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11220" yWindow="255" windowWidth="15810" windowHeight="12000" tabRatio="865" firstSheet="1" activeTab="2"/>
  </bookViews>
  <sheets>
    <sheet name="예산총칙" sheetId="161" state="hidden" r:id="rId1"/>
    <sheet name="수입예산 총괄" sheetId="164" r:id="rId2"/>
    <sheet name="지출예산 총괄" sheetId="165" r:id="rId3"/>
    <sheet name="1.목적(수입)" sheetId="120" state="hidden" r:id="rId4"/>
    <sheet name="1.목적(지출총괄)" sheetId="121" state="hidden" r:id="rId5"/>
    <sheet name="1-1목적(정책실)" sheetId="178" state="hidden" r:id="rId6"/>
    <sheet name="1-2목적(경영관리비)" sheetId="113" state="hidden" r:id="rId7"/>
    <sheet name="1-3목적(경영본부사업)" sheetId="125" state="hidden" r:id="rId8"/>
    <sheet name="1-4목적(문예본부)" sheetId="169" state="hidden" r:id="rId9"/>
    <sheet name="1-5목적(연구원)" sheetId="170" state="hidden" r:id="rId10"/>
    <sheet name="1-6목적(도박)" sheetId="171" state="hidden" r:id="rId11"/>
    <sheet name="1-7목적(미술관)" sheetId="172" state="hidden" r:id="rId12"/>
    <sheet name="1-8목적(백남준)" sheetId="173" state="hidden" r:id="rId13"/>
    <sheet name="1-9목적(실학)" sheetId="174" state="hidden" r:id="rId14"/>
    <sheet name="1-10목적(선사)" sheetId="175" state="hidden" r:id="rId15"/>
    <sheet name="1-11목적(어박)" sheetId="176" state="hidden" r:id="rId16"/>
    <sheet name="1-12예비비" sheetId="150" state="hidden" r:id="rId17"/>
    <sheet name="2.외부(수입)" sheetId="157" state="hidden" r:id="rId18"/>
    <sheet name="2-1외부지출(공기관,보조금,지원)" sheetId="179" state="hidden" r:id="rId19"/>
    <sheet name="공기관,보조금,지원(세부산출)" sheetId="180" state="hidden" r:id="rId20"/>
    <sheet name="2-2외부지출(위탁)" sheetId="181" state="hidden" r:id="rId21"/>
    <sheet name="위탁(세부산출)" sheetId="182" state="hidden" r:id="rId22"/>
    <sheet name="3.반납비" sheetId="160" state="hidden" r:id="rId23"/>
    <sheet name="4.명시이월" sheetId="177" state="hidden" r:id="rId24"/>
  </sheets>
  <definedNames>
    <definedName name="_xlnm._FilterDatabase" localSheetId="14" hidden="1">'1-10목적(선사)'!$A$4:$AE$348</definedName>
    <definedName name="_xlnm._FilterDatabase" localSheetId="15" hidden="1">'1-11목적(어박)'!$A$4:$AJ$247</definedName>
    <definedName name="_xlnm._FilterDatabase" localSheetId="16" hidden="1">'1-12예비비'!$A$4:$AJ$9</definedName>
    <definedName name="_xlnm._FilterDatabase" localSheetId="5" hidden="1">'1-1목적(정책실)'!$A$4:$MB$170</definedName>
    <definedName name="_xlnm._FilterDatabase" localSheetId="6" hidden="1">'1-2목적(경영관리비)'!#REF!</definedName>
    <definedName name="_xlnm._FilterDatabase" localSheetId="7" hidden="1">'1-3목적(경영본부사업)'!$A$4:$Z$160</definedName>
    <definedName name="_xlnm._FilterDatabase" localSheetId="8" hidden="1">'1-4목적(문예본부)'!$A$4:$AB$539</definedName>
    <definedName name="_xlnm._FilterDatabase" localSheetId="10" hidden="1">'1-6목적(도박)'!$A$4:$MB$309</definedName>
    <definedName name="_xlnm._FilterDatabase" localSheetId="11" hidden="1">'1-7목적(미술관)'!$A$4:$AG$365</definedName>
    <definedName name="_xlnm._FilterDatabase" localSheetId="12" hidden="1">'1-8목적(백남준)'!$A$4:$AG$324</definedName>
    <definedName name="_xlnm._FilterDatabase" localSheetId="13" hidden="1">'1-9목적(실학)'!$A$4:$AE$261</definedName>
    <definedName name="_xlnm._FilterDatabase" localSheetId="18" hidden="1">'2-1외부지출(공기관,보조금,지원)'!$B$4:$AF$111</definedName>
    <definedName name="_xlnm._FilterDatabase" localSheetId="20" hidden="1">'2-2외부지출(위탁)'!$B$4:$AF$41</definedName>
    <definedName name="_xlnm._FilterDatabase" localSheetId="22" hidden="1">'3.반납비'!$A$4:$AJ$9</definedName>
    <definedName name="_xlnm._FilterDatabase" localSheetId="19" hidden="1">'공기관,보조금,지원(세부산출)'!$A$4:$AE$1020</definedName>
    <definedName name="_xlnm._FilterDatabase" localSheetId="21" hidden="1">'위탁(세부산출)'!$B$4:$AF$258</definedName>
    <definedName name="_xlnm.Print_Area" localSheetId="3">'1.목적(수입)'!$A$1:$T$53</definedName>
    <definedName name="_xlnm.Print_Area" localSheetId="4">'1.목적(지출총괄)'!$A$1:$G$48</definedName>
    <definedName name="_xlnm.Print_Area" localSheetId="14">'1-10목적(선사)'!$A$1:$Y$348</definedName>
    <definedName name="_xlnm.Print_Area" localSheetId="15">'1-11목적(어박)'!$A$1:$Y$274</definedName>
    <definedName name="_xlnm.Print_Area" localSheetId="16">'1-12예비비'!$A$1:$Y$9</definedName>
    <definedName name="_xlnm.Print_Area" localSheetId="5">'1-1목적(정책실)'!$A$1:$Y$297</definedName>
    <definedName name="_xlnm.Print_Area" localSheetId="6">'1-2목적(경영관리비)'!$A$1:$Y$140</definedName>
    <definedName name="_xlnm.Print_Area" localSheetId="7">'1-3목적(경영본부사업)'!$A$1:$Y$184</definedName>
    <definedName name="_xlnm.Print_Area" localSheetId="8">'1-4목적(문예본부)'!$A$1:$Y$702</definedName>
    <definedName name="_xlnm.Print_Area" localSheetId="9">'1-5목적(연구원)'!$A$1:$Y$362</definedName>
    <definedName name="_xlnm.Print_Area" localSheetId="10">'1-6목적(도박)'!$A$1:$Y$339</definedName>
    <definedName name="_xlnm.Print_Area" localSheetId="11">'1-7목적(미술관)'!$A$1:$Y$399</definedName>
    <definedName name="_xlnm.Print_Area" localSheetId="12">'1-8목적(백남준)'!$A$1:$Y$448</definedName>
    <definedName name="_xlnm.Print_Area" localSheetId="13">'1-9목적(실학)'!$A$1:$Y$263</definedName>
    <definedName name="_xlnm.Print_Area" localSheetId="17">'2.외부(수입)'!$A$1:$T$48</definedName>
    <definedName name="_xlnm.Print_Area" localSheetId="18">'2-1외부지출(공기관,보조금,지원)'!$B$1:$Z$113</definedName>
    <definedName name="_xlnm.Print_Area" localSheetId="20">'2-2외부지출(위탁)'!$B$1:$I$48</definedName>
    <definedName name="_xlnm.Print_Area" localSheetId="22">'3.반납비'!$A$1:$Y$20</definedName>
    <definedName name="_xlnm.Print_Area" localSheetId="23">'4.명시이월'!$A$1:$J$145</definedName>
    <definedName name="_xlnm.Print_Area" localSheetId="19">'공기관,보조금,지원(세부산출)'!$A$1:$Y$1063</definedName>
    <definedName name="_xlnm.Print_Area" localSheetId="1">'수입예산 총괄'!$A$1:$F$28</definedName>
    <definedName name="_xlnm.Print_Area" localSheetId="0">예산총칙!$A$1:$F$10</definedName>
    <definedName name="_xlnm.Print_Area" localSheetId="21">'위탁(세부산출)'!$B$1:$Z$322</definedName>
    <definedName name="_xlnm.Print_Area" localSheetId="2">'지출예산 총괄'!$A$1:$F$32</definedName>
    <definedName name="_xlnm.Print_Titles" localSheetId="3">'1.목적(수입)'!$3:$5</definedName>
    <definedName name="_xlnm.Print_Titles" localSheetId="4">'1.목적(지출총괄)'!$1:$4</definedName>
    <definedName name="_xlnm.Print_Titles" localSheetId="14">'1-10목적(선사)'!$2:$4</definedName>
    <definedName name="_xlnm.Print_Titles" localSheetId="15">'1-11목적(어박)'!$2:$4</definedName>
    <definedName name="_xlnm.Print_Titles" localSheetId="16">'1-12예비비'!$2:$4</definedName>
    <definedName name="_xlnm.Print_Titles" localSheetId="5">'1-1목적(정책실)'!$2:$4</definedName>
    <definedName name="_xlnm.Print_Titles" localSheetId="6">'1-2목적(경영관리비)'!$2:$4</definedName>
    <definedName name="_xlnm.Print_Titles" localSheetId="7">'1-3목적(경영본부사업)'!$2:$4</definedName>
    <definedName name="_xlnm.Print_Titles" localSheetId="8">'1-4목적(문예본부)'!$2:$4</definedName>
    <definedName name="_xlnm.Print_Titles" localSheetId="9">'1-5목적(연구원)'!$2:$4</definedName>
    <definedName name="_xlnm.Print_Titles" localSheetId="10">'1-6목적(도박)'!$2:$4</definedName>
    <definedName name="_xlnm.Print_Titles" localSheetId="11">'1-7목적(미술관)'!$2:$4</definedName>
    <definedName name="_xlnm.Print_Titles" localSheetId="12">'1-8목적(백남준)'!$2:$4</definedName>
    <definedName name="_xlnm.Print_Titles" localSheetId="13">'1-9목적(실학)'!$2:$4</definedName>
    <definedName name="_xlnm.Print_Titles" localSheetId="17">'2.외부(수입)'!$3:$5</definedName>
    <definedName name="_xlnm.Print_Titles" localSheetId="18">'2-1외부지출(공기관,보조금,지원)'!$2:$4</definedName>
    <definedName name="_xlnm.Print_Titles" localSheetId="20">'2-2외부지출(위탁)'!$2:$4</definedName>
    <definedName name="_xlnm.Print_Titles" localSheetId="22">'3.반납비'!$2:$4</definedName>
    <definedName name="_xlnm.Print_Titles" localSheetId="19">'공기관,보조금,지원(세부산출)'!$2:$4</definedName>
    <definedName name="_xlnm.Print_Titles" localSheetId="21">'위탁(세부산출)'!$2:$4</definedName>
    <definedName name="_xlnm.Print_Titles" localSheetId="2">'지출예산 총괄'!$1:$4</definedName>
  </definedNames>
  <calcPr calcId="125725"/>
</workbook>
</file>

<file path=xl/calcChain.xml><?xml version="1.0" encoding="utf-8"?>
<calcChain xmlns="http://schemas.openxmlformats.org/spreadsheetml/2006/main">
  <c r="H233" i="170"/>
  <c r="H219"/>
  <c r="H220"/>
  <c r="H225"/>
  <c r="H212"/>
  <c r="F211"/>
  <c r="Z212"/>
  <c r="Z214"/>
  <c r="F77" i="177" l="1"/>
  <c r="F115"/>
  <c r="F133"/>
  <c r="F131"/>
  <c r="F129"/>
  <c r="F128" s="1"/>
  <c r="Z248" i="180"/>
  <c r="Y248"/>
  <c r="Y191" i="178"/>
  <c r="Y194"/>
  <c r="Y193"/>
  <c r="Y192"/>
  <c r="Y195"/>
  <c r="H5"/>
  <c r="G5"/>
  <c r="F5"/>
  <c r="U9" i="120"/>
  <c r="Z282" i="169" l="1"/>
  <c r="Z281"/>
  <c r="Z47"/>
  <c r="Z48"/>
  <c r="Z46"/>
  <c r="Z332" i="171" l="1"/>
  <c r="Z333"/>
  <c r="Z334"/>
  <c r="Z339"/>
  <c r="Z338"/>
  <c r="Z336"/>
  <c r="Z335"/>
  <c r="Z337"/>
  <c r="AC119" i="170" l="1"/>
  <c r="AC120" s="1"/>
  <c r="AC139"/>
  <c r="Z444" i="180" l="1"/>
  <c r="Y444" s="1"/>
  <c r="Z574" i="169"/>
  <c r="Y574" s="1"/>
  <c r="Z195"/>
  <c r="F202" i="178"/>
  <c r="F201"/>
  <c r="F196"/>
  <c r="F191"/>
  <c r="F190"/>
  <c r="F187"/>
  <c r="F186"/>
  <c r="F185"/>
  <c r="Z191"/>
  <c r="Z194"/>
  <c r="Z193"/>
  <c r="Z192"/>
  <c r="Z195"/>
  <c r="G539" i="180"/>
  <c r="G538" s="1"/>
  <c r="Z551"/>
  <c r="Y551" s="1"/>
  <c r="F551" s="1"/>
  <c r="Z556"/>
  <c r="Y556" s="1"/>
  <c r="F556" s="1"/>
  <c r="Z555"/>
  <c r="Z554"/>
  <c r="Z552"/>
  <c r="Y552" s="1"/>
  <c r="F552" s="1"/>
  <c r="Z550"/>
  <c r="Y550" s="1"/>
  <c r="Z549"/>
  <c r="Z547"/>
  <c r="Z546"/>
  <c r="Z543"/>
  <c r="Y543" s="1"/>
  <c r="Z544"/>
  <c r="Y544" s="1"/>
  <c r="Z541"/>
  <c r="Y541" s="1"/>
  <c r="F541" s="1"/>
  <c r="Z540"/>
  <c r="Y540" s="1"/>
  <c r="F540" s="1"/>
  <c r="G535"/>
  <c r="G534" s="1"/>
  <c r="Z536"/>
  <c r="Y536" s="1"/>
  <c r="Z537"/>
  <c r="Y537" s="1"/>
  <c r="F537" s="1"/>
  <c r="G163" i="182"/>
  <c r="G197"/>
  <c r="Z202"/>
  <c r="G362" i="180"/>
  <c r="G352"/>
  <c r="G334"/>
  <c r="G310"/>
  <c r="G293"/>
  <c r="G279"/>
  <c r="G265"/>
  <c r="G28" i="179"/>
  <c r="G14"/>
  <c r="F118" i="171"/>
  <c r="I320" i="182"/>
  <c r="I322"/>
  <c r="H321"/>
  <c r="G321"/>
  <c r="H319"/>
  <c r="H318" s="1"/>
  <c r="G319"/>
  <c r="G318" s="1"/>
  <c r="H197"/>
  <c r="H191"/>
  <c r="H181"/>
  <c r="H170"/>
  <c r="Z205"/>
  <c r="Z204"/>
  <c r="G202"/>
  <c r="Z201"/>
  <c r="Z200"/>
  <c r="Z199"/>
  <c r="Z197"/>
  <c r="Z196"/>
  <c r="Z195"/>
  <c r="Z194"/>
  <c r="Z192"/>
  <c r="G192" s="1"/>
  <c r="Z191"/>
  <c r="Z190"/>
  <c r="Z189"/>
  <c r="Z188"/>
  <c r="Z187"/>
  <c r="Z186"/>
  <c r="Z184"/>
  <c r="G184" s="1"/>
  <c r="Z183"/>
  <c r="G183" s="1"/>
  <c r="Z182"/>
  <c r="G182" s="1"/>
  <c r="Z180"/>
  <c r="Z179"/>
  <c r="Z177"/>
  <c r="Z176"/>
  <c r="Z174"/>
  <c r="Z173"/>
  <c r="Z172"/>
  <c r="AA169"/>
  <c r="AA166"/>
  <c r="AA168"/>
  <c r="AA167"/>
  <c r="AA165"/>
  <c r="Z169"/>
  <c r="G169" s="1"/>
  <c r="Z168"/>
  <c r="G168" s="1"/>
  <c r="Z167"/>
  <c r="G167" s="1"/>
  <c r="Z166"/>
  <c r="G166" s="1"/>
  <c r="Z165"/>
  <c r="G165" s="1"/>
  <c r="J169"/>
  <c r="H164"/>
  <c r="Z553" i="180" l="1"/>
  <c r="Y553" s="1"/>
  <c r="F553" s="1"/>
  <c r="Z548"/>
  <c r="Y548" s="1"/>
  <c r="F548" s="1"/>
  <c r="Z545"/>
  <c r="Y545" s="1"/>
  <c r="F545" s="1"/>
  <c r="Y555"/>
  <c r="Y554"/>
  <c r="Y549"/>
  <c r="Y547"/>
  <c r="Y546"/>
  <c r="Z542"/>
  <c r="Y542" s="1"/>
  <c r="F542" s="1"/>
  <c r="F536"/>
  <c r="F535" s="1"/>
  <c r="F534" s="1"/>
  <c r="H163" i="182"/>
  <c r="H162" s="1"/>
  <c r="Z175"/>
  <c r="G175" s="1"/>
  <c r="Z185"/>
  <c r="G185" s="1"/>
  <c r="G181" s="1"/>
  <c r="I181" s="1"/>
  <c r="Z178"/>
  <c r="G178" s="1"/>
  <c r="Z193"/>
  <c r="G193" s="1"/>
  <c r="G191" s="1"/>
  <c r="I191" s="1"/>
  <c r="Z198"/>
  <c r="G198" s="1"/>
  <c r="Z203"/>
  <c r="G203" s="1"/>
  <c r="I197" s="1"/>
  <c r="G164"/>
  <c r="Z171"/>
  <c r="G171" s="1"/>
  <c r="F539" i="180" l="1"/>
  <c r="F538" s="1"/>
  <c r="AB538" s="1"/>
  <c r="H535"/>
  <c r="G170" i="182"/>
  <c r="I170" s="1"/>
  <c r="H539" i="180" l="1"/>
  <c r="H538"/>
  <c r="H534"/>
  <c r="AB534"/>
  <c r="G162" i="182"/>
  <c r="I164"/>
  <c r="J164" s="1"/>
  <c r="I163"/>
  <c r="G422" i="180" l="1"/>
  <c r="Z482"/>
  <c r="Y482" s="1"/>
  <c r="F482" s="1"/>
  <c r="Z451"/>
  <c r="Y451" s="1"/>
  <c r="F451" s="1"/>
  <c r="Z424"/>
  <c r="Y424" s="1"/>
  <c r="F424" s="1"/>
  <c r="G495" l="1"/>
  <c r="Z1010"/>
  <c r="Y1010" s="1"/>
  <c r="Z1009"/>
  <c r="Y1009" s="1"/>
  <c r="Z1008"/>
  <c r="Z1007" l="1"/>
  <c r="Y1007" s="1"/>
  <c r="F1007" s="1"/>
  <c r="H1007" s="1"/>
  <c r="Y1008"/>
  <c r="Z787" l="1"/>
  <c r="Y787" s="1"/>
  <c r="F787" s="1"/>
  <c r="Z770"/>
  <c r="Y770" s="1"/>
  <c r="F770" s="1"/>
  <c r="G757"/>
  <c r="Z764"/>
  <c r="F764"/>
  <c r="G707"/>
  <c r="Z716"/>
  <c r="Y716" s="1"/>
  <c r="Z715"/>
  <c r="Y715" s="1"/>
  <c r="Z714"/>
  <c r="Y714" s="1"/>
  <c r="G661"/>
  <c r="Z673"/>
  <c r="Y673" s="1"/>
  <c r="F673" s="1"/>
  <c r="G639"/>
  <c r="Z656"/>
  <c r="Y656" s="1"/>
  <c r="F656" s="1"/>
  <c r="Z654"/>
  <c r="F654"/>
  <c r="Z649"/>
  <c r="F649"/>
  <c r="G635"/>
  <c r="Z636"/>
  <c r="Y636" s="1"/>
  <c r="F636" s="1"/>
  <c r="G626"/>
  <c r="Z632"/>
  <c r="Y632" s="1"/>
  <c r="F632" s="1"/>
  <c r="Z627"/>
  <c r="Y627" s="1"/>
  <c r="F627" s="1"/>
  <c r="Z605"/>
  <c r="Y605" s="1"/>
  <c r="F605" s="1"/>
  <c r="Z533"/>
  <c r="Y533" s="1"/>
  <c r="F533" s="1"/>
  <c r="Z532"/>
  <c r="Y532" s="1"/>
  <c r="F532" s="1"/>
  <c r="Z531"/>
  <c r="Y531" s="1"/>
  <c r="F531" s="1"/>
  <c r="Z530"/>
  <c r="Y530" s="1"/>
  <c r="F530" s="1"/>
  <c r="Z529"/>
  <c r="Y529" s="1"/>
  <c r="Z528"/>
  <c r="Y528" s="1"/>
  <c r="Z527"/>
  <c r="Y527" s="1"/>
  <c r="Z526"/>
  <c r="Y526" s="1"/>
  <c r="Z524"/>
  <c r="Y524" s="1"/>
  <c r="F524" s="1"/>
  <c r="G523"/>
  <c r="G522" s="1"/>
  <c r="Z496"/>
  <c r="Y496" s="1"/>
  <c r="F496" s="1"/>
  <c r="G485"/>
  <c r="Z488"/>
  <c r="Y488" s="1"/>
  <c r="Z487"/>
  <c r="Y487" s="1"/>
  <c r="Z386"/>
  <c r="Y386" s="1"/>
  <c r="Z385"/>
  <c r="Y385" s="1"/>
  <c r="Z384"/>
  <c r="Y384" s="1"/>
  <c r="Z370"/>
  <c r="Y370"/>
  <c r="Z369"/>
  <c r="Y369"/>
  <c r="Z368"/>
  <c r="Z353"/>
  <c r="F353"/>
  <c r="Z357"/>
  <c r="Y357" s="1"/>
  <c r="Z356"/>
  <c r="Z354"/>
  <c r="Y354" s="1"/>
  <c r="F354" s="1"/>
  <c r="Z344"/>
  <c r="Y344" s="1"/>
  <c r="Z343"/>
  <c r="Z346"/>
  <c r="Y346" s="1"/>
  <c r="F346" s="1"/>
  <c r="Z311"/>
  <c r="Y311" s="1"/>
  <c r="F311" s="1"/>
  <c r="Z263"/>
  <c r="Y263" s="1"/>
  <c r="F263" s="1"/>
  <c r="G262"/>
  <c r="G248" i="176"/>
  <c r="Z253"/>
  <c r="Y253"/>
  <c r="Z251"/>
  <c r="Y251" s="1"/>
  <c r="Z250"/>
  <c r="Y250" s="1"/>
  <c r="G239"/>
  <c r="Z246"/>
  <c r="Y246"/>
  <c r="F246" s="1"/>
  <c r="Z245"/>
  <c r="Y245" s="1"/>
  <c r="Z244"/>
  <c r="Y244"/>
  <c r="Z242"/>
  <c r="Y242" s="1"/>
  <c r="F242" s="1"/>
  <c r="Z232"/>
  <c r="Y232" s="1"/>
  <c r="F232" s="1"/>
  <c r="Z210"/>
  <c r="Y210" s="1"/>
  <c r="F210" s="1"/>
  <c r="G134"/>
  <c r="Z138"/>
  <c r="Y138" s="1"/>
  <c r="F138" s="1"/>
  <c r="G100"/>
  <c r="Z113"/>
  <c r="Y113" s="1"/>
  <c r="Z112"/>
  <c r="Y112" s="1"/>
  <c r="Z111"/>
  <c r="Z109"/>
  <c r="Y109" s="1"/>
  <c r="Z108"/>
  <c r="Y108" s="1"/>
  <c r="Z107"/>
  <c r="Y107" s="1"/>
  <c r="Z105"/>
  <c r="Y105" s="1"/>
  <c r="Z104"/>
  <c r="Y104" s="1"/>
  <c r="Z102"/>
  <c r="Y102" s="1"/>
  <c r="F102" s="1"/>
  <c r="Z101"/>
  <c r="Y101" s="1"/>
  <c r="F101" s="1"/>
  <c r="Y311" i="175"/>
  <c r="F311"/>
  <c r="G205"/>
  <c r="Z206"/>
  <c r="Y206"/>
  <c r="F206" s="1"/>
  <c r="H206" s="1"/>
  <c r="G196"/>
  <c r="F199"/>
  <c r="G151"/>
  <c r="Y164"/>
  <c r="F164" s="1"/>
  <c r="Y131"/>
  <c r="F131" s="1"/>
  <c r="F130"/>
  <c r="Y125"/>
  <c r="F125" s="1"/>
  <c r="Z257" i="174"/>
  <c r="Y257" s="1"/>
  <c r="F257" s="1"/>
  <c r="AA257" s="1"/>
  <c r="AA227"/>
  <c r="Z227"/>
  <c r="Y227" s="1"/>
  <c r="AA226"/>
  <c r="Z226"/>
  <c r="Y226" s="1"/>
  <c r="AA225"/>
  <c r="Z225"/>
  <c r="Y225" s="1"/>
  <c r="G222"/>
  <c r="AA230"/>
  <c r="Z230"/>
  <c r="Y230" s="1"/>
  <c r="AA229"/>
  <c r="Z229"/>
  <c r="Y229" s="1"/>
  <c r="G210"/>
  <c r="Z218"/>
  <c r="Y218" s="1"/>
  <c r="F218" s="1"/>
  <c r="Z219"/>
  <c r="Y219" s="1"/>
  <c r="F219" s="1"/>
  <c r="AA219" s="1"/>
  <c r="G149"/>
  <c r="Z160"/>
  <c r="Y160" s="1"/>
  <c r="F160" s="1"/>
  <c r="AA160" s="1"/>
  <c r="Z155"/>
  <c r="Y155" s="1"/>
  <c r="F155" s="1"/>
  <c r="AA155" s="1"/>
  <c r="G150" i="173"/>
  <c r="F150"/>
  <c r="G321"/>
  <c r="Z327"/>
  <c r="Y327" s="1"/>
  <c r="F327" s="1"/>
  <c r="Z326"/>
  <c r="Y326" s="1"/>
  <c r="F326" s="1"/>
  <c r="Z203"/>
  <c r="Y203" s="1"/>
  <c r="F203" s="1"/>
  <c r="Z183"/>
  <c r="Y183" s="1"/>
  <c r="F183" s="1"/>
  <c r="G160" i="172"/>
  <c r="F160"/>
  <c r="G367"/>
  <c r="F367"/>
  <c r="Z368"/>
  <c r="Z369"/>
  <c r="Y314"/>
  <c r="F314"/>
  <c r="Y312"/>
  <c r="F312" s="1"/>
  <c r="G316"/>
  <c r="G310"/>
  <c r="Z363"/>
  <c r="Y363" s="1"/>
  <c r="F363" s="1"/>
  <c r="AA363" s="1"/>
  <c r="AC362"/>
  <c r="Z362"/>
  <c r="Y362" s="1"/>
  <c r="F362" s="1"/>
  <c r="AA362" s="1"/>
  <c r="G338"/>
  <c r="Z340"/>
  <c r="Y340" s="1"/>
  <c r="F340" s="1"/>
  <c r="H340" s="1"/>
  <c r="G283"/>
  <c r="Z292"/>
  <c r="Z288"/>
  <c r="Y288" s="1"/>
  <c r="F288" s="1"/>
  <c r="Z254"/>
  <c r="Y254" s="1"/>
  <c r="F254" s="1"/>
  <c r="AA254" s="1"/>
  <c r="G257"/>
  <c r="Z228"/>
  <c r="Y228" s="1"/>
  <c r="F228" s="1"/>
  <c r="AA228" s="1"/>
  <c r="AA227"/>
  <c r="Z227"/>
  <c r="AA226"/>
  <c r="Z226"/>
  <c r="Y226" s="1"/>
  <c r="Y219"/>
  <c r="F219" s="1"/>
  <c r="Y217"/>
  <c r="Y216"/>
  <c r="Z211"/>
  <c r="Y211" s="1"/>
  <c r="F211" s="1"/>
  <c r="AA211" s="1"/>
  <c r="AA204"/>
  <c r="Z204"/>
  <c r="Y204" s="1"/>
  <c r="AA203"/>
  <c r="Z203"/>
  <c r="Y203" s="1"/>
  <c r="AA202"/>
  <c r="Z202"/>
  <c r="Y202" s="1"/>
  <c r="AA201"/>
  <c r="Z201"/>
  <c r="Y201" s="1"/>
  <c r="AA200"/>
  <c r="Z200"/>
  <c r="Y200" s="1"/>
  <c r="AA199"/>
  <c r="Z199"/>
  <c r="Z197"/>
  <c r="Y197" s="1"/>
  <c r="F197" s="1"/>
  <c r="AA197" s="1"/>
  <c r="Z193"/>
  <c r="Y193" s="1"/>
  <c r="F193" s="1"/>
  <c r="AA193" s="1"/>
  <c r="Z189"/>
  <c r="Y189" s="1"/>
  <c r="F189" s="1"/>
  <c r="AA189" s="1"/>
  <c r="Z184"/>
  <c r="Y184" s="1"/>
  <c r="F184" s="1"/>
  <c r="AA184" s="1"/>
  <c r="AA164"/>
  <c r="Z164"/>
  <c r="AA163"/>
  <c r="Z163"/>
  <c r="Y163" s="1"/>
  <c r="Z161"/>
  <c r="Y161" s="1"/>
  <c r="F161" s="1"/>
  <c r="AA161" s="1"/>
  <c r="Z155"/>
  <c r="F155"/>
  <c r="AA155" s="1"/>
  <c r="AA117"/>
  <c r="Z117"/>
  <c r="AA116"/>
  <c r="Z116"/>
  <c r="Y116" s="1"/>
  <c r="Y324" i="171"/>
  <c r="F324" s="1"/>
  <c r="AA324" s="1"/>
  <c r="Y322"/>
  <c r="F322" s="1"/>
  <c r="AA322" s="1"/>
  <c r="G284" i="170"/>
  <c r="Z288"/>
  <c r="Y288" s="1"/>
  <c r="F288" s="1"/>
  <c r="Z287"/>
  <c r="Y287" s="1"/>
  <c r="F287" s="1"/>
  <c r="Z286"/>
  <c r="Y286" s="1"/>
  <c r="F286" s="1"/>
  <c r="Z285"/>
  <c r="Y285" s="1"/>
  <c r="F285" s="1"/>
  <c r="Z259"/>
  <c r="Y259" s="1"/>
  <c r="F259" s="1"/>
  <c r="Z258"/>
  <c r="Y258" s="1"/>
  <c r="F258" s="1"/>
  <c r="Z257"/>
  <c r="Y257" s="1"/>
  <c r="Z256"/>
  <c r="Y256" s="1"/>
  <c r="Z255"/>
  <c r="Y255" s="1"/>
  <c r="F255" s="1"/>
  <c r="G234"/>
  <c r="Z235"/>
  <c r="Y235" s="1"/>
  <c r="F235" s="1"/>
  <c r="G211"/>
  <c r="Y214"/>
  <c r="Z218"/>
  <c r="Y218" s="1"/>
  <c r="Z217"/>
  <c r="Y217" s="1"/>
  <c r="Z216"/>
  <c r="Y216" s="1"/>
  <c r="Z220"/>
  <c r="Y220" s="1"/>
  <c r="F220" s="1"/>
  <c r="Z219"/>
  <c r="Y219" s="1"/>
  <c r="F219" s="1"/>
  <c r="G189"/>
  <c r="Z190"/>
  <c r="Y190" s="1"/>
  <c r="F190" s="1"/>
  <c r="Z195"/>
  <c r="Y195" s="1"/>
  <c r="Z194"/>
  <c r="Y194" s="1"/>
  <c r="Z193"/>
  <c r="Y193" s="1"/>
  <c r="Z196"/>
  <c r="Y196" s="1"/>
  <c r="F196" s="1"/>
  <c r="G172"/>
  <c r="Z175"/>
  <c r="Y175" s="1"/>
  <c r="F175" s="1"/>
  <c r="Z173"/>
  <c r="Y173" s="1"/>
  <c r="F173" s="1"/>
  <c r="H173" s="1"/>
  <c r="Z178"/>
  <c r="Y178" s="1"/>
  <c r="F178" s="1"/>
  <c r="H178" s="1"/>
  <c r="Z689" i="169"/>
  <c r="Y689" s="1"/>
  <c r="F689" s="1"/>
  <c r="Z690"/>
  <c r="Y690" s="1"/>
  <c r="F690" s="1"/>
  <c r="Z672"/>
  <c r="Y672" s="1"/>
  <c r="F672" s="1"/>
  <c r="G669"/>
  <c r="Z684"/>
  <c r="Z683"/>
  <c r="Z682"/>
  <c r="Z681"/>
  <c r="Z680"/>
  <c r="Z675"/>
  <c r="Z676"/>
  <c r="Z677"/>
  <c r="Y677" s="1"/>
  <c r="Z678"/>
  <c r="Z674"/>
  <c r="Z671"/>
  <c r="Z670"/>
  <c r="Z249" i="176" l="1"/>
  <c r="H353" i="180"/>
  <c r="Z713"/>
  <c r="Y713" s="1"/>
  <c r="F713" s="1"/>
  <c r="Z525"/>
  <c r="Y525" s="1"/>
  <c r="F525" s="1"/>
  <c r="F523" s="1"/>
  <c r="Y368"/>
  <c r="F368" s="1"/>
  <c r="Z383"/>
  <c r="Y383" s="1"/>
  <c r="F383" s="1"/>
  <c r="Z486"/>
  <c r="Y486" s="1"/>
  <c r="F486" s="1"/>
  <c r="Z355"/>
  <c r="Y355" s="1"/>
  <c r="F355" s="1"/>
  <c r="H355" s="1"/>
  <c r="Z342"/>
  <c r="Y343"/>
  <c r="Y342" s="1"/>
  <c r="F342" s="1"/>
  <c r="Z262"/>
  <c r="H263"/>
  <c r="I263" s="1"/>
  <c r="F262"/>
  <c r="H262" s="1"/>
  <c r="I262" s="1"/>
  <c r="Y249" i="176"/>
  <c r="F249" s="1"/>
  <c r="Z243"/>
  <c r="Y243"/>
  <c r="F243" s="1"/>
  <c r="Z110"/>
  <c r="Y111"/>
  <c r="Y110" s="1"/>
  <c r="F110" s="1"/>
  <c r="Z106"/>
  <c r="Y106" s="1"/>
  <c r="F106" s="1"/>
  <c r="Z103"/>
  <c r="Y103" s="1"/>
  <c r="F103" s="1"/>
  <c r="Z224" i="174"/>
  <c r="Y224" s="1"/>
  <c r="F224" s="1"/>
  <c r="AA224" s="1"/>
  <c r="Z228"/>
  <c r="Y228" s="1"/>
  <c r="F228" s="1"/>
  <c r="AA228" s="1"/>
  <c r="H218"/>
  <c r="AA218"/>
  <c r="Z225" i="172"/>
  <c r="Y227"/>
  <c r="Y225" s="1"/>
  <c r="F225" s="1"/>
  <c r="AA225" s="1"/>
  <c r="Y215"/>
  <c r="F215" s="1"/>
  <c r="Z198"/>
  <c r="Y198" s="1"/>
  <c r="F198" s="1"/>
  <c r="AA198" s="1"/>
  <c r="Y199"/>
  <c r="Z162"/>
  <c r="Y162" s="1"/>
  <c r="F162" s="1"/>
  <c r="AA162" s="1"/>
  <c r="Y164"/>
  <c r="Z115"/>
  <c r="Y115" s="1"/>
  <c r="F115" s="1"/>
  <c r="AA115" s="1"/>
  <c r="H155"/>
  <c r="Y117"/>
  <c r="Z215" i="170"/>
  <c r="Y215" s="1"/>
  <c r="F215" s="1"/>
  <c r="Z192"/>
  <c r="Y192" s="1"/>
  <c r="F192" s="1"/>
  <c r="Z679" i="169"/>
  <c r="Z673"/>
  <c r="H523" i="180" l="1"/>
  <c r="F522"/>
  <c r="H486"/>
  <c r="H522" l="1"/>
  <c r="AB522"/>
  <c r="Y683" i="169" l="1"/>
  <c r="F683" s="1"/>
  <c r="Z664"/>
  <c r="Y664" s="1"/>
  <c r="F664" s="1"/>
  <c r="G650"/>
  <c r="Z653"/>
  <c r="Y653" s="1"/>
  <c r="F653" s="1"/>
  <c r="Z642"/>
  <c r="Y642" s="1"/>
  <c r="F642" s="1"/>
  <c r="Z622"/>
  <c r="Y622" s="1"/>
  <c r="Z621"/>
  <c r="Y621" s="1"/>
  <c r="G511"/>
  <c r="Z513"/>
  <c r="Y513" s="1"/>
  <c r="F513" s="1"/>
  <c r="Z512"/>
  <c r="Y512" s="1"/>
  <c r="F512" s="1"/>
  <c r="Z517"/>
  <c r="Y517" s="1"/>
  <c r="F517" s="1"/>
  <c r="Z496"/>
  <c r="Y496" s="1"/>
  <c r="Z495"/>
  <c r="Y495" s="1"/>
  <c r="F494"/>
  <c r="H494" s="1"/>
  <c r="Z489"/>
  <c r="Y489" s="1"/>
  <c r="F489" s="1"/>
  <c r="H489" s="1"/>
  <c r="Z488"/>
  <c r="Y488" s="1"/>
  <c r="F488" s="1"/>
  <c r="G486"/>
  <c r="Z498"/>
  <c r="F498"/>
  <c r="H498" s="1"/>
  <c r="Z456"/>
  <c r="Y456" s="1"/>
  <c r="Z455"/>
  <c r="Y455" s="1"/>
  <c r="Z454"/>
  <c r="Y454" s="1"/>
  <c r="Z417"/>
  <c r="Y417" s="1"/>
  <c r="F417" s="1"/>
  <c r="G387"/>
  <c r="Z397"/>
  <c r="Y397" s="1"/>
  <c r="Z396"/>
  <c r="Y396" s="1"/>
  <c r="Z395"/>
  <c r="Y395" s="1"/>
  <c r="Z393"/>
  <c r="Y393" s="1"/>
  <c r="F393" s="1"/>
  <c r="Z392"/>
  <c r="Y392" s="1"/>
  <c r="F392" s="1"/>
  <c r="G350"/>
  <c r="Z363"/>
  <c r="Y363" s="1"/>
  <c r="Z362"/>
  <c r="Y362" s="1"/>
  <c r="Z361"/>
  <c r="Y361" s="1"/>
  <c r="Z360"/>
  <c r="Y360" s="1"/>
  <c r="G301"/>
  <c r="Z305"/>
  <c r="Y305" s="1"/>
  <c r="Z304"/>
  <c r="Y304" s="1"/>
  <c r="Z306"/>
  <c r="Y306" s="1"/>
  <c r="Z302"/>
  <c r="Y302"/>
  <c r="F302" s="1"/>
  <c r="Z333"/>
  <c r="Y333" s="1"/>
  <c r="F333" s="1"/>
  <c r="Z259"/>
  <c r="Y259"/>
  <c r="F259" s="1"/>
  <c r="Z256"/>
  <c r="Y256" s="1"/>
  <c r="F256" s="1"/>
  <c r="Z244"/>
  <c r="Y244" s="1"/>
  <c r="F244" s="1"/>
  <c r="G154"/>
  <c r="Z156"/>
  <c r="Y156" s="1"/>
  <c r="F156" s="1"/>
  <c r="H156" s="1"/>
  <c r="Z155"/>
  <c r="Y155" s="1"/>
  <c r="F155" s="1"/>
  <c r="H155" s="1"/>
  <c r="Z128"/>
  <c r="Y128" s="1"/>
  <c r="Z127"/>
  <c r="G119"/>
  <c r="Z125"/>
  <c r="Y125" s="1"/>
  <c r="Z124"/>
  <c r="Z122"/>
  <c r="Y122" s="1"/>
  <c r="F122" s="1"/>
  <c r="H122" s="1"/>
  <c r="Z121"/>
  <c r="Y121" s="1"/>
  <c r="F121" s="1"/>
  <c r="H121" s="1"/>
  <c r="Z134"/>
  <c r="Y134" s="1"/>
  <c r="F134" s="1"/>
  <c r="H134" s="1"/>
  <c r="Z120"/>
  <c r="Y120" s="1"/>
  <c r="F120" s="1"/>
  <c r="H120" s="1"/>
  <c r="G102"/>
  <c r="Z113"/>
  <c r="Y113" s="1"/>
  <c r="F113" s="1"/>
  <c r="Z105"/>
  <c r="Y105" s="1"/>
  <c r="Z104"/>
  <c r="Y104" s="1"/>
  <c r="G85"/>
  <c r="Z89"/>
  <c r="Y89" s="1"/>
  <c r="F89" s="1"/>
  <c r="H89" s="1"/>
  <c r="Z95"/>
  <c r="Y95" s="1"/>
  <c r="F95" s="1"/>
  <c r="H95" s="1"/>
  <c r="Z90"/>
  <c r="Y90" s="1"/>
  <c r="F90" s="1"/>
  <c r="H90" s="1"/>
  <c r="Z88"/>
  <c r="Y88" s="1"/>
  <c r="Z87"/>
  <c r="G68"/>
  <c r="Z79"/>
  <c r="Y79" s="1"/>
  <c r="Z78"/>
  <c r="Z69"/>
  <c r="Y69" s="1"/>
  <c r="F69" s="1"/>
  <c r="Z70"/>
  <c r="Y70" s="1"/>
  <c r="F70" s="1"/>
  <c r="G176" i="125"/>
  <c r="F176"/>
  <c r="Y179"/>
  <c r="F179"/>
  <c r="Y178"/>
  <c r="F178" s="1"/>
  <c r="Y177"/>
  <c r="F177" s="1"/>
  <c r="G68"/>
  <c r="Z77"/>
  <c r="Y77" s="1"/>
  <c r="F77" s="1"/>
  <c r="Z78"/>
  <c r="Y78" s="1"/>
  <c r="F78" s="1"/>
  <c r="Z69"/>
  <c r="Y69" s="1"/>
  <c r="F69" s="1"/>
  <c r="G44"/>
  <c r="Z45"/>
  <c r="Y45" s="1"/>
  <c r="F45" s="1"/>
  <c r="G23"/>
  <c r="Z35"/>
  <c r="Y35" s="1"/>
  <c r="F35" s="1"/>
  <c r="Z209" i="178"/>
  <c r="Y209" s="1"/>
  <c r="F209" s="1"/>
  <c r="G168"/>
  <c r="Z169"/>
  <c r="Y169" s="1"/>
  <c r="F169" s="1"/>
  <c r="G99"/>
  <c r="Z104"/>
  <c r="Y104" s="1"/>
  <c r="F104" s="1"/>
  <c r="G126"/>
  <c r="Z134"/>
  <c r="Y134" s="1"/>
  <c r="F134" s="1"/>
  <c r="G36"/>
  <c r="Z40"/>
  <c r="Y40" s="1"/>
  <c r="F40" s="1"/>
  <c r="G18"/>
  <c r="Z26"/>
  <c r="Y26" s="1"/>
  <c r="Z25"/>
  <c r="Y25" s="1"/>
  <c r="F761" i="180"/>
  <c r="Z763"/>
  <c r="Z762"/>
  <c r="Z759"/>
  <c r="Z760"/>
  <c r="Z758"/>
  <c r="Y760"/>
  <c r="F760" s="1"/>
  <c r="G84" i="169" l="1"/>
  <c r="Z761" i="180"/>
  <c r="Z620" i="169"/>
  <c r="Y620" s="1"/>
  <c r="F620" s="1"/>
  <c r="Z494"/>
  <c r="Z453"/>
  <c r="Y453" s="1"/>
  <c r="F453" s="1"/>
  <c r="H453" s="1"/>
  <c r="Z394"/>
  <c r="Y394"/>
  <c r="F394" s="1"/>
  <c r="Z359"/>
  <c r="Y359" s="1"/>
  <c r="F359" s="1"/>
  <c r="Y303"/>
  <c r="Z303"/>
  <c r="Z126"/>
  <c r="Y127"/>
  <c r="Y126" s="1"/>
  <c r="F126" s="1"/>
  <c r="Z123"/>
  <c r="Y124"/>
  <c r="Y123" s="1"/>
  <c r="F123" s="1"/>
  <c r="H123" s="1"/>
  <c r="Z103"/>
  <c r="Y103" s="1"/>
  <c r="F103" s="1"/>
  <c r="Z77"/>
  <c r="Y77" s="1"/>
  <c r="F77" s="1"/>
  <c r="Z86"/>
  <c r="Y86" s="1"/>
  <c r="F86" s="1"/>
  <c r="H86" s="1"/>
  <c r="Y87"/>
  <c r="Y78"/>
  <c r="H126" l="1"/>
  <c r="H109" i="182" l="1"/>
  <c r="H139"/>
  <c r="H127"/>
  <c r="H160"/>
  <c r="H159" s="1"/>
  <c r="H151"/>
  <c r="H153"/>
  <c r="AA156"/>
  <c r="AA155"/>
  <c r="H53"/>
  <c r="AA55"/>
  <c r="AA54"/>
  <c r="Z55"/>
  <c r="G55" s="1"/>
  <c r="I55" s="1"/>
  <c r="Z54"/>
  <c r="AA154" l="1"/>
  <c r="Z154" s="1"/>
  <c r="G154" s="1"/>
  <c r="G608" i="180"/>
  <c r="Z622"/>
  <c r="Y622" s="1"/>
  <c r="Z621"/>
  <c r="Y621" s="1"/>
  <c r="Z610"/>
  <c r="Y610" s="1"/>
  <c r="F610" s="1"/>
  <c r="Z619"/>
  <c r="Y619" s="1"/>
  <c r="F619" s="1"/>
  <c r="Z609"/>
  <c r="Y609" s="1"/>
  <c r="F609" s="1"/>
  <c r="Z623"/>
  <c r="Y623" s="1"/>
  <c r="F623" s="1"/>
  <c r="Z624"/>
  <c r="Y624" s="1"/>
  <c r="F624" s="1"/>
  <c r="Z618"/>
  <c r="Z617"/>
  <c r="Y617" s="1"/>
  <c r="Z616"/>
  <c r="Y616" s="1"/>
  <c r="Z614"/>
  <c r="Y614" s="1"/>
  <c r="F614" s="1"/>
  <c r="Z613"/>
  <c r="Y613" s="1"/>
  <c r="Z612"/>
  <c r="Y612" s="1"/>
  <c r="Z620" l="1"/>
  <c r="Y620" s="1"/>
  <c r="F620" s="1"/>
  <c r="H620" s="1"/>
  <c r="Z611"/>
  <c r="Y611" s="1"/>
  <c r="F611" s="1"/>
  <c r="Z615"/>
  <c r="Y615" s="1"/>
  <c r="F615" s="1"/>
  <c r="H615" s="1"/>
  <c r="F608" l="1"/>
  <c r="Z361"/>
  <c r="Z360"/>
  <c r="Z359"/>
  <c r="Z358"/>
  <c r="Z214" i="175" l="1"/>
  <c r="Z215"/>
  <c r="Z209"/>
  <c r="Z210"/>
  <c r="Z211"/>
  <c r="Z212"/>
  <c r="Z213"/>
  <c r="Z208"/>
  <c r="Y215"/>
  <c r="F215" s="1"/>
  <c r="H215" s="1"/>
  <c r="Y214"/>
  <c r="F214" s="1"/>
  <c r="H214" s="1"/>
  <c r="Y213"/>
  <c r="Y212"/>
  <c r="Y211"/>
  <c r="Y210"/>
  <c r="Y209"/>
  <c r="Y208"/>
  <c r="Y207" l="1"/>
  <c r="F207" s="1"/>
  <c r="F205" s="1"/>
  <c r="Z207"/>
  <c r="G676" i="180"/>
  <c r="Z690"/>
  <c r="Z689"/>
  <c r="Z688"/>
  <c r="Z687"/>
  <c r="Z686"/>
  <c r="Z691"/>
  <c r="Z694"/>
  <c r="Y694" s="1"/>
  <c r="Z693"/>
  <c r="F695"/>
  <c r="H695" s="1"/>
  <c r="H207" i="175" l="1"/>
  <c r="Z692" i="180"/>
  <c r="Z685"/>
  <c r="G379"/>
  <c r="Z411"/>
  <c r="Y411" s="1"/>
  <c r="Z410"/>
  <c r="Y410" s="1"/>
  <c r="Z409"/>
  <c r="Y409" s="1"/>
  <c r="Z408"/>
  <c r="Y408" s="1"/>
  <c r="Z407"/>
  <c r="Z412"/>
  <c r="Y412" s="1"/>
  <c r="F412" s="1"/>
  <c r="Z390"/>
  <c r="Y390" s="1"/>
  <c r="F390" s="1"/>
  <c r="Z420"/>
  <c r="Y420" s="1"/>
  <c r="Z419"/>
  <c r="Y419" s="1"/>
  <c r="Z418"/>
  <c r="Y418" s="1"/>
  <c r="Z417"/>
  <c r="Y417" s="1"/>
  <c r="Z416"/>
  <c r="Y416" s="1"/>
  <c r="Z415"/>
  <c r="Y415" s="1"/>
  <c r="Z414"/>
  <c r="Z389"/>
  <c r="Y389" s="1"/>
  <c r="Z388"/>
  <c r="Z382"/>
  <c r="Y382" s="1"/>
  <c r="Z381"/>
  <c r="Z406" l="1"/>
  <c r="Y406" s="1"/>
  <c r="F406" s="1"/>
  <c r="Y407"/>
  <c r="Z413"/>
  <c r="Y413" s="1"/>
  <c r="F413" s="1"/>
  <c r="Z387"/>
  <c r="Y387" s="1"/>
  <c r="F387" s="1"/>
  <c r="H387" s="1"/>
  <c r="Z380"/>
  <c r="Y380" s="1"/>
  <c r="F380" s="1"/>
  <c r="Y414"/>
  <c r="Y388"/>
  <c r="Y381"/>
  <c r="G437" i="169" l="1"/>
  <c r="Z441"/>
  <c r="Z467"/>
  <c r="Z466"/>
  <c r="Z465"/>
  <c r="Z464"/>
  <c r="Z463"/>
  <c r="Y463" s="1"/>
  <c r="Z462"/>
  <c r="Y462" s="1"/>
  <c r="Z461"/>
  <c r="Z459"/>
  <c r="Z458"/>
  <c r="Z452"/>
  <c r="Z440"/>
  <c r="Z442"/>
  <c r="Z439"/>
  <c r="Z451"/>
  <c r="Y451" s="1"/>
  <c r="Z450"/>
  <c r="Y450" s="1"/>
  <c r="Z449"/>
  <c r="Z448"/>
  <c r="Z447"/>
  <c r="Z446"/>
  <c r="Z445"/>
  <c r="Z444"/>
  <c r="Z438"/>
  <c r="Y440"/>
  <c r="F440" s="1"/>
  <c r="Z460" l="1"/>
  <c r="Z443"/>
  <c r="Z98" l="1"/>
  <c r="Z97"/>
  <c r="Z94"/>
  <c r="Z93"/>
  <c r="Z91"/>
  <c r="Z100"/>
  <c r="Z101"/>
  <c r="Y100"/>
  <c r="F100" s="1"/>
  <c r="H100" s="1"/>
  <c r="Y99"/>
  <c r="F99" s="1"/>
  <c r="H99" s="1"/>
  <c r="Z96" l="1"/>
  <c r="Z92"/>
  <c r="Y94"/>
  <c r="Y260" i="171"/>
  <c r="Y259"/>
  <c r="Y257"/>
  <c r="Y255" s="1"/>
  <c r="Y256"/>
  <c r="Y262"/>
  <c r="Y258" l="1"/>
  <c r="Z243" i="174"/>
  <c r="Y243" s="1"/>
  <c r="F243" s="1"/>
  <c r="H243" s="1"/>
  <c r="G273" i="173" l="1"/>
  <c r="F343" i="172" l="1"/>
  <c r="H343" s="1"/>
  <c r="Z343"/>
  <c r="Z344"/>
  <c r="Z342"/>
  <c r="Y342" s="1"/>
  <c r="F342" s="1"/>
  <c r="H342" s="1"/>
  <c r="Z339"/>
  <c r="Z345"/>
  <c r="Z160" i="125" l="1"/>
  <c r="Z158"/>
  <c r="Z159"/>
  <c r="Z157"/>
  <c r="Y157" s="1"/>
  <c r="F157" s="1"/>
  <c r="G156"/>
  <c r="Y160"/>
  <c r="F160" s="1"/>
  <c r="H160" s="1"/>
  <c r="Y158"/>
  <c r="F158" s="1"/>
  <c r="H158" s="1"/>
  <c r="G335" i="169" l="1"/>
  <c r="Z346"/>
  <c r="Z347"/>
  <c r="Z344"/>
  <c r="Z345"/>
  <c r="Z343"/>
  <c r="Z341"/>
  <c r="Z340"/>
  <c r="Z339"/>
  <c r="Y347"/>
  <c r="F347" s="1"/>
  <c r="H347" s="1"/>
  <c r="Y346"/>
  <c r="F346" s="1"/>
  <c r="H346" s="1"/>
  <c r="Y345"/>
  <c r="F345" s="1"/>
  <c r="H345" s="1"/>
  <c r="Y344"/>
  <c r="Y343"/>
  <c r="Y341"/>
  <c r="F341" s="1"/>
  <c r="Y340"/>
  <c r="Y339"/>
  <c r="Y337"/>
  <c r="F337" s="1"/>
  <c r="H337" s="1"/>
  <c r="Y336"/>
  <c r="Y342" l="1"/>
  <c r="F342" s="1"/>
  <c r="Z338"/>
  <c r="Y338"/>
  <c r="F338" s="1"/>
  <c r="H338" s="1"/>
  <c r="Z342"/>
  <c r="Z524"/>
  <c r="Y524" s="1"/>
  <c r="F524" s="1"/>
  <c r="H524" s="1"/>
  <c r="G520"/>
  <c r="Z531"/>
  <c r="Y531" s="1"/>
  <c r="Z530"/>
  <c r="Y530" s="1"/>
  <c r="Z529"/>
  <c r="Y529" s="1"/>
  <c r="Z528"/>
  <c r="Z525"/>
  <c r="Y525" s="1"/>
  <c r="F525" s="1"/>
  <c r="Z523"/>
  <c r="Y523" s="1"/>
  <c r="Z522"/>
  <c r="Z537"/>
  <c r="Z536"/>
  <c r="Z535"/>
  <c r="Z534"/>
  <c r="Y534" s="1"/>
  <c r="Z533"/>
  <c r="Z526"/>
  <c r="Z532" l="1"/>
  <c r="Z521"/>
  <c r="Y521" s="1"/>
  <c r="F521" s="1"/>
  <c r="H521" s="1"/>
  <c r="Z527"/>
  <c r="Y527" s="1"/>
  <c r="F527" s="1"/>
  <c r="H527" s="1"/>
  <c r="Y528"/>
  <c r="Y522"/>
  <c r="Z324" l="1"/>
  <c r="Z319"/>
  <c r="Y319"/>
  <c r="Y327"/>
  <c r="Y326"/>
  <c r="Y325"/>
  <c r="Y324"/>
  <c r="Y323"/>
  <c r="Y322"/>
  <c r="Y321"/>
  <c r="F321" s="1"/>
  <c r="Y317"/>
  <c r="G423" l="1"/>
  <c r="Z434"/>
  <c r="Z426"/>
  <c r="Y426" s="1"/>
  <c r="F426" s="1"/>
  <c r="H426" s="1"/>
  <c r="Z435"/>
  <c r="Z432"/>
  <c r="Z430"/>
  <c r="Z428"/>
  <c r="Z424"/>
  <c r="Z433"/>
  <c r="Y433" s="1"/>
  <c r="F433" s="1"/>
  <c r="G298" i="172" l="1"/>
  <c r="Z308"/>
  <c r="Z307"/>
  <c r="Z306"/>
  <c r="Z305"/>
  <c r="Z301"/>
  <c r="Z300"/>
  <c r="F302"/>
  <c r="H302" s="1"/>
  <c r="Z303"/>
  <c r="Y303" s="1"/>
  <c r="F303" s="1"/>
  <c r="AA303" s="1"/>
  <c r="Z304" l="1"/>
  <c r="H303"/>
  <c r="Z221" i="174"/>
  <c r="Z220"/>
  <c r="Z212"/>
  <c r="Z216"/>
  <c r="Z217"/>
  <c r="Z215"/>
  <c r="Y215" s="1"/>
  <c r="Z214" l="1"/>
  <c r="Z115" i="178"/>
  <c r="Y115" s="1"/>
  <c r="Z116"/>
  <c r="Y116" s="1"/>
  <c r="F116" s="1"/>
  <c r="H116" s="1"/>
  <c r="Z112" l="1"/>
  <c r="Y112" s="1"/>
  <c r="F112" s="1"/>
  <c r="Z103"/>
  <c r="Y103" s="1"/>
  <c r="Z102"/>
  <c r="Y102" s="1"/>
  <c r="Z101" l="1"/>
  <c r="G20" i="169"/>
  <c r="Z36"/>
  <c r="Y36" s="1"/>
  <c r="F291" l="1"/>
  <c r="H291" s="1"/>
  <c r="Z300"/>
  <c r="Z299"/>
  <c r="Z298"/>
  <c r="Z296"/>
  <c r="Z295"/>
  <c r="Z294"/>
  <c r="Z293"/>
  <c r="Z290"/>
  <c r="Y300"/>
  <c r="F300" s="1"/>
  <c r="H300" s="1"/>
  <c r="Y299"/>
  <c r="F299" s="1"/>
  <c r="H299" s="1"/>
  <c r="Y298"/>
  <c r="F298" s="1"/>
  <c r="H298" s="1"/>
  <c r="Y297"/>
  <c r="F297" s="1"/>
  <c r="Y296"/>
  <c r="F296" s="1"/>
  <c r="H296" s="1"/>
  <c r="Y295"/>
  <c r="F295" s="1"/>
  <c r="Y294"/>
  <c r="Y293"/>
  <c r="Y290"/>
  <c r="F290" s="1"/>
  <c r="Y292" l="1"/>
  <c r="F292" s="1"/>
  <c r="H292" s="1"/>
  <c r="Z292"/>
  <c r="G201" i="170"/>
  <c r="Z208"/>
  <c r="F208"/>
  <c r="H208" s="1"/>
  <c r="Z209"/>
  <c r="F209"/>
  <c r="H209" s="1"/>
  <c r="F210"/>
  <c r="H210" s="1"/>
  <c r="F203"/>
  <c r="F204"/>
  <c r="H204" s="1"/>
  <c r="Z203"/>
  <c r="Z210"/>
  <c r="Z206"/>
  <c r="Z207"/>
  <c r="Z204"/>
  <c r="Z202"/>
  <c r="F490" i="169"/>
  <c r="H490" s="1"/>
  <c r="Z487"/>
  <c r="Y487" s="1"/>
  <c r="Z500"/>
  <c r="Y500" s="1"/>
  <c r="Z499"/>
  <c r="Y499" s="1"/>
  <c r="Z497"/>
  <c r="Y497" s="1"/>
  <c r="Z492"/>
  <c r="Y492" s="1"/>
  <c r="Z493"/>
  <c r="Y493" s="1"/>
  <c r="Z491"/>
  <c r="Y491" s="1"/>
  <c r="Z490" l="1"/>
  <c r="Z205" i="170"/>
  <c r="Y205" s="1"/>
  <c r="F205" s="1"/>
  <c r="H205" s="1"/>
  <c r="G999" i="180" l="1"/>
  <c r="G998" s="1"/>
  <c r="Z1001"/>
  <c r="Y1001" s="1"/>
  <c r="F1001" s="1"/>
  <c r="Z1002"/>
  <c r="Y1002" s="1"/>
  <c r="Z1000"/>
  <c r="Y1000" s="1"/>
  <c r="F1000" s="1"/>
  <c r="G990" l="1"/>
  <c r="G989" s="1"/>
  <c r="Z996"/>
  <c r="Y996" s="1"/>
  <c r="Z995"/>
  <c r="Z997"/>
  <c r="Y997" s="1"/>
  <c r="F997" s="1"/>
  <c r="Z993"/>
  <c r="Y993" s="1"/>
  <c r="Z992"/>
  <c r="F1002"/>
  <c r="F999" s="1"/>
  <c r="Z999"/>
  <c r="Z998" s="1"/>
  <c r="G974"/>
  <c r="G973" s="1"/>
  <c r="Z983"/>
  <c r="Y983" s="1"/>
  <c r="F983" s="1"/>
  <c r="Z981"/>
  <c r="Y981" s="1"/>
  <c r="F981" s="1"/>
  <c r="Z979"/>
  <c r="Y979" s="1"/>
  <c r="F979" s="1"/>
  <c r="Z978"/>
  <c r="Y978" s="1"/>
  <c r="F978" s="1"/>
  <c r="Z977"/>
  <c r="Z976"/>
  <c r="Z982"/>
  <c r="Y982" s="1"/>
  <c r="F982" s="1"/>
  <c r="Z980"/>
  <c r="Y980" s="1"/>
  <c r="F980" s="1"/>
  <c r="Z823"/>
  <c r="Y823" s="1"/>
  <c r="F823" s="1"/>
  <c r="Z827"/>
  <c r="Y827" s="1"/>
  <c r="F827" s="1"/>
  <c r="Z826"/>
  <c r="Y826" s="1"/>
  <c r="Z825"/>
  <c r="F1063"/>
  <c r="F1060"/>
  <c r="F1059"/>
  <c r="F1056"/>
  <c r="F1048"/>
  <c r="G1047"/>
  <c r="G1046" s="1"/>
  <c r="G1045" s="1"/>
  <c r="G1044" s="1"/>
  <c r="Z824" l="1"/>
  <c r="Y824" s="1"/>
  <c r="F824" s="1"/>
  <c r="AA999"/>
  <c r="Z994"/>
  <c r="Y994" s="1"/>
  <c r="F994" s="1"/>
  <c r="Z991"/>
  <c r="Y991" s="1"/>
  <c r="F991" s="1"/>
  <c r="Y995"/>
  <c r="Y992"/>
  <c r="H999"/>
  <c r="Z975"/>
  <c r="Y975" s="1"/>
  <c r="F975" s="1"/>
  <c r="F974" s="1"/>
  <c r="F998"/>
  <c r="Y977"/>
  <c r="Y976"/>
  <c r="Y825"/>
  <c r="F1047"/>
  <c r="Z990" l="1"/>
  <c r="F990"/>
  <c r="F989" s="1"/>
  <c r="H989" s="1"/>
  <c r="H998"/>
  <c r="AB998"/>
  <c r="AA998"/>
  <c r="F973"/>
  <c r="H974"/>
  <c r="F1046"/>
  <c r="F1045" s="1"/>
  <c r="H1047"/>
  <c r="H990" l="1"/>
  <c r="AA989"/>
  <c r="AA990"/>
  <c r="AB973"/>
  <c r="H973"/>
  <c r="G817" l="1"/>
  <c r="G815"/>
  <c r="G813"/>
  <c r="G811"/>
  <c r="G797"/>
  <c r="Z810"/>
  <c r="Y810" s="1"/>
  <c r="F810" s="1"/>
  <c r="Z809"/>
  <c r="Y809" s="1"/>
  <c r="F809" s="1"/>
  <c r="Z808"/>
  <c r="Y808" s="1"/>
  <c r="Z807"/>
  <c r="Y807" s="1"/>
  <c r="Z806"/>
  <c r="Z804"/>
  <c r="Y804" s="1"/>
  <c r="F804" s="1"/>
  <c r="Z803"/>
  <c r="Y803" s="1"/>
  <c r="F803" s="1"/>
  <c r="Z802"/>
  <c r="Y802" s="1"/>
  <c r="F802" s="1"/>
  <c r="Z799"/>
  <c r="Z818"/>
  <c r="Y818" s="1"/>
  <c r="F818" s="1"/>
  <c r="Z816"/>
  <c r="Y816" s="1"/>
  <c r="F816" s="1"/>
  <c r="F815" s="1"/>
  <c r="Z814"/>
  <c r="Y814" s="1"/>
  <c r="F814" s="1"/>
  <c r="F813" s="1"/>
  <c r="Z812"/>
  <c r="Y812" s="1"/>
  <c r="F812" s="1"/>
  <c r="F811" s="1"/>
  <c r="Z801"/>
  <c r="Y801" s="1"/>
  <c r="F801" s="1"/>
  <c r="Z800"/>
  <c r="Y800" s="1"/>
  <c r="G783"/>
  <c r="G782" s="1"/>
  <c r="Z795"/>
  <c r="Y795" s="1"/>
  <c r="Z794"/>
  <c r="Y794" s="1"/>
  <c r="Z792"/>
  <c r="Y792" s="1"/>
  <c r="F792" s="1"/>
  <c r="Z791"/>
  <c r="Y791" s="1"/>
  <c r="Z790"/>
  <c r="Z788"/>
  <c r="Y788" s="1"/>
  <c r="F788" s="1"/>
  <c r="Z786"/>
  <c r="Y786" s="1"/>
  <c r="Z785"/>
  <c r="Y785" s="1"/>
  <c r="G766"/>
  <c r="G765" s="1"/>
  <c r="Z781"/>
  <c r="Y781" s="1"/>
  <c r="F781" s="1"/>
  <c r="Z780"/>
  <c r="Z779"/>
  <c r="Y779" s="1"/>
  <c r="Z777"/>
  <c r="Y777" s="1"/>
  <c r="F777" s="1"/>
  <c r="Z776"/>
  <c r="Y776" s="1"/>
  <c r="F776" s="1"/>
  <c r="Z775"/>
  <c r="Y775" s="1"/>
  <c r="Z774"/>
  <c r="Y774" s="1"/>
  <c r="Z772"/>
  <c r="Y772" s="1"/>
  <c r="F772" s="1"/>
  <c r="Z771"/>
  <c r="Y771" s="1"/>
  <c r="F771" s="1"/>
  <c r="Z769"/>
  <c r="Y769" s="1"/>
  <c r="Z768"/>
  <c r="Y768" s="1"/>
  <c r="Y780"/>
  <c r="Z805" l="1"/>
  <c r="Y805" s="1"/>
  <c r="F805" s="1"/>
  <c r="G796"/>
  <c r="Z778"/>
  <c r="Y806"/>
  <c r="F817"/>
  <c r="H817" s="1"/>
  <c r="H815"/>
  <c r="Z767"/>
  <c r="Z798"/>
  <c r="Y798" s="1"/>
  <c r="F798" s="1"/>
  <c r="Z784"/>
  <c r="Z789"/>
  <c r="Z773"/>
  <c r="Y790"/>
  <c r="Y789" s="1"/>
  <c r="F789" s="1"/>
  <c r="Y793"/>
  <c r="F793" s="1"/>
  <c r="Y799"/>
  <c r="F808"/>
  <c r="Y767"/>
  <c r="F767" s="1"/>
  <c r="Y778"/>
  <c r="F778" s="1"/>
  <c r="Z793"/>
  <c r="H813"/>
  <c r="H811"/>
  <c r="Y784"/>
  <c r="F784" s="1"/>
  <c r="Y773"/>
  <c r="F773" s="1"/>
  <c r="F797" l="1"/>
  <c r="F796" s="1"/>
  <c r="H796" s="1"/>
  <c r="H797" l="1"/>
  <c r="G756"/>
  <c r="Y758"/>
  <c r="Y763"/>
  <c r="Y762"/>
  <c r="Y759" l="1"/>
  <c r="F759" s="1"/>
  <c r="F783"/>
  <c r="F766"/>
  <c r="F782" l="1"/>
  <c r="H782" s="1"/>
  <c r="H783"/>
  <c r="H766"/>
  <c r="F765"/>
  <c r="H765" s="1"/>
  <c r="F758" l="1"/>
  <c r="F757" s="1"/>
  <c r="F756" s="1"/>
  <c r="H756" l="1"/>
  <c r="H757"/>
  <c r="G739" l="1"/>
  <c r="Z746"/>
  <c r="Y746" s="1"/>
  <c r="Z745"/>
  <c r="Y745" s="1"/>
  <c r="Z743"/>
  <c r="Y743" s="1"/>
  <c r="Z742"/>
  <c r="Z754"/>
  <c r="Y754" s="1"/>
  <c r="F754" s="1"/>
  <c r="Z755"/>
  <c r="Y755" s="1"/>
  <c r="F755" s="1"/>
  <c r="Z740"/>
  <c r="Y740" s="1"/>
  <c r="F740" s="1"/>
  <c r="Z749"/>
  <c r="Y749" s="1"/>
  <c r="Z750"/>
  <c r="Y750" s="1"/>
  <c r="Z751"/>
  <c r="Y751" s="1"/>
  <c r="Z752"/>
  <c r="Y752" s="1"/>
  <c r="Z753"/>
  <c r="Y753" s="1"/>
  <c r="F753" s="1"/>
  <c r="Z748"/>
  <c r="Y748" s="1"/>
  <c r="G733"/>
  <c r="Z734"/>
  <c r="Y734" s="1"/>
  <c r="F734" s="1"/>
  <c r="Z738"/>
  <c r="Y738" s="1"/>
  <c r="F738" s="1"/>
  <c r="Z737"/>
  <c r="Y737" s="1"/>
  <c r="Z736"/>
  <c r="Y736" s="1"/>
  <c r="G729"/>
  <c r="Z730"/>
  <c r="Y730" s="1"/>
  <c r="F730" s="1"/>
  <c r="Z731"/>
  <c r="Y731" s="1"/>
  <c r="F731" s="1"/>
  <c r="Z732"/>
  <c r="Y732" s="1"/>
  <c r="F732" s="1"/>
  <c r="Z741" l="1"/>
  <c r="Y741" s="1"/>
  <c r="F741" s="1"/>
  <c r="Z744"/>
  <c r="Y744" s="1"/>
  <c r="F744" s="1"/>
  <c r="Z747"/>
  <c r="Y747" s="1"/>
  <c r="F747" s="1"/>
  <c r="Z735"/>
  <c r="Y735" s="1"/>
  <c r="F735" s="1"/>
  <c r="F733" s="1"/>
  <c r="Y742"/>
  <c r="F729"/>
  <c r="F739" l="1"/>
  <c r="Z733"/>
  <c r="G511"/>
  <c r="G510" s="1"/>
  <c r="Z520"/>
  <c r="Y520" s="1"/>
  <c r="Z519"/>
  <c r="Y519" s="1"/>
  <c r="Z518"/>
  <c r="Z515"/>
  <c r="Y515" s="1"/>
  <c r="Z514"/>
  <c r="Z512"/>
  <c r="Y512" s="1"/>
  <c r="F512" s="1"/>
  <c r="Z521"/>
  <c r="Y521" s="1"/>
  <c r="F521" s="1"/>
  <c r="Z516"/>
  <c r="Y516" s="1"/>
  <c r="F516" s="1"/>
  <c r="G638"/>
  <c r="F657"/>
  <c r="Z653"/>
  <c r="Y653" s="1"/>
  <c r="Z657"/>
  <c r="Z655"/>
  <c r="Y655" s="1"/>
  <c r="F655" s="1"/>
  <c r="Z652"/>
  <c r="Z651"/>
  <c r="Y651" s="1"/>
  <c r="Z648"/>
  <c r="Z647"/>
  <c r="Z646"/>
  <c r="Z643"/>
  <c r="Y643" s="1"/>
  <c r="F643" s="1"/>
  <c r="Z644"/>
  <c r="Y644" s="1"/>
  <c r="F644" s="1"/>
  <c r="Z642"/>
  <c r="Z641"/>
  <c r="Z517" l="1"/>
  <c r="Y517" s="1"/>
  <c r="F517" s="1"/>
  <c r="Z739"/>
  <c r="Z513"/>
  <c r="Y513" s="1"/>
  <c r="F513" s="1"/>
  <c r="Y518"/>
  <c r="Z640"/>
  <c r="Y640" s="1"/>
  <c r="Z645"/>
  <c r="Y645" s="1"/>
  <c r="F645" s="1"/>
  <c r="Z650"/>
  <c r="Y650" s="1"/>
  <c r="F650" s="1"/>
  <c r="Y514"/>
  <c r="F511" l="1"/>
  <c r="F510" s="1"/>
  <c r="H511" l="1"/>
  <c r="H510"/>
  <c r="AB510"/>
  <c r="F640"/>
  <c r="F639" s="1"/>
  <c r="F638" l="1"/>
  <c r="H638" l="1"/>
  <c r="H639"/>
  <c r="H301" i="182" l="1"/>
  <c r="H293"/>
  <c r="H261"/>
  <c r="H277"/>
  <c r="G934" i="180"/>
  <c r="G244"/>
  <c r="G243" s="1"/>
  <c r="G484" l="1"/>
  <c r="G264"/>
  <c r="G242" s="1"/>
  <c r="Z270" i="170"/>
  <c r="Z271"/>
  <c r="F283"/>
  <c r="F279"/>
  <c r="H279" s="1"/>
  <c r="Z282"/>
  <c r="Z283"/>
  <c r="F278"/>
  <c r="H278" s="1"/>
  <c r="Z278"/>
  <c r="F272"/>
  <c r="H272" s="1"/>
  <c r="F273"/>
  <c r="Z276"/>
  <c r="Z277"/>
  <c r="Z275"/>
  <c r="Z273"/>
  <c r="Z272"/>
  <c r="G268"/>
  <c r="Y308" i="171"/>
  <c r="F308" s="1"/>
  <c r="Y309"/>
  <c r="F309" s="1"/>
  <c r="Y307"/>
  <c r="F307" s="1"/>
  <c r="Y306"/>
  <c r="F306" s="1"/>
  <c r="Y305"/>
  <c r="Y304"/>
  <c r="F304" s="1"/>
  <c r="H304" s="1"/>
  <c r="Y303"/>
  <c r="Y302"/>
  <c r="Y301"/>
  <c r="Y300" l="1"/>
  <c r="Z269" i="170"/>
  <c r="Y269" s="1"/>
  <c r="F269" s="1"/>
  <c r="H269" s="1"/>
  <c r="Z274"/>
  <c r="Y274" s="1"/>
  <c r="F274" s="1"/>
  <c r="H274" s="1"/>
  <c r="G245"/>
  <c r="Z249"/>
  <c r="Z248" l="1"/>
  <c r="Z247"/>
  <c r="G164" l="1"/>
  <c r="Z170"/>
  <c r="G153"/>
  <c r="Z160"/>
  <c r="Y160" s="1"/>
  <c r="F160" s="1"/>
  <c r="H160" s="1"/>
  <c r="Z154"/>
  <c r="Y154" s="1"/>
  <c r="F155"/>
  <c r="H155" s="1"/>
  <c r="Z162"/>
  <c r="Z161"/>
  <c r="Y161" s="1"/>
  <c r="F161" s="1"/>
  <c r="H161" s="1"/>
  <c r="Z159"/>
  <c r="Z158"/>
  <c r="Z157"/>
  <c r="Z166"/>
  <c r="Z169"/>
  <c r="Z168"/>
  <c r="Z179"/>
  <c r="Z177"/>
  <c r="Z176"/>
  <c r="Y176" s="1"/>
  <c r="F176" s="1"/>
  <c r="H176" s="1"/>
  <c r="Z174"/>
  <c r="Y174" s="1"/>
  <c r="F174" s="1"/>
  <c r="Y177"/>
  <c r="F177" s="1"/>
  <c r="H177" s="1"/>
  <c r="H174" l="1"/>
  <c r="Z156"/>
  <c r="G169" i="175"/>
  <c r="Z177"/>
  <c r="Z176"/>
  <c r="Y177"/>
  <c r="Y176"/>
  <c r="Z175" l="1"/>
  <c r="Y175" s="1"/>
  <c r="F175" s="1"/>
  <c r="H175" s="1"/>
  <c r="F194"/>
  <c r="Y183"/>
  <c r="Y182"/>
  <c r="Y181"/>
  <c r="Y179"/>
  <c r="F179" s="1"/>
  <c r="H179" s="1"/>
  <c r="Y195"/>
  <c r="F195" s="1"/>
  <c r="H195" s="1"/>
  <c r="Y193"/>
  <c r="F193" s="1"/>
  <c r="H193" s="1"/>
  <c r="Y192"/>
  <c r="F192" s="1"/>
  <c r="H192" s="1"/>
  <c r="Y191"/>
  <c r="Y190"/>
  <c r="Y189"/>
  <c r="Y188"/>
  <c r="Y187"/>
  <c r="Y186"/>
  <c r="Y185"/>
  <c r="Y178"/>
  <c r="F178" s="1"/>
  <c r="Y174"/>
  <c r="F174" s="1"/>
  <c r="Y173"/>
  <c r="Y172"/>
  <c r="Y170"/>
  <c r="Y180" l="1"/>
  <c r="F180" s="1"/>
  <c r="H180" s="1"/>
  <c r="Y171"/>
  <c r="Y184"/>
  <c r="F184" s="1"/>
  <c r="H184" s="1"/>
  <c r="AA114" i="170" l="1"/>
  <c r="G300"/>
  <c r="Z304"/>
  <c r="Y304" s="1"/>
  <c r="F304" s="1"/>
  <c r="Z22" i="169" l="1"/>
  <c r="Z26"/>
  <c r="Y26" s="1"/>
  <c r="Z38"/>
  <c r="Y38" s="1"/>
  <c r="Z37"/>
  <c r="Y37" s="1"/>
  <c r="Z35"/>
  <c r="Z32"/>
  <c r="Y32" s="1"/>
  <c r="Z31"/>
  <c r="Z50"/>
  <c r="Z49"/>
  <c r="Y49" s="1"/>
  <c r="Y48"/>
  <c r="Y47"/>
  <c r="Z45"/>
  <c r="Y45" s="1"/>
  <c r="Z44"/>
  <c r="Y44" s="1"/>
  <c r="Z43"/>
  <c r="Y43" s="1"/>
  <c r="Z42"/>
  <c r="Y42" s="1"/>
  <c r="Z41"/>
  <c r="Y41" s="1"/>
  <c r="Z40"/>
  <c r="Z29"/>
  <c r="Y29" s="1"/>
  <c r="Z28"/>
  <c r="Z25"/>
  <c r="Y25" s="1"/>
  <c r="Z24"/>
  <c r="Z23"/>
  <c r="Y23" s="1"/>
  <c r="Y35" l="1"/>
  <c r="Y34" s="1"/>
  <c r="F34" s="1"/>
  <c r="H34" s="1"/>
  <c r="Z34"/>
  <c r="Z33" s="1"/>
  <c r="Z27"/>
  <c r="Y27" s="1"/>
  <c r="Y28"/>
  <c r="Z21"/>
  <c r="Y22"/>
  <c r="Z39"/>
  <c r="Y39" s="1"/>
  <c r="Y40"/>
  <c r="Z30"/>
  <c r="Y30" s="1"/>
  <c r="Y31"/>
  <c r="Z271" i="178"/>
  <c r="Y271" s="1"/>
  <c r="F271" s="1"/>
  <c r="H271" s="1"/>
  <c r="Z272"/>
  <c r="Y272" s="1"/>
  <c r="F272" s="1"/>
  <c r="H272" s="1"/>
  <c r="Z275" l="1"/>
  <c r="Y275" s="1"/>
  <c r="Z274"/>
  <c r="Z273" l="1"/>
  <c r="Y273" s="1"/>
  <c r="Y274"/>
  <c r="Z297"/>
  <c r="Y297" s="1"/>
  <c r="Z296"/>
  <c r="Z294"/>
  <c r="Y294" s="1"/>
  <c r="Z293"/>
  <c r="Z291"/>
  <c r="Y291" s="1"/>
  <c r="F291" s="1"/>
  <c r="Z290"/>
  <c r="Z289"/>
  <c r="Y289" s="1"/>
  <c r="Z288"/>
  <c r="Y288" s="1"/>
  <c r="Z287"/>
  <c r="Y287" s="1"/>
  <c r="Z286"/>
  <c r="Y286" s="1"/>
  <c r="Z285"/>
  <c r="Y285" s="1"/>
  <c r="Z284"/>
  <c r="Y284" s="1"/>
  <c r="Z283"/>
  <c r="Y283" s="1"/>
  <c r="Z282"/>
  <c r="Y282" s="1"/>
  <c r="Z281"/>
  <c r="Y281" s="1"/>
  <c r="Z280"/>
  <c r="Y280" s="1"/>
  <c r="Z279"/>
  <c r="Y279" s="1"/>
  <c r="Z278"/>
  <c r="Y278" s="1"/>
  <c r="Z277"/>
  <c r="Y277" s="1"/>
  <c r="Z270"/>
  <c r="Y270" s="1"/>
  <c r="F270" s="1"/>
  <c r="Z269"/>
  <c r="Y269" s="1"/>
  <c r="F269" s="1"/>
  <c r="G268"/>
  <c r="Z292" l="1"/>
  <c r="Y292" s="1"/>
  <c r="F292" s="1"/>
  <c r="Z295"/>
  <c r="Y295" s="1"/>
  <c r="F295" s="1"/>
  <c r="Z276"/>
  <c r="Y276" s="1"/>
  <c r="F276" s="1"/>
  <c r="H276" s="1"/>
  <c r="Y290"/>
  <c r="F290" s="1"/>
  <c r="H290" s="1"/>
  <c r="Y293"/>
  <c r="Y296"/>
  <c r="F273"/>
  <c r="H273" s="1"/>
  <c r="F268" l="1"/>
  <c r="H268" s="1"/>
  <c r="G346" i="172" l="1"/>
  <c r="F351"/>
  <c r="H351" s="1"/>
  <c r="Z350"/>
  <c r="Y350" s="1"/>
  <c r="F350" s="1"/>
  <c r="H350" s="1"/>
  <c r="Z354"/>
  <c r="Y354" s="1"/>
  <c r="F354" s="1"/>
  <c r="H354" s="1"/>
  <c r="Z353"/>
  <c r="Y353" s="1"/>
  <c r="F353" s="1"/>
  <c r="Z352"/>
  <c r="Y352" s="1"/>
  <c r="F352" s="1"/>
  <c r="H352" s="1"/>
  <c r="Z349"/>
  <c r="Z348"/>
  <c r="Y349"/>
  <c r="Y348"/>
  <c r="Z347" l="1"/>
  <c r="Y347" s="1"/>
  <c r="AA146"/>
  <c r="AA147"/>
  <c r="AA148"/>
  <c r="AA149"/>
  <c r="AA151"/>
  <c r="AA152"/>
  <c r="AA153"/>
  <c r="AA154"/>
  <c r="AA157"/>
  <c r="AA158"/>
  <c r="AA125"/>
  <c r="AA126"/>
  <c r="AA128"/>
  <c r="AA129"/>
  <c r="AA133"/>
  <c r="AA134"/>
  <c r="AA135"/>
  <c r="AA136"/>
  <c r="AA138"/>
  <c r="AA139"/>
  <c r="AA140"/>
  <c r="AA141"/>
  <c r="AA142"/>
  <c r="AA143"/>
  <c r="AA144"/>
  <c r="G123"/>
  <c r="Z131"/>
  <c r="Y131" s="1"/>
  <c r="Z136"/>
  <c r="Y136" s="1"/>
  <c r="Z135"/>
  <c r="Y135" s="1"/>
  <c r="Z134"/>
  <c r="Y134" s="1"/>
  <c r="Z133"/>
  <c r="Y133" s="1"/>
  <c r="Z154"/>
  <c r="Y154" s="1"/>
  <c r="Z153"/>
  <c r="Y153" s="1"/>
  <c r="Z152"/>
  <c r="Y152" s="1"/>
  <c r="Z151"/>
  <c r="Y151" s="1"/>
  <c r="Z147"/>
  <c r="Y147" s="1"/>
  <c r="Z148"/>
  <c r="Y148" s="1"/>
  <c r="Z149"/>
  <c r="Y149" s="1"/>
  <c r="Z146"/>
  <c r="Y146" s="1"/>
  <c r="Z150" l="1"/>
  <c r="Y150" s="1"/>
  <c r="F150" s="1"/>
  <c r="Z145"/>
  <c r="Y145" s="1"/>
  <c r="F145" s="1"/>
  <c r="Z132"/>
  <c r="Y132" s="1"/>
  <c r="F132" s="1"/>
  <c r="F131"/>
  <c r="Z140"/>
  <c r="Y140" s="1"/>
  <c r="Z139"/>
  <c r="Y139" s="1"/>
  <c r="Z138"/>
  <c r="Z144"/>
  <c r="Y144" s="1"/>
  <c r="Z143"/>
  <c r="Y143" s="1"/>
  <c r="Z142"/>
  <c r="Y142" s="1"/>
  <c r="Z141"/>
  <c r="Y141" s="1"/>
  <c r="Z159"/>
  <c r="Y159" s="1"/>
  <c r="F159" s="1"/>
  <c r="Z158"/>
  <c r="Y158" s="1"/>
  <c r="Z157"/>
  <c r="Y157" s="1"/>
  <c r="Z130"/>
  <c r="Y130" s="1"/>
  <c r="F130" s="1"/>
  <c r="Z129"/>
  <c r="Y129" s="1"/>
  <c r="Z128"/>
  <c r="Y128" s="1"/>
  <c r="Z126"/>
  <c r="Y126" s="1"/>
  <c r="Z125"/>
  <c r="Y125" s="1"/>
  <c r="Z137" l="1"/>
  <c r="Y137" s="1"/>
  <c r="F137" s="1"/>
  <c r="AA137" s="1"/>
  <c r="AA145"/>
  <c r="H145"/>
  <c r="AA132"/>
  <c r="H132"/>
  <c r="H131"/>
  <c r="AA131"/>
  <c r="H159"/>
  <c r="AA159"/>
  <c r="H150"/>
  <c r="AA150"/>
  <c r="AA130"/>
  <c r="H130"/>
  <c r="Y138"/>
  <c r="Z124"/>
  <c r="Y124" s="1"/>
  <c r="F124" s="1"/>
  <c r="AA124" s="1"/>
  <c r="Z156"/>
  <c r="Z127"/>
  <c r="Y127" s="1"/>
  <c r="F127" s="1"/>
  <c r="AA127" s="1"/>
  <c r="F123" l="1"/>
  <c r="H137"/>
  <c r="Y156"/>
  <c r="F156" s="1"/>
  <c r="AA156" l="1"/>
  <c r="H156"/>
  <c r="G316" i="169"/>
  <c r="Z321"/>
  <c r="Z320"/>
  <c r="Z325"/>
  <c r="F325"/>
  <c r="H325" s="1"/>
  <c r="Z318" l="1"/>
  <c r="Y318" s="1"/>
  <c r="F318" s="1"/>
  <c r="H318" s="1"/>
  <c r="Z327"/>
  <c r="Z326"/>
  <c r="F326"/>
  <c r="H326" s="1"/>
  <c r="G290" i="173" l="1"/>
  <c r="Z309"/>
  <c r="Y309" s="1"/>
  <c r="F309" s="1"/>
  <c r="Z308"/>
  <c r="Y308" s="1"/>
  <c r="F308" s="1"/>
  <c r="Z307"/>
  <c r="Y307" s="1"/>
  <c r="F307" s="1"/>
  <c r="H307" s="1"/>
  <c r="Z306"/>
  <c r="Y306"/>
  <c r="Z305"/>
  <c r="Y305"/>
  <c r="Z304"/>
  <c r="Z303"/>
  <c r="Y303" s="1"/>
  <c r="Z302"/>
  <c r="Z300"/>
  <c r="Y300" s="1"/>
  <c r="F300" s="1"/>
  <c r="H300" s="1"/>
  <c r="Z299"/>
  <c r="Y299" s="1"/>
  <c r="F299" s="1"/>
  <c r="H299" s="1"/>
  <c r="Z298"/>
  <c r="Y298" s="1"/>
  <c r="Z297"/>
  <c r="Z295"/>
  <c r="Y295" s="1"/>
  <c r="Z294"/>
  <c r="Y294" s="1"/>
  <c r="Z293"/>
  <c r="Y293" s="1"/>
  <c r="Z291"/>
  <c r="Y291" s="1"/>
  <c r="F291" s="1"/>
  <c r="Z296" l="1"/>
  <c r="Y296" s="1"/>
  <c r="F296" s="1"/>
  <c r="H296" s="1"/>
  <c r="Z301"/>
  <c r="Y301" s="1"/>
  <c r="F301" s="1"/>
  <c r="H301" s="1"/>
  <c r="Z292"/>
  <c r="Y292" s="1"/>
  <c r="F292" s="1"/>
  <c r="H292" s="1"/>
  <c r="Y297"/>
  <c r="Y304"/>
  <c r="F304" s="1"/>
  <c r="Y302"/>
  <c r="F290" l="1"/>
  <c r="G324" i="170"/>
  <c r="Z339"/>
  <c r="Y339" s="1"/>
  <c r="F339" s="1"/>
  <c r="H339" s="1"/>
  <c r="Z338"/>
  <c r="Y338" s="1"/>
  <c r="Z337"/>
  <c r="Y337" s="1"/>
  <c r="Z340"/>
  <c r="Z327"/>
  <c r="Y327" s="1"/>
  <c r="Z330"/>
  <c r="Z332"/>
  <c r="Z333"/>
  <c r="Y333" s="1"/>
  <c r="Z325"/>
  <c r="Y325" s="1"/>
  <c r="Z336" l="1"/>
  <c r="Y336" s="1"/>
  <c r="Y332"/>
  <c r="Z82" i="178"/>
  <c r="Y82" s="1"/>
  <c r="Z81"/>
  <c r="Y81" s="1"/>
  <c r="Z80"/>
  <c r="Y80"/>
  <c r="Z78"/>
  <c r="Y78" s="1"/>
  <c r="Z77"/>
  <c r="Z75"/>
  <c r="Y75" s="1"/>
  <c r="Z74"/>
  <c r="Y74" s="1"/>
  <c r="Z73"/>
  <c r="Y73" s="1"/>
  <c r="Z72"/>
  <c r="Y72" s="1"/>
  <c r="Z70"/>
  <c r="Y70" s="1"/>
  <c r="Z69"/>
  <c r="Y69" s="1"/>
  <c r="Z68"/>
  <c r="Y68" s="1"/>
  <c r="Z67"/>
  <c r="Y67" s="1"/>
  <c r="Z66"/>
  <c r="Y66" s="1"/>
  <c r="Z71" l="1"/>
  <c r="Y71" s="1"/>
  <c r="Z76"/>
  <c r="Y76" s="1"/>
  <c r="Z79"/>
  <c r="Y79" s="1"/>
  <c r="Y77"/>
  <c r="Z114" l="1"/>
  <c r="Z111"/>
  <c r="Y111" s="1"/>
  <c r="Z110"/>
  <c r="Y110" s="1"/>
  <c r="Y114" l="1"/>
  <c r="Z113"/>
  <c r="Y113" s="1"/>
  <c r="F113" s="1"/>
  <c r="H113" s="1"/>
  <c r="Z109"/>
  <c r="Y109" l="1"/>
  <c r="Z108"/>
  <c r="G94" i="170"/>
  <c r="G93" s="1"/>
  <c r="AA109"/>
  <c r="Z109"/>
  <c r="Y109" s="1"/>
  <c r="AA108"/>
  <c r="Z108"/>
  <c r="Y108" s="1"/>
  <c r="AA107"/>
  <c r="Z107"/>
  <c r="Y107" s="1"/>
  <c r="AA106"/>
  <c r="Z106"/>
  <c r="Y106" s="1"/>
  <c r="AA105"/>
  <c r="Z105"/>
  <c r="AA104"/>
  <c r="Z104"/>
  <c r="Y104" s="1"/>
  <c r="Z101"/>
  <c r="Y101" s="1"/>
  <c r="Z114"/>
  <c r="Y114" s="1"/>
  <c r="Z113"/>
  <c r="Y113" s="1"/>
  <c r="AA112"/>
  <c r="Z112"/>
  <c r="Y112" s="1"/>
  <c r="AA145"/>
  <c r="Z145"/>
  <c r="Y145" s="1"/>
  <c r="AA144"/>
  <c r="Z144"/>
  <c r="Y144" s="1"/>
  <c r="AA143"/>
  <c r="Z143"/>
  <c r="Y143" s="1"/>
  <c r="AA142"/>
  <c r="Z142"/>
  <c r="Y142" s="1"/>
  <c r="AA141"/>
  <c r="Z141"/>
  <c r="Y141" s="1"/>
  <c r="AA140"/>
  <c r="Z140"/>
  <c r="Y140" s="1"/>
  <c r="AA139"/>
  <c r="Z139"/>
  <c r="Y139" s="1"/>
  <c r="AA138"/>
  <c r="Z138"/>
  <c r="Y138" s="1"/>
  <c r="AA137"/>
  <c r="Z137"/>
  <c r="AA136"/>
  <c r="Z136"/>
  <c r="Y136" s="1"/>
  <c r="Z103" l="1"/>
  <c r="Z135"/>
  <c r="Y135" s="1"/>
  <c r="Y105"/>
  <c r="Y103" s="1"/>
  <c r="Z111"/>
  <c r="Y111" s="1"/>
  <c r="Y137"/>
  <c r="Z155" i="173" l="1"/>
  <c r="Y155" s="1"/>
  <c r="Z151"/>
  <c r="Y151" s="1"/>
  <c r="Z180"/>
  <c r="Y180" s="1"/>
  <c r="F180" s="1"/>
  <c r="Z179"/>
  <c r="Y179" s="1"/>
  <c r="Z178"/>
  <c r="Y178" s="1"/>
  <c r="Z176"/>
  <c r="Y176" s="1"/>
  <c r="F176" s="1"/>
  <c r="Z175"/>
  <c r="Y175" s="1"/>
  <c r="Z174"/>
  <c r="Z172"/>
  <c r="Y172" s="1"/>
  <c r="Z171"/>
  <c r="Y171" s="1"/>
  <c r="Z170"/>
  <c r="Y170" s="1"/>
  <c r="Z169"/>
  <c r="Y169" s="1"/>
  <c r="Z168"/>
  <c r="Y168" s="1"/>
  <c r="Z167"/>
  <c r="Z165"/>
  <c r="Y165" s="1"/>
  <c r="Z164"/>
  <c r="Y164" s="1"/>
  <c r="Z163"/>
  <c r="Y163" s="1"/>
  <c r="Z162"/>
  <c r="Y162" s="1"/>
  <c r="Z160"/>
  <c r="Y160" s="1"/>
  <c r="Y159"/>
  <c r="Z158"/>
  <c r="Y158" s="1"/>
  <c r="Z157"/>
  <c r="Z154"/>
  <c r="Y154" s="1"/>
  <c r="Z153"/>
  <c r="Z173" l="1"/>
  <c r="Y173" s="1"/>
  <c r="F173" s="1"/>
  <c r="Z177"/>
  <c r="Y177" s="1"/>
  <c r="F177" s="1"/>
  <c r="H177" s="1"/>
  <c r="Y161"/>
  <c r="F161" s="1"/>
  <c r="H161" s="1"/>
  <c r="Z161"/>
  <c r="Y174"/>
  <c r="Z152"/>
  <c r="Y152" s="1"/>
  <c r="Z156"/>
  <c r="Z166"/>
  <c r="Y166" s="1"/>
  <c r="F166" s="1"/>
  <c r="H166" s="1"/>
  <c r="Y153"/>
  <c r="Y157"/>
  <c r="Y156" s="1"/>
  <c r="F156" s="1"/>
  <c r="H156" s="1"/>
  <c r="F155"/>
  <c r="Y167"/>
  <c r="G195" i="174" l="1"/>
  <c r="Z199"/>
  <c r="Y199" s="1"/>
  <c r="F199" s="1"/>
  <c r="Z200"/>
  <c r="Y200" s="1"/>
  <c r="F200" s="1"/>
  <c r="Z208"/>
  <c r="Y208" s="1"/>
  <c r="Z207"/>
  <c r="Y207" s="1"/>
  <c r="Z206"/>
  <c r="Z209"/>
  <c r="Y209" s="1"/>
  <c r="Z204"/>
  <c r="Y204" s="1"/>
  <c r="Z203"/>
  <c r="Y203" s="1"/>
  <c r="Z202"/>
  <c r="Y202" s="1"/>
  <c r="Z198"/>
  <c r="Y198" s="1"/>
  <c r="Z197"/>
  <c r="Z205" l="1"/>
  <c r="Y205" s="1"/>
  <c r="F205" s="1"/>
  <c r="Y206"/>
  <c r="Z196"/>
  <c r="Y196" s="1"/>
  <c r="Y197"/>
  <c r="Z201"/>
  <c r="Y201" s="1"/>
  <c r="F201" s="1"/>
  <c r="Z187" i="170" l="1"/>
  <c r="Y187" s="1"/>
  <c r="F187" s="1"/>
  <c r="Z186"/>
  <c r="Y186" s="1"/>
  <c r="F186" s="1"/>
  <c r="G185"/>
  <c r="F189" i="169"/>
  <c r="F188"/>
  <c r="F187"/>
  <c r="F186"/>
  <c r="F185"/>
  <c r="F184"/>
  <c r="G183"/>
  <c r="F152"/>
  <c r="F151"/>
  <c r="F150"/>
  <c r="F148"/>
  <c r="F147"/>
  <c r="G146"/>
  <c r="F145"/>
  <c r="F144"/>
  <c r="F143"/>
  <c r="F142"/>
  <c r="F141"/>
  <c r="F140"/>
  <c r="F139"/>
  <c r="G138"/>
  <c r="G194"/>
  <c r="F185" i="170" l="1"/>
  <c r="H185" s="1"/>
  <c r="F183" i="169"/>
  <c r="H183" s="1"/>
  <c r="F138"/>
  <c r="H138" s="1"/>
  <c r="Z138"/>
  <c r="F149" l="1"/>
  <c r="F146" s="1"/>
  <c r="H146" s="1"/>
  <c r="Z146"/>
  <c r="F222" l="1"/>
  <c r="H222" s="1"/>
  <c r="F223"/>
  <c r="H223" s="1"/>
  <c r="F224"/>
  <c r="H224" s="1"/>
  <c r="F225"/>
  <c r="H225" s="1"/>
  <c r="F226"/>
  <c r="H226" s="1"/>
  <c r="F221"/>
  <c r="H221" s="1"/>
  <c r="F220"/>
  <c r="H220" s="1"/>
  <c r="G219"/>
  <c r="G193" s="1"/>
  <c r="F181"/>
  <c r="H181" s="1"/>
  <c r="F180"/>
  <c r="H180" s="1"/>
  <c r="F179"/>
  <c r="H179" s="1"/>
  <c r="F178"/>
  <c r="H178" s="1"/>
  <c r="F177"/>
  <c r="H177" s="1"/>
  <c r="F176"/>
  <c r="H176" s="1"/>
  <c r="F175"/>
  <c r="H175" s="1"/>
  <c r="G174"/>
  <c r="F219" l="1"/>
  <c r="H219" s="1"/>
  <c r="Z174"/>
  <c r="F182"/>
  <c r="F174" l="1"/>
  <c r="H174" s="1"/>
  <c r="H182"/>
  <c r="F43" i="157" l="1"/>
  <c r="E43"/>
  <c r="F40"/>
  <c r="E40"/>
  <c r="F31"/>
  <c r="E31"/>
  <c r="F7"/>
  <c r="E7"/>
  <c r="G7" i="181"/>
  <c r="G6"/>
  <c r="H15"/>
  <c r="G15"/>
  <c r="I29"/>
  <c r="I30"/>
  <c r="I31"/>
  <c r="I32"/>
  <c r="I33"/>
  <c r="I47"/>
  <c r="I48"/>
  <c r="V16" i="157"/>
  <c r="G16"/>
  <c r="E16"/>
  <c r="G262" i="176" l="1"/>
  <c r="G261" s="1"/>
  <c r="D21" i="165"/>
  <c r="D22" i="164"/>
  <c r="G295" i="170"/>
  <c r="E50" i="120"/>
  <c r="G50"/>
  <c r="T50"/>
  <c r="G27" i="181"/>
  <c r="H28"/>
  <c r="H27" s="1"/>
  <c r="G28"/>
  <c r="AC33"/>
  <c r="AC32"/>
  <c r="AC31"/>
  <c r="AC30"/>
  <c r="J30"/>
  <c r="AC29"/>
  <c r="J29"/>
  <c r="H46"/>
  <c r="G46"/>
  <c r="AC48"/>
  <c r="H45"/>
  <c r="AC47"/>
  <c r="G13" i="179"/>
  <c r="H28"/>
  <c r="H54"/>
  <c r="G54"/>
  <c r="H67"/>
  <c r="G67"/>
  <c r="G68"/>
  <c r="G79"/>
  <c r="G91"/>
  <c r="H98"/>
  <c r="G98"/>
  <c r="H99"/>
  <c r="G99"/>
  <c r="AC105"/>
  <c r="H104"/>
  <c r="G104"/>
  <c r="I104" s="1"/>
  <c r="H107"/>
  <c r="G106"/>
  <c r="G107"/>
  <c r="AC109"/>
  <c r="H108"/>
  <c r="G108"/>
  <c r="I108" s="1"/>
  <c r="H86"/>
  <c r="G86"/>
  <c r="H87"/>
  <c r="G87"/>
  <c r="I87"/>
  <c r="AC87"/>
  <c r="AC103"/>
  <c r="H102"/>
  <c r="G102"/>
  <c r="H90"/>
  <c r="G90"/>
  <c r="H91"/>
  <c r="AC97"/>
  <c r="H96"/>
  <c r="G96"/>
  <c r="I96" s="1"/>
  <c r="AC89"/>
  <c r="I88"/>
  <c r="H88"/>
  <c r="G88"/>
  <c r="AC88" s="1"/>
  <c r="AC78"/>
  <c r="J78"/>
  <c r="H77"/>
  <c r="G77"/>
  <c r="I77" s="1"/>
  <c r="AC76"/>
  <c r="J76"/>
  <c r="H75"/>
  <c r="G75"/>
  <c r="I75" s="1"/>
  <c r="AC74"/>
  <c r="J74"/>
  <c r="H73"/>
  <c r="G73"/>
  <c r="I73" s="1"/>
  <c r="AC52"/>
  <c r="H51"/>
  <c r="G51"/>
  <c r="AC72"/>
  <c r="J72"/>
  <c r="H71"/>
  <c r="G71"/>
  <c r="H84"/>
  <c r="G84"/>
  <c r="AC84" s="1"/>
  <c r="AC66"/>
  <c r="H65"/>
  <c r="G65"/>
  <c r="AC65" s="1"/>
  <c r="AC50"/>
  <c r="H49"/>
  <c r="G49"/>
  <c r="AC48"/>
  <c r="H47"/>
  <c r="G47"/>
  <c r="AC46"/>
  <c r="H45"/>
  <c r="G45"/>
  <c r="H19"/>
  <c r="G45" i="157"/>
  <c r="G47"/>
  <c r="G48"/>
  <c r="E41"/>
  <c r="G41" s="1"/>
  <c r="F6"/>
  <c r="G38"/>
  <c r="G34"/>
  <c r="G35"/>
  <c r="G36"/>
  <c r="G37"/>
  <c r="G33"/>
  <c r="G28"/>
  <c r="G29"/>
  <c r="G24"/>
  <c r="G19"/>
  <c r="G17"/>
  <c r="G18"/>
  <c r="G141" i="176"/>
  <c r="G157"/>
  <c r="G167"/>
  <c r="G175"/>
  <c r="G309" i="175"/>
  <c r="G292"/>
  <c r="G281"/>
  <c r="G268"/>
  <c r="G250"/>
  <c r="G243"/>
  <c r="G217"/>
  <c r="G91" i="173"/>
  <c r="G110"/>
  <c r="G120"/>
  <c r="G130"/>
  <c r="G181"/>
  <c r="G242"/>
  <c r="G256"/>
  <c r="G417"/>
  <c r="Z439"/>
  <c r="Y439" s="1"/>
  <c r="Z438"/>
  <c r="Y438" s="1"/>
  <c r="Z437"/>
  <c r="Y437" s="1"/>
  <c r="Z436"/>
  <c r="Y436" s="1"/>
  <c r="Z435"/>
  <c r="Y435" s="1"/>
  <c r="Z434"/>
  <c r="Z432"/>
  <c r="Y432" s="1"/>
  <c r="Z431"/>
  <c r="Y431" s="1"/>
  <c r="Z430"/>
  <c r="Y430" s="1"/>
  <c r="Z429"/>
  <c r="Y429" s="1"/>
  <c r="Z428"/>
  <c r="G90" l="1"/>
  <c r="G129"/>
  <c r="AC46" i="181"/>
  <c r="I46"/>
  <c r="AC28"/>
  <c r="I28"/>
  <c r="G45"/>
  <c r="AC104" i="179"/>
  <c r="AC108"/>
  <c r="I102"/>
  <c r="AC102"/>
  <c r="AC96"/>
  <c r="I71"/>
  <c r="I51"/>
  <c r="AC77"/>
  <c r="AC73"/>
  <c r="AC75"/>
  <c r="AC51"/>
  <c r="AC71"/>
  <c r="I47"/>
  <c r="I49"/>
  <c r="I65"/>
  <c r="I84"/>
  <c r="AC49"/>
  <c r="AC47"/>
  <c r="I45"/>
  <c r="AC45"/>
  <c r="Z427" i="173"/>
  <c r="Y427" s="1"/>
  <c r="Z433"/>
  <c r="Y433" s="1"/>
  <c r="Y428"/>
  <c r="Y434"/>
  <c r="AC45" i="181" l="1"/>
  <c r="I45"/>
  <c r="G355" i="172"/>
  <c r="G221"/>
  <c r="G214"/>
  <c r="G187"/>
  <c r="G169"/>
  <c r="G331" i="171"/>
  <c r="G330" s="1"/>
  <c r="G320"/>
  <c r="G293"/>
  <c r="G284"/>
  <c r="G266"/>
  <c r="G254"/>
  <c r="G249"/>
  <c r="G139"/>
  <c r="G118"/>
  <c r="G188" i="170"/>
  <c r="G180"/>
  <c r="G118" i="169"/>
  <c r="G699"/>
  <c r="G698" s="1"/>
  <c r="G692"/>
  <c r="G695"/>
  <c r="G661"/>
  <c r="G639"/>
  <c r="G618"/>
  <c r="G328"/>
  <c r="G310"/>
  <c r="G289"/>
  <c r="G254"/>
  <c r="G253" s="1"/>
  <c r="G247"/>
  <c r="G190"/>
  <c r="G153" s="1"/>
  <c r="G65"/>
  <c r="G51"/>
  <c r="G161" i="125"/>
  <c r="G110"/>
  <c r="G138"/>
  <c r="G100"/>
  <c r="G67" s="1"/>
  <c r="G49"/>
  <c r="G48" s="1"/>
  <c r="G43"/>
  <c r="G36"/>
  <c r="G22" s="1"/>
  <c r="G83" i="178"/>
  <c r="G8"/>
  <c r="Z203" i="169"/>
  <c r="Y203" s="1"/>
  <c r="F203" s="1"/>
  <c r="Z202"/>
  <c r="Y202" s="1"/>
  <c r="Z201"/>
  <c r="Y201" s="1"/>
  <c r="Z204"/>
  <c r="Y204" s="1"/>
  <c r="F204" s="1"/>
  <c r="H204" s="1"/>
  <c r="Z216"/>
  <c r="Y216" s="1"/>
  <c r="F216" s="1"/>
  <c r="H216" s="1"/>
  <c r="Z218"/>
  <c r="Y218" s="1"/>
  <c r="F218" s="1"/>
  <c r="H218" s="1"/>
  <c r="Z217"/>
  <c r="Y217" s="1"/>
  <c r="F217" s="1"/>
  <c r="H217" s="1"/>
  <c r="Z196"/>
  <c r="Y196" s="1"/>
  <c r="F196" s="1"/>
  <c r="Z199"/>
  <c r="Y199" s="1"/>
  <c r="Z198"/>
  <c r="Y198" s="1"/>
  <c r="Z210"/>
  <c r="Y210" s="1"/>
  <c r="Z209"/>
  <c r="Z207"/>
  <c r="Y207" s="1"/>
  <c r="Z206"/>
  <c r="Y206" s="1"/>
  <c r="Y195"/>
  <c r="F195" s="1"/>
  <c r="H195" s="1"/>
  <c r="Z215"/>
  <c r="Y215" s="1"/>
  <c r="Z214"/>
  <c r="Y214" s="1"/>
  <c r="Z213"/>
  <c r="Y213" s="1"/>
  <c r="Z212"/>
  <c r="Z173"/>
  <c r="Y173" s="1"/>
  <c r="F173" s="1"/>
  <c r="Z172"/>
  <c r="Y172" s="1"/>
  <c r="F172" s="1"/>
  <c r="H172" s="1"/>
  <c r="Z171"/>
  <c r="Y171" s="1"/>
  <c r="F171" s="1"/>
  <c r="Z170"/>
  <c r="Y170" s="1"/>
  <c r="Z169"/>
  <c r="Y169" s="1"/>
  <c r="Z168"/>
  <c r="Y168" s="1"/>
  <c r="Z166"/>
  <c r="Y166" s="1"/>
  <c r="Z165"/>
  <c r="Y165" s="1"/>
  <c r="Z164"/>
  <c r="Y164" s="1"/>
  <c r="Z162"/>
  <c r="Y162" s="1"/>
  <c r="Z161"/>
  <c r="Y161" s="1"/>
  <c r="Z160"/>
  <c r="Y160" s="1"/>
  <c r="Z158"/>
  <c r="Y158" s="1"/>
  <c r="F158" s="1"/>
  <c r="H158" s="1"/>
  <c r="Z157"/>
  <c r="Y157" s="1"/>
  <c r="F157" s="1"/>
  <c r="H157" s="1"/>
  <c r="Z137"/>
  <c r="Y137" s="1"/>
  <c r="F137" s="1"/>
  <c r="H137" s="1"/>
  <c r="Z136"/>
  <c r="Y136" s="1"/>
  <c r="F136" s="1"/>
  <c r="H136" s="1"/>
  <c r="Z135"/>
  <c r="Y135" s="1"/>
  <c r="F135" s="1"/>
  <c r="H135" s="1"/>
  <c r="Z133"/>
  <c r="Y133" s="1"/>
  <c r="Z132"/>
  <c r="Y132" s="1"/>
  <c r="Z131"/>
  <c r="Y131" s="1"/>
  <c r="Z130"/>
  <c r="G372" i="172"/>
  <c r="Z399"/>
  <c r="Y399" s="1"/>
  <c r="F399" s="1"/>
  <c r="H399" s="1"/>
  <c r="Z398"/>
  <c r="Y398" s="1"/>
  <c r="F398" s="1"/>
  <c r="H398" s="1"/>
  <c r="Z397"/>
  <c r="Y397" s="1"/>
  <c r="F397" s="1"/>
  <c r="H397" s="1"/>
  <c r="Z396"/>
  <c r="Y396" s="1"/>
  <c r="F396" s="1"/>
  <c r="H396" s="1"/>
  <c r="Z395"/>
  <c r="Y395" s="1"/>
  <c r="Z394"/>
  <c r="Y394" s="1"/>
  <c r="Z393"/>
  <c r="Z391"/>
  <c r="Y391" s="1"/>
  <c r="Z390"/>
  <c r="Y390" s="1"/>
  <c r="Z389"/>
  <c r="Z387"/>
  <c r="Z386"/>
  <c r="Z384"/>
  <c r="Y384" s="1"/>
  <c r="Z383"/>
  <c r="Y383" s="1"/>
  <c r="Z381"/>
  <c r="Y381" s="1"/>
  <c r="F381" s="1"/>
  <c r="H381" s="1"/>
  <c r="Z380"/>
  <c r="Y380" s="1"/>
  <c r="Z379"/>
  <c r="Y379" s="1"/>
  <c r="Z378"/>
  <c r="Z376"/>
  <c r="Y376" s="1"/>
  <c r="F376" s="1"/>
  <c r="H376" s="1"/>
  <c r="Z375"/>
  <c r="Y375" s="1"/>
  <c r="Z374"/>
  <c r="Y374" s="1"/>
  <c r="Y389"/>
  <c r="Y387"/>
  <c r="G277" i="169"/>
  <c r="Y282"/>
  <c r="F282" s="1"/>
  <c r="H282" s="1"/>
  <c r="Y281"/>
  <c r="F281" s="1"/>
  <c r="H281" s="1"/>
  <c r="Z278"/>
  <c r="Y278" s="1"/>
  <c r="F278" s="1"/>
  <c r="Z288"/>
  <c r="Y288" s="1"/>
  <c r="F288" s="1"/>
  <c r="H288" s="1"/>
  <c r="Z287"/>
  <c r="Y287" s="1"/>
  <c r="F287" s="1"/>
  <c r="H287" s="1"/>
  <c r="Z286"/>
  <c r="Y286" s="1"/>
  <c r="Z285"/>
  <c r="Y285" s="1"/>
  <c r="Z284"/>
  <c r="Y284" s="1"/>
  <c r="Z280"/>
  <c r="Y280" s="1"/>
  <c r="F280" s="1"/>
  <c r="H280" s="1"/>
  <c r="Z279"/>
  <c r="Y279" s="1"/>
  <c r="F279" s="1"/>
  <c r="H279" s="1"/>
  <c r="H173" l="1"/>
  <c r="G155" i="125"/>
  <c r="Z385" i="172"/>
  <c r="Y386"/>
  <c r="Y385" s="1"/>
  <c r="F385" s="1"/>
  <c r="H385" s="1"/>
  <c r="Y382"/>
  <c r="F382" s="1"/>
  <c r="H382" s="1"/>
  <c r="Z377"/>
  <c r="Z382"/>
  <c r="Z388"/>
  <c r="Y378"/>
  <c r="Y377" s="1"/>
  <c r="F377" s="1"/>
  <c r="H377" s="1"/>
  <c r="Z373"/>
  <c r="G649" i="169"/>
  <c r="G691"/>
  <c r="Z211"/>
  <c r="Y211" s="1"/>
  <c r="F211" s="1"/>
  <c r="H211" s="1"/>
  <c r="Y393" i="172"/>
  <c r="Y392" s="1"/>
  <c r="F392" s="1"/>
  <c r="Z392"/>
  <c r="Y212" i="169"/>
  <c r="Z205"/>
  <c r="Y205" s="1"/>
  <c r="F205" s="1"/>
  <c r="H205" s="1"/>
  <c r="Z208"/>
  <c r="Y208" s="1"/>
  <c r="F208" s="1"/>
  <c r="H208" s="1"/>
  <c r="Z197"/>
  <c r="Y197" s="1"/>
  <c r="F197" s="1"/>
  <c r="Z200"/>
  <c r="Y200" s="1"/>
  <c r="F200" s="1"/>
  <c r="H200" s="1"/>
  <c r="Y209"/>
  <c r="Z159"/>
  <c r="Y159" s="1"/>
  <c r="F159" s="1"/>
  <c r="H159" s="1"/>
  <c r="Z163"/>
  <c r="Y163" s="1"/>
  <c r="F163" s="1"/>
  <c r="H163" s="1"/>
  <c r="Z167"/>
  <c r="Y167" s="1"/>
  <c r="F167" s="1"/>
  <c r="H167" s="1"/>
  <c r="Z129"/>
  <c r="Y129" s="1"/>
  <c r="F129" s="1"/>
  <c r="F119" s="1"/>
  <c r="Y130"/>
  <c r="Z283"/>
  <c r="Y283" s="1"/>
  <c r="F283" s="1"/>
  <c r="H283" s="1"/>
  <c r="Y388" i="172"/>
  <c r="F388" s="1"/>
  <c r="H388" s="1"/>
  <c r="Y373"/>
  <c r="F373" s="1"/>
  <c r="F154" i="169" l="1"/>
  <c r="H129"/>
  <c r="F118"/>
  <c r="H392" i="172"/>
  <c r="F372"/>
  <c r="H372" s="1"/>
  <c r="H373"/>
  <c r="H119" i="169" l="1"/>
  <c r="G122" i="172"/>
  <c r="H127" l="1"/>
  <c r="Z119" i="176" l="1"/>
  <c r="Y119" s="1"/>
  <c r="Z114"/>
  <c r="Y114" s="1"/>
  <c r="Z33" i="125"/>
  <c r="Y33" s="1"/>
  <c r="G10" i="120"/>
  <c r="G11"/>
  <c r="G22"/>
  <c r="G25"/>
  <c r="G27"/>
  <c r="Z375" i="180"/>
  <c r="Y375"/>
  <c r="Z377"/>
  <c r="Y377"/>
  <c r="G123"/>
  <c r="Z131" i="173"/>
  <c r="Y131" s="1"/>
  <c r="Z284" i="172"/>
  <c r="Y284" s="1"/>
  <c r="G82" i="179"/>
  <c r="G203" i="178" l="1"/>
  <c r="Z218"/>
  <c r="Z217"/>
  <c r="Y217" s="1"/>
  <c r="Z216"/>
  <c r="Y216" s="1"/>
  <c r="Z215"/>
  <c r="Y215" s="1"/>
  <c r="Z221"/>
  <c r="Z222"/>
  <c r="Z223"/>
  <c r="Z224"/>
  <c r="Z225"/>
  <c r="Y225" s="1"/>
  <c r="Z220"/>
  <c r="Z212"/>
  <c r="Z213"/>
  <c r="Y213" s="1"/>
  <c r="Z229"/>
  <c r="Y229" s="1"/>
  <c r="F229" s="1"/>
  <c r="Z230"/>
  <c r="Z228"/>
  <c r="Y228" s="1"/>
  <c r="Z227"/>
  <c r="Y227" s="1"/>
  <c r="Z207"/>
  <c r="Y207" s="1"/>
  <c r="Z206"/>
  <c r="Y206" s="1"/>
  <c r="Z204"/>
  <c r="Y204" s="1"/>
  <c r="F204" s="1"/>
  <c r="F146" i="180"/>
  <c r="Z146"/>
  <c r="Z145"/>
  <c r="Z144"/>
  <c r="Z143"/>
  <c r="Z141"/>
  <c r="Z139"/>
  <c r="Z137"/>
  <c r="Z136"/>
  <c r="Z134"/>
  <c r="Z133"/>
  <c r="Z131"/>
  <c r="Z130"/>
  <c r="Z129"/>
  <c r="Z128"/>
  <c r="Z127"/>
  <c r="Z125"/>
  <c r="Y125" s="1"/>
  <c r="F125" s="1"/>
  <c r="Z124"/>
  <c r="Y124" s="1"/>
  <c r="F124" s="1"/>
  <c r="Z219" i="178" l="1"/>
  <c r="Z205"/>
  <c r="Y205" s="1"/>
  <c r="F205" s="1"/>
  <c r="Z214"/>
  <c r="Y214" s="1"/>
  <c r="F214" s="1"/>
  <c r="Z132" i="180"/>
  <c r="Y132" s="1"/>
  <c r="F132" s="1"/>
  <c r="Z138"/>
  <c r="Y138" s="1"/>
  <c r="F138" s="1"/>
  <c r="Z126"/>
  <c r="Y126" s="1"/>
  <c r="F126" s="1"/>
  <c r="Z135"/>
  <c r="Y135" s="1"/>
  <c r="F135" s="1"/>
  <c r="Z142"/>
  <c r="Y142" s="1"/>
  <c r="F142" s="1"/>
  <c r="Y218" i="178"/>
  <c r="Z226"/>
  <c r="Y226" s="1"/>
  <c r="F226" s="1"/>
  <c r="Z648" i="169"/>
  <c r="Y648" s="1"/>
  <c r="F648" s="1"/>
  <c r="Z647"/>
  <c r="Y647" s="1"/>
  <c r="F647" s="1"/>
  <c r="Z646"/>
  <c r="Y646" s="1"/>
  <c r="F646" s="1"/>
  <c r="Z645"/>
  <c r="Y645" s="1"/>
  <c r="F645" s="1"/>
  <c r="Z644"/>
  <c r="Y644" s="1"/>
  <c r="F644" s="1"/>
  <c r="Z643"/>
  <c r="Y643" s="1"/>
  <c r="F643" s="1"/>
  <c r="Z641"/>
  <c r="Y641" s="1"/>
  <c r="F641" s="1"/>
  <c r="Z640"/>
  <c r="Y640" s="1"/>
  <c r="F640" s="1"/>
  <c r="Z638"/>
  <c r="Y638" s="1"/>
  <c r="F638" s="1"/>
  <c r="Z637"/>
  <c r="Y637" s="1"/>
  <c r="Z636"/>
  <c r="Y636" s="1"/>
  <c r="Z635"/>
  <c r="Z633"/>
  <c r="Y633" s="1"/>
  <c r="F633" s="1"/>
  <c r="Z632"/>
  <c r="Y632" s="1"/>
  <c r="Z631"/>
  <c r="Y631" s="1"/>
  <c r="Z630"/>
  <c r="Y630" s="1"/>
  <c r="Z629"/>
  <c r="Z627"/>
  <c r="Y627" s="1"/>
  <c r="Z626"/>
  <c r="Z624"/>
  <c r="Y624" s="1"/>
  <c r="F624" s="1"/>
  <c r="Z623"/>
  <c r="Y623" s="1"/>
  <c r="F623" s="1"/>
  <c r="Z619"/>
  <c r="Y619" s="1"/>
  <c r="F619" s="1"/>
  <c r="F639" l="1"/>
  <c r="Z625"/>
  <c r="Y625" s="1"/>
  <c r="F625" s="1"/>
  <c r="Y626"/>
  <c r="Z628"/>
  <c r="Z634"/>
  <c r="F123" i="180"/>
  <c r="Y629" i="169"/>
  <c r="Y628" s="1"/>
  <c r="F628" s="1"/>
  <c r="Y635"/>
  <c r="Y634" s="1"/>
  <c r="F634" s="1"/>
  <c r="F151" i="173" l="1"/>
  <c r="F152"/>
  <c r="F147" l="1"/>
  <c r="Z149"/>
  <c r="Y149" s="1"/>
  <c r="F149" s="1"/>
  <c r="Z148"/>
  <c r="Y148" s="1"/>
  <c r="F148" s="1"/>
  <c r="Z147"/>
  <c r="Z146"/>
  <c r="Y146" s="1"/>
  <c r="Z145"/>
  <c r="Z144"/>
  <c r="Z143"/>
  <c r="Y143" s="1"/>
  <c r="Z142"/>
  <c r="Y142" s="1"/>
  <c r="Z141"/>
  <c r="Y141" s="1"/>
  <c r="Z139"/>
  <c r="Z138"/>
  <c r="Y138" s="1"/>
  <c r="Z136"/>
  <c r="Y136" s="1"/>
  <c r="Z135"/>
  <c r="Z133"/>
  <c r="Y133" s="1"/>
  <c r="Z132"/>
  <c r="Y132" s="1"/>
  <c r="F131"/>
  <c r="Z137" l="1"/>
  <c r="Y137" s="1"/>
  <c r="F137" s="1"/>
  <c r="Z134"/>
  <c r="Y134" s="1"/>
  <c r="F134" s="1"/>
  <c r="Z140"/>
  <c r="Y140" s="1"/>
  <c r="F140" s="1"/>
  <c r="Y135"/>
  <c r="Z266" l="1"/>
  <c r="Y266" s="1"/>
  <c r="Z265"/>
  <c r="Y265" s="1"/>
  <c r="Z264"/>
  <c r="Y264" s="1"/>
  <c r="Z263"/>
  <c r="Z261"/>
  <c r="Y261" s="1"/>
  <c r="Z260"/>
  <c r="Y260" s="1"/>
  <c r="Z258"/>
  <c r="Y258" s="1"/>
  <c r="F258" s="1"/>
  <c r="Z257"/>
  <c r="Y257" s="1"/>
  <c r="F257" s="1"/>
  <c r="Z262" l="1"/>
  <c r="Y262" s="1"/>
  <c r="F262" s="1"/>
  <c r="Y263"/>
  <c r="Z259"/>
  <c r="Y259" s="1"/>
  <c r="F259" s="1"/>
  <c r="Z668" i="169"/>
  <c r="Y668" s="1"/>
  <c r="F668" s="1"/>
  <c r="Z667"/>
  <c r="Y667" s="1"/>
  <c r="Z666"/>
  <c r="Y666" s="1"/>
  <c r="Z663"/>
  <c r="Y663" s="1"/>
  <c r="Z662"/>
  <c r="Y662" s="1"/>
  <c r="Z660"/>
  <c r="Y660" s="1"/>
  <c r="F660" s="1"/>
  <c r="Z659"/>
  <c r="Y659" s="1"/>
  <c r="F659" s="1"/>
  <c r="Z658"/>
  <c r="Y658" s="1"/>
  <c r="F658" s="1"/>
  <c r="Z657"/>
  <c r="Y657" s="1"/>
  <c r="F657" s="1"/>
  <c r="Z656"/>
  <c r="Y656" s="1"/>
  <c r="Z655"/>
  <c r="Z652"/>
  <c r="Y652" s="1"/>
  <c r="F652" s="1"/>
  <c r="Z651"/>
  <c r="Y651" s="1"/>
  <c r="F651" s="1"/>
  <c r="Z654" l="1"/>
  <c r="Z665"/>
  <c r="Y665" s="1"/>
  <c r="Y655"/>
  <c r="Y654" s="1"/>
  <c r="F654" s="1"/>
  <c r="F650" s="1"/>
  <c r="H78" i="182" l="1"/>
  <c r="H77" s="1"/>
  <c r="H74"/>
  <c r="H56"/>
  <c r="H19"/>
  <c r="H9"/>
  <c r="G264" i="169"/>
  <c r="G263" s="1"/>
  <c r="G262" s="1"/>
  <c r="Z331"/>
  <c r="Y331" s="1"/>
  <c r="F331" s="1"/>
  <c r="Z330"/>
  <c r="Y330" s="1"/>
  <c r="F330" s="1"/>
  <c r="F324"/>
  <c r="H324" s="1"/>
  <c r="Z323"/>
  <c r="F323" s="1"/>
  <c r="Z317"/>
  <c r="F317" s="1"/>
  <c r="Z311"/>
  <c r="Y311" s="1"/>
  <c r="F311" s="1"/>
  <c r="Z312"/>
  <c r="Y312" s="1"/>
  <c r="F312" s="1"/>
  <c r="F303"/>
  <c r="F306"/>
  <c r="Z337"/>
  <c r="Z336"/>
  <c r="F336" s="1"/>
  <c r="Z335"/>
  <c r="Z334"/>
  <c r="Y334" s="1"/>
  <c r="F334" s="1"/>
  <c r="Z332"/>
  <c r="Y332" s="1"/>
  <c r="F332" s="1"/>
  <c r="Z329"/>
  <c r="Y329" s="1"/>
  <c r="F329" s="1"/>
  <c r="Z328"/>
  <c r="F327"/>
  <c r="Z322"/>
  <c r="F322" s="1"/>
  <c r="Z316"/>
  <c r="Z315"/>
  <c r="Y315" s="1"/>
  <c r="F315" s="1"/>
  <c r="Z314"/>
  <c r="Y314" s="1"/>
  <c r="F314" s="1"/>
  <c r="Z313"/>
  <c r="Y313" s="1"/>
  <c r="F313" s="1"/>
  <c r="Z310"/>
  <c r="Z308"/>
  <c r="Y308" s="1"/>
  <c r="F308" s="1"/>
  <c r="Z309"/>
  <c r="Y309" s="1"/>
  <c r="F309" s="1"/>
  <c r="Z307"/>
  <c r="Y307" s="1"/>
  <c r="F307" s="1"/>
  <c r="Z301"/>
  <c r="Z297"/>
  <c r="Z289"/>
  <c r="Z277"/>
  <c r="H274"/>
  <c r="H275"/>
  <c r="H276"/>
  <c r="H273"/>
  <c r="H268"/>
  <c r="H266"/>
  <c r="F301" l="1"/>
  <c r="H301" s="1"/>
  <c r="H8" i="182"/>
  <c r="F316" i="169"/>
  <c r="H316" s="1"/>
  <c r="H52" i="182"/>
  <c r="F310" i="169"/>
  <c r="H310" s="1"/>
  <c r="H265"/>
  <c r="H267"/>
  <c r="H270"/>
  <c r="H269"/>
  <c r="H271"/>
  <c r="H272"/>
  <c r="F328"/>
  <c r="H328" s="1"/>
  <c r="F335"/>
  <c r="H335" s="1"/>
  <c r="F289"/>
  <c r="H289" s="1"/>
  <c r="H7" i="182" l="1"/>
  <c r="F264" i="169"/>
  <c r="F277"/>
  <c r="H277" l="1"/>
  <c r="F263"/>
  <c r="F262" s="1"/>
  <c r="H264"/>
  <c r="C25" i="165"/>
  <c r="C22"/>
  <c r="I321" i="182"/>
  <c r="I319"/>
  <c r="H317"/>
  <c r="AA316"/>
  <c r="Z316" s="1"/>
  <c r="AA315"/>
  <c r="AA313"/>
  <c r="Z313" s="1"/>
  <c r="AA312"/>
  <c r="Z312" s="1"/>
  <c r="AA311"/>
  <c r="Z311" s="1"/>
  <c r="AA309"/>
  <c r="Z309" s="1"/>
  <c r="AA308"/>
  <c r="Z308" s="1"/>
  <c r="AA307"/>
  <c r="Z307" s="1"/>
  <c r="AA305"/>
  <c r="Z305" s="1"/>
  <c r="G305" s="1"/>
  <c r="AA304"/>
  <c r="Z304" s="1"/>
  <c r="AA303"/>
  <c r="AA300"/>
  <c r="Z300" s="1"/>
  <c r="G300" s="1"/>
  <c r="AA299"/>
  <c r="Z299" s="1"/>
  <c r="AA298"/>
  <c r="Z298" s="1"/>
  <c r="AA296"/>
  <c r="Z296" s="1"/>
  <c r="AA295"/>
  <c r="AA292"/>
  <c r="Z292" s="1"/>
  <c r="AA291"/>
  <c r="Z291" s="1"/>
  <c r="AA290"/>
  <c r="AA288"/>
  <c r="Z288" s="1"/>
  <c r="G288" s="1"/>
  <c r="AA287"/>
  <c r="Z287" s="1"/>
  <c r="G287" s="1"/>
  <c r="AA286"/>
  <c r="Z286" s="1"/>
  <c r="AA285"/>
  <c r="Z285" s="1"/>
  <c r="AA284"/>
  <c r="Z284" s="1"/>
  <c r="AA283"/>
  <c r="Z283" s="1"/>
  <c r="AA282"/>
  <c r="AA280"/>
  <c r="Z280" s="1"/>
  <c r="G280" s="1"/>
  <c r="AA279"/>
  <c r="Z279" s="1"/>
  <c r="G279" s="1"/>
  <c r="AA278"/>
  <c r="Z278" s="1"/>
  <c r="G278" s="1"/>
  <c r="AA276"/>
  <c r="Z276" s="1"/>
  <c r="G276" s="1"/>
  <c r="AA275"/>
  <c r="Z275" s="1"/>
  <c r="AA274"/>
  <c r="AA272"/>
  <c r="Z272" s="1"/>
  <c r="G272" s="1"/>
  <c r="AA271"/>
  <c r="Z271" s="1"/>
  <c r="AA270"/>
  <c r="Z270" s="1"/>
  <c r="AA268"/>
  <c r="Z268" s="1"/>
  <c r="G268" s="1"/>
  <c r="AA267"/>
  <c r="Z267" s="1"/>
  <c r="G267" s="1"/>
  <c r="AA266"/>
  <c r="Z266" s="1"/>
  <c r="G266" s="1"/>
  <c r="AA265"/>
  <c r="Z265" s="1"/>
  <c r="AA264"/>
  <c r="Z264" s="1"/>
  <c r="AA263"/>
  <c r="H260"/>
  <c r="H259" s="1"/>
  <c r="AA258"/>
  <c r="Z258" s="1"/>
  <c r="G258" s="1"/>
  <c r="AA257"/>
  <c r="Z257" s="1"/>
  <c r="AA256"/>
  <c r="Z256" s="1"/>
  <c r="AA255"/>
  <c r="AA253"/>
  <c r="Z253" s="1"/>
  <c r="G253" s="1"/>
  <c r="AA252"/>
  <c r="Z252" s="1"/>
  <c r="G252" s="1"/>
  <c r="AA251"/>
  <c r="Z251" s="1"/>
  <c r="AA250"/>
  <c r="Z250" s="1"/>
  <c r="AA249"/>
  <c r="Z249" s="1"/>
  <c r="AA248"/>
  <c r="Z248" s="1"/>
  <c r="AA246"/>
  <c r="Z246" s="1"/>
  <c r="AA245"/>
  <c r="AA244"/>
  <c r="Z244" s="1"/>
  <c r="AA243"/>
  <c r="Z243" s="1"/>
  <c r="AA241"/>
  <c r="Z241" s="1"/>
  <c r="G241" s="1"/>
  <c r="AA240"/>
  <c r="Z240" s="1"/>
  <c r="G240" s="1"/>
  <c r="AA239"/>
  <c r="Z239" s="1"/>
  <c r="AA238"/>
  <c r="Z238" s="1"/>
  <c r="AA237"/>
  <c r="Z237" s="1"/>
  <c r="AA236"/>
  <c r="Z236" s="1"/>
  <c r="AA234"/>
  <c r="Z234" s="1"/>
  <c r="G234" s="1"/>
  <c r="AA233"/>
  <c r="Z233" s="1"/>
  <c r="G233" s="1"/>
  <c r="AA232"/>
  <c r="Z232" s="1"/>
  <c r="AA231"/>
  <c r="Z231" s="1"/>
  <c r="AA230"/>
  <c r="Z230" s="1"/>
  <c r="AA229"/>
  <c r="Z229" s="1"/>
  <c r="AA228"/>
  <c r="Z228" s="1"/>
  <c r="AA227"/>
  <c r="Z227" s="1"/>
  <c r="AA225"/>
  <c r="Z225" s="1"/>
  <c r="G225" s="1"/>
  <c r="AA224"/>
  <c r="Z224" s="1"/>
  <c r="G224" s="1"/>
  <c r="AA223"/>
  <c r="Z223" s="1"/>
  <c r="G223" s="1"/>
  <c r="AA222"/>
  <c r="Z222" s="1"/>
  <c r="G222" s="1"/>
  <c r="AA221"/>
  <c r="Z221" s="1"/>
  <c r="G221" s="1"/>
  <c r="AA220"/>
  <c r="Z220" s="1"/>
  <c r="AA219"/>
  <c r="Z219" s="1"/>
  <c r="AA218"/>
  <c r="AA216"/>
  <c r="AA215"/>
  <c r="Z215" s="1"/>
  <c r="AA214"/>
  <c r="Z214" s="1"/>
  <c r="AA213"/>
  <c r="Z213" s="1"/>
  <c r="AA212"/>
  <c r="Z212" s="1"/>
  <c r="H210"/>
  <c r="H209" s="1"/>
  <c r="H208" s="1"/>
  <c r="H207" s="1"/>
  <c r="H6"/>
  <c r="AA161"/>
  <c r="Z161" s="1"/>
  <c r="G161" s="1"/>
  <c r="G160" s="1"/>
  <c r="G159" s="1"/>
  <c r="AA158"/>
  <c r="Z158" s="1"/>
  <c r="G158" s="1"/>
  <c r="AA157"/>
  <c r="Z157" s="1"/>
  <c r="G157" s="1"/>
  <c r="Z156"/>
  <c r="Z155"/>
  <c r="Z152"/>
  <c r="G152" s="1"/>
  <c r="AA150"/>
  <c r="Z150" s="1"/>
  <c r="AA149"/>
  <c r="Z149" s="1"/>
  <c r="AA148"/>
  <c r="Z148" s="1"/>
  <c r="AA146"/>
  <c r="Z146" s="1"/>
  <c r="AA145"/>
  <c r="Z145" s="1"/>
  <c r="AA143"/>
  <c r="Z143" s="1"/>
  <c r="AA142"/>
  <c r="Z142" s="1"/>
  <c r="AA141"/>
  <c r="AA138"/>
  <c r="Z138" s="1"/>
  <c r="AA137"/>
  <c r="Z137" s="1"/>
  <c r="AA136"/>
  <c r="AA135"/>
  <c r="Z135" s="1"/>
  <c r="G135" s="1"/>
  <c r="AA134"/>
  <c r="Z134" s="1"/>
  <c r="AA133"/>
  <c r="Z133" s="1"/>
  <c r="AA132"/>
  <c r="Z132" s="1"/>
  <c r="AA131"/>
  <c r="AA130"/>
  <c r="Z130" s="1"/>
  <c r="AA129"/>
  <c r="Z129" s="1"/>
  <c r="AA126"/>
  <c r="Z126"/>
  <c r="AA125"/>
  <c r="Z125" s="1"/>
  <c r="AA124"/>
  <c r="Z124" s="1"/>
  <c r="AA123"/>
  <c r="AA122"/>
  <c r="Z122" s="1"/>
  <c r="AA121"/>
  <c r="Z121" s="1"/>
  <c r="AA120"/>
  <c r="Z120" s="1"/>
  <c r="AA119"/>
  <c r="Z119" s="1"/>
  <c r="AA117"/>
  <c r="Z117" s="1"/>
  <c r="AA116"/>
  <c r="Z116" s="1"/>
  <c r="AA115"/>
  <c r="Z115" s="1"/>
  <c r="AA114"/>
  <c r="Z114" s="1"/>
  <c r="AA113"/>
  <c r="AA112"/>
  <c r="Z112" s="1"/>
  <c r="AA111"/>
  <c r="Z111" s="1"/>
  <c r="AA107"/>
  <c r="Z107" s="1"/>
  <c r="AA106"/>
  <c r="AA104"/>
  <c r="Z104" s="1"/>
  <c r="G104" s="1"/>
  <c r="AA103"/>
  <c r="Z103" s="1"/>
  <c r="G103" s="1"/>
  <c r="AA102"/>
  <c r="Z102" s="1"/>
  <c r="AA101"/>
  <c r="Z101" s="1"/>
  <c r="AA99"/>
  <c r="Z99" s="1"/>
  <c r="G99" s="1"/>
  <c r="AA98"/>
  <c r="Z98" s="1"/>
  <c r="AA97"/>
  <c r="AA94"/>
  <c r="Z94" s="1"/>
  <c r="G94" s="1"/>
  <c r="AA93"/>
  <c r="Z93" s="1"/>
  <c r="G93" s="1"/>
  <c r="AA92"/>
  <c r="Z92" s="1"/>
  <c r="G92" s="1"/>
  <c r="AA90"/>
  <c r="Z90" s="1"/>
  <c r="G90" s="1"/>
  <c r="AA89"/>
  <c r="Z89" s="1"/>
  <c r="AA88"/>
  <c r="Z88" s="1"/>
  <c r="AA86"/>
  <c r="Z86" s="1"/>
  <c r="G86" s="1"/>
  <c r="AA85"/>
  <c r="Z85" s="1"/>
  <c r="AA84"/>
  <c r="AA82"/>
  <c r="Z82" s="1"/>
  <c r="AA81"/>
  <c r="Z81" s="1"/>
  <c r="AA80"/>
  <c r="AA76"/>
  <c r="Z76" s="1"/>
  <c r="G76" s="1"/>
  <c r="AA75"/>
  <c r="Z75" s="1"/>
  <c r="G75" s="1"/>
  <c r="AA73"/>
  <c r="Z73" s="1"/>
  <c r="AA72"/>
  <c r="Z72" s="1"/>
  <c r="AA70"/>
  <c r="Z70" s="1"/>
  <c r="AA69"/>
  <c r="Z69" s="1"/>
  <c r="AA68"/>
  <c r="Z68" s="1"/>
  <c r="AA67"/>
  <c r="Z67" s="1"/>
  <c r="AA66"/>
  <c r="Z66" s="1"/>
  <c r="AA65"/>
  <c r="AA63"/>
  <c r="Z63" s="1"/>
  <c r="AA62"/>
  <c r="AA60"/>
  <c r="Z60" s="1"/>
  <c r="AA59"/>
  <c r="Z59" s="1"/>
  <c r="AA58"/>
  <c r="G54"/>
  <c r="G53" s="1"/>
  <c r="AA51"/>
  <c r="Z51" s="1"/>
  <c r="G51" s="1"/>
  <c r="AA50"/>
  <c r="Z50" s="1"/>
  <c r="G50" s="1"/>
  <c r="AA49"/>
  <c r="Z49" s="1"/>
  <c r="G49" s="1"/>
  <c r="AA48"/>
  <c r="Z48" s="1"/>
  <c r="AA47"/>
  <c r="Z47" s="1"/>
  <c r="AA45"/>
  <c r="Z45" s="1"/>
  <c r="G45" s="1"/>
  <c r="AA44"/>
  <c r="Z44" s="1"/>
  <c r="G44" s="1"/>
  <c r="AA43"/>
  <c r="Z43" s="1"/>
  <c r="AA42"/>
  <c r="Z42" s="1"/>
  <c r="AA41"/>
  <c r="Z41" s="1"/>
  <c r="AA40"/>
  <c r="Z40" s="1"/>
  <c r="AA39"/>
  <c r="AA37"/>
  <c r="Z37" s="1"/>
  <c r="G37" s="1"/>
  <c r="AA36"/>
  <c r="Z36" s="1"/>
  <c r="G36" s="1"/>
  <c r="AA35"/>
  <c r="Z35" s="1"/>
  <c r="AA34"/>
  <c r="AA32"/>
  <c r="Z32" s="1"/>
  <c r="AA31"/>
  <c r="AA29"/>
  <c r="Z29" s="1"/>
  <c r="AA28"/>
  <c r="Z28" s="1"/>
  <c r="AA27"/>
  <c r="Z27" s="1"/>
  <c r="AA26"/>
  <c r="AA24"/>
  <c r="Z24" s="1"/>
  <c r="G24" s="1"/>
  <c r="AA23"/>
  <c r="Z23" s="1"/>
  <c r="AA22"/>
  <c r="Z22" s="1"/>
  <c r="AA20"/>
  <c r="Z20" s="1"/>
  <c r="G20" s="1"/>
  <c r="Z18"/>
  <c r="Z14"/>
  <c r="J14"/>
  <c r="AA13"/>
  <c r="AA10" s="1"/>
  <c r="Z12"/>
  <c r="H43" i="181"/>
  <c r="H42" s="1"/>
  <c r="G43"/>
  <c r="AC41"/>
  <c r="H40"/>
  <c r="H39" s="1"/>
  <c r="H38" s="1"/>
  <c r="G40"/>
  <c r="I40" s="1"/>
  <c r="AC39"/>
  <c r="AC37"/>
  <c r="H36"/>
  <c r="H35" s="1"/>
  <c r="H34" s="1"/>
  <c r="G36"/>
  <c r="AC36" s="1"/>
  <c r="AC34"/>
  <c r="AC26"/>
  <c r="H25"/>
  <c r="G25"/>
  <c r="AC23"/>
  <c r="AC22"/>
  <c r="AC21"/>
  <c r="AC20"/>
  <c r="H19"/>
  <c r="G19"/>
  <c r="AC18"/>
  <c r="AC17"/>
  <c r="AC16"/>
  <c r="H7"/>
  <c r="H6" s="1"/>
  <c r="I15"/>
  <c r="AC14"/>
  <c r="AC13"/>
  <c r="AC12"/>
  <c r="H11"/>
  <c r="G11"/>
  <c r="AC10"/>
  <c r="J10"/>
  <c r="AC9"/>
  <c r="J9"/>
  <c r="H8"/>
  <c r="G8"/>
  <c r="I8" s="1"/>
  <c r="F1043" i="180"/>
  <c r="F1042"/>
  <c r="F1041"/>
  <c r="F1038"/>
  <c r="H1038" s="1"/>
  <c r="F1037"/>
  <c r="F1032"/>
  <c r="F1027"/>
  <c r="H1027" s="1"/>
  <c r="F1023"/>
  <c r="H1023" s="1"/>
  <c r="G1022"/>
  <c r="G1021" s="1"/>
  <c r="F1020"/>
  <c r="F1015"/>
  <c r="G1014"/>
  <c r="G1013" s="1"/>
  <c r="G1006"/>
  <c r="G1005" s="1"/>
  <c r="G1004" s="1"/>
  <c r="F1006"/>
  <c r="F1005" s="1"/>
  <c r="F1004" s="1"/>
  <c r="F1003" s="1"/>
  <c r="Z988"/>
  <c r="Y988" s="1"/>
  <c r="F988" s="1"/>
  <c r="G987"/>
  <c r="G986" s="1"/>
  <c r="G985" s="1"/>
  <c r="H957"/>
  <c r="G957"/>
  <c r="F957"/>
  <c r="Z956"/>
  <c r="Y956" s="1"/>
  <c r="F956" s="1"/>
  <c r="Z955"/>
  <c r="Y955" s="1"/>
  <c r="F955" s="1"/>
  <c r="Z954"/>
  <c r="Y954" s="1"/>
  <c r="Z953"/>
  <c r="Y953" s="1"/>
  <c r="Z952"/>
  <c r="Y952" s="1"/>
  <c r="Z951"/>
  <c r="Y951" s="1"/>
  <c r="Z950"/>
  <c r="Y950" s="1"/>
  <c r="Z949"/>
  <c r="Y949" s="1"/>
  <c r="Z948"/>
  <c r="Y948" s="1"/>
  <c r="Z947"/>
  <c r="Y947" s="1"/>
  <c r="Z946"/>
  <c r="Y946" s="1"/>
  <c r="Z945"/>
  <c r="Z943"/>
  <c r="Y943" s="1"/>
  <c r="Z942"/>
  <c r="Y942" s="1"/>
  <c r="Z940"/>
  <c r="Y940" s="1"/>
  <c r="Z939"/>
  <c r="Y939" s="1"/>
  <c r="Z938"/>
  <c r="Y938" s="1"/>
  <c r="Z937"/>
  <c r="Z935"/>
  <c r="Y935" s="1"/>
  <c r="F935" s="1"/>
  <c r="G933"/>
  <c r="F932"/>
  <c r="F925"/>
  <c r="F920"/>
  <c r="F917"/>
  <c r="F916"/>
  <c r="F915"/>
  <c r="G914"/>
  <c r="F913"/>
  <c r="F912"/>
  <c r="F911"/>
  <c r="F906"/>
  <c r="F901"/>
  <c r="F900"/>
  <c r="F899"/>
  <c r="F898"/>
  <c r="F897"/>
  <c r="F894"/>
  <c r="F893"/>
  <c r="G892"/>
  <c r="F891"/>
  <c r="H891" s="1"/>
  <c r="F890"/>
  <c r="F887"/>
  <c r="F886"/>
  <c r="H886" s="1"/>
  <c r="F885"/>
  <c r="H885" s="1"/>
  <c r="G884"/>
  <c r="F883"/>
  <c r="H883" s="1"/>
  <c r="F875"/>
  <c r="H875" s="1"/>
  <c r="F874"/>
  <c r="F873"/>
  <c r="H873" s="1"/>
  <c r="F872"/>
  <c r="G871"/>
  <c r="F870"/>
  <c r="F859"/>
  <c r="H859" s="1"/>
  <c r="F855"/>
  <c r="H855" s="1"/>
  <c r="F854"/>
  <c r="H854" s="1"/>
  <c r="F853"/>
  <c r="H853" s="1"/>
  <c r="F852"/>
  <c r="H852" s="1"/>
  <c r="F851"/>
  <c r="G850"/>
  <c r="Z848"/>
  <c r="Y848" s="1"/>
  <c r="F848" s="1"/>
  <c r="Z847"/>
  <c r="Y847" s="1"/>
  <c r="Z846"/>
  <c r="Y846" s="1"/>
  <c r="Z845"/>
  <c r="Y845" s="1"/>
  <c r="Z844"/>
  <c r="Y844" s="1"/>
  <c r="Z843"/>
  <c r="Y843" s="1"/>
  <c r="Z842"/>
  <c r="Y842" s="1"/>
  <c r="Z841"/>
  <c r="Y841" s="1"/>
  <c r="Z840"/>
  <c r="Z838"/>
  <c r="Y838" s="1"/>
  <c r="Z837"/>
  <c r="Y837" s="1"/>
  <c r="Z836"/>
  <c r="Y836" s="1"/>
  <c r="Z834"/>
  <c r="Y834" s="1"/>
  <c r="F834" s="1"/>
  <c r="Z833"/>
  <c r="Y833" s="1"/>
  <c r="F833" s="1"/>
  <c r="Z832"/>
  <c r="Y832" s="1"/>
  <c r="F832" s="1"/>
  <c r="G830"/>
  <c r="G822"/>
  <c r="G821" s="1"/>
  <c r="G820" s="1"/>
  <c r="F822"/>
  <c r="Z727"/>
  <c r="Y727" s="1"/>
  <c r="F727" s="1"/>
  <c r="Z726"/>
  <c r="Y726" s="1"/>
  <c r="F726" s="1"/>
  <c r="Z725"/>
  <c r="Y725" s="1"/>
  <c r="F725" s="1"/>
  <c r="Z724"/>
  <c r="Y724" s="1"/>
  <c r="Z723"/>
  <c r="Y723" s="1"/>
  <c r="Z722"/>
  <c r="Y722" s="1"/>
  <c r="Z720"/>
  <c r="Y720" s="1"/>
  <c r="Z719"/>
  <c r="Y719" s="1"/>
  <c r="Z718"/>
  <c r="Z712"/>
  <c r="Y712" s="1"/>
  <c r="F712" s="1"/>
  <c r="Z711"/>
  <c r="Y711" s="1"/>
  <c r="F711" s="1"/>
  <c r="Z710"/>
  <c r="Y710" s="1"/>
  <c r="Z709"/>
  <c r="G706"/>
  <c r="Z705"/>
  <c r="Z704"/>
  <c r="Y704" s="1"/>
  <c r="Z703"/>
  <c r="Y703" s="1"/>
  <c r="Z702"/>
  <c r="Y702" s="1"/>
  <c r="Z701"/>
  <c r="Y701" s="1"/>
  <c r="Z699"/>
  <c r="Z698"/>
  <c r="Y698" s="1"/>
  <c r="Z697"/>
  <c r="Y697" s="1"/>
  <c r="Y693"/>
  <c r="Y692"/>
  <c r="F692" s="1"/>
  <c r="Y690"/>
  <c r="Y689"/>
  <c r="Y688"/>
  <c r="Y687"/>
  <c r="Y686"/>
  <c r="Z684"/>
  <c r="Z683"/>
  <c r="Z682"/>
  <c r="Y682" s="1"/>
  <c r="Z681"/>
  <c r="Y681" s="1"/>
  <c r="Z679"/>
  <c r="Y679" s="1"/>
  <c r="Z678"/>
  <c r="Y678" s="1"/>
  <c r="G675"/>
  <c r="Z674"/>
  <c r="Y674" s="1"/>
  <c r="F674" s="1"/>
  <c r="Z672"/>
  <c r="Y672" s="1"/>
  <c r="F672" s="1"/>
  <c r="Z671"/>
  <c r="Y671" s="1"/>
  <c r="Z670"/>
  <c r="Y670" s="1"/>
  <c r="Z668"/>
  <c r="Y668" s="1"/>
  <c r="Z667"/>
  <c r="Z665"/>
  <c r="Y665" s="1"/>
  <c r="F665" s="1"/>
  <c r="Z664"/>
  <c r="Y664" s="1"/>
  <c r="F664" s="1"/>
  <c r="Z663"/>
  <c r="Y663" s="1"/>
  <c r="F663" s="1"/>
  <c r="Z662"/>
  <c r="Y662" s="1"/>
  <c r="F662" s="1"/>
  <c r="G660"/>
  <c r="Z637"/>
  <c r="Y637" s="1"/>
  <c r="F637" s="1"/>
  <c r="F635" s="1"/>
  <c r="G634"/>
  <c r="Z633"/>
  <c r="Y633" s="1"/>
  <c r="F633" s="1"/>
  <c r="Z631"/>
  <c r="Y631" s="1"/>
  <c r="Z630"/>
  <c r="Y630" s="1"/>
  <c r="Z629"/>
  <c r="Y629" s="1"/>
  <c r="G625"/>
  <c r="G607"/>
  <c r="Z606"/>
  <c r="Y606" s="1"/>
  <c r="F606" s="1"/>
  <c r="Z604"/>
  <c r="Y604" s="1"/>
  <c r="Z603"/>
  <c r="Y603" s="1"/>
  <c r="G600"/>
  <c r="G559"/>
  <c r="G558" s="1"/>
  <c r="G557" s="1"/>
  <c r="F559"/>
  <c r="Z509"/>
  <c r="Y509" s="1"/>
  <c r="F509" s="1"/>
  <c r="Z508"/>
  <c r="Y508" s="1"/>
  <c r="F508" s="1"/>
  <c r="Z507"/>
  <c r="Y507" s="1"/>
  <c r="F507" s="1"/>
  <c r="Z506"/>
  <c r="Y506" s="1"/>
  <c r="Z505"/>
  <c r="Z503"/>
  <c r="Y503" s="1"/>
  <c r="Z502"/>
  <c r="Y502" s="1"/>
  <c r="Z500"/>
  <c r="Y500" s="1"/>
  <c r="Z499"/>
  <c r="Z497"/>
  <c r="Y497" s="1"/>
  <c r="F497" s="1"/>
  <c r="Z494"/>
  <c r="Y494" s="1"/>
  <c r="Z493"/>
  <c r="Y493" s="1"/>
  <c r="Z492"/>
  <c r="Y492" s="1"/>
  <c r="Z491"/>
  <c r="Y491" s="1"/>
  <c r="Z490"/>
  <c r="Y490" s="1"/>
  <c r="Z483"/>
  <c r="Y483" s="1"/>
  <c r="F483" s="1"/>
  <c r="Z481"/>
  <c r="Y481" s="1"/>
  <c r="Z480"/>
  <c r="Y480" s="1"/>
  <c r="Z478"/>
  <c r="Y478" s="1"/>
  <c r="Z477"/>
  <c r="Y477" s="1"/>
  <c r="Z476"/>
  <c r="Y476" s="1"/>
  <c r="Z475"/>
  <c r="Y475" s="1"/>
  <c r="Z474"/>
  <c r="Y474" s="1"/>
  <c r="Z472"/>
  <c r="Y472" s="1"/>
  <c r="Z471"/>
  <c r="Y471" s="1"/>
  <c r="Z470"/>
  <c r="Y470" s="1"/>
  <c r="Z469"/>
  <c r="Y469" s="1"/>
  <c r="Z468"/>
  <c r="Y468" s="1"/>
  <c r="Z467"/>
  <c r="Y467" s="1"/>
  <c r="Z466"/>
  <c r="Y466" s="1"/>
  <c r="Z465"/>
  <c r="Y465" s="1"/>
  <c r="Z464"/>
  <c r="Y464" s="1"/>
  <c r="Z463"/>
  <c r="Y463" s="1"/>
  <c r="Z462"/>
  <c r="Y462" s="1"/>
  <c r="Z460"/>
  <c r="Y460" s="1"/>
  <c r="Z459"/>
  <c r="Y459" s="1"/>
  <c r="Z458"/>
  <c r="Y458" s="1"/>
  <c r="Z457"/>
  <c r="Y457" s="1"/>
  <c r="Z456"/>
  <c r="Y456" s="1"/>
  <c r="Z455"/>
  <c r="Y455" s="1"/>
  <c r="Z454"/>
  <c r="Y454" s="1"/>
  <c r="Z453"/>
  <c r="Z450"/>
  <c r="Y450" s="1"/>
  <c r="F450" s="1"/>
  <c r="Z449"/>
  <c r="Y449" s="1"/>
  <c r="Z448"/>
  <c r="Y448" s="1"/>
  <c r="Z447"/>
  <c r="Y447" s="1"/>
  <c r="Z445"/>
  <c r="Y445" s="1"/>
  <c r="F445" s="1"/>
  <c r="Z443"/>
  <c r="Y443" s="1"/>
  <c r="Z442"/>
  <c r="Y442" s="1"/>
  <c r="Z441"/>
  <c r="Y441" s="1"/>
  <c r="Z440"/>
  <c r="Y440" s="1"/>
  <c r="Z438"/>
  <c r="Y438" s="1"/>
  <c r="Z437"/>
  <c r="Y437" s="1"/>
  <c r="Z436"/>
  <c r="Y436" s="1"/>
  <c r="Z434"/>
  <c r="Y434" s="1"/>
  <c r="F434" s="1"/>
  <c r="Z433"/>
  <c r="Y433" s="1"/>
  <c r="Z432"/>
  <c r="Y432" s="1"/>
  <c r="Z431"/>
  <c r="Y431" s="1"/>
  <c r="Z429"/>
  <c r="Y429" s="1"/>
  <c r="Z428"/>
  <c r="Y428" s="1"/>
  <c r="Z427"/>
  <c r="Y427" s="1"/>
  <c r="Z425"/>
  <c r="Y425" s="1"/>
  <c r="F425" s="1"/>
  <c r="Z423"/>
  <c r="Y423" s="1"/>
  <c r="F423" s="1"/>
  <c r="Z421"/>
  <c r="Y421" s="1"/>
  <c r="F421" s="1"/>
  <c r="Z405"/>
  <c r="Y405" s="1"/>
  <c r="Z404"/>
  <c r="Y404" s="1"/>
  <c r="Z403"/>
  <c r="Y403" s="1"/>
  <c r="Z402"/>
  <c r="Y402" s="1"/>
  <c r="Z400"/>
  <c r="Y400" s="1"/>
  <c r="Z399"/>
  <c r="Y399" s="1"/>
  <c r="Z398"/>
  <c r="Y398" s="1"/>
  <c r="Z397"/>
  <c r="Y397" s="1"/>
  <c r="Z396"/>
  <c r="Y396" s="1"/>
  <c r="Z395"/>
  <c r="Y395" s="1"/>
  <c r="Z394"/>
  <c r="Y394" s="1"/>
  <c r="Z393"/>
  <c r="Y393" s="1"/>
  <c r="Z392"/>
  <c r="Y392" s="1"/>
  <c r="Z378"/>
  <c r="Y378"/>
  <c r="F378" s="1"/>
  <c r="F377"/>
  <c r="Z376"/>
  <c r="Y376"/>
  <c r="F376" s="1"/>
  <c r="F375"/>
  <c r="Y374"/>
  <c r="Y373"/>
  <c r="Z371"/>
  <c r="Y371"/>
  <c r="F371" s="1"/>
  <c r="Z367"/>
  <c r="Y367"/>
  <c r="F367" s="1"/>
  <c r="Z366"/>
  <c r="Y366"/>
  <c r="F366" s="1"/>
  <c r="Z365"/>
  <c r="Y365"/>
  <c r="F365" s="1"/>
  <c r="Z364"/>
  <c r="Y364"/>
  <c r="F364" s="1"/>
  <c r="Z363"/>
  <c r="Y363"/>
  <c r="F363" s="1"/>
  <c r="Y361"/>
  <c r="F361" s="1"/>
  <c r="H361" s="1"/>
  <c r="Z351"/>
  <c r="Y351" s="1"/>
  <c r="F351" s="1"/>
  <c r="Z350"/>
  <c r="Y350" s="1"/>
  <c r="Z349"/>
  <c r="Y349" s="1"/>
  <c r="Z348"/>
  <c r="Z345"/>
  <c r="Y345" s="1"/>
  <c r="F345" s="1"/>
  <c r="Z341"/>
  <c r="Y341" s="1"/>
  <c r="Z340"/>
  <c r="Y340" s="1"/>
  <c r="Z339"/>
  <c r="Y339" s="1"/>
  <c r="Z338"/>
  <c r="Y338" s="1"/>
  <c r="Z337"/>
  <c r="Z335"/>
  <c r="Y335" s="1"/>
  <c r="F335" s="1"/>
  <c r="Z333"/>
  <c r="Y333" s="1"/>
  <c r="Z332"/>
  <c r="Z330"/>
  <c r="Y330" s="1"/>
  <c r="F330" s="1"/>
  <c r="Z329"/>
  <c r="Y329" s="1"/>
  <c r="F329" s="1"/>
  <c r="Z328"/>
  <c r="Y328" s="1"/>
  <c r="F328" s="1"/>
  <c r="Z327"/>
  <c r="Y327" s="1"/>
  <c r="F327" s="1"/>
  <c r="Z326"/>
  <c r="Y326" s="1"/>
  <c r="Z325"/>
  <c r="Y325" s="1"/>
  <c r="Z323"/>
  <c r="Y323" s="1"/>
  <c r="Z322"/>
  <c r="Y322" s="1"/>
  <c r="Z321"/>
  <c r="Y321" s="1"/>
  <c r="Z319"/>
  <c r="Y319" s="1"/>
  <c r="Z318"/>
  <c r="Y318" s="1"/>
  <c r="Z317"/>
  <c r="Y317" s="1"/>
  <c r="Z315"/>
  <c r="Y315" s="1"/>
  <c r="F315" s="1"/>
  <c r="Z314"/>
  <c r="Y314" s="1"/>
  <c r="Z313"/>
  <c r="Z309"/>
  <c r="Y309" s="1"/>
  <c r="F309" s="1"/>
  <c r="Z308"/>
  <c r="Y308" s="1"/>
  <c r="Z307"/>
  <c r="Y307" s="1"/>
  <c r="Z305"/>
  <c r="Y305" s="1"/>
  <c r="F305" s="1"/>
  <c r="Z304"/>
  <c r="Y304" s="1"/>
  <c r="F304" s="1"/>
  <c r="Z303"/>
  <c r="Y303" s="1"/>
  <c r="F303" s="1"/>
  <c r="Z302"/>
  <c r="Y302" s="1"/>
  <c r="Z301"/>
  <c r="Y301" s="1"/>
  <c r="Z300"/>
  <c r="Y300" s="1"/>
  <c r="Z299"/>
  <c r="Y299" s="1"/>
  <c r="Z298"/>
  <c r="Y298" s="1"/>
  <c r="Z296"/>
  <c r="Y296" s="1"/>
  <c r="F296" s="1"/>
  <c r="Z295"/>
  <c r="Y295" s="1"/>
  <c r="F295" s="1"/>
  <c r="Z294"/>
  <c r="Y294" s="1"/>
  <c r="F294" s="1"/>
  <c r="Z292"/>
  <c r="Y292" s="1"/>
  <c r="F292" s="1"/>
  <c r="Z291"/>
  <c r="Y291" s="1"/>
  <c r="F291" s="1"/>
  <c r="Z290"/>
  <c r="Y290" s="1"/>
  <c r="F290" s="1"/>
  <c r="Z289"/>
  <c r="Y289" s="1"/>
  <c r="Z288"/>
  <c r="Y288" s="1"/>
  <c r="Z287"/>
  <c r="Z285"/>
  <c r="Y285" s="1"/>
  <c r="F285" s="1"/>
  <c r="Z284"/>
  <c r="Y284" s="1"/>
  <c r="F284" s="1"/>
  <c r="Z283"/>
  <c r="Y283" s="1"/>
  <c r="F283" s="1"/>
  <c r="Z282"/>
  <c r="Y282" s="1"/>
  <c r="Z281"/>
  <c r="Z278"/>
  <c r="Y278" s="1"/>
  <c r="F278" s="1"/>
  <c r="Z277"/>
  <c r="Y277" s="1"/>
  <c r="Z276"/>
  <c r="Y276"/>
  <c r="Z274"/>
  <c r="Y274" s="1"/>
  <c r="F274" s="1"/>
  <c r="Z273"/>
  <c r="Y273" s="1"/>
  <c r="Z272"/>
  <c r="Y272" s="1"/>
  <c r="Z271"/>
  <c r="Y271" s="1"/>
  <c r="Z270"/>
  <c r="Y270" s="1"/>
  <c r="Z269"/>
  <c r="Y269" s="1"/>
  <c r="F269" s="1"/>
  <c r="Z268"/>
  <c r="Y268" s="1"/>
  <c r="F268" s="1"/>
  <c r="Z267"/>
  <c r="Y267" s="1"/>
  <c r="F267" s="1"/>
  <c r="Z266"/>
  <c r="Y266" s="1"/>
  <c r="F266" s="1"/>
  <c r="Z261"/>
  <c r="Y261" s="1"/>
  <c r="F261" s="1"/>
  <c r="I261" s="1"/>
  <c r="Z260"/>
  <c r="Y260" s="1"/>
  <c r="F260" s="1"/>
  <c r="I260" s="1"/>
  <c r="Z259"/>
  <c r="Y259" s="1"/>
  <c r="F259" s="1"/>
  <c r="I259" s="1"/>
  <c r="Z258"/>
  <c r="Y258" s="1"/>
  <c r="F258" s="1"/>
  <c r="I258" s="1"/>
  <c r="Z257"/>
  <c r="Y257" s="1"/>
  <c r="F257" s="1"/>
  <c r="I257" s="1"/>
  <c r="Z256"/>
  <c r="Y256" s="1"/>
  <c r="F256" s="1"/>
  <c r="I256" s="1"/>
  <c r="Z255"/>
  <c r="Y255" s="1"/>
  <c r="F255" s="1"/>
  <c r="I255" s="1"/>
  <c r="Z254"/>
  <c r="Y254" s="1"/>
  <c r="F254" s="1"/>
  <c r="I254" s="1"/>
  <c r="Z253"/>
  <c r="Y253" s="1"/>
  <c r="Z252"/>
  <c r="Y252" s="1"/>
  <c r="Z251"/>
  <c r="Y251" s="1"/>
  <c r="Z250"/>
  <c r="Y250" s="1"/>
  <c r="Z247"/>
  <c r="Y247" s="1"/>
  <c r="Z246"/>
  <c r="Y246" s="1"/>
  <c r="Z241"/>
  <c r="Y241"/>
  <c r="F241" s="1"/>
  <c r="I241" s="1"/>
  <c r="Z240"/>
  <c r="Y240"/>
  <c r="I240"/>
  <c r="Z239"/>
  <c r="Y239"/>
  <c r="I239"/>
  <c r="Z238"/>
  <c r="Y238"/>
  <c r="Z237"/>
  <c r="Y237"/>
  <c r="Z236"/>
  <c r="Y236"/>
  <c r="Z235"/>
  <c r="Y235"/>
  <c r="Z233"/>
  <c r="Y233"/>
  <c r="F233" s="1"/>
  <c r="Z232"/>
  <c r="Y232"/>
  <c r="Z231"/>
  <c r="Y231"/>
  <c r="Z229"/>
  <c r="Y229"/>
  <c r="Z228"/>
  <c r="Y228"/>
  <c r="Z227"/>
  <c r="Y227"/>
  <c r="Z225"/>
  <c r="Y225"/>
  <c r="Z224"/>
  <c r="Y224"/>
  <c r="Z223"/>
  <c r="Y223"/>
  <c r="Z222"/>
  <c r="Y222"/>
  <c r="Z221"/>
  <c r="Y221"/>
  <c r="Z219"/>
  <c r="Y219"/>
  <c r="Z218"/>
  <c r="Y218"/>
  <c r="Z217"/>
  <c r="Y217"/>
  <c r="Z216"/>
  <c r="Y216"/>
  <c r="I216"/>
  <c r="Z215"/>
  <c r="Y215"/>
  <c r="Z214"/>
  <c r="Y214"/>
  <c r="Z212"/>
  <c r="Y212"/>
  <c r="F212" s="1"/>
  <c r="I212" s="1"/>
  <c r="Z211"/>
  <c r="Y211"/>
  <c r="F211" s="1"/>
  <c r="Z210"/>
  <c r="Y210"/>
  <c r="Z209"/>
  <c r="Y209"/>
  <c r="Z207"/>
  <c r="Y207"/>
  <c r="Z206"/>
  <c r="Y206"/>
  <c r="Z205"/>
  <c r="Y205"/>
  <c r="I205"/>
  <c r="Z203"/>
  <c r="Y203"/>
  <c r="I203"/>
  <c r="Z202"/>
  <c r="Y202"/>
  <c r="I202"/>
  <c r="Z201"/>
  <c r="Y201"/>
  <c r="I201"/>
  <c r="G199"/>
  <c r="G198" s="1"/>
  <c r="Z197"/>
  <c r="Y197" s="1"/>
  <c r="F197" s="1"/>
  <c r="Z196"/>
  <c r="Y196" s="1"/>
  <c r="F196" s="1"/>
  <c r="Z195"/>
  <c r="Y195" s="1"/>
  <c r="F195" s="1"/>
  <c r="G194"/>
  <c r="Z193"/>
  <c r="Y193" s="1"/>
  <c r="Z192"/>
  <c r="Y192" s="1"/>
  <c r="Z190"/>
  <c r="Y190" s="1"/>
  <c r="Z189"/>
  <c r="Y189" s="1"/>
  <c r="Z187"/>
  <c r="Y187" s="1"/>
  <c r="Z186"/>
  <c r="Y186" s="1"/>
  <c r="Z184"/>
  <c r="Y184" s="1"/>
  <c r="Z183"/>
  <c r="Z181"/>
  <c r="Y181" s="1"/>
  <c r="Z180"/>
  <c r="Z179"/>
  <c r="Y179" s="1"/>
  <c r="Z177"/>
  <c r="Y177" s="1"/>
  <c r="F177" s="1"/>
  <c r="G176"/>
  <c r="Z175"/>
  <c r="Y175" s="1"/>
  <c r="F175" s="1"/>
  <c r="Z174"/>
  <c r="Y174" s="1"/>
  <c r="F174" s="1"/>
  <c r="Z173"/>
  <c r="Y173" s="1"/>
  <c r="F173" s="1"/>
  <c r="Z172"/>
  <c r="Y172" s="1"/>
  <c r="Z171"/>
  <c r="G169"/>
  <c r="Z168"/>
  <c r="Y168" s="1"/>
  <c r="F168" s="1"/>
  <c r="Z167"/>
  <c r="Y167" s="1"/>
  <c r="Z166"/>
  <c r="Y166" s="1"/>
  <c r="Z165"/>
  <c r="Y165" s="1"/>
  <c r="Z163"/>
  <c r="Y163" s="1"/>
  <c r="F163" s="1"/>
  <c r="Z162"/>
  <c r="Y162" s="1"/>
  <c r="Z161"/>
  <c r="Y161" s="1"/>
  <c r="Z160"/>
  <c r="Y160" s="1"/>
  <c r="Z159"/>
  <c r="Y159" s="1"/>
  <c r="Z157"/>
  <c r="Y157" s="1"/>
  <c r="F157" s="1"/>
  <c r="Z156"/>
  <c r="Y156" s="1"/>
  <c r="Z155"/>
  <c r="Y155" s="1"/>
  <c r="Z154"/>
  <c r="Y154" s="1"/>
  <c r="Z152"/>
  <c r="Y152" s="1"/>
  <c r="Z151"/>
  <c r="Y151" s="1"/>
  <c r="Z150"/>
  <c r="Y150" s="1"/>
  <c r="G148"/>
  <c r="G122"/>
  <c r="Z121"/>
  <c r="Y121" s="1"/>
  <c r="F121" s="1"/>
  <c r="Z120"/>
  <c r="Y120" s="1"/>
  <c r="F120" s="1"/>
  <c r="Z119"/>
  <c r="Y119" s="1"/>
  <c r="Z118"/>
  <c r="Y118" s="1"/>
  <c r="Z117"/>
  <c r="Y117" s="1"/>
  <c r="Z115"/>
  <c r="Y115" s="1"/>
  <c r="Z114"/>
  <c r="Y114" s="1"/>
  <c r="Z112"/>
  <c r="Y112" s="1"/>
  <c r="F112" s="1"/>
  <c r="Z111"/>
  <c r="Y111" s="1"/>
  <c r="Z110"/>
  <c r="G107"/>
  <c r="Z106"/>
  <c r="Y106" s="1"/>
  <c r="F106" s="1"/>
  <c r="Z105"/>
  <c r="Y105" s="1"/>
  <c r="F105" s="1"/>
  <c r="Z104"/>
  <c r="Y104" s="1"/>
  <c r="Z103"/>
  <c r="Y103" s="1"/>
  <c r="Z102"/>
  <c r="Y102" s="1"/>
  <c r="Z101"/>
  <c r="Z99"/>
  <c r="Y99" s="1"/>
  <c r="F99" s="1"/>
  <c r="Z98"/>
  <c r="Y98" s="1"/>
  <c r="F98" s="1"/>
  <c r="Z97"/>
  <c r="Y97" s="1"/>
  <c r="F97" s="1"/>
  <c r="Z95"/>
  <c r="Y95" s="1"/>
  <c r="F95" s="1"/>
  <c r="Z94"/>
  <c r="Y94" s="1"/>
  <c r="F94" s="1"/>
  <c r="Z93"/>
  <c r="Y93" s="1"/>
  <c r="F93" s="1"/>
  <c r="Z92"/>
  <c r="Y92" s="1"/>
  <c r="Z91"/>
  <c r="Z89"/>
  <c r="Y89" s="1"/>
  <c r="Z88"/>
  <c r="Y88" s="1"/>
  <c r="Z87"/>
  <c r="Y87" s="1"/>
  <c r="Z86"/>
  <c r="Y86" s="1"/>
  <c r="Z85"/>
  <c r="Z83"/>
  <c r="Y83" s="1"/>
  <c r="Z82"/>
  <c r="Y82" s="1"/>
  <c r="Z81"/>
  <c r="Y81" s="1"/>
  <c r="Z80"/>
  <c r="Y80" s="1"/>
  <c r="Z78"/>
  <c r="Y78" s="1"/>
  <c r="Z77"/>
  <c r="Y77" s="1"/>
  <c r="Z76"/>
  <c r="Y76" s="1"/>
  <c r="Z75"/>
  <c r="Z72"/>
  <c r="Y72" s="1"/>
  <c r="F72" s="1"/>
  <c r="Z71"/>
  <c r="Y71" s="1"/>
  <c r="Z70"/>
  <c r="Z68"/>
  <c r="Y68" s="1"/>
  <c r="Z67"/>
  <c r="Y65"/>
  <c r="F65" s="1"/>
  <c r="Z64"/>
  <c r="Y64" s="1"/>
  <c r="F64" s="1"/>
  <c r="Z63"/>
  <c r="Y63" s="1"/>
  <c r="F63" s="1"/>
  <c r="Z61"/>
  <c r="Y61" s="1"/>
  <c r="Z60"/>
  <c r="Y60" s="1"/>
  <c r="Z59"/>
  <c r="Y59" s="1"/>
  <c r="G56"/>
  <c r="Z53"/>
  <c r="Y53" s="1"/>
  <c r="F53" s="1"/>
  <c r="G52"/>
  <c r="G51" s="1"/>
  <c r="G50" s="1"/>
  <c r="G46"/>
  <c r="F46"/>
  <c r="AB46" s="1"/>
  <c r="F35"/>
  <c r="AB35" s="1"/>
  <c r="G33"/>
  <c r="H18"/>
  <c r="G18"/>
  <c r="G17" s="1"/>
  <c r="F18"/>
  <c r="AB18" s="1"/>
  <c r="G9"/>
  <c r="G8" s="1"/>
  <c r="F9"/>
  <c r="AB9" s="1"/>
  <c r="AC113" i="179"/>
  <c r="I113"/>
  <c r="H112"/>
  <c r="I112" s="1"/>
  <c r="AC111"/>
  <c r="I111"/>
  <c r="H110"/>
  <c r="I110" s="1"/>
  <c r="AC107"/>
  <c r="I107"/>
  <c r="H106"/>
  <c r="I106" s="1"/>
  <c r="H100"/>
  <c r="D24" i="165" s="1"/>
  <c r="G100" i="179"/>
  <c r="I100" s="1"/>
  <c r="AC95"/>
  <c r="H94"/>
  <c r="G94"/>
  <c r="H92"/>
  <c r="G92"/>
  <c r="AC92" s="1"/>
  <c r="D22" i="165"/>
  <c r="H82" i="179"/>
  <c r="I82" s="1"/>
  <c r="AC81"/>
  <c r="H80"/>
  <c r="H79" s="1"/>
  <c r="G80"/>
  <c r="AC70"/>
  <c r="J70"/>
  <c r="H69"/>
  <c r="H68" s="1"/>
  <c r="G69"/>
  <c r="AC64"/>
  <c r="H63"/>
  <c r="G63"/>
  <c r="AC63" s="1"/>
  <c r="AC62"/>
  <c r="H61"/>
  <c r="G61"/>
  <c r="H59"/>
  <c r="G59"/>
  <c r="AC58"/>
  <c r="H57"/>
  <c r="G57"/>
  <c r="AC56"/>
  <c r="H55"/>
  <c r="G55"/>
  <c r="AC53"/>
  <c r="I53"/>
  <c r="AC44"/>
  <c r="AC43"/>
  <c r="H42"/>
  <c r="G42"/>
  <c r="AC41"/>
  <c r="AC40"/>
  <c r="AC39"/>
  <c r="AC38"/>
  <c r="AC37"/>
  <c r="AC36"/>
  <c r="AC35"/>
  <c r="AC34"/>
  <c r="AC33"/>
  <c r="H32"/>
  <c r="G32"/>
  <c r="AC31"/>
  <c r="AC30"/>
  <c r="H29"/>
  <c r="G29"/>
  <c r="AC16"/>
  <c r="H15"/>
  <c r="G15"/>
  <c r="I15" s="1"/>
  <c r="AC27"/>
  <c r="H26"/>
  <c r="G26"/>
  <c r="AC25"/>
  <c r="H24"/>
  <c r="G24"/>
  <c r="AC23"/>
  <c r="AC22"/>
  <c r="AC21"/>
  <c r="AC20"/>
  <c r="G19"/>
  <c r="I19" s="1"/>
  <c r="AC18"/>
  <c r="H17"/>
  <c r="G17"/>
  <c r="AC12"/>
  <c r="J12"/>
  <c r="H11"/>
  <c r="H10" s="1"/>
  <c r="H8" s="1"/>
  <c r="D19" i="165" s="1"/>
  <c r="G11" i="179"/>
  <c r="AC11" s="1"/>
  <c r="AC9"/>
  <c r="I9"/>
  <c r="AC7"/>
  <c r="I7"/>
  <c r="AC6"/>
  <c r="H6"/>
  <c r="F362" i="180" l="1"/>
  <c r="AA217" i="182"/>
  <c r="Z217" s="1"/>
  <c r="G217" s="1"/>
  <c r="Z110"/>
  <c r="G110" s="1"/>
  <c r="AA96"/>
  <c r="AA128"/>
  <c r="AA314"/>
  <c r="Z314" s="1"/>
  <c r="G314" s="1"/>
  <c r="I318"/>
  <c r="AA21"/>
  <c r="Z21" s="1"/>
  <c r="G21" s="1"/>
  <c r="AA25"/>
  <c r="Z25" s="1"/>
  <c r="G25" s="1"/>
  <c r="AA57"/>
  <c r="G74"/>
  <c r="AA83"/>
  <c r="Z83" s="1"/>
  <c r="G83" s="1"/>
  <c r="G153"/>
  <c r="I153" s="1"/>
  <c r="AA302"/>
  <c r="Z302" s="1"/>
  <c r="G302" s="1"/>
  <c r="AA79"/>
  <c r="G151"/>
  <c r="I151" s="1"/>
  <c r="Z10"/>
  <c r="G10" s="1"/>
  <c r="AA247"/>
  <c r="Z247" s="1"/>
  <c r="G247" s="1"/>
  <c r="G317"/>
  <c r="I317" s="1"/>
  <c r="AA33"/>
  <c r="Z33" s="1"/>
  <c r="G33" s="1"/>
  <c r="Z58"/>
  <c r="Z57" s="1"/>
  <c r="G57" s="1"/>
  <c r="Z84"/>
  <c r="Z218"/>
  <c r="AA297"/>
  <c r="Z297" s="1"/>
  <c r="G297" s="1"/>
  <c r="AA306"/>
  <c r="Z306" s="1"/>
  <c r="G306" s="1"/>
  <c r="AA105"/>
  <c r="Z105" s="1"/>
  <c r="G105" s="1"/>
  <c r="Z123"/>
  <c r="G123" s="1"/>
  <c r="T15"/>
  <c r="Z15" s="1"/>
  <c r="G15" s="1"/>
  <c r="AA30"/>
  <c r="Z30" s="1"/>
  <c r="G30" s="1"/>
  <c r="AA61"/>
  <c r="AA64"/>
  <c r="Z64" s="1"/>
  <c r="G64" s="1"/>
  <c r="AA87"/>
  <c r="Z87" s="1"/>
  <c r="G87" s="1"/>
  <c r="AA226"/>
  <c r="Z226" s="1"/>
  <c r="G226" s="1"/>
  <c r="AA273"/>
  <c r="Z273" s="1"/>
  <c r="G273" s="1"/>
  <c r="AA281"/>
  <c r="Z281" s="1"/>
  <c r="G281" s="1"/>
  <c r="AA310"/>
  <c r="Z310" s="1"/>
  <c r="G310" s="1"/>
  <c r="I54"/>
  <c r="AA38"/>
  <c r="Z38" s="1"/>
  <c r="G38" s="1"/>
  <c r="AA46"/>
  <c r="Z46" s="1"/>
  <c r="G46" s="1"/>
  <c r="Z65"/>
  <c r="AA71"/>
  <c r="Z71" s="1"/>
  <c r="G71" s="1"/>
  <c r="AA110"/>
  <c r="AA242"/>
  <c r="Z242" s="1"/>
  <c r="G242" s="1"/>
  <c r="AA254"/>
  <c r="Z254" s="1"/>
  <c r="G254" s="1"/>
  <c r="AA262"/>
  <c r="Z262" s="1"/>
  <c r="G262" s="1"/>
  <c r="AA269"/>
  <c r="Z269" s="1"/>
  <c r="G269" s="1"/>
  <c r="G261" s="1"/>
  <c r="AA289"/>
  <c r="Z289" s="1"/>
  <c r="G289" s="1"/>
  <c r="AA294"/>
  <c r="Z294" s="1"/>
  <c r="G294" s="1"/>
  <c r="G293" s="1"/>
  <c r="I293" s="1"/>
  <c r="AA100"/>
  <c r="Z128"/>
  <c r="G128" s="1"/>
  <c r="AA144"/>
  <c r="Z144" s="1"/>
  <c r="G144" s="1"/>
  <c r="AA211"/>
  <c r="Z211" s="1"/>
  <c r="G211" s="1"/>
  <c r="AA235"/>
  <c r="Z235" s="1"/>
  <c r="G235" s="1"/>
  <c r="Y359" i="180"/>
  <c r="F359" s="1"/>
  <c r="H359" s="1"/>
  <c r="Y358"/>
  <c r="F358" s="1"/>
  <c r="Y684"/>
  <c r="F684" s="1"/>
  <c r="Y705"/>
  <c r="F705" s="1"/>
  <c r="Y683"/>
  <c r="F683" s="1"/>
  <c r="Y699"/>
  <c r="F699" s="1"/>
  <c r="G829"/>
  <c r="G828" s="1"/>
  <c r="H1006"/>
  <c r="Z69"/>
  <c r="Z90"/>
  <c r="Y90" s="1"/>
  <c r="G599"/>
  <c r="H5" i="182"/>
  <c r="AC25" i="181"/>
  <c r="I25"/>
  <c r="G42"/>
  <c r="I43"/>
  <c r="I34"/>
  <c r="G35"/>
  <c r="AC35" s="1"/>
  <c r="I36"/>
  <c r="AC27"/>
  <c r="I27"/>
  <c r="G38"/>
  <c r="C31" i="165" s="1"/>
  <c r="I11" i="181"/>
  <c r="I19"/>
  <c r="D29" i="165"/>
  <c r="AC40" i="181"/>
  <c r="D31" i="165"/>
  <c r="I28" i="179"/>
  <c r="I55"/>
  <c r="AC80"/>
  <c r="I17"/>
  <c r="I59"/>
  <c r="I86"/>
  <c r="G10"/>
  <c r="I94"/>
  <c r="I61"/>
  <c r="I57"/>
  <c r="I32"/>
  <c r="I29"/>
  <c r="H14"/>
  <c r="I26"/>
  <c r="I24"/>
  <c r="AA140" i="182"/>
  <c r="Z140" s="1"/>
  <c r="G140" s="1"/>
  <c r="Z136"/>
  <c r="G136" s="1"/>
  <c r="G984" i="180"/>
  <c r="H559"/>
  <c r="H822"/>
  <c r="G819"/>
  <c r="H362"/>
  <c r="F1014"/>
  <c r="H1014" s="1"/>
  <c r="F248"/>
  <c r="F871"/>
  <c r="H871" s="1"/>
  <c r="Z452"/>
  <c r="Y452" s="1"/>
  <c r="F452" s="1"/>
  <c r="F914"/>
  <c r="H914" s="1"/>
  <c r="Z66"/>
  <c r="Y66" s="1"/>
  <c r="F66" s="1"/>
  <c r="Y230"/>
  <c r="F230" s="1"/>
  <c r="Z312"/>
  <c r="G849"/>
  <c r="Y213"/>
  <c r="F213" s="1"/>
  <c r="Z504"/>
  <c r="Y504" s="1"/>
  <c r="F504" s="1"/>
  <c r="Y226"/>
  <c r="F226" s="1"/>
  <c r="Z696"/>
  <c r="Z100"/>
  <c r="Y100" s="1"/>
  <c r="F100" s="1"/>
  <c r="F96" s="1"/>
  <c r="H96" s="1"/>
  <c r="I96" s="1"/>
  <c r="Z220"/>
  <c r="Z249"/>
  <c r="Y249" s="1"/>
  <c r="F249" s="1"/>
  <c r="I249" s="1"/>
  <c r="Z286"/>
  <c r="Y286" s="1"/>
  <c r="F286" s="1"/>
  <c r="Z208"/>
  <c r="G147"/>
  <c r="G55" s="1"/>
  <c r="Z170"/>
  <c r="Y170" s="1"/>
  <c r="F170" s="1"/>
  <c r="Z275"/>
  <c r="Y275" s="1"/>
  <c r="F275" s="1"/>
  <c r="F265" s="1"/>
  <c r="Z602"/>
  <c r="Y602" s="1"/>
  <c r="F602" s="1"/>
  <c r="F601" s="1"/>
  <c r="H872"/>
  <c r="Z185"/>
  <c r="Y185" s="1"/>
  <c r="F185" s="1"/>
  <c r="Z944"/>
  <c r="Y944" s="1"/>
  <c r="F944" s="1"/>
  <c r="Z74"/>
  <c r="Y74" s="1"/>
  <c r="Z498"/>
  <c r="Y498" s="1"/>
  <c r="F498" s="1"/>
  <c r="Z717"/>
  <c r="Y717" s="1"/>
  <c r="F717" s="1"/>
  <c r="F8"/>
  <c r="AB8" s="1"/>
  <c r="H46"/>
  <c r="I46" s="1"/>
  <c r="Z306"/>
  <c r="Y306" s="1"/>
  <c r="F306" s="1"/>
  <c r="Z316"/>
  <c r="Y316" s="1"/>
  <c r="F316" s="1"/>
  <c r="Z501"/>
  <c r="Y501" s="1"/>
  <c r="F501" s="1"/>
  <c r="F45"/>
  <c r="AB45" s="1"/>
  <c r="Y158"/>
  <c r="F158" s="1"/>
  <c r="Y171"/>
  <c r="Z178"/>
  <c r="Y178" s="1"/>
  <c r="F178" s="1"/>
  <c r="Z226"/>
  <c r="Z391"/>
  <c r="Y391" s="1"/>
  <c r="F391" s="1"/>
  <c r="Z721"/>
  <c r="Y721" s="1"/>
  <c r="F721" s="1"/>
  <c r="F884"/>
  <c r="H884" s="1"/>
  <c r="F892"/>
  <c r="H892" s="1"/>
  <c r="G7"/>
  <c r="G6" s="1"/>
  <c r="Z79"/>
  <c r="Y79" s="1"/>
  <c r="Z58"/>
  <c r="Y58" s="1"/>
  <c r="F58" s="1"/>
  <c r="F57" s="1"/>
  <c r="H57" s="1"/>
  <c r="I57" s="1"/>
  <c r="Z158"/>
  <c r="Y208"/>
  <c r="F208" s="1"/>
  <c r="I208" s="1"/>
  <c r="Z230"/>
  <c r="Z245"/>
  <c r="Y245" s="1"/>
  <c r="F245" s="1"/>
  <c r="I245" s="1"/>
  <c r="Z297"/>
  <c r="Y297" s="1"/>
  <c r="F297" s="1"/>
  <c r="F558"/>
  <c r="H558" s="1"/>
  <c r="Z839"/>
  <c r="Y839" s="1"/>
  <c r="F839" s="1"/>
  <c r="F161"/>
  <c r="F162"/>
  <c r="H635"/>
  <c r="H634" s="1"/>
  <c r="Z401"/>
  <c r="Y401" s="1"/>
  <c r="F401" s="1"/>
  <c r="Z435"/>
  <c r="Y435" s="1"/>
  <c r="F435" s="1"/>
  <c r="Y453"/>
  <c r="Z461"/>
  <c r="Y461" s="1"/>
  <c r="F461" s="1"/>
  <c r="Y669"/>
  <c r="F669" s="1"/>
  <c r="Z677"/>
  <c r="Z680"/>
  <c r="Z708"/>
  <c r="Y708" s="1"/>
  <c r="F708" s="1"/>
  <c r="F821"/>
  <c r="Z936"/>
  <c r="Y936" s="1"/>
  <c r="F936" s="1"/>
  <c r="F17"/>
  <c r="I18"/>
  <c r="G45"/>
  <c r="Z116"/>
  <c r="Y116" s="1"/>
  <c r="F116" s="1"/>
  <c r="S153"/>
  <c r="Z153" s="1"/>
  <c r="Y153" s="1"/>
  <c r="Y149" s="1"/>
  <c r="F149" s="1"/>
  <c r="Y180"/>
  <c r="Z234"/>
  <c r="Y313"/>
  <c r="Y312" s="1"/>
  <c r="F312" s="1"/>
  <c r="Z331"/>
  <c r="Y331" s="1"/>
  <c r="F331" s="1"/>
  <c r="Z473"/>
  <c r="Y473" s="1"/>
  <c r="F473" s="1"/>
  <c r="Z109"/>
  <c r="Y109" s="1"/>
  <c r="F109" s="1"/>
  <c r="Z182"/>
  <c r="Y182" s="1"/>
  <c r="F182" s="1"/>
  <c r="Z188"/>
  <c r="Y188" s="1"/>
  <c r="F188" s="1"/>
  <c r="Z191"/>
  <c r="Y191" s="1"/>
  <c r="F191" s="1"/>
  <c r="Z213"/>
  <c r="Y220"/>
  <c r="F220" s="1"/>
  <c r="Y234"/>
  <c r="F234" s="1"/>
  <c r="Z280"/>
  <c r="Y280" s="1"/>
  <c r="F280" s="1"/>
  <c r="F279" s="1"/>
  <c r="Z320"/>
  <c r="Y320" s="1"/>
  <c r="F320" s="1"/>
  <c r="Y332"/>
  <c r="Z426"/>
  <c r="Y426" s="1"/>
  <c r="F426" s="1"/>
  <c r="Z430"/>
  <c r="Y430" s="1"/>
  <c r="F430" s="1"/>
  <c r="F444"/>
  <c r="Z446"/>
  <c r="Y446" s="1"/>
  <c r="F446" s="1"/>
  <c r="Z479"/>
  <c r="Y479" s="1"/>
  <c r="F479" s="1"/>
  <c r="Z489"/>
  <c r="Y489" s="1"/>
  <c r="F489" s="1"/>
  <c r="F485" s="1"/>
  <c r="Z666"/>
  <c r="Z700"/>
  <c r="Y718"/>
  <c r="Y840"/>
  <c r="G1003"/>
  <c r="Y67"/>
  <c r="Z84"/>
  <c r="Y84" s="1"/>
  <c r="Z164"/>
  <c r="Y667"/>
  <c r="Y666" s="1"/>
  <c r="F666" s="1"/>
  <c r="F850"/>
  <c r="H850" s="1"/>
  <c r="F1022"/>
  <c r="H1046"/>
  <c r="I6" i="179"/>
  <c r="AC19"/>
  <c r="AC29"/>
  <c r="I68"/>
  <c r="D25" i="165"/>
  <c r="AC79" i="179"/>
  <c r="AC14"/>
  <c r="AC57"/>
  <c r="I69"/>
  <c r="I80"/>
  <c r="AC91"/>
  <c r="I11"/>
  <c r="AC17"/>
  <c r="AC61"/>
  <c r="I63"/>
  <c r="I92"/>
  <c r="Y164" i="180"/>
  <c r="F164" s="1"/>
  <c r="F194"/>
  <c r="H194" s="1"/>
  <c r="AB53"/>
  <c r="F52"/>
  <c r="Z336"/>
  <c r="Y336" s="1"/>
  <c r="F336" s="1"/>
  <c r="Y337"/>
  <c r="Z347"/>
  <c r="Y347" s="1"/>
  <c r="F347" s="1"/>
  <c r="Y348"/>
  <c r="Z113"/>
  <c r="Y113" s="1"/>
  <c r="F113" s="1"/>
  <c r="AC42" i="179"/>
  <c r="AC55"/>
  <c r="AC99"/>
  <c r="AC100"/>
  <c r="H9" i="180"/>
  <c r="I9" s="1"/>
  <c r="F34"/>
  <c r="H35"/>
  <c r="I35" s="1"/>
  <c r="Y70"/>
  <c r="Y69" s="1"/>
  <c r="F69" s="1"/>
  <c r="Y75"/>
  <c r="Y85"/>
  <c r="Y91"/>
  <c r="Y101"/>
  <c r="Y110"/>
  <c r="Y183"/>
  <c r="Y281"/>
  <c r="Y287"/>
  <c r="G91" i="182"/>
  <c r="I91" s="1"/>
  <c r="Z113"/>
  <c r="G113" s="1"/>
  <c r="Z118"/>
  <c r="G118" s="1"/>
  <c r="AC32" i="179"/>
  <c r="I42"/>
  <c r="AC68"/>
  <c r="AC69"/>
  <c r="AC82"/>
  <c r="AC94"/>
  <c r="I99"/>
  <c r="I53" i="182"/>
  <c r="S204" i="180"/>
  <c r="I74" i="182"/>
  <c r="Z100"/>
  <c r="G100" s="1"/>
  <c r="AA988" i="180"/>
  <c r="F987"/>
  <c r="Z131" i="182"/>
  <c r="G131" s="1"/>
  <c r="Z147"/>
  <c r="G147" s="1"/>
  <c r="G277"/>
  <c r="I277" s="1"/>
  <c r="Z324" i="180"/>
  <c r="Y324" s="1"/>
  <c r="F324" s="1"/>
  <c r="Z439"/>
  <c r="Y439" s="1"/>
  <c r="F439" s="1"/>
  <c r="Z628"/>
  <c r="Y628" s="1"/>
  <c r="F628" s="1"/>
  <c r="F626" s="1"/>
  <c r="Z669"/>
  <c r="Z835"/>
  <c r="Y835" s="1"/>
  <c r="F835" s="1"/>
  <c r="Z941"/>
  <c r="Y941" s="1"/>
  <c r="F941" s="1"/>
  <c r="Y945"/>
  <c r="AC7" i="181"/>
  <c r="AC8"/>
  <c r="AC11"/>
  <c r="AC19"/>
  <c r="Z26" i="182"/>
  <c r="Y505" i="180"/>
  <c r="G1012"/>
  <c r="G1011" s="1"/>
  <c r="AC15" i="181"/>
  <c r="Z31" i="182"/>
  <c r="Z39"/>
  <c r="Z62"/>
  <c r="Z61" s="1"/>
  <c r="G61" s="1"/>
  <c r="Z80"/>
  <c r="Z79" s="1"/>
  <c r="G79" s="1"/>
  <c r="Z97"/>
  <c r="Z96" s="1"/>
  <c r="G96" s="1"/>
  <c r="Z141"/>
  <c r="Z216"/>
  <c r="Z282"/>
  <c r="Y499" i="180"/>
  <c r="Y709"/>
  <c r="Y937"/>
  <c r="Z34" i="182"/>
  <c r="Z106"/>
  <c r="Z245"/>
  <c r="Z255"/>
  <c r="Z263"/>
  <c r="Z274"/>
  <c r="Z290"/>
  <c r="Z295"/>
  <c r="Z303"/>
  <c r="Z315"/>
  <c r="F293" i="180" l="1"/>
  <c r="F495"/>
  <c r="F422"/>
  <c r="F334"/>
  <c r="F379"/>
  <c r="H379" s="1"/>
  <c r="F310"/>
  <c r="H310" s="1"/>
  <c r="G301" i="182"/>
  <c r="I301" s="1"/>
  <c r="G19"/>
  <c r="I19" s="1"/>
  <c r="G95"/>
  <c r="I95" s="1"/>
  <c r="G109"/>
  <c r="I109" s="1"/>
  <c r="G210"/>
  <c r="I210" s="1"/>
  <c r="T17"/>
  <c r="Z17" s="1"/>
  <c r="Z16" s="1"/>
  <c r="G16" s="1"/>
  <c r="G9" s="1"/>
  <c r="G78"/>
  <c r="G139"/>
  <c r="I139" s="1"/>
  <c r="G127"/>
  <c r="I127" s="1"/>
  <c r="G56"/>
  <c r="G52" s="1"/>
  <c r="I52" s="1"/>
  <c r="F707" i="180"/>
  <c r="H707" s="1"/>
  <c r="F661"/>
  <c r="H358"/>
  <c r="H334"/>
  <c r="Y360"/>
  <c r="F360" s="1"/>
  <c r="H360" s="1"/>
  <c r="H391"/>
  <c r="Y677"/>
  <c r="F677" s="1"/>
  <c r="Y691"/>
  <c r="Y680"/>
  <c r="F680" s="1"/>
  <c r="Y685"/>
  <c r="F685" s="1"/>
  <c r="Y700"/>
  <c r="F700" s="1"/>
  <c r="Y696"/>
  <c r="F696" s="1"/>
  <c r="F557"/>
  <c r="H557" s="1"/>
  <c r="AB821"/>
  <c r="F820"/>
  <c r="F1013"/>
  <c r="H1013" s="1"/>
  <c r="Z149"/>
  <c r="F634"/>
  <c r="H279"/>
  <c r="H821"/>
  <c r="G728"/>
  <c r="G659" s="1"/>
  <c r="G658" s="1"/>
  <c r="F244"/>
  <c r="I7" i="181"/>
  <c r="I35"/>
  <c r="H5"/>
  <c r="I38"/>
  <c r="I14" i="179"/>
  <c r="H13"/>
  <c r="D20" i="165" s="1"/>
  <c r="I91" i="179"/>
  <c r="AC10"/>
  <c r="G8"/>
  <c r="I10"/>
  <c r="AC28"/>
  <c r="C20" i="165"/>
  <c r="F849" i="180"/>
  <c r="AB849" s="1"/>
  <c r="AB558"/>
  <c r="H293"/>
  <c r="H495"/>
  <c r="H8"/>
  <c r="F44"/>
  <c r="AB44" s="1"/>
  <c r="F108"/>
  <c r="H108" s="1"/>
  <c r="I108" s="1"/>
  <c r="F169"/>
  <c r="H169" s="1"/>
  <c r="I79" i="179"/>
  <c r="F831" i="180"/>
  <c r="F830" s="1"/>
  <c r="G54"/>
  <c r="Z73"/>
  <c r="Y73" s="1"/>
  <c r="F73" s="1"/>
  <c r="F62" s="1"/>
  <c r="F176"/>
  <c r="H176" s="1"/>
  <c r="AB17"/>
  <c r="H17"/>
  <c r="H422"/>
  <c r="H1022"/>
  <c r="F1021"/>
  <c r="H485"/>
  <c r="F7"/>
  <c r="F934"/>
  <c r="F933" s="1"/>
  <c r="H608"/>
  <c r="AB1046"/>
  <c r="H45"/>
  <c r="G44"/>
  <c r="G32" s="1"/>
  <c r="F625"/>
  <c r="H625" s="1"/>
  <c r="I90" i="179"/>
  <c r="C23" i="165"/>
  <c r="D23"/>
  <c r="I98" i="179"/>
  <c r="C24" i="165"/>
  <c r="F24" s="1"/>
  <c r="AB34" i="180"/>
  <c r="H34"/>
  <c r="F33"/>
  <c r="I159" i="182"/>
  <c r="I160"/>
  <c r="H601" i="180"/>
  <c r="F600"/>
  <c r="H600" s="1"/>
  <c r="I54" i="179"/>
  <c r="AC54"/>
  <c r="F148" i="180"/>
  <c r="AA987"/>
  <c r="F986"/>
  <c r="F985" s="1"/>
  <c r="H987"/>
  <c r="H52"/>
  <c r="I52" s="1"/>
  <c r="AB52"/>
  <c r="F51"/>
  <c r="AC13" i="179"/>
  <c r="G77" i="182"/>
  <c r="I77" s="1"/>
  <c r="I78"/>
  <c r="H1005" i="180"/>
  <c r="Y204"/>
  <c r="Y200" s="1"/>
  <c r="F200" s="1"/>
  <c r="Z204"/>
  <c r="Z200" s="1"/>
  <c r="I261" i="182"/>
  <c r="H265" i="180"/>
  <c r="H123"/>
  <c r="I123" s="1"/>
  <c r="F122"/>
  <c r="F23" i="165" l="1"/>
  <c r="F20"/>
  <c r="F352" i="180"/>
  <c r="H352" s="1"/>
  <c r="G260" i="182"/>
  <c r="G209"/>
  <c r="G208" s="1"/>
  <c r="I56"/>
  <c r="G8"/>
  <c r="I8" s="1"/>
  <c r="I9"/>
  <c r="J9" s="1"/>
  <c r="G108"/>
  <c r="I108" s="1"/>
  <c r="I206"/>
  <c r="I162"/>
  <c r="H244" i="180"/>
  <c r="I244" s="1"/>
  <c r="F243"/>
  <c r="F676"/>
  <c r="H676" s="1"/>
  <c r="H685"/>
  <c r="F984"/>
  <c r="AB1013"/>
  <c r="H831"/>
  <c r="H933"/>
  <c r="F829"/>
  <c r="F706"/>
  <c r="H706" s="1"/>
  <c r="F607"/>
  <c r="F599" s="1"/>
  <c r="H599" s="1"/>
  <c r="C29" i="165"/>
  <c r="AC6" i="181"/>
  <c r="G5"/>
  <c r="I6"/>
  <c r="I5" s="1"/>
  <c r="E20" i="165"/>
  <c r="I13" i="179"/>
  <c r="G5"/>
  <c r="I8"/>
  <c r="AC8"/>
  <c r="C19" i="165"/>
  <c r="F19" s="1"/>
  <c r="H5" i="179"/>
  <c r="I5" s="1"/>
  <c r="H849" i="180"/>
  <c r="F484"/>
  <c r="F107"/>
  <c r="H107" s="1"/>
  <c r="G5"/>
  <c r="AC67" i="179"/>
  <c r="C21" i="165"/>
  <c r="F21" s="1"/>
  <c r="H62" i="180"/>
  <c r="I62" s="1"/>
  <c r="F56"/>
  <c r="AB56" s="1"/>
  <c r="H626"/>
  <c r="H934"/>
  <c r="H7"/>
  <c r="AB7"/>
  <c r="F6"/>
  <c r="F660"/>
  <c r="H661"/>
  <c r="H820"/>
  <c r="F819"/>
  <c r="H1045"/>
  <c r="F1044"/>
  <c r="F199"/>
  <c r="H199" s="1"/>
  <c r="I200"/>
  <c r="AB1021"/>
  <c r="H1021"/>
  <c r="H44"/>
  <c r="F1012"/>
  <c r="I67" i="179"/>
  <c r="H830" i="180"/>
  <c r="H243"/>
  <c r="I243" s="1"/>
  <c r="H148"/>
  <c r="F147"/>
  <c r="G259" i="182"/>
  <c r="I259" s="1"/>
  <c r="I260"/>
  <c r="H1003" i="180"/>
  <c r="H1004"/>
  <c r="H51"/>
  <c r="AB51"/>
  <c r="F50"/>
  <c r="F32" s="1"/>
  <c r="AA986"/>
  <c r="H986"/>
  <c r="H33"/>
  <c r="AB33"/>
  <c r="H122"/>
  <c r="AB122"/>
  <c r="AC243" l="1"/>
  <c r="G207" i="182"/>
  <c r="I209"/>
  <c r="G7"/>
  <c r="G6" s="1"/>
  <c r="AB484" i="180"/>
  <c r="F675"/>
  <c r="H675" s="1"/>
  <c r="F264"/>
  <c r="H607"/>
  <c r="I607" s="1"/>
  <c r="H484"/>
  <c r="AB107"/>
  <c r="H1044"/>
  <c r="H56"/>
  <c r="H819"/>
  <c r="AC607"/>
  <c r="F198"/>
  <c r="AB198" s="1"/>
  <c r="F1011"/>
  <c r="H1011" s="1"/>
  <c r="H1012"/>
  <c r="H6"/>
  <c r="AB6"/>
  <c r="AB660"/>
  <c r="H660"/>
  <c r="AB32"/>
  <c r="H985"/>
  <c r="AA985"/>
  <c r="H984"/>
  <c r="H50"/>
  <c r="H32" s="1"/>
  <c r="AB50"/>
  <c r="F828"/>
  <c r="H828" s="1"/>
  <c r="H829"/>
  <c r="AB147"/>
  <c r="H147"/>
  <c r="AC5"/>
  <c r="I208" i="182"/>
  <c r="I207"/>
  <c r="H264" i="180" l="1"/>
  <c r="F242"/>
  <c r="H242" s="1"/>
  <c r="I6" i="182"/>
  <c r="I5" s="1"/>
  <c r="G5"/>
  <c r="I7"/>
  <c r="H198" i="180"/>
  <c r="AB264"/>
  <c r="AB5" s="1"/>
  <c r="F55"/>
  <c r="H739"/>
  <c r="F728"/>
  <c r="F659" s="1"/>
  <c r="F54" l="1"/>
  <c r="H54" s="1"/>
  <c r="H55"/>
  <c r="F658"/>
  <c r="H658" s="1"/>
  <c r="H733"/>
  <c r="F5" l="1"/>
  <c r="H5" s="1"/>
  <c r="H659"/>
  <c r="H729"/>
  <c r="H728"/>
  <c r="V5" i="157"/>
  <c r="V6"/>
  <c r="V7"/>
  <c r="V10"/>
  <c r="V11"/>
  <c r="V12"/>
  <c r="V13"/>
  <c r="V14"/>
  <c r="V15"/>
  <c r="V20"/>
  <c r="V21"/>
  <c r="V22"/>
  <c r="V23"/>
  <c r="V25"/>
  <c r="V26"/>
  <c r="V27"/>
  <c r="V30"/>
  <c r="V31"/>
  <c r="V32"/>
  <c r="V39"/>
  <c r="V40"/>
  <c r="V42"/>
  <c r="V43"/>
  <c r="V44"/>
  <c r="V46"/>
  <c r="V48"/>
  <c r="V4"/>
  <c r="Z358" i="173"/>
  <c r="Y358" s="1"/>
  <c r="Z269"/>
  <c r="Y269" s="1"/>
  <c r="Z422"/>
  <c r="Y422" s="1"/>
  <c r="Z420"/>
  <c r="Y420" s="1"/>
  <c r="Z419"/>
  <c r="Y419" s="1"/>
  <c r="Z390"/>
  <c r="Y390" s="1"/>
  <c r="Z378"/>
  <c r="Y378" s="1"/>
  <c r="Z113"/>
  <c r="Y113" s="1"/>
  <c r="Z243"/>
  <c r="Y243" s="1"/>
  <c r="F243" l="1"/>
  <c r="Z123" i="171"/>
  <c r="Z124"/>
  <c r="Z126"/>
  <c r="Z127"/>
  <c r="Z128"/>
  <c r="Z130"/>
  <c r="Z131"/>
  <c r="Z133"/>
  <c r="Z134"/>
  <c r="Z135"/>
  <c r="Z136"/>
  <c r="Z137"/>
  <c r="Y121"/>
  <c r="G26" i="170" l="1"/>
  <c r="G47" i="125" l="1"/>
  <c r="AD12"/>
  <c r="Z178" i="178" l="1"/>
  <c r="Y178" s="1"/>
  <c r="U31" i="120" l="1"/>
  <c r="U32"/>
  <c r="U33"/>
  <c r="U34"/>
  <c r="AC53" i="174" l="1"/>
  <c r="AC57"/>
  <c r="AA10"/>
  <c r="AA11"/>
  <c r="AA12"/>
  <c r="AA13"/>
  <c r="AA14"/>
  <c r="AA15"/>
  <c r="AA18"/>
  <c r="AA19"/>
  <c r="AA20"/>
  <c r="AA25"/>
  <c r="AA26"/>
  <c r="AA27"/>
  <c r="AA29"/>
  <c r="AA30"/>
  <c r="AA32"/>
  <c r="AA33"/>
  <c r="AA34"/>
  <c r="AA35"/>
  <c r="AA37"/>
  <c r="AA38"/>
  <c r="AA39"/>
  <c r="AA40"/>
  <c r="AA41"/>
  <c r="AA42"/>
  <c r="AA43"/>
  <c r="AA44"/>
  <c r="AA45"/>
  <c r="AA47"/>
  <c r="AA48"/>
  <c r="AA50"/>
  <c r="AA51"/>
  <c r="AA53"/>
  <c r="AA54"/>
  <c r="AA56"/>
  <c r="AA57"/>
  <c r="AA58"/>
  <c r="AA59"/>
  <c r="AA60"/>
  <c r="AA61"/>
  <c r="AA63"/>
  <c r="AA64"/>
  <c r="AA66"/>
  <c r="AA67"/>
  <c r="AA68"/>
  <c r="AA70"/>
  <c r="AA71"/>
  <c r="AA72"/>
  <c r="AA73"/>
  <c r="AA74"/>
  <c r="AA76"/>
  <c r="AA77"/>
  <c r="AA78"/>
  <c r="AA79"/>
  <c r="AA80"/>
  <c r="AA82"/>
  <c r="AA83"/>
  <c r="AA85"/>
  <c r="AA86"/>
  <c r="AA87"/>
  <c r="AA91"/>
  <c r="AA92"/>
  <c r="AA97"/>
  <c r="AA98"/>
  <c r="AA100"/>
  <c r="AA101"/>
  <c r="AA105"/>
  <c r="AA106"/>
  <c r="AA117"/>
  <c r="AA118"/>
  <c r="AA124"/>
  <c r="AA125"/>
  <c r="AA126"/>
  <c r="AA134"/>
  <c r="AA135"/>
  <c r="AA137"/>
  <c r="AA138"/>
  <c r="AA139"/>
  <c r="AA140"/>
  <c r="AA141"/>
  <c r="AA142"/>
  <c r="AA143"/>
  <c r="AA152"/>
  <c r="AA153"/>
  <c r="AA154"/>
  <c r="AA157"/>
  <c r="AA158"/>
  <c r="AA162"/>
  <c r="AA163"/>
  <c r="AA169"/>
  <c r="AA170"/>
  <c r="AA171"/>
  <c r="AA174"/>
  <c r="AA175"/>
  <c r="AA181"/>
  <c r="AA182"/>
  <c r="AA187"/>
  <c r="AA188"/>
  <c r="AA189"/>
  <c r="AA190"/>
  <c r="AA191"/>
  <c r="AA216"/>
  <c r="AA217"/>
  <c r="AA235"/>
  <c r="AA236"/>
  <c r="AA240"/>
  <c r="AA241"/>
  <c r="AA248"/>
  <c r="AA249"/>
  <c r="AA251"/>
  <c r="AA252"/>
  <c r="AA254"/>
  <c r="AA255"/>
  <c r="AA256"/>
  <c r="AA259"/>
  <c r="AA260"/>
  <c r="Z356" i="172"/>
  <c r="AB356" s="1"/>
  <c r="G33" i="165"/>
  <c r="I33" s="1"/>
  <c r="Y9" i="150"/>
  <c r="Z9"/>
  <c r="Z25" i="113"/>
  <c r="Y25"/>
  <c r="Z24"/>
  <c r="Y24"/>
  <c r="Z28"/>
  <c r="Y28" s="1"/>
  <c r="Z297" i="170"/>
  <c r="Y297" s="1"/>
  <c r="F297" s="1"/>
  <c r="Z296"/>
  <c r="Z697" i="169"/>
  <c r="Y697" s="1"/>
  <c r="F697" s="1"/>
  <c r="Z696"/>
  <c r="Y696" s="1"/>
  <c r="F696" s="1"/>
  <c r="Z192"/>
  <c r="Y192" s="1"/>
  <c r="F192" s="1"/>
  <c r="Z191"/>
  <c r="Y191" s="1"/>
  <c r="F191" s="1"/>
  <c r="Z252"/>
  <c r="Y252" s="1"/>
  <c r="Z251"/>
  <c r="Y251" s="1"/>
  <c r="Z250"/>
  <c r="Z249"/>
  <c r="Y249" s="1"/>
  <c r="Y250" l="1"/>
  <c r="Y248" s="1"/>
  <c r="F248" s="1"/>
  <c r="Z248"/>
  <c r="Y296" i="170"/>
  <c r="F296" s="1"/>
  <c r="F295" s="1"/>
  <c r="F695" i="169"/>
  <c r="H695" s="1"/>
  <c r="F190"/>
  <c r="F153" s="1"/>
  <c r="H295" i="170" l="1"/>
  <c r="H190" i="169"/>
  <c r="F247"/>
  <c r="H247" s="1"/>
  <c r="Z267" i="178"/>
  <c r="Y267" s="1"/>
  <c r="F267" s="1"/>
  <c r="Z266"/>
  <c r="Y266" s="1"/>
  <c r="Z265"/>
  <c r="Y265" s="1"/>
  <c r="Z263"/>
  <c r="Y263" s="1"/>
  <c r="F263" s="1"/>
  <c r="Z262"/>
  <c r="Y262" s="1"/>
  <c r="Z261"/>
  <c r="Z259"/>
  <c r="Y259" s="1"/>
  <c r="Z258"/>
  <c r="Y258" s="1"/>
  <c r="Z257"/>
  <c r="Y257" s="1"/>
  <c r="Z256"/>
  <c r="Y256" s="1"/>
  <c r="Z255"/>
  <c r="Y255" s="1"/>
  <c r="Z254"/>
  <c r="Y254" s="1"/>
  <c r="Z253"/>
  <c r="Y253" s="1"/>
  <c r="Z252"/>
  <c r="Z250"/>
  <c r="Y250" s="1"/>
  <c r="Z249"/>
  <c r="Y249" s="1"/>
  <c r="Z248"/>
  <c r="Z246"/>
  <c r="Y246" s="1"/>
  <c r="Z245"/>
  <c r="Y245" s="1"/>
  <c r="Z244"/>
  <c r="Y244" s="1"/>
  <c r="Z243"/>
  <c r="Z241"/>
  <c r="F241" s="1"/>
  <c r="Z240"/>
  <c r="F240" s="1"/>
  <c r="Z239"/>
  <c r="Y239" s="1"/>
  <c r="Z238"/>
  <c r="Z236"/>
  <c r="F236" s="1"/>
  <c r="Z235"/>
  <c r="Y235" s="1"/>
  <c r="Z234"/>
  <c r="G232"/>
  <c r="Z231"/>
  <c r="Y231" s="1"/>
  <c r="F231" s="1"/>
  <c r="Y230"/>
  <c r="F230" s="1"/>
  <c r="Y224"/>
  <c r="Y223"/>
  <c r="Y222"/>
  <c r="Y221"/>
  <c r="Y212"/>
  <c r="Z211"/>
  <c r="Z208"/>
  <c r="Z202"/>
  <c r="Y202" s="1"/>
  <c r="Z200"/>
  <c r="Y200" s="1"/>
  <c r="Z199"/>
  <c r="Y199" s="1"/>
  <c r="Z198"/>
  <c r="Y198" s="1"/>
  <c r="Z197"/>
  <c r="Y197" s="1"/>
  <c r="Z190"/>
  <c r="Y190" s="1"/>
  <c r="Z186"/>
  <c r="Y186" s="1"/>
  <c r="Z185"/>
  <c r="Y185" s="1"/>
  <c r="Z184"/>
  <c r="Y184" s="1"/>
  <c r="Z183"/>
  <c r="G181"/>
  <c r="Z179"/>
  <c r="Y179" s="1"/>
  <c r="F179" s="1"/>
  <c r="Z177"/>
  <c r="Y177" s="1"/>
  <c r="Z176"/>
  <c r="Z174"/>
  <c r="Y174" s="1"/>
  <c r="F174" s="1"/>
  <c r="Z173"/>
  <c r="Y173" s="1"/>
  <c r="F173" s="1"/>
  <c r="G172"/>
  <c r="Z171"/>
  <c r="Y171" s="1"/>
  <c r="F171" s="1"/>
  <c r="F168" s="1"/>
  <c r="Z170"/>
  <c r="Y170" s="1"/>
  <c r="F170" s="1"/>
  <c r="Z167"/>
  <c r="Y167" s="1"/>
  <c r="Z166"/>
  <c r="Y166" s="1"/>
  <c r="Z165"/>
  <c r="Y165" s="1"/>
  <c r="Z163"/>
  <c r="Y163" s="1"/>
  <c r="H162"/>
  <c r="F161"/>
  <c r="F160"/>
  <c r="G159"/>
  <c r="Z158"/>
  <c r="Y158" s="1"/>
  <c r="Z157"/>
  <c r="Y157" s="1"/>
  <c r="Z156"/>
  <c r="Y156" s="1"/>
  <c r="Z155"/>
  <c r="G153"/>
  <c r="Z152"/>
  <c r="Y152" s="1"/>
  <c r="F152" s="1"/>
  <c r="Z151"/>
  <c r="Y151" s="1"/>
  <c r="Z150"/>
  <c r="Z148"/>
  <c r="Y148" s="1"/>
  <c r="F148" s="1"/>
  <c r="Z147"/>
  <c r="Z146"/>
  <c r="Y146" s="1"/>
  <c r="Z144"/>
  <c r="Y144" s="1"/>
  <c r="F144" s="1"/>
  <c r="Z143"/>
  <c r="Y143" s="1"/>
  <c r="F143" s="1"/>
  <c r="Z142"/>
  <c r="Y142" s="1"/>
  <c r="F142" s="1"/>
  <c r="Z141"/>
  <c r="Y141" s="1"/>
  <c r="F141" s="1"/>
  <c r="G140"/>
  <c r="Z139"/>
  <c r="Y139" s="1"/>
  <c r="F139" s="1"/>
  <c r="Z138"/>
  <c r="Y138" s="1"/>
  <c r="Z137"/>
  <c r="Y137" s="1"/>
  <c r="Z136"/>
  <c r="Z133"/>
  <c r="Y133" s="1"/>
  <c r="F133" s="1"/>
  <c r="Z132"/>
  <c r="Y132" s="1"/>
  <c r="F132" s="1"/>
  <c r="Z131"/>
  <c r="Y131" s="1"/>
  <c r="Z130"/>
  <c r="Z128"/>
  <c r="Y128" s="1"/>
  <c r="F128" s="1"/>
  <c r="Z127"/>
  <c r="Y127" s="1"/>
  <c r="F127" s="1"/>
  <c r="Z124"/>
  <c r="Y124"/>
  <c r="F124" s="1"/>
  <c r="Z123"/>
  <c r="Y123" s="1"/>
  <c r="F123" s="1"/>
  <c r="Z122"/>
  <c r="Y122" s="1"/>
  <c r="Z121"/>
  <c r="Z119"/>
  <c r="Y119" s="1"/>
  <c r="F119" s="1"/>
  <c r="Z118"/>
  <c r="Y118" s="1"/>
  <c r="F118" s="1"/>
  <c r="G117"/>
  <c r="Y108"/>
  <c r="Z107"/>
  <c r="Y107" s="1"/>
  <c r="Z106"/>
  <c r="Y101"/>
  <c r="Z100"/>
  <c r="Y100" s="1"/>
  <c r="Z87"/>
  <c r="Y87" s="1"/>
  <c r="F87" s="1"/>
  <c r="Z98"/>
  <c r="Y98" s="1"/>
  <c r="Z97"/>
  <c r="Y97" s="1"/>
  <c r="Z95"/>
  <c r="Y95" s="1"/>
  <c r="F95" s="1"/>
  <c r="Z94"/>
  <c r="Y94" s="1"/>
  <c r="F94" s="1"/>
  <c r="Z93"/>
  <c r="Z92"/>
  <c r="Y92" s="1"/>
  <c r="Z90"/>
  <c r="Y90" s="1"/>
  <c r="Z89"/>
  <c r="Z86"/>
  <c r="Y86" s="1"/>
  <c r="Z85"/>
  <c r="F82"/>
  <c r="F75"/>
  <c r="F70"/>
  <c r="F69"/>
  <c r="F68"/>
  <c r="F67"/>
  <c r="F66"/>
  <c r="G65"/>
  <c r="Z63"/>
  <c r="Y63" s="1"/>
  <c r="F63" s="1"/>
  <c r="Z62"/>
  <c r="Y62" s="1"/>
  <c r="F62" s="1"/>
  <c r="Z61"/>
  <c r="Y61" s="1"/>
  <c r="F61" s="1"/>
  <c r="Z60"/>
  <c r="Y60" s="1"/>
  <c r="F60" s="1"/>
  <c r="Z59"/>
  <c r="Y59" s="1"/>
  <c r="F59" s="1"/>
  <c r="Z58"/>
  <c r="Y58" s="1"/>
  <c r="F58" s="1"/>
  <c r="Z57"/>
  <c r="Y57" s="1"/>
  <c r="Z56"/>
  <c r="Y56" s="1"/>
  <c r="Z55"/>
  <c r="Y55" s="1"/>
  <c r="Z53"/>
  <c r="Y53" s="1"/>
  <c r="Z52"/>
  <c r="Y52" s="1"/>
  <c r="Z51"/>
  <c r="Z49"/>
  <c r="Z48"/>
  <c r="Y48" s="1"/>
  <c r="F48" s="1"/>
  <c r="Z47"/>
  <c r="Y47" s="1"/>
  <c r="F47" s="1"/>
  <c r="Z46"/>
  <c r="Y46" s="1"/>
  <c r="F46" s="1"/>
  <c r="G45"/>
  <c r="Z44"/>
  <c r="Y44" s="1"/>
  <c r="F44" s="1"/>
  <c r="Z43"/>
  <c r="Y43" s="1"/>
  <c r="Z42"/>
  <c r="Y42" s="1"/>
  <c r="Z39"/>
  <c r="F39"/>
  <c r="Z38"/>
  <c r="Y38" s="1"/>
  <c r="F38" s="1"/>
  <c r="Z37"/>
  <c r="Y37" s="1"/>
  <c r="F37" s="1"/>
  <c r="Z35"/>
  <c r="Y35" s="1"/>
  <c r="F35" s="1"/>
  <c r="Z34"/>
  <c r="Y34" s="1"/>
  <c r="F34" s="1"/>
  <c r="Z33"/>
  <c r="F33"/>
  <c r="Z32"/>
  <c r="Z31"/>
  <c r="Y31" s="1"/>
  <c r="F31" s="1"/>
  <c r="G30"/>
  <c r="Z28"/>
  <c r="Y28" s="1"/>
  <c r="F28" s="1"/>
  <c r="Z27"/>
  <c r="Y27" s="1"/>
  <c r="F27" s="1"/>
  <c r="Z23"/>
  <c r="Y23" s="1"/>
  <c r="Z22"/>
  <c r="Z20"/>
  <c r="Y20" s="1"/>
  <c r="F20" s="1"/>
  <c r="Z19"/>
  <c r="F19"/>
  <c r="Z17"/>
  <c r="Y17" s="1"/>
  <c r="Z16"/>
  <c r="Y16" s="1"/>
  <c r="Z15"/>
  <c r="Y15" s="1"/>
  <c r="Z13"/>
  <c r="Y13" s="1"/>
  <c r="F13" s="1"/>
  <c r="Z12"/>
  <c r="Y12" s="1"/>
  <c r="F12" s="1"/>
  <c r="Z11"/>
  <c r="Y11" s="1"/>
  <c r="F11" s="1"/>
  <c r="Z10"/>
  <c r="Y10" s="1"/>
  <c r="F10" s="1"/>
  <c r="Z9"/>
  <c r="Y9" s="1"/>
  <c r="F9" s="1"/>
  <c r="Y106" l="1"/>
  <c r="Z105"/>
  <c r="Y105" s="1"/>
  <c r="F105" s="1"/>
  <c r="H105" s="1"/>
  <c r="F159"/>
  <c r="H159" s="1"/>
  <c r="F101"/>
  <c r="H101" s="1"/>
  <c r="F108"/>
  <c r="H108" s="1"/>
  <c r="F100"/>
  <c r="Z84"/>
  <c r="Y84" s="1"/>
  <c r="F84" s="1"/>
  <c r="G180"/>
  <c r="Z149"/>
  <c r="Y149" s="1"/>
  <c r="F149" s="1"/>
  <c r="F76"/>
  <c r="Z129"/>
  <c r="Y129" s="1"/>
  <c r="F129" s="1"/>
  <c r="G64"/>
  <c r="Z145"/>
  <c r="Y145" s="1"/>
  <c r="F145" s="1"/>
  <c r="F140" s="1"/>
  <c r="H140" s="1"/>
  <c r="Z175"/>
  <c r="Y175" s="1"/>
  <c r="F175" s="1"/>
  <c r="Z182"/>
  <c r="Y182" s="1"/>
  <c r="F182" s="1"/>
  <c r="Z233"/>
  <c r="Y233" s="1"/>
  <c r="F233" s="1"/>
  <c r="Z242"/>
  <c r="Y242" s="1"/>
  <c r="F242" s="1"/>
  <c r="Z135"/>
  <c r="Z237"/>
  <c r="F237" s="1"/>
  <c r="Y211"/>
  <c r="Z210"/>
  <c r="Y210" s="1"/>
  <c r="F210" s="1"/>
  <c r="Z21"/>
  <c r="Y21" s="1"/>
  <c r="F21" s="1"/>
  <c r="F18" s="1"/>
  <c r="G125"/>
  <c r="G29"/>
  <c r="Y208"/>
  <c r="F208" s="1"/>
  <c r="Z50"/>
  <c r="Y50" s="1"/>
  <c r="F50" s="1"/>
  <c r="Y130"/>
  <c r="Y150"/>
  <c r="Y240"/>
  <c r="Z251"/>
  <c r="Y251" s="1"/>
  <c r="F251" s="1"/>
  <c r="Z88"/>
  <c r="Y88" s="1"/>
  <c r="F88" s="1"/>
  <c r="Z96"/>
  <c r="Y96" s="1"/>
  <c r="F96" s="1"/>
  <c r="Z120"/>
  <c r="Y120" s="1"/>
  <c r="F120" s="1"/>
  <c r="F117" s="1"/>
  <c r="H117" s="1"/>
  <c r="G7"/>
  <c r="Z247"/>
  <c r="Y247" s="1"/>
  <c r="F247" s="1"/>
  <c r="Y49"/>
  <c r="F49" s="1"/>
  <c r="F45" s="1"/>
  <c r="H45" s="1"/>
  <c r="Z54"/>
  <c r="Y54" s="1"/>
  <c r="F54" s="1"/>
  <c r="F71"/>
  <c r="H71" s="1"/>
  <c r="F79"/>
  <c r="H79" s="1"/>
  <c r="Z91"/>
  <c r="Y91" s="1"/>
  <c r="F91" s="1"/>
  <c r="Y136"/>
  <c r="Y135" s="1"/>
  <c r="F135" s="1"/>
  <c r="Z164"/>
  <c r="Y164" s="1"/>
  <c r="F164" s="1"/>
  <c r="Y219"/>
  <c r="F219" s="1"/>
  <c r="Y234"/>
  <c r="Y236"/>
  <c r="Y243"/>
  <c r="Z14"/>
  <c r="Y14" s="1"/>
  <c r="F14" s="1"/>
  <c r="Z41"/>
  <c r="Y121"/>
  <c r="Y220"/>
  <c r="Y252"/>
  <c r="Z260"/>
  <c r="Y260" s="1"/>
  <c r="F260" s="1"/>
  <c r="Z264"/>
  <c r="Y264" s="1"/>
  <c r="F264" s="1"/>
  <c r="Z154"/>
  <c r="Y154" s="1"/>
  <c r="F154" s="1"/>
  <c r="F153" s="1"/>
  <c r="H153" s="1"/>
  <c r="Y176"/>
  <c r="Y183"/>
  <c r="Y41"/>
  <c r="F41" s="1"/>
  <c r="F36" s="1"/>
  <c r="H168"/>
  <c r="F30"/>
  <c r="Z196"/>
  <c r="Y196" s="1"/>
  <c r="Y22"/>
  <c r="Y85"/>
  <c r="Y93"/>
  <c r="Y147"/>
  <c r="Y155"/>
  <c r="Y238"/>
  <c r="Y241"/>
  <c r="Y248"/>
  <c r="Y261"/>
  <c r="Y51"/>
  <c r="Y89"/>
  <c r="F99" l="1"/>
  <c r="F126"/>
  <c r="H36"/>
  <c r="H18"/>
  <c r="H99"/>
  <c r="F65"/>
  <c r="H65" s="1"/>
  <c r="F203"/>
  <c r="H203" s="1"/>
  <c r="Y237"/>
  <c r="F172"/>
  <c r="H172" s="1"/>
  <c r="F83"/>
  <c r="H83" s="1"/>
  <c r="F181"/>
  <c r="H181" s="1"/>
  <c r="G6"/>
  <c r="E6" i="121" s="1"/>
  <c r="F232" i="178"/>
  <c r="H232" s="1"/>
  <c r="F8"/>
  <c r="F7" s="1"/>
  <c r="F29"/>
  <c r="H29" s="1"/>
  <c r="H30"/>
  <c r="F125" l="1"/>
  <c r="H125" s="1"/>
  <c r="F64"/>
  <c r="H64"/>
  <c r="H8"/>
  <c r="F180"/>
  <c r="H180" s="1"/>
  <c r="H126"/>
  <c r="H7"/>
  <c r="F6" l="1"/>
  <c r="G9" i="125"/>
  <c r="G8" s="1"/>
  <c r="G7" s="1"/>
  <c r="Z14"/>
  <c r="Y14" s="1"/>
  <c r="F14" s="1"/>
  <c r="Z16"/>
  <c r="Z15"/>
  <c r="Y15" s="1"/>
  <c r="F15" s="1"/>
  <c r="Z701" i="169"/>
  <c r="Y701" s="1"/>
  <c r="Z384"/>
  <c r="Z383"/>
  <c r="Z382"/>
  <c r="Z372"/>
  <c r="Y372" s="1"/>
  <c r="Z373"/>
  <c r="Y373" s="1"/>
  <c r="Z374"/>
  <c r="Y374" s="1"/>
  <c r="Z375"/>
  <c r="Y375" s="1"/>
  <c r="Z371"/>
  <c r="Y371" s="1"/>
  <c r="Z367"/>
  <c r="Y367" s="1"/>
  <c r="Z357"/>
  <c r="Y357" s="1"/>
  <c r="Z358"/>
  <c r="Y358" s="1"/>
  <c r="Z356"/>
  <c r="Y356" s="1"/>
  <c r="Z352"/>
  <c r="Y352" s="1"/>
  <c r="F352" s="1"/>
  <c r="Z381" l="1"/>
  <c r="Y381" s="1"/>
  <c r="H6" i="178"/>
  <c r="D6" i="121"/>
  <c r="Z355" i="169"/>
  <c r="Y355" s="1"/>
  <c r="Y159" i="125" l="1"/>
  <c r="F159" l="1"/>
  <c r="Z234" i="172"/>
  <c r="Y234" s="1"/>
  <c r="F234" s="1"/>
  <c r="AA233"/>
  <c r="Z233"/>
  <c r="Y233" s="1"/>
  <c r="AA232"/>
  <c r="Z232"/>
  <c r="Y232" s="1"/>
  <c r="AA231"/>
  <c r="Z231"/>
  <c r="Y231" s="1"/>
  <c r="Z229"/>
  <c r="Y229" s="1"/>
  <c r="F229" s="1"/>
  <c r="Z224"/>
  <c r="Y224" s="1"/>
  <c r="F224" s="1"/>
  <c r="Z223"/>
  <c r="Y223" s="1"/>
  <c r="F223" s="1"/>
  <c r="Z222"/>
  <c r="Y222" s="1"/>
  <c r="F222" s="1"/>
  <c r="Y329" i="171"/>
  <c r="Y328"/>
  <c r="G326"/>
  <c r="H159" i="125" l="1"/>
  <c r="F156"/>
  <c r="Y327" i="171"/>
  <c r="F327" s="1"/>
  <c r="F326" s="1"/>
  <c r="AA224" i="172"/>
  <c r="AA223"/>
  <c r="AA222"/>
  <c r="AA229"/>
  <c r="AA234"/>
  <c r="Y230"/>
  <c r="F230" s="1"/>
  <c r="AA230" l="1"/>
  <c r="F221"/>
  <c r="H221" s="1"/>
  <c r="H326" i="171"/>
  <c r="AA326"/>
  <c r="Z261" i="169" l="1"/>
  <c r="Y261" s="1"/>
  <c r="F261" s="1"/>
  <c r="Z260"/>
  <c r="Y260" s="1"/>
  <c r="F260" s="1"/>
  <c r="Z258"/>
  <c r="Y258" s="1"/>
  <c r="F258" s="1"/>
  <c r="Z257"/>
  <c r="Y257" s="1"/>
  <c r="F257" s="1"/>
  <c r="Z255"/>
  <c r="Y255"/>
  <c r="F255" s="1"/>
  <c r="F254" l="1"/>
  <c r="F253" s="1"/>
  <c r="H253" s="1"/>
  <c r="H254" l="1"/>
  <c r="Z116" l="1"/>
  <c r="Y116" s="1"/>
  <c r="F116" s="1"/>
  <c r="Z115"/>
  <c r="Y115" s="1"/>
  <c r="F115" s="1"/>
  <c r="Z114"/>
  <c r="Y114"/>
  <c r="F114" s="1"/>
  <c r="Z112"/>
  <c r="Y112" s="1"/>
  <c r="F112" s="1"/>
  <c r="Z111"/>
  <c r="Y111" s="1"/>
  <c r="Z110"/>
  <c r="Z108"/>
  <c r="Y108" s="1"/>
  <c r="F108" s="1"/>
  <c r="Z107"/>
  <c r="Y107" s="1"/>
  <c r="F107" s="1"/>
  <c r="Z106"/>
  <c r="Y106" s="1"/>
  <c r="F106" s="1"/>
  <c r="Z83"/>
  <c r="Y83" s="1"/>
  <c r="F83" s="1"/>
  <c r="Z82"/>
  <c r="Y82" s="1"/>
  <c r="Z81"/>
  <c r="Y81" s="1"/>
  <c r="Z76"/>
  <c r="Y76" s="1"/>
  <c r="F76" s="1"/>
  <c r="Z75"/>
  <c r="Y75" s="1"/>
  <c r="F75" s="1"/>
  <c r="Z74"/>
  <c r="Y74" s="1"/>
  <c r="Z73"/>
  <c r="Z71"/>
  <c r="Y71" s="1"/>
  <c r="F71" s="1"/>
  <c r="F21"/>
  <c r="F46"/>
  <c r="H46" s="1"/>
  <c r="F50"/>
  <c r="F24"/>
  <c r="F49"/>
  <c r="F48"/>
  <c r="F47"/>
  <c r="H47" s="1"/>
  <c r="F26"/>
  <c r="F25"/>
  <c r="Z80" l="1"/>
  <c r="Y80" s="1"/>
  <c r="F80" s="1"/>
  <c r="Z72"/>
  <c r="Y72" s="1"/>
  <c r="F72" s="1"/>
  <c r="Z109"/>
  <c r="Y109" s="1"/>
  <c r="F109" s="1"/>
  <c r="F102" s="1"/>
  <c r="F30"/>
  <c r="F33"/>
  <c r="H33" s="1"/>
  <c r="F27"/>
  <c r="F39"/>
  <c r="Y110"/>
  <c r="Y73"/>
  <c r="F68" l="1"/>
  <c r="H68" s="1"/>
  <c r="F20"/>
  <c r="H102"/>
  <c r="Y184" i="125" l="1"/>
  <c r="F184" s="1"/>
  <c r="Y183"/>
  <c r="Y182"/>
  <c r="Y181"/>
  <c r="Y175"/>
  <c r="F175" s="1"/>
  <c r="Y174"/>
  <c r="Y173"/>
  <c r="Y171"/>
  <c r="F171" s="1"/>
  <c r="Y170"/>
  <c r="F170" s="1"/>
  <c r="Y169"/>
  <c r="Y168"/>
  <c r="Y166"/>
  <c r="F166" s="1"/>
  <c r="Y165"/>
  <c r="F165" s="1"/>
  <c r="Y164"/>
  <c r="F164" s="1"/>
  <c r="Y163"/>
  <c r="F163" s="1"/>
  <c r="Y162"/>
  <c r="F162" s="1"/>
  <c r="G109"/>
  <c r="Y154"/>
  <c r="F154" s="1"/>
  <c r="Y153"/>
  <c r="F153" s="1"/>
  <c r="Y152"/>
  <c r="F152" s="1"/>
  <c r="Y151"/>
  <c r="Y150"/>
  <c r="Y149"/>
  <c r="Y147"/>
  <c r="F147" s="1"/>
  <c r="Y146"/>
  <c r="F146" s="1"/>
  <c r="Y145"/>
  <c r="F145" s="1"/>
  <c r="Y144"/>
  <c r="F144" s="1"/>
  <c r="Y143"/>
  <c r="F143" s="1"/>
  <c r="Y142"/>
  <c r="F142" s="1"/>
  <c r="Y141"/>
  <c r="Y140"/>
  <c r="Y108"/>
  <c r="F108" s="1"/>
  <c r="Y107"/>
  <c r="F107" s="1"/>
  <c r="Y106"/>
  <c r="F106" s="1"/>
  <c r="Y105"/>
  <c r="Y104"/>
  <c r="Y102"/>
  <c r="F102" s="1"/>
  <c r="Y101"/>
  <c r="F101" s="1"/>
  <c r="Z99"/>
  <c r="Y99" s="1"/>
  <c r="Z98"/>
  <c r="Y98" s="1"/>
  <c r="Z97"/>
  <c r="Y97" s="1"/>
  <c r="Z96"/>
  <c r="Z94"/>
  <c r="Y94" s="1"/>
  <c r="Z93"/>
  <c r="Y93" s="1"/>
  <c r="Z91"/>
  <c r="Y91" s="1"/>
  <c r="Z90"/>
  <c r="Y90" s="1"/>
  <c r="Z89"/>
  <c r="Y89" s="1"/>
  <c r="Z87"/>
  <c r="Y87" s="1"/>
  <c r="F87" s="1"/>
  <c r="Z86"/>
  <c r="Y86" s="1"/>
  <c r="F86" s="1"/>
  <c r="Z85"/>
  <c r="Y85" s="1"/>
  <c r="F85" s="1"/>
  <c r="Z84"/>
  <c r="Y84" s="1"/>
  <c r="F84" s="1"/>
  <c r="Z83"/>
  <c r="Y83" s="1"/>
  <c r="Z82"/>
  <c r="Y82" s="1"/>
  <c r="Z81"/>
  <c r="Y81" s="1"/>
  <c r="Z80"/>
  <c r="Y80" s="1"/>
  <c r="Z76"/>
  <c r="Y76" s="1"/>
  <c r="Z75"/>
  <c r="Y75" s="1"/>
  <c r="Z74"/>
  <c r="Y74" s="1"/>
  <c r="Z72"/>
  <c r="Y72" s="1"/>
  <c r="F72" s="1"/>
  <c r="Z71"/>
  <c r="Y71" s="1"/>
  <c r="F71" s="1"/>
  <c r="Z70"/>
  <c r="Y70" s="1"/>
  <c r="Y167" l="1"/>
  <c r="F167" s="1"/>
  <c r="Y172"/>
  <c r="F172" s="1"/>
  <c r="Y180"/>
  <c r="Y139"/>
  <c r="F139" s="1"/>
  <c r="Y148"/>
  <c r="F148" s="1"/>
  <c r="Z95"/>
  <c r="Y95" s="1"/>
  <c r="Y103"/>
  <c r="F103" s="1"/>
  <c r="Z92"/>
  <c r="Y92" s="1"/>
  <c r="Z73"/>
  <c r="Y73" s="1"/>
  <c r="F73" s="1"/>
  <c r="Z79"/>
  <c r="Y79" s="1"/>
  <c r="F79" s="1"/>
  <c r="Y96"/>
  <c r="F161" l="1"/>
  <c r="H161" s="1"/>
  <c r="F180"/>
  <c r="H176" s="1"/>
  <c r="F138"/>
  <c r="H138" s="1"/>
  <c r="F100"/>
  <c r="H100" s="1"/>
  <c r="F155" l="1"/>
  <c r="Y65"/>
  <c r="F65" s="1"/>
  <c r="Y64"/>
  <c r="Y63"/>
  <c r="Y62"/>
  <c r="Y61"/>
  <c r="Z60"/>
  <c r="Y60" s="1"/>
  <c r="F60" s="1"/>
  <c r="Y59"/>
  <c r="Y58"/>
  <c r="Y57"/>
  <c r="Z56"/>
  <c r="Y56" s="1"/>
  <c r="F56" s="1"/>
  <c r="Y55"/>
  <c r="Y54"/>
  <c r="Y53"/>
  <c r="Y52"/>
  <c r="Z51"/>
  <c r="Y51" s="1"/>
  <c r="Y50"/>
  <c r="Z46" l="1"/>
  <c r="Y46" s="1"/>
  <c r="F46" s="1"/>
  <c r="F44" s="1"/>
  <c r="Z42"/>
  <c r="Y42" s="1"/>
  <c r="F42" s="1"/>
  <c r="Z41"/>
  <c r="Y41" s="1"/>
  <c r="F41" s="1"/>
  <c r="Z40"/>
  <c r="Y40" s="1"/>
  <c r="F40" s="1"/>
  <c r="Z39"/>
  <c r="Y39" s="1"/>
  <c r="Z38"/>
  <c r="Y38" s="1"/>
  <c r="Z30"/>
  <c r="Z27"/>
  <c r="Y27" s="1"/>
  <c r="Z26"/>
  <c r="Y26" s="1"/>
  <c r="Z34"/>
  <c r="Y34" s="1"/>
  <c r="F34" s="1"/>
  <c r="Z32"/>
  <c r="Y32" s="1"/>
  <c r="Z31"/>
  <c r="Z28"/>
  <c r="Z25"/>
  <c r="Y25" s="1"/>
  <c r="Z29" l="1"/>
  <c r="Y29" s="1"/>
  <c r="F29" s="1"/>
  <c r="F33"/>
  <c r="Z37"/>
  <c r="Y37" s="1"/>
  <c r="F37" s="1"/>
  <c r="Z24"/>
  <c r="Y24" s="1"/>
  <c r="F24" s="1"/>
  <c r="Y30"/>
  <c r="Y28"/>
  <c r="Y31"/>
  <c r="F23" l="1"/>
  <c r="F36"/>
  <c r="Y240" i="170" l="1"/>
  <c r="F240" s="1"/>
  <c r="Z239"/>
  <c r="Y239" s="1"/>
  <c r="F239" s="1"/>
  <c r="Z238"/>
  <c r="Y238" s="1"/>
  <c r="Z237"/>
  <c r="Z294"/>
  <c r="Y294" s="1"/>
  <c r="F294" s="1"/>
  <c r="Z293"/>
  <c r="Y293" s="1"/>
  <c r="F293" s="1"/>
  <c r="Z292"/>
  <c r="Y292" s="1"/>
  <c r="Z291"/>
  <c r="Y291" s="1"/>
  <c r="Z290"/>
  <c r="Y290" s="1"/>
  <c r="Z281"/>
  <c r="Z280" s="1"/>
  <c r="Y280" s="1"/>
  <c r="F280" s="1"/>
  <c r="F268" s="1"/>
  <c r="Z250"/>
  <c r="Y250" s="1"/>
  <c r="F250" s="1"/>
  <c r="H250" s="1"/>
  <c r="Y249"/>
  <c r="F249" s="1"/>
  <c r="H249" s="1"/>
  <c r="Y248"/>
  <c r="F248" s="1"/>
  <c r="H248" s="1"/>
  <c r="Y247"/>
  <c r="F247" s="1"/>
  <c r="Z246"/>
  <c r="F246" s="1"/>
  <c r="H246" s="1"/>
  <c r="Z244"/>
  <c r="Y244" s="1"/>
  <c r="Z243"/>
  <c r="Z233"/>
  <c r="Y233" s="1"/>
  <c r="F233" s="1"/>
  <c r="Z232"/>
  <c r="Y232" s="1"/>
  <c r="Z231"/>
  <c r="Z230"/>
  <c r="Y230" s="1"/>
  <c r="Z228"/>
  <c r="Y228" s="1"/>
  <c r="Z227"/>
  <c r="Z226"/>
  <c r="Z224"/>
  <c r="Y224" s="1"/>
  <c r="Z223"/>
  <c r="Y223" s="1"/>
  <c r="Z222"/>
  <c r="Y222" s="1"/>
  <c r="Z213"/>
  <c r="Z197"/>
  <c r="Y197" s="1"/>
  <c r="F197" s="1"/>
  <c r="Z191"/>
  <c r="Y191" s="1"/>
  <c r="F191" s="1"/>
  <c r="Z184"/>
  <c r="Y184" s="1"/>
  <c r="Z183"/>
  <c r="Y183" s="1"/>
  <c r="Z182"/>
  <c r="Y182" s="1"/>
  <c r="Y213" l="1"/>
  <c r="Y226"/>
  <c r="Z225"/>
  <c r="Y225" s="1"/>
  <c r="F225" s="1"/>
  <c r="F189"/>
  <c r="H247"/>
  <c r="F245"/>
  <c r="Y237"/>
  <c r="Z236"/>
  <c r="Y236" s="1"/>
  <c r="Z289"/>
  <c r="Y289" s="1"/>
  <c r="F289" s="1"/>
  <c r="F284" s="1"/>
  <c r="Z242"/>
  <c r="Y242" s="1"/>
  <c r="Y243"/>
  <c r="Z229"/>
  <c r="Y229" s="1"/>
  <c r="F229" s="1"/>
  <c r="Z221"/>
  <c r="Y221" s="1"/>
  <c r="F221" s="1"/>
  <c r="Y227"/>
  <c r="Y231"/>
  <c r="Z181"/>
  <c r="Y181" s="1"/>
  <c r="Z185"/>
  <c r="Y212" l="1"/>
  <c r="F212" s="1"/>
  <c r="H211" s="1"/>
  <c r="H284"/>
  <c r="F202"/>
  <c r="H268"/>
  <c r="F188"/>
  <c r="H188" s="1"/>
  <c r="H202" l="1"/>
  <c r="F201"/>
  <c r="H189"/>
  <c r="F274" i="176" l="1"/>
  <c r="H274" s="1"/>
  <c r="Z274"/>
  <c r="Z260"/>
  <c r="Y260" s="1"/>
  <c r="Z259"/>
  <c r="Y259" s="1"/>
  <c r="Z258"/>
  <c r="Y258" s="1"/>
  <c r="Z257"/>
  <c r="Y257" s="1"/>
  <c r="Z256"/>
  <c r="Y256" s="1"/>
  <c r="Z255"/>
  <c r="Y255" s="1"/>
  <c r="Z247"/>
  <c r="Y247" s="1"/>
  <c r="F247" s="1"/>
  <c r="Z241"/>
  <c r="Y241" s="1"/>
  <c r="F241" s="1"/>
  <c r="Z240"/>
  <c r="Y240" s="1"/>
  <c r="F240" s="1"/>
  <c r="Z187"/>
  <c r="Y187" s="1"/>
  <c r="F187" s="1"/>
  <c r="Z186"/>
  <c r="Y186" s="1"/>
  <c r="F186" s="1"/>
  <c r="Z185"/>
  <c r="Y185" s="1"/>
  <c r="F185" s="1"/>
  <c r="Z184"/>
  <c r="Y184" s="1"/>
  <c r="Z183"/>
  <c r="Y183" s="1"/>
  <c r="Z181"/>
  <c r="Y181" s="1"/>
  <c r="F181" s="1"/>
  <c r="Z180"/>
  <c r="Y180" s="1"/>
  <c r="F180" s="1"/>
  <c r="Z179"/>
  <c r="Y179" s="1"/>
  <c r="Z178"/>
  <c r="Z176"/>
  <c r="Y176" s="1"/>
  <c r="F176" s="1"/>
  <c r="Z168"/>
  <c r="Y168" s="1"/>
  <c r="F168" s="1"/>
  <c r="Z174"/>
  <c r="Y174" s="1"/>
  <c r="F174" s="1"/>
  <c r="Z173"/>
  <c r="Y173" s="1"/>
  <c r="F173" s="1"/>
  <c r="Z172"/>
  <c r="Y172" s="1"/>
  <c r="F172" s="1"/>
  <c r="Z171"/>
  <c r="Y171" s="1"/>
  <c r="F171" s="1"/>
  <c r="Z170"/>
  <c r="Y170" s="1"/>
  <c r="F170" s="1"/>
  <c r="Z169"/>
  <c r="Y169" s="1"/>
  <c r="F169" s="1"/>
  <c r="Z118"/>
  <c r="Y118" s="1"/>
  <c r="Z117"/>
  <c r="Y117" s="1"/>
  <c r="Z116"/>
  <c r="Y116" s="1"/>
  <c r="F239" l="1"/>
  <c r="F273"/>
  <c r="H273" s="1"/>
  <c r="AA274"/>
  <c r="Z254"/>
  <c r="Y254"/>
  <c r="F254" s="1"/>
  <c r="F248" s="1"/>
  <c r="Y182"/>
  <c r="F182" s="1"/>
  <c r="Z177"/>
  <c r="F167"/>
  <c r="Z182"/>
  <c r="Y178"/>
  <c r="Y177" s="1"/>
  <c r="F177" s="1"/>
  <c r="F119"/>
  <c r="Z115"/>
  <c r="F114"/>
  <c r="F175" l="1"/>
  <c r="H175" s="1"/>
  <c r="H248"/>
  <c r="H239"/>
  <c r="Y115"/>
  <c r="F115" s="1"/>
  <c r="F100" s="1"/>
  <c r="H100" l="1"/>
  <c r="Y318" i="175" l="1"/>
  <c r="Y317"/>
  <c r="Y315"/>
  <c r="Y314"/>
  <c r="Y312"/>
  <c r="Y310"/>
  <c r="Y249"/>
  <c r="F249" s="1"/>
  <c r="Y248"/>
  <c r="Y247"/>
  <c r="F247" s="1"/>
  <c r="Y246"/>
  <c r="F246" s="1"/>
  <c r="Y245"/>
  <c r="F245" s="1"/>
  <c r="Y244"/>
  <c r="F244" s="1"/>
  <c r="Y231"/>
  <c r="F231" s="1"/>
  <c r="Y230"/>
  <c r="F230" s="1"/>
  <c r="Y229"/>
  <c r="Y228"/>
  <c r="Y226"/>
  <c r="F226" s="1"/>
  <c r="Y225"/>
  <c r="F225" s="1"/>
  <c r="Y224"/>
  <c r="Y223"/>
  <c r="Y222"/>
  <c r="Y221"/>
  <c r="Y219"/>
  <c r="F219" s="1"/>
  <c r="Y218"/>
  <c r="F218" s="1"/>
  <c r="F170"/>
  <c r="Y316" l="1"/>
  <c r="Y313"/>
  <c r="Y220"/>
  <c r="F220" s="1"/>
  <c r="Y227"/>
  <c r="F227" s="1"/>
  <c r="F171"/>
  <c r="F169" s="1"/>
  <c r="F217" l="1"/>
  <c r="H205"/>
  <c r="Z61" i="174" l="1"/>
  <c r="Y61" s="1"/>
  <c r="Z60"/>
  <c r="Y60" s="1"/>
  <c r="Z59"/>
  <c r="Y59" s="1"/>
  <c r="Z58"/>
  <c r="Y58" s="1"/>
  <c r="Z57"/>
  <c r="Y57" s="1"/>
  <c r="Z56"/>
  <c r="Z54"/>
  <c r="Y54" s="1"/>
  <c r="Z53"/>
  <c r="Y53" s="1"/>
  <c r="Z55" l="1"/>
  <c r="Y55" s="1"/>
  <c r="Z52"/>
  <c r="Y52" s="1"/>
  <c r="Y56"/>
  <c r="F433" i="173" l="1"/>
  <c r="H433" s="1"/>
  <c r="Z448"/>
  <c r="Y448" s="1"/>
  <c r="F448" s="1"/>
  <c r="Z447"/>
  <c r="Y447" s="1"/>
  <c r="Z446"/>
  <c r="Z444"/>
  <c r="Y444" s="1"/>
  <c r="F444" s="1"/>
  <c r="Z443"/>
  <c r="Y443" s="1"/>
  <c r="Z442"/>
  <c r="Y442" s="1"/>
  <c r="Z441"/>
  <c r="Z426"/>
  <c r="Y426" s="1"/>
  <c r="Z425"/>
  <c r="Y425" s="1"/>
  <c r="Z424"/>
  <c r="F422"/>
  <c r="Z421"/>
  <c r="Y421" s="1"/>
  <c r="F421" s="1"/>
  <c r="Z418"/>
  <c r="Y418" s="1"/>
  <c r="F418" s="1"/>
  <c r="Z197"/>
  <c r="Y197" s="1"/>
  <c r="F197" s="1"/>
  <c r="Z196"/>
  <c r="Y196" s="1"/>
  <c r="F196" s="1"/>
  <c r="Z195"/>
  <c r="Y195" s="1"/>
  <c r="F195" s="1"/>
  <c r="Z194"/>
  <c r="Y194" s="1"/>
  <c r="Z193"/>
  <c r="Y193" s="1"/>
  <c r="Z192"/>
  <c r="Y192" s="1"/>
  <c r="Z191"/>
  <c r="Y191" s="1"/>
  <c r="Z190"/>
  <c r="Z188"/>
  <c r="Y188" s="1"/>
  <c r="Z187"/>
  <c r="Z185"/>
  <c r="Y185" s="1"/>
  <c r="F185" s="1"/>
  <c r="Z184"/>
  <c r="Y184" s="1"/>
  <c r="F184" s="1"/>
  <c r="Z182"/>
  <c r="Y182" s="1"/>
  <c r="F182" s="1"/>
  <c r="Z128"/>
  <c r="Y128" s="1"/>
  <c r="Z127"/>
  <c r="Y127" s="1"/>
  <c r="Z126"/>
  <c r="Y126" s="1"/>
  <c r="Z125"/>
  <c r="Y125" s="1"/>
  <c r="Z124"/>
  <c r="Z122"/>
  <c r="Y122" s="1"/>
  <c r="Z121"/>
  <c r="Y121" s="1"/>
  <c r="Z119"/>
  <c r="Y119" s="1"/>
  <c r="Z118"/>
  <c r="Y118" s="1"/>
  <c r="Z117"/>
  <c r="Y117" s="1"/>
  <c r="Z116"/>
  <c r="Y116" s="1"/>
  <c r="Z115"/>
  <c r="Z112"/>
  <c r="Y112" s="1"/>
  <c r="Z111"/>
  <c r="Y111" s="1"/>
  <c r="Z445" l="1"/>
  <c r="Y445" s="1"/>
  <c r="F445" s="1"/>
  <c r="Z423"/>
  <c r="Y423" s="1"/>
  <c r="F423" s="1"/>
  <c r="Z440"/>
  <c r="Y440" s="1"/>
  <c r="F440" s="1"/>
  <c r="F420"/>
  <c r="Y446"/>
  <c r="F126"/>
  <c r="F427"/>
  <c r="H427" s="1"/>
  <c r="F121"/>
  <c r="F119"/>
  <c r="F113"/>
  <c r="F118"/>
  <c r="F128"/>
  <c r="F419"/>
  <c r="F111"/>
  <c r="F112"/>
  <c r="F122"/>
  <c r="F127"/>
  <c r="Z123"/>
  <c r="Y123" s="1"/>
  <c r="Y424"/>
  <c r="Y441"/>
  <c r="Z186"/>
  <c r="Y186" s="1"/>
  <c r="F186" s="1"/>
  <c r="Y124"/>
  <c r="Y187"/>
  <c r="Z114"/>
  <c r="Y114" s="1"/>
  <c r="Z189"/>
  <c r="Y189" s="1"/>
  <c r="F189" s="1"/>
  <c r="Y190"/>
  <c r="Y115"/>
  <c r="F417" l="1"/>
  <c r="H417" s="1"/>
  <c r="F123"/>
  <c r="F114"/>
  <c r="F120" l="1"/>
  <c r="F110"/>
  <c r="G366" i="172"/>
  <c r="Z371"/>
  <c r="Y371" s="1"/>
  <c r="Z370"/>
  <c r="Y370" s="1"/>
  <c r="Y369"/>
  <c r="Y368"/>
  <c r="Y356"/>
  <c r="F356" s="1"/>
  <c r="Z341"/>
  <c r="G325"/>
  <c r="Y327"/>
  <c r="Y332"/>
  <c r="Y334"/>
  <c r="Y335"/>
  <c r="Y336"/>
  <c r="Y337"/>
  <c r="Y331"/>
  <c r="Y330"/>
  <c r="Y328"/>
  <c r="Y326"/>
  <c r="F326" s="1"/>
  <c r="Z324"/>
  <c r="Y324" s="1"/>
  <c r="Z323"/>
  <c r="Y323" s="1"/>
  <c r="Z322"/>
  <c r="Y322" s="1"/>
  <c r="Z321"/>
  <c r="Z320"/>
  <c r="Y320" s="1"/>
  <c r="Z319"/>
  <c r="Y319" s="1"/>
  <c r="Z318"/>
  <c r="Y318" s="1"/>
  <c r="Z317"/>
  <c r="Y317" s="1"/>
  <c r="Y315"/>
  <c r="F315" s="1"/>
  <c r="Y313"/>
  <c r="F313" s="1"/>
  <c r="Y311"/>
  <c r="F311" s="1"/>
  <c r="Y308"/>
  <c r="F308" s="1"/>
  <c r="H308" s="1"/>
  <c r="Y307"/>
  <c r="F307" s="1"/>
  <c r="Y306"/>
  <c r="AA306" s="1"/>
  <c r="AA302"/>
  <c r="Z302"/>
  <c r="Y301"/>
  <c r="F301" s="1"/>
  <c r="Z299"/>
  <c r="Y299" s="1"/>
  <c r="F299" s="1"/>
  <c r="Z293"/>
  <c r="Y293" s="1"/>
  <c r="F293" s="1"/>
  <c r="Y292"/>
  <c r="Z291"/>
  <c r="Y291" s="1"/>
  <c r="Z290"/>
  <c r="Y290" s="1"/>
  <c r="Z287"/>
  <c r="Y287" s="1"/>
  <c r="Z286"/>
  <c r="Y286" s="1"/>
  <c r="Z282"/>
  <c r="Y282" s="1"/>
  <c r="Z281"/>
  <c r="Y281" s="1"/>
  <c r="Z280"/>
  <c r="Y280" s="1"/>
  <c r="Z279"/>
  <c r="Y279" s="1"/>
  <c r="AA278"/>
  <c r="Z278"/>
  <c r="Y278" s="1"/>
  <c r="AA277"/>
  <c r="Z277"/>
  <c r="Y277" s="1"/>
  <c r="AA276"/>
  <c r="Z276"/>
  <c r="Y276" s="1"/>
  <c r="AA275"/>
  <c r="Z275"/>
  <c r="Y275" s="1"/>
  <c r="AA273"/>
  <c r="Z273"/>
  <c r="Y273" s="1"/>
  <c r="AA272"/>
  <c r="Z272"/>
  <c r="Y272" s="1"/>
  <c r="AA271"/>
  <c r="Z271"/>
  <c r="Y271" s="1"/>
  <c r="AA270"/>
  <c r="Z270"/>
  <c r="Y270" s="1"/>
  <c r="AA269"/>
  <c r="Z269"/>
  <c r="Y269" s="1"/>
  <c r="AA268"/>
  <c r="Z268"/>
  <c r="Z266"/>
  <c r="Y266" s="1"/>
  <c r="AA265"/>
  <c r="Z265"/>
  <c r="Y265" s="1"/>
  <c r="AA264"/>
  <c r="Z264"/>
  <c r="Y264" s="1"/>
  <c r="Z262"/>
  <c r="Y262" s="1"/>
  <c r="Z261"/>
  <c r="Y261" s="1"/>
  <c r="AA260"/>
  <c r="Z260"/>
  <c r="Y260" s="1"/>
  <c r="AA259"/>
  <c r="Z259"/>
  <c r="Y259" s="1"/>
  <c r="Z256"/>
  <c r="Y256"/>
  <c r="Z255"/>
  <c r="Y255" s="1"/>
  <c r="AA253"/>
  <c r="Z253"/>
  <c r="Y253" s="1"/>
  <c r="AA252"/>
  <c r="Z252"/>
  <c r="Y252" s="1"/>
  <c r="Z250"/>
  <c r="Y250" s="1"/>
  <c r="Z249"/>
  <c r="Y249" s="1"/>
  <c r="Z248"/>
  <c r="Z247"/>
  <c r="Y247" s="1"/>
  <c r="Z246"/>
  <c r="Y246" s="1"/>
  <c r="Y220"/>
  <c r="F220" s="1"/>
  <c r="Y218"/>
  <c r="F218" s="1"/>
  <c r="Z213"/>
  <c r="Y213" s="1"/>
  <c r="F213" s="1"/>
  <c r="Z212"/>
  <c r="Y212" s="1"/>
  <c r="F212" s="1"/>
  <c r="AA210"/>
  <c r="Z210"/>
  <c r="Y210" s="1"/>
  <c r="AA209"/>
  <c r="Z209"/>
  <c r="Y209" s="1"/>
  <c r="AA208"/>
  <c r="Z208"/>
  <c r="Y208" s="1"/>
  <c r="AA207"/>
  <c r="Z207"/>
  <c r="Y207" s="1"/>
  <c r="AA206"/>
  <c r="Z206"/>
  <c r="Y206" s="1"/>
  <c r="AA196"/>
  <c r="Z196"/>
  <c r="Y196" s="1"/>
  <c r="Z195"/>
  <c r="Y195" s="1"/>
  <c r="Z192"/>
  <c r="Y192" s="1"/>
  <c r="AA191"/>
  <c r="Z191"/>
  <c r="Y191" s="1"/>
  <c r="Z188"/>
  <c r="Y188" s="1"/>
  <c r="F188" s="1"/>
  <c r="Z186"/>
  <c r="Y186" s="1"/>
  <c r="F186" s="1"/>
  <c r="Z185"/>
  <c r="Y185" s="1"/>
  <c r="F185" s="1"/>
  <c r="AA183"/>
  <c r="Z183"/>
  <c r="Y183" s="1"/>
  <c r="AA182"/>
  <c r="Z182"/>
  <c r="Y182" s="1"/>
  <c r="AA181"/>
  <c r="Z181"/>
  <c r="AA180"/>
  <c r="Z180"/>
  <c r="Y180" s="1"/>
  <c r="AA178"/>
  <c r="Z178"/>
  <c r="Y178" s="1"/>
  <c r="AA177"/>
  <c r="Z177"/>
  <c r="AA176"/>
  <c r="Z176"/>
  <c r="Y176" s="1"/>
  <c r="Z174"/>
  <c r="Y174" s="1"/>
  <c r="F174" s="1"/>
  <c r="AA173"/>
  <c r="Z173"/>
  <c r="Y173" s="1"/>
  <c r="AA172"/>
  <c r="Z172"/>
  <c r="Y172" s="1"/>
  <c r="Z170"/>
  <c r="Y170" s="1"/>
  <c r="AA168"/>
  <c r="Z168"/>
  <c r="Y168" s="1"/>
  <c r="AA167"/>
  <c r="Z167"/>
  <c r="Y167" s="1"/>
  <c r="AA166"/>
  <c r="Z166"/>
  <c r="Y166" s="1"/>
  <c r="G112"/>
  <c r="F118"/>
  <c r="F310" l="1"/>
  <c r="AA307"/>
  <c r="H307"/>
  <c r="AA301"/>
  <c r="H301"/>
  <c r="Y341"/>
  <c r="Y339"/>
  <c r="F339" s="1"/>
  <c r="Y345"/>
  <c r="Y344"/>
  <c r="F344" s="1"/>
  <c r="H344" s="1"/>
  <c r="H110" i="173"/>
  <c r="Y329" i="172"/>
  <c r="Z258"/>
  <c r="Y258" s="1"/>
  <c r="Z267"/>
  <c r="Y333"/>
  <c r="Z289"/>
  <c r="Y289" s="1"/>
  <c r="F355"/>
  <c r="Z263"/>
  <c r="Y263" s="1"/>
  <c r="Y321"/>
  <c r="Y300"/>
  <c r="F300" s="1"/>
  <c r="H300" s="1"/>
  <c r="Y305"/>
  <c r="Z285"/>
  <c r="Y285" s="1"/>
  <c r="AA212"/>
  <c r="Z274"/>
  <c r="Y274" s="1"/>
  <c r="Z171"/>
  <c r="Y171" s="1"/>
  <c r="F171" s="1"/>
  <c r="Z190"/>
  <c r="Y190" s="1"/>
  <c r="F190" s="1"/>
  <c r="Z175"/>
  <c r="Y175" s="1"/>
  <c r="F175" s="1"/>
  <c r="Z179"/>
  <c r="Y179" s="1"/>
  <c r="F179" s="1"/>
  <c r="AA179" s="1"/>
  <c r="Y268"/>
  <c r="Y267" s="1"/>
  <c r="Z251"/>
  <c r="Y251" s="1"/>
  <c r="Z194"/>
  <c r="Y194" s="1"/>
  <c r="F194" s="1"/>
  <c r="Z205"/>
  <c r="Y205" s="1"/>
  <c r="F205" s="1"/>
  <c r="Y177"/>
  <c r="Y181"/>
  <c r="Z165"/>
  <c r="Y165" s="1"/>
  <c r="F165" s="1"/>
  <c r="AA339" l="1"/>
  <c r="F341"/>
  <c r="AA344"/>
  <c r="F345"/>
  <c r="H345" s="1"/>
  <c r="H339"/>
  <c r="Y304"/>
  <c r="F304" s="1"/>
  <c r="H304" s="1"/>
  <c r="F214"/>
  <c r="F187"/>
  <c r="H187" s="1"/>
  <c r="AA205"/>
  <c r="AA165"/>
  <c r="AA190"/>
  <c r="F338" l="1"/>
  <c r="AA345"/>
  <c r="AA341"/>
  <c r="F298"/>
  <c r="H214"/>
  <c r="Y336" i="171"/>
  <c r="F336" s="1"/>
  <c r="Y325"/>
  <c r="F325" s="1"/>
  <c r="Y323"/>
  <c r="F323" s="1"/>
  <c r="Y321"/>
  <c r="Y277"/>
  <c r="Y253"/>
  <c r="F253" s="1"/>
  <c r="Y252"/>
  <c r="F252" s="1"/>
  <c r="Y251"/>
  <c r="F251" s="1"/>
  <c r="Z250"/>
  <c r="Y250"/>
  <c r="F250" s="1"/>
  <c r="AA124"/>
  <c r="AA127"/>
  <c r="AA136"/>
  <c r="Y138"/>
  <c r="F138" s="1"/>
  <c r="Z138" s="1"/>
  <c r="Y120"/>
  <c r="F120" s="1"/>
  <c r="F121"/>
  <c r="AA137"/>
  <c r="Y137"/>
  <c r="Y136"/>
  <c r="Y135"/>
  <c r="AA134"/>
  <c r="Y134"/>
  <c r="AA133"/>
  <c r="Y133"/>
  <c r="Y131"/>
  <c r="AA130"/>
  <c r="Y130"/>
  <c r="Y128"/>
  <c r="Y127"/>
  <c r="AA126"/>
  <c r="Y126"/>
  <c r="Y124"/>
  <c r="AA123"/>
  <c r="Y123"/>
  <c r="Y119"/>
  <c r="Y129" l="1"/>
  <c r="F129" s="1"/>
  <c r="AA129" s="1"/>
  <c r="AA121"/>
  <c r="Z121"/>
  <c r="Z120"/>
  <c r="Y125"/>
  <c r="F125" s="1"/>
  <c r="AA253"/>
  <c r="AA138"/>
  <c r="AA250"/>
  <c r="AA325"/>
  <c r="Y122"/>
  <c r="F122" s="1"/>
  <c r="Z122" s="1"/>
  <c r="Y132"/>
  <c r="F132" s="1"/>
  <c r="AA120"/>
  <c r="Z129" l="1"/>
  <c r="AA132"/>
  <c r="Z132"/>
  <c r="Z125"/>
  <c r="G234" i="176" l="1"/>
  <c r="G226"/>
  <c r="G212"/>
  <c r="G199"/>
  <c r="G195"/>
  <c r="G188"/>
  <c r="G121"/>
  <c r="G120" s="1"/>
  <c r="G86"/>
  <c r="G85" s="1"/>
  <c r="G80"/>
  <c r="G20"/>
  <c r="G8"/>
  <c r="G332" i="175"/>
  <c r="G331" s="1"/>
  <c r="G320"/>
  <c r="G319" s="1"/>
  <c r="G307"/>
  <c r="G232"/>
  <c r="G137"/>
  <c r="G120"/>
  <c r="G114"/>
  <c r="G21"/>
  <c r="G8"/>
  <c r="G246" i="174"/>
  <c r="G245" s="1"/>
  <c r="G233"/>
  <c r="G232" s="1"/>
  <c r="G184"/>
  <c r="G183" s="1"/>
  <c r="G177"/>
  <c r="G166"/>
  <c r="G129"/>
  <c r="G122"/>
  <c r="G113"/>
  <c r="G103"/>
  <c r="G95"/>
  <c r="G89"/>
  <c r="G21"/>
  <c r="G8"/>
  <c r="G384" i="173"/>
  <c r="G352"/>
  <c r="G332"/>
  <c r="G320"/>
  <c r="G310"/>
  <c r="G267"/>
  <c r="G238"/>
  <c r="G223"/>
  <c r="G211"/>
  <c r="G199"/>
  <c r="G85"/>
  <c r="G21"/>
  <c r="G8"/>
  <c r="G358" i="172"/>
  <c r="G357" s="1"/>
  <c r="G297"/>
  <c r="G294"/>
  <c r="G245"/>
  <c r="G236"/>
  <c r="G235" s="1"/>
  <c r="G111"/>
  <c r="G108"/>
  <c r="G20"/>
  <c r="G8"/>
  <c r="G310" i="171"/>
  <c r="G299"/>
  <c r="G298" s="1"/>
  <c r="G280"/>
  <c r="G233"/>
  <c r="G227"/>
  <c r="G220"/>
  <c r="G197"/>
  <c r="G185"/>
  <c r="G160"/>
  <c r="G117"/>
  <c r="G111"/>
  <c r="G21"/>
  <c r="G8"/>
  <c r="G342" i="170"/>
  <c r="G341" s="1"/>
  <c r="G323"/>
  <c r="G318"/>
  <c r="G251"/>
  <c r="G241"/>
  <c r="G152"/>
  <c r="G88"/>
  <c r="G8"/>
  <c r="G686" i="169"/>
  <c r="G685" s="1"/>
  <c r="G553"/>
  <c r="G540"/>
  <c r="G501"/>
  <c r="G479"/>
  <c r="G468"/>
  <c r="G414"/>
  <c r="G403"/>
  <c r="G380"/>
  <c r="G349" s="1"/>
  <c r="G348" s="1"/>
  <c r="G228"/>
  <c r="G227" s="1"/>
  <c r="G8"/>
  <c r="G7" s="1"/>
  <c r="G135" i="113"/>
  <c r="G20"/>
  <c r="G8"/>
  <c r="H9" i="160"/>
  <c r="Y9"/>
  <c r="S9"/>
  <c r="Y14"/>
  <c r="Z14"/>
  <c r="Z12"/>
  <c r="Y12"/>
  <c r="Z11"/>
  <c r="Y11"/>
  <c r="E46" i="157"/>
  <c r="G46" s="1"/>
  <c r="E39"/>
  <c r="G39" s="1"/>
  <c r="E30"/>
  <c r="G30" s="1"/>
  <c r="E27"/>
  <c r="G27" s="1"/>
  <c r="E26"/>
  <c r="G26" s="1"/>
  <c r="E25"/>
  <c r="G25" s="1"/>
  <c r="G478" i="169" l="1"/>
  <c r="G386"/>
  <c r="G7" i="174"/>
  <c r="G194"/>
  <c r="G148"/>
  <c r="G94"/>
  <c r="G121"/>
  <c r="G92" i="170"/>
  <c r="G198" i="176"/>
  <c r="G200" i="170"/>
  <c r="G198" s="1"/>
  <c r="E26" i="121" s="1"/>
  <c r="G309" i="172"/>
  <c r="G198" i="173"/>
  <c r="G216" i="175"/>
  <c r="G331" i="173"/>
  <c r="G241"/>
  <c r="G272"/>
  <c r="G7" i="171"/>
  <c r="G159"/>
  <c r="G232"/>
  <c r="G265"/>
  <c r="G510" i="169"/>
  <c r="G617"/>
  <c r="G616" s="1"/>
  <c r="G436"/>
  <c r="G539"/>
  <c r="G299" i="170"/>
  <c r="G298" s="1"/>
  <c r="G7" i="176"/>
  <c r="G140"/>
  <c r="G306" i="175"/>
  <c r="G150"/>
  <c r="G7"/>
  <c r="G7" i="173"/>
  <c r="G7" i="172"/>
  <c r="G119" i="175"/>
  <c r="G7" i="170"/>
  <c r="E22" i="157"/>
  <c r="G22" s="1"/>
  <c r="E21"/>
  <c r="G21" s="1"/>
  <c r="E20"/>
  <c r="G20" s="1"/>
  <c r="E14"/>
  <c r="G14" s="1"/>
  <c r="E15"/>
  <c r="G15" s="1"/>
  <c r="E13"/>
  <c r="G13" s="1"/>
  <c r="E11"/>
  <c r="G11" s="1"/>
  <c r="E12"/>
  <c r="G12" s="1"/>
  <c r="D18" i="164"/>
  <c r="T47" i="120"/>
  <c r="T42"/>
  <c r="F120" i="177"/>
  <c r="F81"/>
  <c r="F78"/>
  <c r="F67"/>
  <c r="F65"/>
  <c r="F60"/>
  <c r="F26"/>
  <c r="F15"/>
  <c r="F7"/>
  <c r="Z362" i="170"/>
  <c r="Y362" s="1"/>
  <c r="Z361"/>
  <c r="Y361" s="1"/>
  <c r="Z360"/>
  <c r="Y360" s="1"/>
  <c r="Z359"/>
  <c r="Y359" s="1"/>
  <c r="Z357"/>
  <c r="Y357" s="1"/>
  <c r="Z356"/>
  <c r="Y356" s="1"/>
  <c r="Z355"/>
  <c r="Y355" s="1"/>
  <c r="Z354"/>
  <c r="Z352"/>
  <c r="Y352" s="1"/>
  <c r="Z351"/>
  <c r="Y351" s="1"/>
  <c r="Z350"/>
  <c r="Z348"/>
  <c r="Y348" s="1"/>
  <c r="Z347"/>
  <c r="Y347" s="1"/>
  <c r="Z346"/>
  <c r="Z345"/>
  <c r="Y345" s="1"/>
  <c r="Z343"/>
  <c r="Y343" s="1"/>
  <c r="G89" i="173" l="1"/>
  <c r="G6" s="1"/>
  <c r="G110" i="172"/>
  <c r="G93" i="174"/>
  <c r="G538" i="169"/>
  <c r="F6" i="177"/>
  <c r="G118" i="175"/>
  <c r="G6" s="1"/>
  <c r="G116" i="171"/>
  <c r="G117" i="169"/>
  <c r="Z353" i="170"/>
  <c r="Z358"/>
  <c r="Y358" s="1"/>
  <c r="G84" i="176"/>
  <c r="Z344" i="170"/>
  <c r="Y344" s="1"/>
  <c r="Z349"/>
  <c r="Y349" s="1"/>
  <c r="Y346"/>
  <c r="Y350"/>
  <c r="Y354"/>
  <c r="Y353" s="1"/>
  <c r="Z63" i="169" l="1"/>
  <c r="AA355" i="172" l="1"/>
  <c r="AA322"/>
  <c r="AA323"/>
  <c r="AA239"/>
  <c r="AA240"/>
  <c r="AA118"/>
  <c r="AA119"/>
  <c r="AA120"/>
  <c r="AC79"/>
  <c r="AA10"/>
  <c r="AA11"/>
  <c r="AA12"/>
  <c r="AA13"/>
  <c r="AA14"/>
  <c r="AA15"/>
  <c r="AA18"/>
  <c r="AA19"/>
  <c r="AA10" i="171"/>
  <c r="AA11"/>
  <c r="AA12"/>
  <c r="AA13"/>
  <c r="AA14"/>
  <c r="AA15"/>
  <c r="AA18"/>
  <c r="AA19"/>
  <c r="AA20"/>
  <c r="AA23"/>
  <c r="AA24"/>
  <c r="AA27"/>
  <c r="AA28"/>
  <c r="AA29"/>
  <c r="AA31"/>
  <c r="AA32"/>
  <c r="AA34"/>
  <c r="AA35"/>
  <c r="AA37"/>
  <c r="AA38"/>
  <c r="AA39"/>
  <c r="AA40"/>
  <c r="AA41"/>
  <c r="AA43"/>
  <c r="AA44"/>
  <c r="AA45"/>
  <c r="AA46"/>
  <c r="AA48"/>
  <c r="AA49"/>
  <c r="AA50"/>
  <c r="AA52"/>
  <c r="AA53"/>
  <c r="AA55"/>
  <c r="AA56"/>
  <c r="AA57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7"/>
  <c r="AA88"/>
  <c r="AA89"/>
  <c r="AA90"/>
  <c r="AA91"/>
  <c r="AA93"/>
  <c r="AA94"/>
  <c r="AA95"/>
  <c r="AA96"/>
  <c r="AA97"/>
  <c r="AA99"/>
  <c r="AA100"/>
  <c r="AA101"/>
  <c r="AA102"/>
  <c r="AA104"/>
  <c r="AA105"/>
  <c r="AA107"/>
  <c r="AA108"/>
  <c r="AA109"/>
  <c r="AA113"/>
  <c r="AA114"/>
  <c r="AA115"/>
  <c r="AA142"/>
  <c r="AA143"/>
  <c r="AA144"/>
  <c r="AA147"/>
  <c r="AA148"/>
  <c r="AA150"/>
  <c r="AA151"/>
  <c r="AA152"/>
  <c r="AA154"/>
  <c r="AA155"/>
  <c r="AA156"/>
  <c r="AA162"/>
  <c r="AA163"/>
  <c r="AA164"/>
  <c r="AA166"/>
  <c r="AA167"/>
  <c r="AA168"/>
  <c r="AA170"/>
  <c r="AA171"/>
  <c r="AA172"/>
  <c r="AA173"/>
  <c r="AA174"/>
  <c r="AA175"/>
  <c r="AA177"/>
  <c r="AA178"/>
  <c r="AA179"/>
  <c r="AA180"/>
  <c r="AA181"/>
  <c r="AA182"/>
  <c r="AA189"/>
  <c r="AA190"/>
  <c r="AA192"/>
  <c r="AA193"/>
  <c r="AA194"/>
  <c r="AA195"/>
  <c r="AA199"/>
  <c r="AA200"/>
  <c r="AA202"/>
  <c r="AA203"/>
  <c r="AA205"/>
  <c r="AA206"/>
  <c r="AA207"/>
  <c r="AA209"/>
  <c r="AA210"/>
  <c r="AA211"/>
  <c r="AA213"/>
  <c r="AA214"/>
  <c r="AA216"/>
  <c r="AA217"/>
  <c r="AA218"/>
  <c r="AA223"/>
  <c r="AA224"/>
  <c r="AA230"/>
  <c r="AA231"/>
  <c r="AA237"/>
  <c r="AA238"/>
  <c r="AA240"/>
  <c r="AA241"/>
  <c r="AA243"/>
  <c r="AA244"/>
  <c r="AA256"/>
  <c r="AA257"/>
  <c r="AA259"/>
  <c r="AA261"/>
  <c r="AA273"/>
  <c r="AA274"/>
  <c r="AA275"/>
  <c r="AA276"/>
  <c r="AA286"/>
  <c r="AA287"/>
  <c r="AA289"/>
  <c r="AA290"/>
  <c r="AA291"/>
  <c r="AA314"/>
  <c r="AA315"/>
  <c r="AA333"/>
  <c r="AA334"/>
  <c r="AA336"/>
  <c r="AA341"/>
  <c r="AA10" i="176"/>
  <c r="AA11"/>
  <c r="AA12"/>
  <c r="AA13"/>
  <c r="AA14"/>
  <c r="AA15"/>
  <c r="AA18"/>
  <c r="AA19"/>
  <c r="AA24"/>
  <c r="AA25"/>
  <c r="AA26"/>
  <c r="AA29"/>
  <c r="AA30"/>
  <c r="AA32"/>
  <c r="AA33"/>
  <c r="AA34"/>
  <c r="AA35"/>
  <c r="AA37"/>
  <c r="AA38"/>
  <c r="AA39"/>
  <c r="AA40"/>
  <c r="AA41"/>
  <c r="AA43"/>
  <c r="AA44"/>
  <c r="AA45"/>
  <c r="AA47"/>
  <c r="AA48"/>
  <c r="AA50"/>
  <c r="AA51"/>
  <c r="AA52"/>
  <c r="AA54"/>
  <c r="AA55"/>
  <c r="AA57"/>
  <c r="AA58"/>
  <c r="AA60"/>
  <c r="AA61"/>
  <c r="AA62"/>
  <c r="AA63"/>
  <c r="AA65"/>
  <c r="AA66"/>
  <c r="AA67"/>
  <c r="AA69"/>
  <c r="AA70"/>
  <c r="AA72"/>
  <c r="AA73"/>
  <c r="AA75"/>
  <c r="AA76"/>
  <c r="AA77"/>
  <c r="AA78"/>
  <c r="AA82"/>
  <c r="H199" i="170"/>
  <c r="G18" i="165" l="1"/>
  <c r="Z19" i="176"/>
  <c r="Y19" s="1"/>
  <c r="AC15"/>
  <c r="Z15"/>
  <c r="Y15" s="1"/>
  <c r="AB13"/>
  <c r="AC13" s="1"/>
  <c r="Z13"/>
  <c r="Z12" s="1"/>
  <c r="Y12" s="1"/>
  <c r="AB11"/>
  <c r="AC11" s="1"/>
  <c r="Z11"/>
  <c r="S16" l="1"/>
  <c r="Z16" s="1"/>
  <c r="Y16" s="1"/>
  <c r="F16" s="1"/>
  <c r="Z10"/>
  <c r="Y10" s="1"/>
  <c r="Z14"/>
  <c r="Y14" s="1"/>
  <c r="Y11"/>
  <c r="Y13"/>
  <c r="S18" l="1"/>
  <c r="Z18" s="1"/>
  <c r="Y18" s="1"/>
  <c r="AA16"/>
  <c r="Z9"/>
  <c r="Y9" s="1"/>
  <c r="F9" s="1"/>
  <c r="Z17" l="1"/>
  <c r="Y17" s="1"/>
  <c r="F17" s="1"/>
  <c r="AA17" s="1"/>
  <c r="AA9"/>
  <c r="F8" l="1"/>
  <c r="H8"/>
  <c r="E46" i="121"/>
  <c r="Z272" i="176"/>
  <c r="Y272" s="1"/>
  <c r="F272" s="1"/>
  <c r="Z271"/>
  <c r="Y271" s="1"/>
  <c r="F271" s="1"/>
  <c r="Z270"/>
  <c r="Y270" s="1"/>
  <c r="F270" s="1"/>
  <c r="Z269"/>
  <c r="Y269" s="1"/>
  <c r="F269" s="1"/>
  <c r="Z268"/>
  <c r="Y268" s="1"/>
  <c r="F268" s="1"/>
  <c r="H268" s="1"/>
  <c r="Z267"/>
  <c r="Y267" s="1"/>
  <c r="F267" s="1"/>
  <c r="Z266"/>
  <c r="Y266" s="1"/>
  <c r="F266" s="1"/>
  <c r="Z265"/>
  <c r="Z264"/>
  <c r="Z262"/>
  <c r="Z238"/>
  <c r="Y238" s="1"/>
  <c r="F238" s="1"/>
  <c r="Z237"/>
  <c r="Y237" s="1"/>
  <c r="Z236"/>
  <c r="Y236" s="1"/>
  <c r="Z233"/>
  <c r="Y233" s="1"/>
  <c r="F233" s="1"/>
  <c r="Z231"/>
  <c r="Y231" s="1"/>
  <c r="F231" s="1"/>
  <c r="Z230"/>
  <c r="Y230" s="1"/>
  <c r="F230" s="1"/>
  <c r="Z229"/>
  <c r="Y229" s="1"/>
  <c r="F229" s="1"/>
  <c r="Z228"/>
  <c r="Y228" s="1"/>
  <c r="F228" s="1"/>
  <c r="Z227"/>
  <c r="Y227" s="1"/>
  <c r="F227" s="1"/>
  <c r="Z225"/>
  <c r="Y225" s="1"/>
  <c r="F225" s="1"/>
  <c r="Z224"/>
  <c r="Y224" s="1"/>
  <c r="Z223"/>
  <c r="Y223" s="1"/>
  <c r="Z222"/>
  <c r="Z220"/>
  <c r="Y220" s="1"/>
  <c r="Z219"/>
  <c r="Y219" s="1"/>
  <c r="Z217"/>
  <c r="Y217" s="1"/>
  <c r="F217" s="1"/>
  <c r="Z216"/>
  <c r="Y216" s="1"/>
  <c r="Z215"/>
  <c r="Z213"/>
  <c r="Y213" s="1"/>
  <c r="F213" s="1"/>
  <c r="Z211"/>
  <c r="Y211" s="1"/>
  <c r="F211" s="1"/>
  <c r="Z209"/>
  <c r="Y209" s="1"/>
  <c r="F209" s="1"/>
  <c r="Z208"/>
  <c r="Y208" s="1"/>
  <c r="F208" s="1"/>
  <c r="Z207"/>
  <c r="Y207" s="1"/>
  <c r="F207" s="1"/>
  <c r="Z206"/>
  <c r="Y206" s="1"/>
  <c r="Z205"/>
  <c r="Y205" s="1"/>
  <c r="Z204"/>
  <c r="Y204" s="1"/>
  <c r="Z202"/>
  <c r="Y202" s="1"/>
  <c r="F202" s="1"/>
  <c r="Z201"/>
  <c r="Y201" s="1"/>
  <c r="F201" s="1"/>
  <c r="Z200"/>
  <c r="Y200" s="1"/>
  <c r="F200" s="1"/>
  <c r="Z197"/>
  <c r="F197" s="1"/>
  <c r="H197" s="1"/>
  <c r="Z196"/>
  <c r="Y196" s="1"/>
  <c r="F196" s="1"/>
  <c r="H196" s="1"/>
  <c r="Z194"/>
  <c r="Y194" s="1"/>
  <c r="F194" s="1"/>
  <c r="Z193"/>
  <c r="Y193" s="1"/>
  <c r="Z192"/>
  <c r="Y192" s="1"/>
  <c r="Z190"/>
  <c r="Y190" s="1"/>
  <c r="F190" s="1"/>
  <c r="Z189"/>
  <c r="Y189" s="1"/>
  <c r="F189" s="1"/>
  <c r="Z166"/>
  <c r="Y166" s="1"/>
  <c r="F166" s="1"/>
  <c r="Z165"/>
  <c r="Y165" s="1"/>
  <c r="F165" s="1"/>
  <c r="Z164"/>
  <c r="Y164" s="1"/>
  <c r="Z163"/>
  <c r="Y163" s="1"/>
  <c r="Z162"/>
  <c r="Z160"/>
  <c r="Y160" s="1"/>
  <c r="F160" s="1"/>
  <c r="Z159"/>
  <c r="Y159" s="1"/>
  <c r="F159" s="1"/>
  <c r="Z158"/>
  <c r="Y158" s="1"/>
  <c r="F158" s="1"/>
  <c r="Z156"/>
  <c r="Y156" s="1"/>
  <c r="F156" s="1"/>
  <c r="Z155"/>
  <c r="Y155" s="1"/>
  <c r="F155" s="1"/>
  <c r="Z154"/>
  <c r="Y154" s="1"/>
  <c r="Z153"/>
  <c r="Y153" s="1"/>
  <c r="Z152"/>
  <c r="Y152" s="1"/>
  <c r="Z151"/>
  <c r="Y151" s="1"/>
  <c r="Z150"/>
  <c r="Y150" s="1"/>
  <c r="Z149"/>
  <c r="Z147"/>
  <c r="Y147" s="1"/>
  <c r="F147" s="1"/>
  <c r="Z146"/>
  <c r="Y146" s="1"/>
  <c r="Z145"/>
  <c r="Z143"/>
  <c r="Y143" s="1"/>
  <c r="F143" s="1"/>
  <c r="Z142"/>
  <c r="Y142" s="1"/>
  <c r="F142" s="1"/>
  <c r="Z139"/>
  <c r="Y139" s="1"/>
  <c r="F139" s="1"/>
  <c r="Z137"/>
  <c r="Y137" s="1"/>
  <c r="Z136"/>
  <c r="Z133"/>
  <c r="Y133" s="1"/>
  <c r="F133" s="1"/>
  <c r="Z132"/>
  <c r="Y132" s="1"/>
  <c r="F132" s="1"/>
  <c r="Z131"/>
  <c r="Y131" s="1"/>
  <c r="F131" s="1"/>
  <c r="Z130"/>
  <c r="Y130" s="1"/>
  <c r="F130" s="1"/>
  <c r="Z129"/>
  <c r="Y129" s="1"/>
  <c r="Z128"/>
  <c r="Y128" s="1"/>
  <c r="Z127"/>
  <c r="Y127" s="1"/>
  <c r="Z126"/>
  <c r="Z124"/>
  <c r="Y124" s="1"/>
  <c r="F124" s="1"/>
  <c r="Z123"/>
  <c r="Y123" s="1"/>
  <c r="F123" s="1"/>
  <c r="Z122"/>
  <c r="Y122" s="1"/>
  <c r="F122" s="1"/>
  <c r="Z99"/>
  <c r="Y99" s="1"/>
  <c r="F99" s="1"/>
  <c r="Z98"/>
  <c r="Y98" s="1"/>
  <c r="Z97"/>
  <c r="Y97" s="1"/>
  <c r="Z95"/>
  <c r="Y95" s="1"/>
  <c r="Z94"/>
  <c r="Y94" s="1"/>
  <c r="Z92"/>
  <c r="Y92" s="1"/>
  <c r="Z91"/>
  <c r="Y91" s="1"/>
  <c r="Z89"/>
  <c r="Y89" s="1"/>
  <c r="Z88"/>
  <c r="Y88" s="1"/>
  <c r="Z83"/>
  <c r="Y83" s="1"/>
  <c r="Z82"/>
  <c r="Y82" s="1"/>
  <c r="Z79"/>
  <c r="Y79" s="1"/>
  <c r="F79" s="1"/>
  <c r="Z78"/>
  <c r="Y78" s="1"/>
  <c r="Z77"/>
  <c r="Y77" s="1"/>
  <c r="Z76"/>
  <c r="Y76" s="1"/>
  <c r="Z75"/>
  <c r="Y75" s="1"/>
  <c r="Z73"/>
  <c r="Y73" s="1"/>
  <c r="Z72"/>
  <c r="Y72" s="1"/>
  <c r="Z70"/>
  <c r="Y70" s="1"/>
  <c r="Z69"/>
  <c r="Y69" s="1"/>
  <c r="Z67"/>
  <c r="Y67" s="1"/>
  <c r="Z66"/>
  <c r="Y66" s="1"/>
  <c r="Z65"/>
  <c r="Y65" s="1"/>
  <c r="Z63"/>
  <c r="Y63" s="1"/>
  <c r="Z62"/>
  <c r="Y62" s="1"/>
  <c r="Z61"/>
  <c r="Y61" s="1"/>
  <c r="Z60"/>
  <c r="Y60" s="1"/>
  <c r="Z58"/>
  <c r="Y58" s="1"/>
  <c r="Z57"/>
  <c r="Y57" s="1"/>
  <c r="Z55"/>
  <c r="Y55" s="1"/>
  <c r="Z54"/>
  <c r="Y54" s="1"/>
  <c r="Z52"/>
  <c r="Y52" s="1"/>
  <c r="Z51"/>
  <c r="Y51" s="1"/>
  <c r="Z50"/>
  <c r="Y50" s="1"/>
  <c r="Z48"/>
  <c r="Y48" s="1"/>
  <c r="Z47"/>
  <c r="Y47" s="1"/>
  <c r="Z45"/>
  <c r="Y45" s="1"/>
  <c r="Z44"/>
  <c r="Y44" s="1"/>
  <c r="Z43"/>
  <c r="Z41"/>
  <c r="Y41" s="1"/>
  <c r="Z40"/>
  <c r="Y40" s="1"/>
  <c r="Z39"/>
  <c r="Y39" s="1"/>
  <c r="Z38"/>
  <c r="Y38" s="1"/>
  <c r="Z37"/>
  <c r="Z35"/>
  <c r="Z34"/>
  <c r="Y34" s="1"/>
  <c r="Z33"/>
  <c r="Y33" s="1"/>
  <c r="Z32"/>
  <c r="Y32" s="1"/>
  <c r="Z30"/>
  <c r="Y30" s="1"/>
  <c r="Z29"/>
  <c r="Y29" s="1"/>
  <c r="Z27"/>
  <c r="Y27" s="1"/>
  <c r="F27" s="1"/>
  <c r="Z26"/>
  <c r="Y26" s="1"/>
  <c r="Z25"/>
  <c r="Y25" s="1"/>
  <c r="Z24"/>
  <c r="Z22"/>
  <c r="Y22" s="1"/>
  <c r="F22" s="1"/>
  <c r="Z21"/>
  <c r="Y21" s="1"/>
  <c r="F21" s="1"/>
  <c r="AA21" s="1"/>
  <c r="Y149" l="1"/>
  <c r="Z148"/>
  <c r="Y46"/>
  <c r="F46" s="1"/>
  <c r="AA46" s="1"/>
  <c r="Z135"/>
  <c r="Z144"/>
  <c r="Z214"/>
  <c r="Y214" s="1"/>
  <c r="F214" s="1"/>
  <c r="Z218"/>
  <c r="Y218" s="1"/>
  <c r="F218" s="1"/>
  <c r="Y87"/>
  <c r="F87" s="1"/>
  <c r="Y56"/>
  <c r="F56" s="1"/>
  <c r="AA56" s="1"/>
  <c r="Y93"/>
  <c r="F93" s="1"/>
  <c r="Z36"/>
  <c r="Y36" s="1"/>
  <c r="F36" s="1"/>
  <c r="Z221"/>
  <c r="Y221" s="1"/>
  <c r="F221" s="1"/>
  <c r="Z161"/>
  <c r="Y215"/>
  <c r="Z23"/>
  <c r="F23" s="1"/>
  <c r="Z31"/>
  <c r="Y31" s="1"/>
  <c r="F31" s="1"/>
  <c r="Z96"/>
  <c r="AA22"/>
  <c r="AA27"/>
  <c r="AA79"/>
  <c r="Z49"/>
  <c r="Y126"/>
  <c r="Y125" s="1"/>
  <c r="F125" s="1"/>
  <c r="Y265"/>
  <c r="Z263"/>
  <c r="E47" i="121"/>
  <c r="G6" i="176"/>
  <c r="Y35"/>
  <c r="Z42"/>
  <c r="Y43"/>
  <c r="Y42" s="1"/>
  <c r="F42" s="1"/>
  <c r="AA42" s="1"/>
  <c r="AB42" s="1"/>
  <c r="Z28"/>
  <c r="Y28" s="1"/>
  <c r="F28" s="1"/>
  <c r="Z46"/>
  <c r="Y49"/>
  <c r="F49" s="1"/>
  <c r="Z74"/>
  <c r="Z87"/>
  <c r="Z90"/>
  <c r="Y96"/>
  <c r="F96" s="1"/>
  <c r="Y145"/>
  <c r="Y144" s="1"/>
  <c r="F144" s="1"/>
  <c r="Z203"/>
  <c r="Y203" s="1"/>
  <c r="F203" s="1"/>
  <c r="F199" s="1"/>
  <c r="Z235"/>
  <c r="Y74"/>
  <c r="F74" s="1"/>
  <c r="Y37"/>
  <c r="Z68"/>
  <c r="Y264"/>
  <c r="Z71"/>
  <c r="Z125"/>
  <c r="Y191"/>
  <c r="F191" s="1"/>
  <c r="F188" s="1"/>
  <c r="H188" s="1"/>
  <c r="Y59"/>
  <c r="F59" s="1"/>
  <c r="Y68"/>
  <c r="F68" s="1"/>
  <c r="Y71"/>
  <c r="F71" s="1"/>
  <c r="Y23"/>
  <c r="Y53"/>
  <c r="F53" s="1"/>
  <c r="Y64"/>
  <c r="F64" s="1"/>
  <c r="Y90"/>
  <c r="F90" s="1"/>
  <c r="Y148"/>
  <c r="F148" s="1"/>
  <c r="F195"/>
  <c r="H195" s="1"/>
  <c r="F226"/>
  <c r="Y235"/>
  <c r="F235" s="1"/>
  <c r="F234" s="1"/>
  <c r="H234" s="1"/>
  <c r="Y24"/>
  <c r="Z53"/>
  <c r="Z56"/>
  <c r="Z59"/>
  <c r="Z64"/>
  <c r="Z81"/>
  <c r="Y81" s="1"/>
  <c r="F81" s="1"/>
  <c r="Z93"/>
  <c r="Y136"/>
  <c r="Y135" s="1"/>
  <c r="F135" s="1"/>
  <c r="Y162"/>
  <c r="Y161" s="1"/>
  <c r="F161" s="1"/>
  <c r="F157" s="1"/>
  <c r="H157" s="1"/>
  <c r="Z191"/>
  <c r="Y222"/>
  <c r="Z80"/>
  <c r="F134" l="1"/>
  <c r="H134" s="1"/>
  <c r="F212"/>
  <c r="H212" s="1"/>
  <c r="Y263"/>
  <c r="F263" s="1"/>
  <c r="AA36"/>
  <c r="F86"/>
  <c r="AA59"/>
  <c r="AA28"/>
  <c r="F141"/>
  <c r="H141" s="1"/>
  <c r="AA68"/>
  <c r="AA74"/>
  <c r="AA71"/>
  <c r="F80"/>
  <c r="AA81"/>
  <c r="AA64"/>
  <c r="AA49"/>
  <c r="AA23"/>
  <c r="AA31"/>
  <c r="F121"/>
  <c r="F120" s="1"/>
  <c r="H167"/>
  <c r="AA53"/>
  <c r="H199"/>
  <c r="F20"/>
  <c r="AA20" s="1"/>
  <c r="F262" l="1"/>
  <c r="H262" s="1"/>
  <c r="H263"/>
  <c r="F198"/>
  <c r="H198" s="1"/>
  <c r="F140"/>
  <c r="H140" s="1"/>
  <c r="H86"/>
  <c r="F85"/>
  <c r="H85" s="1"/>
  <c r="H80"/>
  <c r="AA80"/>
  <c r="H121"/>
  <c r="H20"/>
  <c r="F7"/>
  <c r="D46" i="121" s="1"/>
  <c r="F261" i="176" l="1"/>
  <c r="H261" s="1"/>
  <c r="H120"/>
  <c r="H7"/>
  <c r="F84" l="1"/>
  <c r="D47" i="121" s="1"/>
  <c r="F6" i="176" l="1"/>
  <c r="H84"/>
  <c r="H6" s="1"/>
  <c r="E44" i="121"/>
  <c r="E43"/>
  <c r="Y348" i="175"/>
  <c r="Y347"/>
  <c r="Y345"/>
  <c r="Y344"/>
  <c r="Y341"/>
  <c r="Y340"/>
  <c r="Y338"/>
  <c r="F338" s="1"/>
  <c r="Y337"/>
  <c r="Y336"/>
  <c r="Y335"/>
  <c r="Y334"/>
  <c r="Y330"/>
  <c r="Y329"/>
  <c r="Y328"/>
  <c r="Y326"/>
  <c r="F326" s="1"/>
  <c r="Y325"/>
  <c r="Y324"/>
  <c r="Y323"/>
  <c r="Y321"/>
  <c r="F321" s="1"/>
  <c r="F313"/>
  <c r="F312"/>
  <c r="F310"/>
  <c r="Y308"/>
  <c r="F308" s="1"/>
  <c r="F307" s="1"/>
  <c r="H307" s="1"/>
  <c r="Y305"/>
  <c r="Y304"/>
  <c r="Y302"/>
  <c r="Y301"/>
  <c r="Y300"/>
  <c r="Y298"/>
  <c r="Y297"/>
  <c r="Y296"/>
  <c r="Y294"/>
  <c r="F294" s="1"/>
  <c r="Y293"/>
  <c r="F293" s="1"/>
  <c r="Y291"/>
  <c r="F291" s="1"/>
  <c r="Y290"/>
  <c r="F290" s="1"/>
  <c r="Y289"/>
  <c r="F289" s="1"/>
  <c r="Y288"/>
  <c r="F288" s="1"/>
  <c r="Y287"/>
  <c r="Y286"/>
  <c r="Y284"/>
  <c r="F284" s="1"/>
  <c r="Y283"/>
  <c r="F283" s="1"/>
  <c r="Z282"/>
  <c r="Y282"/>
  <c r="F282" s="1"/>
  <c r="Y280"/>
  <c r="F280" s="1"/>
  <c r="Y279"/>
  <c r="F279" s="1"/>
  <c r="Y278"/>
  <c r="F278" s="1"/>
  <c r="Y277"/>
  <c r="F277" s="1"/>
  <c r="Y276"/>
  <c r="F276" s="1"/>
  <c r="Y275"/>
  <c r="Y274"/>
  <c r="Y272"/>
  <c r="F272" s="1"/>
  <c r="Y269"/>
  <c r="F269" s="1"/>
  <c r="H268"/>
  <c r="Y267"/>
  <c r="F267" s="1"/>
  <c r="Y266"/>
  <c r="Y265"/>
  <c r="Y263"/>
  <c r="F263" s="1"/>
  <c r="Y262"/>
  <c r="F262" s="1"/>
  <c r="Y261"/>
  <c r="Y260"/>
  <c r="Y259"/>
  <c r="Y257"/>
  <c r="F257" s="1"/>
  <c r="Y256"/>
  <c r="F256" s="1"/>
  <c r="Y255"/>
  <c r="Y254"/>
  <c r="Y252"/>
  <c r="F252" s="1"/>
  <c r="Y251"/>
  <c r="F251" s="1"/>
  <c r="F248"/>
  <c r="Y242"/>
  <c r="F242" s="1"/>
  <c r="Y241"/>
  <c r="F241" s="1"/>
  <c r="Y240"/>
  <c r="F240" s="1"/>
  <c r="Y239"/>
  <c r="F239" s="1"/>
  <c r="Y238"/>
  <c r="Y237"/>
  <c r="Y235"/>
  <c r="Y234"/>
  <c r="Y204"/>
  <c r="F204" s="1"/>
  <c r="Y203"/>
  <c r="F203" s="1"/>
  <c r="Y202"/>
  <c r="Y201"/>
  <c r="F200"/>
  <c r="Y198"/>
  <c r="F198" s="1"/>
  <c r="F197"/>
  <c r="Y168"/>
  <c r="Y167"/>
  <c r="Y166"/>
  <c r="Y163"/>
  <c r="F163" s="1"/>
  <c r="Y162"/>
  <c r="Y161"/>
  <c r="Y160"/>
  <c r="Y158"/>
  <c r="Y157"/>
  <c r="Y155"/>
  <c r="F155" s="1"/>
  <c r="Y154"/>
  <c r="Y153"/>
  <c r="Y149"/>
  <c r="Y148"/>
  <c r="Y147"/>
  <c r="Y146"/>
  <c r="Y145"/>
  <c r="Y143"/>
  <c r="F143" s="1"/>
  <c r="Y142"/>
  <c r="Y141"/>
  <c r="Y140"/>
  <c r="F139"/>
  <c r="Y138"/>
  <c r="F138" s="1"/>
  <c r="Y136"/>
  <c r="F136" s="1"/>
  <c r="F135"/>
  <c r="Y134"/>
  <c r="Y133"/>
  <c r="Y129"/>
  <c r="Y128"/>
  <c r="Y127"/>
  <c r="Y124"/>
  <c r="Y123"/>
  <c r="Y121"/>
  <c r="F121" s="1"/>
  <c r="Y117"/>
  <c r="Y116"/>
  <c r="Y113"/>
  <c r="Y112"/>
  <c r="Y110"/>
  <c r="Y109"/>
  <c r="Y108"/>
  <c r="Y107"/>
  <c r="Y105"/>
  <c r="Y104"/>
  <c r="Y102"/>
  <c r="Y101"/>
  <c r="Y100"/>
  <c r="Y99"/>
  <c r="Y98"/>
  <c r="Y96"/>
  <c r="Y95"/>
  <c r="Y94"/>
  <c r="Y93"/>
  <c r="Y92"/>
  <c r="Y90"/>
  <c r="Y89"/>
  <c r="Y88"/>
  <c r="Y87"/>
  <c r="Y86"/>
  <c r="Y84"/>
  <c r="Y83"/>
  <c r="Y81"/>
  <c r="Y80"/>
  <c r="Y79"/>
  <c r="Y77"/>
  <c r="Y75"/>
  <c r="Y73"/>
  <c r="Y72"/>
  <c r="Y71"/>
  <c r="Y70"/>
  <c r="Y68"/>
  <c r="Y67"/>
  <c r="Y66"/>
  <c r="Y64"/>
  <c r="Y63"/>
  <c r="Y62"/>
  <c r="Y59"/>
  <c r="Y58"/>
  <c r="Y57"/>
  <c r="Y55"/>
  <c r="Y54"/>
  <c r="Y52"/>
  <c r="Y51"/>
  <c r="Y50"/>
  <c r="Y48"/>
  <c r="Y47"/>
  <c r="Y46"/>
  <c r="Y45"/>
  <c r="Y44"/>
  <c r="Y43"/>
  <c r="Y41"/>
  <c r="Y40"/>
  <c r="Y39"/>
  <c r="Y38"/>
  <c r="Y37"/>
  <c r="Y36"/>
  <c r="Y35"/>
  <c r="Y33"/>
  <c r="Y32"/>
  <c r="Y30"/>
  <c r="Y29"/>
  <c r="Y28"/>
  <c r="Y26"/>
  <c r="Y25"/>
  <c r="Y23"/>
  <c r="F23" s="1"/>
  <c r="Y22"/>
  <c r="F22" s="1"/>
  <c r="Z20"/>
  <c r="Y20" s="1"/>
  <c r="AC15"/>
  <c r="Z15"/>
  <c r="Z14" s="1"/>
  <c r="Y14" s="1"/>
  <c r="AC13"/>
  <c r="Z13"/>
  <c r="Z12" s="1"/>
  <c r="Y12" s="1"/>
  <c r="AC11"/>
  <c r="Z11"/>
  <c r="Z10" s="1"/>
  <c r="G5"/>
  <c r="F196" l="1"/>
  <c r="H196" s="1"/>
  <c r="Y82"/>
  <c r="F82" s="1"/>
  <c r="Y122"/>
  <c r="F122" s="1"/>
  <c r="Y253"/>
  <c r="F253" s="1"/>
  <c r="Y258"/>
  <c r="F258" s="1"/>
  <c r="Y339"/>
  <c r="F339" s="1"/>
  <c r="Y346"/>
  <c r="F346" s="1"/>
  <c r="Y91"/>
  <c r="F91" s="1"/>
  <c r="Y106"/>
  <c r="F106" s="1"/>
  <c r="Y111"/>
  <c r="F111" s="1"/>
  <c r="Y152"/>
  <c r="F152" s="1"/>
  <c r="Y236"/>
  <c r="F236" s="1"/>
  <c r="Y299"/>
  <c r="F299" s="1"/>
  <c r="Y31"/>
  <c r="F31" s="1"/>
  <c r="Y103"/>
  <c r="F103" s="1"/>
  <c r="Y273"/>
  <c r="F273" s="1"/>
  <c r="F268" s="1"/>
  <c r="Y285"/>
  <c r="F285" s="1"/>
  <c r="F281" s="1"/>
  <c r="H281" s="1"/>
  <c r="Y34"/>
  <c r="F34" s="1"/>
  <c r="Y303"/>
  <c r="F303" s="1"/>
  <c r="Y53"/>
  <c r="F53" s="1"/>
  <c r="Y60"/>
  <c r="F60" s="1"/>
  <c r="Y97"/>
  <c r="F97" s="1"/>
  <c r="Y126"/>
  <c r="F126" s="1"/>
  <c r="Y27"/>
  <c r="F27" s="1"/>
  <c r="Y144"/>
  <c r="F144" s="1"/>
  <c r="F137" s="1"/>
  <c r="H137" s="1"/>
  <c r="Y156"/>
  <c r="F156" s="1"/>
  <c r="Y233"/>
  <c r="F233" s="1"/>
  <c r="Y85"/>
  <c r="F85" s="1"/>
  <c r="Y115"/>
  <c r="F115" s="1"/>
  <c r="F114" s="1"/>
  <c r="H114" s="1"/>
  <c r="Y132"/>
  <c r="F132" s="1"/>
  <c r="Y264"/>
  <c r="F264" s="1"/>
  <c r="F316"/>
  <c r="Y327"/>
  <c r="F327" s="1"/>
  <c r="H169"/>
  <c r="Y15"/>
  <c r="Y24"/>
  <c r="F24" s="1"/>
  <c r="Y295"/>
  <c r="F295" s="1"/>
  <c r="Y322"/>
  <c r="F322" s="1"/>
  <c r="S16"/>
  <c r="Z16" s="1"/>
  <c r="Y16" s="1"/>
  <c r="F16" s="1"/>
  <c r="Y165"/>
  <c r="F165" s="1"/>
  <c r="F243"/>
  <c r="Y42"/>
  <c r="F42" s="1"/>
  <c r="Y49"/>
  <c r="F49" s="1"/>
  <c r="Y56"/>
  <c r="F56" s="1"/>
  <c r="Y159"/>
  <c r="F159" s="1"/>
  <c r="Y333"/>
  <c r="F333" s="1"/>
  <c r="Y343"/>
  <c r="F343" s="1"/>
  <c r="Z9"/>
  <c r="Y11"/>
  <c r="Y10"/>
  <c r="Y13"/>
  <c r="F320" l="1"/>
  <c r="F319" s="1"/>
  <c r="H319" s="1"/>
  <c r="F151"/>
  <c r="H151" s="1"/>
  <c r="F232"/>
  <c r="H232" s="1"/>
  <c r="F250"/>
  <c r="H250" s="1"/>
  <c r="F120"/>
  <c r="H120" s="1"/>
  <c r="F292"/>
  <c r="H292" s="1"/>
  <c r="F309"/>
  <c r="F332"/>
  <c r="F331" s="1"/>
  <c r="H331" s="1"/>
  <c r="H243"/>
  <c r="F21"/>
  <c r="H21" s="1"/>
  <c r="S19"/>
  <c r="Z19" s="1"/>
  <c r="Z17" s="1"/>
  <c r="Y17" s="1"/>
  <c r="F17" s="1"/>
  <c r="H217"/>
  <c r="H320"/>
  <c r="Z8"/>
  <c r="Y9"/>
  <c r="F9" s="1"/>
  <c r="F119" l="1"/>
  <c r="H119" s="1"/>
  <c r="F150"/>
  <c r="H150" s="1"/>
  <c r="F216"/>
  <c r="H216" s="1"/>
  <c r="H332"/>
  <c r="F306"/>
  <c r="H309"/>
  <c r="Y19"/>
  <c r="F8"/>
  <c r="F118" l="1"/>
  <c r="D44" i="121" s="1"/>
  <c r="F7" i="175"/>
  <c r="D43" i="121" s="1"/>
  <c r="H8" i="175"/>
  <c r="H118" l="1"/>
  <c r="H7"/>
  <c r="F6"/>
  <c r="F5" l="1"/>
  <c r="H6"/>
  <c r="H5" s="1"/>
  <c r="E41" i="121" l="1"/>
  <c r="E40"/>
  <c r="Z263" i="174"/>
  <c r="H263"/>
  <c r="Z262"/>
  <c r="F262"/>
  <c r="H262" s="1"/>
  <c r="Z261"/>
  <c r="H261"/>
  <c r="Z260"/>
  <c r="Y260" s="1"/>
  <c r="Z259"/>
  <c r="Y259" s="1"/>
  <c r="Z256"/>
  <c r="Y256" s="1"/>
  <c r="Z255"/>
  <c r="Y255" s="1"/>
  <c r="Z254"/>
  <c r="Y254" s="1"/>
  <c r="Z252"/>
  <c r="Y252" s="1"/>
  <c r="Z251"/>
  <c r="Z249"/>
  <c r="Y249" s="1"/>
  <c r="Z248"/>
  <c r="Y248" s="1"/>
  <c r="Z246"/>
  <c r="Z245"/>
  <c r="Z244"/>
  <c r="Y244" s="1"/>
  <c r="F244" s="1"/>
  <c r="AA244" s="1"/>
  <c r="Z242"/>
  <c r="Y242" s="1"/>
  <c r="F242" s="1"/>
  <c r="AA242" s="1"/>
  <c r="Z241"/>
  <c r="Y241" s="1"/>
  <c r="Z240"/>
  <c r="Z238"/>
  <c r="Y238" s="1"/>
  <c r="F238" s="1"/>
  <c r="AA238" s="1"/>
  <c r="Z237"/>
  <c r="Y237" s="1"/>
  <c r="F237" s="1"/>
  <c r="AA237" s="1"/>
  <c r="Z236"/>
  <c r="Y236" s="1"/>
  <c r="Z235"/>
  <c r="Z233"/>
  <c r="Z232"/>
  <c r="Z231"/>
  <c r="Y231" s="1"/>
  <c r="F231" s="1"/>
  <c r="AA231" s="1"/>
  <c r="Z223"/>
  <c r="Y223" s="1"/>
  <c r="F223" s="1"/>
  <c r="Z222"/>
  <c r="Y220"/>
  <c r="F220" s="1"/>
  <c r="Y217"/>
  <c r="Y216"/>
  <c r="Z213"/>
  <c r="Z211"/>
  <c r="Z210"/>
  <c r="F209"/>
  <c r="F204"/>
  <c r="Z195"/>
  <c r="Z194"/>
  <c r="Z193"/>
  <c r="Y193" s="1"/>
  <c r="F193" s="1"/>
  <c r="AA193" s="1"/>
  <c r="Z192"/>
  <c r="Y192" s="1"/>
  <c r="F192" s="1"/>
  <c r="AA192" s="1"/>
  <c r="Z191"/>
  <c r="Y191" s="1"/>
  <c r="Z190"/>
  <c r="Y190" s="1"/>
  <c r="Z189"/>
  <c r="Y189" s="1"/>
  <c r="Z188"/>
  <c r="Y188" s="1"/>
  <c r="Z187"/>
  <c r="Y187" s="1"/>
  <c r="Z185"/>
  <c r="Y185" s="1"/>
  <c r="F185" s="1"/>
  <c r="AA185" s="1"/>
  <c r="Z184"/>
  <c r="Z183"/>
  <c r="Z182"/>
  <c r="H182"/>
  <c r="Z181"/>
  <c r="H181"/>
  <c r="Z180"/>
  <c r="F180"/>
  <c r="Z179"/>
  <c r="Y179" s="1"/>
  <c r="F179" s="1"/>
  <c r="AA179" s="1"/>
  <c r="Z178"/>
  <c r="Y178" s="1"/>
  <c r="F178" s="1"/>
  <c r="Z177"/>
  <c r="Z176"/>
  <c r="Y176" s="1"/>
  <c r="F176" s="1"/>
  <c r="AA176" s="1"/>
  <c r="Z175"/>
  <c r="Y175" s="1"/>
  <c r="Z174"/>
  <c r="Y174" s="1"/>
  <c r="Z172"/>
  <c r="Y172" s="1"/>
  <c r="F172" s="1"/>
  <c r="AA172" s="1"/>
  <c r="Z171"/>
  <c r="Y171" s="1"/>
  <c r="Z170"/>
  <c r="Y170" s="1"/>
  <c r="Z169"/>
  <c r="Z167"/>
  <c r="Y167" s="1"/>
  <c r="F167" s="1"/>
  <c r="AA167" s="1"/>
  <c r="Z166"/>
  <c r="Z165"/>
  <c r="Y165" s="1"/>
  <c r="F165" s="1"/>
  <c r="AA165" s="1"/>
  <c r="Z164"/>
  <c r="Y164" s="1"/>
  <c r="F164" s="1"/>
  <c r="AA164" s="1"/>
  <c r="Z163"/>
  <c r="Y163" s="1"/>
  <c r="Z162"/>
  <c r="Z159"/>
  <c r="Y159" s="1"/>
  <c r="F159" s="1"/>
  <c r="AA159" s="1"/>
  <c r="Z158"/>
  <c r="Y158" s="1"/>
  <c r="Z157"/>
  <c r="Z154"/>
  <c r="Y154" s="1"/>
  <c r="Z153"/>
  <c r="Y153" s="1"/>
  <c r="Z152"/>
  <c r="Y152" s="1"/>
  <c r="Z150"/>
  <c r="Y150" s="1"/>
  <c r="F150" s="1"/>
  <c r="Z149"/>
  <c r="Z148"/>
  <c r="Z147"/>
  <c r="Y147" s="1"/>
  <c r="F147" s="1"/>
  <c r="AA147" s="1"/>
  <c r="Z146"/>
  <c r="Y146" s="1"/>
  <c r="F146" s="1"/>
  <c r="AA146" s="1"/>
  <c r="Z145"/>
  <c r="Y145" s="1"/>
  <c r="F145" s="1"/>
  <c r="AA145" s="1"/>
  <c r="Z144"/>
  <c r="Y144" s="1"/>
  <c r="F144" s="1"/>
  <c r="AA144" s="1"/>
  <c r="Z143"/>
  <c r="Y143" s="1"/>
  <c r="Z142"/>
  <c r="Y142" s="1"/>
  <c r="Z141"/>
  <c r="Y141" s="1"/>
  <c r="Z140"/>
  <c r="Y140" s="1"/>
  <c r="Z139"/>
  <c r="Y139" s="1"/>
  <c r="Z138"/>
  <c r="Y138" s="1"/>
  <c r="Z137"/>
  <c r="Y137" s="1"/>
  <c r="Z135"/>
  <c r="Y135" s="1"/>
  <c r="Z134"/>
  <c r="Y134" s="1"/>
  <c r="Z132"/>
  <c r="Y132" s="1"/>
  <c r="F132" s="1"/>
  <c r="AA132" s="1"/>
  <c r="Z131"/>
  <c r="Y131" s="1"/>
  <c r="F131" s="1"/>
  <c r="AA131" s="1"/>
  <c r="Z130"/>
  <c r="Y130" s="1"/>
  <c r="F130" s="1"/>
  <c r="Z129"/>
  <c r="H129"/>
  <c r="Z128"/>
  <c r="Y128" s="1"/>
  <c r="F128" s="1"/>
  <c r="AA128" s="1"/>
  <c r="Z127"/>
  <c r="Y127" s="1"/>
  <c r="F127" s="1"/>
  <c r="AA127" s="1"/>
  <c r="Z126"/>
  <c r="Y126" s="1"/>
  <c r="Z125"/>
  <c r="Y125" s="1"/>
  <c r="Z124"/>
  <c r="Y124" s="1"/>
  <c r="Z122"/>
  <c r="Z121"/>
  <c r="Z120"/>
  <c r="Y120" s="1"/>
  <c r="F120" s="1"/>
  <c r="AA120" s="1"/>
  <c r="Z119"/>
  <c r="Y119" s="1"/>
  <c r="F119" s="1"/>
  <c r="AA119" s="1"/>
  <c r="Z118"/>
  <c r="Y118" s="1"/>
  <c r="Z117"/>
  <c r="Y117" s="1"/>
  <c r="Z115"/>
  <c r="Y115" s="1"/>
  <c r="F115" s="1"/>
  <c r="AA115" s="1"/>
  <c r="Z114"/>
  <c r="Y114" s="1"/>
  <c r="F114" s="1"/>
  <c r="AA114" s="1"/>
  <c r="Z113"/>
  <c r="Z112"/>
  <c r="Y112" s="1"/>
  <c r="F112" s="1"/>
  <c r="AA112" s="1"/>
  <c r="Z111"/>
  <c r="Y111" s="1"/>
  <c r="F111" s="1"/>
  <c r="AA111" s="1"/>
  <c r="Z110"/>
  <c r="Y110" s="1"/>
  <c r="F110" s="1"/>
  <c r="AA110" s="1"/>
  <c r="Z109"/>
  <c r="Y109" s="1"/>
  <c r="F109" s="1"/>
  <c r="AA109" s="1"/>
  <c r="Z108"/>
  <c r="Y108" s="1"/>
  <c r="F108" s="1"/>
  <c r="AA108" s="1"/>
  <c r="Z107"/>
  <c r="Y107" s="1"/>
  <c r="F107" s="1"/>
  <c r="AA107" s="1"/>
  <c r="Z106"/>
  <c r="Y106" s="1"/>
  <c r="Z105"/>
  <c r="Z103"/>
  <c r="Z102"/>
  <c r="Y102" s="1"/>
  <c r="F102" s="1"/>
  <c r="AA102" s="1"/>
  <c r="Z101"/>
  <c r="Y101" s="1"/>
  <c r="Z100"/>
  <c r="Y100" s="1"/>
  <c r="Z98"/>
  <c r="Y98" s="1"/>
  <c r="Z97"/>
  <c r="Z95"/>
  <c r="Z94"/>
  <c r="Z92"/>
  <c r="Y92" s="1"/>
  <c r="Z91"/>
  <c r="Y91" s="1"/>
  <c r="Z89"/>
  <c r="Z88"/>
  <c r="Y88" s="1"/>
  <c r="F88" s="1"/>
  <c r="AA88" s="1"/>
  <c r="Z87"/>
  <c r="Y87" s="1"/>
  <c r="Z86"/>
  <c r="Y86" s="1"/>
  <c r="Z85"/>
  <c r="Y85" s="1"/>
  <c r="Z83"/>
  <c r="Y83" s="1"/>
  <c r="Z82"/>
  <c r="Z80"/>
  <c r="Y80" s="1"/>
  <c r="Z79"/>
  <c r="Y79" s="1"/>
  <c r="Z78"/>
  <c r="Y78" s="1"/>
  <c r="Z77"/>
  <c r="Y77" s="1"/>
  <c r="Z76"/>
  <c r="Y76" s="1"/>
  <c r="S74"/>
  <c r="Z74" s="1"/>
  <c r="Y74" s="1"/>
  <c r="Z73"/>
  <c r="Y73" s="1"/>
  <c r="Z72"/>
  <c r="Y72" s="1"/>
  <c r="Z71"/>
  <c r="Y71" s="1"/>
  <c r="Z70"/>
  <c r="Z68"/>
  <c r="Y68" s="1"/>
  <c r="Z67"/>
  <c r="Y67" s="1"/>
  <c r="Z66"/>
  <c r="Y66" s="1"/>
  <c r="Z64"/>
  <c r="Y64" s="1"/>
  <c r="Z63"/>
  <c r="F55"/>
  <c r="F52"/>
  <c r="Z51"/>
  <c r="Y51" s="1"/>
  <c r="Z50"/>
  <c r="Z48"/>
  <c r="Y48" s="1"/>
  <c r="Z47"/>
  <c r="Y47" s="1"/>
  <c r="Z45"/>
  <c r="Y45" s="1"/>
  <c r="Z44"/>
  <c r="Y44" s="1"/>
  <c r="Z43"/>
  <c r="Y43" s="1"/>
  <c r="Z42"/>
  <c r="Y42" s="1"/>
  <c r="Z41"/>
  <c r="Y41" s="1"/>
  <c r="Z40"/>
  <c r="Y40" s="1"/>
  <c r="Z39"/>
  <c r="Y39" s="1"/>
  <c r="Z38"/>
  <c r="Y38" s="1"/>
  <c r="Z37"/>
  <c r="Y37" s="1"/>
  <c r="Z35"/>
  <c r="Y35" s="1"/>
  <c r="Z34"/>
  <c r="Y34" s="1"/>
  <c r="Z33"/>
  <c r="Y33" s="1"/>
  <c r="Z32"/>
  <c r="Z30"/>
  <c r="Y30" s="1"/>
  <c r="Z29"/>
  <c r="Y29" s="1"/>
  <c r="Z27"/>
  <c r="Y27" s="1"/>
  <c r="Z26"/>
  <c r="Y26" s="1"/>
  <c r="Z25"/>
  <c r="Y25" s="1"/>
  <c r="Z23"/>
  <c r="Y23" s="1"/>
  <c r="F23" s="1"/>
  <c r="AA23" s="1"/>
  <c r="Z22"/>
  <c r="Y22" s="1"/>
  <c r="F22" s="1"/>
  <c r="AA22" s="1"/>
  <c r="Z21"/>
  <c r="Z20"/>
  <c r="Y20" s="1"/>
  <c r="AC15"/>
  <c r="Z15"/>
  <c r="Z14" s="1"/>
  <c r="Y14" s="1"/>
  <c r="AB13"/>
  <c r="AC13" s="1"/>
  <c r="Z13"/>
  <c r="Z12" s="1"/>
  <c r="Y12" s="1"/>
  <c r="AB11"/>
  <c r="AC11" s="1"/>
  <c r="Z11"/>
  <c r="G6"/>
  <c r="Z6"/>
  <c r="H231" i="171"/>
  <c r="Z240" i="173"/>
  <c r="Y240" s="1"/>
  <c r="F240" s="1"/>
  <c r="Z239"/>
  <c r="Y239" s="1"/>
  <c r="F239" s="1"/>
  <c r="Z330"/>
  <c r="Y330" s="1"/>
  <c r="F330" s="1"/>
  <c r="Z329"/>
  <c r="Y329" s="1"/>
  <c r="F329" s="1"/>
  <c r="Z328"/>
  <c r="Y328" s="1"/>
  <c r="F328" s="1"/>
  <c r="Z325"/>
  <c r="Y325" s="1"/>
  <c r="F325" s="1"/>
  <c r="Z324"/>
  <c r="Y324" s="1"/>
  <c r="Z323"/>
  <c r="Z416"/>
  <c r="Y416" s="1"/>
  <c r="Z415"/>
  <c r="Y415" s="1"/>
  <c r="Z414"/>
  <c r="Y414" s="1"/>
  <c r="Y413"/>
  <c r="Z412"/>
  <c r="Y412" s="1"/>
  <c r="Z411"/>
  <c r="Y411" s="1"/>
  <c r="Z410"/>
  <c r="Z408"/>
  <c r="Y408" s="1"/>
  <c r="Z407"/>
  <c r="Y407" s="1"/>
  <c r="Z406"/>
  <c r="Y406" s="1"/>
  <c r="Z405"/>
  <c r="Y405" s="1"/>
  <c r="Z404"/>
  <c r="Y404" s="1"/>
  <c r="Z403"/>
  <c r="Y403" s="1"/>
  <c r="Z402"/>
  <c r="Y402" s="1"/>
  <c r="Z401"/>
  <c r="Y401" s="1"/>
  <c r="Z399"/>
  <c r="Y399" s="1"/>
  <c r="Z398"/>
  <c r="Y398" s="1"/>
  <c r="Z397"/>
  <c r="Y397" s="1"/>
  <c r="Z395"/>
  <c r="Y395" s="1"/>
  <c r="Z394"/>
  <c r="Y394" s="1"/>
  <c r="Z393"/>
  <c r="Y393" s="1"/>
  <c r="Z392"/>
  <c r="Y392" s="1"/>
  <c r="Z389"/>
  <c r="Y389" s="1"/>
  <c r="Z388"/>
  <c r="Y388" s="1"/>
  <c r="Z387"/>
  <c r="Y387" s="1"/>
  <c r="Z385"/>
  <c r="Y385" s="1"/>
  <c r="F384"/>
  <c r="H384" s="1"/>
  <c r="Z383"/>
  <c r="Y383" s="1"/>
  <c r="F383" s="1"/>
  <c r="Z382"/>
  <c r="Y382" s="1"/>
  <c r="Z381"/>
  <c r="Y381" s="1"/>
  <c r="Z379"/>
  <c r="Y379" s="1"/>
  <c r="F379" s="1"/>
  <c r="Z377"/>
  <c r="Y377" s="1"/>
  <c r="Z376"/>
  <c r="Y376" s="1"/>
  <c r="Z375"/>
  <c r="Y375" s="1"/>
  <c r="Z374"/>
  <c r="Y374" s="1"/>
  <c r="Z373"/>
  <c r="Y373" s="1"/>
  <c r="Z372"/>
  <c r="Y372" s="1"/>
  <c r="Z371"/>
  <c r="Y371" s="1"/>
  <c r="Z370"/>
  <c r="Y370" s="1"/>
  <c r="Z368"/>
  <c r="Y368" s="1"/>
  <c r="Z367"/>
  <c r="Y367" s="1"/>
  <c r="Z366"/>
  <c r="Y366" s="1"/>
  <c r="Z365"/>
  <c r="Y365" s="1"/>
  <c r="Z363"/>
  <c r="Y363" s="1"/>
  <c r="Z362"/>
  <c r="Y362" s="1"/>
  <c r="Z361"/>
  <c r="Y361" s="1"/>
  <c r="Z360"/>
  <c r="Y360" s="1"/>
  <c r="Z357"/>
  <c r="Y357" s="1"/>
  <c r="F357" s="1"/>
  <c r="Z356"/>
  <c r="Y356" s="1"/>
  <c r="Z355"/>
  <c r="Z353"/>
  <c r="Y353" s="1"/>
  <c r="F353" s="1"/>
  <c r="Z351"/>
  <c r="Y351" s="1"/>
  <c r="F351" s="1"/>
  <c r="Z350"/>
  <c r="Y350" s="1"/>
  <c r="F350" s="1"/>
  <c r="Z349"/>
  <c r="Y349" s="1"/>
  <c r="F349" s="1"/>
  <c r="Z348"/>
  <c r="Y348" s="1"/>
  <c r="F348" s="1"/>
  <c r="Z347"/>
  <c r="Y347" s="1"/>
  <c r="Z346"/>
  <c r="Y346" s="1"/>
  <c r="Z344"/>
  <c r="Y344" s="1"/>
  <c r="Z343"/>
  <c r="Y343" s="1"/>
  <c r="Z342"/>
  <c r="Y342" s="1"/>
  <c r="Z340"/>
  <c r="Y340" s="1"/>
  <c r="Z339"/>
  <c r="Y339" s="1"/>
  <c r="Z338"/>
  <c r="Y338" s="1"/>
  <c r="Z337"/>
  <c r="Y337" s="1"/>
  <c r="Z336"/>
  <c r="Y336" s="1"/>
  <c r="Z335"/>
  <c r="Y335" s="1"/>
  <c r="Z334"/>
  <c r="Y334" s="1"/>
  <c r="Z319"/>
  <c r="Y319"/>
  <c r="F319" s="1"/>
  <c r="Z318"/>
  <c r="Y318"/>
  <c r="F318" s="1"/>
  <c r="Z317"/>
  <c r="Y317"/>
  <c r="Z316"/>
  <c r="Y316"/>
  <c r="Z315"/>
  <c r="Y315"/>
  <c r="Z313"/>
  <c r="Y313"/>
  <c r="F313" s="1"/>
  <c r="Z312"/>
  <c r="Y312"/>
  <c r="F312" s="1"/>
  <c r="Z311"/>
  <c r="Y311" s="1"/>
  <c r="Z289"/>
  <c r="Y289" s="1"/>
  <c r="Z288"/>
  <c r="Y288" s="1"/>
  <c r="Z287"/>
  <c r="Y287" s="1"/>
  <c r="Z286"/>
  <c r="Y286" s="1"/>
  <c r="Z285"/>
  <c r="Y285" s="1"/>
  <c r="Z284"/>
  <c r="Y284" s="1"/>
  <c r="Z282"/>
  <c r="Y282" s="1"/>
  <c r="Z281"/>
  <c r="Y281" s="1"/>
  <c r="Z279"/>
  <c r="Z278"/>
  <c r="Y278" s="1"/>
  <c r="Z276"/>
  <c r="Y276" s="1"/>
  <c r="Z275"/>
  <c r="Y275" s="1"/>
  <c r="Z271"/>
  <c r="Y271" s="1"/>
  <c r="Z270"/>
  <c r="Y270" s="1"/>
  <c r="Z268"/>
  <c r="F268" s="1"/>
  <c r="F267" s="1"/>
  <c r="F266"/>
  <c r="F265"/>
  <c r="Z255"/>
  <c r="Y255" s="1"/>
  <c r="F255" s="1"/>
  <c r="Z254"/>
  <c r="Y254" s="1"/>
  <c r="Z253"/>
  <c r="Y253" s="1"/>
  <c r="Z252"/>
  <c r="Z250"/>
  <c r="Y250" s="1"/>
  <c r="Z249"/>
  <c r="Y249" s="1"/>
  <c r="Z247"/>
  <c r="Y247" s="1"/>
  <c r="Z246"/>
  <c r="Y246" s="1"/>
  <c r="Z244"/>
  <c r="Y244" s="1"/>
  <c r="F244" s="1"/>
  <c r="Z237"/>
  <c r="Z236"/>
  <c r="Y236" s="1"/>
  <c r="Z235"/>
  <c r="Z233"/>
  <c r="Y233" s="1"/>
  <c r="F233" s="1"/>
  <c r="Z232"/>
  <c r="Y232" s="1"/>
  <c r="Z231"/>
  <c r="Y231" s="1"/>
  <c r="Z230"/>
  <c r="Y230" s="1"/>
  <c r="Z229"/>
  <c r="Y229" s="1"/>
  <c r="Z227"/>
  <c r="Y227" s="1"/>
  <c r="F227" s="1"/>
  <c r="Z226"/>
  <c r="Y226" s="1"/>
  <c r="Z225"/>
  <c r="Z222"/>
  <c r="Y222" s="1"/>
  <c r="F222" s="1"/>
  <c r="Z221"/>
  <c r="Y221" s="1"/>
  <c r="F221" s="1"/>
  <c r="Z220"/>
  <c r="Y220" s="1"/>
  <c r="F220" s="1"/>
  <c r="Z219"/>
  <c r="Y219" s="1"/>
  <c r="Z218"/>
  <c r="Y218" s="1"/>
  <c r="Z216"/>
  <c r="Y216" s="1"/>
  <c r="F216" s="1"/>
  <c r="Z215"/>
  <c r="Y215" s="1"/>
  <c r="Z214"/>
  <c r="Y214" s="1"/>
  <c r="Z212"/>
  <c r="Y212" s="1"/>
  <c r="F212" s="1"/>
  <c r="Z210"/>
  <c r="Z209"/>
  <c r="Z208"/>
  <c r="Z207"/>
  <c r="Y207" s="1"/>
  <c r="Z206"/>
  <c r="Y206" s="1"/>
  <c r="Z205"/>
  <c r="Y205" s="1"/>
  <c r="Z202"/>
  <c r="Y202" s="1"/>
  <c r="F202" s="1"/>
  <c r="Z201"/>
  <c r="Y201" s="1"/>
  <c r="F201" s="1"/>
  <c r="Z200"/>
  <c r="Y200" s="1"/>
  <c r="F200" s="1"/>
  <c r="Z109"/>
  <c r="Y109" s="1"/>
  <c r="F109" s="1"/>
  <c r="Z108"/>
  <c r="Y108" s="1"/>
  <c r="F108" s="1"/>
  <c r="Z107"/>
  <c r="Y107" s="1"/>
  <c r="F107" s="1"/>
  <c r="Z106"/>
  <c r="Y106" s="1"/>
  <c r="F106" s="1"/>
  <c r="Z105"/>
  <c r="Y105" s="1"/>
  <c r="F105" s="1"/>
  <c r="Z104"/>
  <c r="Y104" s="1"/>
  <c r="Z103"/>
  <c r="Y103" s="1"/>
  <c r="Z102"/>
  <c r="Y102" s="1"/>
  <c r="Z100"/>
  <c r="Y100" s="1"/>
  <c r="Z99"/>
  <c r="Y99" s="1"/>
  <c r="Z98"/>
  <c r="Y98" s="1"/>
  <c r="Z97"/>
  <c r="Y97" s="1"/>
  <c r="Z95"/>
  <c r="Y95" s="1"/>
  <c r="F95" s="1"/>
  <c r="Z94"/>
  <c r="Y94" s="1"/>
  <c r="F94" s="1"/>
  <c r="Z93"/>
  <c r="Y93" s="1"/>
  <c r="F93" s="1"/>
  <c r="Z92"/>
  <c r="Y92" s="1"/>
  <c r="H120"/>
  <c r="Z88"/>
  <c r="Y88" s="1"/>
  <c r="Z87"/>
  <c r="Y87" s="1"/>
  <c r="Z86"/>
  <c r="Z85" s="1"/>
  <c r="Z84"/>
  <c r="F84" s="1"/>
  <c r="Z83"/>
  <c r="Y83" s="1"/>
  <c r="Z82"/>
  <c r="Y82" s="1"/>
  <c r="Z81"/>
  <c r="Y81" s="1"/>
  <c r="Z80"/>
  <c r="Y80" s="1"/>
  <c r="Z78"/>
  <c r="Y78" s="1"/>
  <c r="Z77"/>
  <c r="Z75"/>
  <c r="Y75" s="1"/>
  <c r="Z74"/>
  <c r="Z72"/>
  <c r="Y72" s="1"/>
  <c r="S71"/>
  <c r="Z71" s="1"/>
  <c r="Z70"/>
  <c r="Y70" s="1"/>
  <c r="Z68"/>
  <c r="Y68" s="1"/>
  <c r="Z67"/>
  <c r="Y67" s="1"/>
  <c r="Z66"/>
  <c r="Y66" s="1"/>
  <c r="Z65"/>
  <c r="Y65" s="1"/>
  <c r="Z64"/>
  <c r="Y64" s="1"/>
  <c r="Z63"/>
  <c r="Z61"/>
  <c r="Y61" s="1"/>
  <c r="Z60"/>
  <c r="Z58"/>
  <c r="Y58" s="1"/>
  <c r="Z57"/>
  <c r="Y57" s="1"/>
  <c r="Z55"/>
  <c r="Y55" s="1"/>
  <c r="Z54"/>
  <c r="Y54" s="1"/>
  <c r="Z53"/>
  <c r="Z51"/>
  <c r="Y51" s="1"/>
  <c r="Z50"/>
  <c r="Z48"/>
  <c r="Y48" s="1"/>
  <c r="Z47"/>
  <c r="Y47" s="1"/>
  <c r="Z46"/>
  <c r="Z44"/>
  <c r="Y44" s="1"/>
  <c r="Z43"/>
  <c r="Y43" s="1"/>
  <c r="Z42"/>
  <c r="Y42" s="1"/>
  <c r="Z41"/>
  <c r="Y41" s="1"/>
  <c r="Z40"/>
  <c r="Y40" s="1"/>
  <c r="Z39"/>
  <c r="Z37"/>
  <c r="Y37" s="1"/>
  <c r="Z36"/>
  <c r="Y36" s="1"/>
  <c r="Z35"/>
  <c r="Y35" s="1"/>
  <c r="Z34"/>
  <c r="Y34" s="1"/>
  <c r="Z32"/>
  <c r="Y32" s="1"/>
  <c r="Z31"/>
  <c r="Z29"/>
  <c r="Y29" s="1"/>
  <c r="F29" s="1"/>
  <c r="Z28"/>
  <c r="Y28" s="1"/>
  <c r="Z27"/>
  <c r="Y27" s="1"/>
  <c r="Z26"/>
  <c r="Z24"/>
  <c r="Y24" s="1"/>
  <c r="F24" s="1"/>
  <c r="Z23"/>
  <c r="Y23" s="1"/>
  <c r="F23" s="1"/>
  <c r="Z22"/>
  <c r="Y22" s="1"/>
  <c r="F22" s="1"/>
  <c r="Z20"/>
  <c r="Y20" s="1"/>
  <c r="Z15"/>
  <c r="Z14" s="1"/>
  <c r="Y14" s="1"/>
  <c r="Z13"/>
  <c r="Y13" s="1"/>
  <c r="Z11"/>
  <c r="Y11" s="1"/>
  <c r="E37" i="121"/>
  <c r="I6" i="173"/>
  <c r="AA223" i="174" l="1"/>
  <c r="AA150"/>
  <c r="H220"/>
  <c r="AA220"/>
  <c r="Y213"/>
  <c r="F213" s="1"/>
  <c r="AA213" s="1"/>
  <c r="Y221"/>
  <c r="F221" s="1"/>
  <c r="Y212"/>
  <c r="F212" s="1"/>
  <c r="F211"/>
  <c r="Z104"/>
  <c r="Y104" s="1"/>
  <c r="F104" s="1"/>
  <c r="F103" s="1"/>
  <c r="Z62"/>
  <c r="Y62" s="1"/>
  <c r="F62" s="1"/>
  <c r="AA62" s="1"/>
  <c r="Z123"/>
  <c r="Y123" s="1"/>
  <c r="F123" s="1"/>
  <c r="AA123" s="1"/>
  <c r="Z156"/>
  <c r="Y156" s="1"/>
  <c r="F156" s="1"/>
  <c r="AA156" s="1"/>
  <c r="Z250"/>
  <c r="Y250" s="1"/>
  <c r="F250" s="1"/>
  <c r="AA250" s="1"/>
  <c r="Z69"/>
  <c r="Y69" s="1"/>
  <c r="F69" s="1"/>
  <c r="AA69" s="1"/>
  <c r="Z81"/>
  <c r="Y81" s="1"/>
  <c r="F81" s="1"/>
  <c r="AA81" s="1"/>
  <c r="Z247"/>
  <c r="Y247" s="1"/>
  <c r="F247" s="1"/>
  <c r="AA247" s="1"/>
  <c r="Y157"/>
  <c r="Z258"/>
  <c r="Y258" s="1"/>
  <c r="F258" s="1"/>
  <c r="AA258" s="1"/>
  <c r="Z75"/>
  <c r="Y75" s="1"/>
  <c r="F75" s="1"/>
  <c r="AA75" s="1"/>
  <c r="Z133"/>
  <c r="Y133" s="1"/>
  <c r="F133" s="1"/>
  <c r="AA133" s="1"/>
  <c r="Z136"/>
  <c r="Y136" s="1"/>
  <c r="F136" s="1"/>
  <c r="AA136" s="1"/>
  <c r="Z168"/>
  <c r="Y168" s="1"/>
  <c r="F168" s="1"/>
  <c r="AA168" s="1"/>
  <c r="AA104"/>
  <c r="AA130"/>
  <c r="Z10"/>
  <c r="Z9" s="1"/>
  <c r="Y9" s="1"/>
  <c r="S16"/>
  <c r="AA178"/>
  <c r="F177"/>
  <c r="Z28"/>
  <c r="Y28" s="1"/>
  <c r="F28" s="1"/>
  <c r="AA28" s="1"/>
  <c r="Y70"/>
  <c r="Z96"/>
  <c r="Y96" s="1"/>
  <c r="F96" s="1"/>
  <c r="Z161"/>
  <c r="Y161" s="1"/>
  <c r="F161" s="1"/>
  <c r="AA161" s="1"/>
  <c r="Y169"/>
  <c r="Z234"/>
  <c r="Y234" s="1"/>
  <c r="F234" s="1"/>
  <c r="AA234" s="1"/>
  <c r="Z31"/>
  <c r="Y31" s="1"/>
  <c r="F31" s="1"/>
  <c r="AA31" s="1"/>
  <c r="Z46"/>
  <c r="Y46" s="1"/>
  <c r="F46" s="1"/>
  <c r="AA46" s="1"/>
  <c r="Z65"/>
  <c r="Y65" s="1"/>
  <c r="F65" s="1"/>
  <c r="AA65" s="1"/>
  <c r="Z84"/>
  <c r="Y84" s="1"/>
  <c r="F84" s="1"/>
  <c r="AA84" s="1"/>
  <c r="Z90"/>
  <c r="Y90" s="1"/>
  <c r="F90" s="1"/>
  <c r="AA90" s="1"/>
  <c r="Z99"/>
  <c r="Y99" s="1"/>
  <c r="F99" s="1"/>
  <c r="AA99" s="1"/>
  <c r="Z239"/>
  <c r="Y239" s="1"/>
  <c r="F239" s="1"/>
  <c r="Y32"/>
  <c r="Z49"/>
  <c r="Y49" s="1"/>
  <c r="F49" s="1"/>
  <c r="AA49" s="1"/>
  <c r="Z186"/>
  <c r="Y186" s="1"/>
  <c r="F186" s="1"/>
  <c r="AA186" s="1"/>
  <c r="F196"/>
  <c r="Y240"/>
  <c r="Z253"/>
  <c r="Y253" s="1"/>
  <c r="F253" s="1"/>
  <c r="AA253" s="1"/>
  <c r="H180"/>
  <c r="AA180"/>
  <c r="F256" i="173"/>
  <c r="Z238"/>
  <c r="Y238" s="1"/>
  <c r="Z251"/>
  <c r="Y251" s="1"/>
  <c r="F251" s="1"/>
  <c r="Z322"/>
  <c r="Y322" s="1"/>
  <c r="F322" s="1"/>
  <c r="F321" s="1"/>
  <c r="F92"/>
  <c r="Z386"/>
  <c r="Y386" s="1"/>
  <c r="AA52" i="174"/>
  <c r="AA55"/>
  <c r="Z12" i="173"/>
  <c r="Y12" s="1"/>
  <c r="Z49"/>
  <c r="Y49" s="1"/>
  <c r="F49" s="1"/>
  <c r="Y86"/>
  <c r="F86" s="1"/>
  <c r="F85" s="1"/>
  <c r="H85" s="1"/>
  <c r="Z101"/>
  <c r="Y101" s="1"/>
  <c r="F101" s="1"/>
  <c r="Z73"/>
  <c r="Z213"/>
  <c r="Y213" s="1"/>
  <c r="F213" s="1"/>
  <c r="Z30"/>
  <c r="Y30" s="1"/>
  <c r="F30" s="1"/>
  <c r="Z62"/>
  <c r="Y62" s="1"/>
  <c r="F62" s="1"/>
  <c r="Z45"/>
  <c r="Y45" s="1"/>
  <c r="F45" s="1"/>
  <c r="Y50"/>
  <c r="Z56"/>
  <c r="F238"/>
  <c r="H238" s="1"/>
  <c r="Z224"/>
  <c r="Z24" i="174"/>
  <c r="Y24" s="1"/>
  <c r="F24" s="1"/>
  <c r="AA24" s="1"/>
  <c r="Z36"/>
  <c r="Y36" s="1"/>
  <c r="F36" s="1"/>
  <c r="AA36" s="1"/>
  <c r="Z116"/>
  <c r="Y116" s="1"/>
  <c r="F116" s="1"/>
  <c r="Z151"/>
  <c r="Y151" s="1"/>
  <c r="F151" s="1"/>
  <c r="Y162"/>
  <c r="Z173"/>
  <c r="Y173" s="1"/>
  <c r="F173" s="1"/>
  <c r="AA173" s="1"/>
  <c r="Y11"/>
  <c r="Y13"/>
  <c r="Y15"/>
  <c r="Y50"/>
  <c r="Y63"/>
  <c r="Y97"/>
  <c r="Y105"/>
  <c r="Y235"/>
  <c r="Y251"/>
  <c r="Y82"/>
  <c r="H230" i="171"/>
  <c r="E38" i="121"/>
  <c r="Y31" i="173"/>
  <c r="Z25"/>
  <c r="Y25" s="1"/>
  <c r="F25" s="1"/>
  <c r="Z10"/>
  <c r="Y10" s="1"/>
  <c r="Z59"/>
  <c r="Y59" s="1"/>
  <c r="F59" s="1"/>
  <c r="F132"/>
  <c r="F133"/>
  <c r="Z204"/>
  <c r="Y204" s="1"/>
  <c r="F204" s="1"/>
  <c r="Y210"/>
  <c r="F210" s="1"/>
  <c r="Z217"/>
  <c r="Y217" s="1"/>
  <c r="F217" s="1"/>
  <c r="Y225"/>
  <c r="Y224" s="1"/>
  <c r="F224" s="1"/>
  <c r="Z277"/>
  <c r="Y277" s="1"/>
  <c r="F358"/>
  <c r="Z234"/>
  <c r="Y234" s="1"/>
  <c r="F234" s="1"/>
  <c r="Z283"/>
  <c r="Y283" s="1"/>
  <c r="Y314"/>
  <c r="F314" s="1"/>
  <c r="Z380"/>
  <c r="Y380" s="1"/>
  <c r="F380" s="1"/>
  <c r="Z52"/>
  <c r="Y52" s="1"/>
  <c r="F52" s="1"/>
  <c r="Z228"/>
  <c r="Y228" s="1"/>
  <c r="F228" s="1"/>
  <c r="Z245"/>
  <c r="Y245" s="1"/>
  <c r="F245" s="1"/>
  <c r="Y252"/>
  <c r="F311"/>
  <c r="Z354"/>
  <c r="Y354" s="1"/>
  <c r="F354" s="1"/>
  <c r="Z396"/>
  <c r="Y396" s="1"/>
  <c r="Z400"/>
  <c r="Y400" s="1"/>
  <c r="Z248"/>
  <c r="Y248" s="1"/>
  <c r="F248" s="1"/>
  <c r="Z274"/>
  <c r="F274" s="1"/>
  <c r="Z280"/>
  <c r="F280" s="1"/>
  <c r="Z341"/>
  <c r="Z33"/>
  <c r="Y33" s="1"/>
  <c r="F33" s="1"/>
  <c r="Z38"/>
  <c r="Z76"/>
  <c r="F76" s="1"/>
  <c r="Z79"/>
  <c r="F79" s="1"/>
  <c r="Z129"/>
  <c r="Z314"/>
  <c r="Z310" s="1"/>
  <c r="Y341"/>
  <c r="F341" s="1"/>
  <c r="Z369"/>
  <c r="Y369" s="1"/>
  <c r="F369" s="1"/>
  <c r="F378"/>
  <c r="Z409"/>
  <c r="Y409" s="1"/>
  <c r="Y71"/>
  <c r="Z69"/>
  <c r="Z256"/>
  <c r="H267"/>
  <c r="Y333"/>
  <c r="F333" s="1"/>
  <c r="S16"/>
  <c r="Y26"/>
  <c r="Y74"/>
  <c r="Y73" s="1"/>
  <c r="F73" s="1"/>
  <c r="Y208"/>
  <c r="F208" s="1"/>
  <c r="Y209"/>
  <c r="F209" s="1"/>
  <c r="Y235"/>
  <c r="F287"/>
  <c r="F288"/>
  <c r="H288" s="1"/>
  <c r="F289"/>
  <c r="Z345"/>
  <c r="Y345" s="1"/>
  <c r="F345" s="1"/>
  <c r="Z359"/>
  <c r="Y359" s="1"/>
  <c r="F359" s="1"/>
  <c r="Z364"/>
  <c r="Y364" s="1"/>
  <c r="F364" s="1"/>
  <c r="Z391"/>
  <c r="Y391" s="1"/>
  <c r="Y15"/>
  <c r="Y39"/>
  <c r="Y38" s="1"/>
  <c r="F38" s="1"/>
  <c r="Y77"/>
  <c r="Y84"/>
  <c r="Z96"/>
  <c r="Y237"/>
  <c r="F237" s="1"/>
  <c r="Y46"/>
  <c r="Y53"/>
  <c r="Y60"/>
  <c r="Y63"/>
  <c r="Y268"/>
  <c r="Y279"/>
  <c r="Z333"/>
  <c r="Y355"/>
  <c r="Y410"/>
  <c r="Y323"/>
  <c r="F222" i="174" l="1"/>
  <c r="AA212"/>
  <c r="F149"/>
  <c r="Y10"/>
  <c r="F122"/>
  <c r="AA122" s="1"/>
  <c r="F195"/>
  <c r="AA195" s="1"/>
  <c r="AA239"/>
  <c r="H239"/>
  <c r="AA211"/>
  <c r="H211"/>
  <c r="AA221"/>
  <c r="H221"/>
  <c r="Y214"/>
  <c r="F214" s="1"/>
  <c r="F210" s="1"/>
  <c r="F89"/>
  <c r="AA89" s="1"/>
  <c r="F166"/>
  <c r="H166" s="1"/>
  <c r="F184"/>
  <c r="AA184" s="1"/>
  <c r="F129"/>
  <c r="AA129" s="1"/>
  <c r="F246"/>
  <c r="AA246" s="1"/>
  <c r="F95"/>
  <c r="AA96"/>
  <c r="H103"/>
  <c r="AA103"/>
  <c r="F21"/>
  <c r="H21" s="1"/>
  <c r="F113"/>
  <c r="AA113" s="1"/>
  <c r="AA116"/>
  <c r="H89"/>
  <c r="AA177"/>
  <c r="H177"/>
  <c r="F233"/>
  <c r="AA233" s="1"/>
  <c r="AA149"/>
  <c r="AA151"/>
  <c r="F130" i="173"/>
  <c r="F283"/>
  <c r="H283" s="1"/>
  <c r="F310"/>
  <c r="H310" s="1"/>
  <c r="Y280"/>
  <c r="Z321"/>
  <c r="Z320" s="1"/>
  <c r="Y76"/>
  <c r="F277"/>
  <c r="F273" s="1"/>
  <c r="Z223"/>
  <c r="F242"/>
  <c r="H242" s="1"/>
  <c r="Z332"/>
  <c r="Z384"/>
  <c r="G5"/>
  <c r="Z199"/>
  <c r="F56"/>
  <c r="Y56"/>
  <c r="F199"/>
  <c r="H199" s="1"/>
  <c r="F9" i="174"/>
  <c r="AA9" s="1"/>
  <c r="F245"/>
  <c r="H246"/>
  <c r="H195"/>
  <c r="S19"/>
  <c r="Z19" s="1"/>
  <c r="Z16"/>
  <c r="Y16" s="1"/>
  <c r="Y79" i="173"/>
  <c r="Z9"/>
  <c r="Z8" s="1"/>
  <c r="Y274"/>
  <c r="Z273"/>
  <c r="Z242"/>
  <c r="F181"/>
  <c r="H181" s="1"/>
  <c r="F211"/>
  <c r="H211" s="1"/>
  <c r="Z352"/>
  <c r="F352"/>
  <c r="H352" s="1"/>
  <c r="Y96"/>
  <c r="F96" s="1"/>
  <c r="F91" s="1"/>
  <c r="F90" s="1"/>
  <c r="Z91"/>
  <c r="F223"/>
  <c r="H223" s="1"/>
  <c r="Z130"/>
  <c r="F332"/>
  <c r="Z16"/>
  <c r="Y16" s="1"/>
  <c r="F16" s="1"/>
  <c r="S19"/>
  <c r="Z19" s="1"/>
  <c r="H321"/>
  <c r="F320"/>
  <c r="H320" s="1"/>
  <c r="F69"/>
  <c r="Y69"/>
  <c r="Z290"/>
  <c r="AA166" i="174" l="1"/>
  <c r="F121"/>
  <c r="AA121" s="1"/>
  <c r="H122"/>
  <c r="H113"/>
  <c r="H149"/>
  <c r="Y9" i="173"/>
  <c r="F9" s="1"/>
  <c r="AA214" i="174"/>
  <c r="F129" i="173"/>
  <c r="F94" i="174"/>
  <c r="AA94" s="1"/>
  <c r="H184"/>
  <c r="F183"/>
  <c r="AA183" s="1"/>
  <c r="F232"/>
  <c r="H232" s="1"/>
  <c r="AA21"/>
  <c r="H233"/>
  <c r="F148"/>
  <c r="H148" s="1"/>
  <c r="H245"/>
  <c r="AA245"/>
  <c r="AA95"/>
  <c r="H95"/>
  <c r="H222"/>
  <c r="AA222"/>
  <c r="H121"/>
  <c r="H130" i="173"/>
  <c r="F331"/>
  <c r="H331" s="1"/>
  <c r="H90"/>
  <c r="H91"/>
  <c r="H273"/>
  <c r="H256"/>
  <c r="F241"/>
  <c r="H241" s="1"/>
  <c r="F198"/>
  <c r="H198" s="1"/>
  <c r="H150"/>
  <c r="H290"/>
  <c r="Z331"/>
  <c r="Y19" i="174"/>
  <c r="Z17"/>
  <c r="Y17" s="1"/>
  <c r="F16"/>
  <c r="H332" i="173"/>
  <c r="F21"/>
  <c r="H21" s="1"/>
  <c r="Z17"/>
  <c r="Y17" s="1"/>
  <c r="F17" s="1"/>
  <c r="Y19"/>
  <c r="H94" i="174" l="1"/>
  <c r="AA210"/>
  <c r="F194"/>
  <c r="F93" s="1"/>
  <c r="AA93" s="1"/>
  <c r="H210"/>
  <c r="H183"/>
  <c r="AA148"/>
  <c r="AA232"/>
  <c r="H129" i="173"/>
  <c r="F272"/>
  <c r="F89" s="1"/>
  <c r="AA16" i="174"/>
  <c r="F8" i="173"/>
  <c r="F17" i="174"/>
  <c r="AA17" s="1"/>
  <c r="AA194" l="1"/>
  <c r="H194"/>
  <c r="Z93"/>
  <c r="D41" i="121"/>
  <c r="H93" i="174"/>
  <c r="D38" i="121"/>
  <c r="H272" i="173"/>
  <c r="H8"/>
  <c r="F7"/>
  <c r="D37" i="121" s="1"/>
  <c r="F8" i="174"/>
  <c r="AA8" s="1"/>
  <c r="F6" i="173" l="1"/>
  <c r="F5" s="1"/>
  <c r="H5" s="1"/>
  <c r="D36" i="121"/>
  <c r="H89" i="173"/>
  <c r="H7"/>
  <c r="H8" i="174"/>
  <c r="F7"/>
  <c r="D40" i="121" l="1"/>
  <c r="AA7" i="174"/>
  <c r="H6" i="173"/>
  <c r="H7" i="174"/>
  <c r="F6"/>
  <c r="H6" s="1"/>
  <c r="H355" i="172"/>
  <c r="Z296"/>
  <c r="Y296" s="1"/>
  <c r="F296" s="1"/>
  <c r="AA296" s="1"/>
  <c r="Z295"/>
  <c r="Y295" s="1"/>
  <c r="F295" s="1"/>
  <c r="E35" i="121"/>
  <c r="F371" i="172"/>
  <c r="AA371" s="1"/>
  <c r="F370"/>
  <c r="AA370" s="1"/>
  <c r="F368"/>
  <c r="Z365"/>
  <c r="Y365" s="1"/>
  <c r="F365" s="1"/>
  <c r="AA365" s="1"/>
  <c r="Z364"/>
  <c r="Y364" s="1"/>
  <c r="F364" s="1"/>
  <c r="AA364" s="1"/>
  <c r="Z361"/>
  <c r="Y361" s="1"/>
  <c r="F361" s="1"/>
  <c r="AA361" s="1"/>
  <c r="Z360"/>
  <c r="Y360" s="1"/>
  <c r="F360" s="1"/>
  <c r="AA360" s="1"/>
  <c r="Z359"/>
  <c r="Y359" s="1"/>
  <c r="F359" s="1"/>
  <c r="AA359" s="1"/>
  <c r="Z358"/>
  <c r="AA338"/>
  <c r="F337"/>
  <c r="F332"/>
  <c r="F328"/>
  <c r="F327"/>
  <c r="F324"/>
  <c r="AA324" s="1"/>
  <c r="F320"/>
  <c r="AA320" s="1"/>
  <c r="F319"/>
  <c r="F318"/>
  <c r="F317"/>
  <c r="Z310"/>
  <c r="AA308"/>
  <c r="AA304"/>
  <c r="AA299"/>
  <c r="F292"/>
  <c r="F282"/>
  <c r="AA282" s="1"/>
  <c r="F281"/>
  <c r="AA281" s="1"/>
  <c r="F280"/>
  <c r="AA280" s="1"/>
  <c r="F279"/>
  <c r="AA279" s="1"/>
  <c r="F266"/>
  <c r="AA266" s="1"/>
  <c r="F262"/>
  <c r="AA262" s="1"/>
  <c r="F261"/>
  <c r="AA261" s="1"/>
  <c r="AE260"/>
  <c r="AF260" s="1"/>
  <c r="F256"/>
  <c r="AA256" s="1"/>
  <c r="F255"/>
  <c r="AA255" s="1"/>
  <c r="F250"/>
  <c r="AA250" s="1"/>
  <c r="F249"/>
  <c r="F248"/>
  <c r="AA248" s="1"/>
  <c r="F247"/>
  <c r="AA247" s="1"/>
  <c r="F246"/>
  <c r="Z244"/>
  <c r="Y244" s="1"/>
  <c r="F244" s="1"/>
  <c r="AA244" s="1"/>
  <c r="Z243"/>
  <c r="Y243" s="1"/>
  <c r="F243" s="1"/>
  <c r="AA243" s="1"/>
  <c r="Z242"/>
  <c r="Y242" s="1"/>
  <c r="F242" s="1"/>
  <c r="AA242" s="1"/>
  <c r="Z241"/>
  <c r="Y241" s="1"/>
  <c r="F241" s="1"/>
  <c r="AA241" s="1"/>
  <c r="Z240"/>
  <c r="Y240" s="1"/>
  <c r="Z239"/>
  <c r="Y239" s="1"/>
  <c r="F237"/>
  <c r="AA237" s="1"/>
  <c r="AA213"/>
  <c r="AA194"/>
  <c r="AA192"/>
  <c r="AA186"/>
  <c r="AA185"/>
  <c r="AA174"/>
  <c r="F170"/>
  <c r="Z160"/>
  <c r="AA160"/>
  <c r="Z122"/>
  <c r="Z121"/>
  <c r="Y121" s="1"/>
  <c r="F121" s="1"/>
  <c r="AA121" s="1"/>
  <c r="Z120"/>
  <c r="Z119"/>
  <c r="Z114"/>
  <c r="Y114" s="1"/>
  <c r="F114" s="1"/>
  <c r="AA114" s="1"/>
  <c r="Z113"/>
  <c r="Y113" s="1"/>
  <c r="F113" s="1"/>
  <c r="Z112"/>
  <c r="Z111"/>
  <c r="Z109"/>
  <c r="Y109" s="1"/>
  <c r="F109" s="1"/>
  <c r="Z107"/>
  <c r="Y107" s="1"/>
  <c r="F107" s="1"/>
  <c r="AA106"/>
  <c r="Z106"/>
  <c r="Y106" s="1"/>
  <c r="AA105"/>
  <c r="Z105"/>
  <c r="Y105" s="1"/>
  <c r="AA104"/>
  <c r="Z104"/>
  <c r="Y104" s="1"/>
  <c r="AA103"/>
  <c r="Z103"/>
  <c r="AA101"/>
  <c r="Z101"/>
  <c r="Y101" s="1"/>
  <c r="AA100"/>
  <c r="Z100"/>
  <c r="Y100" s="1"/>
  <c r="AA98"/>
  <c r="Z98"/>
  <c r="Y98" s="1"/>
  <c r="AA97"/>
  <c r="Z97"/>
  <c r="AA96"/>
  <c r="Z96"/>
  <c r="Y96" s="1"/>
  <c r="AA94"/>
  <c r="Z94"/>
  <c r="Y94"/>
  <c r="AA93"/>
  <c r="Z93"/>
  <c r="Y93" s="1"/>
  <c r="AA92"/>
  <c r="S92"/>
  <c r="Z92" s="1"/>
  <c r="Y92" s="1"/>
  <c r="AA91"/>
  <c r="Z91"/>
  <c r="AA90"/>
  <c r="Z90"/>
  <c r="Y90" s="1"/>
  <c r="AA88"/>
  <c r="Z88"/>
  <c r="Y88" s="1"/>
  <c r="AA87"/>
  <c r="Z87"/>
  <c r="Y87" s="1"/>
  <c r="AA86"/>
  <c r="Z86"/>
  <c r="AA84"/>
  <c r="Z84"/>
  <c r="Y84" s="1"/>
  <c r="AA83"/>
  <c r="Z83"/>
  <c r="Y83" s="1"/>
  <c r="AA81"/>
  <c r="Z81"/>
  <c r="Y81" s="1"/>
  <c r="AA80"/>
  <c r="Z80"/>
  <c r="Y80" s="1"/>
  <c r="AA79"/>
  <c r="Z79"/>
  <c r="Y79" s="1"/>
  <c r="AA78"/>
  <c r="Z78"/>
  <c r="Y78" s="1"/>
  <c r="AA77"/>
  <c r="Z77"/>
  <c r="AA76"/>
  <c r="AA75"/>
  <c r="Z75"/>
  <c r="Y75" s="1"/>
  <c r="AA74"/>
  <c r="Z74"/>
  <c r="Y74" s="1"/>
  <c r="AA73"/>
  <c r="Z73"/>
  <c r="Y73" s="1"/>
  <c r="AA72"/>
  <c r="Z72"/>
  <c r="AA71"/>
  <c r="AA70"/>
  <c r="Z70"/>
  <c r="Y70" s="1"/>
  <c r="AA69"/>
  <c r="Z69"/>
  <c r="Y69" s="1"/>
  <c r="AA68"/>
  <c r="Z68"/>
  <c r="Y68" s="1"/>
  <c r="AA67"/>
  <c r="Z67"/>
  <c r="AA66"/>
  <c r="Z66"/>
  <c r="Y66" s="1"/>
  <c r="AA65"/>
  <c r="AA64"/>
  <c r="Z64"/>
  <c r="Y64" s="1"/>
  <c r="AA63"/>
  <c r="Z63"/>
  <c r="AA62"/>
  <c r="AA61"/>
  <c r="Z61"/>
  <c r="Y61" s="1"/>
  <c r="AA60"/>
  <c r="Z60"/>
  <c r="Y60" s="1"/>
  <c r="AA59"/>
  <c r="Z59"/>
  <c r="Y59" s="1"/>
  <c r="AA58"/>
  <c r="Z58"/>
  <c r="Y58" s="1"/>
  <c r="AA57"/>
  <c r="Z57"/>
  <c r="Y57" s="1"/>
  <c r="AA56"/>
  <c r="Z56"/>
  <c r="Y56" s="1"/>
  <c r="AA55"/>
  <c r="AA53"/>
  <c r="Z53"/>
  <c r="Y53" s="1"/>
  <c r="AA52"/>
  <c r="Z52"/>
  <c r="Y52" s="1"/>
  <c r="AA51"/>
  <c r="Z51"/>
  <c r="Y51" s="1"/>
  <c r="AA49"/>
  <c r="Z49"/>
  <c r="AA48"/>
  <c r="Z48"/>
  <c r="Y48" s="1"/>
  <c r="AC46"/>
  <c r="AA46"/>
  <c r="Z46"/>
  <c r="Y46" s="1"/>
  <c r="AC45"/>
  <c r="AA45"/>
  <c r="Z45"/>
  <c r="AA43"/>
  <c r="Z43"/>
  <c r="Y43" s="1"/>
  <c r="AA42"/>
  <c r="Z42"/>
  <c r="Y42" s="1"/>
  <c r="AA41"/>
  <c r="Z41"/>
  <c r="Y41" s="1"/>
  <c r="AA40"/>
  <c r="Z40"/>
  <c r="Y40" s="1"/>
  <c r="AA39"/>
  <c r="Z39"/>
  <c r="Y39" s="1"/>
  <c r="AA38"/>
  <c r="Z38"/>
  <c r="Y38" s="1"/>
  <c r="AA37"/>
  <c r="Z37"/>
  <c r="AA35"/>
  <c r="Z35"/>
  <c r="Y35" s="1"/>
  <c r="AC34"/>
  <c r="AA34"/>
  <c r="Z34"/>
  <c r="Y34" s="1"/>
  <c r="AA33"/>
  <c r="Z33"/>
  <c r="Y33" s="1"/>
  <c r="AA32"/>
  <c r="Z32"/>
  <c r="Y32" s="1"/>
  <c r="AA31"/>
  <c r="Z31"/>
  <c r="AA29"/>
  <c r="Z29"/>
  <c r="Y29"/>
  <c r="AA28"/>
  <c r="Z28"/>
  <c r="Y28"/>
  <c r="AA26"/>
  <c r="Z26"/>
  <c r="Y26"/>
  <c r="AA25"/>
  <c r="Z25"/>
  <c r="Y25"/>
  <c r="AA24"/>
  <c r="Z24"/>
  <c r="Y24"/>
  <c r="Z22"/>
  <c r="Y22"/>
  <c r="F22" s="1"/>
  <c r="Z21"/>
  <c r="Y21"/>
  <c r="F21" s="1"/>
  <c r="Z19"/>
  <c r="Y19" s="1"/>
  <c r="AC15"/>
  <c r="Z15"/>
  <c r="Z14" s="1"/>
  <c r="Y14" s="1"/>
  <c r="AB13"/>
  <c r="AC13" s="1"/>
  <c r="Z13"/>
  <c r="Y13" s="1"/>
  <c r="AB11"/>
  <c r="AC11" s="1"/>
  <c r="Z11"/>
  <c r="Y11" s="1"/>
  <c r="G6"/>
  <c r="AA249" l="1"/>
  <c r="AA319"/>
  <c r="AA368"/>
  <c r="AA318"/>
  <c r="AA317"/>
  <c r="Z27"/>
  <c r="Y27" s="1"/>
  <c r="F27" s="1"/>
  <c r="AA27" s="1"/>
  <c r="Z36"/>
  <c r="Y36" s="1"/>
  <c r="F36" s="1"/>
  <c r="AA36" s="1"/>
  <c r="Z71"/>
  <c r="AA170"/>
  <c r="F169"/>
  <c r="F122" s="1"/>
  <c r="AA246"/>
  <c r="Z12"/>
  <c r="Y12" s="1"/>
  <c r="Z82"/>
  <c r="Y82" s="1"/>
  <c r="F82" s="1"/>
  <c r="Z23"/>
  <c r="Y23" s="1"/>
  <c r="F23" s="1"/>
  <c r="Z44"/>
  <c r="Y44" s="1"/>
  <c r="F44" s="1"/>
  <c r="Z62"/>
  <c r="F263"/>
  <c r="AA263" s="1"/>
  <c r="H338"/>
  <c r="AA107"/>
  <c r="AA113"/>
  <c r="Z30"/>
  <c r="Y30" s="1"/>
  <c r="F30" s="1"/>
  <c r="F251"/>
  <c r="AA251" s="1"/>
  <c r="AA22"/>
  <c r="F294"/>
  <c r="AA295"/>
  <c r="Z76"/>
  <c r="Y76" s="1"/>
  <c r="AA188"/>
  <c r="Z238"/>
  <c r="F347"/>
  <c r="F346" s="1"/>
  <c r="Z367"/>
  <c r="AA171"/>
  <c r="AA175"/>
  <c r="E34" i="121"/>
  <c r="E33" s="1"/>
  <c r="Y31" i="172"/>
  <c r="Y45"/>
  <c r="Z47"/>
  <c r="Y47" s="1"/>
  <c r="F47" s="1"/>
  <c r="Y63"/>
  <c r="Y62" s="1"/>
  <c r="Y72"/>
  <c r="Y71" s="1"/>
  <c r="Y77"/>
  <c r="Z99"/>
  <c r="Y99" s="1"/>
  <c r="F99" s="1"/>
  <c r="Z108"/>
  <c r="Y238"/>
  <c r="F238" s="1"/>
  <c r="Z245"/>
  <c r="F274"/>
  <c r="AA274" s="1"/>
  <c r="F321"/>
  <c r="AA321" s="1"/>
  <c r="F369"/>
  <c r="AA369" s="1"/>
  <c r="Z65"/>
  <c r="Z85"/>
  <c r="Y85" s="1"/>
  <c r="F85" s="1"/>
  <c r="Z95"/>
  <c r="Y95" s="1"/>
  <c r="F95" s="1"/>
  <c r="F289"/>
  <c r="H160"/>
  <c r="Z89"/>
  <c r="Y89" s="1"/>
  <c r="F89" s="1"/>
  <c r="Z10"/>
  <c r="Y65"/>
  <c r="Z102"/>
  <c r="Y102" s="1"/>
  <c r="F102" s="1"/>
  <c r="F284"/>
  <c r="AA300"/>
  <c r="AA305"/>
  <c r="F333"/>
  <c r="AA21"/>
  <c r="F329"/>
  <c r="F358"/>
  <c r="AA358" s="1"/>
  <c r="AA109"/>
  <c r="F108"/>
  <c r="F285"/>
  <c r="F267"/>
  <c r="AA267" s="1"/>
  <c r="Y86"/>
  <c r="Y91"/>
  <c r="Y97"/>
  <c r="Y103"/>
  <c r="Z338"/>
  <c r="Y37"/>
  <c r="Z50"/>
  <c r="Y50" s="1"/>
  <c r="F50" s="1"/>
  <c r="Z55"/>
  <c r="Z325"/>
  <c r="Y15"/>
  <c r="F316" l="1"/>
  <c r="F283"/>
  <c r="AA283" s="1"/>
  <c r="F245"/>
  <c r="F325"/>
  <c r="Z9"/>
  <c r="S16"/>
  <c r="Z16" s="1"/>
  <c r="Y16" s="1"/>
  <c r="F16" s="1"/>
  <c r="Y10"/>
  <c r="H310"/>
  <c r="AA82"/>
  <c r="H346"/>
  <c r="H316"/>
  <c r="F366"/>
  <c r="F297"/>
  <c r="AA50"/>
  <c r="AA30"/>
  <c r="AA310"/>
  <c r="AA95"/>
  <c r="F236"/>
  <c r="AA238"/>
  <c r="AA99"/>
  <c r="AA47"/>
  <c r="AA294"/>
  <c r="H294"/>
  <c r="AA23"/>
  <c r="AA44"/>
  <c r="AA102"/>
  <c r="AA89"/>
  <c r="AA85"/>
  <c r="F112"/>
  <c r="Z118"/>
  <c r="Z169"/>
  <c r="F357"/>
  <c r="H358"/>
  <c r="AA169"/>
  <c r="F258"/>
  <c r="AA258" s="1"/>
  <c r="Z257"/>
  <c r="Y55"/>
  <c r="Z54"/>
  <c r="Y54" s="1"/>
  <c r="F54" s="1"/>
  <c r="Z187"/>
  <c r="AA195"/>
  <c r="H108"/>
  <c r="AA108"/>
  <c r="S18" l="1"/>
  <c r="Z18" s="1"/>
  <c r="Y18" s="1"/>
  <c r="AA245"/>
  <c r="Y9"/>
  <c r="F9" s="1"/>
  <c r="AA9" s="1"/>
  <c r="F309"/>
  <c r="AA309" s="1"/>
  <c r="AA346"/>
  <c r="AA316"/>
  <c r="AA123"/>
  <c r="H283"/>
  <c r="H245"/>
  <c r="AA297"/>
  <c r="H297"/>
  <c r="AA16"/>
  <c r="AA367"/>
  <c r="AA54"/>
  <c r="H236"/>
  <c r="AA236"/>
  <c r="AA325"/>
  <c r="H325"/>
  <c r="H298"/>
  <c r="AA298"/>
  <c r="H123"/>
  <c r="H357"/>
  <c r="AA357"/>
  <c r="H169"/>
  <c r="H367"/>
  <c r="F257"/>
  <c r="AA257" s="1"/>
  <c r="AA187"/>
  <c r="F20"/>
  <c r="F235" l="1"/>
  <c r="AA235" s="1"/>
  <c r="Z17"/>
  <c r="Y17" s="1"/>
  <c r="F17" s="1"/>
  <c r="AA17" s="1"/>
  <c r="H309"/>
  <c r="AA112"/>
  <c r="H112"/>
  <c r="F111"/>
  <c r="H366"/>
  <c r="H257"/>
  <c r="H20"/>
  <c r="AA20"/>
  <c r="AC20" s="1"/>
  <c r="F8" l="1"/>
  <c r="AA8" s="1"/>
  <c r="F110"/>
  <c r="D35" i="121" s="1"/>
  <c r="H122" i="172"/>
  <c r="AA122"/>
  <c r="AA111"/>
  <c r="H111"/>
  <c r="H235"/>
  <c r="H8" l="1"/>
  <c r="F7"/>
  <c r="F6" s="1"/>
  <c r="H110"/>
  <c r="AA110"/>
  <c r="H7" l="1"/>
  <c r="H6" s="1"/>
  <c r="D34" i="121"/>
  <c r="AA7" i="172"/>
  <c r="Y339" i="171"/>
  <c r="F339" s="1"/>
  <c r="AA339" s="1"/>
  <c r="Y338"/>
  <c r="F338" s="1"/>
  <c r="AA338" s="1"/>
  <c r="Y337"/>
  <c r="F337" s="1"/>
  <c r="AA337" s="1"/>
  <c r="Y335"/>
  <c r="F335" s="1"/>
  <c r="Y334"/>
  <c r="Y333"/>
  <c r="AA323"/>
  <c r="F321"/>
  <c r="F320" s="1"/>
  <c r="Y319"/>
  <c r="F319" s="1"/>
  <c r="AA319" s="1"/>
  <c r="Y318"/>
  <c r="F318" s="1"/>
  <c r="AA318" s="1"/>
  <c r="Y317"/>
  <c r="F317" s="1"/>
  <c r="AA317" s="1"/>
  <c r="Y316"/>
  <c r="F316" s="1"/>
  <c r="AA316" s="1"/>
  <c r="Y315"/>
  <c r="Y314"/>
  <c r="Y312"/>
  <c r="F312" s="1"/>
  <c r="AA312" s="1"/>
  <c r="Y311"/>
  <c r="F311" s="1"/>
  <c r="AA311" s="1"/>
  <c r="Y297"/>
  <c r="F297" s="1"/>
  <c r="AA297" s="1"/>
  <c r="Y296"/>
  <c r="F296" s="1"/>
  <c r="AA296" s="1"/>
  <c r="Y295"/>
  <c r="F295" s="1"/>
  <c r="AA295" s="1"/>
  <c r="Y294"/>
  <c r="F294" s="1"/>
  <c r="AA294" s="1"/>
  <c r="Y292"/>
  <c r="F292" s="1"/>
  <c r="AA292" s="1"/>
  <c r="Y291"/>
  <c r="Y290"/>
  <c r="Y289"/>
  <c r="Y287"/>
  <c r="Y286"/>
  <c r="Y283"/>
  <c r="F283" s="1"/>
  <c r="AA283" s="1"/>
  <c r="Y282"/>
  <c r="F282" s="1"/>
  <c r="AA282" s="1"/>
  <c r="Y281"/>
  <c r="F281" s="1"/>
  <c r="AA281" s="1"/>
  <c r="Y279"/>
  <c r="F279" s="1"/>
  <c r="AA279" s="1"/>
  <c r="Y278"/>
  <c r="F278" s="1"/>
  <c r="AA278" s="1"/>
  <c r="Y276"/>
  <c r="Y275"/>
  <c r="Y274"/>
  <c r="Y273"/>
  <c r="Y271"/>
  <c r="F271" s="1"/>
  <c r="AA271" s="1"/>
  <c r="Y270"/>
  <c r="F270" s="1"/>
  <c r="AA270" s="1"/>
  <c r="Y269"/>
  <c r="F269" s="1"/>
  <c r="AA269" s="1"/>
  <c r="Y268"/>
  <c r="F268" s="1"/>
  <c r="AA268" s="1"/>
  <c r="Y267"/>
  <c r="F267" s="1"/>
  <c r="AA267" s="1"/>
  <c r="Y264"/>
  <c r="F264" s="1"/>
  <c r="AA264" s="1"/>
  <c r="Y263"/>
  <c r="F263" s="1"/>
  <c r="AA263" s="1"/>
  <c r="F262"/>
  <c r="AA262" s="1"/>
  <c r="AA252"/>
  <c r="AA251"/>
  <c r="Y248"/>
  <c r="F248" s="1"/>
  <c r="AA248" s="1"/>
  <c r="Y247"/>
  <c r="F247" s="1"/>
  <c r="AA247" s="1"/>
  <c r="Y246"/>
  <c r="F246" s="1"/>
  <c r="AA246" s="1"/>
  <c r="Y245"/>
  <c r="F245" s="1"/>
  <c r="AA245" s="1"/>
  <c r="Y244"/>
  <c r="Y243"/>
  <c r="Y241"/>
  <c r="Y240"/>
  <c r="Y238"/>
  <c r="Y237"/>
  <c r="Y235"/>
  <c r="F235" s="1"/>
  <c r="AA235" s="1"/>
  <c r="Y234"/>
  <c r="F234" s="1"/>
  <c r="AA234" s="1"/>
  <c r="Y229"/>
  <c r="F229" s="1"/>
  <c r="AA229" s="1"/>
  <c r="Y228"/>
  <c r="F228" s="1"/>
  <c r="AA228" s="1"/>
  <c r="Y226"/>
  <c r="F226" s="1"/>
  <c r="AA226" s="1"/>
  <c r="Y225"/>
  <c r="F225" s="1"/>
  <c r="AA225" s="1"/>
  <c r="Y224"/>
  <c r="Y223"/>
  <c r="Y221"/>
  <c r="F221" s="1"/>
  <c r="AA221" s="1"/>
  <c r="Y219"/>
  <c r="F219" s="1"/>
  <c r="AA219" s="1"/>
  <c r="Y218"/>
  <c r="Y217"/>
  <c r="Y216"/>
  <c r="Y214"/>
  <c r="Y213"/>
  <c r="Y211"/>
  <c r="Y210"/>
  <c r="Y209"/>
  <c r="Y207"/>
  <c r="Y206"/>
  <c r="Y205"/>
  <c r="Y203"/>
  <c r="Y202"/>
  <c r="Y200"/>
  <c r="Y199"/>
  <c r="Y196"/>
  <c r="F196" s="1"/>
  <c r="AA196" s="1"/>
  <c r="Y195"/>
  <c r="Y194"/>
  <c r="Y193"/>
  <c r="Y192"/>
  <c r="Y190"/>
  <c r="Y189"/>
  <c r="Y187"/>
  <c r="F187" s="1"/>
  <c r="AA187" s="1"/>
  <c r="Y186"/>
  <c r="F186" s="1"/>
  <c r="AA186" s="1"/>
  <c r="Y184"/>
  <c r="F184" s="1"/>
  <c r="AA184" s="1"/>
  <c r="Y183"/>
  <c r="F183" s="1"/>
  <c r="AA183" s="1"/>
  <c r="Y182"/>
  <c r="Y181"/>
  <c r="Y180"/>
  <c r="Y179"/>
  <c r="Y178"/>
  <c r="Y177"/>
  <c r="Y175"/>
  <c r="Y174"/>
  <c r="Y173"/>
  <c r="Y172"/>
  <c r="Y171"/>
  <c r="Y170"/>
  <c r="Y168"/>
  <c r="Y167"/>
  <c r="Y166"/>
  <c r="Y164"/>
  <c r="Y163"/>
  <c r="Y162"/>
  <c r="Y148"/>
  <c r="Y147"/>
  <c r="Y158"/>
  <c r="F158" s="1"/>
  <c r="AA158" s="1"/>
  <c r="Y157"/>
  <c r="F157" s="1"/>
  <c r="AA157" s="1"/>
  <c r="Y156"/>
  <c r="Y155"/>
  <c r="Y154"/>
  <c r="Y152"/>
  <c r="Y151"/>
  <c r="Y150"/>
  <c r="Y145"/>
  <c r="F145" s="1"/>
  <c r="AA145" s="1"/>
  <c r="Y144"/>
  <c r="Y143"/>
  <c r="Y142"/>
  <c r="Y140"/>
  <c r="F140" s="1"/>
  <c r="AA140" s="1"/>
  <c r="AA135"/>
  <c r="AA131"/>
  <c r="AA128"/>
  <c r="AA122"/>
  <c r="F119"/>
  <c r="Z119" s="1"/>
  <c r="Z115"/>
  <c r="Y115" s="1"/>
  <c r="Z114"/>
  <c r="Y114" s="1"/>
  <c r="Z113"/>
  <c r="Z110"/>
  <c r="Y110" s="1"/>
  <c r="F110" s="1"/>
  <c r="AA110" s="1"/>
  <c r="Z109"/>
  <c r="Y109" s="1"/>
  <c r="Z108"/>
  <c r="Y108" s="1"/>
  <c r="Z107"/>
  <c r="Z105"/>
  <c r="Y105" s="1"/>
  <c r="Z104"/>
  <c r="Y104" s="1"/>
  <c r="Z102"/>
  <c r="Z101"/>
  <c r="Y101" s="1"/>
  <c r="Z100"/>
  <c r="Y100" s="1"/>
  <c r="Z99"/>
  <c r="Y99" s="1"/>
  <c r="Z97"/>
  <c r="Y97" s="1"/>
  <c r="Z96"/>
  <c r="Y96" s="1"/>
  <c r="Z95"/>
  <c r="Y95" s="1"/>
  <c r="Z94"/>
  <c r="Y94" s="1"/>
  <c r="Z93"/>
  <c r="Y93" s="1"/>
  <c r="Z91"/>
  <c r="Y91" s="1"/>
  <c r="Z90"/>
  <c r="Y90" s="1"/>
  <c r="Z89"/>
  <c r="Y89" s="1"/>
  <c r="Z88"/>
  <c r="Y88" s="1"/>
  <c r="Z87"/>
  <c r="Y87" s="1"/>
  <c r="Z85"/>
  <c r="Y85" s="1"/>
  <c r="F85" s="1"/>
  <c r="AA85" s="1"/>
  <c r="Z84"/>
  <c r="Y84" s="1"/>
  <c r="Z83"/>
  <c r="Y83"/>
  <c r="Z81"/>
  <c r="Y81"/>
  <c r="Z80"/>
  <c r="Y80"/>
  <c r="Z79"/>
  <c r="Y79"/>
  <c r="Z78"/>
  <c r="Z77"/>
  <c r="Y77"/>
  <c r="Z76"/>
  <c r="Y76"/>
  <c r="Z75"/>
  <c r="Y75"/>
  <c r="Z74"/>
  <c r="Y74"/>
  <c r="Z73"/>
  <c r="Y73"/>
  <c r="Z72"/>
  <c r="Z71"/>
  <c r="Y71"/>
  <c r="Z70"/>
  <c r="Y70"/>
  <c r="Z69"/>
  <c r="Y69"/>
  <c r="Z68"/>
  <c r="Y68"/>
  <c r="Z67"/>
  <c r="Y67"/>
  <c r="Z66"/>
  <c r="Y66"/>
  <c r="Z65"/>
  <c r="Y65"/>
  <c r="Z64"/>
  <c r="Y64"/>
  <c r="Z63"/>
  <c r="Z62"/>
  <c r="Y62"/>
  <c r="Z61"/>
  <c r="Y61"/>
  <c r="Z60"/>
  <c r="Y60"/>
  <c r="Z59"/>
  <c r="Z57"/>
  <c r="Y57" s="1"/>
  <c r="Z56"/>
  <c r="Y56" s="1"/>
  <c r="Z55"/>
  <c r="Z53"/>
  <c r="Y53" s="1"/>
  <c r="Z52"/>
  <c r="Z50"/>
  <c r="Y50" s="1"/>
  <c r="Z49"/>
  <c r="Z48"/>
  <c r="Y48" s="1"/>
  <c r="Z46"/>
  <c r="Y46" s="1"/>
  <c r="Z45"/>
  <c r="Y45" s="1"/>
  <c r="Z44"/>
  <c r="Y44" s="1"/>
  <c r="Z43"/>
  <c r="Z41"/>
  <c r="Y41" s="1"/>
  <c r="Z40"/>
  <c r="Y40" s="1"/>
  <c r="Z39"/>
  <c r="Y39" s="1"/>
  <c r="Z38"/>
  <c r="Y38" s="1"/>
  <c r="Z37"/>
  <c r="Y37" s="1"/>
  <c r="Z35"/>
  <c r="Y35" s="1"/>
  <c r="Z34"/>
  <c r="Y34" s="1"/>
  <c r="Z32"/>
  <c r="Y32" s="1"/>
  <c r="Z31"/>
  <c r="Z29"/>
  <c r="Y29" s="1"/>
  <c r="Z28"/>
  <c r="Y28" s="1"/>
  <c r="Z27"/>
  <c r="Y27" s="1"/>
  <c r="Z25"/>
  <c r="Y25" s="1"/>
  <c r="F25" s="1"/>
  <c r="Z24"/>
  <c r="Y24" s="1"/>
  <c r="Z23"/>
  <c r="Z20"/>
  <c r="Y20" s="1"/>
  <c r="AC15"/>
  <c r="Z15"/>
  <c r="Z14" s="1"/>
  <c r="Y14" s="1"/>
  <c r="AB13"/>
  <c r="AC13" s="1"/>
  <c r="Z13"/>
  <c r="Z12" s="1"/>
  <c r="Y12" s="1"/>
  <c r="AB11"/>
  <c r="AC11" s="1"/>
  <c r="Z11"/>
  <c r="Z10" s="1"/>
  <c r="Y236" l="1"/>
  <c r="F236" s="1"/>
  <c r="AA236" s="1"/>
  <c r="Y285"/>
  <c r="F285" s="1"/>
  <c r="AA285" s="1"/>
  <c r="Y332"/>
  <c r="F332" s="1"/>
  <c r="AA332" s="1"/>
  <c r="Y242"/>
  <c r="F242" s="1"/>
  <c r="AA242" s="1"/>
  <c r="Y208"/>
  <c r="F208" s="1"/>
  <c r="AA208" s="1"/>
  <c r="F258"/>
  <c r="Y201"/>
  <c r="F201" s="1"/>
  <c r="AA201" s="1"/>
  <c r="Y212"/>
  <c r="F212" s="1"/>
  <c r="AA212" s="1"/>
  <c r="Y188"/>
  <c r="F188" s="1"/>
  <c r="AA188" s="1"/>
  <c r="Y313"/>
  <c r="F313" s="1"/>
  <c r="AA313" s="1"/>
  <c r="Z36"/>
  <c r="Z47"/>
  <c r="Y47" s="1"/>
  <c r="F47" s="1"/>
  <c r="AA47" s="1"/>
  <c r="Z106"/>
  <c r="Y106" s="1"/>
  <c r="F106" s="1"/>
  <c r="AA106" s="1"/>
  <c r="AA321"/>
  <c r="Z98"/>
  <c r="Y146"/>
  <c r="F146" s="1"/>
  <c r="AA146" s="1"/>
  <c r="Z30"/>
  <c r="Y30" s="1"/>
  <c r="F30" s="1"/>
  <c r="AA30" s="1"/>
  <c r="Z42"/>
  <c r="Y42" s="1"/>
  <c r="F42" s="1"/>
  <c r="AA42" s="1"/>
  <c r="Y49"/>
  <c r="Y13"/>
  <c r="Z22"/>
  <c r="Y22" s="1"/>
  <c r="F22" s="1"/>
  <c r="Z26"/>
  <c r="Z33"/>
  <c r="Y33" s="1"/>
  <c r="F33" s="1"/>
  <c r="AA33" s="1"/>
  <c r="Y43"/>
  <c r="Z51"/>
  <c r="Y51" s="1"/>
  <c r="F51" s="1"/>
  <c r="Z112"/>
  <c r="Y112" s="1"/>
  <c r="F112" s="1"/>
  <c r="Y153"/>
  <c r="F153" s="1"/>
  <c r="AA153" s="1"/>
  <c r="Y198"/>
  <c r="F198" s="1"/>
  <c r="AA198" s="1"/>
  <c r="Y272"/>
  <c r="F300"/>
  <c r="H300" s="1"/>
  <c r="AA25"/>
  <c r="AA119"/>
  <c r="Y113"/>
  <c r="Y176"/>
  <c r="F176" s="1"/>
  <c r="AA176" s="1"/>
  <c r="Y191"/>
  <c r="F191" s="1"/>
  <c r="AA191" s="1"/>
  <c r="F331"/>
  <c r="F330" s="1"/>
  <c r="AA335"/>
  <c r="E32" i="121"/>
  <c r="Y26" i="171"/>
  <c r="F26" s="1"/>
  <c r="AA26" s="1"/>
  <c r="F280"/>
  <c r="Y23"/>
  <c r="Y52"/>
  <c r="Z54"/>
  <c r="Y54" s="1"/>
  <c r="F54" s="1"/>
  <c r="AA54" s="1"/>
  <c r="Y102"/>
  <c r="Y98" s="1"/>
  <c r="F98" s="1"/>
  <c r="AA98" s="1"/>
  <c r="AA125"/>
  <c r="Y141"/>
  <c r="F141" s="1"/>
  <c r="AA141" s="1"/>
  <c r="Y149"/>
  <c r="F149" s="1"/>
  <c r="AA149" s="1"/>
  <c r="Y161"/>
  <c r="F161" s="1"/>
  <c r="AA161" s="1"/>
  <c r="Y215"/>
  <c r="F215" s="1"/>
  <c r="AA215" s="1"/>
  <c r="Y222"/>
  <c r="F222" s="1"/>
  <c r="Y239"/>
  <c r="F239" s="1"/>
  <c r="AA239" s="1"/>
  <c r="F255"/>
  <c r="Y288"/>
  <c r="F288" s="1"/>
  <c r="AA288" s="1"/>
  <c r="Z58"/>
  <c r="Y165"/>
  <c r="F165" s="1"/>
  <c r="AA165" s="1"/>
  <c r="Y204"/>
  <c r="F204" s="1"/>
  <c r="AA204" s="1"/>
  <c r="F272"/>
  <c r="Y86"/>
  <c r="F86" s="1"/>
  <c r="AA86" s="1"/>
  <c r="Y36"/>
  <c r="F36" s="1"/>
  <c r="AA36" s="1"/>
  <c r="Z86"/>
  <c r="Z92"/>
  <c r="Y92" s="1"/>
  <c r="F92" s="1"/>
  <c r="Z103"/>
  <c r="Y107"/>
  <c r="Y169"/>
  <c r="F169" s="1"/>
  <c r="AA169" s="1"/>
  <c r="F249"/>
  <c r="E31" i="121"/>
  <c r="F299" i="171"/>
  <c r="F227"/>
  <c r="AA227" s="1"/>
  <c r="Z9"/>
  <c r="Y10"/>
  <c r="F293"/>
  <c r="Y103"/>
  <c r="F103" s="1"/>
  <c r="AA103" s="1"/>
  <c r="F310"/>
  <c r="Y31"/>
  <c r="Y55"/>
  <c r="S16"/>
  <c r="Y11"/>
  <c r="Y15"/>
  <c r="Y58"/>
  <c r="F58" s="1"/>
  <c r="F185" l="1"/>
  <c r="AA258"/>
  <c r="H258"/>
  <c r="AA255"/>
  <c r="H255"/>
  <c r="F284"/>
  <c r="AA284" s="1"/>
  <c r="H118"/>
  <c r="F298"/>
  <c r="F233"/>
  <c r="AA233" s="1"/>
  <c r="AA118"/>
  <c r="F254"/>
  <c r="AA254" s="1"/>
  <c r="H310"/>
  <c r="AA310"/>
  <c r="H284"/>
  <c r="AA51"/>
  <c r="AA22"/>
  <c r="H280"/>
  <c r="AA280"/>
  <c r="F111"/>
  <c r="AA112"/>
  <c r="H185"/>
  <c r="AA185"/>
  <c r="AA92"/>
  <c r="H293"/>
  <c r="AA293"/>
  <c r="AA249"/>
  <c r="H249"/>
  <c r="H330"/>
  <c r="AA330"/>
  <c r="H331"/>
  <c r="AA331"/>
  <c r="Z320"/>
  <c r="AA320"/>
  <c r="H320"/>
  <c r="F266"/>
  <c r="AA266" s="1"/>
  <c r="AA272"/>
  <c r="Z249"/>
  <c r="F220"/>
  <c r="AA222"/>
  <c r="AA58"/>
  <c r="F21"/>
  <c r="G6"/>
  <c r="G5" s="1"/>
  <c r="F139"/>
  <c r="F117" s="1"/>
  <c r="F160"/>
  <c r="AA160" s="1"/>
  <c r="F197"/>
  <c r="AA197" s="1"/>
  <c r="Y9"/>
  <c r="F9" s="1"/>
  <c r="AA9" s="1"/>
  <c r="H299"/>
  <c r="Z233"/>
  <c r="H227"/>
  <c r="Z227"/>
  <c r="Z118"/>
  <c r="Z16"/>
  <c r="Y16" s="1"/>
  <c r="F16" s="1"/>
  <c r="S19"/>
  <c r="Z19" s="1"/>
  <c r="H233" l="1"/>
  <c r="H254"/>
  <c r="F232"/>
  <c r="AA232" s="1"/>
  <c r="Z254"/>
  <c r="AA111"/>
  <c r="H111"/>
  <c r="Z160"/>
  <c r="H160"/>
  <c r="H139"/>
  <c r="AA139"/>
  <c r="AA16"/>
  <c r="F159"/>
  <c r="AA159" s="1"/>
  <c r="H298"/>
  <c r="AA298"/>
  <c r="H266"/>
  <c r="F265"/>
  <c r="H220"/>
  <c r="AA220"/>
  <c r="H21"/>
  <c r="AA21"/>
  <c r="Z197"/>
  <c r="H197"/>
  <c r="Z17"/>
  <c r="Y17" s="1"/>
  <c r="F17" s="1"/>
  <c r="Y19"/>
  <c r="Z232" l="1"/>
  <c r="H232"/>
  <c r="H159"/>
  <c r="Z159"/>
  <c r="Z117"/>
  <c r="F116"/>
  <c r="AA116" s="1"/>
  <c r="AA17"/>
  <c r="H265"/>
  <c r="AA265"/>
  <c r="H117"/>
  <c r="AA117"/>
  <c r="F8"/>
  <c r="AA8" s="1"/>
  <c r="D32" i="121" l="1"/>
  <c r="Z116" i="171"/>
  <c r="H116"/>
  <c r="F7"/>
  <c r="D31" i="121" s="1"/>
  <c r="H8" i="171"/>
  <c r="F6" l="1"/>
  <c r="H7"/>
  <c r="F5" l="1"/>
  <c r="H5" s="1"/>
  <c r="H6"/>
  <c r="Y340" i="170" l="1"/>
  <c r="F340" s="1"/>
  <c r="H340" s="1"/>
  <c r="Z326"/>
  <c r="Y326" s="1"/>
  <c r="F326" s="1"/>
  <c r="F336"/>
  <c r="H336" s="1"/>
  <c r="Z335"/>
  <c r="Z334"/>
  <c r="Y330"/>
  <c r="Z329"/>
  <c r="Z328" s="1"/>
  <c r="Y334" l="1"/>
  <c r="Z331"/>
  <c r="Y331" s="1"/>
  <c r="F331" s="1"/>
  <c r="H331" s="1"/>
  <c r="Y328"/>
  <c r="F328" s="1"/>
  <c r="H328" s="1"/>
  <c r="Y335"/>
  <c r="F325"/>
  <c r="Y329"/>
  <c r="F327"/>
  <c r="H327" s="1"/>
  <c r="H325" l="1"/>
  <c r="F324"/>
  <c r="F323" s="1"/>
  <c r="H324" l="1"/>
  <c r="H323"/>
  <c r="F362" l="1"/>
  <c r="F357"/>
  <c r="F348"/>
  <c r="F347"/>
  <c r="F344"/>
  <c r="F343"/>
  <c r="E29" i="121"/>
  <c r="Z321" i="170"/>
  <c r="Y321" s="1"/>
  <c r="Z320"/>
  <c r="Y320" s="1"/>
  <c r="Z317"/>
  <c r="Z316"/>
  <c r="Z315"/>
  <c r="Z314"/>
  <c r="Z313"/>
  <c r="Z312"/>
  <c r="Z311"/>
  <c r="Z310"/>
  <c r="Y310" s="1"/>
  <c r="Z309"/>
  <c r="Y309" s="1"/>
  <c r="Z308"/>
  <c r="Y308" s="1"/>
  <c r="Z306"/>
  <c r="Z305"/>
  <c r="Z303"/>
  <c r="Y303" s="1"/>
  <c r="Z302"/>
  <c r="Y302" s="1"/>
  <c r="Z267"/>
  <c r="Y267" s="1"/>
  <c r="F267" s="1"/>
  <c r="Z266"/>
  <c r="Y266" s="1"/>
  <c r="Z265"/>
  <c r="Y265" s="1"/>
  <c r="Z264"/>
  <c r="Z262"/>
  <c r="Y262" s="1"/>
  <c r="Z261"/>
  <c r="Y261" s="1"/>
  <c r="Z253"/>
  <c r="S254" s="1"/>
  <c r="Z254" s="1"/>
  <c r="Y254" s="1"/>
  <c r="Y179"/>
  <c r="F179" s="1"/>
  <c r="F172" s="1"/>
  <c r="Z171"/>
  <c r="Y171" s="1"/>
  <c r="F171" s="1"/>
  <c r="H171" s="1"/>
  <c r="Y169"/>
  <c r="F169" s="1"/>
  <c r="Z167"/>
  <c r="Z165"/>
  <c r="Z163"/>
  <c r="Y162"/>
  <c r="F162" s="1"/>
  <c r="H162" s="1"/>
  <c r="Y159"/>
  <c r="Y157"/>
  <c r="Y156"/>
  <c r="F156" s="1"/>
  <c r="H156" s="1"/>
  <c r="Z155"/>
  <c r="Z151"/>
  <c r="Y151" s="1"/>
  <c r="Z150"/>
  <c r="Y150" s="1"/>
  <c r="Z149"/>
  <c r="Y149" s="1"/>
  <c r="Z147"/>
  <c r="Y147" s="1"/>
  <c r="F147" s="1"/>
  <c r="Z146"/>
  <c r="Y146" s="1"/>
  <c r="F146" s="1"/>
  <c r="Z134"/>
  <c r="Y134" s="1"/>
  <c r="Z133"/>
  <c r="Y133" s="1"/>
  <c r="Z132"/>
  <c r="Y132" s="1"/>
  <c r="Z131"/>
  <c r="Y131" s="1"/>
  <c r="Z130"/>
  <c r="Y130" s="1"/>
  <c r="Z129"/>
  <c r="Y129" s="1"/>
  <c r="Z128"/>
  <c r="Y128" s="1"/>
  <c r="Z127"/>
  <c r="Y127" s="1"/>
  <c r="Z126"/>
  <c r="Y126" s="1"/>
  <c r="Z125"/>
  <c r="Y125" s="1"/>
  <c r="Z124"/>
  <c r="Y124" s="1"/>
  <c r="Z123"/>
  <c r="Y123" s="1"/>
  <c r="Z122"/>
  <c r="Y122" s="1"/>
  <c r="Z121"/>
  <c r="Y121" s="1"/>
  <c r="Z119"/>
  <c r="Y119" s="1"/>
  <c r="Z118"/>
  <c r="Y118" s="1"/>
  <c r="Z117"/>
  <c r="Z115"/>
  <c r="Y115" s="1"/>
  <c r="F115" s="1"/>
  <c r="Z110"/>
  <c r="Y110" s="1"/>
  <c r="F110" s="1"/>
  <c r="Z102"/>
  <c r="Y102" s="1"/>
  <c r="F102" s="1"/>
  <c r="F101"/>
  <c r="Z100"/>
  <c r="Y100" s="1"/>
  <c r="Z99"/>
  <c r="Y99" s="1"/>
  <c r="Z98"/>
  <c r="Y98" s="1"/>
  <c r="Z97"/>
  <c r="Z95"/>
  <c r="Y95" s="1"/>
  <c r="F95" s="1"/>
  <c r="E25" i="121"/>
  <c r="Z91" i="170"/>
  <c r="Y91" s="1"/>
  <c r="Z90"/>
  <c r="Z87"/>
  <c r="Y87" s="1"/>
  <c r="F87" s="1"/>
  <c r="Z86"/>
  <c r="Y86" s="1"/>
  <c r="Z85"/>
  <c r="Y85" s="1"/>
  <c r="Z84"/>
  <c r="Y84" s="1"/>
  <c r="Z83"/>
  <c r="Y83" s="1"/>
  <c r="Z81"/>
  <c r="Y81" s="1"/>
  <c r="Z80"/>
  <c r="Z78"/>
  <c r="Y78" s="1"/>
  <c r="Z77"/>
  <c r="Y77" s="1"/>
  <c r="Z76"/>
  <c r="Y76" s="1"/>
  <c r="Z74"/>
  <c r="Y74" s="1"/>
  <c r="Z73"/>
  <c r="Y73" s="1"/>
  <c r="Z72"/>
  <c r="Y72" s="1"/>
  <c r="Z71"/>
  <c r="Z69"/>
  <c r="Y69" s="1"/>
  <c r="Z68"/>
  <c r="Y68" s="1"/>
  <c r="Z67"/>
  <c r="Z65"/>
  <c r="Y65" s="1"/>
  <c r="Z64"/>
  <c r="Y64" s="1"/>
  <c r="Z62"/>
  <c r="Y62" s="1"/>
  <c r="Z61"/>
  <c r="Y61" s="1"/>
  <c r="Z60"/>
  <c r="Y60" s="1"/>
  <c r="Z59"/>
  <c r="Y59" s="1"/>
  <c r="Z58"/>
  <c r="Y58" s="1"/>
  <c r="Z56"/>
  <c r="Z55"/>
  <c r="Y55" s="1"/>
  <c r="Z53"/>
  <c r="Y53" s="1"/>
  <c r="Z52"/>
  <c r="Y52" s="1"/>
  <c r="Z50"/>
  <c r="Y50" s="1"/>
  <c r="Z49"/>
  <c r="Y49" s="1"/>
  <c r="Z48"/>
  <c r="Y48" s="1"/>
  <c r="Z47"/>
  <c r="Y47" s="1"/>
  <c r="Z45"/>
  <c r="Y45" s="1"/>
  <c r="Z44"/>
  <c r="Y44" s="1"/>
  <c r="Z43"/>
  <c r="Y43" s="1"/>
  <c r="Z42"/>
  <c r="Y42" s="1"/>
  <c r="Z41"/>
  <c r="Y41" s="1"/>
  <c r="Z39"/>
  <c r="Y39" s="1"/>
  <c r="Z38"/>
  <c r="Z36"/>
  <c r="Y36" s="1"/>
  <c r="Z35"/>
  <c r="Y35" s="1"/>
  <c r="Z34"/>
  <c r="Y34" s="1"/>
  <c r="Z32"/>
  <c r="Y32" s="1"/>
  <c r="F32" s="1"/>
  <c r="Z31"/>
  <c r="Y31" s="1"/>
  <c r="F31" s="1"/>
  <c r="Z30"/>
  <c r="Y30" s="1"/>
  <c r="Z29"/>
  <c r="Z28"/>
  <c r="Y28" s="1"/>
  <c r="Z25"/>
  <c r="Y25" s="1"/>
  <c r="Z21"/>
  <c r="Y21" s="1"/>
  <c r="Z20"/>
  <c r="Y20" s="1"/>
  <c r="Z19"/>
  <c r="Y19" s="1"/>
  <c r="Z17"/>
  <c r="Y17" s="1"/>
  <c r="Z16"/>
  <c r="Y16" s="1"/>
  <c r="Z15"/>
  <c r="Y15" s="1"/>
  <c r="Y14" s="1"/>
  <c r="Z13"/>
  <c r="Y13" s="1"/>
  <c r="Z12"/>
  <c r="Y12" s="1"/>
  <c r="Z11"/>
  <c r="Y11" s="1"/>
  <c r="Y10" s="1"/>
  <c r="G6"/>
  <c r="H179" l="1"/>
  <c r="Y167"/>
  <c r="F167" s="1"/>
  <c r="H167" s="1"/>
  <c r="Y165"/>
  <c r="F165" s="1"/>
  <c r="H165" s="1"/>
  <c r="Y166"/>
  <c r="F166" s="1"/>
  <c r="Y168"/>
  <c r="F168" s="1"/>
  <c r="F154"/>
  <c r="Y163"/>
  <c r="F163" s="1"/>
  <c r="H163" s="1"/>
  <c r="Y313"/>
  <c r="F313" s="1"/>
  <c r="Y305"/>
  <c r="F305" s="1"/>
  <c r="Y314"/>
  <c r="F314" s="1"/>
  <c r="Y316"/>
  <c r="F316" s="1"/>
  <c r="Y317"/>
  <c r="F317" s="1"/>
  <c r="Y312"/>
  <c r="F312" s="1"/>
  <c r="Y306"/>
  <c r="F306" s="1"/>
  <c r="Y311"/>
  <c r="F311" s="1"/>
  <c r="Y315"/>
  <c r="F315" s="1"/>
  <c r="H315" s="1"/>
  <c r="AA101"/>
  <c r="H101"/>
  <c r="H201"/>
  <c r="Z79"/>
  <c r="Y79" s="1"/>
  <c r="F79" s="1"/>
  <c r="E24" i="121"/>
  <c r="F111" i="170"/>
  <c r="Z263"/>
  <c r="Y263" s="1"/>
  <c r="F263" s="1"/>
  <c r="Z301"/>
  <c r="Y301" s="1"/>
  <c r="Z33"/>
  <c r="Y33" s="1"/>
  <c r="F33" s="1"/>
  <c r="Z63"/>
  <c r="Y63" s="1"/>
  <c r="F63" s="1"/>
  <c r="Z14"/>
  <c r="Z57"/>
  <c r="Y57" s="1"/>
  <c r="F57" s="1"/>
  <c r="Z51"/>
  <c r="Y51" s="1"/>
  <c r="F51" s="1"/>
  <c r="Z96"/>
  <c r="Y96" s="1"/>
  <c r="F96" s="1"/>
  <c r="Z89"/>
  <c r="Z88" s="1"/>
  <c r="Y264"/>
  <c r="Z18"/>
  <c r="Y18" s="1"/>
  <c r="Z70"/>
  <c r="Y70" s="1"/>
  <c r="F70" s="1"/>
  <c r="Z27"/>
  <c r="Y27" s="1"/>
  <c r="F27" s="1"/>
  <c r="Z40"/>
  <c r="Y40" s="1"/>
  <c r="F40" s="1"/>
  <c r="Z54"/>
  <c r="Y54" s="1"/>
  <c r="F54" s="1"/>
  <c r="Y71"/>
  <c r="F103"/>
  <c r="Y170"/>
  <c r="F170" s="1"/>
  <c r="H170" s="1"/>
  <c r="F181"/>
  <c r="Z37"/>
  <c r="Y37" s="1"/>
  <c r="F37" s="1"/>
  <c r="Z148"/>
  <c r="Y148" s="1"/>
  <c r="F148" s="1"/>
  <c r="Z10"/>
  <c r="Z66"/>
  <c r="Y66" s="1"/>
  <c r="F66" s="1"/>
  <c r="Z116"/>
  <c r="Y116" s="1"/>
  <c r="F116" s="1"/>
  <c r="F135"/>
  <c r="Z252"/>
  <c r="Y252" s="1"/>
  <c r="F252" s="1"/>
  <c r="F353"/>
  <c r="Y29"/>
  <c r="Y38"/>
  <c r="Z46"/>
  <c r="Y46" s="1"/>
  <c r="F46" s="1"/>
  <c r="Y56"/>
  <c r="Y67"/>
  <c r="Z75"/>
  <c r="Y75" s="1"/>
  <c r="F75" s="1"/>
  <c r="Y80"/>
  <c r="Z82"/>
  <c r="Y82" s="1"/>
  <c r="F82" s="1"/>
  <c r="Y90"/>
  <c r="Y97"/>
  <c r="Y117"/>
  <c r="Z120"/>
  <c r="Y120" s="1"/>
  <c r="F120" s="1"/>
  <c r="F236"/>
  <c r="F234" s="1"/>
  <c r="F242"/>
  <c r="Z260"/>
  <c r="Y260" s="1"/>
  <c r="F260" s="1"/>
  <c r="Z319"/>
  <c r="Y319" s="1"/>
  <c r="F319" s="1"/>
  <c r="Y253"/>
  <c r="Z307"/>
  <c r="F153" l="1"/>
  <c r="H154"/>
  <c r="F164"/>
  <c r="H164" s="1"/>
  <c r="Y158"/>
  <c r="Y307"/>
  <c r="F307" s="1"/>
  <c r="AA135"/>
  <c r="H135"/>
  <c r="AA103"/>
  <c r="H103"/>
  <c r="AA111"/>
  <c r="H111"/>
  <c r="F301"/>
  <c r="H301" s="1"/>
  <c r="Z295"/>
  <c r="F26"/>
  <c r="H234"/>
  <c r="Y89"/>
  <c r="F89" s="1"/>
  <c r="F88" s="1"/>
  <c r="Z9"/>
  <c r="Y9" s="1"/>
  <c r="F9" s="1"/>
  <c r="F180"/>
  <c r="H180" s="1"/>
  <c r="H245"/>
  <c r="G5"/>
  <c r="E28" i="121"/>
  <c r="E27" s="1"/>
  <c r="E23" s="1"/>
  <c r="S22" i="170"/>
  <c r="Z22" s="1"/>
  <c r="Y22" s="1"/>
  <c r="F22" s="1"/>
  <c r="F318"/>
  <c r="H318" s="1"/>
  <c r="H172"/>
  <c r="F241"/>
  <c r="F251"/>
  <c r="F342"/>
  <c r="F94"/>
  <c r="F93" s="1"/>
  <c r="F152" l="1"/>
  <c r="F92" s="1"/>
  <c r="H307"/>
  <c r="F300"/>
  <c r="H300" s="1"/>
  <c r="S24"/>
  <c r="Z24" s="1"/>
  <c r="Y24" s="1"/>
  <c r="F200"/>
  <c r="F198" s="1"/>
  <c r="H342"/>
  <c r="F341"/>
  <c r="F322" s="1"/>
  <c r="H251"/>
  <c r="H241"/>
  <c r="H26"/>
  <c r="H88"/>
  <c r="Z94"/>
  <c r="Y94" s="1"/>
  <c r="H94"/>
  <c r="H153" l="1"/>
  <c r="H152"/>
  <c r="F299"/>
  <c r="H299" s="1"/>
  <c r="Z23"/>
  <c r="Y23" s="1"/>
  <c r="F23" s="1"/>
  <c r="F8" s="1"/>
  <c r="F7" s="1"/>
  <c r="F6" s="1"/>
  <c r="D25" i="121"/>
  <c r="H198" i="170"/>
  <c r="H322"/>
  <c r="D29" i="121"/>
  <c r="H93" i="170"/>
  <c r="Z93"/>
  <c r="H341"/>
  <c r="F298" l="1"/>
  <c r="H298" s="1"/>
  <c r="D28" i="121"/>
  <c r="D27" s="1"/>
  <c r="F27" s="1"/>
  <c r="H92" i="170"/>
  <c r="H200"/>
  <c r="D24" i="121"/>
  <c r="D26"/>
  <c r="H8" i="170"/>
  <c r="Z92"/>
  <c r="F5" l="1"/>
  <c r="D23" i="121"/>
  <c r="F23" s="1"/>
  <c r="H7" i="170"/>
  <c r="H6" l="1"/>
  <c r="H5" l="1"/>
  <c r="E19" i="121" l="1"/>
  <c r="E18"/>
  <c r="E30"/>
  <c r="E21"/>
  <c r="E16"/>
  <c r="E15"/>
  <c r="Z702" i="169"/>
  <c r="Z695"/>
  <c r="Z694"/>
  <c r="Y694" s="1"/>
  <c r="F694" s="1"/>
  <c r="Z693"/>
  <c r="Y693" s="1"/>
  <c r="F693" s="1"/>
  <c r="Z688"/>
  <c r="Y688" s="1"/>
  <c r="F688" s="1"/>
  <c r="Z687"/>
  <c r="Y687" s="1"/>
  <c r="F687" s="1"/>
  <c r="Y682"/>
  <c r="F682" s="1"/>
  <c r="Y681"/>
  <c r="Y679"/>
  <c r="F679" s="1"/>
  <c r="Y678"/>
  <c r="Y676"/>
  <c r="Y675"/>
  <c r="F665"/>
  <c r="F663"/>
  <c r="F662"/>
  <c r="Z615"/>
  <c r="Z614" s="1"/>
  <c r="Z613"/>
  <c r="Y613" s="1"/>
  <c r="Z612"/>
  <c r="Z610"/>
  <c r="Y610" s="1"/>
  <c r="S609"/>
  <c r="Z609" s="1"/>
  <c r="Y609" s="1"/>
  <c r="Z608"/>
  <c r="Z606"/>
  <c r="Y606" s="1"/>
  <c r="F606" s="1"/>
  <c r="Z605"/>
  <c r="Y605" s="1"/>
  <c r="Z604"/>
  <c r="Y604" s="1"/>
  <c r="Z603"/>
  <c r="S601"/>
  <c r="Z601" s="1"/>
  <c r="Y601" s="1"/>
  <c r="Z600"/>
  <c r="Y600" s="1"/>
  <c r="Z599"/>
  <c r="Y599" s="1"/>
  <c r="Z597"/>
  <c r="Y597" s="1"/>
  <c r="Z596"/>
  <c r="Y596" s="1"/>
  <c r="Z595"/>
  <c r="Y595" s="1"/>
  <c r="Z593"/>
  <c r="Y593" s="1"/>
  <c r="Z592"/>
  <c r="Y592" s="1"/>
  <c r="S590"/>
  <c r="Z590" s="1"/>
  <c r="Y590" s="1"/>
  <c r="S589"/>
  <c r="Z589" s="1"/>
  <c r="Z588"/>
  <c r="Y588" s="1"/>
  <c r="Z587"/>
  <c r="Y587" s="1"/>
  <c r="Z586"/>
  <c r="Y586" s="1"/>
  <c r="Z585"/>
  <c r="Y585" s="1"/>
  <c r="Z584"/>
  <c r="Y584" s="1"/>
  <c r="Z583"/>
  <c r="Y583" s="1"/>
  <c r="Z582"/>
  <c r="Y582" s="1"/>
  <c r="Z581"/>
  <c r="Y581" s="1"/>
  <c r="Z580"/>
  <c r="Y580" s="1"/>
  <c r="Z578"/>
  <c r="Y578" s="1"/>
  <c r="Z577"/>
  <c r="Y577" s="1"/>
  <c r="Z576"/>
  <c r="Y576" s="1"/>
  <c r="Z573"/>
  <c r="Y573" s="1"/>
  <c r="Z572"/>
  <c r="Y572" s="1"/>
  <c r="Z571"/>
  <c r="Y571" s="1"/>
  <c r="Z569"/>
  <c r="Y569" s="1"/>
  <c r="Z568"/>
  <c r="Y568" s="1"/>
  <c r="Z567"/>
  <c r="Y567" s="1"/>
  <c r="Z566"/>
  <c r="Y566" s="1"/>
  <c r="Z565"/>
  <c r="Y565" s="1"/>
  <c r="Z563"/>
  <c r="Y563" s="1"/>
  <c r="Z562"/>
  <c r="Y562" s="1"/>
  <c r="Z561"/>
  <c r="Z559"/>
  <c r="Y559" s="1"/>
  <c r="F559" s="1"/>
  <c r="Z558"/>
  <c r="Y558" s="1"/>
  <c r="Z557"/>
  <c r="Z555"/>
  <c r="Y555" s="1"/>
  <c r="F555" s="1"/>
  <c r="Z554"/>
  <c r="Y554" s="1"/>
  <c r="F554" s="1"/>
  <c r="Z552"/>
  <c r="Y552" s="1"/>
  <c r="AC547"/>
  <c r="Z547"/>
  <c r="Z546" s="1"/>
  <c r="Y546" s="1"/>
  <c r="AB545"/>
  <c r="AC545" s="1"/>
  <c r="Z545"/>
  <c r="Y545" s="1"/>
  <c r="AB543"/>
  <c r="AC543" s="1"/>
  <c r="Z543"/>
  <c r="Y543" s="1"/>
  <c r="Y535"/>
  <c r="F535" s="1"/>
  <c r="H535" s="1"/>
  <c r="Z519"/>
  <c r="Y519" s="1"/>
  <c r="F519" s="1"/>
  <c r="Z518"/>
  <c r="Y518" s="1"/>
  <c r="F518" s="1"/>
  <c r="Z516"/>
  <c r="Y516" s="1"/>
  <c r="Z515"/>
  <c r="Z509"/>
  <c r="Y509" s="1"/>
  <c r="F509" s="1"/>
  <c r="Z508"/>
  <c r="Y508" s="1"/>
  <c r="F508" s="1"/>
  <c r="Z507"/>
  <c r="Y507" s="1"/>
  <c r="F507" s="1"/>
  <c r="Z506"/>
  <c r="Y506" s="1"/>
  <c r="Z505"/>
  <c r="Z503"/>
  <c r="Y503" s="1"/>
  <c r="F503" s="1"/>
  <c r="Z502"/>
  <c r="F500"/>
  <c r="F499"/>
  <c r="F497"/>
  <c r="F487"/>
  <c r="Z485"/>
  <c r="Y485" s="1"/>
  <c r="Z484"/>
  <c r="Y484" s="1"/>
  <c r="Z483"/>
  <c r="Y483" s="1"/>
  <c r="Z482"/>
  <c r="Y482" s="1"/>
  <c r="Z481"/>
  <c r="Y481" s="1"/>
  <c r="Z480"/>
  <c r="Y480" s="1"/>
  <c r="F479"/>
  <c r="H479" s="1"/>
  <c r="Z477"/>
  <c r="Y477" s="1"/>
  <c r="F477" s="1"/>
  <c r="Z476"/>
  <c r="Y476" s="1"/>
  <c r="F476" s="1"/>
  <c r="Z475"/>
  <c r="Y475" s="1"/>
  <c r="F475" s="1"/>
  <c r="Z474"/>
  <c r="Y474" s="1"/>
  <c r="Z473"/>
  <c r="Y473" s="1"/>
  <c r="Z472"/>
  <c r="Z470"/>
  <c r="Y470" s="1"/>
  <c r="F470" s="1"/>
  <c r="Z469"/>
  <c r="Y469" s="1"/>
  <c r="F469" s="1"/>
  <c r="Y466"/>
  <c r="Y465"/>
  <c r="Y464"/>
  <c r="Y461"/>
  <c r="Y459"/>
  <c r="Y458"/>
  <c r="Y448"/>
  <c r="Y447"/>
  <c r="Y446"/>
  <c r="Y445"/>
  <c r="Y441"/>
  <c r="F441" s="1"/>
  <c r="H441" s="1"/>
  <c r="Z431"/>
  <c r="Z429"/>
  <c r="Z427"/>
  <c r="Z425"/>
  <c r="Z422"/>
  <c r="Y422" s="1"/>
  <c r="F422" s="1"/>
  <c r="Z421"/>
  <c r="Y421" s="1"/>
  <c r="F421" s="1"/>
  <c r="Z420"/>
  <c r="Y420" s="1"/>
  <c r="F420" s="1"/>
  <c r="Z419"/>
  <c r="Y419" s="1"/>
  <c r="F419" s="1"/>
  <c r="Z418"/>
  <c r="Y418" s="1"/>
  <c r="F418" s="1"/>
  <c r="Z416"/>
  <c r="Y416" s="1"/>
  <c r="F416" s="1"/>
  <c r="Z415"/>
  <c r="Y415" s="1"/>
  <c r="F415" s="1"/>
  <c r="Z413"/>
  <c r="Y413" s="1"/>
  <c r="F413" s="1"/>
  <c r="Z412"/>
  <c r="Y412" s="1"/>
  <c r="Z411"/>
  <c r="Y411" s="1"/>
  <c r="Z410"/>
  <c r="Y410" s="1"/>
  <c r="Z408"/>
  <c r="Y408" s="1"/>
  <c r="Z407"/>
  <c r="Y407" s="1"/>
  <c r="Z405"/>
  <c r="Y405" s="1"/>
  <c r="F405" s="1"/>
  <c r="Z404"/>
  <c r="Y404" s="1"/>
  <c r="F404" s="1"/>
  <c r="Z402"/>
  <c r="Y402" s="1"/>
  <c r="F402" s="1"/>
  <c r="Z401"/>
  <c r="Z400"/>
  <c r="Y400" s="1"/>
  <c r="Y399" s="1"/>
  <c r="F399" s="1"/>
  <c r="Z398"/>
  <c r="Y398" s="1"/>
  <c r="F398" s="1"/>
  <c r="Z391"/>
  <c r="Y391" s="1"/>
  <c r="F391" s="1"/>
  <c r="Z390"/>
  <c r="Y390" s="1"/>
  <c r="Z389"/>
  <c r="Y389" s="1"/>
  <c r="F381"/>
  <c r="Z379"/>
  <c r="Y379" s="1"/>
  <c r="F379" s="1"/>
  <c r="Z378"/>
  <c r="Y378" s="1"/>
  <c r="Z377"/>
  <c r="Y377" s="1"/>
  <c r="F375"/>
  <c r="Z369"/>
  <c r="Y369" s="1"/>
  <c r="F369" s="1"/>
  <c r="Z368"/>
  <c r="Y368" s="1"/>
  <c r="F368" s="1"/>
  <c r="Z366"/>
  <c r="Y366" s="1"/>
  <c r="Z365"/>
  <c r="Z354"/>
  <c r="Y354" s="1"/>
  <c r="F354" s="1"/>
  <c r="Z353"/>
  <c r="Y353" s="1"/>
  <c r="F353" s="1"/>
  <c r="Z351"/>
  <c r="Y351" s="1"/>
  <c r="F351" s="1"/>
  <c r="Z246"/>
  <c r="Y246" s="1"/>
  <c r="F246" s="1"/>
  <c r="Z245"/>
  <c r="Y245" s="1"/>
  <c r="F245" s="1"/>
  <c r="Z243"/>
  <c r="Y243" s="1"/>
  <c r="Z242"/>
  <c r="Y242" s="1"/>
  <c r="Z241"/>
  <c r="Y241" s="1"/>
  <c r="Z240"/>
  <c r="Z238"/>
  <c r="Y238" s="1"/>
  <c r="F238" s="1"/>
  <c r="Z237"/>
  <c r="Y237" s="1"/>
  <c r="Z236"/>
  <c r="Y236" s="1"/>
  <c r="Z235"/>
  <c r="Z233"/>
  <c r="Y233" s="1"/>
  <c r="F233" s="1"/>
  <c r="Z232"/>
  <c r="Y232" s="1"/>
  <c r="F232" s="1"/>
  <c r="Z231"/>
  <c r="Y231" s="1"/>
  <c r="Z230"/>
  <c r="Z99"/>
  <c r="Y98"/>
  <c r="Y96"/>
  <c r="F96" s="1"/>
  <c r="H96" s="1"/>
  <c r="Z67"/>
  <c r="Y67" s="1"/>
  <c r="F67" s="1"/>
  <c r="Z66"/>
  <c r="Y66" s="1"/>
  <c r="F66" s="1"/>
  <c r="Z64"/>
  <c r="Y64" s="1"/>
  <c r="Y63"/>
  <c r="Y62"/>
  <c r="Z61"/>
  <c r="Y61" s="1"/>
  <c r="Z60"/>
  <c r="Y60" s="1"/>
  <c r="Z59"/>
  <c r="Y59" s="1"/>
  <c r="Z57"/>
  <c r="Y57" s="1"/>
  <c r="Z56"/>
  <c r="Z54"/>
  <c r="Z53"/>
  <c r="Y53" s="1"/>
  <c r="Z19"/>
  <c r="Y19" s="1"/>
  <c r="F19" s="1"/>
  <c r="Z18"/>
  <c r="Y18" s="1"/>
  <c r="Z17"/>
  <c r="Z15"/>
  <c r="Y15" s="1"/>
  <c r="Z14"/>
  <c r="Z12"/>
  <c r="Y12" s="1"/>
  <c r="Z11"/>
  <c r="Y11" s="1"/>
  <c r="Z9"/>
  <c r="Y9" s="1"/>
  <c r="F9" s="1"/>
  <c r="G6"/>
  <c r="E14" i="121" s="1"/>
  <c r="Y670" i="169" l="1"/>
  <c r="F670" s="1"/>
  <c r="Y684"/>
  <c r="F684" s="1"/>
  <c r="Y673"/>
  <c r="F673" s="1"/>
  <c r="Y671"/>
  <c r="F671" s="1"/>
  <c r="H487"/>
  <c r="F486"/>
  <c r="Y438"/>
  <c r="F438" s="1"/>
  <c r="Y442"/>
  <c r="F442" s="1"/>
  <c r="Y467"/>
  <c r="F467" s="1"/>
  <c r="Y439"/>
  <c r="F439" s="1"/>
  <c r="Y443"/>
  <c r="F443" s="1"/>
  <c r="H443" s="1"/>
  <c r="Y452"/>
  <c r="F452" s="1"/>
  <c r="H452" s="1"/>
  <c r="Y101"/>
  <c r="F101" s="1"/>
  <c r="H101" s="1"/>
  <c r="F91"/>
  <c r="H91" s="1"/>
  <c r="Y92"/>
  <c r="F92" s="1"/>
  <c r="Y532"/>
  <c r="F532" s="1"/>
  <c r="H532" s="1"/>
  <c r="Y537"/>
  <c r="F537" s="1"/>
  <c r="H537" s="1"/>
  <c r="Y526"/>
  <c r="F526" s="1"/>
  <c r="H526" s="1"/>
  <c r="Y536"/>
  <c r="F536" s="1"/>
  <c r="H536" s="1"/>
  <c r="Y502"/>
  <c r="F502" s="1"/>
  <c r="Y428"/>
  <c r="F428" s="1"/>
  <c r="Y432"/>
  <c r="F432" s="1"/>
  <c r="H432" s="1"/>
  <c r="Y427"/>
  <c r="F427" s="1"/>
  <c r="H427" s="1"/>
  <c r="Y431"/>
  <c r="F431" s="1"/>
  <c r="H431" s="1"/>
  <c r="Y425"/>
  <c r="F425" s="1"/>
  <c r="Y430"/>
  <c r="F430" s="1"/>
  <c r="H430" s="1"/>
  <c r="Y435"/>
  <c r="F435" s="1"/>
  <c r="Y424"/>
  <c r="F424" s="1"/>
  <c r="Y429"/>
  <c r="F429" s="1"/>
  <c r="H429" s="1"/>
  <c r="Y434"/>
  <c r="F434" s="1"/>
  <c r="H434" s="1"/>
  <c r="Y615"/>
  <c r="F615" s="1"/>
  <c r="F614" s="1"/>
  <c r="H614" s="1"/>
  <c r="Y365"/>
  <c r="Z364"/>
  <c r="Y364" s="1"/>
  <c r="F364" s="1"/>
  <c r="Y702"/>
  <c r="Z700"/>
  <c r="Y700" s="1"/>
  <c r="F700" s="1"/>
  <c r="F380"/>
  <c r="H380" s="1"/>
  <c r="Y598"/>
  <c r="F598" s="1"/>
  <c r="Z471"/>
  <c r="Z468" s="1"/>
  <c r="Z457"/>
  <c r="Z556"/>
  <c r="Y556" s="1"/>
  <c r="F556" s="1"/>
  <c r="Z16"/>
  <c r="Y16" s="1"/>
  <c r="Z406"/>
  <c r="Y406" s="1"/>
  <c r="F406" s="1"/>
  <c r="Y17"/>
  <c r="Z414"/>
  <c r="F574"/>
  <c r="Z504"/>
  <c r="Y504" s="1"/>
  <c r="F504" s="1"/>
  <c r="Z514"/>
  <c r="Y514" s="1"/>
  <c r="F514" s="1"/>
  <c r="F511" s="1"/>
  <c r="Z13"/>
  <c r="Y13" s="1"/>
  <c r="F13" s="1"/>
  <c r="Z399"/>
  <c r="F65"/>
  <c r="H65" s="1"/>
  <c r="Z234"/>
  <c r="Y234" s="1"/>
  <c r="F234" s="1"/>
  <c r="Z239"/>
  <c r="Y239" s="1"/>
  <c r="F239" s="1"/>
  <c r="Z370"/>
  <c r="Y370" s="1"/>
  <c r="F370" s="1"/>
  <c r="Z560"/>
  <c r="Y560" s="1"/>
  <c r="F560" s="1"/>
  <c r="Z564"/>
  <c r="Z55"/>
  <c r="Y55" s="1"/>
  <c r="F55" s="1"/>
  <c r="Z388"/>
  <c r="Z611"/>
  <c r="Y611" s="1"/>
  <c r="F611" s="1"/>
  <c r="Z607"/>
  <c r="Y607" s="1"/>
  <c r="F607" s="1"/>
  <c r="Z479"/>
  <c r="Y557"/>
  <c r="Y561"/>
  <c r="Z591"/>
  <c r="Y591" s="1"/>
  <c r="F591" s="1"/>
  <c r="Z594"/>
  <c r="Y608"/>
  <c r="Z58"/>
  <c r="Y58" s="1"/>
  <c r="F58" s="1"/>
  <c r="Z376"/>
  <c r="Y376" s="1"/>
  <c r="F376" s="1"/>
  <c r="Z380"/>
  <c r="Z486"/>
  <c r="Z544"/>
  <c r="Y544" s="1"/>
  <c r="F686"/>
  <c r="H686" s="1"/>
  <c r="Z229"/>
  <c r="Y229" s="1"/>
  <c r="F229" s="1"/>
  <c r="Y388"/>
  <c r="F388" s="1"/>
  <c r="F387" s="1"/>
  <c r="Z409"/>
  <c r="Y533"/>
  <c r="Y547"/>
  <c r="Z570"/>
  <c r="Y570" s="1"/>
  <c r="F570" s="1"/>
  <c r="Z575"/>
  <c r="Z598"/>
  <c r="Z602"/>
  <c r="Z699"/>
  <c r="Y699" s="1"/>
  <c r="Z423"/>
  <c r="E17" i="121"/>
  <c r="Y564" i="169"/>
  <c r="F564" s="1"/>
  <c r="H20"/>
  <c r="Y575"/>
  <c r="F575" s="1"/>
  <c r="Y594"/>
  <c r="F594" s="1"/>
  <c r="H639"/>
  <c r="F692"/>
  <c r="F691" s="1"/>
  <c r="Y589"/>
  <c r="Y579" s="1"/>
  <c r="F579" s="1"/>
  <c r="Z579"/>
  <c r="F414"/>
  <c r="H414" s="1"/>
  <c r="Z10"/>
  <c r="Y10" s="1"/>
  <c r="F10" s="1"/>
  <c r="Y14"/>
  <c r="Z52"/>
  <c r="Y52" s="1"/>
  <c r="F52" s="1"/>
  <c r="Y505"/>
  <c r="Y515"/>
  <c r="Z542"/>
  <c r="Y603"/>
  <c r="Y602" s="1"/>
  <c r="F602" s="1"/>
  <c r="Y612"/>
  <c r="F661"/>
  <c r="H661" s="1"/>
  <c r="Y56"/>
  <c r="Y230"/>
  <c r="Y235"/>
  <c r="Y240"/>
  <c r="Y472"/>
  <c r="S548"/>
  <c r="Y680" l="1"/>
  <c r="F669" s="1"/>
  <c r="H669" s="1"/>
  <c r="Y674"/>
  <c r="H486"/>
  <c r="F228"/>
  <c r="F227" s="1"/>
  <c r="H227" s="1"/>
  <c r="H92"/>
  <c r="F85"/>
  <c r="F84" s="1"/>
  <c r="Y460"/>
  <c r="F460" s="1"/>
  <c r="H460" s="1"/>
  <c r="Y449"/>
  <c r="Y444"/>
  <c r="Y457"/>
  <c r="F457" s="1"/>
  <c r="H457" s="1"/>
  <c r="Y93"/>
  <c r="Y97"/>
  <c r="F520"/>
  <c r="H520" s="1"/>
  <c r="F423"/>
  <c r="H423" s="1"/>
  <c r="F501"/>
  <c r="Z501"/>
  <c r="Z478" s="1"/>
  <c r="F194"/>
  <c r="F193" s="1"/>
  <c r="Z387"/>
  <c r="Y471"/>
  <c r="F471" s="1"/>
  <c r="F468" s="1"/>
  <c r="H468" s="1"/>
  <c r="F51"/>
  <c r="H51" s="1"/>
  <c r="F685"/>
  <c r="H685" s="1"/>
  <c r="Z190"/>
  <c r="F699"/>
  <c r="F698" s="1"/>
  <c r="H698" s="1"/>
  <c r="F618"/>
  <c r="H618" s="1"/>
  <c r="F8"/>
  <c r="Y409"/>
  <c r="F409" s="1"/>
  <c r="F403" s="1"/>
  <c r="H403" s="1"/>
  <c r="Z403"/>
  <c r="G5"/>
  <c r="E22" i="121"/>
  <c r="E20" s="1"/>
  <c r="E13" s="1"/>
  <c r="H511" i="169"/>
  <c r="S551"/>
  <c r="Z551" s="1"/>
  <c r="Z548"/>
  <c r="Y548" s="1"/>
  <c r="F548" s="1"/>
  <c r="Z541"/>
  <c r="Y542"/>
  <c r="Z437"/>
  <c r="Z436" s="1"/>
  <c r="F553"/>
  <c r="H553" s="1"/>
  <c r="H692"/>
  <c r="H691"/>
  <c r="F478" l="1"/>
  <c r="H478" s="1"/>
  <c r="F386"/>
  <c r="H386" s="1"/>
  <c r="H501"/>
  <c r="F437"/>
  <c r="H437" s="1"/>
  <c r="H84"/>
  <c r="H263"/>
  <c r="Z510"/>
  <c r="Z386"/>
  <c r="H85"/>
  <c r="F7"/>
  <c r="H7" s="1"/>
  <c r="H8"/>
  <c r="H228"/>
  <c r="F617"/>
  <c r="H154"/>
  <c r="H153"/>
  <c r="H699"/>
  <c r="F649"/>
  <c r="H649" s="1"/>
  <c r="H387"/>
  <c r="F510"/>
  <c r="H510" s="1"/>
  <c r="Y541"/>
  <c r="F541" s="1"/>
  <c r="Y551"/>
  <c r="Z549"/>
  <c r="Y549" s="1"/>
  <c r="F549" s="1"/>
  <c r="H118"/>
  <c r="H194"/>
  <c r="H193"/>
  <c r="F436" l="1"/>
  <c r="H436" s="1"/>
  <c r="H617"/>
  <c r="F616"/>
  <c r="H616" s="1"/>
  <c r="F6"/>
  <c r="D14" i="121" s="1"/>
  <c r="F117" i="169"/>
  <c r="H117" s="1"/>
  <c r="F540"/>
  <c r="Z540"/>
  <c r="F385" l="1"/>
  <c r="D19" i="121" s="1"/>
  <c r="H262" i="169"/>
  <c r="D16" i="121"/>
  <c r="H6" i="169"/>
  <c r="D22" i="121"/>
  <c r="D15"/>
  <c r="H540" i="169"/>
  <c r="F539"/>
  <c r="D21" i="121" s="1"/>
  <c r="H385" i="169" l="1"/>
  <c r="G19" i="121"/>
  <c r="F19"/>
  <c r="F538" i="169"/>
  <c r="H539"/>
  <c r="H538" l="1"/>
  <c r="F22" i="125" l="1"/>
  <c r="H23" l="1"/>
  <c r="AC156" l="1"/>
  <c r="Z137"/>
  <c r="Y137" s="1"/>
  <c r="F137" s="1"/>
  <c r="Z118"/>
  <c r="Y118" s="1"/>
  <c r="F118" s="1"/>
  <c r="Z117"/>
  <c r="Y117" s="1"/>
  <c r="Z116"/>
  <c r="Y116" s="1"/>
  <c r="Z115"/>
  <c r="Y115" s="1"/>
  <c r="Z136"/>
  <c r="Y136" s="1"/>
  <c r="F136" s="1"/>
  <c r="Z135"/>
  <c r="Y135" s="1"/>
  <c r="Z134"/>
  <c r="Y134" s="1"/>
  <c r="Z132"/>
  <c r="Y132" s="1"/>
  <c r="Z131"/>
  <c r="Y131" s="1"/>
  <c r="Z130"/>
  <c r="Y130" s="1"/>
  <c r="Z128"/>
  <c r="Y128" s="1"/>
  <c r="Z127"/>
  <c r="Y127" s="1"/>
  <c r="Z125"/>
  <c r="Y125" s="1"/>
  <c r="Z124"/>
  <c r="Y124" s="1"/>
  <c r="Z122"/>
  <c r="Y122" s="1"/>
  <c r="F122" s="1"/>
  <c r="Z121"/>
  <c r="Y121" s="1"/>
  <c r="Z120"/>
  <c r="Y120" s="1"/>
  <c r="Z113"/>
  <c r="Y113" s="1"/>
  <c r="Z112"/>
  <c r="Y112" s="1"/>
  <c r="AC109"/>
  <c r="F99"/>
  <c r="AB99" s="1"/>
  <c r="F90"/>
  <c r="F89"/>
  <c r="F98"/>
  <c r="F91"/>
  <c r="AB91" s="1"/>
  <c r="AC88"/>
  <c r="F70"/>
  <c r="F68" s="1"/>
  <c r="AC68"/>
  <c r="AC67"/>
  <c r="AD75" l="1"/>
  <c r="Z123"/>
  <c r="Y123" s="1"/>
  <c r="F123" s="1"/>
  <c r="AD79"/>
  <c r="F92"/>
  <c r="Z111"/>
  <c r="Y111" s="1"/>
  <c r="F111" s="1"/>
  <c r="F95"/>
  <c r="AD74"/>
  <c r="AD83"/>
  <c r="AD71"/>
  <c r="AD76"/>
  <c r="Z126"/>
  <c r="Y126" s="1"/>
  <c r="F126" s="1"/>
  <c r="AD70"/>
  <c r="AD87"/>
  <c r="AD73"/>
  <c r="AD86"/>
  <c r="AC110"/>
  <c r="Z129"/>
  <c r="Y129" s="1"/>
  <c r="F129" s="1"/>
  <c r="Z133"/>
  <c r="Y133" s="1"/>
  <c r="F133" s="1"/>
  <c r="AB98"/>
  <c r="AD99"/>
  <c r="Z119"/>
  <c r="Y119" s="1"/>
  <c r="F119" s="1"/>
  <c r="Z114"/>
  <c r="Y114" s="1"/>
  <c r="F114" s="1"/>
  <c r="AC155"/>
  <c r="AD72"/>
  <c r="F88" l="1"/>
  <c r="F67" s="1"/>
  <c r="G66"/>
  <c r="AB92"/>
  <c r="H110"/>
  <c r="H156"/>
  <c r="AB156"/>
  <c r="AD156" s="1"/>
  <c r="F110"/>
  <c r="F109" s="1"/>
  <c r="H88" l="1"/>
  <c r="AB88"/>
  <c r="AD88" s="1"/>
  <c r="H68"/>
  <c r="AB68"/>
  <c r="AD68" s="1"/>
  <c r="H155"/>
  <c r="AB155"/>
  <c r="AD155" s="1"/>
  <c r="AB110"/>
  <c r="AD110" s="1"/>
  <c r="F66" l="1"/>
  <c r="H109"/>
  <c r="AB109"/>
  <c r="AD109" s="1"/>
  <c r="H67"/>
  <c r="AB67"/>
  <c r="AD67" s="1"/>
  <c r="F43" l="1"/>
  <c r="F50"/>
  <c r="F51"/>
  <c r="Z17"/>
  <c r="Y17" s="1"/>
  <c r="F49" l="1"/>
  <c r="F48" s="1"/>
  <c r="F47" s="1"/>
  <c r="AC82" i="113"/>
  <c r="Z82"/>
  <c r="AA82" s="1"/>
  <c r="AA12"/>
  <c r="AB12" s="1"/>
  <c r="AA11"/>
  <c r="AB11" s="1"/>
  <c r="AB15"/>
  <c r="H49" i="125" l="1"/>
  <c r="AB49"/>
  <c r="AB82" i="113"/>
  <c r="T25" i="120" l="1"/>
  <c r="I14" i="121"/>
  <c r="I15"/>
  <c r="I16"/>
  <c r="I17"/>
  <c r="I20"/>
  <c r="I25"/>
  <c r="I24"/>
  <c r="I27"/>
  <c r="I28"/>
  <c r="I29"/>
  <c r="I31"/>
  <c r="I32"/>
  <c r="I34"/>
  <c r="I35"/>
  <c r="I37"/>
  <c r="I38"/>
  <c r="I40"/>
  <c r="I41"/>
  <c r="I43"/>
  <c r="I44"/>
  <c r="I46"/>
  <c r="I47"/>
  <c r="I48"/>
  <c r="F8" i="120" l="1"/>
  <c r="F7" s="1"/>
  <c r="Z140" i="113" l="1"/>
  <c r="Z139"/>
  <c r="Z138"/>
  <c r="Z137"/>
  <c r="Z136" l="1"/>
  <c r="Z125" l="1"/>
  <c r="Y125" s="1"/>
  <c r="Z124"/>
  <c r="Y124" s="1"/>
  <c r="Z123"/>
  <c r="Y123" s="1"/>
  <c r="Z122"/>
  <c r="Y122" s="1"/>
  <c r="Z115"/>
  <c r="Y115" s="1"/>
  <c r="Z114"/>
  <c r="Z112"/>
  <c r="Y112" s="1"/>
  <c r="Z111"/>
  <c r="Y111" s="1"/>
  <c r="Z110"/>
  <c r="Y110" s="1"/>
  <c r="Z109"/>
  <c r="Y109" s="1"/>
  <c r="Z108"/>
  <c r="Y108" s="1"/>
  <c r="Z107"/>
  <c r="Y107" s="1"/>
  <c r="Z106"/>
  <c r="Y106" s="1"/>
  <c r="Z105"/>
  <c r="Z88"/>
  <c r="Y88" s="1"/>
  <c r="Z87"/>
  <c r="Z85"/>
  <c r="Z84" s="1"/>
  <c r="Y84" s="1"/>
  <c r="Z83"/>
  <c r="Y83" s="1"/>
  <c r="Y82"/>
  <c r="Z81"/>
  <c r="Z64"/>
  <c r="Y64" s="1"/>
  <c r="Z63"/>
  <c r="Y63" s="1"/>
  <c r="Z62"/>
  <c r="Y62" s="1"/>
  <c r="Z61"/>
  <c r="Y61" s="1"/>
  <c r="Z60"/>
  <c r="Y60" s="1"/>
  <c r="Z59"/>
  <c r="Y59" s="1"/>
  <c r="Z58"/>
  <c r="Y58" s="1"/>
  <c r="Z57"/>
  <c r="Y57" s="1"/>
  <c r="Z56"/>
  <c r="Y56" s="1"/>
  <c r="Z55"/>
  <c r="Z33"/>
  <c r="Y33" s="1"/>
  <c r="Z32"/>
  <c r="Y32" s="1"/>
  <c r="Z31"/>
  <c r="Z113" l="1"/>
  <c r="Y113" s="1"/>
  <c r="Z104"/>
  <c r="Y104" s="1"/>
  <c r="Z121"/>
  <c r="Y121" s="1"/>
  <c r="Z86"/>
  <c r="Y114"/>
  <c r="Y105"/>
  <c r="Z80"/>
  <c r="Y80" s="1"/>
  <c r="Y81"/>
  <c r="Y85"/>
  <c r="Y87"/>
  <c r="Y86" s="1"/>
  <c r="Z30"/>
  <c r="Y30" s="1"/>
  <c r="Z54"/>
  <c r="Y54" s="1"/>
  <c r="Y55"/>
  <c r="Y31"/>
  <c r="Z79" l="1"/>
  <c r="Y79" s="1"/>
  <c r="Z68" l="1"/>
  <c r="Y68" s="1"/>
  <c r="Z67"/>
  <c r="Y67" s="1"/>
  <c r="Z66"/>
  <c r="Y66" s="1"/>
  <c r="Z53"/>
  <c r="Y53" s="1"/>
  <c r="Z52"/>
  <c r="Y52" s="1"/>
  <c r="Z51"/>
  <c r="Y51" s="1"/>
  <c r="Z50"/>
  <c r="Y50" s="1"/>
  <c r="Z49"/>
  <c r="Y49" s="1"/>
  <c r="Z48"/>
  <c r="Y48" s="1"/>
  <c r="Z47"/>
  <c r="Y47" s="1"/>
  <c r="Z46"/>
  <c r="Y46" s="1"/>
  <c r="Z45"/>
  <c r="Y45" s="1"/>
  <c r="Z44"/>
  <c r="Z43" l="1"/>
  <c r="Z65"/>
  <c r="Y65" s="1"/>
  <c r="Y44"/>
  <c r="Y43" s="1"/>
  <c r="D14" i="164" l="1"/>
  <c r="T31" i="120"/>
  <c r="E31" s="1"/>
  <c r="I21" i="121" l="1"/>
  <c r="G7" i="113" l="1"/>
  <c r="Y140" l="1"/>
  <c r="Y139"/>
  <c r="Y138"/>
  <c r="Y137"/>
  <c r="Y136" l="1"/>
  <c r="AB12" i="125" l="1"/>
  <c r="AB13"/>
  <c r="AB5"/>
  <c r="G42" i="157" l="1"/>
  <c r="E32"/>
  <c r="I26" i="121"/>
  <c r="G32" i="157" l="1"/>
  <c r="H30" i="165"/>
  <c r="H31" l="1"/>
  <c r="H29"/>
  <c r="I22" i="121" l="1"/>
  <c r="H21" l="1"/>
  <c r="H22" l="1"/>
  <c r="E11" l="1"/>
  <c r="I11" s="1"/>
  <c r="Y16" i="125"/>
  <c r="F16" s="1"/>
  <c r="Z13"/>
  <c r="Y13" s="1"/>
  <c r="Z12"/>
  <c r="Y12" s="1"/>
  <c r="Z10"/>
  <c r="Y10" s="1"/>
  <c r="F10" s="1"/>
  <c r="AB10" s="1"/>
  <c r="Z20"/>
  <c r="Y20" s="1"/>
  <c r="F20" s="1"/>
  <c r="AB16" l="1"/>
  <c r="H28" i="121"/>
  <c r="G21" i="125"/>
  <c r="E10" i="121" s="1"/>
  <c r="I10" s="1"/>
  <c r="F19" i="125"/>
  <c r="AB19" s="1"/>
  <c r="AB20"/>
  <c r="F17"/>
  <c r="Z11"/>
  <c r="Y11" s="1"/>
  <c r="F11" s="1"/>
  <c r="E9" i="121"/>
  <c r="I9" s="1"/>
  <c r="AB17" i="125" l="1"/>
  <c r="G6"/>
  <c r="F9"/>
  <c r="AB9" s="1"/>
  <c r="F18"/>
  <c r="AB11"/>
  <c r="H36"/>
  <c r="H19"/>
  <c r="AB48"/>
  <c r="AB18" l="1"/>
  <c r="H18"/>
  <c r="AB22"/>
  <c r="F8"/>
  <c r="F7" s="1"/>
  <c r="H9"/>
  <c r="E12" i="121"/>
  <c r="I12" s="1"/>
  <c r="AB66" i="125"/>
  <c r="H44"/>
  <c r="AB44"/>
  <c r="AB47"/>
  <c r="H48"/>
  <c r="AB8" l="1"/>
  <c r="AB7"/>
  <c r="H8"/>
  <c r="H22"/>
  <c r="H43"/>
  <c r="AB43"/>
  <c r="H47"/>
  <c r="D11" i="121"/>
  <c r="F21" i="125"/>
  <c r="AC66"/>
  <c r="AD66" s="1"/>
  <c r="H11" i="121" l="1"/>
  <c r="G11"/>
  <c r="H7" i="125"/>
  <c r="D10" i="121"/>
  <c r="AB21" i="125"/>
  <c r="H66"/>
  <c r="D12" i="121"/>
  <c r="H12" s="1"/>
  <c r="F6" i="125"/>
  <c r="H21"/>
  <c r="H10" i="121" l="1"/>
  <c r="G10"/>
  <c r="AB6" i="125"/>
  <c r="H6"/>
  <c r="I6" i="121" l="1"/>
  <c r="G6" i="113" l="1"/>
  <c r="G5" s="1"/>
  <c r="E8" i="121" l="1"/>
  <c r="I8" s="1"/>
  <c r="H19" i="165" l="1"/>
  <c r="H27"/>
  <c r="H25"/>
  <c r="H18"/>
  <c r="I18" s="1"/>
  <c r="H24" l="1"/>
  <c r="H21"/>
  <c r="G25"/>
  <c r="I25" s="1"/>
  <c r="G19"/>
  <c r="I19" s="1"/>
  <c r="G21" l="1"/>
  <c r="I21" s="1"/>
  <c r="E25"/>
  <c r="E19"/>
  <c r="G27"/>
  <c r="I27" s="1"/>
  <c r="G24" l="1"/>
  <c r="I24" s="1"/>
  <c r="E21"/>
  <c r="E24"/>
  <c r="D16"/>
  <c r="H16" s="1"/>
  <c r="D21" i="164"/>
  <c r="D26"/>
  <c r="G40" i="157" l="1"/>
  <c r="C26" i="164" l="1"/>
  <c r="F26" s="1"/>
  <c r="E23" i="157"/>
  <c r="G23" s="1"/>
  <c r="E8"/>
  <c r="E9"/>
  <c r="G9" s="1"/>
  <c r="C14" i="164"/>
  <c r="V9" i="157" l="1"/>
  <c r="E26" i="164"/>
  <c r="E14"/>
  <c r="D20" l="1"/>
  <c r="D19"/>
  <c r="D17"/>
  <c r="D16"/>
  <c r="D13"/>
  <c r="D12"/>
  <c r="D11"/>
  <c r="D10"/>
  <c r="D9"/>
  <c r="D8"/>
  <c r="D7"/>
  <c r="D6" l="1"/>
  <c r="D15"/>
  <c r="D5" l="1"/>
  <c r="Z96" i="113" l="1"/>
  <c r="Z89"/>
  <c r="Y89" s="1"/>
  <c r="Y13" i="160" l="1"/>
  <c r="Y15"/>
  <c r="Y16"/>
  <c r="Y17"/>
  <c r="Y18"/>
  <c r="Y19"/>
  <c r="Y20"/>
  <c r="Y10"/>
  <c r="Z13"/>
  <c r="Z15"/>
  <c r="Z16"/>
  <c r="Z17"/>
  <c r="Z18"/>
  <c r="Z19"/>
  <c r="Z20"/>
  <c r="Z10"/>
  <c r="D25" i="164" l="1"/>
  <c r="E44" i="157"/>
  <c r="E10"/>
  <c r="G8"/>
  <c r="G44" l="1"/>
  <c r="H22" i="165"/>
  <c r="D27" i="164"/>
  <c r="G10" i="157"/>
  <c r="H23" i="165"/>
  <c r="H26"/>
  <c r="D24" i="164"/>
  <c r="C27"/>
  <c r="G22" i="165"/>
  <c r="G7" i="157" l="1"/>
  <c r="E6"/>
  <c r="I22" i="165"/>
  <c r="D23" i="164"/>
  <c r="E27"/>
  <c r="F27"/>
  <c r="C24"/>
  <c r="G43" i="157"/>
  <c r="G23" i="165" l="1"/>
  <c r="I23" s="1"/>
  <c r="F24" i="164"/>
  <c r="E23" i="165"/>
  <c r="E22"/>
  <c r="E24" i="164"/>
  <c r="T38" i="120"/>
  <c r="E38" s="1"/>
  <c r="F9" i="160"/>
  <c r="H8" s="1"/>
  <c r="G8"/>
  <c r="G7" s="1"/>
  <c r="G6" s="1"/>
  <c r="G30" i="165"/>
  <c r="I30" s="1"/>
  <c r="V8" i="157"/>
  <c r="D4" i="164" l="1"/>
  <c r="H32" i="165"/>
  <c r="C17" i="164"/>
  <c r="F17" s="1"/>
  <c r="G38" i="120"/>
  <c r="F8" i="160"/>
  <c r="F7" s="1"/>
  <c r="F6" s="1"/>
  <c r="Z4" i="157"/>
  <c r="C28" i="164" l="1"/>
  <c r="F28" s="1"/>
  <c r="C32" i="165"/>
  <c r="G32" s="1"/>
  <c r="I32" s="1"/>
  <c r="E17" i="164"/>
  <c r="H20" i="165"/>
  <c r="G6" i="157"/>
  <c r="H7" i="160"/>
  <c r="H6" s="1"/>
  <c r="D7" i="161"/>
  <c r="H7" s="1"/>
  <c r="G26" i="165"/>
  <c r="I26" s="1"/>
  <c r="C25" i="164" l="1"/>
  <c r="C23" s="1"/>
  <c r="E28"/>
  <c r="D17" i="165"/>
  <c r="H17" s="1"/>
  <c r="E32"/>
  <c r="G31"/>
  <c r="I31" s="1"/>
  <c r="G31" i="157"/>
  <c r="D28" i="165"/>
  <c r="H28" s="1"/>
  <c r="G29"/>
  <c r="I29" s="1"/>
  <c r="C17" l="1"/>
  <c r="G17" s="1"/>
  <c r="I17" s="1"/>
  <c r="G20"/>
  <c r="I20" s="1"/>
  <c r="C28"/>
  <c r="G28" s="1"/>
  <c r="I28" s="1"/>
  <c r="F25" i="164"/>
  <c r="E25"/>
  <c r="E23" s="1"/>
  <c r="F23"/>
  <c r="F29" i="165"/>
  <c r="E31"/>
  <c r="F31"/>
  <c r="E29"/>
  <c r="F17" l="1"/>
  <c r="E28"/>
  <c r="F28"/>
  <c r="E17"/>
  <c r="H15" i="121" l="1"/>
  <c r="F36" i="120" l="1"/>
  <c r="F35" s="1"/>
  <c r="F6" l="1"/>
  <c r="F10" i="121" l="1"/>
  <c r="H24" l="1"/>
  <c r="E45" l="1"/>
  <c r="E42"/>
  <c r="E39"/>
  <c r="E36"/>
  <c r="E7"/>
  <c r="E5"/>
  <c r="E4" l="1"/>
  <c r="I7"/>
  <c r="D15" i="165"/>
  <c r="H15" s="1"/>
  <c r="I45" i="121"/>
  <c r="D10" i="165"/>
  <c r="H10" s="1"/>
  <c r="I30" i="121"/>
  <c r="D14" i="165"/>
  <c r="H14" s="1"/>
  <c r="I42" i="121"/>
  <c r="D13" i="165"/>
  <c r="H13" s="1"/>
  <c r="I39" i="121"/>
  <c r="D11" i="165"/>
  <c r="H11" s="1"/>
  <c r="I33" i="121"/>
  <c r="I23"/>
  <c r="D9" i="165"/>
  <c r="H9" s="1"/>
  <c r="I36" i="121"/>
  <c r="D12" i="165"/>
  <c r="H12" s="1"/>
  <c r="D8"/>
  <c r="H8" s="1"/>
  <c r="I13" i="121"/>
  <c r="D6" i="165"/>
  <c r="H6" s="1"/>
  <c r="I5" i="121"/>
  <c r="D7" i="165"/>
  <c r="H7" s="1"/>
  <c r="Y75" i="113"/>
  <c r="T18" i="120"/>
  <c r="Z11" i="113"/>
  <c r="Z10" s="1"/>
  <c r="G8" i="150"/>
  <c r="G7" s="1"/>
  <c r="G6" s="1"/>
  <c r="D5" i="165" l="1"/>
  <c r="H5" s="1"/>
  <c r="I4" i="121"/>
  <c r="Y10" i="113"/>
  <c r="Y11"/>
  <c r="F9" i="150"/>
  <c r="F8" s="1"/>
  <c r="F7" s="1"/>
  <c r="F6" s="1"/>
  <c r="D48" i="121" s="1"/>
  <c r="C16" i="165" l="1"/>
  <c r="F16" s="1"/>
  <c r="H48" i="121"/>
  <c r="D4" i="165"/>
  <c r="H4" s="1"/>
  <c r="H9" i="150"/>
  <c r="H8" s="1"/>
  <c r="G16" i="165" l="1"/>
  <c r="I16" s="1"/>
  <c r="E16"/>
  <c r="D8" i="161"/>
  <c r="H8" s="1"/>
  <c r="H9" s="1"/>
  <c r="H7" i="150"/>
  <c r="H6" s="1"/>
  <c r="G48" i="121"/>
  <c r="D5" l="1"/>
  <c r="H6"/>
  <c r="G6"/>
  <c r="F6"/>
  <c r="C6" i="165" l="1"/>
  <c r="H5" i="121"/>
  <c r="G6" i="165" l="1"/>
  <c r="I6" s="1"/>
  <c r="F6"/>
  <c r="E6"/>
  <c r="H26" i="121"/>
  <c r="H35" l="1"/>
  <c r="T11" i="120" l="1"/>
  <c r="F11" i="121"/>
  <c r="Z19" i="113" l="1"/>
  <c r="Y19" s="1"/>
  <c r="Z15"/>
  <c r="Y15" s="1"/>
  <c r="Z13"/>
  <c r="Z12" s="1"/>
  <c r="Y12" l="1"/>
  <c r="S18"/>
  <c r="Z18" s="1"/>
  <c r="Z17" s="1"/>
  <c r="Z14"/>
  <c r="S16"/>
  <c r="Y13"/>
  <c r="Y14" l="1"/>
  <c r="Z9"/>
  <c r="Y9" s="1"/>
  <c r="F9" s="1"/>
  <c r="Z16"/>
  <c r="Y18"/>
  <c r="Y17"/>
  <c r="F17" s="1"/>
  <c r="F16" l="1"/>
  <c r="Y16"/>
  <c r="F8" l="1"/>
  <c r="H8" s="1"/>
  <c r="G24" i="121"/>
  <c r="H38" l="1"/>
  <c r="H37"/>
  <c r="Z134" i="113" l="1"/>
  <c r="Y134" s="1"/>
  <c r="Z133"/>
  <c r="Y133" s="1"/>
  <c r="Z131"/>
  <c r="Y131" s="1"/>
  <c r="Z130"/>
  <c r="Y130" s="1"/>
  <c r="Z129"/>
  <c r="Y128"/>
  <c r="Y127"/>
  <c r="Z120"/>
  <c r="Y120" s="1"/>
  <c r="Z119"/>
  <c r="Y119" s="1"/>
  <c r="Z118"/>
  <c r="Y118" s="1"/>
  <c r="Z117"/>
  <c r="Z103"/>
  <c r="Z102"/>
  <c r="Y102" s="1"/>
  <c r="Z101"/>
  <c r="Y101" s="1"/>
  <c r="Z100"/>
  <c r="Y100" s="1"/>
  <c r="Z99"/>
  <c r="Y99" s="1"/>
  <c r="Z98"/>
  <c r="Y98" s="1"/>
  <c r="Z97"/>
  <c r="Y97" s="1"/>
  <c r="Y96"/>
  <c r="Z95"/>
  <c r="Y95" s="1"/>
  <c r="Z94"/>
  <c r="Y94" s="1"/>
  <c r="Z93"/>
  <c r="Y93" s="1"/>
  <c r="Z92"/>
  <c r="Y92" s="1"/>
  <c r="Z91"/>
  <c r="Z78"/>
  <c r="AD77"/>
  <c r="Z77"/>
  <c r="Y77" s="1"/>
  <c r="Z74"/>
  <c r="Y74" s="1"/>
  <c r="Z73"/>
  <c r="Y73" s="1"/>
  <c r="Z72"/>
  <c r="Y72" s="1"/>
  <c r="Z71"/>
  <c r="Y71" s="1"/>
  <c r="Z70"/>
  <c r="Z42"/>
  <c r="Y42" s="1"/>
  <c r="Z41"/>
  <c r="Y41" s="1"/>
  <c r="Z40"/>
  <c r="Y40" s="1"/>
  <c r="Z39"/>
  <c r="Y39" s="1"/>
  <c r="Z38"/>
  <c r="Y36"/>
  <c r="Z35"/>
  <c r="Y35" s="1"/>
  <c r="Z29"/>
  <c r="Y29" s="1"/>
  <c r="Z27"/>
  <c r="Z23"/>
  <c r="Y23" s="1"/>
  <c r="Z22"/>
  <c r="Y22" l="1"/>
  <c r="Z21"/>
  <c r="Y103"/>
  <c r="Z69"/>
  <c r="Y69" s="1"/>
  <c r="F69" s="1"/>
  <c r="Z26"/>
  <c r="Y26" s="1"/>
  <c r="F26" s="1"/>
  <c r="H26" s="1"/>
  <c r="Z37"/>
  <c r="Y37" s="1"/>
  <c r="F37" s="1"/>
  <c r="Z90"/>
  <c r="F43"/>
  <c r="Z126"/>
  <c r="Y126" s="1"/>
  <c r="F126" s="1"/>
  <c r="F104"/>
  <c r="Z116"/>
  <c r="F65"/>
  <c r="F113"/>
  <c r="Z132"/>
  <c r="Y132" s="1"/>
  <c r="F132" s="1"/>
  <c r="Y117"/>
  <c r="Y116" s="1"/>
  <c r="F116" s="1"/>
  <c r="F121"/>
  <c r="F54"/>
  <c r="Z76"/>
  <c r="Y76" s="1"/>
  <c r="F76" s="1"/>
  <c r="Z34"/>
  <c r="Y34" s="1"/>
  <c r="F34" s="1"/>
  <c r="Y78"/>
  <c r="Y129"/>
  <c r="Y27"/>
  <c r="F89"/>
  <c r="F30"/>
  <c r="Y70"/>
  <c r="Y91"/>
  <c r="Y38"/>
  <c r="Y90" l="1"/>
  <c r="F90" s="1"/>
  <c r="Y21"/>
  <c r="F21" s="1"/>
  <c r="Z135"/>
  <c r="F136"/>
  <c r="F79"/>
  <c r="F20" l="1"/>
  <c r="H21"/>
  <c r="F135"/>
  <c r="H135" s="1"/>
  <c r="H20" l="1"/>
  <c r="F7"/>
  <c r="F6" l="1"/>
  <c r="H7"/>
  <c r="H29" i="121"/>
  <c r="F5" i="113" l="1"/>
  <c r="H6"/>
  <c r="G28" i="121"/>
  <c r="H27"/>
  <c r="H44" l="1"/>
  <c r="H32" l="1"/>
  <c r="H43"/>
  <c r="H40"/>
  <c r="H34"/>
  <c r="H16" l="1"/>
  <c r="G16"/>
  <c r="H46"/>
  <c r="H41"/>
  <c r="H47"/>
  <c r="H14"/>
  <c r="H31" l="1"/>
  <c r="D30"/>
  <c r="E48" i="120"/>
  <c r="T45"/>
  <c r="C20" i="164" l="1"/>
  <c r="G48" i="120"/>
  <c r="F20" i="164" l="1"/>
  <c r="E20"/>
  <c r="G44" i="121"/>
  <c r="G38"/>
  <c r="F38"/>
  <c r="F31"/>
  <c r="G31"/>
  <c r="F32" l="1"/>
  <c r="F46"/>
  <c r="F40"/>
  <c r="F44"/>
  <c r="G40"/>
  <c r="F34"/>
  <c r="G34"/>
  <c r="G32"/>
  <c r="G37"/>
  <c r="F37"/>
  <c r="F35" l="1"/>
  <c r="G35"/>
  <c r="F41"/>
  <c r="G41"/>
  <c r="F47"/>
  <c r="G43"/>
  <c r="F43"/>
  <c r="H5" i="113" l="1"/>
  <c r="D9" i="121" l="1"/>
  <c r="H9" s="1"/>
  <c r="G9" l="1"/>
  <c r="G12" l="1"/>
  <c r="F24" l="1"/>
  <c r="F21" l="1"/>
  <c r="G21"/>
  <c r="F22"/>
  <c r="G22"/>
  <c r="F48"/>
  <c r="G47"/>
  <c r="G46"/>
  <c r="D45"/>
  <c r="D42"/>
  <c r="D39"/>
  <c r="F36"/>
  <c r="D33"/>
  <c r="F33" s="1"/>
  <c r="D20"/>
  <c r="F12"/>
  <c r="F9"/>
  <c r="T41" i="120"/>
  <c r="T40"/>
  <c r="E37"/>
  <c r="G37" s="1"/>
  <c r="T27"/>
  <c r="E25"/>
  <c r="T22"/>
  <c r="E10"/>
  <c r="T39" l="1"/>
  <c r="H20" i="121"/>
  <c r="C12" i="164"/>
  <c r="C14" i="165"/>
  <c r="F14" s="1"/>
  <c r="H42" i="121"/>
  <c r="C12" i="165"/>
  <c r="F12" s="1"/>
  <c r="H36" i="121"/>
  <c r="C11" i="165"/>
  <c r="F11" s="1"/>
  <c r="H33" i="121"/>
  <c r="C15" i="165"/>
  <c r="F15" s="1"/>
  <c r="H45" i="121"/>
  <c r="C13" i="165"/>
  <c r="F13" s="1"/>
  <c r="H39" i="121"/>
  <c r="C16" i="164"/>
  <c r="C8"/>
  <c r="E11" i="120"/>
  <c r="G33" i="121"/>
  <c r="G39"/>
  <c r="G36"/>
  <c r="G42"/>
  <c r="G20"/>
  <c r="F45"/>
  <c r="F42"/>
  <c r="F39"/>
  <c r="G45"/>
  <c r="F20"/>
  <c r="E27" i="120"/>
  <c r="E18"/>
  <c r="G18" s="1"/>
  <c r="E22"/>
  <c r="E49"/>
  <c r="G13" i="165" l="1"/>
  <c r="I13" s="1"/>
  <c r="G11"/>
  <c r="I11" s="1"/>
  <c r="G14"/>
  <c r="I14" s="1"/>
  <c r="G15"/>
  <c r="I15" s="1"/>
  <c r="G12"/>
  <c r="I12" s="1"/>
  <c r="C21" i="164"/>
  <c r="F21" s="1"/>
  <c r="G49" i="120"/>
  <c r="E12" i="164"/>
  <c r="F12"/>
  <c r="C13"/>
  <c r="C10"/>
  <c r="C11"/>
  <c r="C9"/>
  <c r="C22"/>
  <c r="F22" s="1"/>
  <c r="E11" i="165"/>
  <c r="C10"/>
  <c r="F10" s="1"/>
  <c r="H30" i="121"/>
  <c r="E13" i="165"/>
  <c r="E15"/>
  <c r="E12"/>
  <c r="E14"/>
  <c r="E8" i="164"/>
  <c r="F8"/>
  <c r="E16"/>
  <c r="F16"/>
  <c r="G30" i="121"/>
  <c r="F30"/>
  <c r="E39" i="120"/>
  <c r="E45"/>
  <c r="G10" i="165" l="1"/>
  <c r="I10" s="1"/>
  <c r="E10" i="164"/>
  <c r="F10"/>
  <c r="E21"/>
  <c r="C19"/>
  <c r="F19" s="1"/>
  <c r="G45" i="120"/>
  <c r="C18" i="164"/>
  <c r="G39" i="120"/>
  <c r="F13" i="164"/>
  <c r="E13"/>
  <c r="E11"/>
  <c r="F11"/>
  <c r="F9"/>
  <c r="E9"/>
  <c r="E22"/>
  <c r="E10" i="165"/>
  <c r="E36" i="120"/>
  <c r="C15" i="164" l="1"/>
  <c r="E19"/>
  <c r="F18"/>
  <c r="E18"/>
  <c r="G36" i="120"/>
  <c r="E35"/>
  <c r="G35" s="1"/>
  <c r="E15" i="164" l="1"/>
  <c r="F15"/>
  <c r="D8" i="121"/>
  <c r="H8" s="1"/>
  <c r="D7" l="1"/>
  <c r="G8"/>
  <c r="F8"/>
  <c r="C7" i="165" l="1"/>
  <c r="F7" s="1"/>
  <c r="H7" i="121"/>
  <c r="F5"/>
  <c r="G5"/>
  <c r="F7"/>
  <c r="G7"/>
  <c r="G7" i="165" l="1"/>
  <c r="I7" s="1"/>
  <c r="E7"/>
  <c r="F14" i="121"/>
  <c r="G14"/>
  <c r="F16" l="1"/>
  <c r="F15" l="1"/>
  <c r="G15"/>
  <c r="F28" l="1"/>
  <c r="F29"/>
  <c r="G27" l="1"/>
  <c r="F26" l="1"/>
  <c r="G26"/>
  <c r="T9" i="120" l="1"/>
  <c r="E9" s="1"/>
  <c r="G9" s="1"/>
  <c r="E8" l="1"/>
  <c r="C7" i="164"/>
  <c r="F7" l="1"/>
  <c r="E7"/>
  <c r="C6"/>
  <c r="E7" i="120"/>
  <c r="G8"/>
  <c r="F6" i="164" l="1"/>
  <c r="C5"/>
  <c r="E6"/>
  <c r="G7" i="120"/>
  <c r="E6"/>
  <c r="G6" s="1"/>
  <c r="C4" i="164" l="1"/>
  <c r="F5"/>
  <c r="E5"/>
  <c r="C7" i="161" l="1"/>
  <c r="F4" i="164"/>
  <c r="E4"/>
  <c r="E7" i="161" l="1"/>
  <c r="I7" s="1"/>
  <c r="G7"/>
  <c r="F25" i="121" l="1"/>
  <c r="G25"/>
  <c r="G23"/>
  <c r="H23"/>
  <c r="H25"/>
  <c r="C9" i="165" l="1"/>
  <c r="F9" s="1"/>
  <c r="G9" l="1"/>
  <c r="I9" s="1"/>
  <c r="E9"/>
  <c r="F355" i="169" l="1"/>
  <c r="F350" s="1"/>
  <c r="Z350"/>
  <c r="Z349" s="1"/>
  <c r="Z348" s="1"/>
  <c r="H350" l="1"/>
  <c r="F349"/>
  <c r="H349" s="1"/>
  <c r="D18" i="121" l="1"/>
  <c r="F18" s="1"/>
  <c r="F348" i="169"/>
  <c r="F5" l="1"/>
  <c r="H5" s="1"/>
  <c r="H348"/>
  <c r="D17" i="121"/>
  <c r="G18"/>
  <c r="F17" l="1"/>
  <c r="D13"/>
  <c r="H17"/>
  <c r="G17"/>
  <c r="F13" l="1"/>
  <c r="D4"/>
  <c r="F4" s="1"/>
  <c r="H13"/>
  <c r="C8" i="165"/>
  <c r="F8" s="1"/>
  <c r="G13" i="121"/>
  <c r="E8" i="165" l="1"/>
  <c r="G8"/>
  <c r="I8" s="1"/>
  <c r="C5"/>
  <c r="G4" i="121"/>
  <c r="H4"/>
  <c r="E5" i="165" l="1"/>
  <c r="G5"/>
  <c r="I5" s="1"/>
  <c r="C4"/>
  <c r="C8" i="161" s="1"/>
  <c r="F5" i="165"/>
  <c r="G8" i="161" l="1"/>
  <c r="G9" s="1"/>
  <c r="G4" i="165"/>
  <c r="I4" s="1"/>
  <c r="E4"/>
  <c r="F4"/>
  <c r="E8" i="161" l="1"/>
  <c r="I8" s="1"/>
  <c r="I9" s="1"/>
</calcChain>
</file>

<file path=xl/comments1.xml><?xml version="1.0" encoding="utf-8"?>
<comments xmlns="http://schemas.openxmlformats.org/spreadsheetml/2006/main">
  <authors>
    <author>user</author>
  </authors>
  <commentList>
    <comment ref="Q100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<sst xmlns="http://schemas.openxmlformats.org/spreadsheetml/2006/main" count="20993" uniqueCount="6120">
  <si>
    <t>원*</t>
  </si>
  <si>
    <t>=</t>
  </si>
  <si>
    <t>월</t>
  </si>
  <si>
    <t>회</t>
  </si>
  <si>
    <t>원*</t>
    <phoneticPr fontId="19" type="noConversion"/>
  </si>
  <si>
    <t>=</t>
    <phoneticPr fontId="19" type="noConversion"/>
  </si>
  <si>
    <t>식</t>
  </si>
  <si>
    <t>종*</t>
  </si>
  <si>
    <t xml:space="preserve"> o 계</t>
  </si>
  <si>
    <t>매</t>
  </si>
  <si>
    <t>명</t>
    <phoneticPr fontId="19" type="noConversion"/>
  </si>
  <si>
    <t>증 감</t>
    <phoneticPr fontId="19" type="noConversion"/>
  </si>
  <si>
    <t>장분류</t>
    <phoneticPr fontId="19" type="noConversion"/>
  </si>
  <si>
    <t>일반관리비</t>
    <phoneticPr fontId="19" type="noConversion"/>
  </si>
  <si>
    <t>회의운영비</t>
    <phoneticPr fontId="19" type="noConversion"/>
  </si>
  <si>
    <t>지급수수료</t>
    <phoneticPr fontId="19" type="noConversion"/>
  </si>
  <si>
    <t>지급용역료</t>
    <phoneticPr fontId="19" type="noConversion"/>
  </si>
  <si>
    <t>통신비</t>
    <phoneticPr fontId="19" type="noConversion"/>
  </si>
  <si>
    <t>대*</t>
    <phoneticPr fontId="19" type="noConversion"/>
  </si>
  <si>
    <t xml:space="preserve"> </t>
  </si>
  <si>
    <t>=</t>
    <phoneticPr fontId="18" type="noConversion"/>
  </si>
  <si>
    <t>자산구입비</t>
    <phoneticPr fontId="19" type="noConversion"/>
  </si>
  <si>
    <t>㎡*</t>
    <phoneticPr fontId="19" type="noConversion"/>
  </si>
  <si>
    <t>명*</t>
  </si>
  <si>
    <t>보험료</t>
  </si>
  <si>
    <t>명</t>
  </si>
  <si>
    <t>개월</t>
  </si>
  <si>
    <t>대</t>
  </si>
  <si>
    <t>회*</t>
  </si>
  <si>
    <t>대*</t>
  </si>
  <si>
    <t>매*</t>
  </si>
  <si>
    <t>통*</t>
  </si>
  <si>
    <t>시간*</t>
  </si>
  <si>
    <t>명*</t>
    <phoneticPr fontId="19" type="noConversion"/>
  </si>
  <si>
    <t>원*</t>
    <phoneticPr fontId="19" type="noConversion"/>
  </si>
  <si>
    <t>회</t>
    <phoneticPr fontId="19" type="noConversion"/>
  </si>
  <si>
    <t>박스*</t>
  </si>
  <si>
    <t>회선*</t>
  </si>
  <si>
    <t>팀*</t>
  </si>
  <si>
    <t>ton*</t>
  </si>
  <si>
    <t>㎡*</t>
  </si>
  <si>
    <t>면*</t>
  </si>
  <si>
    <t>set*</t>
  </si>
  <si>
    <t>월*</t>
  </si>
  <si>
    <t xml:space="preserve"> </t>
    <phoneticPr fontId="19" type="noConversion"/>
  </si>
  <si>
    <t>세분류</t>
    <phoneticPr fontId="19" type="noConversion"/>
  </si>
  <si>
    <t>건</t>
    <phoneticPr fontId="19" type="noConversion"/>
  </si>
  <si>
    <t>경기도박물관</t>
    <phoneticPr fontId="19" type="noConversion"/>
  </si>
  <si>
    <t>교육훈련비</t>
  </si>
  <si>
    <t>월</t>
    <phoneticPr fontId="19" type="noConversion"/>
  </si>
  <si>
    <t>원 *</t>
  </si>
  <si>
    <t>도서인쇄비</t>
  </si>
  <si>
    <t>지급수수료</t>
  </si>
  <si>
    <t>명 *</t>
  </si>
  <si>
    <t>통신비</t>
  </si>
  <si>
    <t>회의운영비</t>
  </si>
  <si>
    <t>행사운영비</t>
  </si>
  <si>
    <t>식 *</t>
  </si>
  <si>
    <t>개</t>
  </si>
  <si>
    <t>인건비</t>
    <phoneticPr fontId="19" type="noConversion"/>
  </si>
  <si>
    <t>일</t>
  </si>
  <si>
    <t>부서운영비</t>
    <phoneticPr fontId="19" type="noConversion"/>
  </si>
  <si>
    <t>원 *</t>
    <phoneticPr fontId="19" type="noConversion"/>
  </si>
  <si>
    <t>부</t>
  </si>
  <si>
    <t>지급임차료</t>
  </si>
  <si>
    <t>지급용역료</t>
  </si>
  <si>
    <t>부*</t>
  </si>
  <si>
    <t>행사운영비</t>
    <phoneticPr fontId="19" type="noConversion"/>
  </si>
  <si>
    <t>건</t>
  </si>
  <si>
    <t>인</t>
  </si>
  <si>
    <t>일반관리비</t>
  </si>
  <si>
    <t>(사업비)</t>
  </si>
  <si>
    <t>상설전시운영</t>
  </si>
  <si>
    <t>소모품비</t>
  </si>
  <si>
    <t>인건비</t>
  </si>
  <si>
    <t>유지관리비</t>
  </si>
  <si>
    <t>자산구입비</t>
  </si>
  <si>
    <t>어린이교육프로그램운영</t>
  </si>
  <si>
    <t xml:space="preserve"> o 교육행사 운영</t>
  </si>
  <si>
    <t>청소년교육프로그램운영</t>
  </si>
  <si>
    <t>성인교육프로그램운영</t>
  </si>
  <si>
    <t>식*</t>
  </si>
  <si>
    <t>도민의 문화향유 프로그램</t>
  </si>
  <si>
    <t xml:space="preserve"> o 리플렛 제작</t>
  </si>
  <si>
    <t>여비교통비</t>
  </si>
  <si>
    <t xml:space="preserve"> o 강사료</t>
  </si>
  <si>
    <t xml:space="preserve"> o 간담회 개최 등</t>
  </si>
  <si>
    <t>세시풍속 체험</t>
  </si>
  <si>
    <t xml:space="preserve"> o 설날, 추석 공연</t>
  </si>
  <si>
    <t>초등학생 문화재그림그리기대회</t>
  </si>
  <si>
    <t xml:space="preserve"> o 작품 전시 및 상장 표구 등</t>
  </si>
  <si>
    <t xml:space="preserve"> o 행사용 천막 임차</t>
  </si>
  <si>
    <t>%</t>
  </si>
  <si>
    <t xml:space="preserve"> o 유물감정평가회의수당</t>
  </si>
  <si>
    <t>관람객 서비스</t>
  </si>
  <si>
    <t>박물관종합홍보</t>
  </si>
  <si>
    <t xml:space="preserve"> o 홍보 및 행사관련 소모품 구입</t>
  </si>
  <si>
    <t xml:space="preserve"> o 뉴스레터 제작 발송</t>
  </si>
  <si>
    <t xml:space="preserve"> o 홍보물 발송</t>
  </si>
  <si>
    <t>문화해설사 운영</t>
  </si>
  <si>
    <t xml:space="preserve"> o 정기 답사 여행자 보험 가입</t>
  </si>
  <si>
    <t xml:space="preserve"> o 운영물품 구입</t>
  </si>
  <si>
    <t xml:space="preserve"> o 문화해설사 복장 세탁비</t>
  </si>
  <si>
    <t xml:space="preserve"> o 문화해설사 행사운영</t>
  </si>
  <si>
    <t xml:space="preserve"> o 문화자원봉사자 간담회</t>
  </si>
  <si>
    <t>박물관 도서실 운영</t>
  </si>
  <si>
    <t>자료구입비</t>
  </si>
  <si>
    <t xml:space="preserve"> o 도서실 자료 구입</t>
  </si>
  <si>
    <t>권</t>
  </si>
  <si>
    <t xml:space="preserve"> o 전시진행 보조인력</t>
  </si>
  <si>
    <t xml:space="preserve"> o 작품운송 및 전시기간 중 보험</t>
  </si>
  <si>
    <t xml:space="preserve"> o 전시 설치 및 운영 소모품 구입</t>
  </si>
  <si>
    <t xml:space="preserve"> o 개막식 식음료비</t>
  </si>
  <si>
    <t xml:space="preserve"> o 회의 식음료비</t>
  </si>
  <si>
    <t xml:space="preserve"> o 교구재 및 운영물품 구입</t>
  </si>
  <si>
    <t xml:space="preserve"> o 인쇄물 제작(포스터, 초청장, 활동지, 리플렛 등)</t>
  </si>
  <si>
    <t xml:space="preserve"> o 전시 보험</t>
  </si>
  <si>
    <t xml:space="preserve"> o 국내 여비</t>
  </si>
  <si>
    <t>광고선전비</t>
  </si>
  <si>
    <t xml:space="preserve">   1. 월간지 광고</t>
  </si>
  <si>
    <t xml:space="preserve">   2. 온라인 광고</t>
  </si>
  <si>
    <t xml:space="preserve"> o 초청 버스 임차</t>
  </si>
  <si>
    <t xml:space="preserve"> o 전시 관련 기자간담회</t>
  </si>
  <si>
    <t>인*</t>
  </si>
  <si>
    <t>건*</t>
  </si>
  <si>
    <t>종</t>
  </si>
  <si>
    <t xml:space="preserve">   1. 보조강사</t>
  </si>
  <si>
    <t xml:space="preserve">   1. 교육평가자문위원</t>
  </si>
  <si>
    <t xml:space="preserve">   1. 교육평가자문회의</t>
  </si>
  <si>
    <t xml:space="preserve"> =</t>
  </si>
  <si>
    <t>(단위:천원)</t>
  </si>
  <si>
    <t>과      목</t>
  </si>
  <si>
    <t>증 감</t>
  </si>
  <si>
    <t>세분류</t>
  </si>
  <si>
    <t>경영본부</t>
    <phoneticPr fontId="19" type="noConversion"/>
  </si>
  <si>
    <t>퇴직급여</t>
  </si>
  <si>
    <t>원 /</t>
  </si>
  <si>
    <t xml:space="preserve">* </t>
  </si>
  <si>
    <t>제경비</t>
  </si>
  <si>
    <t>단체*</t>
  </si>
  <si>
    <t>부서운영비</t>
  </si>
  <si>
    <t>실*</t>
  </si>
  <si>
    <t>세금과 공과</t>
  </si>
  <si>
    <t>수도광열비</t>
  </si>
  <si>
    <t>직책업무추진비</t>
  </si>
  <si>
    <t>홍보비</t>
  </si>
  <si>
    <t>개*</t>
  </si>
  <si>
    <t>고정자산</t>
  </si>
  <si>
    <t>예    산    총    칙</t>
    <phoneticPr fontId="19" type="noConversion"/>
  </si>
  <si>
    <t>(단위 : 천원)</t>
    <phoneticPr fontId="19" type="noConversion"/>
  </si>
  <si>
    <t>구분</t>
    <phoneticPr fontId="19" type="noConversion"/>
  </si>
  <si>
    <t>예산액</t>
    <phoneticPr fontId="19" type="noConversion"/>
  </si>
  <si>
    <t>증감</t>
    <phoneticPr fontId="19" type="noConversion"/>
  </si>
  <si>
    <t>수입</t>
    <phoneticPr fontId="19" type="noConversion"/>
  </si>
  <si>
    <t>지출</t>
    <phoneticPr fontId="19" type="noConversion"/>
  </si>
  <si>
    <t>기본재산운용수입</t>
  </si>
  <si>
    <t>연구원사업수입</t>
    <phoneticPr fontId="19" type="noConversion"/>
  </si>
  <si>
    <t>자치단체 출연금</t>
    <phoneticPr fontId="19" type="noConversion"/>
  </si>
  <si>
    <t xml:space="preserve">  - 문화예술본부 (경기창작센터)</t>
    <phoneticPr fontId="19" type="noConversion"/>
  </si>
  <si>
    <t xml:space="preserve">   소    계</t>
    <phoneticPr fontId="19" type="noConversion"/>
  </si>
  <si>
    <t>위탁사업 수수료</t>
    <phoneticPr fontId="19" type="noConversion"/>
  </si>
  <si>
    <t>교육수입</t>
    <phoneticPr fontId="19" type="noConversion"/>
  </si>
  <si>
    <t>사업외수입</t>
  </si>
  <si>
    <t>운영자금운용수입</t>
    <phoneticPr fontId="19" type="noConversion"/>
  </si>
  <si>
    <t>건물임대수입</t>
    <phoneticPr fontId="19" type="noConversion"/>
  </si>
  <si>
    <t xml:space="preserve">  - 재단 다산홀 대관수입</t>
    <phoneticPr fontId="19" type="noConversion"/>
  </si>
  <si>
    <t>입주업체관리비수입</t>
    <phoneticPr fontId="19" type="noConversion"/>
  </si>
  <si>
    <t xml:space="preserve">  - 사옥 입주업체 관리비</t>
    <phoneticPr fontId="19" type="noConversion"/>
  </si>
  <si>
    <t>법인세 환급금</t>
    <phoneticPr fontId="19" type="noConversion"/>
  </si>
  <si>
    <t xml:space="preserve">   법인세 환급금</t>
    <phoneticPr fontId="19" type="noConversion"/>
  </si>
  <si>
    <t xml:space="preserve">   유료주차장 수입</t>
    <phoneticPr fontId="19" type="noConversion"/>
  </si>
  <si>
    <t>(단위:천원)</t>
    <phoneticPr fontId="19" type="noConversion"/>
  </si>
  <si>
    <t>증감</t>
    <phoneticPr fontId="19" type="noConversion"/>
  </si>
  <si>
    <t>증감율</t>
    <phoneticPr fontId="19" type="noConversion"/>
  </si>
  <si>
    <t>문화예술
본부</t>
    <phoneticPr fontId="19" type="noConversion"/>
  </si>
  <si>
    <t>경기창작센터</t>
    <phoneticPr fontId="19" type="noConversion"/>
  </si>
  <si>
    <t>일반관리비</t>
    <phoneticPr fontId="19" type="noConversion"/>
  </si>
  <si>
    <t>사업비</t>
    <phoneticPr fontId="19" type="noConversion"/>
  </si>
  <si>
    <t>예비비</t>
    <phoneticPr fontId="19" type="noConversion"/>
  </si>
  <si>
    <t>증감율(%)</t>
    <phoneticPr fontId="19" type="noConversion"/>
  </si>
  <si>
    <t>총  계</t>
    <phoneticPr fontId="19" type="noConversion"/>
  </si>
  <si>
    <t>사업수입</t>
    <phoneticPr fontId="19" type="noConversion"/>
  </si>
  <si>
    <t>기본재산운용수입</t>
    <phoneticPr fontId="19" type="noConversion"/>
  </si>
  <si>
    <t>보조금</t>
    <phoneticPr fontId="19" type="noConversion"/>
  </si>
  <si>
    <t>편의시설 운영수입</t>
    <phoneticPr fontId="19" type="noConversion"/>
  </si>
  <si>
    <t>입장료 수입</t>
    <phoneticPr fontId="19" type="noConversion"/>
  </si>
  <si>
    <t>유료주차장수입</t>
    <phoneticPr fontId="19" type="noConversion"/>
  </si>
  <si>
    <t>(단위:천원)</t>
    <phoneticPr fontId="19" type="noConversion"/>
  </si>
  <si>
    <t>과      목</t>
    <phoneticPr fontId="19" type="noConversion"/>
  </si>
  <si>
    <t>증 감</t>
    <phoneticPr fontId="19" type="noConversion"/>
  </si>
  <si>
    <t>산    출    기    초</t>
    <phoneticPr fontId="19" type="noConversion"/>
  </si>
  <si>
    <t>항분류</t>
    <phoneticPr fontId="19" type="noConversion"/>
  </si>
  <si>
    <t xml:space="preserve"> - (법인세, 주민세</t>
    <phoneticPr fontId="19" type="noConversion"/>
  </si>
  <si>
    <t xml:space="preserve"> 소   계</t>
    <phoneticPr fontId="19" type="noConversion"/>
  </si>
  <si>
    <t xml:space="preserve"> o 계</t>
    <phoneticPr fontId="19" type="noConversion"/>
  </si>
  <si>
    <t>여비교통비</t>
    <phoneticPr fontId="19" type="noConversion"/>
  </si>
  <si>
    <t>식</t>
    <phoneticPr fontId="19" type="noConversion"/>
  </si>
  <si>
    <t>명*</t>
    <phoneticPr fontId="19" type="noConversion"/>
  </si>
  <si>
    <t>월</t>
    <phoneticPr fontId="19" type="noConversion"/>
  </si>
  <si>
    <t>도서인쇄비</t>
    <phoneticPr fontId="19" type="noConversion"/>
  </si>
  <si>
    <t>개월</t>
    <phoneticPr fontId="19" type="noConversion"/>
  </si>
  <si>
    <t>월</t>
    <phoneticPr fontId="18" type="noConversion"/>
  </si>
  <si>
    <t>회*</t>
    <phoneticPr fontId="19" type="noConversion"/>
  </si>
  <si>
    <t>회</t>
    <phoneticPr fontId="18" type="noConversion"/>
  </si>
  <si>
    <t>관분류</t>
    <phoneticPr fontId="19" type="noConversion"/>
  </si>
  <si>
    <t>목분류</t>
    <phoneticPr fontId="19" type="noConversion"/>
  </si>
  <si>
    <t>백남준아트센터</t>
    <phoneticPr fontId="19" type="noConversion"/>
  </si>
  <si>
    <t>경기도어린이박물관</t>
    <phoneticPr fontId="19" type="noConversion"/>
  </si>
  <si>
    <t>지원비</t>
  </si>
  <si>
    <t>식</t>
    <phoneticPr fontId="25" type="noConversion"/>
  </si>
  <si>
    <t xml:space="preserve"> o 소모품 구입</t>
  </si>
  <si>
    <t>회의운영비</t>
    <phoneticPr fontId="18" type="noConversion"/>
  </si>
  <si>
    <t>종</t>
    <phoneticPr fontId="19" type="noConversion"/>
  </si>
  <si>
    <t>지급수수료</t>
    <phoneticPr fontId="18" type="noConversion"/>
  </si>
  <si>
    <t>지급용역료</t>
    <phoneticPr fontId="18" type="noConversion"/>
  </si>
  <si>
    <t>북부문화사업단 사업비</t>
    <phoneticPr fontId="19" type="noConversion"/>
  </si>
  <si>
    <t>장분류</t>
    <phoneticPr fontId="19" type="noConversion"/>
  </si>
  <si>
    <t>회</t>
    <phoneticPr fontId="25" type="noConversion"/>
  </si>
  <si>
    <t>부</t>
    <phoneticPr fontId="19" type="noConversion"/>
  </si>
  <si>
    <t>자료구입비</t>
    <phoneticPr fontId="19" type="noConversion"/>
  </si>
  <si>
    <t>명</t>
    <phoneticPr fontId="19" type="noConversion"/>
  </si>
  <si>
    <t xml:space="preserve"> o 출장비</t>
    <phoneticPr fontId="19" type="noConversion"/>
  </si>
  <si>
    <t>지원비</t>
    <phoneticPr fontId="19" type="noConversion"/>
  </si>
  <si>
    <t>지급임차료</t>
    <phoneticPr fontId="19" type="noConversion"/>
  </si>
  <si>
    <t>소모품비</t>
    <phoneticPr fontId="19" type="noConversion"/>
  </si>
  <si>
    <t>부*</t>
    <phoneticPr fontId="19" type="noConversion"/>
  </si>
  <si>
    <t xml:space="preserve">   1. 국내여비</t>
    <phoneticPr fontId="19" type="noConversion"/>
  </si>
  <si>
    <t xml:space="preserve">   1. 기준연봉액</t>
    <phoneticPr fontId="19" type="noConversion"/>
  </si>
  <si>
    <t>세계잉여금</t>
    <phoneticPr fontId="19" type="noConversion"/>
  </si>
  <si>
    <t xml:space="preserve"> o 국내외 여비</t>
  </si>
  <si>
    <t xml:space="preserve">   2. 심의료</t>
  </si>
  <si>
    <t xml:space="preserve">   1. 프로젝트 지원</t>
  </si>
  <si>
    <t xml:space="preserve">   2. 기획발굴지원</t>
  </si>
  <si>
    <t xml:space="preserve">   1. 현수막, 배너 제작</t>
  </si>
  <si>
    <t xml:space="preserve">   2. 기타 소모품 구입</t>
  </si>
  <si>
    <t xml:space="preserve"> o 운영회의</t>
  </si>
  <si>
    <t>경기 문화교류 협력네트워크</t>
  </si>
  <si>
    <t xml:space="preserve">지원비 </t>
  </si>
  <si>
    <t xml:space="preserve">통신비 </t>
  </si>
  <si>
    <t xml:space="preserve"> o 진행관련 소모품</t>
  </si>
  <si>
    <t xml:space="preserve"> o 출장비</t>
  </si>
  <si>
    <t>개소</t>
  </si>
  <si>
    <t xml:space="preserve"> o 사업설명회 등</t>
  </si>
  <si>
    <t xml:space="preserve"> o 사업회의</t>
  </si>
  <si>
    <t>지역 문화자원 발굴</t>
  </si>
  <si>
    <t xml:space="preserve">   1. 2차년도 연속지원</t>
  </si>
  <si>
    <t xml:space="preserve">   1. 심의수당</t>
  </si>
  <si>
    <t xml:space="preserve"> o 심의, 업무회의</t>
  </si>
  <si>
    <t xml:space="preserve"> o 프로그램 홍보</t>
  </si>
  <si>
    <t xml:space="preserve">   1. 지원사업 심의</t>
  </si>
  <si>
    <t xml:space="preserve">   2. 지역예술가(단체) 의견수렴 및 전문가 자문</t>
  </si>
  <si>
    <t xml:space="preserve"> o 행사용 물품(현수막 등) 구입</t>
  </si>
  <si>
    <t xml:space="preserve"> o 국내여비</t>
  </si>
  <si>
    <t>서부전선 DMZ프로젝트</t>
  </si>
  <si>
    <t>교육훈련비</t>
    <phoneticPr fontId="19" type="noConversion"/>
  </si>
  <si>
    <t>제경비</t>
    <phoneticPr fontId="19" type="noConversion"/>
  </si>
  <si>
    <t xml:space="preserve"> o 음향,영상기기등 임차</t>
  </si>
  <si>
    <t xml:space="preserve"> o 강의 운영 관련 다과 구입</t>
  </si>
  <si>
    <t xml:space="preserve"> o 문화자원봉사 운영 관리 보조 인력(4대보험포함)</t>
  </si>
  <si>
    <t xml:space="preserve">   1. 현장 답사 및 간담회 </t>
  </si>
  <si>
    <t xml:space="preserve">   2. CS교육운영비</t>
  </si>
  <si>
    <t xml:space="preserve"> o 현장조사, 타기관 리서칭</t>
  </si>
  <si>
    <t xml:space="preserve"> o 소모품 구입  </t>
  </si>
  <si>
    <t xml:space="preserve">   2. 선택적 복지제도 운영</t>
    <phoneticPr fontId="19" type="noConversion"/>
  </si>
  <si>
    <t>원*</t>
    <phoneticPr fontId="19" type="noConversion"/>
  </si>
  <si>
    <t>회</t>
    <phoneticPr fontId="19" type="noConversion"/>
  </si>
  <si>
    <t>=</t>
    <phoneticPr fontId="19" type="noConversion"/>
  </si>
  <si>
    <t xml:space="preserve"> </t>
    <phoneticPr fontId="19" type="noConversion"/>
  </si>
  <si>
    <t>유지관리비</t>
    <phoneticPr fontId="19" type="noConversion"/>
  </si>
  <si>
    <t>지급수수료</t>
    <phoneticPr fontId="19" type="noConversion"/>
  </si>
  <si>
    <t xml:space="preserve">   1. 우편요금</t>
    <phoneticPr fontId="19" type="noConversion"/>
  </si>
  <si>
    <t>회의운영비</t>
    <phoneticPr fontId="19" type="noConversion"/>
  </si>
  <si>
    <t>월</t>
    <phoneticPr fontId="19" type="noConversion"/>
  </si>
  <si>
    <t>원</t>
    <phoneticPr fontId="19" type="noConversion"/>
  </si>
  <si>
    <t xml:space="preserve">   1. 북한산성방문자센터 안전보안</t>
  </si>
  <si>
    <t>복리후생비(경비)</t>
    <phoneticPr fontId="19" type="noConversion"/>
  </si>
  <si>
    <t xml:space="preserve"> o 기자간담회 및 취재출장비 </t>
  </si>
  <si>
    <t xml:space="preserve">   1. 스크랩마스터 저작권 구입</t>
  </si>
  <si>
    <t xml:space="preserve">   2. 뉴스 저작권 구입 </t>
  </si>
  <si>
    <t>개사*</t>
  </si>
  <si>
    <t xml:space="preserve">   3. 정기간행물 구입</t>
  </si>
  <si>
    <t>홍보물구입비</t>
  </si>
  <si>
    <t xml:space="preserve"> o 기자간담회 및 운영기관 홍보관련 회의 등</t>
  </si>
  <si>
    <t xml:space="preserve">   1. 운영요원 기간제 급여(4대보험 포함)</t>
  </si>
  <si>
    <t xml:space="preserve">   1. 전산소모품 등</t>
  </si>
  <si>
    <t xml:space="preserve">   2. 상품발송비 등</t>
  </si>
  <si>
    <t>산하기관 노후화개선사업</t>
    <phoneticPr fontId="19" type="noConversion"/>
  </si>
  <si>
    <t>지급용역료</t>
    <phoneticPr fontId="19" type="noConversion"/>
  </si>
  <si>
    <t>개</t>
    <phoneticPr fontId="19" type="noConversion"/>
  </si>
  <si>
    <t xml:space="preserve"> o 계</t>
    <phoneticPr fontId="19" type="noConversion"/>
  </si>
  <si>
    <t>개월</t>
    <phoneticPr fontId="18" type="noConversion"/>
  </si>
  <si>
    <t>=</t>
    <phoneticPr fontId="18" type="noConversion"/>
  </si>
  <si>
    <t>대</t>
    <phoneticPr fontId="19" type="noConversion"/>
  </si>
  <si>
    <t xml:space="preserve">   2. 건물관련보험(화재보험 등)</t>
    <phoneticPr fontId="19" type="noConversion"/>
  </si>
  <si>
    <t>세금과공과</t>
    <phoneticPr fontId="19" type="noConversion"/>
  </si>
  <si>
    <t>수도광열비</t>
    <phoneticPr fontId="19" type="noConversion"/>
  </si>
  <si>
    <t>대*</t>
    <phoneticPr fontId="19" type="noConversion"/>
  </si>
  <si>
    <t>통신비</t>
    <phoneticPr fontId="19" type="noConversion"/>
  </si>
  <si>
    <t>자산구입비</t>
    <phoneticPr fontId="19" type="noConversion"/>
  </si>
  <si>
    <t>회</t>
    <phoneticPr fontId="19" type="noConversion"/>
  </si>
  <si>
    <t>소모품비</t>
    <phoneticPr fontId="19" type="noConversion"/>
  </si>
  <si>
    <t>유지관리비</t>
    <phoneticPr fontId="19" type="noConversion"/>
  </si>
  <si>
    <t>식</t>
    <phoneticPr fontId="19" type="noConversion"/>
  </si>
  <si>
    <t>회의운영비</t>
    <phoneticPr fontId="19" type="noConversion"/>
  </si>
  <si>
    <t xml:space="preserve"> o 국내우편발송</t>
  </si>
  <si>
    <t>장</t>
  </si>
  <si>
    <t>박</t>
  </si>
  <si>
    <t xml:space="preserve"> o 국내잡지 광고료</t>
  </si>
  <si>
    <t>10</t>
  </si>
  <si>
    <t xml:space="preserve"> o 교육 및 간담회비</t>
  </si>
  <si>
    <t xml:space="preserve"> o 간담회 및 자원봉사자의 날</t>
  </si>
  <si>
    <t>1</t>
  </si>
  <si>
    <t xml:space="preserve"> o 자원봉사운영물품</t>
  </si>
  <si>
    <t xml:space="preserve"> o 교육자료집</t>
  </si>
  <si>
    <t>장</t>
    <phoneticPr fontId="19" type="noConversion"/>
  </si>
  <si>
    <t>컷</t>
  </si>
  <si>
    <t>백남준전</t>
  </si>
  <si>
    <t>예산액</t>
    <phoneticPr fontId="19" type="noConversion"/>
  </si>
  <si>
    <t>회*</t>
    <phoneticPr fontId="19" type="noConversion"/>
  </si>
  <si>
    <t>실학박물관</t>
    <phoneticPr fontId="19" type="noConversion"/>
  </si>
  <si>
    <t xml:space="preserve">   2. 전산장비 유지관리</t>
    <phoneticPr fontId="19" type="noConversion"/>
  </si>
  <si>
    <t>권</t>
    <phoneticPr fontId="19" type="noConversion"/>
  </si>
  <si>
    <t>도서인쇄비</t>
    <phoneticPr fontId="18" type="noConversion"/>
  </si>
  <si>
    <t>지급수수료</t>
    <phoneticPr fontId="18" type="noConversion"/>
  </si>
  <si>
    <t>원</t>
    <phoneticPr fontId="19" type="noConversion"/>
  </si>
  <si>
    <t>종</t>
    <phoneticPr fontId="19" type="noConversion"/>
  </si>
  <si>
    <t xml:space="preserve">회의운영비 </t>
  </si>
  <si>
    <t xml:space="preserve">행사운영비 </t>
  </si>
  <si>
    <t xml:space="preserve">   1. 우편요금</t>
  </si>
  <si>
    <t xml:space="preserve">   1. 업무용 차량 임차료</t>
  </si>
  <si>
    <t>건</t>
    <phoneticPr fontId="19" type="noConversion"/>
  </si>
  <si>
    <t xml:space="preserve">   2. 국외여비</t>
    <phoneticPr fontId="19" type="noConversion"/>
  </si>
  <si>
    <t>업무추진비</t>
  </si>
  <si>
    <t xml:space="preserve">   1. 사무용기기 복사용지 </t>
  </si>
  <si>
    <t>복리후생비(급여)</t>
    <phoneticPr fontId="19" type="noConversion"/>
  </si>
  <si>
    <t xml:space="preserve">   1. 회계담당직원재정보증보험</t>
    <phoneticPr fontId="19" type="noConversion"/>
  </si>
  <si>
    <t>*</t>
    <phoneticPr fontId="19" type="noConversion"/>
  </si>
  <si>
    <t>예산액</t>
    <phoneticPr fontId="19" type="noConversion"/>
  </si>
  <si>
    <t>경영지원팀 사업비</t>
    <phoneticPr fontId="19" type="noConversion"/>
  </si>
  <si>
    <t>회</t>
    <phoneticPr fontId="19" type="noConversion"/>
  </si>
  <si>
    <t>회</t>
    <phoneticPr fontId="19" type="noConversion"/>
  </si>
  <si>
    <t>명*</t>
    <phoneticPr fontId="19" type="noConversion"/>
  </si>
  <si>
    <t xml:space="preserve"> o 계</t>
    <phoneticPr fontId="19" type="noConversion"/>
  </si>
  <si>
    <t>원*</t>
    <phoneticPr fontId="19" type="noConversion"/>
  </si>
  <si>
    <t xml:space="preserve"> </t>
    <phoneticPr fontId="25" type="noConversion"/>
  </si>
  <si>
    <t>재단 상주단체 지원</t>
    <phoneticPr fontId="19" type="noConversion"/>
  </si>
  <si>
    <t>회</t>
    <phoneticPr fontId="31" type="noConversion"/>
  </si>
  <si>
    <t>산    출    기    초</t>
    <phoneticPr fontId="19" type="noConversion"/>
  </si>
  <si>
    <t>장분류</t>
    <phoneticPr fontId="19" type="noConversion"/>
  </si>
  <si>
    <t>경영본부</t>
    <phoneticPr fontId="19" type="noConversion"/>
  </si>
  <si>
    <t>일반관리비</t>
    <phoneticPr fontId="19" type="noConversion"/>
  </si>
  <si>
    <t>급여</t>
    <phoneticPr fontId="19" type="noConversion"/>
  </si>
  <si>
    <t>1. 기준연봉액</t>
    <phoneticPr fontId="19" type="noConversion"/>
  </si>
  <si>
    <t>2. 부가급여(교통비+정액급식비+자녀학비보조수당+가족수당+초과근무수당)</t>
    <phoneticPr fontId="19" type="noConversion"/>
  </si>
  <si>
    <t>원*</t>
    <phoneticPr fontId="19" type="noConversion"/>
  </si>
  <si>
    <t>명</t>
    <phoneticPr fontId="19" type="noConversion"/>
  </si>
  <si>
    <t>개월</t>
    <phoneticPr fontId="18" type="noConversion"/>
  </si>
  <si>
    <t>=</t>
    <phoneticPr fontId="18" type="noConversion"/>
  </si>
  <si>
    <t>명</t>
    <phoneticPr fontId="19" type="noConversion"/>
  </si>
  <si>
    <t>회</t>
    <phoneticPr fontId="19" type="noConversion"/>
  </si>
  <si>
    <t>월</t>
    <phoneticPr fontId="19" type="noConversion"/>
  </si>
  <si>
    <t>업무추진비</t>
    <phoneticPr fontId="19" type="noConversion"/>
  </si>
  <si>
    <t xml:space="preserve"> </t>
    <phoneticPr fontId="19" type="noConversion"/>
  </si>
  <si>
    <t>매</t>
    <phoneticPr fontId="19" type="noConversion"/>
  </si>
  <si>
    <t xml:space="preserve">   1. 4대보험 부담금</t>
    <phoneticPr fontId="19" type="noConversion"/>
  </si>
  <si>
    <t>종*</t>
    <phoneticPr fontId="19" type="noConversion"/>
  </si>
  <si>
    <t>통신비</t>
    <phoneticPr fontId="19" type="noConversion"/>
  </si>
  <si>
    <t>인</t>
    <phoneticPr fontId="19" type="noConversion"/>
  </si>
  <si>
    <t xml:space="preserve">   2. 전신전화요금</t>
    <phoneticPr fontId="19" type="noConversion"/>
  </si>
  <si>
    <t>광고선전비</t>
    <phoneticPr fontId="19" type="noConversion"/>
  </si>
  <si>
    <t>통신비</t>
    <phoneticPr fontId="19" type="noConversion"/>
  </si>
  <si>
    <t>경기도미술관</t>
    <phoneticPr fontId="19" type="noConversion"/>
  </si>
  <si>
    <t>과      목</t>
    <phoneticPr fontId="19" type="noConversion"/>
  </si>
  <si>
    <t>문화예술본부</t>
    <phoneticPr fontId="19" type="noConversion"/>
  </si>
  <si>
    <t>월</t>
    <phoneticPr fontId="25" type="noConversion"/>
  </si>
  <si>
    <t xml:space="preserve"> 기본재산 예치금 이자수입</t>
    <phoneticPr fontId="19" type="noConversion"/>
  </si>
  <si>
    <t>)</t>
    <phoneticPr fontId="19" type="noConversion"/>
  </si>
  <si>
    <t>자치단체 출연금</t>
    <phoneticPr fontId="19" type="noConversion"/>
  </si>
  <si>
    <t>지원금</t>
    <phoneticPr fontId="19" type="noConversion"/>
  </si>
  <si>
    <t>편의시설 운영 수입</t>
    <phoneticPr fontId="19" type="noConversion"/>
  </si>
  <si>
    <t>입장료수입</t>
    <phoneticPr fontId="19" type="noConversion"/>
  </si>
  <si>
    <t xml:space="preserve">  소   계</t>
    <phoneticPr fontId="19" type="noConversion"/>
  </si>
  <si>
    <t>운영자금운용수입</t>
    <phoneticPr fontId="19" type="noConversion"/>
  </si>
  <si>
    <t xml:space="preserve">   운영자금 이자수입</t>
    <phoneticPr fontId="19" type="noConversion"/>
  </si>
  <si>
    <t>건물임대수입</t>
    <phoneticPr fontId="19" type="noConversion"/>
  </si>
  <si>
    <t xml:space="preserve">  - 재단사옥 임대수입</t>
    <phoneticPr fontId="19" type="noConversion"/>
  </si>
  <si>
    <t>입주업체관리비수입</t>
    <phoneticPr fontId="19" type="noConversion"/>
  </si>
  <si>
    <t>법인세 환급금</t>
    <phoneticPr fontId="19" type="noConversion"/>
  </si>
  <si>
    <t>유료주차장 수입</t>
    <phoneticPr fontId="19" type="noConversion"/>
  </si>
  <si>
    <t>기부금</t>
    <phoneticPr fontId="19" type="noConversion"/>
  </si>
  <si>
    <t xml:space="preserve">   1. 역량강화워크숍</t>
  </si>
  <si>
    <t xml:space="preserve">   3. 프로그램 개발 워크숍</t>
  </si>
  <si>
    <t>복리후생비(급여)</t>
    <phoneticPr fontId="19" type="noConversion"/>
  </si>
  <si>
    <t>ㅇ 재단 예비비</t>
    <phoneticPr fontId="19" type="noConversion"/>
  </si>
  <si>
    <t>정책실</t>
    <phoneticPr fontId="19" type="noConversion"/>
  </si>
  <si>
    <t>정책실 사업비</t>
    <phoneticPr fontId="19" type="noConversion"/>
  </si>
  <si>
    <t>기획조정팀 사업비</t>
    <phoneticPr fontId="19" type="noConversion"/>
  </si>
  <si>
    <t>미디어마케팅팀 사업비</t>
    <phoneticPr fontId="19" type="noConversion"/>
  </si>
  <si>
    <t>문예진흥팀 사업비</t>
    <phoneticPr fontId="19" type="noConversion"/>
  </si>
  <si>
    <t>지역문화팀 사업비</t>
    <phoneticPr fontId="19" type="noConversion"/>
  </si>
  <si>
    <t>문화사업팀 사업비</t>
    <phoneticPr fontId="19" type="noConversion"/>
  </si>
  <si>
    <t>본부/기관</t>
    <phoneticPr fontId="19" type="noConversion"/>
  </si>
  <si>
    <t>경기문화재
연구원</t>
    <phoneticPr fontId="19" type="noConversion"/>
  </si>
  <si>
    <t>경기도
박물관</t>
    <phoneticPr fontId="19" type="noConversion"/>
  </si>
  <si>
    <t>경기도
미술관</t>
    <phoneticPr fontId="19" type="noConversion"/>
  </si>
  <si>
    <t>백남준
아트센터</t>
    <phoneticPr fontId="19" type="noConversion"/>
  </si>
  <si>
    <t>실학
박물관</t>
    <phoneticPr fontId="19" type="noConversion"/>
  </si>
  <si>
    <t>전곡선사
박물관</t>
    <phoneticPr fontId="19" type="noConversion"/>
  </si>
  <si>
    <t>경기도
어린이
박물관</t>
    <phoneticPr fontId="19" type="noConversion"/>
  </si>
  <si>
    <t>미디어마케팅팀</t>
    <phoneticPr fontId="19" type="noConversion"/>
  </si>
  <si>
    <t>문예진흥팀</t>
    <phoneticPr fontId="19" type="noConversion"/>
  </si>
  <si>
    <t>경기문화재연구원</t>
    <phoneticPr fontId="19" type="noConversion"/>
  </si>
  <si>
    <t xml:space="preserve">  - 경기도미술관</t>
    <phoneticPr fontId="19" type="noConversion"/>
  </si>
  <si>
    <t xml:space="preserve">  - 경기도박물관</t>
    <phoneticPr fontId="19" type="noConversion"/>
  </si>
  <si>
    <t xml:space="preserve">  - 백남준아트센터</t>
    <phoneticPr fontId="19" type="noConversion"/>
  </si>
  <si>
    <t xml:space="preserve">  - 실학박물관</t>
    <phoneticPr fontId="19" type="noConversion"/>
  </si>
  <si>
    <t xml:space="preserve">  - 전곡선사박물관</t>
    <phoneticPr fontId="19" type="noConversion"/>
  </si>
  <si>
    <t xml:space="preserve">  - 경기도어린이박물관</t>
    <phoneticPr fontId="19" type="noConversion"/>
  </si>
  <si>
    <t>=</t>
    <phoneticPr fontId="19" type="noConversion"/>
  </si>
  <si>
    <t xml:space="preserve">  - 경기문화재연구원</t>
    <phoneticPr fontId="19" type="noConversion"/>
  </si>
  <si>
    <t xml:space="preserve">  - 경영&amp;문화예술본부</t>
    <phoneticPr fontId="19" type="noConversion"/>
  </si>
  <si>
    <t xml:space="preserve">  - 정책실</t>
    <phoneticPr fontId="19" type="noConversion"/>
  </si>
  <si>
    <t xml:space="preserve"> 경기문화재연구원 학술조사 발굴 및 보존용역 수입</t>
    <phoneticPr fontId="19" type="noConversion"/>
  </si>
  <si>
    <t>기   정
예산액</t>
    <phoneticPr fontId="19" type="noConversion"/>
  </si>
  <si>
    <t>기정 예산액</t>
  </si>
  <si>
    <t>전곡선사박물관</t>
    <phoneticPr fontId="19" type="noConversion"/>
  </si>
  <si>
    <t>여비교통비</t>
    <phoneticPr fontId="18" type="noConversion"/>
  </si>
  <si>
    <t>교육훈련비</t>
    <phoneticPr fontId="19" type="noConversion"/>
  </si>
  <si>
    <t>인사팀 사업비</t>
    <phoneticPr fontId="19" type="noConversion"/>
  </si>
  <si>
    <t>원</t>
    <phoneticPr fontId="19" type="noConversion"/>
  </si>
  <si>
    <t>공기관대행사업</t>
    <phoneticPr fontId="19" type="noConversion"/>
  </si>
  <si>
    <t xml:space="preserve"> </t>
    <phoneticPr fontId="19" type="noConversion"/>
  </si>
  <si>
    <t>(단위:천원)</t>
    <phoneticPr fontId="19" type="noConversion"/>
  </si>
  <si>
    <t xml:space="preserve"> o 홍보물 제작</t>
    <phoneticPr fontId="19" type="noConversion"/>
  </si>
  <si>
    <t>반납비</t>
    <phoneticPr fontId="19" type="noConversion"/>
  </si>
  <si>
    <t>문화예술본부(외부재원)</t>
    <phoneticPr fontId="19" type="noConversion"/>
  </si>
  <si>
    <t xml:space="preserve">꿈다락 토요문화학교 </t>
  </si>
  <si>
    <t>재원구분</t>
    <phoneticPr fontId="19" type="noConversion"/>
  </si>
  <si>
    <t>디지털기반정보서비스확대</t>
    <phoneticPr fontId="19" type="noConversion"/>
  </si>
  <si>
    <t>도서관전문가세미나개최</t>
    <phoneticPr fontId="19" type="noConversion"/>
  </si>
  <si>
    <t>2017 경기도 옛길 관리운영</t>
    <phoneticPr fontId="19" type="noConversion"/>
  </si>
  <si>
    <t>경기문화재연구원(외부재원)</t>
    <phoneticPr fontId="19" type="noConversion"/>
  </si>
  <si>
    <t xml:space="preserve">ㅇ 재단 반납비 </t>
    <phoneticPr fontId="19" type="noConversion"/>
  </si>
  <si>
    <t>관분류</t>
  </si>
  <si>
    <t>관분류</t>
    <phoneticPr fontId="19" type="noConversion"/>
  </si>
  <si>
    <t>사업수입</t>
    <phoneticPr fontId="19" type="noConversion"/>
  </si>
  <si>
    <t>사업외수입</t>
    <phoneticPr fontId="19" type="noConversion"/>
  </si>
  <si>
    <t>대행위탁사업</t>
    <phoneticPr fontId="19" type="noConversion"/>
  </si>
  <si>
    <t>관분류</t>
    <phoneticPr fontId="19" type="noConversion"/>
  </si>
  <si>
    <t>항분류</t>
    <phoneticPr fontId="19" type="noConversion"/>
  </si>
  <si>
    <t>목분류</t>
    <phoneticPr fontId="19" type="noConversion"/>
  </si>
  <si>
    <t>공연장 상주단체육성</t>
    <phoneticPr fontId="19" type="noConversion"/>
  </si>
  <si>
    <t>지역문화예술특성화 사업</t>
    <phoneticPr fontId="19" type="noConversion"/>
  </si>
  <si>
    <t>총 계</t>
    <phoneticPr fontId="19" type="noConversion"/>
  </si>
  <si>
    <t>보조금</t>
    <phoneticPr fontId="19" type="noConversion"/>
  </si>
  <si>
    <t>공기관대행</t>
    <phoneticPr fontId="19" type="noConversion"/>
  </si>
  <si>
    <t>위탁사업</t>
    <phoneticPr fontId="19" type="noConversion"/>
  </si>
  <si>
    <t>(단위 : 천원)</t>
    <phoneticPr fontId="19" type="noConversion"/>
  </si>
  <si>
    <t>원*</t>
    <phoneticPr fontId="19" type="noConversion"/>
  </si>
  <si>
    <t>건</t>
    <phoneticPr fontId="19" type="noConversion"/>
  </si>
  <si>
    <t>회</t>
    <phoneticPr fontId="19" type="noConversion"/>
  </si>
  <si>
    <t>인건비</t>
    <phoneticPr fontId="19" type="noConversion"/>
  </si>
  <si>
    <t>여비교통비</t>
    <phoneticPr fontId="19" type="noConversion"/>
  </si>
  <si>
    <t>식</t>
    <phoneticPr fontId="19" type="noConversion"/>
  </si>
  <si>
    <t>명*</t>
    <phoneticPr fontId="19" type="noConversion"/>
  </si>
  <si>
    <t>=</t>
    <phoneticPr fontId="19" type="noConversion"/>
  </si>
  <si>
    <t>개월*</t>
  </si>
  <si>
    <t>편</t>
  </si>
  <si>
    <t>쪽</t>
  </si>
  <si>
    <t>경기도사이버도서관시스템운영</t>
    <phoneticPr fontId="19" type="noConversion"/>
  </si>
  <si>
    <t>위탁수수료</t>
    <phoneticPr fontId="19" type="noConversion"/>
  </si>
  <si>
    <t xml:space="preserve"> o 통신비</t>
    <phoneticPr fontId="19" type="noConversion"/>
  </si>
  <si>
    <t xml:space="preserve">  소  계</t>
    <phoneticPr fontId="19" type="noConversion"/>
  </si>
  <si>
    <t xml:space="preserve"> 고유목적사업</t>
    <phoneticPr fontId="19" type="noConversion"/>
  </si>
  <si>
    <t xml:space="preserve"> o 임직원 퇴직급여</t>
    <phoneticPr fontId="19" type="noConversion"/>
  </si>
  <si>
    <t xml:space="preserve">   1. 직원동호회 지원비</t>
    <phoneticPr fontId="18" type="noConversion"/>
  </si>
  <si>
    <t xml:space="preserve">   2. 우수사원 표창</t>
    <phoneticPr fontId="19" type="noConversion"/>
  </si>
  <si>
    <t xml:space="preserve">   3. 직원 건강검진</t>
    <phoneticPr fontId="19" type="noConversion"/>
  </si>
  <si>
    <t xml:space="preserve">   1. 임직원 직무교육 등</t>
    <phoneticPr fontId="19" type="noConversion"/>
  </si>
  <si>
    <t xml:space="preserve">   1. 이사회안건인쇄</t>
    <phoneticPr fontId="19" type="noConversion"/>
  </si>
  <si>
    <t xml:space="preserve">   2. 의회업무보고서 및 행정사무감사자료 인쇄</t>
    <phoneticPr fontId="19" type="noConversion"/>
  </si>
  <si>
    <t xml:space="preserve">   3. 기타 업무보고 및 외부감사관련자료 인쇄</t>
    <phoneticPr fontId="19" type="noConversion"/>
  </si>
  <si>
    <t xml:space="preserve">   1. 이사장실</t>
    <phoneticPr fontId="19" type="noConversion"/>
  </si>
  <si>
    <t xml:space="preserve">   2. 대표이사실 </t>
    <phoneticPr fontId="19" type="noConversion"/>
  </si>
  <si>
    <t xml:space="preserve">   3. 본부장실 </t>
    <phoneticPr fontId="19" type="noConversion"/>
  </si>
  <si>
    <t xml:space="preserve">   4. 검사역실 </t>
    <phoneticPr fontId="19" type="noConversion"/>
  </si>
  <si>
    <t xml:space="preserve">   5 .각 실팀</t>
    <phoneticPr fontId="19" type="noConversion"/>
  </si>
  <si>
    <t xml:space="preserve">   1 .기관운영일반업무추진비(이사장)</t>
    <phoneticPr fontId="19" type="noConversion"/>
  </si>
  <si>
    <t xml:space="preserve">   2. 기관운영일반업무추진비(대표이사)</t>
    <phoneticPr fontId="19" type="noConversion"/>
  </si>
  <si>
    <t xml:space="preserve">   3. 기관운영일반업무추진비(경영본부장)</t>
    <phoneticPr fontId="19" type="noConversion"/>
  </si>
  <si>
    <t xml:space="preserve">   4. 기관운영일반업무추진비(문화예술본부장)</t>
    <phoneticPr fontId="19" type="noConversion"/>
  </si>
  <si>
    <t xml:space="preserve">   5. 기관운영일반업무추진비(검사역)</t>
    <phoneticPr fontId="19" type="noConversion"/>
  </si>
  <si>
    <t xml:space="preserve">   1. 사옥시설 관리</t>
    <phoneticPr fontId="19" type="noConversion"/>
  </si>
  <si>
    <t xml:space="preserve">     - 사옥관리(건축,기계,설비,소방,통신,전기등)</t>
    <phoneticPr fontId="19" type="noConversion"/>
  </si>
  <si>
    <t xml:space="preserve">     - 건물유지 및 사무실보수(임대면적 포함)</t>
    <phoneticPr fontId="19" type="noConversion"/>
  </si>
  <si>
    <t xml:space="preserve">     - 시설관리 용역사 피복비등 시설관리 소모품</t>
    <phoneticPr fontId="19" type="noConversion"/>
  </si>
  <si>
    <t xml:space="preserve">     - 전산장비, G20, G-Portal시스템 유지관리비</t>
    <phoneticPr fontId="19" type="noConversion"/>
  </si>
  <si>
    <t xml:space="preserve">     - 승용차(중형 이상 유류대 연간 30,000KM주행기준)</t>
    <phoneticPr fontId="19" type="noConversion"/>
  </si>
  <si>
    <t xml:space="preserve">   3. 차량유지비</t>
    <phoneticPr fontId="19" type="noConversion"/>
  </si>
  <si>
    <t xml:space="preserve"> o 업무관련 도서구입 </t>
    <phoneticPr fontId="19" type="noConversion"/>
  </si>
  <si>
    <t xml:space="preserve">   1. 변경등기수수료</t>
    <phoneticPr fontId="19" type="noConversion"/>
  </si>
  <si>
    <t xml:space="preserve">   2. 송금수수료</t>
    <phoneticPr fontId="19" type="noConversion"/>
  </si>
  <si>
    <t xml:space="preserve">   3. 이사회 참석수당</t>
    <phoneticPr fontId="19" type="noConversion"/>
  </si>
  <si>
    <t xml:space="preserve">   4 .인사위원회 참석수당</t>
    <phoneticPr fontId="19" type="noConversion"/>
  </si>
  <si>
    <t xml:space="preserve">   5. 자문위원회 참석수당</t>
    <phoneticPr fontId="19" type="noConversion"/>
  </si>
  <si>
    <t xml:space="preserve">   6. 내부감사수당</t>
    <phoneticPr fontId="19" type="noConversion"/>
  </si>
  <si>
    <t xml:space="preserve">   7. 건물시설검사수수료(전기,보일러,엘리베이터 등)</t>
    <phoneticPr fontId="19" type="noConversion"/>
  </si>
  <si>
    <t xml:space="preserve">   8. 택배수수료</t>
    <phoneticPr fontId="19" type="noConversion"/>
  </si>
  <si>
    <t xml:space="preserve">   9. 자문수수료(고문변호사 및 고문노무사)</t>
    <phoneticPr fontId="19" type="noConversion"/>
  </si>
  <si>
    <t xml:space="preserve">  10. 재단 소송비용</t>
    <phoneticPr fontId="19" type="noConversion"/>
  </si>
  <si>
    <t xml:space="preserve">  11. 중계수수료</t>
    <phoneticPr fontId="19" type="noConversion"/>
  </si>
  <si>
    <t xml:space="preserve">  12. 안전및 보건관리 대행 수수료</t>
    <phoneticPr fontId="19" type="noConversion"/>
  </si>
  <si>
    <t xml:space="preserve">  13. 이사장 수당</t>
    <phoneticPr fontId="19" type="noConversion"/>
  </si>
  <si>
    <t xml:space="preserve">   1. 법인세 세무조정 및 공익법인신고</t>
    <phoneticPr fontId="19" type="noConversion"/>
  </si>
  <si>
    <t xml:space="preserve">   2. 회계결산감사</t>
    <phoneticPr fontId="19" type="noConversion"/>
  </si>
  <si>
    <t xml:space="preserve">   3. 사업검토용역</t>
    <phoneticPr fontId="19" type="noConversion"/>
  </si>
  <si>
    <t xml:space="preserve">   4. 도급관리 용역(17명)</t>
    <phoneticPr fontId="19" type="noConversion"/>
  </si>
  <si>
    <t xml:space="preserve">   5. 파견관리 용역(4명)</t>
    <phoneticPr fontId="19" type="noConversion"/>
  </si>
  <si>
    <t xml:space="preserve">   6. 사옥시설유지보수관리용역(조경,소방,A/V,방범,전화,주차,자동제어 등)</t>
    <phoneticPr fontId="19" type="noConversion"/>
  </si>
  <si>
    <t xml:space="preserve">   1. 사업추진 차량등 임차료</t>
    <phoneticPr fontId="19" type="noConversion"/>
  </si>
  <si>
    <t xml:space="preserve">   2. 사무기기 임대(복사기 및 컴퓨터등)</t>
    <phoneticPr fontId="19" type="noConversion"/>
  </si>
  <si>
    <t xml:space="preserve">   1. 본부장</t>
    <phoneticPr fontId="19" type="noConversion"/>
  </si>
  <si>
    <t xml:space="preserve">   2 .검사역</t>
    <phoneticPr fontId="19" type="noConversion"/>
  </si>
  <si>
    <t xml:space="preserve">   3. 회선사용료</t>
    <phoneticPr fontId="19" type="noConversion"/>
  </si>
  <si>
    <t xml:space="preserve">   1. 신문광고 등</t>
    <phoneticPr fontId="19" type="noConversion"/>
  </si>
  <si>
    <t xml:space="preserve">   2. 채용및 입찰공고비 등</t>
    <phoneticPr fontId="19" type="noConversion"/>
  </si>
  <si>
    <t xml:space="preserve">   3. 업무용봉투제작(대,중,소)</t>
    <phoneticPr fontId="19" type="noConversion"/>
  </si>
  <si>
    <t xml:space="preserve">   4. 재단 홍보용 봉투제작</t>
    <phoneticPr fontId="19" type="noConversion"/>
  </si>
  <si>
    <t xml:space="preserve">   5. 홍보용 현수막 제작 등</t>
    <phoneticPr fontId="19" type="noConversion"/>
  </si>
  <si>
    <t xml:space="preserve">   1. 운영위원회,이사회, 행정사무감사 등 식음료비</t>
    <phoneticPr fontId="19" type="noConversion"/>
  </si>
  <si>
    <t xml:space="preserve">   2. TFT 운영 식음료비</t>
    <phoneticPr fontId="19" type="noConversion"/>
  </si>
  <si>
    <t>일*</t>
    <phoneticPr fontId="19" type="noConversion"/>
  </si>
  <si>
    <t xml:space="preserve"> o 국내출장</t>
    <phoneticPr fontId="19" type="noConversion"/>
  </si>
  <si>
    <t xml:space="preserve">   6. 시책업무추진비(사업추진)</t>
    <phoneticPr fontId="19" type="noConversion"/>
  </si>
  <si>
    <t>– 임직원</t>
    <phoneticPr fontId="19" type="noConversion"/>
  </si>
  <si>
    <t xml:space="preserve"> o 직원 직무교육</t>
    <phoneticPr fontId="18" type="noConversion"/>
  </si>
  <si>
    <t>고유목적</t>
    <phoneticPr fontId="19" type="noConversion"/>
  </si>
  <si>
    <t xml:space="preserve"> 사업수입</t>
    <phoneticPr fontId="19" type="noConversion"/>
  </si>
  <si>
    <t xml:space="preserve"> 사업외수입</t>
    <phoneticPr fontId="19" type="noConversion"/>
  </si>
  <si>
    <t>소 계</t>
    <phoneticPr fontId="19" type="noConversion"/>
  </si>
  <si>
    <t>대행위탁</t>
    <phoneticPr fontId="19" type="noConversion"/>
  </si>
  <si>
    <t>구분</t>
    <phoneticPr fontId="19" type="noConversion"/>
  </si>
  <si>
    <t>경기도박물관</t>
    <phoneticPr fontId="19" type="noConversion"/>
  </si>
  <si>
    <t>예비비</t>
    <phoneticPr fontId="19" type="noConversion"/>
  </si>
  <si>
    <t>합   계</t>
    <phoneticPr fontId="19" type="noConversion"/>
  </si>
  <si>
    <t>소   계</t>
    <phoneticPr fontId="19" type="noConversion"/>
  </si>
  <si>
    <t>증감</t>
    <phoneticPr fontId="19" type="noConversion"/>
  </si>
  <si>
    <t>증감율</t>
    <phoneticPr fontId="19" type="noConversion"/>
  </si>
  <si>
    <t>대행위탁
(위탁사업)</t>
    <phoneticPr fontId="19" type="noConversion"/>
  </si>
  <si>
    <t xml:space="preserve"> 원*</t>
    <phoneticPr fontId="19" type="noConversion"/>
  </si>
  <si>
    <t>회</t>
    <phoneticPr fontId="19" type="noConversion"/>
  </si>
  <si>
    <t xml:space="preserve"> </t>
    <phoneticPr fontId="19" type="noConversion"/>
  </si>
  <si>
    <t>학술용역수입</t>
    <phoneticPr fontId="19" type="noConversion"/>
  </si>
  <si>
    <t>=</t>
    <phoneticPr fontId="19" type="noConversion"/>
  </si>
  <si>
    <t>지원금</t>
    <phoneticPr fontId="19" type="noConversion"/>
  </si>
  <si>
    <t>기부금 수입</t>
    <phoneticPr fontId="19" type="noConversion"/>
  </si>
  <si>
    <t>정책실(외부재원)</t>
    <phoneticPr fontId="19" type="noConversion"/>
  </si>
  <si>
    <t>경기청년인턴지원</t>
    <phoneticPr fontId="19" type="noConversion"/>
  </si>
  <si>
    <t>문화예술본부</t>
  </si>
  <si>
    <t>경영본부</t>
    <phoneticPr fontId="19" type="noConversion"/>
  </si>
  <si>
    <t>경기도어린이박물관</t>
  </si>
  <si>
    <t>대행위탁
(공기관대행사업
/ 보조금/지원금)</t>
    <phoneticPr fontId="19" type="noConversion"/>
  </si>
  <si>
    <t xml:space="preserve"> 공기관대행사업/보조금/지원금 총계</t>
    <phoneticPr fontId="19" type="noConversion"/>
  </si>
  <si>
    <t>=</t>
    <phoneticPr fontId="25" type="noConversion"/>
  </si>
  <si>
    <t>지급수수료</t>
    <phoneticPr fontId="31" type="noConversion"/>
  </si>
  <si>
    <t>=</t>
    <phoneticPr fontId="19" type="noConversion"/>
  </si>
  <si>
    <t>인건비</t>
    <phoneticPr fontId="19" type="noConversion"/>
  </si>
  <si>
    <t>회</t>
    <phoneticPr fontId="19" type="noConversion"/>
  </si>
  <si>
    <t xml:space="preserve">   1. 강의료</t>
    <phoneticPr fontId="19" type="noConversion"/>
  </si>
  <si>
    <t>명</t>
    <phoneticPr fontId="19" type="noConversion"/>
  </si>
  <si>
    <t>개</t>
    <phoneticPr fontId="19" type="noConversion"/>
  </si>
  <si>
    <t>지급수수료</t>
    <phoneticPr fontId="19" type="noConversion"/>
  </si>
  <si>
    <t>광고선전비</t>
    <phoneticPr fontId="19" type="noConversion"/>
  </si>
  <si>
    <t>유지관리비</t>
    <phoneticPr fontId="19" type="noConversion"/>
  </si>
  <si>
    <t>피복비</t>
    <phoneticPr fontId="19" type="noConversion"/>
  </si>
  <si>
    <t>회의운영비</t>
    <phoneticPr fontId="18" type="noConversion"/>
  </si>
  <si>
    <t>식</t>
    <phoneticPr fontId="31" type="noConversion"/>
  </si>
  <si>
    <t xml:space="preserve"> o 찾박운영 기간제근로자(4대보험, 퇴직급여등 포함)</t>
  </si>
  <si>
    <t xml:space="preserve">   1. 교육 물품구입 및 제작</t>
  </si>
  <si>
    <t xml:space="preserve">   1. 운영인 여비</t>
  </si>
  <si>
    <t xml:space="preserve">   2. 하이패스 충전</t>
  </si>
  <si>
    <t xml:space="preserve">   1 .차량유류비</t>
  </si>
  <si>
    <t xml:space="preserve">   2. 차량수리비</t>
  </si>
  <si>
    <t>장분류</t>
    <phoneticPr fontId="19" type="noConversion"/>
  </si>
  <si>
    <t>부서운영비</t>
    <phoneticPr fontId="19" type="noConversion"/>
  </si>
  <si>
    <t xml:space="preserve">   3. 각종 자료 인쇄 및 제본</t>
    <phoneticPr fontId="18" type="noConversion"/>
  </si>
  <si>
    <t>2</t>
    <phoneticPr fontId="19" type="noConversion"/>
  </si>
  <si>
    <t>30</t>
    <phoneticPr fontId="19" type="noConversion"/>
  </si>
  <si>
    <t xml:space="preserve">   3. 포스관련 바코드리본, 카트리지, 영수증용지</t>
    <phoneticPr fontId="18" type="noConversion"/>
  </si>
  <si>
    <t xml:space="preserve"> o 계</t>
    <phoneticPr fontId="19" type="noConversion"/>
  </si>
  <si>
    <t>보험료</t>
    <phoneticPr fontId="19" type="noConversion"/>
  </si>
  <si>
    <t>전곡선사박물관</t>
    <phoneticPr fontId="18" type="noConversion"/>
  </si>
  <si>
    <t>원*</t>
    <phoneticPr fontId="25" type="noConversion"/>
  </si>
  <si>
    <t>분기</t>
    <phoneticPr fontId="19" type="noConversion"/>
  </si>
  <si>
    <t xml:space="preserve">   5. 건축물정기점검</t>
    <phoneticPr fontId="19" type="noConversion"/>
  </si>
  <si>
    <t xml:space="preserve">   3. 직원용 숙소임차보증금 </t>
    <phoneticPr fontId="19" type="noConversion"/>
  </si>
  <si>
    <t xml:space="preserve">   2. 박물관 관련 간담회 등</t>
    <phoneticPr fontId="19" type="noConversion"/>
  </si>
  <si>
    <t xml:space="preserve">   2. 숙박비</t>
    <phoneticPr fontId="19" type="noConversion"/>
  </si>
  <si>
    <t>선사꾸러기 박물관</t>
    <phoneticPr fontId="25" type="noConversion"/>
  </si>
  <si>
    <t>편의시설 운영</t>
    <phoneticPr fontId="19" type="noConversion"/>
  </si>
  <si>
    <t>하나 더 메세나 프로젝트</t>
    <phoneticPr fontId="19" type="noConversion"/>
  </si>
  <si>
    <t xml:space="preserve"> </t>
    <phoneticPr fontId="18" type="noConversion"/>
  </si>
  <si>
    <t>행사운영비</t>
    <phoneticPr fontId="19" type="noConversion"/>
  </si>
  <si>
    <t>꿈다락토요문화학교</t>
    <phoneticPr fontId="19" type="noConversion"/>
  </si>
  <si>
    <t>인건비</t>
    <phoneticPr fontId="19" type="noConversion"/>
  </si>
  <si>
    <t>명 *</t>
    <phoneticPr fontId="19" type="noConversion"/>
  </si>
  <si>
    <t>여비교통비</t>
    <phoneticPr fontId="31" type="noConversion"/>
  </si>
  <si>
    <t xml:space="preserve"> o 전시 운영 보조인력</t>
  </si>
  <si>
    <t>ㅇ계</t>
    <phoneticPr fontId="19" type="noConversion"/>
  </si>
  <si>
    <t>소모품비</t>
    <phoneticPr fontId="31" type="noConversion"/>
  </si>
  <si>
    <t>회의운영비</t>
    <phoneticPr fontId="31" type="noConversion"/>
  </si>
  <si>
    <t>광고선전비</t>
    <phoneticPr fontId="31" type="noConversion"/>
  </si>
  <si>
    <t xml:space="preserve">   1. 사무책상 및 의자 등 업무용가구구입(내용년수 경과분 교체)</t>
  </si>
  <si>
    <t xml:space="preserve">   2. 소프트웨어 프로그램 구입</t>
  </si>
  <si>
    <t xml:space="preserve">   3. CCTV 시스템 교체(컴퓨터본체, 녹화장비, 랙 등)</t>
  </si>
  <si>
    <t xml:space="preserve">   4. 컴퓨터(데스크탑)-기존PC 내용년수 경과 교체</t>
  </si>
  <si>
    <t>회</t>
    <phoneticPr fontId="19" type="noConversion"/>
  </si>
  <si>
    <t>개월</t>
    <phoneticPr fontId="19" type="noConversion"/>
  </si>
  <si>
    <t>명</t>
    <phoneticPr fontId="19" type="noConversion"/>
  </si>
  <si>
    <t>종*</t>
    <phoneticPr fontId="19" type="noConversion"/>
  </si>
  <si>
    <t>ㅇ계</t>
    <phoneticPr fontId="19" type="noConversion"/>
  </si>
  <si>
    <t>ㅇ 직원 퇴직급여</t>
    <phoneticPr fontId="19" type="noConversion"/>
  </si>
  <si>
    <t>원*</t>
    <phoneticPr fontId="19" type="noConversion"/>
  </si>
  <si>
    <t>=</t>
    <phoneticPr fontId="19" type="noConversion"/>
  </si>
  <si>
    <t>원*</t>
    <phoneticPr fontId="19" type="noConversion"/>
  </si>
  <si>
    <t xml:space="preserve"> o 우편발송</t>
    <phoneticPr fontId="19" type="noConversion"/>
  </si>
  <si>
    <t>원/</t>
    <phoneticPr fontId="19" type="noConversion"/>
  </si>
  <si>
    <t>%</t>
    <phoneticPr fontId="19" type="noConversion"/>
  </si>
  <si>
    <t>식</t>
    <phoneticPr fontId="19" type="noConversion"/>
  </si>
  <si>
    <t>=</t>
    <phoneticPr fontId="18" type="noConversion"/>
  </si>
  <si>
    <t>회</t>
    <phoneticPr fontId="25" type="noConversion"/>
  </si>
  <si>
    <t>지급용역료</t>
    <phoneticPr fontId="19" type="noConversion"/>
  </si>
  <si>
    <t>회의운영비</t>
    <phoneticPr fontId="19" type="noConversion"/>
  </si>
  <si>
    <t>인건비</t>
    <phoneticPr fontId="19" type="noConversion"/>
  </si>
  <si>
    <t>도서인쇄비</t>
    <phoneticPr fontId="19" type="noConversion"/>
  </si>
  <si>
    <t xml:space="preserve"> </t>
    <phoneticPr fontId="25" type="noConversion"/>
  </si>
  <si>
    <t>명*</t>
    <phoneticPr fontId="19" type="noConversion"/>
  </si>
  <si>
    <t xml:space="preserve"> o 회의운영비</t>
    <phoneticPr fontId="19" type="noConversion"/>
  </si>
  <si>
    <t>지급용역료</t>
    <phoneticPr fontId="19" type="noConversion"/>
  </si>
  <si>
    <t xml:space="preserve"> </t>
    <phoneticPr fontId="18" type="noConversion"/>
  </si>
  <si>
    <t xml:space="preserve">  - 문화예술본부 (북부문화사업단)</t>
    <phoneticPr fontId="19" type="noConversion"/>
  </si>
  <si>
    <t xml:space="preserve">   1. 면허세(출판물등)</t>
  </si>
  <si>
    <t xml:space="preserve">   2. 부가가치세</t>
  </si>
  <si>
    <t xml:space="preserve">   3. 환경개선부담금</t>
  </si>
  <si>
    <t xml:space="preserve">   4. 교통유발부담금</t>
  </si>
  <si>
    <t xml:space="preserve">   5. 재산세(토지)</t>
  </si>
  <si>
    <t xml:space="preserve">   6. 재산세(건물)</t>
  </si>
  <si>
    <t xml:space="preserve">   7. 종합부동산세(토지)</t>
  </si>
  <si>
    <t xml:space="preserve">   8. 종업원할사업소세</t>
  </si>
  <si>
    <t xml:space="preserve">   9. 장애인고용분담금</t>
  </si>
  <si>
    <t xml:space="preserve">  10. 기타(증지, 인지대 등)</t>
  </si>
  <si>
    <t>월</t>
    <phoneticPr fontId="19" type="noConversion"/>
  </si>
  <si>
    <t xml:space="preserve">   4. 케이블TV사용료</t>
    <phoneticPr fontId="19" type="noConversion"/>
  </si>
  <si>
    <t xml:space="preserve">   1. 복사지 등 소모품</t>
    <phoneticPr fontId="19" type="noConversion"/>
  </si>
  <si>
    <t xml:space="preserve">   2. 업무용인장 및 고무인</t>
    <phoneticPr fontId="19" type="noConversion"/>
  </si>
  <si>
    <t xml:space="preserve">   3. 제본바인더기소모품</t>
    <phoneticPr fontId="19" type="noConversion"/>
  </si>
  <si>
    <t xml:space="preserve">   4. 생수사용료</t>
    <phoneticPr fontId="19" type="noConversion"/>
  </si>
  <si>
    <t xml:space="preserve">   5. 복사기토너</t>
    <phoneticPr fontId="19" type="noConversion"/>
  </si>
  <si>
    <t xml:space="preserve">   6. 레이저프린터토너</t>
    <phoneticPr fontId="19" type="noConversion"/>
  </si>
  <si>
    <t xml:space="preserve">   7. 잉크젯프린터토너</t>
    <phoneticPr fontId="19" type="noConversion"/>
  </si>
  <si>
    <t xml:space="preserve">   8. 팩스토너</t>
    <phoneticPr fontId="19" type="noConversion"/>
  </si>
  <si>
    <t xml:space="preserve">   9. 컴퓨터 주변기기 및 행사용 소모품 등</t>
    <phoneticPr fontId="19" type="noConversion"/>
  </si>
  <si>
    <t xml:space="preserve">   10. 업무용 봉투 제작(쇼핑백, 서류봉투)</t>
    <phoneticPr fontId="19" type="noConversion"/>
  </si>
  <si>
    <t>회의운영비</t>
    <phoneticPr fontId="19" type="noConversion"/>
  </si>
  <si>
    <t xml:space="preserve">  - 경기도어린이박물관</t>
    <phoneticPr fontId="19" type="noConversion"/>
  </si>
  <si>
    <t xml:space="preserve">   2017년 결산 후 잉여금</t>
    <phoneticPr fontId="19" type="noConversion"/>
  </si>
  <si>
    <t>2018년도지출예산 (공기관대행사업, 보조금, 지원금)</t>
  </si>
  <si>
    <t>경기천년 드론사진 공모전</t>
    <phoneticPr fontId="19" type="noConversion"/>
  </si>
  <si>
    <t xml:space="preserve">  - 문화예술본부 경기창작센터 화성지역 문화발전 (화성시)</t>
    <phoneticPr fontId="19" type="noConversion"/>
  </si>
  <si>
    <t>화성지역 문화발전</t>
    <phoneticPr fontId="19" type="noConversion"/>
  </si>
  <si>
    <t xml:space="preserve">  - 백남준아트센터 작가비 지원 (문화예술위원회)</t>
    <phoneticPr fontId="19" type="noConversion"/>
  </si>
  <si>
    <t xml:space="preserve"> 작가비 지원사업</t>
    <phoneticPr fontId="19" type="noConversion"/>
  </si>
  <si>
    <t>문화관광 콘텐츠 공공미술</t>
    <phoneticPr fontId="31" type="noConversion"/>
  </si>
  <si>
    <t xml:space="preserve">  - 경기도미술관 문화관광 콘텐츠 공공미술 (경기관광공사)</t>
    <phoneticPr fontId="19" type="noConversion"/>
  </si>
  <si>
    <t>2018년도 수입예산 (외부재원)</t>
    <phoneticPr fontId="19" type="noConversion"/>
  </si>
  <si>
    <t>ㅇ계</t>
    <phoneticPr fontId="19" type="noConversion"/>
  </si>
  <si>
    <t>월</t>
    <phoneticPr fontId="19" type="noConversion"/>
  </si>
  <si>
    <t xml:space="preserve">   3. 경영평가 성과급</t>
    <phoneticPr fontId="19" type="noConversion"/>
  </si>
  <si>
    <t xml:space="preserve">* </t>
    <phoneticPr fontId="18" type="noConversion"/>
  </si>
  <si>
    <t xml:space="preserve">   1. 인건비성 복리후생비</t>
    <phoneticPr fontId="19" type="noConversion"/>
  </si>
  <si>
    <t xml:space="preserve">  2. 부가급여(교통비+정액급식비+자녀학비보조수당+가족수당+초과근무수당 등포함)</t>
    <phoneticPr fontId="19" type="noConversion"/>
  </si>
  <si>
    <t xml:space="preserve">    - 선택적 복지제도 운영</t>
    <phoneticPr fontId="19" type="noConversion"/>
  </si>
  <si>
    <t xml:space="preserve">  1. 전기요금</t>
    <phoneticPr fontId="19" type="noConversion"/>
  </si>
  <si>
    <t xml:space="preserve">   3. 실장</t>
    <phoneticPr fontId="19" type="noConversion"/>
  </si>
  <si>
    <t xml:space="preserve">   4. 팀장</t>
    <phoneticPr fontId="19" type="noConversion"/>
  </si>
  <si>
    <t>3. 경영평가 성과급</t>
    <phoneticPr fontId="19" type="noConversion"/>
  </si>
  <si>
    <t xml:space="preserve">  2. 가스요금</t>
    <phoneticPr fontId="19" type="noConversion"/>
  </si>
  <si>
    <t xml:space="preserve">  3. 상하수도요금</t>
    <phoneticPr fontId="19" type="noConversion"/>
  </si>
  <si>
    <t xml:space="preserve">   7. 가격 조사용역(공사및용역)</t>
    <phoneticPr fontId="19" type="noConversion"/>
  </si>
  <si>
    <t xml:space="preserve">   8. 직원 채용 필기시험 대행 용역료</t>
    <phoneticPr fontId="19" type="noConversion"/>
  </si>
  <si>
    <t xml:space="preserve">   1. 문화예술진흥위원회운영</t>
    <phoneticPr fontId="19" type="noConversion"/>
  </si>
  <si>
    <t xml:space="preserve">   2. 문화정책 블레틴 e-book 제작</t>
    <phoneticPr fontId="19" type="noConversion"/>
  </si>
  <si>
    <t>문화예술 네트워크 확산</t>
    <phoneticPr fontId="19" type="noConversion"/>
  </si>
  <si>
    <t>일</t>
    <phoneticPr fontId="19" type="noConversion"/>
  </si>
  <si>
    <t>부</t>
    <phoneticPr fontId="19" type="noConversion"/>
  </si>
  <si>
    <t>홍보물구입비</t>
    <phoneticPr fontId="19" type="noConversion"/>
  </si>
  <si>
    <t xml:space="preserve"> </t>
    <phoneticPr fontId="19" type="noConversion"/>
  </si>
  <si>
    <t>시간</t>
    <phoneticPr fontId="19" type="noConversion"/>
  </si>
  <si>
    <t xml:space="preserve"> o 개막식 행사</t>
    <phoneticPr fontId="19" type="noConversion"/>
  </si>
  <si>
    <t xml:space="preserve">   1. 자문비</t>
    <phoneticPr fontId="19" type="noConversion"/>
  </si>
  <si>
    <t xml:space="preserve"> o 직원해외연수출장비</t>
    <phoneticPr fontId="19" type="noConversion"/>
  </si>
  <si>
    <t xml:space="preserve"> o 홍보물 발송</t>
    <phoneticPr fontId="19" type="noConversion"/>
  </si>
  <si>
    <t>명</t>
    <phoneticPr fontId="25" type="noConversion"/>
  </si>
  <si>
    <t>지급임차료</t>
    <phoneticPr fontId="31" type="noConversion"/>
  </si>
  <si>
    <t>통신비</t>
    <phoneticPr fontId="31" type="noConversion"/>
  </si>
  <si>
    <t>도서인쇄비</t>
    <phoneticPr fontId="31" type="noConversion"/>
  </si>
  <si>
    <t>=</t>
    <phoneticPr fontId="25" type="noConversion"/>
  </si>
  <si>
    <t>대</t>
    <phoneticPr fontId="19" type="noConversion"/>
  </si>
  <si>
    <t>재료비</t>
    <phoneticPr fontId="19" type="noConversion"/>
  </si>
  <si>
    <t>수도광열비</t>
    <phoneticPr fontId="19" type="noConversion"/>
  </si>
  <si>
    <t>종</t>
    <phoneticPr fontId="19" type="noConversion"/>
  </si>
  <si>
    <t>지원비</t>
    <phoneticPr fontId="31" type="noConversion"/>
  </si>
  <si>
    <t>급여</t>
    <phoneticPr fontId="19" type="noConversion"/>
  </si>
  <si>
    <t>직원</t>
    <phoneticPr fontId="19" type="noConversion"/>
  </si>
  <si>
    <t>퇴직급여</t>
    <phoneticPr fontId="19" type="noConversion"/>
  </si>
  <si>
    <t>원 /</t>
    <phoneticPr fontId="19" type="noConversion"/>
  </si>
  <si>
    <t>복리후생비(경비)</t>
    <phoneticPr fontId="19" type="noConversion"/>
  </si>
  <si>
    <t xml:space="preserve"> o 직원 직무교육 등</t>
    <phoneticPr fontId="19" type="noConversion"/>
  </si>
  <si>
    <t>건*</t>
    <phoneticPr fontId="19" type="noConversion"/>
  </si>
  <si>
    <t>관람객서비스</t>
    <phoneticPr fontId="19" type="noConversion"/>
  </si>
  <si>
    <t>문화유산팀</t>
    <phoneticPr fontId="19" type="noConversion"/>
  </si>
  <si>
    <t>경기문화재연구원</t>
    <phoneticPr fontId="19" type="noConversion"/>
  </si>
  <si>
    <t xml:space="preserve">   3. 파견수당</t>
    <phoneticPr fontId="19" type="noConversion"/>
  </si>
  <si>
    <t xml:space="preserve">   1. 4대보험 부담금</t>
    <phoneticPr fontId="19" type="noConversion"/>
  </si>
  <si>
    <t xml:space="preserve">   2. 선택적 복지제도 운영(재해 단체보장보험 포함)</t>
    <phoneticPr fontId="19" type="noConversion"/>
  </si>
  <si>
    <t>제경비</t>
    <phoneticPr fontId="18" type="noConversion"/>
  </si>
  <si>
    <t>복리후생비(경비)</t>
    <phoneticPr fontId="24" type="noConversion"/>
  </si>
  <si>
    <t xml:space="preserve">   1. 프로젝트계약직 단체보장보험 운영</t>
    <phoneticPr fontId="19" type="noConversion"/>
  </si>
  <si>
    <t xml:space="preserve">   2. 시책업무추진비(사업추진)</t>
    <phoneticPr fontId="18" type="noConversion"/>
  </si>
  <si>
    <t xml:space="preserve"> o 계</t>
    <phoneticPr fontId="18" type="noConversion"/>
  </si>
  <si>
    <t xml:space="preserve">   2. 팀장</t>
    <phoneticPr fontId="18" type="noConversion"/>
  </si>
  <si>
    <t>고정자산</t>
    <phoneticPr fontId="24" type="noConversion"/>
  </si>
  <si>
    <t>문화유적 학술조사 및 보존</t>
    <phoneticPr fontId="19" type="noConversion"/>
  </si>
  <si>
    <t>인건비</t>
    <phoneticPr fontId="18" type="noConversion"/>
  </si>
  <si>
    <t>자산구입비</t>
    <phoneticPr fontId="19" type="noConversion"/>
  </si>
  <si>
    <t>북한산성 역사문화 명소화</t>
    <phoneticPr fontId="19" type="noConversion"/>
  </si>
  <si>
    <t>경기학연구센터 사업비</t>
    <phoneticPr fontId="19" type="noConversion"/>
  </si>
  <si>
    <t>기획운영/조사연구팀 사업비</t>
    <phoneticPr fontId="19" type="noConversion"/>
  </si>
  <si>
    <t>교육훈련비</t>
    <phoneticPr fontId="19" type="noConversion"/>
  </si>
  <si>
    <t xml:space="preserve">   1. 관장실</t>
    <phoneticPr fontId="19" type="noConversion"/>
  </si>
  <si>
    <t>통*</t>
    <phoneticPr fontId="18" type="noConversion"/>
  </si>
  <si>
    <t>대*</t>
    <phoneticPr fontId="18" type="noConversion"/>
  </si>
  <si>
    <t xml:space="preserve">   1. 전기요금</t>
    <phoneticPr fontId="19" type="noConversion"/>
  </si>
  <si>
    <t xml:space="preserve">   2. 가스요금</t>
    <phoneticPr fontId="18" type="noConversion"/>
  </si>
  <si>
    <t xml:space="preserve">   1. 기관운영일반업무추진비(관장)</t>
    <phoneticPr fontId="19" type="noConversion"/>
  </si>
  <si>
    <t>17</t>
    <phoneticPr fontId="19" type="noConversion"/>
  </si>
  <si>
    <t>시간*</t>
    <phoneticPr fontId="19" type="noConversion"/>
  </si>
  <si>
    <t>10</t>
    <phoneticPr fontId="19" type="noConversion"/>
  </si>
  <si>
    <t xml:space="preserve">   3. 도로통행료</t>
    <phoneticPr fontId="19" type="noConversion"/>
  </si>
  <si>
    <t>톤</t>
  </si>
  <si>
    <t>o 기계설비보수공사비</t>
  </si>
  <si>
    <t>USR/T</t>
  </si>
  <si>
    <t>o 전기통신</t>
  </si>
  <si>
    <t>리터</t>
  </si>
  <si>
    <t>면</t>
  </si>
  <si>
    <t xml:space="preserve">   1. 우편요금(일반)</t>
    <phoneticPr fontId="19" type="noConversion"/>
  </si>
  <si>
    <t>명*</t>
    <phoneticPr fontId="18" type="noConversion"/>
  </si>
  <si>
    <t>연합계</t>
    <phoneticPr fontId="19" type="noConversion"/>
  </si>
  <si>
    <t xml:space="preserve">  3. 경영평가 성과급</t>
    <phoneticPr fontId="19" type="noConversion"/>
  </si>
  <si>
    <t>원 /</t>
    <phoneticPr fontId="19" type="noConversion"/>
  </si>
  <si>
    <t xml:space="preserve"> o 직원MT, 건강검진</t>
    <phoneticPr fontId="19" type="noConversion"/>
  </si>
  <si>
    <t xml:space="preserve">   1. 사무용기기 복사용지(복사,팩스,컴퓨터인쇄등)</t>
    <phoneticPr fontId="19" type="noConversion"/>
  </si>
  <si>
    <t xml:space="preserve">   1. 정기간행물(신문 등) 구독</t>
    <phoneticPr fontId="19" type="noConversion"/>
  </si>
  <si>
    <t>㎡*</t>
    <phoneticPr fontId="19" type="noConversion"/>
  </si>
  <si>
    <t xml:space="preserve">   1. 관장</t>
    <phoneticPr fontId="19" type="noConversion"/>
  </si>
  <si>
    <t xml:space="preserve">   2. 팀장</t>
    <phoneticPr fontId="19" type="noConversion"/>
  </si>
  <si>
    <t>(사업비)</t>
    <phoneticPr fontId="19" type="noConversion"/>
  </si>
  <si>
    <t>박</t>
    <phoneticPr fontId="19" type="noConversion"/>
  </si>
  <si>
    <t>지급임차료</t>
    <phoneticPr fontId="18" type="noConversion"/>
  </si>
  <si>
    <t>매*</t>
    <phoneticPr fontId="18" type="noConversion"/>
  </si>
  <si>
    <t>5</t>
    <phoneticPr fontId="19" type="noConversion"/>
  </si>
  <si>
    <t>국제학술심포지엄</t>
  </si>
  <si>
    <t xml:space="preserve"> o 자료집 제작 (디자인, 인쇄)</t>
  </si>
  <si>
    <t xml:space="preserve"> o 진행 소모품</t>
  </si>
  <si>
    <t xml:space="preserve">   1. 해외초청자 항공료</t>
  </si>
  <si>
    <t>4</t>
  </si>
  <si>
    <t xml:space="preserve">   2. 해외초청자 체재비</t>
  </si>
  <si>
    <t xml:space="preserve">   3. 해외초청자 일비</t>
  </si>
  <si>
    <t xml:space="preserve">   4. 국내출장여비</t>
  </si>
  <si>
    <t xml:space="preserve">   1. 번역료 (한--&gt;영)</t>
  </si>
  <si>
    <t xml:space="preserve">   2. 번역료 (영--&gt;한)</t>
  </si>
  <si>
    <t xml:space="preserve">   3. 발표자사례비</t>
  </si>
  <si>
    <t xml:space="preserve"> o 동영상촬영 및 편집</t>
  </si>
  <si>
    <t>시간</t>
  </si>
  <si>
    <t xml:space="preserve"> o 통역장비임차 등</t>
  </si>
  <si>
    <t xml:space="preserve"> o 국내소포발송</t>
  </si>
  <si>
    <t xml:space="preserve"> o 심포지엄 행사운영비</t>
  </si>
  <si>
    <t xml:space="preserve"> o 발표자 간담회</t>
  </si>
  <si>
    <t>20</t>
  </si>
  <si>
    <t xml:space="preserve"> o 보험료</t>
  </si>
  <si>
    <t xml:space="preserve">   1. 국내작품 운송</t>
  </si>
  <si>
    <t xml:space="preserve">   2. 전시공간 조성, 도장공사, 가구 제작</t>
  </si>
  <si>
    <t xml:space="preserve">   3. 전시작품 사진 촬영</t>
  </si>
  <si>
    <t xml:space="preserve">   4. 전시시트지 및 현수막 제작</t>
  </si>
  <si>
    <t xml:space="preserve">   5. 전시작품 설치해체용역</t>
  </si>
  <si>
    <t xml:space="preserve"> o 국내외 출판물 교환</t>
  </si>
  <si>
    <t xml:space="preserve"> o 북클럽 행사운영</t>
  </si>
  <si>
    <t xml:space="preserve">   1. 도록</t>
  </si>
  <si>
    <t xml:space="preserve">   2. 리플렛 및 안내자료</t>
  </si>
  <si>
    <t>3</t>
  </si>
  <si>
    <t xml:space="preserve">   1. 번역료 (한-&gt;영)</t>
  </si>
  <si>
    <t xml:space="preserve">   2. 번역료(영-&gt;한)</t>
  </si>
  <si>
    <t xml:space="preserve">   1. 작품 운송</t>
  </si>
  <si>
    <t xml:space="preserve">   2. 영상장비설치용역</t>
  </si>
  <si>
    <t xml:space="preserve">   3. 동영상촬영및편집</t>
  </si>
  <si>
    <t xml:space="preserve">   4. 전시설치작품 사진촬영</t>
  </si>
  <si>
    <t xml:space="preserve">   5. 전시장 지킴이</t>
  </si>
  <si>
    <t xml:space="preserve">   6. 전시장공사</t>
  </si>
  <si>
    <t xml:space="preserve">   7. 전시장해체공사</t>
  </si>
  <si>
    <t xml:space="preserve">   8. 전시시트지 및 현수막제작 </t>
  </si>
  <si>
    <t xml:space="preserve"> o 전시 기획회의 등</t>
  </si>
  <si>
    <t xml:space="preserve">   1. 개막 행사 버스 임차</t>
  </si>
  <si>
    <t xml:space="preserve">   2. 영상장비 임차</t>
  </si>
  <si>
    <t>과      목</t>
    <phoneticPr fontId="19" type="noConversion"/>
  </si>
  <si>
    <t>예산액</t>
    <phoneticPr fontId="19" type="noConversion"/>
  </si>
  <si>
    <t>세분류</t>
    <phoneticPr fontId="19" type="noConversion"/>
  </si>
  <si>
    <t>실학박물관</t>
    <phoneticPr fontId="19" type="noConversion"/>
  </si>
  <si>
    <t>일반관리비</t>
    <phoneticPr fontId="19" type="noConversion"/>
  </si>
  <si>
    <t xml:space="preserve">  1. 기준연봉액</t>
    <phoneticPr fontId="19" type="noConversion"/>
  </si>
  <si>
    <t>직원</t>
    <phoneticPr fontId="19" type="noConversion"/>
  </si>
  <si>
    <t>13</t>
    <phoneticPr fontId="19" type="noConversion"/>
  </si>
  <si>
    <t xml:space="preserve">  3. 경영평가 성과급</t>
    <phoneticPr fontId="19" type="noConversion"/>
  </si>
  <si>
    <t>퇴직급여</t>
    <phoneticPr fontId="19" type="noConversion"/>
  </si>
  <si>
    <t>ㅇ 직원 퇴직급여</t>
    <phoneticPr fontId="19" type="noConversion"/>
  </si>
  <si>
    <t>원 /</t>
    <phoneticPr fontId="19" type="noConversion"/>
  </si>
  <si>
    <t xml:space="preserve">* </t>
    <phoneticPr fontId="18" type="noConversion"/>
  </si>
  <si>
    <t>복리후생비(급여)</t>
    <phoneticPr fontId="19" type="noConversion"/>
  </si>
  <si>
    <t xml:space="preserve">  1. 인건비성 복리후생비</t>
    <phoneticPr fontId="19" type="noConversion"/>
  </si>
  <si>
    <t xml:space="preserve">    - 4대보험 부담금</t>
    <phoneticPr fontId="19" type="noConversion"/>
  </si>
  <si>
    <t>제경비</t>
    <phoneticPr fontId="18" type="noConversion"/>
  </si>
  <si>
    <t xml:space="preserve"> o 직무교육</t>
    <phoneticPr fontId="19" type="noConversion"/>
  </si>
  <si>
    <t>원*</t>
    <phoneticPr fontId="19" type="noConversion"/>
  </si>
  <si>
    <t>명</t>
    <phoneticPr fontId="19" type="noConversion"/>
  </si>
  <si>
    <t>=</t>
    <phoneticPr fontId="19" type="noConversion"/>
  </si>
  <si>
    <t>보험료</t>
    <phoneticPr fontId="19" type="noConversion"/>
  </si>
  <si>
    <t xml:space="preserve"> o 계</t>
    <phoneticPr fontId="19" type="noConversion"/>
  </si>
  <si>
    <t xml:space="preserve">   1. 건물관련보험(화재보험 등)</t>
    <phoneticPr fontId="18" type="noConversion"/>
  </si>
  <si>
    <t>회</t>
    <phoneticPr fontId="19" type="noConversion"/>
  </si>
  <si>
    <t xml:space="preserve">   2. 영업배상책임보험 등</t>
    <phoneticPr fontId="18" type="noConversion"/>
  </si>
  <si>
    <t xml:space="preserve">   3. 회계담당직원재정보증보험</t>
    <phoneticPr fontId="18" type="noConversion"/>
  </si>
  <si>
    <t>명*</t>
    <phoneticPr fontId="19" type="noConversion"/>
  </si>
  <si>
    <t>부서운영비</t>
    <phoneticPr fontId="19" type="noConversion"/>
  </si>
  <si>
    <t xml:space="preserve">   1. 관장실</t>
    <phoneticPr fontId="19" type="noConversion"/>
  </si>
  <si>
    <t>팀*</t>
    <phoneticPr fontId="18" type="noConversion"/>
  </si>
  <si>
    <t>월</t>
    <phoneticPr fontId="19" type="noConversion"/>
  </si>
  <si>
    <t xml:space="preserve">   2. 각 팀</t>
    <phoneticPr fontId="19" type="noConversion"/>
  </si>
  <si>
    <t>세금과공과</t>
    <phoneticPr fontId="19" type="noConversion"/>
  </si>
  <si>
    <t xml:space="preserve">   1. 면허세,소방안전협회 회비</t>
    <phoneticPr fontId="18" type="noConversion"/>
  </si>
  <si>
    <t xml:space="preserve">   2. 한국박물관협회 입회비</t>
    <phoneticPr fontId="18" type="noConversion"/>
  </si>
  <si>
    <t xml:space="preserve">   3. 법인균등할주민세</t>
    <phoneticPr fontId="18" type="noConversion"/>
  </si>
  <si>
    <t xml:space="preserve">   4. 부가가치세 납부</t>
    <phoneticPr fontId="19" type="noConversion"/>
  </si>
  <si>
    <t>소모품비</t>
    <phoneticPr fontId="19" type="noConversion"/>
  </si>
  <si>
    <t xml:space="preserve">   1. 사무용기기 복사용지(복사,팩스,컴퓨터인쇄등)</t>
    <phoneticPr fontId="19" type="noConversion"/>
  </si>
  <si>
    <t>박스*</t>
    <phoneticPr fontId="19" type="noConversion"/>
  </si>
  <si>
    <t xml:space="preserve">   2. 플로터용지</t>
    <phoneticPr fontId="18" type="noConversion"/>
  </si>
  <si>
    <t>롤*</t>
    <phoneticPr fontId="18" type="noConversion"/>
  </si>
  <si>
    <t>회</t>
    <phoneticPr fontId="18" type="noConversion"/>
  </si>
  <si>
    <t xml:space="preserve">   3. 생수사용료</t>
    <phoneticPr fontId="18" type="noConversion"/>
  </si>
  <si>
    <t>통*</t>
    <phoneticPr fontId="18" type="noConversion"/>
  </si>
  <si>
    <t xml:space="preserve">   4. 복사기토너</t>
    <phoneticPr fontId="18" type="noConversion"/>
  </si>
  <si>
    <t>대*</t>
    <phoneticPr fontId="18" type="noConversion"/>
  </si>
  <si>
    <t xml:space="preserve">   5. 레이저프린터토너</t>
    <phoneticPr fontId="18" type="noConversion"/>
  </si>
  <si>
    <t xml:space="preserve">   6. 잉크젯프린터및복합기토너</t>
    <phoneticPr fontId="18" type="noConversion"/>
  </si>
  <si>
    <t xml:space="preserve">   7. 팩스토너</t>
    <phoneticPr fontId="18" type="noConversion"/>
  </si>
  <si>
    <t xml:space="preserve">   8. 기타업무용문구 및 소모품 구입</t>
    <phoneticPr fontId="19" type="noConversion"/>
  </si>
  <si>
    <t xml:space="preserve"> </t>
    <phoneticPr fontId="18" type="noConversion"/>
  </si>
  <si>
    <t xml:space="preserve"> </t>
    <phoneticPr fontId="19" type="noConversion"/>
  </si>
  <si>
    <t xml:space="preserve">   9. 시설소모품(시설,미화,전기 등)</t>
    <phoneticPr fontId="19" type="noConversion"/>
  </si>
  <si>
    <t>수도광열비</t>
    <phoneticPr fontId="19" type="noConversion"/>
  </si>
  <si>
    <t xml:space="preserve">   1. 전기요금</t>
    <phoneticPr fontId="19" type="noConversion"/>
  </si>
  <si>
    <t xml:space="preserve">   2. 상하수도, 가스요금등</t>
    <phoneticPr fontId="18" type="noConversion"/>
  </si>
  <si>
    <t>업무추진비</t>
    <phoneticPr fontId="19" type="noConversion"/>
  </si>
  <si>
    <t xml:space="preserve">   1. 기관운영일반업무추진비(관장)</t>
    <phoneticPr fontId="19" type="noConversion"/>
  </si>
  <si>
    <t>=</t>
    <phoneticPr fontId="18" type="noConversion"/>
  </si>
  <si>
    <t xml:space="preserve">   2. 시책업무추진비(사업추진)</t>
    <phoneticPr fontId="18" type="noConversion"/>
  </si>
  <si>
    <t>여비교통비</t>
    <phoneticPr fontId="19" type="noConversion"/>
  </si>
  <si>
    <t xml:space="preserve">   1. 국내여비</t>
    <phoneticPr fontId="19" type="noConversion"/>
  </si>
  <si>
    <t>회*</t>
    <phoneticPr fontId="19" type="noConversion"/>
  </si>
  <si>
    <t>유지관리비</t>
    <phoneticPr fontId="19" type="noConversion"/>
  </si>
  <si>
    <t>원*</t>
    <phoneticPr fontId="18" type="noConversion"/>
  </si>
  <si>
    <t>월</t>
    <phoneticPr fontId="18" type="noConversion"/>
  </si>
  <si>
    <t>자료구입비</t>
    <phoneticPr fontId="19" type="noConversion"/>
  </si>
  <si>
    <t>부*</t>
    <phoneticPr fontId="19" type="noConversion"/>
  </si>
  <si>
    <t xml:space="preserve">   2. 업무용 참고도서 구입</t>
    <phoneticPr fontId="19" type="noConversion"/>
  </si>
  <si>
    <t>지급수수료</t>
    <phoneticPr fontId="19" type="noConversion"/>
  </si>
  <si>
    <t xml:space="preserve">   1. 송금수수료</t>
    <phoneticPr fontId="19" type="noConversion"/>
  </si>
  <si>
    <t>건*</t>
    <phoneticPr fontId="19" type="noConversion"/>
  </si>
  <si>
    <t>원*</t>
    <phoneticPr fontId="19" type="noConversion"/>
  </si>
  <si>
    <t>월</t>
    <phoneticPr fontId="19" type="noConversion"/>
  </si>
  <si>
    <t>=</t>
    <phoneticPr fontId="19" type="noConversion"/>
  </si>
  <si>
    <t xml:space="preserve">   2. 자문위원회 등 회의참석수당</t>
    <phoneticPr fontId="19" type="noConversion"/>
  </si>
  <si>
    <t>명*</t>
    <phoneticPr fontId="19" type="noConversion"/>
  </si>
  <si>
    <t>회</t>
    <phoneticPr fontId="19" type="noConversion"/>
  </si>
  <si>
    <t xml:space="preserve">   3. 입장료 대행수수료</t>
    <phoneticPr fontId="18" type="noConversion"/>
  </si>
  <si>
    <t>지급용역료</t>
    <phoneticPr fontId="19" type="noConversion"/>
  </si>
  <si>
    <t xml:space="preserve"> o 계</t>
    <phoneticPr fontId="19" type="noConversion"/>
  </si>
  <si>
    <t xml:space="preserve">   1. 시설관리용역(시설11명)</t>
    <phoneticPr fontId="19" type="noConversion"/>
  </si>
  <si>
    <t>식</t>
    <phoneticPr fontId="19" type="noConversion"/>
  </si>
  <si>
    <t xml:space="preserve">   2. 사옥시설유지보수관리용역(소방,A/V,방범,전화, 자동제어 등)</t>
    <phoneticPr fontId="18" type="noConversion"/>
  </si>
  <si>
    <t xml:space="preserve">   3. S/W자산종합관리시스템 용역</t>
    <phoneticPr fontId="18" type="noConversion"/>
  </si>
  <si>
    <t xml:space="preserve">   4. 다산정원 보수 공사</t>
    <phoneticPr fontId="18" type="noConversion"/>
  </si>
  <si>
    <t xml:space="preserve">   5. 조경관리용역</t>
    <phoneticPr fontId="19" type="noConversion"/>
  </si>
  <si>
    <t>지급임차료</t>
    <phoneticPr fontId="18" type="noConversion"/>
  </si>
  <si>
    <t xml:space="preserve">   1. 비데임차료</t>
    <phoneticPr fontId="19" type="noConversion"/>
  </si>
  <si>
    <t>대*</t>
    <phoneticPr fontId="18" type="noConversion"/>
  </si>
  <si>
    <t xml:space="preserve">   2. 업무용 복합기 임차료</t>
    <phoneticPr fontId="19" type="noConversion"/>
  </si>
  <si>
    <t xml:space="preserve">   3. 업무용 차량 임차료</t>
    <phoneticPr fontId="19" type="noConversion"/>
  </si>
  <si>
    <t xml:space="preserve">   4. 직원숙소 월 임차료</t>
    <phoneticPr fontId="19" type="noConversion"/>
  </si>
  <si>
    <t>개소*</t>
    <phoneticPr fontId="18" type="noConversion"/>
  </si>
  <si>
    <t xml:space="preserve">   5. 직원숙소 보증금</t>
    <phoneticPr fontId="19" type="noConversion"/>
  </si>
  <si>
    <t>직책업무추진비</t>
    <phoneticPr fontId="19" type="noConversion"/>
  </si>
  <si>
    <t xml:space="preserve">   1. 관장</t>
    <phoneticPr fontId="19" type="noConversion"/>
  </si>
  <si>
    <t xml:space="preserve">   2. 팀장</t>
    <phoneticPr fontId="19" type="noConversion"/>
  </si>
  <si>
    <t>통신비</t>
    <phoneticPr fontId="19" type="noConversion"/>
  </si>
  <si>
    <t xml:space="preserve">   1. 우편요금(일반)</t>
    <phoneticPr fontId="19" type="noConversion"/>
  </si>
  <si>
    <t xml:space="preserve">   2. 전화,인터넷요금</t>
    <phoneticPr fontId="19" type="noConversion"/>
  </si>
  <si>
    <t xml:space="preserve"> </t>
    <phoneticPr fontId="18" type="noConversion"/>
  </si>
  <si>
    <t xml:space="preserve"> </t>
    <phoneticPr fontId="19" type="noConversion"/>
  </si>
  <si>
    <t xml:space="preserve">   3. 케이블TV사용료</t>
    <phoneticPr fontId="19" type="noConversion"/>
  </si>
  <si>
    <t>회의운영비</t>
    <phoneticPr fontId="18" type="noConversion"/>
  </si>
  <si>
    <t xml:space="preserve"> o 자문회의 등</t>
    <phoneticPr fontId="18" type="noConversion"/>
  </si>
  <si>
    <t>고정자산</t>
    <phoneticPr fontId="24" type="noConversion"/>
  </si>
  <si>
    <t>자산구입비</t>
    <phoneticPr fontId="19" type="noConversion"/>
  </si>
  <si>
    <t xml:space="preserve">   1. 사무용집기 및 비품 구입</t>
    <phoneticPr fontId="19" type="noConversion"/>
  </si>
  <si>
    <t xml:space="preserve">   2. 사무용 PC구입(내용연수 경과)</t>
    <phoneticPr fontId="19" type="noConversion"/>
  </si>
  <si>
    <t>대</t>
    <phoneticPr fontId="19" type="noConversion"/>
  </si>
  <si>
    <t>(사업비)</t>
    <phoneticPr fontId="19" type="noConversion"/>
  </si>
  <si>
    <t>도서인쇄비</t>
    <phoneticPr fontId="19" type="noConversion"/>
  </si>
  <si>
    <t xml:space="preserve"> o 계</t>
    <phoneticPr fontId="18" type="noConversion"/>
  </si>
  <si>
    <t xml:space="preserve">   1. 실학총서발간</t>
    <phoneticPr fontId="18" type="noConversion"/>
  </si>
  <si>
    <t>종*</t>
    <phoneticPr fontId="19" type="noConversion"/>
  </si>
  <si>
    <t>부</t>
    <phoneticPr fontId="18" type="noConversion"/>
  </si>
  <si>
    <t xml:space="preserve">   2. 실학교양총서발간</t>
    <phoneticPr fontId="18" type="noConversion"/>
  </si>
  <si>
    <t>지급수수료</t>
    <phoneticPr fontId="18" type="noConversion"/>
  </si>
  <si>
    <t>o 계</t>
    <phoneticPr fontId="19" type="noConversion"/>
  </si>
  <si>
    <t xml:space="preserve">   1. 전적번역 원고료</t>
    <phoneticPr fontId="19" type="noConversion"/>
  </si>
  <si>
    <t>원*</t>
    <phoneticPr fontId="19" type="noConversion"/>
  </si>
  <si>
    <t>부</t>
    <phoneticPr fontId="18" type="noConversion"/>
  </si>
  <si>
    <t>=</t>
    <phoneticPr fontId="19" type="noConversion"/>
  </si>
  <si>
    <t xml:space="preserve">   2. 번역원고 교정교열비</t>
    <phoneticPr fontId="19" type="noConversion"/>
  </si>
  <si>
    <t>회의 운영비</t>
    <phoneticPr fontId="19" type="noConversion"/>
  </si>
  <si>
    <t>o 회의운영비</t>
    <phoneticPr fontId="19" type="noConversion"/>
  </si>
  <si>
    <t>회</t>
    <phoneticPr fontId="18" type="noConversion"/>
  </si>
  <si>
    <t>도서인쇄비</t>
    <phoneticPr fontId="18" type="noConversion"/>
  </si>
  <si>
    <t xml:space="preserve"> o 계</t>
    <phoneticPr fontId="18" type="noConversion"/>
  </si>
  <si>
    <t xml:space="preserve">   1. 발표자료집 인쇄</t>
    <phoneticPr fontId="18" type="noConversion"/>
  </si>
  <si>
    <t>권*</t>
    <phoneticPr fontId="19" type="noConversion"/>
  </si>
  <si>
    <t>회</t>
    <phoneticPr fontId="19" type="noConversion"/>
  </si>
  <si>
    <t xml:space="preserve">   2. 초청장 제작</t>
    <phoneticPr fontId="18" type="noConversion"/>
  </si>
  <si>
    <t>장*</t>
    <phoneticPr fontId="19" type="noConversion"/>
  </si>
  <si>
    <t>소모품비</t>
    <phoneticPr fontId="18" type="noConversion"/>
  </si>
  <si>
    <t xml:space="preserve"> o 현수막 및 사무용품등</t>
    <phoneticPr fontId="18" type="noConversion"/>
  </si>
  <si>
    <t>지급수수료</t>
    <phoneticPr fontId="18" type="noConversion"/>
  </si>
  <si>
    <t xml:space="preserve"> o 원고료 및 발표비</t>
    <phoneticPr fontId="18" type="noConversion"/>
  </si>
  <si>
    <t>회</t>
    <phoneticPr fontId="18" type="noConversion"/>
  </si>
  <si>
    <t xml:space="preserve"> o 버스임차</t>
    <phoneticPr fontId="18" type="noConversion"/>
  </si>
  <si>
    <t>통신비</t>
    <phoneticPr fontId="18" type="noConversion"/>
  </si>
  <si>
    <t xml:space="preserve"> o 초청장 발송</t>
    <phoneticPr fontId="19" type="noConversion"/>
  </si>
  <si>
    <t>행사운영비</t>
    <phoneticPr fontId="18" type="noConversion"/>
  </si>
  <si>
    <t xml:space="preserve"> o 행사진행 식음료비</t>
    <phoneticPr fontId="18" type="noConversion"/>
  </si>
  <si>
    <t>회의운영비</t>
    <phoneticPr fontId="19" type="noConversion"/>
  </si>
  <si>
    <t xml:space="preserve"> o 회의운영비</t>
    <phoneticPr fontId="18" type="noConversion"/>
  </si>
  <si>
    <t>한강문화콘텐츠 조사 및 활용</t>
    <phoneticPr fontId="19" type="noConversion"/>
  </si>
  <si>
    <t>소모품비</t>
    <phoneticPr fontId="19" type="noConversion"/>
  </si>
  <si>
    <t xml:space="preserve"> o 현수막, 배너, 사무용품 등</t>
    <phoneticPr fontId="19" type="noConversion"/>
  </si>
  <si>
    <t>자료구입비</t>
    <phoneticPr fontId="19" type="noConversion"/>
  </si>
  <si>
    <t xml:space="preserve"> o 회화자료 및 사진 구입 등</t>
    <phoneticPr fontId="19" type="noConversion"/>
  </si>
  <si>
    <t>지급수수료</t>
    <phoneticPr fontId="19" type="noConversion"/>
  </si>
  <si>
    <t xml:space="preserve">   1. 자문회의</t>
    <phoneticPr fontId="19" type="noConversion"/>
  </si>
  <si>
    <t>명*</t>
    <phoneticPr fontId="18" type="noConversion"/>
  </si>
  <si>
    <t xml:space="preserve">   2. 원고집필</t>
    <phoneticPr fontId="19" type="noConversion"/>
  </si>
  <si>
    <t>장</t>
    <phoneticPr fontId="18" type="noConversion"/>
  </si>
  <si>
    <t xml:space="preserve"> o 항공사진촬영</t>
    <phoneticPr fontId="19" type="noConversion"/>
  </si>
  <si>
    <t xml:space="preserve"> o 회의진행비</t>
    <phoneticPr fontId="19" type="noConversion"/>
  </si>
  <si>
    <t>유지관리비</t>
    <phoneticPr fontId="18" type="noConversion"/>
  </si>
  <si>
    <t xml:space="preserve"> o 계</t>
    <phoneticPr fontId="18" type="noConversion"/>
  </si>
  <si>
    <t xml:space="preserve">   1. 영상,전시장비 교체</t>
    <phoneticPr fontId="18" type="noConversion"/>
  </si>
  <si>
    <t>식</t>
    <phoneticPr fontId="18" type="noConversion"/>
  </si>
  <si>
    <t xml:space="preserve">   2. 영상 콘텐츠 제작운영</t>
    <phoneticPr fontId="19" type="noConversion"/>
  </si>
  <si>
    <t xml:space="preserve">   3. 리플렛 등 홍보물 제작 </t>
    <phoneticPr fontId="19" type="noConversion"/>
  </si>
  <si>
    <t xml:space="preserve"> o 전시자문수당</t>
    <phoneticPr fontId="19" type="noConversion"/>
  </si>
  <si>
    <t xml:space="preserve"> o 전시자문회의</t>
    <phoneticPr fontId="19" type="noConversion"/>
  </si>
  <si>
    <t>인건비</t>
    <phoneticPr fontId="19" type="noConversion"/>
  </si>
  <si>
    <t xml:space="preserve"> o 특별전보조인건비(급식, 교통보조, 연월차수당 포함)</t>
    <phoneticPr fontId="19" type="noConversion"/>
  </si>
  <si>
    <t>개월</t>
    <phoneticPr fontId="19" type="noConversion"/>
  </si>
  <si>
    <t>도서인쇄비</t>
    <phoneticPr fontId="18" type="noConversion"/>
  </si>
  <si>
    <t xml:space="preserve"> o 전시도록 제작</t>
    <phoneticPr fontId="18" type="noConversion"/>
  </si>
  <si>
    <t>부*</t>
    <phoneticPr fontId="19" type="noConversion"/>
  </si>
  <si>
    <t>보험료</t>
    <phoneticPr fontId="18" type="noConversion"/>
  </si>
  <si>
    <t xml:space="preserve"> o 대여유물 보험가입</t>
    <phoneticPr fontId="19" type="noConversion"/>
  </si>
  <si>
    <t xml:space="preserve">   1. 도록 원고료</t>
    <phoneticPr fontId="19" type="noConversion"/>
  </si>
  <si>
    <t>매</t>
    <phoneticPr fontId="19" type="noConversion"/>
  </si>
  <si>
    <t xml:space="preserve">   2. 자문회의 수당</t>
    <phoneticPr fontId="19" type="noConversion"/>
  </si>
  <si>
    <t>지급용역료</t>
    <phoneticPr fontId="18" type="noConversion"/>
  </si>
  <si>
    <t xml:space="preserve">   1. 설치공사</t>
    <phoneticPr fontId="18" type="noConversion"/>
  </si>
  <si>
    <t xml:space="preserve">   2. 그래픽 및 설계</t>
    <phoneticPr fontId="18" type="noConversion"/>
  </si>
  <si>
    <t xml:space="preserve">   3. 홍보물(리플렛,초청장,포스터 등) 제작</t>
    <phoneticPr fontId="18" type="noConversion"/>
  </si>
  <si>
    <t xml:space="preserve">   4. 유물운송</t>
    <phoneticPr fontId="19" type="noConversion"/>
  </si>
  <si>
    <t xml:space="preserve">   5. 유물복제</t>
    <phoneticPr fontId="19" type="noConversion"/>
  </si>
  <si>
    <t xml:space="preserve">   6. 전시유물 촬영</t>
    <phoneticPr fontId="18" type="noConversion"/>
  </si>
  <si>
    <t xml:space="preserve">   7. 전시영상물 제작</t>
    <phoneticPr fontId="18" type="noConversion"/>
  </si>
  <si>
    <t xml:space="preserve"> o 전시장비 임차</t>
    <phoneticPr fontId="18" type="noConversion"/>
  </si>
  <si>
    <t xml:space="preserve"> o 홍보물 발송</t>
    <phoneticPr fontId="19" type="noConversion"/>
  </si>
  <si>
    <t xml:space="preserve"> o 개막식 행사비</t>
    <phoneticPr fontId="19" type="noConversion"/>
  </si>
  <si>
    <t xml:space="preserve"> o 특별전 회의 진행비</t>
    <phoneticPr fontId="19" type="noConversion"/>
  </si>
  <si>
    <t>원*</t>
    <phoneticPr fontId="19" type="noConversion"/>
  </si>
  <si>
    <t>회</t>
    <phoneticPr fontId="18" type="noConversion"/>
  </si>
  <si>
    <t>=</t>
    <phoneticPr fontId="19" type="noConversion"/>
  </si>
  <si>
    <t>인건비</t>
    <phoneticPr fontId="19" type="noConversion"/>
  </si>
  <si>
    <t xml:space="preserve"> o 에듀케이터 인건비(급식,교통보조,격오지보조 포함)</t>
    <phoneticPr fontId="19" type="noConversion"/>
  </si>
  <si>
    <t>명*</t>
    <phoneticPr fontId="19" type="noConversion"/>
  </si>
  <si>
    <t>도서인쇄비</t>
    <phoneticPr fontId="18" type="noConversion"/>
  </si>
  <si>
    <t xml:space="preserve"> o 계</t>
    <phoneticPr fontId="19" type="noConversion"/>
  </si>
  <si>
    <t xml:space="preserve"> </t>
    <phoneticPr fontId="18" type="noConversion"/>
  </si>
  <si>
    <t xml:space="preserve">   1. 실학소풍 교재제작</t>
    <phoneticPr fontId="18" type="noConversion"/>
  </si>
  <si>
    <t>부*</t>
    <phoneticPr fontId="18" type="noConversion"/>
  </si>
  <si>
    <t>식</t>
    <phoneticPr fontId="18" type="noConversion"/>
  </si>
  <si>
    <t xml:space="preserve">   2. 안내 리플렛 제작</t>
    <phoneticPr fontId="18" type="noConversion"/>
  </si>
  <si>
    <t xml:space="preserve">   3. 자료집 발간</t>
    <phoneticPr fontId="18" type="noConversion"/>
  </si>
  <si>
    <t>소모품비</t>
    <phoneticPr fontId="18" type="noConversion"/>
  </si>
  <si>
    <t xml:space="preserve">   1. 실학소풍 재료비</t>
    <phoneticPr fontId="18" type="noConversion"/>
  </si>
  <si>
    <t xml:space="preserve">   2. 홍보물 제작</t>
    <phoneticPr fontId="18" type="noConversion"/>
  </si>
  <si>
    <t>지급수수료</t>
    <phoneticPr fontId="18" type="noConversion"/>
  </si>
  <si>
    <t xml:space="preserve"> o 실학소풍 강사료</t>
    <phoneticPr fontId="18" type="noConversion"/>
  </si>
  <si>
    <t>지급임차료</t>
    <phoneticPr fontId="18" type="noConversion"/>
  </si>
  <si>
    <t xml:space="preserve">   1. 실학소풍 버스임차</t>
    <phoneticPr fontId="19" type="noConversion"/>
  </si>
  <si>
    <t xml:space="preserve">   2. 실학교육시설 버스임차</t>
    <phoneticPr fontId="19" type="noConversion"/>
  </si>
  <si>
    <t>보험료</t>
    <phoneticPr fontId="19" type="noConversion"/>
  </si>
  <si>
    <t xml:space="preserve"> o 학교연계,문화나눔 보험료</t>
    <phoneticPr fontId="19" type="noConversion"/>
  </si>
  <si>
    <t xml:space="preserve"> o 실학소풍 교육운영</t>
    <phoneticPr fontId="18" type="noConversion"/>
  </si>
  <si>
    <t xml:space="preserve"> o 공연용역</t>
    <phoneticPr fontId="19" type="noConversion"/>
  </si>
  <si>
    <t xml:space="preserve"> o 교육협의 회의</t>
    <phoneticPr fontId="18" type="noConversion"/>
  </si>
  <si>
    <t>다산 공렴 아카데미 운영</t>
    <phoneticPr fontId="19" type="noConversion"/>
  </si>
  <si>
    <t xml:space="preserve"> o 에듀케이터 인건비(급식,교통보조,격오지보조 포함)</t>
    <phoneticPr fontId="19" type="noConversion"/>
  </si>
  <si>
    <t xml:space="preserve">   1. 교재 제작</t>
    <phoneticPr fontId="18" type="noConversion"/>
  </si>
  <si>
    <t>부</t>
    <phoneticPr fontId="18" type="noConversion"/>
  </si>
  <si>
    <t xml:space="preserve">   2. 안내 리플렛 제작</t>
    <phoneticPr fontId="18" type="noConversion"/>
  </si>
  <si>
    <t xml:space="preserve">   3. 결과자료집 제작</t>
    <phoneticPr fontId="19" type="noConversion"/>
  </si>
  <si>
    <t xml:space="preserve"> o 체험재료 구입</t>
    <phoneticPr fontId="19" type="noConversion"/>
  </si>
  <si>
    <t>=</t>
    <phoneticPr fontId="18" type="noConversion"/>
  </si>
  <si>
    <t xml:space="preserve">   1. 특강 강사료</t>
    <phoneticPr fontId="19" type="noConversion"/>
  </si>
  <si>
    <t xml:space="preserve">   2. 특강 원고료</t>
    <phoneticPr fontId="19" type="noConversion"/>
  </si>
  <si>
    <t xml:space="preserve"> o 다과비</t>
    <phoneticPr fontId="19" type="noConversion"/>
  </si>
  <si>
    <t>전시교육개발 및 역량강화</t>
    <phoneticPr fontId="19" type="noConversion"/>
  </si>
  <si>
    <t>여비교통비</t>
    <phoneticPr fontId="19" type="noConversion"/>
  </si>
  <si>
    <t>행사운영비</t>
    <phoneticPr fontId="19" type="noConversion"/>
  </si>
  <si>
    <t>체험프로그램 운영</t>
    <phoneticPr fontId="19" type="noConversion"/>
  </si>
  <si>
    <t>1박2일 체험캠프</t>
    <phoneticPr fontId="18" type="noConversion"/>
  </si>
  <si>
    <t>열수, 문화~예술이 흐르는 강</t>
    <phoneticPr fontId="19" type="noConversion"/>
  </si>
  <si>
    <t>수장고 및 소장품 관리</t>
    <phoneticPr fontId="18" type="noConversion"/>
  </si>
  <si>
    <t xml:space="preserve"> o 소장품 종합보험 가입</t>
    <phoneticPr fontId="19" type="noConversion"/>
  </si>
  <si>
    <t>%</t>
    <phoneticPr fontId="19" type="noConversion"/>
  </si>
  <si>
    <t>유지관리비</t>
    <phoneticPr fontId="19" type="noConversion"/>
  </si>
  <si>
    <t xml:space="preserve">   1. 서버유지관리 등</t>
    <phoneticPr fontId="19" type="noConversion"/>
  </si>
  <si>
    <t xml:space="preserve">   2. 유물보관장 개수</t>
    <phoneticPr fontId="19" type="noConversion"/>
  </si>
  <si>
    <t xml:space="preserve">   3. 유물보관 상자,포장재 등</t>
    <phoneticPr fontId="19" type="noConversion"/>
  </si>
  <si>
    <t xml:space="preserve">   4. 유물환경유지 약품 등</t>
    <phoneticPr fontId="19" type="noConversion"/>
  </si>
  <si>
    <t xml:space="preserve">   5. 전적 보존처리</t>
    <phoneticPr fontId="19" type="noConversion"/>
  </si>
  <si>
    <t xml:space="preserve"> o 서간 탈초,번역,교열,윤문</t>
    <phoneticPr fontId="19" type="noConversion"/>
  </si>
  <si>
    <t>지급임차료</t>
    <phoneticPr fontId="19" type="noConversion"/>
  </si>
  <si>
    <t xml:space="preserve"> o 공기살균청정기 등</t>
    <phoneticPr fontId="19" type="noConversion"/>
  </si>
  <si>
    <t>관람객 서비스</t>
    <phoneticPr fontId="18" type="noConversion"/>
  </si>
  <si>
    <t>박물관 종합홍보</t>
    <phoneticPr fontId="18" type="noConversion"/>
  </si>
  <si>
    <t>명</t>
    <phoneticPr fontId="18" type="noConversion"/>
  </si>
  <si>
    <t xml:space="preserve"> o 여행자보험</t>
    <phoneticPr fontId="19" type="noConversion"/>
  </si>
  <si>
    <t xml:space="preserve"> o 물품구입비</t>
    <phoneticPr fontId="19" type="noConversion"/>
  </si>
  <si>
    <t>원*</t>
    <phoneticPr fontId="19" type="noConversion"/>
  </si>
  <si>
    <t>회</t>
    <phoneticPr fontId="18" type="noConversion"/>
  </si>
  <si>
    <t>=</t>
    <phoneticPr fontId="19" type="noConversion"/>
  </si>
  <si>
    <t xml:space="preserve"> o 계</t>
    <phoneticPr fontId="18" type="noConversion"/>
  </si>
  <si>
    <t xml:space="preserve"> </t>
    <phoneticPr fontId="19" type="noConversion"/>
  </si>
  <si>
    <t xml:space="preserve">   1. 문화해설사 활동비</t>
    <phoneticPr fontId="19" type="noConversion"/>
  </si>
  <si>
    <t>일</t>
    <phoneticPr fontId="19" type="noConversion"/>
  </si>
  <si>
    <t xml:space="preserve">   2. 문화해설사 교육 강사료</t>
    <phoneticPr fontId="19" type="noConversion"/>
  </si>
  <si>
    <t>회</t>
    <phoneticPr fontId="19" type="noConversion"/>
  </si>
  <si>
    <t xml:space="preserve">   3. 문화해설사 교육 원고료</t>
    <phoneticPr fontId="19" type="noConversion"/>
  </si>
  <si>
    <t xml:space="preserve"> o 행사운영비</t>
    <phoneticPr fontId="19" type="noConversion"/>
  </si>
  <si>
    <t>회의운영비</t>
    <phoneticPr fontId="18" type="noConversion"/>
  </si>
  <si>
    <t xml:space="preserve"> o 간담회비</t>
    <phoneticPr fontId="19" type="noConversion"/>
  </si>
  <si>
    <t>피복비</t>
    <phoneticPr fontId="18" type="noConversion"/>
  </si>
  <si>
    <t xml:space="preserve"> o 피복비</t>
    <phoneticPr fontId="19" type="noConversion"/>
  </si>
  <si>
    <t>벌</t>
    <phoneticPr fontId="18" type="noConversion"/>
  </si>
  <si>
    <t>실학도서관 운영</t>
    <phoneticPr fontId="18" type="noConversion"/>
  </si>
  <si>
    <t xml:space="preserve"> o 계</t>
    <phoneticPr fontId="19" type="noConversion"/>
  </si>
  <si>
    <t xml:space="preserve">   1. 독서문화프로그램 강사비</t>
    <phoneticPr fontId="19" type="noConversion"/>
  </si>
  <si>
    <t xml:space="preserve">   2. 도서관 보조인력</t>
    <phoneticPr fontId="19" type="noConversion"/>
  </si>
  <si>
    <t>소모품비</t>
    <phoneticPr fontId="19" type="noConversion"/>
  </si>
  <si>
    <t xml:space="preserve"> o 소모품비</t>
    <phoneticPr fontId="19" type="noConversion"/>
  </si>
  <si>
    <t xml:space="preserve">   1. 실학관련 도서 및 DVD구입</t>
    <phoneticPr fontId="19" type="noConversion"/>
  </si>
  <si>
    <t xml:space="preserve">   2. 관람객 도서 구입</t>
    <phoneticPr fontId="19" type="noConversion"/>
  </si>
  <si>
    <t xml:space="preserve">   3. 연속간행물 구입</t>
    <phoneticPr fontId="19" type="noConversion"/>
  </si>
  <si>
    <t>행사운영비</t>
    <phoneticPr fontId="19" type="noConversion"/>
  </si>
  <si>
    <t xml:space="preserve"> o 도서관 연계 사업 행사운영비</t>
    <phoneticPr fontId="19" type="noConversion"/>
  </si>
  <si>
    <t>인건비</t>
    <phoneticPr fontId="19" type="noConversion"/>
  </si>
  <si>
    <t xml:space="preserve">   1. 뮤지엄샵 판매원</t>
    <phoneticPr fontId="18" type="noConversion"/>
  </si>
  <si>
    <t>명*</t>
    <phoneticPr fontId="18" type="noConversion"/>
  </si>
  <si>
    <t>월</t>
    <phoneticPr fontId="18" type="noConversion"/>
  </si>
  <si>
    <t xml:space="preserve">   2. 뮤지엄샵 아르바이트</t>
    <phoneticPr fontId="18" type="noConversion"/>
  </si>
  <si>
    <t>일</t>
    <phoneticPr fontId="18" type="noConversion"/>
  </si>
  <si>
    <t>세금과공과</t>
    <phoneticPr fontId="18" type="noConversion"/>
  </si>
  <si>
    <t xml:space="preserve"> o 부가세 납부 세액</t>
    <phoneticPr fontId="18" type="noConversion"/>
  </si>
  <si>
    <t>소모품비</t>
    <phoneticPr fontId="18" type="noConversion"/>
  </si>
  <si>
    <t xml:space="preserve"> o 자판기 소모품 및 포장지 등</t>
    <phoneticPr fontId="18" type="noConversion"/>
  </si>
  <si>
    <t>재료비</t>
    <phoneticPr fontId="18" type="noConversion"/>
  </si>
  <si>
    <t xml:space="preserve">   1. 아트샵 상품 구입</t>
    <phoneticPr fontId="18" type="noConversion"/>
  </si>
  <si>
    <t xml:space="preserve">   2. 커피, 음료자판기 상품 구입</t>
    <phoneticPr fontId="18" type="noConversion"/>
  </si>
  <si>
    <t>지급용역료</t>
    <phoneticPr fontId="18" type="noConversion"/>
  </si>
  <si>
    <t xml:space="preserve"> o POS 유지관리비</t>
    <phoneticPr fontId="18" type="noConversion"/>
  </si>
  <si>
    <t xml:space="preserve"> o 기념품점 운영관련 업무회의</t>
    <phoneticPr fontId="19" type="noConversion"/>
  </si>
  <si>
    <t>특별사업</t>
    <phoneticPr fontId="19" type="noConversion"/>
  </si>
  <si>
    <t xml:space="preserve">   1. 실학훼밀리 역사답사 자료집</t>
    <phoneticPr fontId="18" type="noConversion"/>
  </si>
  <si>
    <t xml:space="preserve">   2. 북부지역 박물관협력 공동행사 홍보물</t>
    <phoneticPr fontId="19" type="noConversion"/>
  </si>
  <si>
    <t xml:space="preserve">   1. 실학훼밀리 역사답사 강사료</t>
    <phoneticPr fontId="18" type="noConversion"/>
  </si>
  <si>
    <t xml:space="preserve">   2. 북부지역 박물관협력 공동교육 강사료</t>
    <phoneticPr fontId="18" type="noConversion"/>
  </si>
  <si>
    <t xml:space="preserve"> o 실학훼밀리 역사답사 차량임차</t>
    <phoneticPr fontId="18" type="noConversion"/>
  </si>
  <si>
    <t xml:space="preserve">   1. 다산묘제</t>
    <phoneticPr fontId="18" type="noConversion"/>
  </si>
  <si>
    <t xml:space="preserve">   2. 문화계종사자 실학기행</t>
    <phoneticPr fontId="19" type="noConversion"/>
  </si>
  <si>
    <t xml:space="preserve">   3. 북부지역 박물관협력 공동 공연</t>
    <phoneticPr fontId="19" type="noConversion"/>
  </si>
  <si>
    <t>.</t>
    <phoneticPr fontId="19" type="noConversion"/>
  </si>
  <si>
    <t xml:space="preserve">   1. 실학훼밀리 역사답사 행사운영비</t>
    <phoneticPr fontId="18" type="noConversion"/>
  </si>
  <si>
    <t xml:space="preserve">   2. 북부지역 박물관협력 공동사업 행사운영비</t>
    <phoneticPr fontId="19" type="noConversion"/>
  </si>
  <si>
    <t>실학영상 콘텐츠 제작</t>
    <phoneticPr fontId="18" type="noConversion"/>
  </si>
  <si>
    <t>관람환경 개선</t>
    <phoneticPr fontId="19" type="noConversion"/>
  </si>
  <si>
    <t>중앙홀 개선 및 시설확충</t>
    <phoneticPr fontId="18" type="noConversion"/>
  </si>
  <si>
    <t>–직원</t>
    <phoneticPr fontId="19" type="noConversion"/>
  </si>
  <si>
    <t xml:space="preserve">   2. 부가급여(교통비+정액급식비+자녀학비보조수당+가족수당+초과근무수당 등포함)</t>
    <phoneticPr fontId="19" type="noConversion"/>
  </si>
  <si>
    <t xml:space="preserve">   3. 경영평가 성과급</t>
    <phoneticPr fontId="19" type="noConversion"/>
  </si>
  <si>
    <t xml:space="preserve"> o 기흥역 역명부기 사용료</t>
    <phoneticPr fontId="18" type="noConversion"/>
  </si>
  <si>
    <t xml:space="preserve">   1. 안내,홍보물 및 인쇄물 제작</t>
    <phoneticPr fontId="18" type="noConversion"/>
  </si>
  <si>
    <t xml:space="preserve"> o 건물관련보험(화재보험 등)</t>
    <phoneticPr fontId="18" type="noConversion"/>
  </si>
  <si>
    <t xml:space="preserve">   1. 부가가치세</t>
    <phoneticPr fontId="18" type="noConversion"/>
  </si>
  <si>
    <t xml:space="preserve">   3. 면허세, 재산세, 주민세등</t>
    <phoneticPr fontId="18" type="noConversion"/>
  </si>
  <si>
    <t xml:space="preserve">   4. 협회 연회비(국제박물관협회 등)</t>
    <phoneticPr fontId="18" type="noConversion"/>
  </si>
  <si>
    <t xml:space="preserve">   2. 생수사용료</t>
    <phoneticPr fontId="18" type="noConversion"/>
  </si>
  <si>
    <t xml:space="preserve">   4. 입장권제작</t>
    <phoneticPr fontId="18" type="noConversion"/>
  </si>
  <si>
    <t xml:space="preserve">   5. 기타 업무용 문구 및 소모품구입</t>
    <phoneticPr fontId="18" type="noConversion"/>
  </si>
  <si>
    <t xml:space="preserve">   2. 상하수도요금</t>
    <phoneticPr fontId="19" type="noConversion"/>
  </si>
  <si>
    <t xml:space="preserve">   3. 가스요금</t>
    <phoneticPr fontId="18" type="noConversion"/>
  </si>
  <si>
    <t>12</t>
    <phoneticPr fontId="19" type="noConversion"/>
  </si>
  <si>
    <t>6</t>
    <phoneticPr fontId="19" type="noConversion"/>
  </si>
  <si>
    <t>1</t>
    <phoneticPr fontId="19" type="noConversion"/>
  </si>
  <si>
    <t xml:space="preserve">   1. 건축물 유지관리</t>
    <phoneticPr fontId="19" type="noConversion"/>
  </si>
  <si>
    <t xml:space="preserve">   2. 차량유지관리(유류대,기타)</t>
    <phoneticPr fontId="19" type="noConversion"/>
  </si>
  <si>
    <t>원*</t>
    <phoneticPr fontId="18" type="noConversion"/>
  </si>
  <si>
    <t xml:space="preserve">   2. 업무관련 자료 구입(물가정보)</t>
    <phoneticPr fontId="19" type="noConversion"/>
  </si>
  <si>
    <t>50</t>
    <phoneticPr fontId="19" type="noConversion"/>
  </si>
  <si>
    <t xml:space="preserve">   2. 자문 및 실무위원회 수당</t>
    <phoneticPr fontId="19" type="noConversion"/>
  </si>
  <si>
    <t xml:space="preserve">   4. 관람료 신용카드 수수료</t>
    <phoneticPr fontId="18" type="noConversion"/>
  </si>
  <si>
    <t xml:space="preserve">   5. 각종법률자문수수료</t>
    <phoneticPr fontId="18" type="noConversion"/>
  </si>
  <si>
    <t xml:space="preserve">   6 조달청수수료</t>
    <phoneticPr fontId="18" type="noConversion"/>
  </si>
  <si>
    <t>년</t>
    <phoneticPr fontId="19" type="noConversion"/>
  </si>
  <si>
    <t xml:space="preserve">   2. 사옥시설유지보수관리용역(소방,A/V,방범,전화, 항온항습, 자동제어 등)</t>
    <phoneticPr fontId="18" type="noConversion"/>
  </si>
  <si>
    <t xml:space="preserve">   1. 업무용 차량 임차료</t>
    <phoneticPr fontId="18" type="noConversion"/>
  </si>
  <si>
    <t xml:space="preserve">   1. 우편요금(국내및국외)</t>
    <phoneticPr fontId="19" type="noConversion"/>
  </si>
  <si>
    <t xml:space="preserve">   3. 법인 이동전화요금</t>
    <phoneticPr fontId="19" type="noConversion"/>
  </si>
  <si>
    <t xml:space="preserve">   4. 위성방송 시청료</t>
    <phoneticPr fontId="19" type="noConversion"/>
  </si>
  <si>
    <t>20</t>
    <phoneticPr fontId="19" type="noConversion"/>
  </si>
  <si>
    <t xml:space="preserve">   1. 사무용 PC 구입</t>
    <phoneticPr fontId="19" type="noConversion"/>
  </si>
  <si>
    <t>일</t>
    <phoneticPr fontId="19" type="noConversion"/>
  </si>
  <si>
    <t>11</t>
    <phoneticPr fontId="19" type="noConversion"/>
  </si>
  <si>
    <t xml:space="preserve">    - 4대보험 부담금</t>
    <phoneticPr fontId="19" type="noConversion"/>
  </si>
  <si>
    <t>제경비</t>
    <phoneticPr fontId="19" type="noConversion"/>
  </si>
  <si>
    <t>명*</t>
    <phoneticPr fontId="25" type="noConversion"/>
  </si>
  <si>
    <t>원*</t>
    <phoneticPr fontId="19" type="noConversion"/>
  </si>
  <si>
    <t>도서인쇄비</t>
    <phoneticPr fontId="25" type="noConversion"/>
  </si>
  <si>
    <t xml:space="preserve"> o 계</t>
    <phoneticPr fontId="19" type="noConversion"/>
  </si>
  <si>
    <t>회</t>
    <phoneticPr fontId="19" type="noConversion"/>
  </si>
  <si>
    <t>팀*</t>
    <phoneticPr fontId="25" type="noConversion"/>
  </si>
  <si>
    <t>월</t>
    <phoneticPr fontId="19" type="noConversion"/>
  </si>
  <si>
    <t>세금과공과</t>
    <phoneticPr fontId="25" type="noConversion"/>
  </si>
  <si>
    <t xml:space="preserve">   2. ICOM 연회비 </t>
    <phoneticPr fontId="18" type="noConversion"/>
  </si>
  <si>
    <t xml:space="preserve">   3. 박물관협의회비  </t>
    <phoneticPr fontId="18" type="noConversion"/>
  </si>
  <si>
    <t xml:space="preserve">   5. 환경개선부담금 </t>
    <phoneticPr fontId="19" type="noConversion"/>
  </si>
  <si>
    <t>=</t>
    <phoneticPr fontId="19" type="noConversion"/>
  </si>
  <si>
    <t xml:space="preserve">   6. 협회비(소방,전기 등)  </t>
    <phoneticPr fontId="19" type="noConversion"/>
  </si>
  <si>
    <t xml:space="preserve">   7. 기타(증지,인지대 등)  </t>
    <phoneticPr fontId="18" type="noConversion"/>
  </si>
  <si>
    <t xml:space="preserve">   1. 복사용지 등</t>
    <phoneticPr fontId="19" type="noConversion"/>
  </si>
  <si>
    <t>박스*</t>
    <phoneticPr fontId="25" type="noConversion"/>
  </si>
  <si>
    <t xml:space="preserve">   2. 복사기 토너(흑백,칼라)</t>
    <phoneticPr fontId="18" type="noConversion"/>
  </si>
  <si>
    <t>통*</t>
    <phoneticPr fontId="25" type="noConversion"/>
  </si>
  <si>
    <t>수도광열비</t>
    <phoneticPr fontId="25" type="noConversion"/>
  </si>
  <si>
    <t xml:space="preserve">   1. 국내 여비 </t>
    <phoneticPr fontId="25" type="noConversion"/>
  </si>
  <si>
    <t>명*</t>
    <phoneticPr fontId="19" type="noConversion"/>
  </si>
  <si>
    <t xml:space="preserve">   2. 하이패스 충전</t>
    <phoneticPr fontId="25" type="noConversion"/>
  </si>
  <si>
    <t>대*</t>
    <phoneticPr fontId="19" type="noConversion"/>
  </si>
  <si>
    <t xml:space="preserve">   1. 건축영선분야</t>
    <phoneticPr fontId="19" type="noConversion"/>
  </si>
  <si>
    <t>㎡*</t>
    <phoneticPr fontId="19" type="noConversion"/>
  </si>
  <si>
    <t>식</t>
    <phoneticPr fontId="19" type="noConversion"/>
  </si>
  <si>
    <t xml:space="preserve">     - 공조기 소모품(필터 벨트 등)구입  </t>
    <phoneticPr fontId="19" type="noConversion"/>
  </si>
  <si>
    <t>대*</t>
    <phoneticPr fontId="19" type="noConversion"/>
  </si>
  <si>
    <t xml:space="preserve">   7. 시설관리소모성 자재 구입(전기,기계,미화,영선 등)</t>
    <phoneticPr fontId="19" type="noConversion"/>
  </si>
  <si>
    <t xml:space="preserve">   8. 업무용차량 유지비(유류비,수리비등 )</t>
    <phoneticPr fontId="19" type="noConversion"/>
  </si>
  <si>
    <t xml:space="preserve">   2. 업무용도서구입</t>
    <phoneticPr fontId="19" type="noConversion"/>
  </si>
  <si>
    <t xml:space="preserve">   2. 생태연못관리점검</t>
    <phoneticPr fontId="19" type="noConversion"/>
  </si>
  <si>
    <t xml:space="preserve">   3. 야외 부지 수목 조경 유지관리</t>
    <phoneticPr fontId="18" type="noConversion"/>
  </si>
  <si>
    <t xml:space="preserve">   4. 흡수식냉온수기 점검</t>
    <phoneticPr fontId="19" type="noConversion"/>
  </si>
  <si>
    <t xml:space="preserve">   4. 직원 숙소 월 임차료</t>
    <phoneticPr fontId="19" type="noConversion"/>
  </si>
  <si>
    <t xml:space="preserve">   1. 감사,자문위원회, 식음료비</t>
    <phoneticPr fontId="19" type="noConversion"/>
  </si>
  <si>
    <t xml:space="preserve"> o 자료실 서가, 열람대 구입</t>
    <phoneticPr fontId="19" type="noConversion"/>
  </si>
  <si>
    <t xml:space="preserve">   4. 현수막, 배너 구입 외</t>
    <phoneticPr fontId="19" type="noConversion"/>
  </si>
  <si>
    <t xml:space="preserve">   1. 외국어 리플렛 제작</t>
    <phoneticPr fontId="19" type="noConversion"/>
  </si>
  <si>
    <t xml:space="preserve">   2. 상설전시실 체험지 제작</t>
    <phoneticPr fontId="19" type="noConversion"/>
  </si>
  <si>
    <t>종</t>
    <phoneticPr fontId="25" type="noConversion"/>
  </si>
  <si>
    <t xml:space="preserve"> o 전시물보험가입</t>
    <phoneticPr fontId="19" type="noConversion"/>
  </si>
  <si>
    <t xml:space="preserve">   2. 전시디오라마 보완</t>
    <phoneticPr fontId="19" type="noConversion"/>
  </si>
  <si>
    <t xml:space="preserve"> o 활동지</t>
    <phoneticPr fontId="19" type="noConversion"/>
  </si>
  <si>
    <t xml:space="preserve">   1. 캠프 기간제강사(4대보험포함)</t>
    <phoneticPr fontId="25" type="noConversion"/>
  </si>
  <si>
    <t xml:space="preserve">   3. 동화구연강사</t>
    <phoneticPr fontId="19" type="noConversion"/>
  </si>
  <si>
    <t xml:space="preserve"> o 교구재 제작</t>
    <phoneticPr fontId="19" type="noConversion"/>
  </si>
  <si>
    <t xml:space="preserve">   2. 야외동물검진</t>
    <phoneticPr fontId="19" type="noConversion"/>
  </si>
  <si>
    <t xml:space="preserve">   2. 강사 수당비</t>
    <phoneticPr fontId="19" type="noConversion"/>
  </si>
  <si>
    <t xml:space="preserve"> o 행사물품 구입</t>
    <phoneticPr fontId="19" type="noConversion"/>
  </si>
  <si>
    <t xml:space="preserve"> o 자원봉사자 간담회</t>
    <phoneticPr fontId="19" type="noConversion"/>
  </si>
  <si>
    <t xml:space="preserve"> o 답사차량 임차</t>
    <phoneticPr fontId="19" type="noConversion"/>
  </si>
  <si>
    <t xml:space="preserve">   2. 교육개발,워크숍 회의</t>
    <phoneticPr fontId="19" type="noConversion"/>
  </si>
  <si>
    <t>소장품 관리</t>
    <phoneticPr fontId="25" type="noConversion"/>
  </si>
  <si>
    <t xml:space="preserve">   2. 포스관리비 등</t>
    <phoneticPr fontId="18" type="noConversion"/>
  </si>
  <si>
    <t>경기도어린이박물관</t>
    <phoneticPr fontId="19" type="noConversion"/>
  </si>
  <si>
    <t xml:space="preserve">   2. 박물관 봉투 및 종이가방 제작</t>
    <phoneticPr fontId="18" type="noConversion"/>
  </si>
  <si>
    <t xml:space="preserve">   3. 각종 자료 인쇄 및 제본</t>
    <phoneticPr fontId="18" type="noConversion"/>
  </si>
  <si>
    <t>종</t>
    <phoneticPr fontId="19" type="noConversion"/>
  </si>
  <si>
    <t xml:space="preserve"> o 건물관련보험(화재보험 등)</t>
    <phoneticPr fontId="18" type="noConversion"/>
  </si>
  <si>
    <t xml:space="preserve">   1. 관장실</t>
    <phoneticPr fontId="18" type="noConversion"/>
  </si>
  <si>
    <t xml:space="preserve">   2. 각 팀</t>
    <phoneticPr fontId="18" type="noConversion"/>
  </si>
  <si>
    <t>2</t>
    <phoneticPr fontId="19" type="noConversion"/>
  </si>
  <si>
    <t>팀*</t>
    <phoneticPr fontId="19" type="noConversion"/>
  </si>
  <si>
    <t xml:space="preserve">   1. 부가가치세</t>
    <phoneticPr fontId="19" type="noConversion"/>
  </si>
  <si>
    <t xml:space="preserve">   2. 환경개선부담금</t>
    <phoneticPr fontId="19" type="noConversion"/>
  </si>
  <si>
    <t xml:space="preserve">   3. 면허세, 주민세, 재산세 등</t>
    <phoneticPr fontId="19" type="noConversion"/>
  </si>
  <si>
    <t xml:space="preserve">   4. 학회 및 협회비 등</t>
    <phoneticPr fontId="19" type="noConversion"/>
  </si>
  <si>
    <t xml:space="preserve">   1. 시설관리소모품 (전기,설비,건축,미화 등)</t>
    <phoneticPr fontId="19" type="noConversion"/>
  </si>
  <si>
    <t xml:space="preserve">   2. 입장권제작 </t>
    <phoneticPr fontId="19" type="noConversion"/>
  </si>
  <si>
    <t>매</t>
    <phoneticPr fontId="19" type="noConversion"/>
  </si>
  <si>
    <t xml:space="preserve">   4. 전산기기 토너</t>
    <phoneticPr fontId="18" type="noConversion"/>
  </si>
  <si>
    <t xml:space="preserve">   5. 기타 업무용 문구 및 행사용 소모품구입</t>
    <phoneticPr fontId="18" type="noConversion"/>
  </si>
  <si>
    <t xml:space="preserve">   2. 상하수도요금</t>
    <phoneticPr fontId="19" type="noConversion"/>
  </si>
  <si>
    <t xml:space="preserve">   3. 가스요금</t>
    <phoneticPr fontId="18" type="noConversion"/>
  </si>
  <si>
    <t xml:space="preserve">   2. 시책업무추진비(사업추진)</t>
    <phoneticPr fontId="19" type="noConversion"/>
  </si>
  <si>
    <t>%</t>
    <phoneticPr fontId="19" type="noConversion"/>
  </si>
  <si>
    <t>11</t>
    <phoneticPr fontId="19" type="noConversion"/>
  </si>
  <si>
    <t>3</t>
    <phoneticPr fontId="19" type="noConversion"/>
  </si>
  <si>
    <t xml:space="preserve">   2. 주차료</t>
    <phoneticPr fontId="19" type="noConversion"/>
  </si>
  <si>
    <t>5</t>
    <phoneticPr fontId="19" type="noConversion"/>
  </si>
  <si>
    <t>시간*</t>
    <phoneticPr fontId="19" type="noConversion"/>
  </si>
  <si>
    <t xml:space="preserve">   3. 도로통행료</t>
    <phoneticPr fontId="19" type="noConversion"/>
  </si>
  <si>
    <t>1</t>
    <phoneticPr fontId="19" type="noConversion"/>
  </si>
  <si>
    <t xml:space="preserve">   1. 건축물 유지</t>
    <phoneticPr fontId="19" type="noConversion"/>
  </si>
  <si>
    <t xml:space="preserve">   2. 차량유지관리(차량유류및관람객 유류 등)</t>
    <phoneticPr fontId="19" type="noConversion"/>
  </si>
  <si>
    <t xml:space="preserve">   1. 정기간행물(신문 등)구독</t>
    <phoneticPr fontId="19" type="noConversion"/>
  </si>
  <si>
    <t>4</t>
    <phoneticPr fontId="19" type="noConversion"/>
  </si>
  <si>
    <t xml:space="preserve">   2. 물가자료지정기구독</t>
    <phoneticPr fontId="19" type="noConversion"/>
  </si>
  <si>
    <t>10</t>
    <phoneticPr fontId="19" type="noConversion"/>
  </si>
  <si>
    <t>종*</t>
    <phoneticPr fontId="19" type="noConversion"/>
  </si>
  <si>
    <t>지급수수료</t>
    <phoneticPr fontId="19" type="noConversion"/>
  </si>
  <si>
    <t xml:space="preserve">   1. 입장료 대행수수료(카드,문자,이메일 등)</t>
    <phoneticPr fontId="19" type="noConversion"/>
  </si>
  <si>
    <t>=</t>
    <phoneticPr fontId="18" type="noConversion"/>
  </si>
  <si>
    <t xml:space="preserve">   2. 건물시설검사수수료(엘리베이터,도시가스,소방 등)</t>
    <phoneticPr fontId="18" type="noConversion"/>
  </si>
  <si>
    <t>식*</t>
    <phoneticPr fontId="18" type="noConversion"/>
  </si>
  <si>
    <t>회</t>
    <phoneticPr fontId="18" type="noConversion"/>
  </si>
  <si>
    <t xml:space="preserve">   3. 시설용역 조달청 수수료</t>
    <phoneticPr fontId="19" type="noConversion"/>
  </si>
  <si>
    <t>건</t>
    <phoneticPr fontId="19" type="noConversion"/>
  </si>
  <si>
    <t xml:space="preserve">   4. 각종 자문료 등</t>
    <phoneticPr fontId="18" type="noConversion"/>
  </si>
  <si>
    <t>지급용역료</t>
    <phoneticPr fontId="19" type="noConversion"/>
  </si>
  <si>
    <t xml:space="preserve">   1. 사옥관리용역(순수시설:20명)</t>
    <phoneticPr fontId="19" type="noConversion"/>
  </si>
  <si>
    <t>식</t>
    <phoneticPr fontId="19" type="noConversion"/>
  </si>
  <si>
    <t xml:space="preserve">   2. 시설유지보수관리용역(보안,소방, 승강기, 통신, 소독 등)</t>
    <phoneticPr fontId="19" type="noConversion"/>
  </si>
  <si>
    <t xml:space="preserve">   3. 조경유지보수(예초, 잔디깎기, 제초, 약제살포, 동면, 사목 재식재)</t>
    <phoneticPr fontId="19" type="noConversion"/>
  </si>
  <si>
    <t>지급임차료</t>
    <phoneticPr fontId="19" type="noConversion"/>
  </si>
  <si>
    <t xml:space="preserve">   1. 업무용차량 임차료</t>
    <phoneticPr fontId="19" type="noConversion"/>
  </si>
  <si>
    <t>1</t>
    <phoneticPr fontId="19" type="noConversion"/>
  </si>
  <si>
    <t xml:space="preserve">   2. 사무용복합기, 정수기 등 임차료</t>
    <phoneticPr fontId="19" type="noConversion"/>
  </si>
  <si>
    <t>4</t>
    <phoneticPr fontId="19" type="noConversion"/>
  </si>
  <si>
    <t>직책업무추진비</t>
    <phoneticPr fontId="19" type="noConversion"/>
  </si>
  <si>
    <t xml:space="preserve">   1. 관장</t>
    <phoneticPr fontId="19" type="noConversion"/>
  </si>
  <si>
    <t xml:space="preserve">   2. 팀장</t>
    <phoneticPr fontId="19" type="noConversion"/>
  </si>
  <si>
    <t>2</t>
    <phoneticPr fontId="19" type="noConversion"/>
  </si>
  <si>
    <t>통신비</t>
    <phoneticPr fontId="19" type="noConversion"/>
  </si>
  <si>
    <t xml:space="preserve">   1. 전화요금 및 인터넷 회선사용료</t>
    <phoneticPr fontId="19" type="noConversion"/>
  </si>
  <si>
    <t xml:space="preserve">   2. 우편물 발송</t>
    <phoneticPr fontId="19" type="noConversion"/>
  </si>
  <si>
    <t xml:space="preserve">   3. 케이블TV사용료</t>
    <phoneticPr fontId="19" type="noConversion"/>
  </si>
  <si>
    <t xml:space="preserve">   4. 스마트 패드 통신비</t>
    <phoneticPr fontId="19" type="noConversion"/>
  </si>
  <si>
    <t>회의운영비</t>
    <phoneticPr fontId="19" type="noConversion"/>
  </si>
  <si>
    <t xml:space="preserve"> o 감사, 자문위원회의 등 식음료비</t>
    <phoneticPr fontId="18" type="noConversion"/>
  </si>
  <si>
    <t>고정자산</t>
    <phoneticPr fontId="24" type="noConversion"/>
  </si>
  <si>
    <t>자산구입비</t>
    <phoneticPr fontId="19" type="noConversion"/>
  </si>
  <si>
    <t>식</t>
    <phoneticPr fontId="18" type="noConversion"/>
  </si>
  <si>
    <t>학술연구</t>
    <phoneticPr fontId="19" type="noConversion"/>
  </si>
  <si>
    <t>리소스센터 운영</t>
    <phoneticPr fontId="19" type="noConversion"/>
  </si>
  <si>
    <t>인건비</t>
    <phoneticPr fontId="19" type="noConversion"/>
  </si>
  <si>
    <t xml:space="preserve">   1. 교구 대여시스템 운영 보조인력</t>
    <phoneticPr fontId="19" type="noConversion"/>
  </si>
  <si>
    <t xml:space="preserve">   2. 교구 정리 및 데이터 통계</t>
    <phoneticPr fontId="19" type="noConversion"/>
  </si>
  <si>
    <t xml:space="preserve">   1. 전시도록 제작</t>
    <phoneticPr fontId="19" type="noConversion"/>
  </si>
  <si>
    <t xml:space="preserve">   2. 교육자료집 제작</t>
    <phoneticPr fontId="19" type="noConversion"/>
  </si>
  <si>
    <t xml:space="preserve">   1. 교종별 교구 구성품 구입</t>
    <phoneticPr fontId="19" type="noConversion"/>
  </si>
  <si>
    <t xml:space="preserve">   2. 대여 관련 소모품 구입</t>
    <phoneticPr fontId="19" type="noConversion"/>
  </si>
  <si>
    <t>지급용역료</t>
    <phoneticPr fontId="19" type="noConversion"/>
  </si>
  <si>
    <t xml:space="preserve">   1. 시스템 유지보수</t>
    <phoneticPr fontId="19" type="noConversion"/>
  </si>
  <si>
    <t xml:space="preserve">   2. 전시 및 교육 동영상 자료 제작</t>
    <phoneticPr fontId="19" type="noConversion"/>
  </si>
  <si>
    <t xml:space="preserve"> o 운영 평가 회의</t>
    <phoneticPr fontId="19" type="noConversion"/>
  </si>
  <si>
    <t>전시운영</t>
    <phoneticPr fontId="19" type="noConversion"/>
  </si>
  <si>
    <t>전시장 운영 관리</t>
    <phoneticPr fontId="19" type="noConversion"/>
  </si>
  <si>
    <t xml:space="preserve"> o 체험활동지 인쇄</t>
    <phoneticPr fontId="19" type="noConversion"/>
  </si>
  <si>
    <t xml:space="preserve"> o 전시장 운영물품 구입</t>
    <phoneticPr fontId="19" type="noConversion"/>
  </si>
  <si>
    <t>갤러리*</t>
    <phoneticPr fontId="19" type="noConversion"/>
  </si>
  <si>
    <t xml:space="preserve"> o 국내여비</t>
    <phoneticPr fontId="19" type="noConversion"/>
  </si>
  <si>
    <t xml:space="preserve">   1. 전시소품 제작 구입(전시물품, 패브릭 의상 등)</t>
    <phoneticPr fontId="19" type="noConversion"/>
  </si>
  <si>
    <t>개월*</t>
    <phoneticPr fontId="19" type="noConversion"/>
  </si>
  <si>
    <t xml:space="preserve">   2. 전시환경 유지관리(도장, 사인물 등)</t>
    <phoneticPr fontId="19" type="noConversion"/>
  </si>
  <si>
    <t xml:space="preserve">   3. 체험전시물, 예술작품 유지보수</t>
    <phoneticPr fontId="19" type="noConversion"/>
  </si>
  <si>
    <t xml:space="preserve">   4. 청결 및 위생관리(패브릭소품 세탁, 소독, 멸균, 전체 청소)</t>
    <phoneticPr fontId="19" type="noConversion"/>
  </si>
  <si>
    <t xml:space="preserve"> o 국내외 정기간행물 구독 및 참고자료 구입</t>
    <phoneticPr fontId="19" type="noConversion"/>
  </si>
  <si>
    <t xml:space="preserve"> o 자료 번역료 등</t>
    <phoneticPr fontId="19" type="noConversion"/>
  </si>
  <si>
    <t>통신비</t>
    <phoneticPr fontId="19" type="noConversion"/>
  </si>
  <si>
    <t xml:space="preserve"> o 로비 작품 통신료 등</t>
    <phoneticPr fontId="19" type="noConversion"/>
  </si>
  <si>
    <t xml:space="preserve"> o 전시회의비</t>
    <phoneticPr fontId="19" type="noConversion"/>
  </si>
  <si>
    <t>전시장 인력 운영</t>
    <phoneticPr fontId="19" type="noConversion"/>
  </si>
  <si>
    <t xml:space="preserve"> o 운영스텝 근무복 구매</t>
    <phoneticPr fontId="19" type="noConversion"/>
  </si>
  <si>
    <t>식*</t>
    <phoneticPr fontId="19" type="noConversion"/>
  </si>
  <si>
    <t xml:space="preserve">   1. 전시장 안전인력 용역(12명)</t>
    <phoneticPr fontId="19" type="noConversion"/>
  </si>
  <si>
    <t xml:space="preserve">   2. 테크니션용역(1명)</t>
    <phoneticPr fontId="19" type="noConversion"/>
  </si>
  <si>
    <t xml:space="preserve"> o 운영회의비</t>
    <phoneticPr fontId="19" type="noConversion"/>
  </si>
  <si>
    <t>교육프로그램</t>
    <phoneticPr fontId="19" type="noConversion"/>
  </si>
  <si>
    <t xml:space="preserve"> o 교육연구원(1명)</t>
    <phoneticPr fontId="19" type="noConversion"/>
  </si>
  <si>
    <t xml:space="preserve"> o 교육활동지 및 결과물, 홍보물 등 제작</t>
    <phoneticPr fontId="19" type="noConversion"/>
  </si>
  <si>
    <t xml:space="preserve">   1. 교육재료 및 물품 구입(가족,영유아,단체,특별)</t>
    <phoneticPr fontId="19" type="noConversion"/>
  </si>
  <si>
    <t xml:space="preserve"> =</t>
    <phoneticPr fontId="19" type="noConversion"/>
  </si>
  <si>
    <t xml:space="preserve">   1 .주말가족프로그램 주강사</t>
    <phoneticPr fontId="19" type="noConversion"/>
  </si>
  <si>
    <t xml:space="preserve">   2. 주말가족프로그램 보조강사</t>
    <phoneticPr fontId="19" type="noConversion"/>
  </si>
  <si>
    <t xml:space="preserve">   3. 영유아프로그램 주강사</t>
    <phoneticPr fontId="19" type="noConversion"/>
  </si>
  <si>
    <t xml:space="preserve">   4. 영유아프로그램 보조강사</t>
    <phoneticPr fontId="19" type="noConversion"/>
  </si>
  <si>
    <t xml:space="preserve">   5. 특별 및 단체프로그램 주강사</t>
    <phoneticPr fontId="19" type="noConversion"/>
  </si>
  <si>
    <t xml:space="preserve">   6. 특별 및 단체프로그램 보조강사</t>
    <phoneticPr fontId="19" type="noConversion"/>
  </si>
  <si>
    <t xml:space="preserve"> o 특별프로그램 운영</t>
    <phoneticPr fontId="19" type="noConversion"/>
  </si>
  <si>
    <t xml:space="preserve"> o 운영 회의비 </t>
    <phoneticPr fontId="19" type="noConversion"/>
  </si>
  <si>
    <t xml:space="preserve"> o 결과자료집 및 활동지 제작 등</t>
    <phoneticPr fontId="19" type="noConversion"/>
  </si>
  <si>
    <t xml:space="preserve"> o 활동재료 및 교구재 등 구입</t>
    <phoneticPr fontId="19" type="noConversion"/>
  </si>
  <si>
    <t xml:space="preserve"> o 프로그램 기획관련 국내 출장 </t>
    <phoneticPr fontId="19" type="noConversion"/>
  </si>
  <si>
    <t xml:space="preserve"> =</t>
    <phoneticPr fontId="19" type="noConversion"/>
  </si>
  <si>
    <t>지급수수료</t>
    <phoneticPr fontId="19" type="noConversion"/>
  </si>
  <si>
    <t xml:space="preserve">   1. 전문가 프로그램 주강사료 </t>
    <phoneticPr fontId="19" type="noConversion"/>
  </si>
  <si>
    <t xml:space="preserve">   2. 프로그램 보조강사료 </t>
    <phoneticPr fontId="19" type="noConversion"/>
  </si>
  <si>
    <t xml:space="preserve">   3. 기획자문료 </t>
    <phoneticPr fontId="19" type="noConversion"/>
  </si>
  <si>
    <t>원*</t>
    <phoneticPr fontId="19" type="noConversion"/>
  </si>
  <si>
    <t>회</t>
    <phoneticPr fontId="19" type="noConversion"/>
  </si>
  <si>
    <t>지급용역료</t>
    <phoneticPr fontId="19" type="noConversion"/>
  </si>
  <si>
    <t xml:space="preserve"> o 교육전시 공간 설치 및 철거</t>
    <phoneticPr fontId="19" type="noConversion"/>
  </si>
  <si>
    <t>회의운영비</t>
    <phoneticPr fontId="19" type="noConversion"/>
  </si>
  <si>
    <t xml:space="preserve"> o 기획 및 운영 회의</t>
    <phoneticPr fontId="19" type="noConversion"/>
  </si>
  <si>
    <t>명*</t>
    <phoneticPr fontId="19" type="noConversion"/>
  </si>
  <si>
    <t>회</t>
    <phoneticPr fontId="19" type="noConversion"/>
  </si>
  <si>
    <t>에코아트 프로그램</t>
    <phoneticPr fontId="19" type="noConversion"/>
  </si>
  <si>
    <t>소모품비</t>
    <phoneticPr fontId="19" type="noConversion"/>
  </si>
  <si>
    <t xml:space="preserve"> o 프로그램 운영 재료 및 소모품 등 </t>
    <phoneticPr fontId="19" type="noConversion"/>
  </si>
  <si>
    <t>원*</t>
    <phoneticPr fontId="19" type="noConversion"/>
  </si>
  <si>
    <t>식</t>
    <phoneticPr fontId="19" type="noConversion"/>
  </si>
  <si>
    <t>여비교통비</t>
    <phoneticPr fontId="19" type="noConversion"/>
  </si>
  <si>
    <t xml:space="preserve"> =</t>
    <phoneticPr fontId="19" type="noConversion"/>
  </si>
  <si>
    <t>지급수수료</t>
    <phoneticPr fontId="19" type="noConversion"/>
  </si>
  <si>
    <t>지급임차료</t>
    <phoneticPr fontId="19" type="noConversion"/>
  </si>
  <si>
    <t>회*</t>
    <phoneticPr fontId="19" type="noConversion"/>
  </si>
  <si>
    <t>행사운영비</t>
    <phoneticPr fontId="19" type="noConversion"/>
  </si>
  <si>
    <t>회의운영비</t>
    <phoneticPr fontId="19" type="noConversion"/>
  </si>
  <si>
    <t>특별교육 프로그램</t>
    <phoneticPr fontId="19" type="noConversion"/>
  </si>
  <si>
    <t>도서인쇄비</t>
    <phoneticPr fontId="19" type="noConversion"/>
  </si>
  <si>
    <t xml:space="preserve"> o 계</t>
    <phoneticPr fontId="19" type="noConversion"/>
  </si>
  <si>
    <t>부</t>
    <phoneticPr fontId="19" type="noConversion"/>
  </si>
  <si>
    <t>지급용역료</t>
    <phoneticPr fontId="19" type="noConversion"/>
  </si>
  <si>
    <t>인*</t>
    <phoneticPr fontId="19" type="noConversion"/>
  </si>
  <si>
    <t>학령기 준비 프로그램</t>
    <phoneticPr fontId="19" type="noConversion"/>
  </si>
  <si>
    <t xml:space="preserve"> o 안내문(활동지) 등 인쇄</t>
    <phoneticPr fontId="19" type="noConversion"/>
  </si>
  <si>
    <t xml:space="preserve"> o 프로그램 재료 및 운영물품 구입</t>
    <phoneticPr fontId="19" type="noConversion"/>
  </si>
  <si>
    <t xml:space="preserve">   1. 보조강사비</t>
    <phoneticPr fontId="19" type="noConversion"/>
  </si>
  <si>
    <t xml:space="preserve">   2. 프로그램 진행 주강사비</t>
    <phoneticPr fontId="19" type="noConversion"/>
  </si>
  <si>
    <t>전시교육개발 및 역량강화</t>
    <phoneticPr fontId="19" type="noConversion"/>
  </si>
  <si>
    <t xml:space="preserve"> o 역량강화 직원해외연수</t>
    <phoneticPr fontId="19" type="noConversion"/>
  </si>
  <si>
    <t>관람객서비스</t>
    <phoneticPr fontId="19" type="noConversion"/>
  </si>
  <si>
    <t xml:space="preserve">박물관 종합홍보 </t>
    <phoneticPr fontId="19" type="noConversion"/>
  </si>
  <si>
    <t xml:space="preserve"> o 고객만족도 설문조사 보조인력 등</t>
    <phoneticPr fontId="19" type="noConversion"/>
  </si>
  <si>
    <t>일</t>
    <phoneticPr fontId="19" type="noConversion"/>
  </si>
  <si>
    <t xml:space="preserve"> o 홍보 리플릿, 브로슈어, 사인물 등 홍보물 제작</t>
    <phoneticPr fontId="19" type="noConversion"/>
  </si>
  <si>
    <t>종*</t>
    <phoneticPr fontId="19" type="noConversion"/>
  </si>
  <si>
    <t xml:space="preserve"> o 관련 물품, 소프트웨어 구입 등</t>
    <phoneticPr fontId="19" type="noConversion"/>
  </si>
  <si>
    <t xml:space="preserve">지급수수료 </t>
    <phoneticPr fontId="19" type="noConversion"/>
  </si>
  <si>
    <t>식*</t>
    <phoneticPr fontId="19" type="noConversion"/>
  </si>
  <si>
    <t>건</t>
    <phoneticPr fontId="19" type="noConversion"/>
  </si>
  <si>
    <t xml:space="preserve"> o 크리스마스 환경 구성 등</t>
    <phoneticPr fontId="19" type="noConversion"/>
  </si>
  <si>
    <t xml:space="preserve">통신비 </t>
    <phoneticPr fontId="19" type="noConversion"/>
  </si>
  <si>
    <t xml:space="preserve"> o 홍보물 발송</t>
    <phoneticPr fontId="19" type="noConversion"/>
  </si>
  <si>
    <t xml:space="preserve"> o 홍보용 기념품 구입비</t>
    <phoneticPr fontId="19" type="noConversion"/>
  </si>
  <si>
    <t xml:space="preserve"> o 도민연계 협력사업 및 고객서비스 이벤트 등</t>
    <phoneticPr fontId="19" type="noConversion"/>
  </si>
  <si>
    <t xml:space="preserve">회의운영비 </t>
    <phoneticPr fontId="19" type="noConversion"/>
  </si>
  <si>
    <t xml:space="preserve">어린이자문단 운영 </t>
    <phoneticPr fontId="19" type="noConversion"/>
  </si>
  <si>
    <t xml:space="preserve"> o 결과자료집 제작</t>
    <phoneticPr fontId="19" type="noConversion"/>
  </si>
  <si>
    <t xml:space="preserve">  1. 프로그램운영재료</t>
    <phoneticPr fontId="19" type="noConversion"/>
  </si>
  <si>
    <t xml:space="preserve">  2. 어린이자문단 단체 티셔츠 및 모자(어린이, 인솔자)</t>
    <phoneticPr fontId="19" type="noConversion"/>
  </si>
  <si>
    <t>세트</t>
    <phoneticPr fontId="19" type="noConversion"/>
  </si>
  <si>
    <t xml:space="preserve">여비교통비 </t>
    <phoneticPr fontId="19" type="noConversion"/>
  </si>
  <si>
    <t xml:space="preserve"> o 국내여비</t>
    <phoneticPr fontId="19" type="noConversion"/>
  </si>
  <si>
    <t xml:space="preserve">  1. 주강사</t>
    <phoneticPr fontId="19" type="noConversion"/>
  </si>
  <si>
    <t xml:space="preserve">  2. 보조강사</t>
    <phoneticPr fontId="19" type="noConversion"/>
  </si>
  <si>
    <t xml:space="preserve">  1. 자문단발대식홍보현수막</t>
    <phoneticPr fontId="19" type="noConversion"/>
  </si>
  <si>
    <t>종</t>
    <phoneticPr fontId="19" type="noConversion"/>
  </si>
  <si>
    <t xml:space="preserve">  2. 발대식 및 프로그램 운영</t>
    <phoneticPr fontId="19" type="noConversion"/>
  </si>
  <si>
    <t xml:space="preserve">  3. 식음료</t>
    <phoneticPr fontId="19" type="noConversion"/>
  </si>
  <si>
    <t xml:space="preserve">문화자원봉사 운영 </t>
    <phoneticPr fontId="19" type="noConversion"/>
  </si>
  <si>
    <t xml:space="preserve">인건비 </t>
    <phoneticPr fontId="19" type="noConversion"/>
  </si>
  <si>
    <t>보험료</t>
    <phoneticPr fontId="19" type="noConversion"/>
  </si>
  <si>
    <t xml:space="preserve"> o 행사 차량 보험비</t>
    <phoneticPr fontId="19" type="noConversion"/>
  </si>
  <si>
    <t>=</t>
    <phoneticPr fontId="19" type="noConversion"/>
  </si>
  <si>
    <t xml:space="preserve"> o 자원봉사자실 운영소모품</t>
    <phoneticPr fontId="19" type="noConversion"/>
  </si>
  <si>
    <t>유지관리비</t>
    <phoneticPr fontId="19" type="noConversion"/>
  </si>
  <si>
    <t xml:space="preserve"> o 유니폼세탁비</t>
    <phoneticPr fontId="19" type="noConversion"/>
  </si>
  <si>
    <t>벌</t>
    <phoneticPr fontId="19" type="noConversion"/>
  </si>
  <si>
    <t xml:space="preserve"> o 교육강사비</t>
    <phoneticPr fontId="19" type="noConversion"/>
  </si>
  <si>
    <t>명</t>
    <phoneticPr fontId="19" type="noConversion"/>
  </si>
  <si>
    <t xml:space="preserve"> o 근무복 제작 및 구입</t>
    <phoneticPr fontId="19" type="noConversion"/>
  </si>
  <si>
    <t xml:space="preserve">  1. 보건교사(1명)</t>
    <phoneticPr fontId="19" type="noConversion"/>
  </si>
  <si>
    <t>개월</t>
    <phoneticPr fontId="19" type="noConversion"/>
  </si>
  <si>
    <t xml:space="preserve">  2. 휴일대체인력(2명)</t>
    <phoneticPr fontId="19" type="noConversion"/>
  </si>
  <si>
    <t xml:space="preserve"> o 약품구입 등 보건실 물품 구입</t>
    <phoneticPr fontId="19" type="noConversion"/>
  </si>
  <si>
    <t>예술공연 운영</t>
    <phoneticPr fontId="19" type="noConversion"/>
  </si>
  <si>
    <t>인건비</t>
    <phoneticPr fontId="18" type="noConversion"/>
  </si>
  <si>
    <t xml:space="preserve">  1. 아트샵 MD(1명)</t>
    <phoneticPr fontId="19" type="noConversion"/>
  </si>
  <si>
    <t xml:space="preserve">  2. 휴일대체인력 등 판매보조원(2명)</t>
    <phoneticPr fontId="19" type="noConversion"/>
  </si>
  <si>
    <t xml:space="preserve"> o 소모품 구입  </t>
    <phoneticPr fontId="19" type="noConversion"/>
  </si>
  <si>
    <t xml:space="preserve"> o 운영 관련 출장비</t>
    <phoneticPr fontId="19" type="noConversion"/>
  </si>
  <si>
    <t>재료비</t>
    <phoneticPr fontId="19" type="noConversion"/>
  </si>
  <si>
    <t xml:space="preserve"> o 상품구입비</t>
    <phoneticPr fontId="19" type="noConversion"/>
  </si>
  <si>
    <t xml:space="preserve"> o 문화상품 개발 및 공간 재배치 등</t>
    <phoneticPr fontId="19" type="noConversion"/>
  </si>
  <si>
    <t xml:space="preserve"> o 포스 및 장비 임차료 등</t>
    <phoneticPr fontId="19" type="noConversion"/>
  </si>
  <si>
    <t>통신비</t>
    <phoneticPr fontId="19" type="noConversion"/>
  </si>
  <si>
    <t xml:space="preserve"> o 우편료등 통신비</t>
    <phoneticPr fontId="19" type="noConversion"/>
  </si>
  <si>
    <t xml:space="preserve"> o 운영 관련 회의비 등</t>
    <phoneticPr fontId="19" type="noConversion"/>
  </si>
  <si>
    <t>관람환경 개선</t>
    <phoneticPr fontId="19" type="noConversion"/>
  </si>
  <si>
    <t>인건비</t>
    <phoneticPr fontId="19" type="noConversion"/>
  </si>
  <si>
    <t>급여</t>
    <phoneticPr fontId="19" type="noConversion"/>
  </si>
  <si>
    <t>ㅇ계</t>
    <phoneticPr fontId="19" type="noConversion"/>
  </si>
  <si>
    <t xml:space="preserve">   1. 기준연봉액</t>
    <phoneticPr fontId="19" type="noConversion"/>
  </si>
  <si>
    <t xml:space="preserve"> </t>
    <phoneticPr fontId="18" type="noConversion"/>
  </si>
  <si>
    <t xml:space="preserve"> </t>
    <phoneticPr fontId="19" type="noConversion"/>
  </si>
  <si>
    <t>–직원</t>
    <phoneticPr fontId="19" type="noConversion"/>
  </si>
  <si>
    <t>12</t>
    <phoneticPr fontId="19" type="noConversion"/>
  </si>
  <si>
    <t>명*</t>
    <phoneticPr fontId="19" type="noConversion"/>
  </si>
  <si>
    <t>원*</t>
    <phoneticPr fontId="19" type="noConversion"/>
  </si>
  <si>
    <t>월</t>
    <phoneticPr fontId="19" type="noConversion"/>
  </si>
  <si>
    <t>=</t>
    <phoneticPr fontId="19" type="noConversion"/>
  </si>
  <si>
    <t xml:space="preserve">   2. 부가급여(교통비+정액급식비+자녀학비보조수당+가족수당+초과근무수당 등 포함)</t>
    <phoneticPr fontId="19" type="noConversion"/>
  </si>
  <si>
    <t xml:space="preserve">   3. 경영평가 성과급</t>
    <phoneticPr fontId="19" type="noConversion"/>
  </si>
  <si>
    <t>식</t>
    <phoneticPr fontId="19" type="noConversion"/>
  </si>
  <si>
    <t>퇴직급여</t>
    <phoneticPr fontId="19" type="noConversion"/>
  </si>
  <si>
    <t>ㅇ 직원 퇴직급여</t>
    <phoneticPr fontId="19" type="noConversion"/>
  </si>
  <si>
    <t>원 /</t>
    <phoneticPr fontId="19" type="noConversion"/>
  </si>
  <si>
    <t xml:space="preserve">* </t>
    <phoneticPr fontId="18" type="noConversion"/>
  </si>
  <si>
    <t>복리후생비(급여)</t>
    <phoneticPr fontId="19" type="noConversion"/>
  </si>
  <si>
    <t>o 계</t>
    <phoneticPr fontId="19" type="noConversion"/>
  </si>
  <si>
    <t xml:space="preserve">   1. 4대보험 부담금</t>
    <phoneticPr fontId="19" type="noConversion"/>
  </si>
  <si>
    <t xml:space="preserve">   2. 선택적 복지제도 운영</t>
    <phoneticPr fontId="19" type="noConversion"/>
  </si>
  <si>
    <t>명</t>
    <phoneticPr fontId="19" type="noConversion"/>
  </si>
  <si>
    <t>회원제 시스템 구축 사업기간 연장에 따른 준공금 이월</t>
  </si>
  <si>
    <t xml:space="preserve">                         (단위: 원)</t>
    <phoneticPr fontId="31" type="noConversion"/>
  </si>
  <si>
    <t>분  류</t>
    <phoneticPr fontId="31" type="noConversion"/>
  </si>
  <si>
    <t>이월사유</t>
    <phoneticPr fontId="31" type="noConversion"/>
  </si>
  <si>
    <t>장</t>
    <phoneticPr fontId="31" type="noConversion"/>
  </si>
  <si>
    <t>관</t>
    <phoneticPr fontId="31" type="noConversion"/>
  </si>
  <si>
    <t>항</t>
    <phoneticPr fontId="31" type="noConversion"/>
  </si>
  <si>
    <t>목</t>
    <phoneticPr fontId="31" type="noConversion"/>
  </si>
  <si>
    <t>세</t>
    <phoneticPr fontId="31" type="noConversion"/>
  </si>
  <si>
    <t>정책실 소 계</t>
    <phoneticPr fontId="31" type="noConversion"/>
  </si>
  <si>
    <t>정책실</t>
    <phoneticPr fontId="31" type="noConversion"/>
  </si>
  <si>
    <t>문화예술
네트워크 확산</t>
    <phoneticPr fontId="31" type="noConversion"/>
  </si>
  <si>
    <t>경기문화교류
협력네트워크</t>
    <phoneticPr fontId="31" type="noConversion"/>
  </si>
  <si>
    <t>소모품비</t>
    <phoneticPr fontId="31" type="noConversion"/>
  </si>
  <si>
    <t>지급수수료</t>
    <phoneticPr fontId="31" type="noConversion"/>
  </si>
  <si>
    <t>행사운영비</t>
    <phoneticPr fontId="31" type="noConversion"/>
  </si>
  <si>
    <t>문화재단
협의체 운영</t>
    <phoneticPr fontId="31" type="noConversion"/>
  </si>
  <si>
    <t>여비교통비
(국비매칭)</t>
    <phoneticPr fontId="31" type="noConversion"/>
  </si>
  <si>
    <t>산하기관
노후화 개선
사업</t>
    <phoneticPr fontId="31" type="noConversion"/>
  </si>
  <si>
    <t>노후시설
개보수</t>
    <phoneticPr fontId="31" type="noConversion"/>
  </si>
  <si>
    <t>지급용역료</t>
    <phoneticPr fontId="31" type="noConversion"/>
  </si>
  <si>
    <t>박물관미술관
통합운영</t>
    <phoneticPr fontId="31" type="noConversion"/>
  </si>
  <si>
    <t>경영본부 소 계</t>
    <phoneticPr fontId="31" type="noConversion"/>
  </si>
  <si>
    <t>경영본부</t>
    <phoneticPr fontId="31" type="noConversion"/>
  </si>
  <si>
    <t>기획조정팀</t>
    <phoneticPr fontId="31" type="noConversion"/>
  </si>
  <si>
    <t>재단 20주년
기념사업</t>
    <phoneticPr fontId="31" type="noConversion"/>
  </si>
  <si>
    <t>인지도 및
이미지 강화</t>
    <phoneticPr fontId="31" type="noConversion"/>
  </si>
  <si>
    <t xml:space="preserve">2차에 걸친 공모지원 결과 적격자가 없어 내부 기획 전환 운영에 따른 사업 기간 연장 </t>
    <phoneticPr fontId="31" type="noConversion"/>
  </si>
  <si>
    <t>경영기능 개선</t>
    <phoneticPr fontId="31" type="noConversion"/>
  </si>
  <si>
    <t>재단 및 소속
기관 평가</t>
    <phoneticPr fontId="31" type="noConversion"/>
  </si>
  <si>
    <t>업무 특성상 각 부서별 성과 집계 및 보고가 완료되는 1월에 심의가 진행</t>
    <phoneticPr fontId="31" type="noConversion"/>
  </si>
  <si>
    <t>회의운영비</t>
    <phoneticPr fontId="31" type="noConversion"/>
  </si>
  <si>
    <t>미디어
마케팅팀</t>
    <phoneticPr fontId="31" type="noConversion"/>
  </si>
  <si>
    <t>문화예술
언론연계</t>
    <phoneticPr fontId="31" type="noConversion"/>
  </si>
  <si>
    <t>경기유라시아
프로젝트</t>
    <phoneticPr fontId="31" type="noConversion"/>
  </si>
  <si>
    <t>박물관이
살아있다</t>
    <phoneticPr fontId="31" type="noConversion"/>
  </si>
  <si>
    <t>경기도 대표
소리를 찾아서</t>
    <phoneticPr fontId="31" type="noConversion"/>
  </si>
  <si>
    <t>경영본부 (외부재원) 소 계</t>
    <phoneticPr fontId="31" type="noConversion"/>
  </si>
  <si>
    <t>2017 제야행사</t>
    <phoneticPr fontId="31" type="noConversion"/>
  </si>
  <si>
    <t>지급용역료</t>
    <phoneticPr fontId="31" type="noConversion"/>
  </si>
  <si>
    <t>행사일(2017.12.31.~2018.01.01.)에 따른 용역 종료 후 대금 지급</t>
    <phoneticPr fontId="31" type="noConversion"/>
  </si>
  <si>
    <t>문화예술본부 소 계</t>
    <phoneticPr fontId="31" type="noConversion"/>
  </si>
  <si>
    <t>문예진흥팀</t>
    <phoneticPr fontId="31" type="noConversion"/>
  </si>
  <si>
    <t>이슈발굴 및
기획협력사업</t>
    <phoneticPr fontId="31" type="noConversion"/>
  </si>
  <si>
    <t>지역문화
예술활성화</t>
    <phoneticPr fontId="31" type="noConversion"/>
  </si>
  <si>
    <t>인건비</t>
    <phoneticPr fontId="31" type="noConversion"/>
  </si>
  <si>
    <t>소모품비</t>
    <phoneticPr fontId="31" type="noConversion"/>
  </si>
  <si>
    <t>여비교통비</t>
    <phoneticPr fontId="31" type="noConversion"/>
  </si>
  <si>
    <t>유지관리비</t>
    <phoneticPr fontId="31" type="noConversion"/>
  </si>
  <si>
    <t>지급수수료</t>
    <phoneticPr fontId="31" type="noConversion"/>
  </si>
  <si>
    <t>지급임차료</t>
    <phoneticPr fontId="31" type="noConversion"/>
  </si>
  <si>
    <t>회의운영비</t>
    <phoneticPr fontId="31" type="noConversion"/>
  </si>
  <si>
    <t>지역문화팀</t>
    <phoneticPr fontId="31" type="noConversion"/>
  </si>
  <si>
    <t>생활문화
기반조성</t>
    <phoneticPr fontId="31" type="noConversion"/>
  </si>
  <si>
    <t>생활문화정책
연구개발</t>
    <phoneticPr fontId="31" type="noConversion"/>
  </si>
  <si>
    <t>지원비</t>
    <phoneticPr fontId="31" type="noConversion"/>
  </si>
  <si>
    <t>도서인쇄비</t>
    <phoneticPr fontId="31" type="noConversion"/>
  </si>
  <si>
    <t>결과 자료집 및 파일럿 영상 제작
원도심 문화재생사업 컨설팅 평가 필요</t>
    <phoneticPr fontId="31" type="noConversion"/>
  </si>
  <si>
    <t>문화사업팀</t>
    <phoneticPr fontId="31" type="noConversion"/>
  </si>
  <si>
    <t>경기천년사업</t>
    <phoneticPr fontId="31" type="noConversion"/>
  </si>
  <si>
    <t>경기천년
플랫폼구축
운영</t>
    <phoneticPr fontId="31" type="noConversion"/>
  </si>
  <si>
    <t>홍보비</t>
    <phoneticPr fontId="31" type="noConversion"/>
  </si>
  <si>
    <t>경기천년
사업비</t>
    <phoneticPr fontId="31" type="noConversion"/>
  </si>
  <si>
    <t>미래스마트
서비스구축</t>
    <phoneticPr fontId="31" type="noConversion"/>
  </si>
  <si>
    <t>경기컬쳐
빅데이터경영
구축</t>
    <phoneticPr fontId="31" type="noConversion"/>
  </si>
  <si>
    <t>경기도
문화유산
세계화</t>
    <phoneticPr fontId="31" type="noConversion"/>
  </si>
  <si>
    <t>경기 문화예술
온라인서비스
 기반구축</t>
    <phoneticPr fontId="31" type="noConversion"/>
  </si>
  <si>
    <t>온라인 콘텐츠 플랫폼 개발 보완 시안에 대한 추가 개발</t>
    <phoneticPr fontId="31" type="noConversion"/>
  </si>
  <si>
    <t>플랫폼 런칭에 따른 내 외부 사용자 교육행사 진행</t>
    <phoneticPr fontId="31" type="noConversion"/>
  </si>
  <si>
    <t>스마트경영
학술연구</t>
    <phoneticPr fontId="31" type="noConversion"/>
  </si>
  <si>
    <t>회원제 및
CRM시스템
구축</t>
    <phoneticPr fontId="31" type="noConversion"/>
  </si>
  <si>
    <t>회원제 시스템 구축 사업기간 연장에 따른 준공금 이월</t>
    <phoneticPr fontId="31" type="noConversion"/>
  </si>
  <si>
    <t>뮤지엄파크
편의시설 개선</t>
    <phoneticPr fontId="31" type="noConversion"/>
  </si>
  <si>
    <t>문화예술본부(외부재원) 소 계</t>
    <phoneticPr fontId="31" type="noConversion"/>
  </si>
  <si>
    <t>문예진흥팀</t>
    <phoneticPr fontId="31" type="noConversion"/>
  </si>
  <si>
    <t>경기문화예술교육지원
센터사업</t>
    <phoneticPr fontId="31" type="noConversion"/>
  </si>
  <si>
    <t>매개자발굴
육성기획사업</t>
    <phoneticPr fontId="31" type="noConversion"/>
  </si>
  <si>
    <t>도서인쇄비</t>
    <phoneticPr fontId="31" type="noConversion"/>
  </si>
  <si>
    <t>비평연구 및
교육콘텐츠
강화</t>
    <phoneticPr fontId="31" type="noConversion"/>
  </si>
  <si>
    <t>홍보 및
아카이빙</t>
    <phoneticPr fontId="31" type="noConversion"/>
  </si>
  <si>
    <t>지역문화팀</t>
    <phoneticPr fontId="31" type="noConversion"/>
  </si>
  <si>
    <t>꿈다락토요
문화학교</t>
    <phoneticPr fontId="31" type="noConversion"/>
  </si>
  <si>
    <t>지역특성화
지원사업</t>
    <phoneticPr fontId="31" type="noConversion"/>
  </si>
  <si>
    <t>문화누리</t>
    <phoneticPr fontId="31" type="noConversion"/>
  </si>
  <si>
    <t>문화누리
카드사업</t>
    <phoneticPr fontId="31" type="noConversion"/>
  </si>
  <si>
    <t>12월 문화누리카드 결제대금이 1월 청구됨에 따라 카드사업비 명시이월</t>
    <phoneticPr fontId="31" type="noConversion"/>
  </si>
  <si>
    <t>서울농생대
문화공간
운영</t>
    <phoneticPr fontId="31" type="noConversion"/>
  </si>
  <si>
    <t>공간운영</t>
    <phoneticPr fontId="31" type="noConversion"/>
  </si>
  <si>
    <t>부서운영비</t>
    <phoneticPr fontId="31" type="noConversion"/>
  </si>
  <si>
    <t>수도광열비</t>
    <phoneticPr fontId="31" type="noConversion"/>
  </si>
  <si>
    <t>여비교통비</t>
    <phoneticPr fontId="31" type="noConversion"/>
  </si>
  <si>
    <t>유지관리비</t>
    <phoneticPr fontId="31" type="noConversion"/>
  </si>
  <si>
    <t>지급임차료</t>
    <phoneticPr fontId="31" type="noConversion"/>
  </si>
  <si>
    <t>통신비</t>
    <phoneticPr fontId="31" type="noConversion"/>
  </si>
  <si>
    <t>북부문화
사업단</t>
    <phoneticPr fontId="31" type="noConversion"/>
  </si>
  <si>
    <t>한국문화예술
위원회
지원사업</t>
    <phoneticPr fontId="31" type="noConversion"/>
  </si>
  <si>
    <t>인생나눔교실</t>
    <phoneticPr fontId="31" type="noConversion"/>
  </si>
  <si>
    <t>인건비</t>
    <phoneticPr fontId="31" type="noConversion"/>
  </si>
  <si>
    <t>경기도박물관 소 계</t>
    <phoneticPr fontId="31" type="noConversion"/>
  </si>
  <si>
    <t xml:space="preserve">경기도
박물관
</t>
    <phoneticPr fontId="31" type="noConversion"/>
  </si>
  <si>
    <t>소장품보존 및
연구 활용</t>
    <phoneticPr fontId="31" type="noConversion"/>
  </si>
  <si>
    <t>박물관 
전시운영</t>
    <phoneticPr fontId="31" type="noConversion"/>
  </si>
  <si>
    <t>특별전시회
개최</t>
    <phoneticPr fontId="31" type="noConversion"/>
  </si>
  <si>
    <t>경기도미술관 소 계</t>
    <phoneticPr fontId="31" type="noConversion"/>
  </si>
  <si>
    <t xml:space="preserve">경기도
미술관
</t>
    <phoneticPr fontId="31" type="noConversion"/>
  </si>
  <si>
    <t>소장품 관리</t>
    <phoneticPr fontId="31" type="noConversion"/>
  </si>
  <si>
    <t>백남준아트센터 소 계</t>
    <phoneticPr fontId="31" type="noConversion"/>
  </si>
  <si>
    <t xml:space="preserve">백남준
아트센터
</t>
    <phoneticPr fontId="31" type="noConversion"/>
  </si>
  <si>
    <t>특별사업</t>
    <phoneticPr fontId="31" type="noConversion"/>
  </si>
  <si>
    <t>백남준아트
센터 국제
예술상</t>
    <phoneticPr fontId="31" type="noConversion"/>
  </si>
  <si>
    <t>국제예술상 수상자 전시인 블라스트 씨어리 당신이 시작하라展이 2018.03까지 운영</t>
    <phoneticPr fontId="31" type="noConversion"/>
  </si>
  <si>
    <t>국제교류
프로그램</t>
    <phoneticPr fontId="31" type="noConversion"/>
  </si>
  <si>
    <t>FACT 
레지던시
교환프로그램</t>
    <phoneticPr fontId="31" type="noConversion"/>
  </si>
  <si>
    <t>백남준아트센터와 영국FACT의 미디어작가 교환 레지던시 프로그램으로 2018.02까지
프로그램 운영완료 후 잔액, 이자 모두 FACT에 반납 예정</t>
    <phoneticPr fontId="31" type="noConversion"/>
  </si>
  <si>
    <t xml:space="preserve"> 경기도어린이박물관 편의시설 공간 설계 진행</t>
    <phoneticPr fontId="31" type="noConversion"/>
  </si>
  <si>
    <t>경기천년 슬로건 및 엠블럼 확정 후, 홍보기념품 제작</t>
    <phoneticPr fontId="31" type="noConversion"/>
  </si>
  <si>
    <t>경기천년 기록아카이브 2차 교부금</t>
    <phoneticPr fontId="31" type="noConversion"/>
  </si>
  <si>
    <t>사업명: G뮤지엄파크 조성 기본계획(안)에 따른 박물관정문 환경 정비 실시설계 용역 건
11.1 입찰공고, 11.13 계약, 착수일로부터 60일 이상 소요되므로 차기 년도 사업 지속</t>
    <phoneticPr fontId="31" type="noConversion"/>
  </si>
  <si>
    <t>용역계약기간 따른 용역(자료집 발간 등) 완료 후 잔금 지급</t>
    <phoneticPr fontId="31" type="noConversion"/>
  </si>
  <si>
    <t>2017 송년특집 다큐멘터리 방송 편성
(방송사 요청/12.23/12.30)으로 계약기간을 연장, 용역 종료 후 잔금 지급</t>
    <phoneticPr fontId="31" type="noConversion"/>
  </si>
  <si>
    <t>송출기간 1개월 연장(방송사 요청-사업홍보 및 도민공유 확대차원)에 따른 계약연장</t>
    <phoneticPr fontId="31" type="noConversion"/>
  </si>
  <si>
    <t>사업기간</t>
    <phoneticPr fontId="31" type="noConversion"/>
  </si>
  <si>
    <t>∼18.2.28</t>
  </si>
  <si>
    <t>∼18.2.28</t>
    <phoneticPr fontId="19" type="noConversion"/>
  </si>
  <si>
    <t>∼18.1.31</t>
    <phoneticPr fontId="19" type="noConversion"/>
  </si>
  <si>
    <t>∼18.4.30</t>
    <phoneticPr fontId="19" type="noConversion"/>
  </si>
  <si>
    <t>∼18.3.31</t>
    <phoneticPr fontId="19" type="noConversion"/>
  </si>
  <si>
    <t>생활문화지표 적용을 위한 시범연구로 새로운 연구진 섭외를 통해 내실 있고 실효성 있는
연구 추진을 위한 연장</t>
    <phoneticPr fontId="31" type="noConversion"/>
  </si>
  <si>
    <t>∼18.2.28</t>
    <phoneticPr fontId="19" type="noConversion"/>
  </si>
  <si>
    <t>원도심 문화재생사업 재심의로 사업비 조성 및 보완사항 반영 후 추진에 따른 기간 연장</t>
    <phoneticPr fontId="31" type="noConversion"/>
  </si>
  <si>
    <t>∼18.3.31</t>
    <phoneticPr fontId="19" type="noConversion"/>
  </si>
  <si>
    <t>∼18.6.30</t>
    <phoneticPr fontId="19" type="noConversion"/>
  </si>
  <si>
    <t>∼18.12.31</t>
    <phoneticPr fontId="19" type="noConversion"/>
  </si>
  <si>
    <t>-빅데이터 융합데이터 분석</t>
    <phoneticPr fontId="19" type="noConversion"/>
  </si>
  <si>
    <t>-방문객 소비패턴 및 동선 빅데이터 분석</t>
    <phoneticPr fontId="19" type="noConversion"/>
  </si>
  <si>
    <t>문화
예술
본부</t>
    <phoneticPr fontId="31" type="noConversion"/>
  </si>
  <si>
    <t xml:space="preserve">지지봄봄 결과자료집 제작
웹진의 통합본(인쇄본)의 제작으로 웹진 발행 이후 제작. 
&lt;지지봄봄&gt;은 매년 3회 발행되며, 통합 인쇄본은 차년 초에 제작, 배포 </t>
    <phoneticPr fontId="31" type="noConversion"/>
  </si>
  <si>
    <t>센터 결과자료집 제작
2017년 사업이 12월 말 종료로 자료집 제작 2018년 초 추진</t>
    <phoneticPr fontId="31" type="noConversion"/>
  </si>
  <si>
    <t>꿈다락토요문화학교 결과자료집 제작
2017년 사업이 12월 말 종료로 자료집 제작 2018년 초 추진</t>
    <phoneticPr fontId="31" type="noConversion"/>
  </si>
  <si>
    <t>지역특성화 지원사업 결과자료집 제작
2017년 사업이 12월 말 종료로 자료집 제작 2018년 초 추진</t>
    <phoneticPr fontId="31" type="noConversion"/>
  </si>
  <si>
    <t>문화
예술
본부
(외부재원)</t>
    <phoneticPr fontId="31" type="noConversion"/>
  </si>
  <si>
    <t>사업수행기간(2018.1.31)에 따른 18년 1월 사업비</t>
    <phoneticPr fontId="31" type="noConversion"/>
  </si>
  <si>
    <t>사업수행기간(2018.2.28)에 따른 18년 1~2월 농생대 운영비</t>
    <phoneticPr fontId="31" type="noConversion"/>
  </si>
  <si>
    <t xml:space="preserve">17세기 출토 장신구 복원 및 재현에 따른 연구 기간 필요(5개월) </t>
    <phoneticPr fontId="31" type="noConversion"/>
  </si>
  <si>
    <t>2018 경기천년 기념 특별전(’18.3.4종료)  연계 겨울방학 교육 프로그램 운영에 따른 강사비</t>
    <phoneticPr fontId="31" type="noConversion"/>
  </si>
  <si>
    <t>2018 경기천년 기념 특별전(’18.3.4종료) 연계 겨울방학 교육프로그램 소모품 구입</t>
    <phoneticPr fontId="31" type="noConversion"/>
  </si>
  <si>
    <t>소장품 수집
및 관리</t>
    <phoneticPr fontId="31" type="noConversion"/>
  </si>
  <si>
    <t>∼18.3.15</t>
    <phoneticPr fontId="19" type="noConversion"/>
  </si>
  <si>
    <t>□ 고유목적 명시이월</t>
    <phoneticPr fontId="31" type="noConversion"/>
  </si>
  <si>
    <t>사업명: 작가교환 레지던시 프로그램
백남준아트센터와 영국FACT의 미디어작가 교환 레지던시 프로그램으로 2017년 11월부터 2018년 02월까지 작가 레지던시 운영됨.
(영국의 매칭비용이 11월 입금되어 2018년까지 작가의 작업비용으로 소진될 예정)
사업내용: 비평사례비, 번역 및 통역/프로그램 행사운영비/공간유지 및 운영소모품</t>
    <phoneticPr fontId="31" type="noConversion"/>
  </si>
  <si>
    <r>
      <t>사업명: 키움프로젝트(문체부 전문인력양성과정 사업)
2017 지역문화전문인력 양성기관 지정</t>
    </r>
    <r>
      <rPr>
        <sz val="11"/>
        <color theme="1"/>
        <rFont val="맑은 고딕"/>
        <family val="3"/>
        <charset val="128"/>
        <scheme val="minor"/>
      </rPr>
      <t>・</t>
    </r>
    <r>
      <rPr>
        <sz val="11"/>
        <color theme="1"/>
        <rFont val="맑은 고딕"/>
        <family val="3"/>
        <charset val="129"/>
        <scheme val="minor"/>
      </rPr>
      <t>지원사업‘통합리더과정’, 국외현장교육 일정 및 내용의 구체적인 확정시점이 1월로 연기
일정: 2017년 2월 중 / 4박 5일간(예정), 방문국가: 홍콩
참여대상: 동 과정 교육생 중 국외현장교육 선발인원 및 지역주관기관 담당자</t>
    </r>
    <phoneticPr fontId="31" type="noConversion"/>
  </si>
  <si>
    <t>경기도박물관 공조기 교체 및 조명자동제어공사, 기계설비 자동 제어공사
-공조기 제작 소요기간(약 3개월) 및 냉·난방 비수기(3∼5월)를 감안, 18년 상반기 공사 시행 예정</t>
    <phoneticPr fontId="31" type="noConversion"/>
  </si>
  <si>
    <t>고유목적 명시이월 합계</t>
    <phoneticPr fontId="19" type="noConversion"/>
  </si>
  <si>
    <t>2017년 지역문화예술활성화 지원사업비 교부완료에 따른 정산검토 및 결과보고를 위한 
사업기간 연장 및 생활문화공간 조성사업 사업기간에 따른 교부지원금</t>
    <phoneticPr fontId="31" type="noConversion"/>
  </si>
  <si>
    <t>경기천년플랫폼 용역 과업기간 연장 및 천년플랫폼 공간조성 사업</t>
    <phoneticPr fontId="31" type="noConversion"/>
  </si>
  <si>
    <t>광고선전비</t>
    <phoneticPr fontId="19" type="noConversion"/>
  </si>
  <si>
    <t>경기천년 G버스TV 송출료</t>
    <phoneticPr fontId="31" type="noConversion"/>
  </si>
  <si>
    <t>경기천년 기자단 과업기간 변경
미디어파사드 용역 과업내용 및 기간변경에 따른 준공금
경기천년 과정 아카이브 용역 과업기간 연장에 따른 준공금
경기그레이트북스 발간 용역비 등</t>
    <phoneticPr fontId="31" type="noConversion"/>
  </si>
  <si>
    <t>∼18.8.31</t>
    <phoneticPr fontId="19" type="noConversion"/>
  </si>
  <si>
    <t>∼18.6.30</t>
    <phoneticPr fontId="19" type="noConversion"/>
  </si>
  <si>
    <t>기초조사 학술용역 2회 유찰에 따른 일정순연</t>
    <phoneticPr fontId="31" type="noConversion"/>
  </si>
  <si>
    <t>지원비</t>
    <phoneticPr fontId="31" type="noConversion"/>
  </si>
  <si>
    <t>지역거점
공간재생</t>
    <phoneticPr fontId="19" type="noConversion"/>
  </si>
  <si>
    <t>창생공간 및
기반구축</t>
    <phoneticPr fontId="19" type="noConversion"/>
  </si>
  <si>
    <t>경기천년 정책연구 원고작성 기간 연장 (경기천년 타임캡슐연구 원고료)
경기그레이트북스 교정·감수</t>
    <phoneticPr fontId="19" type="noConversion"/>
  </si>
  <si>
    <t>∼18.3.31
∼18.8.31</t>
    <phoneticPr fontId="19" type="noConversion"/>
  </si>
  <si>
    <t>빅데이터 사업기간 연장에 따른 이월</t>
    <phoneticPr fontId="31" type="noConversion"/>
  </si>
  <si>
    <t>2018 경기천년 기념 특별전(’18.3.4종료) 폐막 후 유물 반환 및 운송, 유리창 제거, 철거</t>
    <phoneticPr fontId="31" type="noConversion"/>
  </si>
  <si>
    <t>야외조각작품 수복예산으로 동절기 작업이 불가피. 2018년 상반기 진행</t>
    <phoneticPr fontId="31" type="noConversion"/>
  </si>
  <si>
    <t>□ 대행사업 명시이월</t>
    <phoneticPr fontId="31" type="noConversion"/>
  </si>
  <si>
    <t>반납비</t>
    <phoneticPr fontId="19" type="noConversion"/>
  </si>
  <si>
    <t>교육지원센터
운영</t>
    <phoneticPr fontId="31" type="noConversion"/>
  </si>
  <si>
    <t>반납비</t>
    <phoneticPr fontId="31" type="noConversion"/>
  </si>
  <si>
    <t>반납비</t>
    <phoneticPr fontId="19" type="noConversion"/>
  </si>
  <si>
    <t>자율학습모임 결과자료집을 센터결과자료집에 포함시켜 제작하기로 결정</t>
    <phoneticPr fontId="31" type="noConversion"/>
  </si>
  <si>
    <t>운영비 잔액 반납</t>
    <phoneticPr fontId="31" type="noConversion"/>
  </si>
  <si>
    <t>∼18.3.31</t>
    <phoneticPr fontId="19" type="noConversion"/>
  </si>
  <si>
    <t>동두천
K-Rock
빌리지 조성</t>
    <phoneticPr fontId="19" type="noConversion"/>
  </si>
  <si>
    <t>평택시
송탄출장소
공공미술
프로젝트</t>
    <phoneticPr fontId="19" type="noConversion"/>
  </si>
  <si>
    <t>동두천 K-Rock
홍보관 조성</t>
    <phoneticPr fontId="19" type="noConversion"/>
  </si>
  <si>
    <t>송탄출장소
공공미술
(평택시)</t>
    <phoneticPr fontId="19" type="noConversion"/>
  </si>
  <si>
    <t>지급용역료</t>
    <phoneticPr fontId="19" type="noConversion"/>
  </si>
  <si>
    <t>2017년 외부재원 사업의 사업기간 명시에 따른 원활한 사업비 정산을 위한 명시이월</t>
    <phoneticPr fontId="19" type="noConversion"/>
  </si>
  <si>
    <t>∼18.1.31</t>
    <phoneticPr fontId="19" type="noConversion"/>
  </si>
  <si>
    <t>백남준
아트센터</t>
    <phoneticPr fontId="19" type="noConversion"/>
  </si>
  <si>
    <t>경기도
미술관</t>
    <phoneticPr fontId="31" type="noConversion"/>
  </si>
  <si>
    <t>대행사업 명시이월 합계</t>
    <phoneticPr fontId="19" type="noConversion"/>
  </si>
  <si>
    <t xml:space="preserve"> </t>
    <phoneticPr fontId="19" type="noConversion"/>
  </si>
  <si>
    <t>명시이월(2017년-2018년) 사업 내역</t>
    <phoneticPr fontId="31" type="noConversion"/>
  </si>
  <si>
    <t xml:space="preserve">  - 백남준아트센터</t>
    <phoneticPr fontId="19" type="noConversion"/>
  </si>
  <si>
    <t xml:space="preserve">  - 경기도어린이박물관</t>
    <phoneticPr fontId="19" type="noConversion"/>
  </si>
  <si>
    <t xml:space="preserve">  - 경기도박물관 20,000천원, 백남준아트센터 5,000천원, 경기도어린이박물관 7,000천원</t>
    <phoneticPr fontId="19" type="noConversion"/>
  </si>
  <si>
    <t xml:space="preserve">  - 백남준아트센터 신진작가 프로젝트 (아트경기)</t>
    <phoneticPr fontId="19" type="noConversion"/>
  </si>
  <si>
    <t>=</t>
    <phoneticPr fontId="19" type="noConversion"/>
  </si>
  <si>
    <t xml:space="preserve">  - 경영본부(사이버도서관)</t>
    <phoneticPr fontId="19" type="noConversion"/>
  </si>
  <si>
    <t>경기문화예술교육지원센터</t>
    <phoneticPr fontId="19" type="noConversion"/>
  </si>
  <si>
    <t>지역특성화 문화예술교육 활성화</t>
    <phoneticPr fontId="19" type="noConversion"/>
  </si>
  <si>
    <t>문화나눔센터 운영</t>
    <phoneticPr fontId="19" type="noConversion"/>
  </si>
  <si>
    <t>경기상상캠퍼스 운영</t>
    <phoneticPr fontId="19" type="noConversion"/>
  </si>
  <si>
    <t>경기상상캠퍼스 조성</t>
    <phoneticPr fontId="19" type="noConversion"/>
  </si>
  <si>
    <t xml:space="preserve">  - 문화예술본부 지역문화팀 통합문화체육관광이용권 운영지원 (경기도)</t>
    <phoneticPr fontId="19" type="noConversion"/>
  </si>
  <si>
    <t xml:space="preserve">  - 문화예술본부 지역문화팀 산업단지, 폐산업시설 문화재생사업 (국비, 경기도)</t>
    <phoneticPr fontId="19" type="noConversion"/>
  </si>
  <si>
    <t xml:space="preserve">  - 문화예술본부 문예진흥팀 지역문화예술특성화 사업 (국비, 경기도)</t>
    <phoneticPr fontId="19" type="noConversion"/>
  </si>
  <si>
    <t xml:space="preserve">  - 문화예술본부 문예진흥팀 공연장 상주단체육성 (국비, 경기도)</t>
    <phoneticPr fontId="19" type="noConversion"/>
  </si>
  <si>
    <t xml:space="preserve">  - 문화예술본부 문예진흥팀 지역특성화 문화예술교육 지원 (국비, 경기도)</t>
    <phoneticPr fontId="19" type="noConversion"/>
  </si>
  <si>
    <t xml:space="preserve">  - 문화예술본부 문예진흥팀 토요문화학교 지역연계 프로그램 운영 (국비, 경기도)</t>
    <phoneticPr fontId="19" type="noConversion"/>
  </si>
  <si>
    <t xml:space="preserve">  - 문화예술본부 문예진흥팀 지역문화예술교육지원센터 운영 (국비, 경기도)</t>
    <phoneticPr fontId="19" type="noConversion"/>
  </si>
  <si>
    <t xml:space="preserve">  - 문화예술본부 지역문화팀 경기 상상캠퍼스 운영 (경기도)</t>
    <phoneticPr fontId="19" type="noConversion"/>
  </si>
  <si>
    <t>경기만 에코뮤지엄 조성</t>
    <phoneticPr fontId="19" type="noConversion"/>
  </si>
  <si>
    <t xml:space="preserve">  - 문화예술본부 경기창작센터 경기만 에코뮤지엄 조성 (경기도)</t>
    <phoneticPr fontId="19" type="noConversion"/>
  </si>
  <si>
    <t xml:space="preserve">  - 문화예술본부 경기창작센터 시흥바라지 에코뮤지엄 (시흥시)</t>
    <phoneticPr fontId="19" type="noConversion"/>
  </si>
  <si>
    <t xml:space="preserve">  - 문화예술본부 경기창작센터 제부도 명소화 문화재생 (화성시)</t>
    <phoneticPr fontId="19" type="noConversion"/>
  </si>
  <si>
    <t>시흥바라지 에코뮤지엄</t>
    <phoneticPr fontId="19" type="noConversion"/>
  </si>
  <si>
    <t>경기도 문화재 원형기록화</t>
    <phoneticPr fontId="19" type="noConversion"/>
  </si>
  <si>
    <t>남한산성 옛길 활용 및 홍보</t>
    <phoneticPr fontId="19" type="noConversion"/>
  </si>
  <si>
    <t>동두천 K-Rock 빌리지 조성</t>
    <phoneticPr fontId="19" type="noConversion"/>
  </si>
  <si>
    <t xml:space="preserve">  - 경기문화재연구원 조사연구팀 경기도 문화재 원형기록화 (경기도)</t>
    <phoneticPr fontId="19" type="noConversion"/>
  </si>
  <si>
    <t xml:space="preserve">  - 경기도미술관 동두천 K-Rock 빌리지 조성 (동두천시)</t>
    <phoneticPr fontId="19" type="noConversion"/>
  </si>
  <si>
    <t xml:space="preserve">  - 문화예술본부 지역문화팀 통합문화체육관광이용권 (국비, 도비, 시비)</t>
    <phoneticPr fontId="19" type="noConversion"/>
  </si>
  <si>
    <t xml:space="preserve">  - 경기문화재연구원 경기학연구센터 경기도 옛길 관리운영 (경기도)</t>
    <phoneticPr fontId="19" type="noConversion"/>
  </si>
  <si>
    <t xml:space="preserve">  - 경기문화재연구원 경기학연구센터 남한산성 옛길 활용 및 홍보 (경기도)</t>
    <phoneticPr fontId="19" type="noConversion"/>
  </si>
  <si>
    <t xml:space="preserve">  - 경기문화재연구원 경기학연구센터 경기도 항일유적 안내판 및 항일운동 표지판 설치 (경기도)</t>
    <phoneticPr fontId="19" type="noConversion"/>
  </si>
  <si>
    <t xml:space="preserve">   1. 정책실 (노후공립박물관안전 및 관람환경개선, 문화영향평가)</t>
    <phoneticPr fontId="18" type="noConversion"/>
  </si>
  <si>
    <t xml:space="preserve">   2. 경영본부 (경기청년 및 대학생인턴지원, 송년제야행사)</t>
    <phoneticPr fontId="18" type="noConversion"/>
  </si>
  <si>
    <t xml:space="preserve">   3. 문화예술본부 (지역협력형, 공연장상주단체, 예술교육지원, 토요문화학교 등)</t>
    <phoneticPr fontId="18" type="noConversion"/>
  </si>
  <si>
    <t xml:space="preserve">   4. 경기창작센터 (에코뮤지엄, 제부도명소화, 연강갤러리전시, 시흥바라지에코뮤지엄)</t>
    <phoneticPr fontId="19" type="noConversion"/>
  </si>
  <si>
    <t xml:space="preserve">   5. 경기문화재연구원 (남한산성 옛길조성, 경기전통문화활성화, 문화재원형기록화 등)</t>
    <phoneticPr fontId="19" type="noConversion"/>
  </si>
  <si>
    <t xml:space="preserve">   6. 경기도박물관 (토공방교육나눔, 소장유물 DB화, 신재생에너지지원사업)</t>
    <phoneticPr fontId="19" type="noConversion"/>
  </si>
  <si>
    <t xml:space="preserve">   7. 경기도미술관 (시흥시공공미술, 동두천 K-Rock 빌리지, 전곡항예술조명조성 등)</t>
    <phoneticPr fontId="19" type="noConversion"/>
  </si>
  <si>
    <t xml:space="preserve">   8. 백남준아트센터 (작은도서관, 교육나눔사업, 진로의식향상, Fact 전시)</t>
    <phoneticPr fontId="19" type="noConversion"/>
  </si>
  <si>
    <t xml:space="preserve">   9. 실학박물관 (교육나눔사업, 소장유물 DB화)</t>
    <phoneticPr fontId="19" type="noConversion"/>
  </si>
  <si>
    <t xml:space="preserve">   10. 전곡선사박물관 (선사꿈의학교, 메세나협회)</t>
    <phoneticPr fontId="19" type="noConversion"/>
  </si>
  <si>
    <t xml:space="preserve">   11. 경기도어린이박물관 (토요문화학교, 신재생에너지)</t>
    <phoneticPr fontId="19" type="noConversion"/>
  </si>
  <si>
    <t>(단위:천원)</t>
    <phoneticPr fontId="19" type="noConversion"/>
  </si>
  <si>
    <t>기   정
예산액</t>
    <phoneticPr fontId="19" type="noConversion"/>
  </si>
  <si>
    <t>문예진흥팀</t>
    <phoneticPr fontId="19" type="noConversion"/>
  </si>
  <si>
    <t xml:space="preserve"> o 계</t>
    <phoneticPr fontId="19" type="noConversion"/>
  </si>
  <si>
    <t>명*</t>
    <phoneticPr fontId="19" type="noConversion"/>
  </si>
  <si>
    <t>인건비</t>
    <phoneticPr fontId="19" type="noConversion"/>
  </si>
  <si>
    <t>원*</t>
    <phoneticPr fontId="19" type="noConversion"/>
  </si>
  <si>
    <t>=</t>
    <phoneticPr fontId="19" type="noConversion"/>
  </si>
  <si>
    <t>회</t>
    <phoneticPr fontId="19" type="noConversion"/>
  </si>
  <si>
    <t>여비교통비</t>
    <phoneticPr fontId="19" type="noConversion"/>
  </si>
  <si>
    <t>명*</t>
    <phoneticPr fontId="19" type="noConversion"/>
  </si>
  <si>
    <t>원*</t>
    <phoneticPr fontId="19" type="noConversion"/>
  </si>
  <si>
    <t>=</t>
    <phoneticPr fontId="19" type="noConversion"/>
  </si>
  <si>
    <t xml:space="preserve">   1. 자문비</t>
    <phoneticPr fontId="19" type="noConversion"/>
  </si>
  <si>
    <t>문화콘텐츠 개발 및 역량강화</t>
    <phoneticPr fontId="25" type="noConversion"/>
  </si>
  <si>
    <t>여비교통비</t>
    <phoneticPr fontId="19" type="noConversion"/>
  </si>
  <si>
    <t xml:space="preserve"> o 직원해외연수출장비</t>
    <phoneticPr fontId="19" type="noConversion"/>
  </si>
  <si>
    <t>행사운영비</t>
    <phoneticPr fontId="19" type="noConversion"/>
  </si>
  <si>
    <t xml:space="preserve"> o 역량강화워크숍</t>
    <phoneticPr fontId="19" type="noConversion"/>
  </si>
  <si>
    <t>회</t>
    <phoneticPr fontId="19" type="noConversion"/>
  </si>
  <si>
    <t>이슈발굴 기획협력</t>
    <phoneticPr fontId="19" type="noConversion"/>
  </si>
  <si>
    <t>소외계층 문화나눔사업</t>
    <phoneticPr fontId="19" type="noConversion"/>
  </si>
  <si>
    <t xml:space="preserve"> o 차량유지비 등</t>
    <phoneticPr fontId="19" type="noConversion"/>
  </si>
  <si>
    <t>지급임차료</t>
    <phoneticPr fontId="19" type="noConversion"/>
  </si>
  <si>
    <t xml:space="preserve"> o 사무기기 및 차량임차 등</t>
    <phoneticPr fontId="19" type="noConversion"/>
  </si>
  <si>
    <t>개월</t>
    <phoneticPr fontId="19" type="noConversion"/>
  </si>
  <si>
    <t>지급수수료</t>
    <phoneticPr fontId="19" type="noConversion"/>
  </si>
  <si>
    <t xml:space="preserve">   1. 보조인건비</t>
    <phoneticPr fontId="19" type="noConversion"/>
  </si>
  <si>
    <t xml:space="preserve">   2. 부가급여 및 복리후생비</t>
    <phoneticPr fontId="19" type="noConversion"/>
  </si>
  <si>
    <t>지원비</t>
    <phoneticPr fontId="19" type="noConversion"/>
  </si>
  <si>
    <t>건</t>
    <phoneticPr fontId="19" type="noConversion"/>
  </si>
  <si>
    <t>식</t>
    <phoneticPr fontId="19" type="noConversion"/>
  </si>
  <si>
    <t>회의운영비</t>
    <phoneticPr fontId="19" type="noConversion"/>
  </si>
  <si>
    <t xml:space="preserve"> o 심사위원 운영 등</t>
    <phoneticPr fontId="19" type="noConversion"/>
  </si>
  <si>
    <t>회</t>
    <phoneticPr fontId="19" type="noConversion"/>
  </si>
  <si>
    <t>지역문화팀</t>
    <phoneticPr fontId="19" type="noConversion"/>
  </si>
  <si>
    <t xml:space="preserve"> o 계</t>
    <phoneticPr fontId="19" type="noConversion"/>
  </si>
  <si>
    <t xml:space="preserve">   1. 심사수당</t>
    <phoneticPr fontId="19" type="noConversion"/>
  </si>
  <si>
    <t xml:space="preserve">   2. 자문비</t>
    <phoneticPr fontId="19" type="noConversion"/>
  </si>
  <si>
    <t>종*</t>
    <phoneticPr fontId="19" type="noConversion"/>
  </si>
  <si>
    <t xml:space="preserve">   1. 국내여비</t>
    <phoneticPr fontId="19" type="noConversion"/>
  </si>
  <si>
    <t>명*</t>
    <phoneticPr fontId="19" type="noConversion"/>
  </si>
  <si>
    <t xml:space="preserve">   2. 국외여비</t>
    <phoneticPr fontId="19" type="noConversion"/>
  </si>
  <si>
    <t>생활문화 육성 및 확산</t>
    <phoneticPr fontId="19" type="noConversion"/>
  </si>
  <si>
    <t>경기생활문화 플랫폼</t>
    <phoneticPr fontId="19" type="noConversion"/>
  </si>
  <si>
    <t>지급용역료</t>
    <phoneticPr fontId="19" type="noConversion"/>
  </si>
  <si>
    <t xml:space="preserve">   1. 영상 및 사진촬영</t>
    <phoneticPr fontId="19" type="noConversion"/>
  </si>
  <si>
    <t>식</t>
    <phoneticPr fontId="19" type="noConversion"/>
  </si>
  <si>
    <t>통신비</t>
    <phoneticPr fontId="19" type="noConversion"/>
  </si>
  <si>
    <t>소모품비</t>
    <phoneticPr fontId="19" type="noConversion"/>
  </si>
  <si>
    <t>단체*</t>
    <phoneticPr fontId="19" type="noConversion"/>
  </si>
  <si>
    <t>지급용역료</t>
    <phoneticPr fontId="19" type="noConversion"/>
  </si>
  <si>
    <t>도서인쇄비</t>
    <phoneticPr fontId="19" type="noConversion"/>
  </si>
  <si>
    <t>부</t>
    <phoneticPr fontId="19" type="noConversion"/>
  </si>
  <si>
    <t>지역맞춤형 문화재생모델 개발</t>
    <phoneticPr fontId="19" type="noConversion"/>
  </si>
  <si>
    <t>원*</t>
    <phoneticPr fontId="19" type="noConversion"/>
  </si>
  <si>
    <t>=</t>
    <phoneticPr fontId="19" type="noConversion"/>
  </si>
  <si>
    <t xml:space="preserve">   1. 기념품 제작</t>
    <phoneticPr fontId="19" type="noConversion"/>
  </si>
  <si>
    <t>지역 거점공간 재생</t>
    <phoneticPr fontId="19" type="noConversion"/>
  </si>
  <si>
    <t>창생공간 조성 및 기반구축</t>
    <phoneticPr fontId="19" type="noConversion"/>
  </si>
  <si>
    <t xml:space="preserve">   1. 자료집제작</t>
    <phoneticPr fontId="19" type="noConversion"/>
  </si>
  <si>
    <t xml:space="preserve">   2. 홍보물제작</t>
    <phoneticPr fontId="19" type="noConversion"/>
  </si>
  <si>
    <t>건</t>
    <phoneticPr fontId="19" type="noConversion"/>
  </si>
  <si>
    <t xml:space="preserve">   2. 자문,컨설팅비</t>
    <phoneticPr fontId="19" type="noConversion"/>
  </si>
  <si>
    <t xml:space="preserve">   3. 강의 및 자문, 원고료</t>
    <phoneticPr fontId="19" type="noConversion"/>
  </si>
  <si>
    <t xml:space="preserve"> o 영상촬영,웹페이지 제작</t>
    <phoneticPr fontId="19" type="noConversion"/>
  </si>
  <si>
    <t xml:space="preserve">   2. 신규지원</t>
    <phoneticPr fontId="19" type="noConversion"/>
  </si>
  <si>
    <t xml:space="preserve">   3. 쇼케이스(제작문화 워크숍,전시,축제)</t>
    <phoneticPr fontId="19" type="noConversion"/>
  </si>
  <si>
    <t xml:space="preserve"> o 워크숍, 결과공유회</t>
    <phoneticPr fontId="19" type="noConversion"/>
  </si>
  <si>
    <t>문화사업팀</t>
    <phoneticPr fontId="19" type="noConversion"/>
  </si>
  <si>
    <t xml:space="preserve"> </t>
    <phoneticPr fontId="19" type="noConversion"/>
  </si>
  <si>
    <t>회</t>
    <phoneticPr fontId="25" type="noConversion"/>
  </si>
  <si>
    <t>원*</t>
    <phoneticPr fontId="19" type="noConversion"/>
  </si>
  <si>
    <t>회</t>
    <phoneticPr fontId="19" type="noConversion"/>
  </si>
  <si>
    <t>=</t>
    <phoneticPr fontId="19" type="noConversion"/>
  </si>
  <si>
    <t>지급용역료</t>
    <phoneticPr fontId="19" type="noConversion"/>
  </si>
  <si>
    <t xml:space="preserve"> o 계</t>
    <phoneticPr fontId="19" type="noConversion"/>
  </si>
  <si>
    <t>회의운영비</t>
    <phoneticPr fontId="19" type="noConversion"/>
  </si>
  <si>
    <t>행사운영비</t>
    <phoneticPr fontId="19" type="noConversion"/>
  </si>
  <si>
    <t>식</t>
    <phoneticPr fontId="19" type="noConversion"/>
  </si>
  <si>
    <t>통신비</t>
    <phoneticPr fontId="31" type="noConversion"/>
  </si>
  <si>
    <t>인건비</t>
    <phoneticPr fontId="19" type="noConversion"/>
  </si>
  <si>
    <t>명*</t>
    <phoneticPr fontId="19" type="noConversion"/>
  </si>
  <si>
    <t>도서인쇄비</t>
    <phoneticPr fontId="19" type="noConversion"/>
  </si>
  <si>
    <t>보험료</t>
    <phoneticPr fontId="31" type="noConversion"/>
  </si>
  <si>
    <t>소모품비</t>
    <phoneticPr fontId="19" type="noConversion"/>
  </si>
  <si>
    <t>여비교통비</t>
    <phoneticPr fontId="19" type="noConversion"/>
  </si>
  <si>
    <t>명</t>
    <phoneticPr fontId="19" type="noConversion"/>
  </si>
  <si>
    <t>월</t>
    <phoneticPr fontId="19" type="noConversion"/>
  </si>
  <si>
    <t>지급수수료</t>
    <phoneticPr fontId="19" type="noConversion"/>
  </si>
  <si>
    <t>지원비</t>
    <phoneticPr fontId="19" type="noConversion"/>
  </si>
  <si>
    <t>원*</t>
    <phoneticPr fontId="19" type="noConversion"/>
  </si>
  <si>
    <t>=</t>
    <phoneticPr fontId="19" type="noConversion"/>
  </si>
  <si>
    <t>회의운영비</t>
    <phoneticPr fontId="19" type="noConversion"/>
  </si>
  <si>
    <t xml:space="preserve"> o 회의운영</t>
    <phoneticPr fontId="19" type="noConversion"/>
  </si>
  <si>
    <t>회</t>
    <phoneticPr fontId="25" type="noConversion"/>
  </si>
  <si>
    <t>행사운영비</t>
    <phoneticPr fontId="19" type="noConversion"/>
  </si>
  <si>
    <t>식</t>
    <phoneticPr fontId="19" type="noConversion"/>
  </si>
  <si>
    <t>명*</t>
    <phoneticPr fontId="19" type="noConversion"/>
  </si>
  <si>
    <t>지급수수료</t>
    <phoneticPr fontId="19" type="noConversion"/>
  </si>
  <si>
    <t>지급용역료</t>
    <phoneticPr fontId="19" type="noConversion"/>
  </si>
  <si>
    <t>소모품비</t>
    <phoneticPr fontId="19" type="noConversion"/>
  </si>
  <si>
    <t xml:space="preserve"> </t>
    <phoneticPr fontId="19" type="noConversion"/>
  </si>
  <si>
    <t xml:space="preserve"> o 계</t>
    <phoneticPr fontId="19" type="noConversion"/>
  </si>
  <si>
    <t>월</t>
    <phoneticPr fontId="19" type="noConversion"/>
  </si>
  <si>
    <t>원*</t>
    <phoneticPr fontId="19" type="noConversion"/>
  </si>
  <si>
    <t>=</t>
    <phoneticPr fontId="19" type="noConversion"/>
  </si>
  <si>
    <t>회의운영비</t>
    <phoneticPr fontId="19" type="noConversion"/>
  </si>
  <si>
    <t>행사운영비</t>
    <phoneticPr fontId="19" type="noConversion"/>
  </si>
  <si>
    <t>식</t>
    <phoneticPr fontId="19" type="noConversion"/>
  </si>
  <si>
    <t>여비교통비</t>
    <phoneticPr fontId="19" type="noConversion"/>
  </si>
  <si>
    <t>월</t>
    <phoneticPr fontId="19" type="noConversion"/>
  </si>
  <si>
    <t>명*</t>
    <phoneticPr fontId="19" type="noConversion"/>
  </si>
  <si>
    <t xml:space="preserve"> </t>
    <phoneticPr fontId="19" type="noConversion"/>
  </si>
  <si>
    <t xml:space="preserve"> o 계</t>
    <phoneticPr fontId="19" type="noConversion"/>
  </si>
  <si>
    <t>회</t>
    <phoneticPr fontId="19" type="noConversion"/>
  </si>
  <si>
    <t>지급임차료</t>
    <phoneticPr fontId="19" type="noConversion"/>
  </si>
  <si>
    <t>통신비</t>
    <phoneticPr fontId="19" type="noConversion"/>
  </si>
  <si>
    <t>원*</t>
    <phoneticPr fontId="25" type="noConversion"/>
  </si>
  <si>
    <t>원*</t>
    <phoneticPr fontId="19" type="noConversion"/>
  </si>
  <si>
    <t>회</t>
    <phoneticPr fontId="19" type="noConversion"/>
  </si>
  <si>
    <t>=</t>
    <phoneticPr fontId="19" type="noConversion"/>
  </si>
  <si>
    <t>고객관리시스템 운영 및 고객 관리</t>
    <phoneticPr fontId="24" type="noConversion"/>
  </si>
  <si>
    <t xml:space="preserve"> o 계</t>
    <phoneticPr fontId="19" type="noConversion"/>
  </si>
  <si>
    <t>소모품비</t>
    <phoneticPr fontId="19" type="noConversion"/>
  </si>
  <si>
    <t>자산구입비</t>
    <phoneticPr fontId="19" type="noConversion"/>
  </si>
  <si>
    <t>원*</t>
    <phoneticPr fontId="25" type="noConversion"/>
  </si>
  <si>
    <t>=</t>
    <phoneticPr fontId="25" type="noConversion"/>
  </si>
  <si>
    <t>명*</t>
    <phoneticPr fontId="31" type="noConversion"/>
  </si>
  <si>
    <t>개월</t>
    <phoneticPr fontId="19" type="noConversion"/>
  </si>
  <si>
    <t>자산구입비</t>
    <phoneticPr fontId="19" type="noConversion"/>
  </si>
  <si>
    <t>대</t>
    <phoneticPr fontId="19" type="noConversion"/>
  </si>
  <si>
    <t>회</t>
    <phoneticPr fontId="19" type="noConversion"/>
  </si>
  <si>
    <t>지급임차료</t>
    <phoneticPr fontId="19" type="noConversion"/>
  </si>
  <si>
    <t>통신비</t>
    <phoneticPr fontId="19" type="noConversion"/>
  </si>
  <si>
    <t>재료비</t>
    <phoneticPr fontId="19" type="noConversion"/>
  </si>
  <si>
    <t>북부문화사업단</t>
    <phoneticPr fontId="19" type="noConversion"/>
  </si>
  <si>
    <t>북부문화사업단 운영</t>
    <phoneticPr fontId="19" type="noConversion"/>
  </si>
  <si>
    <t>제경비</t>
    <phoneticPr fontId="31" type="noConversion"/>
  </si>
  <si>
    <t>복리후생비</t>
    <phoneticPr fontId="19" type="noConversion"/>
  </si>
  <si>
    <t>부서운영비</t>
    <phoneticPr fontId="19" type="noConversion"/>
  </si>
  <si>
    <t xml:space="preserve">   1. 사무용기기 복사용지</t>
    <phoneticPr fontId="25" type="noConversion"/>
  </si>
  <si>
    <t>박스*</t>
    <phoneticPr fontId="31" type="noConversion"/>
  </si>
  <si>
    <t xml:space="preserve">   2. 생수대금</t>
    <phoneticPr fontId="25" type="noConversion"/>
  </si>
  <si>
    <t>통*</t>
    <phoneticPr fontId="31" type="noConversion"/>
  </si>
  <si>
    <t xml:space="preserve">   3. 업무용 문구류 등</t>
    <phoneticPr fontId="25" type="noConversion"/>
  </si>
  <si>
    <t>수도광열비</t>
    <phoneticPr fontId="19" type="noConversion"/>
  </si>
  <si>
    <t xml:space="preserve"> o 사무실 전기 수도</t>
    <phoneticPr fontId="19" type="noConversion"/>
  </si>
  <si>
    <t>유지관리비</t>
    <phoneticPr fontId="19" type="noConversion"/>
  </si>
  <si>
    <t xml:space="preserve">   1. 차량유지비</t>
    <phoneticPr fontId="25" type="noConversion"/>
  </si>
  <si>
    <t xml:space="preserve">   2. 사무실유지비 등</t>
    <phoneticPr fontId="25" type="noConversion"/>
  </si>
  <si>
    <t>ㅇ 자문회의 수당 등</t>
    <phoneticPr fontId="25" type="noConversion"/>
  </si>
  <si>
    <t>ㅇ 사무실 무인경비 보안</t>
    <phoneticPr fontId="25" type="noConversion"/>
  </si>
  <si>
    <t>지급임차료</t>
    <phoneticPr fontId="19" type="noConversion"/>
  </si>
  <si>
    <t>직책업무추진비</t>
    <phoneticPr fontId="19" type="noConversion"/>
  </si>
  <si>
    <t xml:space="preserve"> o 사업단장</t>
    <phoneticPr fontId="19" type="noConversion"/>
  </si>
  <si>
    <t>통신비</t>
    <phoneticPr fontId="25" type="noConversion"/>
  </si>
  <si>
    <t xml:space="preserve">   1. 우편요금</t>
    <phoneticPr fontId="25" type="noConversion"/>
  </si>
  <si>
    <t xml:space="preserve">   2. 인터넷 회선사용료</t>
    <phoneticPr fontId="25" type="noConversion"/>
  </si>
  <si>
    <t>회선*</t>
    <phoneticPr fontId="31" type="noConversion"/>
  </si>
  <si>
    <t xml:space="preserve"> o 감사 및 자문회의 식음료비</t>
    <phoneticPr fontId="19" type="noConversion"/>
  </si>
  <si>
    <t>자산구입비</t>
    <phoneticPr fontId="19" type="noConversion"/>
  </si>
  <si>
    <t>경기북부 문화예술 활성화</t>
    <phoneticPr fontId="19" type="noConversion"/>
  </si>
  <si>
    <t>문화예술단체 공모지원</t>
    <phoneticPr fontId="19" type="noConversion"/>
  </si>
  <si>
    <t xml:space="preserve">   1. 계약직 급여(복리후생비 포함)</t>
    <phoneticPr fontId="19" type="noConversion"/>
  </si>
  <si>
    <t>월</t>
    <phoneticPr fontId="25" type="noConversion"/>
  </si>
  <si>
    <t xml:space="preserve">   2. 자료입력원(격오지보조 포함) 등</t>
    <phoneticPr fontId="19" type="noConversion"/>
  </si>
  <si>
    <t>일</t>
    <phoneticPr fontId="25" type="noConversion"/>
  </si>
  <si>
    <t xml:space="preserve"> o 공모지원 사업 안내책자 등 발간(교부,정산)</t>
    <phoneticPr fontId="19" type="noConversion"/>
  </si>
  <si>
    <t xml:space="preserve"> o 공모지원 모니터링 평가 용역</t>
    <phoneticPr fontId="19" type="noConversion"/>
  </si>
  <si>
    <t xml:space="preserve"> o 행사용 물품(현수막 등) 구입</t>
    <phoneticPr fontId="19" type="noConversion"/>
  </si>
  <si>
    <t xml:space="preserve"> o 국내여비</t>
    <phoneticPr fontId="19" type="noConversion"/>
  </si>
  <si>
    <t>국내 출장비 등</t>
    <phoneticPr fontId="19" type="noConversion"/>
  </si>
  <si>
    <t>내 출장비 등</t>
    <phoneticPr fontId="19" type="noConversion"/>
  </si>
  <si>
    <t xml:space="preserve">   1. 공모지원사업 자문비</t>
    <phoneticPr fontId="19" type="noConversion"/>
  </si>
  <si>
    <t xml:space="preserve">   2. 공모지원사업 심의비</t>
    <phoneticPr fontId="19" type="noConversion"/>
  </si>
  <si>
    <t xml:space="preserve">   3. 지역예술가(단체) 의견수렴 및 전문가 자문</t>
    <phoneticPr fontId="19" type="noConversion"/>
  </si>
  <si>
    <t xml:space="preserve">   1. 경기북부 예술단체 공모지원</t>
    <phoneticPr fontId="19" type="noConversion"/>
  </si>
  <si>
    <t>건</t>
    <phoneticPr fontId="19" type="noConversion"/>
  </si>
  <si>
    <t xml:space="preserve">   2. 경기북부 시/군 협력사업 공모지원</t>
    <phoneticPr fontId="19" type="noConversion"/>
  </si>
  <si>
    <t xml:space="preserve"> o 심의, 의견수렴, 자문회의 등</t>
    <phoneticPr fontId="19" type="noConversion"/>
  </si>
  <si>
    <t>청소년문화예술활동 지원</t>
    <phoneticPr fontId="19" type="noConversion"/>
  </si>
  <si>
    <t>회*</t>
    <phoneticPr fontId="19" type="noConversion"/>
  </si>
  <si>
    <t xml:space="preserve">   1. 청소년 동아리 활동 지원</t>
    <phoneticPr fontId="19" type="noConversion"/>
  </si>
  <si>
    <t xml:space="preserve">   2. 청소년 문화예술활동 지원</t>
    <phoneticPr fontId="19" type="noConversion"/>
  </si>
  <si>
    <t xml:space="preserve">   3. 청소년 문화예술 교육활동 지원</t>
    <phoneticPr fontId="19" type="noConversion"/>
  </si>
  <si>
    <t xml:space="preserve"> o 기자간담회 등</t>
    <phoneticPr fontId="19" type="noConversion"/>
  </si>
  <si>
    <t>심사, 자문 , 평가위원  회의 등</t>
    <phoneticPr fontId="19" type="noConversion"/>
  </si>
  <si>
    <t>경기북부 네트워크 구축</t>
    <phoneticPr fontId="19" type="noConversion"/>
  </si>
  <si>
    <t xml:space="preserve"> o 북부문화사업단 홍보물(리플렛 등) 제작 등</t>
    <phoneticPr fontId="19" type="noConversion"/>
  </si>
  <si>
    <t xml:space="preserve"> o 홍보용 봉투(대,소) 제작 등</t>
    <phoneticPr fontId="19" type="noConversion"/>
  </si>
  <si>
    <t xml:space="preserve"> o 지역예술가(단체) 의견수렴 및 전문가 자문</t>
    <phoneticPr fontId="19" type="noConversion"/>
  </si>
  <si>
    <t xml:space="preserve"> o 홈페이지 자료 업로드 행사 진행 등</t>
    <phoneticPr fontId="19" type="noConversion"/>
  </si>
  <si>
    <t xml:space="preserve"> o 우편발송 및 SMS 구입 등</t>
    <phoneticPr fontId="19" type="noConversion"/>
  </si>
  <si>
    <t xml:space="preserve"> o 문화예술관계자 워크숍 등</t>
    <phoneticPr fontId="19" type="noConversion"/>
  </si>
  <si>
    <t xml:space="preserve"> o 기자간담회 및 문화예술관계자 회의 등</t>
    <phoneticPr fontId="19" type="noConversion"/>
  </si>
  <si>
    <t>작은미술관 운영</t>
    <phoneticPr fontId="19" type="noConversion"/>
  </si>
  <si>
    <t xml:space="preserve"> o 자료집 제작</t>
    <phoneticPr fontId="19" type="noConversion"/>
  </si>
  <si>
    <t>청년 문화창업 지원프로그램</t>
    <phoneticPr fontId="19" type="noConversion"/>
  </si>
  <si>
    <t xml:space="preserve">   1. 심의비</t>
    <phoneticPr fontId="19" type="noConversion"/>
  </si>
  <si>
    <t xml:space="preserve">   2. 컨설팅비</t>
    <phoneticPr fontId="19" type="noConversion"/>
  </si>
  <si>
    <t xml:space="preserve">   3. 워크숍 강의발표비</t>
    <phoneticPr fontId="19" type="noConversion"/>
  </si>
  <si>
    <t>지원비</t>
    <phoneticPr fontId="31" type="noConversion"/>
  </si>
  <si>
    <t xml:space="preserve"> o 청년 문화 창업 지원</t>
    <phoneticPr fontId="19" type="noConversion"/>
  </si>
  <si>
    <t xml:space="preserve"> o 워크숍 및 공유회 진행</t>
    <phoneticPr fontId="19" type="noConversion"/>
  </si>
  <si>
    <t xml:space="preserve"> o 심의 및 업무회의 진행</t>
    <phoneticPr fontId="19" type="noConversion"/>
  </si>
  <si>
    <t>경기북부 전통문화 활성화 사업</t>
    <phoneticPr fontId="19" type="noConversion"/>
  </si>
  <si>
    <t>전통문화 공연공모지원</t>
    <phoneticPr fontId="19" type="noConversion"/>
  </si>
  <si>
    <t xml:space="preserve"> o 지원사업 심의수당</t>
    <phoneticPr fontId="19" type="noConversion"/>
  </si>
  <si>
    <t xml:space="preserve"> o 전통문화 활성화 발굴 지원</t>
    <phoneticPr fontId="19" type="noConversion"/>
  </si>
  <si>
    <t>전통문화 공연 지원</t>
    <phoneticPr fontId="19" type="noConversion"/>
  </si>
  <si>
    <t>행사운영비</t>
    <phoneticPr fontId="25" type="noConversion"/>
  </si>
  <si>
    <t xml:space="preserve"> o 우편발송 및 SMS 구입 등</t>
    <phoneticPr fontId="19" type="noConversion"/>
  </si>
  <si>
    <t>결과공유워크숍개최</t>
    <phoneticPr fontId="19" type="noConversion"/>
  </si>
  <si>
    <t>선정 심의 평가 등</t>
    <phoneticPr fontId="19" type="noConversion"/>
  </si>
  <si>
    <t xml:space="preserve">   1. 지원사업 심의수당</t>
    <phoneticPr fontId="19" type="noConversion"/>
  </si>
  <si>
    <t xml:space="preserve">   1. 용역 심사수당</t>
    <phoneticPr fontId="19" type="noConversion"/>
  </si>
  <si>
    <t xml:space="preserve">   2. 평가 및 회의수당</t>
    <phoneticPr fontId="19" type="noConversion"/>
  </si>
  <si>
    <t>용역비</t>
    <phoneticPr fontId="19" type="noConversion"/>
  </si>
  <si>
    <t>관광상품 개발 용역</t>
    <phoneticPr fontId="19" type="noConversion"/>
  </si>
  <si>
    <t>사업설명회</t>
    <phoneticPr fontId="19" type="noConversion"/>
  </si>
  <si>
    <t>경기북부 지역특화 재생사업</t>
    <phoneticPr fontId="19" type="noConversion"/>
  </si>
  <si>
    <t>경기북부 마을재생 사업</t>
    <phoneticPr fontId="19" type="noConversion"/>
  </si>
  <si>
    <t xml:space="preserve"> o 마을재생 지원비</t>
    <phoneticPr fontId="19" type="noConversion"/>
  </si>
  <si>
    <t xml:space="preserve">   2. 자문수당</t>
    <phoneticPr fontId="19" type="noConversion"/>
  </si>
  <si>
    <t xml:space="preserve"> o 자료집제작</t>
    <phoneticPr fontId="19" type="noConversion"/>
  </si>
  <si>
    <t xml:space="preserve"> o 현장워크숍 및 공유회 개최</t>
    <phoneticPr fontId="19" type="noConversion"/>
  </si>
  <si>
    <t>경기창작센터</t>
    <phoneticPr fontId="19" type="noConversion"/>
  </si>
  <si>
    <t>급여</t>
    <phoneticPr fontId="19" type="noConversion"/>
  </si>
  <si>
    <t>ㅇ 계</t>
    <phoneticPr fontId="19" type="noConversion"/>
  </si>
  <si>
    <t xml:space="preserve">   1. 기준연봉액</t>
    <phoneticPr fontId="19" type="noConversion"/>
  </si>
  <si>
    <t xml:space="preserve"> </t>
    <phoneticPr fontId="18" type="noConversion"/>
  </si>
  <si>
    <t>직원</t>
    <phoneticPr fontId="19" type="noConversion"/>
  </si>
  <si>
    <t>8</t>
    <phoneticPr fontId="19" type="noConversion"/>
  </si>
  <si>
    <t xml:space="preserve">   2. 부가급여(교통비+정액급식비+자녀학비보조수당+가족수당+초과근무수당 등 포함)</t>
    <phoneticPr fontId="19" type="noConversion"/>
  </si>
  <si>
    <t>퇴직급여</t>
    <phoneticPr fontId="19" type="noConversion"/>
  </si>
  <si>
    <t>ㅇ 직원 퇴직급여</t>
    <phoneticPr fontId="19" type="noConversion"/>
  </si>
  <si>
    <t xml:space="preserve">* </t>
    <phoneticPr fontId="18" type="noConversion"/>
  </si>
  <si>
    <t>복리후생비(급여)</t>
    <phoneticPr fontId="19" type="noConversion"/>
  </si>
  <si>
    <t xml:space="preserve">   1. 인건비성 복리후생비</t>
    <phoneticPr fontId="19" type="noConversion"/>
  </si>
  <si>
    <t>복리후생비(경비)</t>
    <phoneticPr fontId="19" type="noConversion"/>
  </si>
  <si>
    <t xml:space="preserve"> o 직원 MT 및 건강검진</t>
    <phoneticPr fontId="19" type="noConversion"/>
  </si>
  <si>
    <t xml:space="preserve"> o 직원 직무교육 등</t>
    <phoneticPr fontId="19" type="noConversion"/>
  </si>
  <si>
    <t xml:space="preserve"> o 계</t>
    <phoneticPr fontId="19" type="noConversion"/>
  </si>
  <si>
    <t xml:space="preserve">   1. 건물화재/가스/영업배상책임보험료 </t>
    <phoneticPr fontId="19" type="noConversion"/>
  </si>
  <si>
    <t xml:space="preserve">   2. 청소년활동배상책임보험</t>
    <phoneticPr fontId="19" type="noConversion"/>
  </si>
  <si>
    <t>식</t>
    <phoneticPr fontId="19" type="noConversion"/>
  </si>
  <si>
    <t>팀*</t>
    <phoneticPr fontId="19" type="noConversion"/>
  </si>
  <si>
    <t>세금과공과</t>
    <phoneticPr fontId="19" type="noConversion"/>
  </si>
  <si>
    <t xml:space="preserve">   1. 부가가치세</t>
    <phoneticPr fontId="19" type="noConversion"/>
  </si>
  <si>
    <t xml:space="preserve">   2. 환경개선부담금</t>
    <phoneticPr fontId="19" type="noConversion"/>
  </si>
  <si>
    <t xml:space="preserve">   3. 기타(증지,인지대등)</t>
    <phoneticPr fontId="19" type="noConversion"/>
  </si>
  <si>
    <t>ㅇ 계</t>
    <phoneticPr fontId="19" type="noConversion"/>
  </si>
  <si>
    <t xml:space="preserve">   2. 생수대금</t>
    <phoneticPr fontId="19" type="noConversion"/>
  </si>
  <si>
    <t xml:space="preserve">   3. 복사기 토너 및 카트리지</t>
    <phoneticPr fontId="19" type="noConversion"/>
  </si>
  <si>
    <t xml:space="preserve">   4. 업무용 문구/ 명함/ 소모품</t>
    <phoneticPr fontId="19" type="noConversion"/>
  </si>
  <si>
    <t xml:space="preserve">   5. 숙소 침구류</t>
    <phoneticPr fontId="19" type="noConversion"/>
  </si>
  <si>
    <t xml:space="preserve">   1. 전기요금</t>
    <phoneticPr fontId="19" type="noConversion"/>
  </si>
  <si>
    <t xml:space="preserve">   2. 상하수도요금</t>
    <phoneticPr fontId="19" type="noConversion"/>
  </si>
  <si>
    <t xml:space="preserve">   3. LPG 가스요금</t>
    <phoneticPr fontId="19" type="noConversion"/>
  </si>
  <si>
    <t>명</t>
    <phoneticPr fontId="19" type="noConversion"/>
  </si>
  <si>
    <t xml:space="preserve">   3. 원격지 보조금</t>
    <phoneticPr fontId="19" type="noConversion"/>
  </si>
  <si>
    <t xml:space="preserve">   1. 전산장비 유지관리</t>
    <phoneticPr fontId="19" type="noConversion"/>
  </si>
  <si>
    <t xml:space="preserve">   2. 차량 유지관리(유류대,수리비,기타)</t>
    <phoneticPr fontId="19" type="noConversion"/>
  </si>
  <si>
    <t>월</t>
    <phoneticPr fontId="19" type="noConversion"/>
  </si>
  <si>
    <t xml:space="preserve">   3. 시설 및 미화 소모품</t>
    <phoneticPr fontId="19" type="noConversion"/>
  </si>
  <si>
    <t xml:space="preserve">   4. 건축및기계설비(물탱크, 냉온수기, 세관 등)</t>
    <phoneticPr fontId="19" type="noConversion"/>
  </si>
  <si>
    <t xml:space="preserve">   5. 전기및소방설비관리(수변전,수신반 시설보수 등)</t>
    <phoneticPr fontId="19" type="noConversion"/>
  </si>
  <si>
    <t xml:space="preserve">   6. 통신설비관리(통신설비 유지보수 등)</t>
    <phoneticPr fontId="19" type="noConversion"/>
  </si>
  <si>
    <t xml:space="preserve">   7. 조경 관리 (제초작업,잔디깎기,병충해방지)</t>
    <phoneticPr fontId="19" type="noConversion"/>
  </si>
  <si>
    <t xml:space="preserve">   8. 다목적홀 냉난방 유류대</t>
    <phoneticPr fontId="19" type="noConversion"/>
  </si>
  <si>
    <t xml:space="preserve">   9. 소프트웨어 자산 유지관리</t>
    <phoneticPr fontId="19" type="noConversion"/>
  </si>
  <si>
    <t xml:space="preserve">  10. 예술생태정원 유지관리</t>
    <phoneticPr fontId="19" type="noConversion"/>
  </si>
  <si>
    <t xml:space="preserve">  11. CCTV 관리 (유지보수 및 추가설치)</t>
    <phoneticPr fontId="19" type="noConversion"/>
  </si>
  <si>
    <t xml:space="preserve">   1. 일간지 및 자료</t>
    <phoneticPr fontId="19" type="noConversion"/>
  </si>
  <si>
    <t xml:space="preserve">   2. 소프트웨어 </t>
    <phoneticPr fontId="19" type="noConversion"/>
  </si>
  <si>
    <t xml:space="preserve">   1. 비즈빌/인증서수수료</t>
    <phoneticPr fontId="19" type="noConversion"/>
  </si>
  <si>
    <t xml:space="preserve">   2. 시설물 검사 수수료</t>
    <phoneticPr fontId="19" type="noConversion"/>
  </si>
  <si>
    <t xml:space="preserve">   3. 송금수수료</t>
    <phoneticPr fontId="19" type="noConversion"/>
  </si>
  <si>
    <t>건*</t>
    <phoneticPr fontId="19" type="noConversion"/>
  </si>
  <si>
    <t xml:space="preserve">   1. 사옥관리용역 (15명)</t>
    <phoneticPr fontId="19" type="noConversion"/>
  </si>
  <si>
    <t xml:space="preserve">   2. 시설도급용역 조달청 수수료</t>
    <phoneticPr fontId="19" type="noConversion"/>
  </si>
  <si>
    <t xml:space="preserve">   3. 사옥시설유지보수관리용역(소방,전기,방역,정화조 등)</t>
    <phoneticPr fontId="19" type="noConversion"/>
  </si>
  <si>
    <t xml:space="preserve">   2. 사무용기기 임대</t>
    <phoneticPr fontId="19" type="noConversion"/>
  </si>
  <si>
    <t xml:space="preserve">   3. 정수기, 세정기 렌탈 임대</t>
    <phoneticPr fontId="19" type="noConversion"/>
  </si>
  <si>
    <t xml:space="preserve"> o 센터장</t>
    <phoneticPr fontId="19" type="noConversion"/>
  </si>
  <si>
    <t xml:space="preserve">   2. 인터넷 회선 사용료</t>
    <phoneticPr fontId="19" type="noConversion"/>
  </si>
  <si>
    <t xml:space="preserve">   3. 케이블TV사용료</t>
    <phoneticPr fontId="19" type="noConversion"/>
  </si>
  <si>
    <t xml:space="preserve">  1. 감사 및 자문회의 식음료비</t>
    <phoneticPr fontId="19" type="noConversion"/>
  </si>
  <si>
    <t xml:space="preserve">  2. 창작센터 운영 식음료비</t>
    <phoneticPr fontId="19" type="noConversion"/>
  </si>
  <si>
    <t>자산구입비</t>
    <phoneticPr fontId="19" type="noConversion"/>
  </si>
  <si>
    <t xml:space="preserve"> o 사무용 PC 및 집기류 등</t>
    <phoneticPr fontId="19" type="noConversion"/>
  </si>
  <si>
    <t>스튜디오 레지던시</t>
    <phoneticPr fontId="19" type="noConversion"/>
  </si>
  <si>
    <t>레지던시프로그램운영</t>
    <phoneticPr fontId="19" type="noConversion"/>
  </si>
  <si>
    <t xml:space="preserve"> o 국내 출장여비</t>
    <phoneticPr fontId="19" type="noConversion"/>
  </si>
  <si>
    <t>전시 및 오픈스튜디오</t>
    <phoneticPr fontId="19" type="noConversion"/>
  </si>
  <si>
    <t>.</t>
    <phoneticPr fontId="19" type="noConversion"/>
  </si>
  <si>
    <t>ㅇ 전시 및 오픈스튜디오 홍보 인쇄물 제작</t>
    <phoneticPr fontId="19" type="noConversion"/>
  </si>
  <si>
    <t>ㅇ 전시 및 오픈스튜디오 행사 소모품 제작</t>
    <phoneticPr fontId="19" type="noConversion"/>
  </si>
  <si>
    <t>창의예술학교</t>
    <phoneticPr fontId="19" type="noConversion"/>
  </si>
  <si>
    <t>창의연수</t>
    <phoneticPr fontId="19" type="noConversion"/>
  </si>
  <si>
    <t xml:space="preserve">   1. 주강사비 (3시간)</t>
    <phoneticPr fontId="19" type="noConversion"/>
  </si>
  <si>
    <t xml:space="preserve">   2. 보조강사 (3시간)</t>
    <phoneticPr fontId="19" type="noConversion"/>
  </si>
  <si>
    <t xml:space="preserve"> o 예술 교육 프로그램 회의운영비</t>
    <phoneticPr fontId="19" type="noConversion"/>
  </si>
  <si>
    <t xml:space="preserve"> o 교육 소모품</t>
    <phoneticPr fontId="19" type="noConversion"/>
  </si>
  <si>
    <t>창의예술캠프</t>
    <phoneticPr fontId="19" type="noConversion"/>
  </si>
  <si>
    <t xml:space="preserve"> o 홍보책자 및 전시도록 제작</t>
    <phoneticPr fontId="19" type="noConversion"/>
  </si>
  <si>
    <t xml:space="preserve">   3. 강연비</t>
    <phoneticPr fontId="19" type="noConversion"/>
  </si>
  <si>
    <t xml:space="preserve">   4. 단체예술체험 강사비</t>
    <phoneticPr fontId="19" type="noConversion"/>
  </si>
  <si>
    <t xml:space="preserve">   5. 워크숍 강사비</t>
    <phoneticPr fontId="19" type="noConversion"/>
  </si>
  <si>
    <t xml:space="preserve">   1. 교육 및 홍보, 식당 위탁운영</t>
    <phoneticPr fontId="19" type="noConversion"/>
  </si>
  <si>
    <t xml:space="preserve">   2. 교육전시 설치</t>
    <phoneticPr fontId="19" type="noConversion"/>
  </si>
  <si>
    <t xml:space="preserve"> o 예술 교육 프로그램 행사운영비</t>
    <phoneticPr fontId="19" type="noConversion"/>
  </si>
  <si>
    <t>지역연계</t>
    <phoneticPr fontId="19" type="noConversion"/>
  </si>
  <si>
    <t>지역생활예술프로젝트</t>
    <phoneticPr fontId="19" type="noConversion"/>
  </si>
  <si>
    <t xml:space="preserve"> o 코디네이터</t>
    <phoneticPr fontId="19" type="noConversion"/>
  </si>
  <si>
    <t xml:space="preserve"> o 지역주민 동아리 활동 지원비</t>
    <phoneticPr fontId="19" type="noConversion"/>
  </si>
  <si>
    <t xml:space="preserve"> o 용역 심사 수당</t>
    <phoneticPr fontId="19" type="noConversion"/>
  </si>
  <si>
    <t xml:space="preserve"> o 지역예술프로젝트 용역</t>
    <phoneticPr fontId="19" type="noConversion"/>
  </si>
  <si>
    <t>관람객서비스</t>
    <phoneticPr fontId="19" type="noConversion"/>
  </si>
  <si>
    <t xml:space="preserve"> o 입주작가 모집공고 온오프라인 광고</t>
    <phoneticPr fontId="19" type="noConversion"/>
  </si>
  <si>
    <t xml:space="preserve"> o 홍보 브로슈어 제작</t>
    <phoneticPr fontId="19" type="noConversion"/>
  </si>
  <si>
    <t>특별사업</t>
    <phoneticPr fontId="19" type="noConversion"/>
  </si>
  <si>
    <t>일반관리비</t>
    <phoneticPr fontId="18" type="noConversion"/>
  </si>
  <si>
    <t>– 직원(기획운영팀, 조사연구팀)</t>
    <phoneticPr fontId="19" type="noConversion"/>
  </si>
  <si>
    <t>– 직원(경기학연구센터)</t>
    <phoneticPr fontId="19" type="noConversion"/>
  </si>
  <si>
    <t>– 직원(문화유산팀)</t>
    <phoneticPr fontId="19" type="noConversion"/>
  </si>
  <si>
    <t xml:space="preserve">   2. 부가급여(교통비+정액급식비+자녁학비보조수당+가족수당+초과근무수당포함)</t>
    <phoneticPr fontId="19" type="noConversion"/>
  </si>
  <si>
    <t>– 직원(북한산성 파견)</t>
    <phoneticPr fontId="19" type="noConversion"/>
  </si>
  <si>
    <t xml:space="preserve">   4. 경영평가 성과급</t>
    <phoneticPr fontId="19" type="noConversion"/>
  </si>
  <si>
    <t xml:space="preserve"> o 직원 퇴직급여</t>
    <phoneticPr fontId="19" type="noConversion"/>
  </si>
  <si>
    <t xml:space="preserve">   2. 직원 워크숍, 건강검진</t>
    <phoneticPr fontId="19" type="noConversion"/>
  </si>
  <si>
    <t>원 *</t>
    <phoneticPr fontId="19" type="noConversion"/>
  </si>
  <si>
    <t>명</t>
    <phoneticPr fontId="18" type="noConversion"/>
  </si>
  <si>
    <t>=</t>
    <phoneticPr fontId="18" type="noConversion"/>
  </si>
  <si>
    <t xml:space="preserve">   3. 피복비</t>
    <phoneticPr fontId="19" type="noConversion"/>
  </si>
  <si>
    <t>교육훈련비</t>
    <phoneticPr fontId="24" type="noConversion"/>
  </si>
  <si>
    <t xml:space="preserve"> o 연구원 및 직원 직무관련 교육훈련비</t>
    <phoneticPr fontId="19" type="noConversion"/>
  </si>
  <si>
    <t>도서인쇄비</t>
    <phoneticPr fontId="19" type="noConversion"/>
  </si>
  <si>
    <t xml:space="preserve"> o 업무용 자료 제본</t>
    <phoneticPr fontId="19" type="noConversion"/>
  </si>
  <si>
    <t>보험료</t>
    <phoneticPr fontId="19" type="noConversion"/>
  </si>
  <si>
    <t xml:space="preserve">   1. 회계담당직원재정보증보험</t>
    <phoneticPr fontId="19" type="noConversion"/>
  </si>
  <si>
    <t xml:space="preserve">   2. 용역 관련 보험료(이행, 선급금 등)</t>
    <phoneticPr fontId="19" type="noConversion"/>
  </si>
  <si>
    <t xml:space="preserve">   3. 기타 보험료</t>
    <phoneticPr fontId="19" type="noConversion"/>
  </si>
  <si>
    <t>부서운영비</t>
    <phoneticPr fontId="19" type="noConversion"/>
  </si>
  <si>
    <t xml:space="preserve">   1. 원장실</t>
    <phoneticPr fontId="19" type="noConversion"/>
  </si>
  <si>
    <t xml:space="preserve">   2. 각 팀</t>
    <phoneticPr fontId="19" type="noConversion"/>
  </si>
  <si>
    <t>팀*</t>
    <phoneticPr fontId="19" type="noConversion"/>
  </si>
  <si>
    <t>세금과공과</t>
    <phoneticPr fontId="19" type="noConversion"/>
  </si>
  <si>
    <t xml:space="preserve">   1. 용역계약 수입인지대</t>
    <phoneticPr fontId="19" type="noConversion"/>
  </si>
  <si>
    <t xml:space="preserve">   2. 입찰등록 수입증지대</t>
    <phoneticPr fontId="19" type="noConversion"/>
  </si>
  <si>
    <t xml:space="preserve">   3. 종업원할 주민세 </t>
    <phoneticPr fontId="19" type="noConversion"/>
  </si>
  <si>
    <t>회</t>
    <phoneticPr fontId="18" type="noConversion"/>
  </si>
  <si>
    <t xml:space="preserve">   4. 부가가치세</t>
    <phoneticPr fontId="19" type="noConversion"/>
  </si>
  <si>
    <t>원 *</t>
    <phoneticPr fontId="19" type="noConversion"/>
  </si>
  <si>
    <t>회</t>
    <phoneticPr fontId="18" type="noConversion"/>
  </si>
  <si>
    <t xml:space="preserve">   5. 공공부담금 (한국문화재연구원 협회비)</t>
    <phoneticPr fontId="19" type="noConversion"/>
  </si>
  <si>
    <t>(한국매장문화재협회비)</t>
    <phoneticPr fontId="19" type="noConversion"/>
  </si>
  <si>
    <t xml:space="preserve">   1. 사무용기기 복사용지(복사, 팩스, 컴퓨터인쇄 등)</t>
    <phoneticPr fontId="19" type="noConversion"/>
  </si>
  <si>
    <t>박스 *</t>
    <phoneticPr fontId="19" type="noConversion"/>
  </si>
  <si>
    <t xml:space="preserve">   2. 복사기, 팩스 등 토너 및 부품</t>
    <phoneticPr fontId="19" type="noConversion"/>
  </si>
  <si>
    <t>대 *</t>
    <phoneticPr fontId="19" type="noConversion"/>
  </si>
  <si>
    <t>월</t>
    <phoneticPr fontId="19" type="noConversion"/>
  </si>
  <si>
    <t xml:space="preserve">   3. 생수사용료</t>
    <phoneticPr fontId="19" type="noConversion"/>
  </si>
  <si>
    <t>통 *</t>
    <phoneticPr fontId="19" type="noConversion"/>
  </si>
  <si>
    <t xml:space="preserve">   4. 사무용품</t>
    <phoneticPr fontId="19" type="noConversion"/>
  </si>
  <si>
    <t>업무추진비</t>
    <phoneticPr fontId="19" type="noConversion"/>
  </si>
  <si>
    <t xml:space="preserve">   1. 기관운영일반업무추진비(원장)</t>
    <phoneticPr fontId="18" type="noConversion"/>
  </si>
  <si>
    <t xml:space="preserve">   2. 시책업무추진비(사업추진)</t>
    <phoneticPr fontId="18" type="noConversion"/>
  </si>
  <si>
    <t>=</t>
    <phoneticPr fontId="18" type="noConversion"/>
  </si>
  <si>
    <t>여비교통비</t>
    <phoneticPr fontId="19" type="noConversion"/>
  </si>
  <si>
    <t xml:space="preserve">   1. 국내여비</t>
    <phoneticPr fontId="18" type="noConversion"/>
  </si>
  <si>
    <t>명*</t>
    <phoneticPr fontId="19" type="noConversion"/>
  </si>
  <si>
    <t>회*</t>
    <phoneticPr fontId="19" type="noConversion"/>
  </si>
  <si>
    <t xml:space="preserve">   2. 국외여비</t>
    <phoneticPr fontId="18" type="noConversion"/>
  </si>
  <si>
    <t>유지관리비</t>
    <phoneticPr fontId="19" type="noConversion"/>
  </si>
  <si>
    <t xml:space="preserve">   1. 장비(발굴장비, 보조장비, 보존처리장비 등)수리비</t>
    <phoneticPr fontId="19" type="noConversion"/>
  </si>
  <si>
    <t>원 *</t>
    <phoneticPr fontId="19" type="noConversion"/>
  </si>
  <si>
    <t xml:space="preserve">   2. 컴퓨터 유지보수비</t>
    <phoneticPr fontId="19" type="noConversion"/>
  </si>
  <si>
    <t>대 *</t>
    <phoneticPr fontId="19" type="noConversion"/>
  </si>
  <si>
    <t>월</t>
    <phoneticPr fontId="18" type="noConversion"/>
  </si>
  <si>
    <t xml:space="preserve">   3. 비품(복사기, 팩스 등)수리비</t>
    <phoneticPr fontId="19" type="noConversion"/>
  </si>
  <si>
    <t>원 *</t>
    <phoneticPr fontId="19" type="noConversion"/>
  </si>
  <si>
    <t xml:space="preserve">   4. 전산기기 유지관리비 등</t>
    <phoneticPr fontId="19" type="noConversion"/>
  </si>
  <si>
    <t xml:space="preserve">   5. 업무용 차량유지비(유류대+세차비+기타)</t>
    <phoneticPr fontId="19" type="noConversion"/>
  </si>
  <si>
    <t>대 *</t>
    <phoneticPr fontId="19" type="noConversion"/>
  </si>
  <si>
    <t>자료구입비</t>
    <phoneticPr fontId="19" type="noConversion"/>
  </si>
  <si>
    <t xml:space="preserve"> o 계</t>
    <phoneticPr fontId="18" type="noConversion"/>
  </si>
  <si>
    <t xml:space="preserve">   1. 연구용도서 구입</t>
    <phoneticPr fontId="19" type="noConversion"/>
  </si>
  <si>
    <t>권</t>
    <phoneticPr fontId="19" type="noConversion"/>
  </si>
  <si>
    <t xml:space="preserve">   2. 신문, 잡지 등 구입</t>
    <phoneticPr fontId="19" type="noConversion"/>
  </si>
  <si>
    <t>부 *</t>
    <phoneticPr fontId="19" type="noConversion"/>
  </si>
  <si>
    <t xml:space="preserve">   1. 조달청 수수료</t>
    <phoneticPr fontId="19" type="noConversion"/>
  </si>
  <si>
    <t xml:space="preserve">   2. 택배, 퀵서비스 수수료</t>
    <phoneticPr fontId="19" type="noConversion"/>
  </si>
  <si>
    <t xml:space="preserve">   3. 기타수수료등</t>
    <phoneticPr fontId="19" type="noConversion"/>
  </si>
  <si>
    <t xml:space="preserve">   1. 세무 및 결산 등 제비용</t>
    <phoneticPr fontId="19" type="noConversion"/>
  </si>
  <si>
    <t xml:space="preserve"> </t>
    <phoneticPr fontId="18" type="noConversion"/>
  </si>
  <si>
    <t xml:space="preserve">   2. 소프트웨어 관리 시스템 운영</t>
    <phoneticPr fontId="19" type="noConversion"/>
  </si>
  <si>
    <t xml:space="preserve">   3. 사무실 보안경비</t>
    <phoneticPr fontId="19" type="noConversion"/>
  </si>
  <si>
    <t xml:space="preserve">   4. 사무실 이동 관련(통신선 등)</t>
    <phoneticPr fontId="19" type="noConversion"/>
  </si>
  <si>
    <t xml:space="preserve">   1. 업무용 차량 임차</t>
    <phoneticPr fontId="19" type="noConversion"/>
  </si>
  <si>
    <t xml:space="preserve">   2. 전산장비 임대(컴퓨터 등)</t>
    <phoneticPr fontId="19" type="noConversion"/>
  </si>
  <si>
    <t xml:space="preserve">   3. 사무기기 임대(복합기 등)</t>
    <phoneticPr fontId="19" type="noConversion"/>
  </si>
  <si>
    <t>직책업무추진비</t>
    <phoneticPr fontId="19" type="noConversion"/>
  </si>
  <si>
    <t xml:space="preserve">   1. 연구원장</t>
    <phoneticPr fontId="18" type="noConversion"/>
  </si>
  <si>
    <t>명 *</t>
    <phoneticPr fontId="19" type="noConversion"/>
  </si>
  <si>
    <t xml:space="preserve">   2. 팀장</t>
    <phoneticPr fontId="18" type="noConversion"/>
  </si>
  <si>
    <t xml:space="preserve">   1.  보고서발송비</t>
    <phoneticPr fontId="19" type="noConversion"/>
  </si>
  <si>
    <t>부 *</t>
    <phoneticPr fontId="19" type="noConversion"/>
  </si>
  <si>
    <t>회</t>
    <phoneticPr fontId="24" type="noConversion"/>
  </si>
  <si>
    <t xml:space="preserve">   2.  우편요금(사무실)</t>
    <phoneticPr fontId="19" type="noConversion"/>
  </si>
  <si>
    <t xml:space="preserve">   3.  전화 및 인터넷요금(사무실)</t>
    <phoneticPr fontId="19" type="noConversion"/>
  </si>
  <si>
    <t>회선 *</t>
    <phoneticPr fontId="19" type="noConversion"/>
  </si>
  <si>
    <t>원 *</t>
    <phoneticPr fontId="19" type="noConversion"/>
  </si>
  <si>
    <t>월</t>
    <phoneticPr fontId="19" type="noConversion"/>
  </si>
  <si>
    <t>=</t>
    <phoneticPr fontId="19" type="noConversion"/>
  </si>
  <si>
    <t xml:space="preserve">   4. 케이블TV 사용료</t>
    <phoneticPr fontId="19" type="noConversion"/>
  </si>
  <si>
    <t>대 *</t>
    <phoneticPr fontId="19" type="noConversion"/>
  </si>
  <si>
    <t>회의운영비</t>
    <phoneticPr fontId="19" type="noConversion"/>
  </si>
  <si>
    <t xml:space="preserve"> o 연구원 회의운영비</t>
    <phoneticPr fontId="19" type="noConversion"/>
  </si>
  <si>
    <t>인 *</t>
    <phoneticPr fontId="19" type="noConversion"/>
  </si>
  <si>
    <t>고정자산</t>
    <phoneticPr fontId="24" type="noConversion"/>
  </si>
  <si>
    <t>팀 *</t>
    <phoneticPr fontId="19" type="noConversion"/>
  </si>
  <si>
    <t>기획운영/조사연구팀</t>
    <phoneticPr fontId="19" type="noConversion"/>
  </si>
  <si>
    <t>인건비</t>
    <phoneticPr fontId="24" type="noConversion"/>
  </si>
  <si>
    <t xml:space="preserve"> o 프로젝트 계약직</t>
    <phoneticPr fontId="19" type="noConversion"/>
  </si>
  <si>
    <t>=</t>
    <phoneticPr fontId="18" type="noConversion"/>
  </si>
  <si>
    <t>도서인쇄비</t>
    <phoneticPr fontId="19" type="noConversion"/>
  </si>
  <si>
    <t xml:space="preserve">   1. 발굴(시굴)조사 보고서 발간</t>
    <phoneticPr fontId="19" type="noConversion"/>
  </si>
  <si>
    <t xml:space="preserve">   2. 지표조사 보고서 발간</t>
    <phoneticPr fontId="19" type="noConversion"/>
  </si>
  <si>
    <t xml:space="preserve">   3. 연구용역사업 보고서 발간</t>
    <phoneticPr fontId="19" type="noConversion"/>
  </si>
  <si>
    <t xml:space="preserve">   4. 자문위원회 회의자료 인쇄</t>
    <phoneticPr fontId="19" type="noConversion"/>
  </si>
  <si>
    <t>현장운영비</t>
    <phoneticPr fontId="19" type="noConversion"/>
  </si>
  <si>
    <t xml:space="preserve"> o 발굴현장(2억이상 현장)</t>
    <phoneticPr fontId="19" type="noConversion"/>
  </si>
  <si>
    <t>월 *</t>
    <phoneticPr fontId="24" type="noConversion"/>
  </si>
  <si>
    <t xml:space="preserve">개현장 </t>
    <phoneticPr fontId="19" type="noConversion"/>
  </si>
  <si>
    <t>소모품비</t>
    <phoneticPr fontId="19" type="noConversion"/>
  </si>
  <si>
    <t>수도광열비</t>
    <phoneticPr fontId="19" type="noConversion"/>
  </si>
  <si>
    <t>여비교통비</t>
    <phoneticPr fontId="19" type="noConversion"/>
  </si>
  <si>
    <t>일*</t>
    <phoneticPr fontId="19" type="noConversion"/>
  </si>
  <si>
    <t>유지관리비</t>
    <phoneticPr fontId="19" type="noConversion"/>
  </si>
  <si>
    <t xml:space="preserve"> o 발굴 및 시굴조사(차량주유비)</t>
    <phoneticPr fontId="19" type="noConversion"/>
  </si>
  <si>
    <t>지급수수료</t>
    <phoneticPr fontId="19" type="noConversion"/>
  </si>
  <si>
    <t xml:space="preserve">   1. 자문위원회수당</t>
    <phoneticPr fontId="19" type="noConversion"/>
  </si>
  <si>
    <t>인 *</t>
    <phoneticPr fontId="19" type="noConversion"/>
  </si>
  <si>
    <t xml:space="preserve">   2. 용역사업 원고료</t>
    <phoneticPr fontId="19" type="noConversion"/>
  </si>
  <si>
    <t xml:space="preserve">   3. 각종수수료등</t>
    <phoneticPr fontId="19" type="noConversion"/>
  </si>
  <si>
    <t xml:space="preserve">   1. 발굴(시굴)조사 인부 인건비</t>
    <phoneticPr fontId="19" type="noConversion"/>
  </si>
  <si>
    <t xml:space="preserve">   2. 보고서 작업 인부 인건비</t>
    <phoneticPr fontId="19" type="noConversion"/>
  </si>
  <si>
    <t xml:space="preserve">   3. 유물정리/보존처리 인부 인건비</t>
    <phoneticPr fontId="19" type="noConversion"/>
  </si>
  <si>
    <t xml:space="preserve">   4. 3D 스캔비 </t>
    <phoneticPr fontId="19" type="noConversion"/>
  </si>
  <si>
    <t xml:space="preserve">   5. 보존처리 관련 용역비</t>
    <phoneticPr fontId="19" type="noConversion"/>
  </si>
  <si>
    <t xml:space="preserve">   6. 도면스캔비</t>
    <phoneticPr fontId="18" type="noConversion"/>
  </si>
  <si>
    <t xml:space="preserve">   7. 학술연구용역관련 용역비</t>
    <phoneticPr fontId="19" type="noConversion"/>
  </si>
  <si>
    <t xml:space="preserve">   8 전문조사분야 보고서 원고료</t>
    <phoneticPr fontId="24" type="noConversion"/>
  </si>
  <si>
    <t>회</t>
    <phoneticPr fontId="24" type="noConversion"/>
  </si>
  <si>
    <t xml:space="preserve">   9. 시굴조사지역 임목벌채 용역</t>
    <phoneticPr fontId="24" type="noConversion"/>
  </si>
  <si>
    <t>㎡ *</t>
    <phoneticPr fontId="24" type="noConversion"/>
  </si>
  <si>
    <t xml:space="preserve">  10. 항공촬영비</t>
    <phoneticPr fontId="19" type="noConversion"/>
  </si>
  <si>
    <t>개현장*</t>
    <phoneticPr fontId="19" type="noConversion"/>
  </si>
  <si>
    <t xml:space="preserve">  11. 사진현상및인화비</t>
    <phoneticPr fontId="19" type="noConversion"/>
  </si>
  <si>
    <t xml:space="preserve">  12. 조사현장 현황 측량비</t>
    <phoneticPr fontId="19" type="noConversion"/>
  </si>
  <si>
    <t xml:space="preserve">  13. 발굴현장 사무실 설치비용</t>
    <phoneticPr fontId="19" type="noConversion"/>
  </si>
  <si>
    <t xml:space="preserve">  14. 발굴현장 임시 전기가설 용역</t>
    <phoneticPr fontId="19" type="noConversion"/>
  </si>
  <si>
    <t>개소*</t>
    <phoneticPr fontId="19" type="noConversion"/>
  </si>
  <si>
    <t>회</t>
    <phoneticPr fontId="18" type="noConversion"/>
  </si>
  <si>
    <t xml:space="preserve"> o 전화 및 인터넷요금(현장)</t>
    <phoneticPr fontId="19" type="noConversion"/>
  </si>
  <si>
    <t>ㅇ 행사운영비(보험료, 입장료, 식비, 소포품, 홍보물 등)</t>
    <phoneticPr fontId="19" type="noConversion"/>
  </si>
  <si>
    <t xml:space="preserve">   1.  지도위원회 식음료(지도위원, 발굴관계자 등)</t>
    <phoneticPr fontId="19" type="noConversion"/>
  </si>
  <si>
    <t>학술자문회의</t>
    <phoneticPr fontId="19" type="noConversion"/>
  </si>
  <si>
    <t>인 *</t>
    <phoneticPr fontId="19" type="noConversion"/>
  </si>
  <si>
    <t xml:space="preserve">   2.  용역사업관련 회의운영비</t>
    <phoneticPr fontId="19" type="noConversion"/>
  </si>
  <si>
    <t xml:space="preserve">   3.  중간검토회 개최 식음료</t>
    <phoneticPr fontId="19" type="noConversion"/>
  </si>
  <si>
    <t>문화유산 활용 콘텐츠 개발 및 보존</t>
    <phoneticPr fontId="19" type="noConversion"/>
  </si>
  <si>
    <t>명 *</t>
    <phoneticPr fontId="19" type="noConversion"/>
  </si>
  <si>
    <t>ㅇ 출장비</t>
    <phoneticPr fontId="19" type="noConversion"/>
  </si>
  <si>
    <t>행사운영비</t>
    <phoneticPr fontId="18" type="noConversion"/>
  </si>
  <si>
    <t xml:space="preserve"> o </t>
    <phoneticPr fontId="19" type="noConversion"/>
  </si>
  <si>
    <t>대</t>
    <phoneticPr fontId="19" type="noConversion"/>
  </si>
  <si>
    <t>경기학연구센터</t>
    <phoneticPr fontId="19" type="noConversion"/>
  </si>
  <si>
    <t>일반관리비</t>
    <phoneticPr fontId="19" type="noConversion"/>
  </si>
  <si>
    <t>경기학조사연구</t>
    <phoneticPr fontId="19" type="noConversion"/>
  </si>
  <si>
    <t>ㅇ계</t>
    <phoneticPr fontId="19" type="noConversion"/>
  </si>
  <si>
    <t>회의운영비</t>
    <phoneticPr fontId="18" type="noConversion"/>
  </si>
  <si>
    <t>ㅇ 관계자업무협의등</t>
    <phoneticPr fontId="19" type="noConversion"/>
  </si>
  <si>
    <t>ㅇ 행사운영물품구입</t>
    <phoneticPr fontId="19" type="noConversion"/>
  </si>
  <si>
    <t>청소년 역사교재 제작보급</t>
    <phoneticPr fontId="19" type="noConversion"/>
  </si>
  <si>
    <t>인건비</t>
    <phoneticPr fontId="19" type="noConversion"/>
  </si>
  <si>
    <t>%</t>
    <phoneticPr fontId="19" type="noConversion"/>
  </si>
  <si>
    <t>매</t>
    <phoneticPr fontId="19" type="noConversion"/>
  </si>
  <si>
    <t>자료구입비</t>
    <phoneticPr fontId="19" type="noConversion"/>
  </si>
  <si>
    <t>경기도 현대 지역사회 기록화</t>
    <phoneticPr fontId="19" type="noConversion"/>
  </si>
  <si>
    <t>ㅇ 조사원고료</t>
    <phoneticPr fontId="19" type="noConversion"/>
  </si>
  <si>
    <t>경기도 효행이야기 발간</t>
    <phoneticPr fontId="19" type="noConversion"/>
  </si>
  <si>
    <t>ㅇ 인쇄발간</t>
    <phoneticPr fontId="19" type="noConversion"/>
  </si>
  <si>
    <t>문화유산팀</t>
    <phoneticPr fontId="19" type="noConversion"/>
  </si>
  <si>
    <t>문화유산팀 운영</t>
    <phoneticPr fontId="19" type="noConversion"/>
  </si>
  <si>
    <t>ㅇ 각종 보험료</t>
    <phoneticPr fontId="19" type="noConversion"/>
  </si>
  <si>
    <t xml:space="preserve">   1. 안내책자</t>
    <phoneticPr fontId="19" type="noConversion"/>
  </si>
  <si>
    <t xml:space="preserve">   2. 팸플릿 소책자</t>
    <phoneticPr fontId="19" type="noConversion"/>
  </si>
  <si>
    <t xml:space="preserve">ㅇ 부서운영비 </t>
    <phoneticPr fontId="19" type="noConversion"/>
  </si>
  <si>
    <t>ㅇ 소모품비</t>
    <phoneticPr fontId="19" type="noConversion"/>
  </si>
  <si>
    <t>회 *</t>
    <phoneticPr fontId="19" type="noConversion"/>
  </si>
  <si>
    <t xml:space="preserve">   1. 원격지근무지원</t>
    <phoneticPr fontId="19" type="noConversion"/>
  </si>
  <si>
    <t xml:space="preserve">   2. 국내여비</t>
    <phoneticPr fontId="19" type="noConversion"/>
  </si>
  <si>
    <t xml:space="preserve">   3. 국외여비</t>
    <phoneticPr fontId="19" type="noConversion"/>
  </si>
  <si>
    <t>ㅇ 유지관리비</t>
    <phoneticPr fontId="19" type="noConversion"/>
  </si>
  <si>
    <t>ㅇ 자료구입비</t>
    <phoneticPr fontId="19" type="noConversion"/>
  </si>
  <si>
    <t>ㅇ 실무위원회 수당</t>
    <phoneticPr fontId="19" type="noConversion"/>
  </si>
  <si>
    <t>ㅇ 지급용역료</t>
    <phoneticPr fontId="19" type="noConversion"/>
  </si>
  <si>
    <t>ㅇ 지급임차료</t>
    <phoneticPr fontId="19" type="noConversion"/>
  </si>
  <si>
    <t>ㅇ 통신비</t>
    <phoneticPr fontId="19" type="noConversion"/>
  </si>
  <si>
    <t>고정자산</t>
    <phoneticPr fontId="19" type="noConversion"/>
  </si>
  <si>
    <t xml:space="preserve">   1. 업무용컴퓨터 구입</t>
    <phoneticPr fontId="19" type="noConversion"/>
  </si>
  <si>
    <t xml:space="preserve">   2. 캐드프로그램구입</t>
    <phoneticPr fontId="19" type="noConversion"/>
  </si>
  <si>
    <t>개</t>
    <phoneticPr fontId="19" type="noConversion"/>
  </si>
  <si>
    <t>세계문화유산 학술연구</t>
    <phoneticPr fontId="19" type="noConversion"/>
  </si>
  <si>
    <t>경기 문화유산 세계화</t>
    <phoneticPr fontId="24" type="noConversion"/>
  </si>
  <si>
    <t>소모품비</t>
    <phoneticPr fontId="31" type="noConversion"/>
  </si>
  <si>
    <t xml:space="preserve"> o 소모품 구입</t>
    <phoneticPr fontId="19" type="noConversion"/>
  </si>
  <si>
    <t>여비교통비</t>
    <phoneticPr fontId="31" type="noConversion"/>
  </si>
  <si>
    <t>지급임차료</t>
    <phoneticPr fontId="31" type="noConversion"/>
  </si>
  <si>
    <t>회의운영비</t>
    <phoneticPr fontId="31" type="noConversion"/>
  </si>
  <si>
    <t>인건비</t>
    <phoneticPr fontId="18" type="noConversion"/>
  </si>
  <si>
    <t xml:space="preserve"> o 급여 및 부가급여(인건비, 4대보험, 퇴직금 포함)</t>
    <phoneticPr fontId="19" type="noConversion"/>
  </si>
  <si>
    <t xml:space="preserve">   1. 홍보물제작</t>
    <phoneticPr fontId="19" type="noConversion"/>
  </si>
  <si>
    <t xml:space="preserve">   2. 교육자료집</t>
    <phoneticPr fontId="19" type="noConversion"/>
  </si>
  <si>
    <t xml:space="preserve"> o 여행자/화재보험</t>
    <phoneticPr fontId="19" type="noConversion"/>
  </si>
  <si>
    <t xml:space="preserve"> o 공공요금</t>
    <phoneticPr fontId="19" type="noConversion"/>
  </si>
  <si>
    <t xml:space="preserve">   1. 재능기부 강사</t>
    <phoneticPr fontId="19" type="noConversion"/>
  </si>
  <si>
    <t xml:space="preserve">   2. 전문강사</t>
    <phoneticPr fontId="19" type="noConversion"/>
  </si>
  <si>
    <t xml:space="preserve">   3. 보조강사</t>
    <phoneticPr fontId="19" type="noConversion"/>
  </si>
  <si>
    <t xml:space="preserve">   2. 설비 유치보수비</t>
    <phoneticPr fontId="19" type="noConversion"/>
  </si>
  <si>
    <t xml:space="preserve"> o 교육정보센터 임차료</t>
    <phoneticPr fontId="19" type="noConversion"/>
  </si>
  <si>
    <t xml:space="preserve"> o 통신비</t>
    <phoneticPr fontId="19" type="noConversion"/>
  </si>
  <si>
    <t xml:space="preserve">   2. 행사물품구입</t>
    <phoneticPr fontId="19" type="noConversion"/>
  </si>
  <si>
    <t xml:space="preserve">   3. 행사진행비</t>
    <phoneticPr fontId="19" type="noConversion"/>
  </si>
  <si>
    <t xml:space="preserve"> o 회의운영비</t>
    <phoneticPr fontId="19" type="noConversion"/>
  </si>
  <si>
    <t>산    출    기    초</t>
    <phoneticPr fontId="25" type="noConversion"/>
  </si>
  <si>
    <t>경기도박물관</t>
    <phoneticPr fontId="19" type="noConversion"/>
  </si>
  <si>
    <t>명</t>
    <phoneticPr fontId="19" type="noConversion"/>
  </si>
  <si>
    <t>제경비</t>
    <phoneticPr fontId="18" type="noConversion"/>
  </si>
  <si>
    <t>복리후생비(경비)</t>
    <phoneticPr fontId="19" type="noConversion"/>
  </si>
  <si>
    <t xml:space="preserve">   1. 직원 사내 동아리활동비</t>
    <phoneticPr fontId="18" type="noConversion"/>
  </si>
  <si>
    <t>단체*</t>
    <phoneticPr fontId="18" type="noConversion"/>
  </si>
  <si>
    <t>개월</t>
    <phoneticPr fontId="18" type="noConversion"/>
  </si>
  <si>
    <t xml:space="preserve">   2. 직원MT, 건강검진</t>
    <phoneticPr fontId="19" type="noConversion"/>
  </si>
  <si>
    <t>교육훈련비</t>
    <phoneticPr fontId="19" type="noConversion"/>
  </si>
  <si>
    <t xml:space="preserve"> o 직원 직무교육</t>
    <phoneticPr fontId="18" type="noConversion"/>
  </si>
  <si>
    <t>도서인쇄비</t>
    <phoneticPr fontId="19" type="noConversion"/>
  </si>
  <si>
    <t xml:space="preserve">   1. 안내,홍보물 및 인쇄물 제작</t>
    <phoneticPr fontId="18" type="noConversion"/>
  </si>
  <si>
    <t>종</t>
    <phoneticPr fontId="19" type="noConversion"/>
  </si>
  <si>
    <t xml:space="preserve">   2. 박물관 봉투 및 종이가방 제작</t>
    <phoneticPr fontId="18" type="noConversion"/>
  </si>
  <si>
    <t xml:space="preserve">   3. 각종 자료 인쇄 및 제본</t>
    <phoneticPr fontId="18" type="noConversion"/>
  </si>
  <si>
    <t>보험료</t>
    <phoneticPr fontId="19" type="noConversion"/>
  </si>
  <si>
    <t xml:space="preserve">   1. 자동차보험료  </t>
    <phoneticPr fontId="19" type="noConversion"/>
  </si>
  <si>
    <t>대</t>
    <phoneticPr fontId="19" type="noConversion"/>
  </si>
  <si>
    <t xml:space="preserve">   2. 건물관련보험(화재보험 등)</t>
    <phoneticPr fontId="19" type="noConversion"/>
  </si>
  <si>
    <t>부서운영비</t>
    <phoneticPr fontId="19" type="noConversion"/>
  </si>
  <si>
    <t xml:space="preserve">   1. 관장실</t>
    <phoneticPr fontId="19" type="noConversion"/>
  </si>
  <si>
    <t>실*</t>
    <phoneticPr fontId="18" type="noConversion"/>
  </si>
  <si>
    <t xml:space="preserve">   2. 각 팀</t>
    <phoneticPr fontId="19" type="noConversion"/>
  </si>
  <si>
    <t>팀*</t>
    <phoneticPr fontId="19" type="noConversion"/>
  </si>
  <si>
    <t>세금과공과</t>
    <phoneticPr fontId="19" type="noConversion"/>
  </si>
  <si>
    <t xml:space="preserve">   1. 부가가치세</t>
    <phoneticPr fontId="19" type="noConversion"/>
  </si>
  <si>
    <t xml:space="preserve">   2. 자동차세</t>
    <phoneticPr fontId="19" type="noConversion"/>
  </si>
  <si>
    <t xml:space="preserve">   3. 환경개선부담금</t>
    <phoneticPr fontId="19" type="noConversion"/>
  </si>
  <si>
    <t xml:space="preserve">   4. 학회 및 협회비 등</t>
    <phoneticPr fontId="19" type="noConversion"/>
  </si>
  <si>
    <t xml:space="preserve">   5. 기타(주민세, 면허세, 재산세 등)</t>
    <phoneticPr fontId="19" type="noConversion"/>
  </si>
  <si>
    <t xml:space="preserve">   1. 시설관리소모품 (전기,설비,건축,미화등)</t>
    <phoneticPr fontId="19" type="noConversion"/>
  </si>
  <si>
    <t xml:space="preserve">   2. 입장권제작</t>
    <phoneticPr fontId="19" type="noConversion"/>
  </si>
  <si>
    <t>매*</t>
    <phoneticPr fontId="19" type="noConversion"/>
  </si>
  <si>
    <t xml:space="preserve">   3. 생수사용료</t>
    <phoneticPr fontId="18" type="noConversion"/>
  </si>
  <si>
    <t>통*</t>
    <phoneticPr fontId="18" type="noConversion"/>
  </si>
  <si>
    <t xml:space="preserve">   4. 전산기기 토너</t>
    <phoneticPr fontId="18" type="noConversion"/>
  </si>
  <si>
    <t>대*</t>
    <phoneticPr fontId="18" type="noConversion"/>
  </si>
  <si>
    <t>수도광열비</t>
    <phoneticPr fontId="19" type="noConversion"/>
  </si>
  <si>
    <t xml:space="preserve">   1. 전기요금</t>
    <phoneticPr fontId="19" type="noConversion"/>
  </si>
  <si>
    <t xml:space="preserve">   2. 가스요금</t>
    <phoneticPr fontId="18" type="noConversion"/>
  </si>
  <si>
    <t xml:space="preserve">   3. 상하수도요금</t>
    <phoneticPr fontId="19" type="noConversion"/>
  </si>
  <si>
    <t>업무추진비</t>
    <phoneticPr fontId="19" type="noConversion"/>
  </si>
  <si>
    <t>=</t>
    <phoneticPr fontId="18" type="noConversion"/>
  </si>
  <si>
    <t xml:space="preserve">   1. 기관운영일반업무추진비(관장)</t>
    <phoneticPr fontId="19" type="noConversion"/>
  </si>
  <si>
    <t xml:space="preserve">   2. 시책업무추진비(사업추진)</t>
    <phoneticPr fontId="19" type="noConversion"/>
  </si>
  <si>
    <t xml:space="preserve">   1. 국내여비</t>
    <phoneticPr fontId="19" type="noConversion"/>
  </si>
  <si>
    <t>17</t>
    <phoneticPr fontId="19" type="noConversion"/>
  </si>
  <si>
    <t>4</t>
    <phoneticPr fontId="19" type="noConversion"/>
  </si>
  <si>
    <t>회*</t>
    <phoneticPr fontId="19" type="noConversion"/>
  </si>
  <si>
    <t xml:space="preserve">   2. 주차료</t>
    <phoneticPr fontId="19" type="noConversion"/>
  </si>
  <si>
    <t>2</t>
    <phoneticPr fontId="19" type="noConversion"/>
  </si>
  <si>
    <t>시간*</t>
    <phoneticPr fontId="19" type="noConversion"/>
  </si>
  <si>
    <t>10</t>
    <phoneticPr fontId="19" type="noConversion"/>
  </si>
  <si>
    <t xml:space="preserve">   3. 도로통행료</t>
    <phoneticPr fontId="19" type="noConversion"/>
  </si>
  <si>
    <t>3</t>
    <phoneticPr fontId="19" type="noConversion"/>
  </si>
  <si>
    <t>대*</t>
    <phoneticPr fontId="19" type="noConversion"/>
  </si>
  <si>
    <t>유지관리비</t>
    <phoneticPr fontId="19" type="noConversion"/>
  </si>
  <si>
    <t>ㅇ 계</t>
    <phoneticPr fontId="19" type="noConversion"/>
  </si>
  <si>
    <t>㎡</t>
    <phoneticPr fontId="19" type="noConversion"/>
  </si>
  <si>
    <t>대*</t>
    <phoneticPr fontId="18" type="noConversion"/>
  </si>
  <si>
    <t>원*</t>
    <phoneticPr fontId="18" type="noConversion"/>
  </si>
  <si>
    <t>자료구입비</t>
    <phoneticPr fontId="19" type="noConversion"/>
  </si>
  <si>
    <t xml:space="preserve"> o 정기간행물 (신문등) 구독</t>
    <phoneticPr fontId="19" type="noConversion"/>
  </si>
  <si>
    <t>부*</t>
    <phoneticPr fontId="19" type="noConversion"/>
  </si>
  <si>
    <t xml:space="preserve">   1. 입장료 대행수수료</t>
    <phoneticPr fontId="19" type="noConversion"/>
  </si>
  <si>
    <t xml:space="preserve">   2. 각종검사</t>
    <phoneticPr fontId="19" type="noConversion"/>
  </si>
  <si>
    <t>종*</t>
    <phoneticPr fontId="18" type="noConversion"/>
  </si>
  <si>
    <t xml:space="preserve">   3. 송금수수료</t>
    <phoneticPr fontId="19" type="noConversion"/>
  </si>
  <si>
    <t>건*</t>
    <phoneticPr fontId="19" type="noConversion"/>
  </si>
  <si>
    <t xml:space="preserve">   4. 자문위원회 참석수당 등</t>
    <phoneticPr fontId="19" type="noConversion"/>
  </si>
  <si>
    <t xml:space="preserve">   5. 건물시설검사수수료(전기,가스,보일러,A/V 등)</t>
    <phoneticPr fontId="18" type="noConversion"/>
  </si>
  <si>
    <t>회</t>
    <phoneticPr fontId="18" type="noConversion"/>
  </si>
  <si>
    <t xml:space="preserve">   1. 사옥관리용역(19명)</t>
    <phoneticPr fontId="18" type="noConversion"/>
  </si>
  <si>
    <t xml:space="preserve">   2. 파견용역(1명)</t>
    <phoneticPr fontId="19" type="noConversion"/>
  </si>
  <si>
    <t xml:space="preserve">   3. 조경관리</t>
    <phoneticPr fontId="19" type="noConversion"/>
  </si>
  <si>
    <t>㎡</t>
    <phoneticPr fontId="19" type="noConversion"/>
  </si>
  <si>
    <t xml:space="preserve">   4. 시설물 유지관리업체 용역료</t>
    <phoneticPr fontId="19" type="noConversion"/>
  </si>
  <si>
    <t xml:space="preserve">   5. 세무,결산 및 공사가격조사 등</t>
    <phoneticPr fontId="18" type="noConversion"/>
  </si>
  <si>
    <t>지급임차료</t>
    <phoneticPr fontId="18" type="noConversion"/>
  </si>
  <si>
    <t xml:space="preserve">   1. 업무용 복합기 임차</t>
    <phoneticPr fontId="18" type="noConversion"/>
  </si>
  <si>
    <t>식*</t>
    <phoneticPr fontId="19" type="noConversion"/>
  </si>
  <si>
    <t xml:space="preserve">   2. 비데 임차</t>
    <phoneticPr fontId="19" type="noConversion"/>
  </si>
  <si>
    <t>대*</t>
    <phoneticPr fontId="19" type="noConversion"/>
  </si>
  <si>
    <t xml:space="preserve">   3. 손소독기 임차</t>
    <phoneticPr fontId="19" type="noConversion"/>
  </si>
  <si>
    <t xml:space="preserve">   4. 업무용 차량 임차</t>
    <phoneticPr fontId="19" type="noConversion"/>
  </si>
  <si>
    <t xml:space="preserve">   1. 관장</t>
    <phoneticPr fontId="19" type="noConversion"/>
  </si>
  <si>
    <t xml:space="preserve">   2. 팀장</t>
    <phoneticPr fontId="19" type="noConversion"/>
  </si>
  <si>
    <t xml:space="preserve">   1. 우편요금(일반)</t>
    <phoneticPr fontId="19" type="noConversion"/>
  </si>
  <si>
    <t xml:space="preserve">   2. 전화통신요금</t>
    <phoneticPr fontId="19" type="noConversion"/>
  </si>
  <si>
    <t xml:space="preserve">   3. 유선방송료</t>
    <phoneticPr fontId="19" type="noConversion"/>
  </si>
  <si>
    <t>대*</t>
    <phoneticPr fontId="19" type="noConversion"/>
  </si>
  <si>
    <t>회의운영비</t>
    <phoneticPr fontId="18" type="noConversion"/>
  </si>
  <si>
    <t xml:space="preserve"> o 자문회의,유물평가회의,연찬회 등 식음료비</t>
    <phoneticPr fontId="18" type="noConversion"/>
  </si>
  <si>
    <t>고정자산</t>
    <phoneticPr fontId="18" type="noConversion"/>
  </si>
  <si>
    <t xml:space="preserve">   1. 사무용PC 및 집기류, 소프트웨어 구매 등</t>
    <phoneticPr fontId="19" type="noConversion"/>
  </si>
  <si>
    <t>식</t>
    <phoneticPr fontId="19" type="noConversion"/>
  </si>
  <si>
    <t xml:space="preserve">   2. 야외 파라솔 의자</t>
    <phoneticPr fontId="19" type="noConversion"/>
  </si>
  <si>
    <t>개</t>
    <phoneticPr fontId="19" type="noConversion"/>
  </si>
  <si>
    <t xml:space="preserve">   3. 야외 조경 의자</t>
    <phoneticPr fontId="19" type="noConversion"/>
  </si>
  <si>
    <t>기획전시운영</t>
    <phoneticPr fontId="19" type="noConversion"/>
  </si>
  <si>
    <t xml:space="preserve"> o 계약직 인건비</t>
    <phoneticPr fontId="19" type="noConversion"/>
  </si>
  <si>
    <t xml:space="preserve">   1. 도록제작(청송심씨)</t>
    <phoneticPr fontId="19" type="noConversion"/>
  </si>
  <si>
    <t xml:space="preserve">   2. 포스터 등 홍보물 제작(경기봄, 청송심씨)</t>
    <phoneticPr fontId="19" type="noConversion"/>
  </si>
  <si>
    <t xml:space="preserve">   3. 심포지움 자료집 제작(청송심씨)</t>
    <phoneticPr fontId="19" type="noConversion"/>
  </si>
  <si>
    <t xml:space="preserve"> o 유물보험 가입(청송심씨)</t>
    <phoneticPr fontId="19" type="noConversion"/>
  </si>
  <si>
    <t xml:space="preserve">   1. 전시 물품 및 재료 구입(경기봄, 청송심씨)</t>
    <phoneticPr fontId="19" type="noConversion"/>
  </si>
  <si>
    <t xml:space="preserve">   2. 체험물품 및 기념품 제작구입(경기봄, 청송심씨)</t>
    <phoneticPr fontId="19" type="noConversion"/>
  </si>
  <si>
    <t xml:space="preserve">   1. 원고료(청송심씨)</t>
    <phoneticPr fontId="19" type="noConversion"/>
  </si>
  <si>
    <t>회*</t>
    <phoneticPr fontId="19" type="noConversion"/>
  </si>
  <si>
    <t xml:space="preserve">   2. 심포지움(청송심씨) 발표 수당</t>
    <phoneticPr fontId="19" type="noConversion"/>
  </si>
  <si>
    <t xml:space="preserve">   3. 전시연계교육 교육강사 수당 </t>
    <phoneticPr fontId="19" type="noConversion"/>
  </si>
  <si>
    <t xml:space="preserve">   1. 철거 및 전시공사(경기봄, 청송심씨)</t>
    <phoneticPr fontId="19" type="noConversion"/>
  </si>
  <si>
    <t xml:space="preserve">   2. 유물 운송료(청송심씨)</t>
    <phoneticPr fontId="19" type="noConversion"/>
  </si>
  <si>
    <t xml:space="preserve">   3. 유물 사진 촬영비(청송심씨)</t>
    <phoneticPr fontId="19" type="noConversion"/>
  </si>
  <si>
    <t xml:space="preserve"> o 행사운영비(경기봄, 청송심씨)</t>
    <phoneticPr fontId="19" type="noConversion"/>
  </si>
  <si>
    <t xml:space="preserve"> o 전시추진 간담회(경기봄, 청송심씨)</t>
    <phoneticPr fontId="19" type="noConversion"/>
  </si>
  <si>
    <t xml:space="preserve">   1. 전시연계활동지 제작</t>
    <phoneticPr fontId="19" type="noConversion"/>
  </si>
  <si>
    <t xml:space="preserve">   2. 발굴체험활동지 제작</t>
    <phoneticPr fontId="19" type="noConversion"/>
  </si>
  <si>
    <t xml:space="preserve">   3. 역사탐험대 활동지 제작</t>
    <phoneticPr fontId="19" type="noConversion"/>
  </si>
  <si>
    <t xml:space="preserve">   1. 동동하하 물품구입비</t>
    <phoneticPr fontId="19" type="noConversion"/>
  </si>
  <si>
    <t xml:space="preserve">   2. 교육프로그램 물품구입</t>
    <phoneticPr fontId="19" type="noConversion"/>
  </si>
  <si>
    <t xml:space="preserve">   3. 전시연계교육그램 물품구입</t>
    <phoneticPr fontId="19" type="noConversion"/>
  </si>
  <si>
    <t xml:space="preserve">   1. 발굴체험강사료</t>
    <phoneticPr fontId="19" type="noConversion"/>
  </si>
  <si>
    <t xml:space="preserve">   2. 동동하하 강사료</t>
    <phoneticPr fontId="19" type="noConversion"/>
  </si>
  <si>
    <t xml:space="preserve">   3. 동동하하 프로그램 기획비</t>
    <phoneticPr fontId="19" type="noConversion"/>
  </si>
  <si>
    <t xml:space="preserve">   4. 역사탐험대 강사료</t>
    <phoneticPr fontId="19" type="noConversion"/>
  </si>
  <si>
    <t xml:space="preserve">   5. 전시연계 프로그램 기획비</t>
    <phoneticPr fontId="19" type="noConversion"/>
  </si>
  <si>
    <t xml:space="preserve">   6. 전시연계 강사료</t>
    <phoneticPr fontId="19" type="noConversion"/>
  </si>
  <si>
    <t xml:space="preserve">   1. 발굴체험복장 구입</t>
    <phoneticPr fontId="19" type="noConversion"/>
  </si>
  <si>
    <t xml:space="preserve">   2. 발굴체험장 정비 및 현수막 교체</t>
    <phoneticPr fontId="19" type="noConversion"/>
  </si>
  <si>
    <t xml:space="preserve">   3. 문화재체험 교보재 제작</t>
    <phoneticPr fontId="19" type="noConversion"/>
  </si>
  <si>
    <t xml:space="preserve">   4. 동동하하 교구재 구입</t>
    <phoneticPr fontId="19" type="noConversion"/>
  </si>
  <si>
    <t xml:space="preserve">   5. 전시연계 교구재 구입</t>
    <phoneticPr fontId="19" type="noConversion"/>
  </si>
  <si>
    <t xml:space="preserve">   6. 전시연계 교육 환경 개선</t>
    <phoneticPr fontId="19" type="noConversion"/>
  </si>
  <si>
    <t xml:space="preserve"> o 프로그램 운영 기간제근로자(4대보험, 퇴직급여등 포함)</t>
    <phoneticPr fontId="19" type="noConversion"/>
  </si>
  <si>
    <t xml:space="preserve"> o 교육활동지 제작</t>
    <phoneticPr fontId="19" type="noConversion"/>
  </si>
  <si>
    <t xml:space="preserve">   1. 체험재료 구입</t>
    <phoneticPr fontId="19" type="noConversion"/>
  </si>
  <si>
    <t xml:space="preserve">   2. 기념품 구입</t>
    <phoneticPr fontId="19" type="noConversion"/>
  </si>
  <si>
    <t xml:space="preserve">   1. 전문가 특강 강사료</t>
    <phoneticPr fontId="19" type="noConversion"/>
  </si>
  <si>
    <t xml:space="preserve">   2. 주강사 수당</t>
    <phoneticPr fontId="19" type="noConversion"/>
  </si>
  <si>
    <t xml:space="preserve">   3. 보조강사</t>
    <phoneticPr fontId="19" type="noConversion"/>
  </si>
  <si>
    <t xml:space="preserve">   4. 자문료(교육프로그램 개발)</t>
    <phoneticPr fontId="19" type="noConversion"/>
  </si>
  <si>
    <t xml:space="preserve">   1. 교원연수 교재 제작</t>
    <phoneticPr fontId="19" type="noConversion"/>
  </si>
  <si>
    <t xml:space="preserve">   2. 뮤지엄아카데미 교재 제작</t>
    <phoneticPr fontId="19" type="noConversion"/>
  </si>
  <si>
    <t xml:space="preserve">   1. 교원연수 여행자 보험</t>
    <phoneticPr fontId="19" type="noConversion"/>
  </si>
  <si>
    <t xml:space="preserve">   2. 뮤지엄아카데미 여행자보험</t>
    <phoneticPr fontId="19" type="noConversion"/>
  </si>
  <si>
    <t xml:space="preserve">   1. 교원연수 물품구입등</t>
    <phoneticPr fontId="19" type="noConversion"/>
  </si>
  <si>
    <t xml:space="preserve">   2. 박물관 문화동호회 물품 구입 등</t>
    <phoneticPr fontId="19" type="noConversion"/>
  </si>
  <si>
    <t xml:space="preserve">   3. 뮤지엄아카데미 및 교원연수 현수막 제작</t>
    <phoneticPr fontId="19" type="noConversion"/>
  </si>
  <si>
    <t xml:space="preserve">   1. 교원연수강사료등</t>
    <phoneticPr fontId="19" type="noConversion"/>
  </si>
  <si>
    <t xml:space="preserve">   2. 뮤지엄아카데미강사료</t>
    <phoneticPr fontId="19" type="noConversion"/>
  </si>
  <si>
    <t xml:space="preserve">   3. 뮤지엄아카데미교재원고료</t>
    <phoneticPr fontId="19" type="noConversion"/>
  </si>
  <si>
    <t>지급임차료</t>
    <phoneticPr fontId="19" type="noConversion"/>
  </si>
  <si>
    <t xml:space="preserve">   1. 교원연수 차량임차</t>
    <phoneticPr fontId="19" type="noConversion"/>
  </si>
  <si>
    <t xml:space="preserve">   2. 뮤지엄아카데미답사 차량임차</t>
    <phoneticPr fontId="19" type="noConversion"/>
  </si>
  <si>
    <t>행사운영비</t>
    <phoneticPr fontId="19" type="noConversion"/>
  </si>
  <si>
    <t xml:space="preserve">   1. 동호회 연합전 진행비</t>
    <phoneticPr fontId="19" type="noConversion"/>
  </si>
  <si>
    <t xml:space="preserve">   2. 교원연수 행사진행비</t>
    <phoneticPr fontId="19" type="noConversion"/>
  </si>
  <si>
    <t xml:space="preserve">   3. 뮤지엄아카데미 행사진행비</t>
    <phoneticPr fontId="19" type="noConversion"/>
  </si>
  <si>
    <t xml:space="preserve"> o 교원연수 회의운영비</t>
    <phoneticPr fontId="19" type="noConversion"/>
  </si>
  <si>
    <t>박물관 문화동호회 운영</t>
    <phoneticPr fontId="18" type="noConversion"/>
  </si>
  <si>
    <t>전시교육개발 및 역량강화</t>
    <phoneticPr fontId="25" type="noConversion"/>
  </si>
  <si>
    <t xml:space="preserve"> o 직원해외연수출장비</t>
    <phoneticPr fontId="19" type="noConversion"/>
  </si>
  <si>
    <t>지급수수료</t>
    <phoneticPr fontId="19" type="noConversion"/>
  </si>
  <si>
    <t xml:space="preserve">   1. 자문회의 수당</t>
    <phoneticPr fontId="19" type="noConversion"/>
  </si>
  <si>
    <t xml:space="preserve">   2. 전시교육평가자문위원</t>
    <phoneticPr fontId="19" type="noConversion"/>
  </si>
  <si>
    <t>자료 번역료</t>
    <phoneticPr fontId="19" type="noConversion"/>
  </si>
  <si>
    <t xml:space="preserve"> o 역량강화워크숍</t>
    <phoneticPr fontId="19" type="noConversion"/>
  </si>
  <si>
    <t xml:space="preserve"> o 간담회비</t>
    <phoneticPr fontId="19" type="noConversion"/>
  </si>
  <si>
    <t>지역연계 전통문화콘텐츠 교육</t>
    <phoneticPr fontId="18" type="noConversion"/>
  </si>
  <si>
    <t xml:space="preserve"> o 진로체험교육 진행</t>
    <phoneticPr fontId="19" type="noConversion"/>
  </si>
  <si>
    <t xml:space="preserve"> o 청소년 문화예술축제 지원</t>
    <phoneticPr fontId="19" type="noConversion"/>
  </si>
  <si>
    <t>전시실 속 비밀찾기</t>
    <phoneticPr fontId="18" type="noConversion"/>
  </si>
  <si>
    <t xml:space="preserve">찾아가는 경기도박물관 </t>
    <phoneticPr fontId="19" type="noConversion"/>
  </si>
  <si>
    <t xml:space="preserve">   2. 교육용 소모품 구입</t>
    <phoneticPr fontId="19" type="noConversion"/>
  </si>
  <si>
    <t xml:space="preserve"> o 교육용 의상 세탁</t>
    <phoneticPr fontId="19" type="noConversion"/>
  </si>
  <si>
    <t xml:space="preserve"> o 박람회 및 축제 행사</t>
    <phoneticPr fontId="19" type="noConversion"/>
  </si>
  <si>
    <t xml:space="preserve"> o 체험물품 구입 및 제작</t>
    <phoneticPr fontId="19" type="noConversion"/>
  </si>
  <si>
    <t>연월차수당</t>
    <phoneticPr fontId="19" type="noConversion"/>
  </si>
  <si>
    <t>연합계</t>
    <phoneticPr fontId="19" type="noConversion"/>
  </si>
  <si>
    <t>월평균액</t>
    <phoneticPr fontId="19" type="noConversion"/>
  </si>
  <si>
    <t>소장품 수집 및 관리</t>
    <phoneticPr fontId="19" type="noConversion"/>
  </si>
  <si>
    <t xml:space="preserve"> o 소장유물관리 인건비 (4대보험, 퇴직급여 포함)</t>
    <phoneticPr fontId="19" type="noConversion"/>
  </si>
  <si>
    <t xml:space="preserve"> o 소장품 종합보험</t>
    <phoneticPr fontId="19" type="noConversion"/>
  </si>
  <si>
    <t xml:space="preserve"> o 기증자 감사패 및 기증서 제작 등</t>
    <phoneticPr fontId="19" type="noConversion"/>
  </si>
  <si>
    <t xml:space="preserve"> o 포장, 관리재 구입</t>
    <phoneticPr fontId="19" type="noConversion"/>
  </si>
  <si>
    <t xml:space="preserve">   1. 기증유물 운송</t>
    <phoneticPr fontId="19" type="noConversion"/>
  </si>
  <si>
    <t xml:space="preserve">   2 .소장품 고화질 촬영</t>
    <phoneticPr fontId="19" type="noConversion"/>
  </si>
  <si>
    <t xml:space="preserve">   3. 전산시스템 유지보수</t>
    <phoneticPr fontId="19" type="noConversion"/>
  </si>
  <si>
    <t xml:space="preserve">   4. 소장품 영인 및 보수</t>
    <phoneticPr fontId="19" type="noConversion"/>
  </si>
  <si>
    <t xml:space="preserve"> o 우편요금</t>
    <phoneticPr fontId="19" type="noConversion"/>
  </si>
  <si>
    <t>소장품 보존</t>
    <phoneticPr fontId="19" type="noConversion"/>
  </si>
  <si>
    <t xml:space="preserve"> o 보존과학실운영관리 소모품(60여종)</t>
    <phoneticPr fontId="19" type="noConversion"/>
  </si>
  <si>
    <t xml:space="preserve"> o 소장품 훈증</t>
    <phoneticPr fontId="19" type="noConversion"/>
  </si>
  <si>
    <t>기증유물 조사연구</t>
    <phoneticPr fontId="19" type="noConversion"/>
  </si>
  <si>
    <t xml:space="preserve">   1. 자료집 제작</t>
    <phoneticPr fontId="19" type="noConversion"/>
  </si>
  <si>
    <t xml:space="preserve">   2. 홍보물 제작</t>
    <phoneticPr fontId="19" type="noConversion"/>
  </si>
  <si>
    <t xml:space="preserve">   1. 해제 원고료</t>
    <phoneticPr fontId="19" type="noConversion"/>
  </si>
  <si>
    <t>건</t>
    <phoneticPr fontId="19" type="noConversion"/>
  </si>
  <si>
    <t xml:space="preserve">   2. 번역 원고료</t>
    <phoneticPr fontId="19" type="noConversion"/>
  </si>
  <si>
    <t xml:space="preserve">   3. 자문회의 수당</t>
    <phoneticPr fontId="19" type="noConversion"/>
  </si>
  <si>
    <t>기증유물 보존처리 및 특별전 추진</t>
    <phoneticPr fontId="19" type="noConversion"/>
  </si>
  <si>
    <t xml:space="preserve"> o 보존처리 물품 구입 등 </t>
    <phoneticPr fontId="19" type="noConversion"/>
  </si>
  <si>
    <t xml:space="preserve"> o 자문회의 수당</t>
    <phoneticPr fontId="19" type="noConversion"/>
  </si>
  <si>
    <t>회*</t>
    <phoneticPr fontId="19" type="noConversion"/>
  </si>
  <si>
    <t xml:space="preserve">   1. 봉사자활동비</t>
    <phoneticPr fontId="19" type="noConversion"/>
  </si>
  <si>
    <t xml:space="preserve">   2. 해설자 보수교육 강사료</t>
    <phoneticPr fontId="19" type="noConversion"/>
  </si>
  <si>
    <t xml:space="preserve"> o 답사차량임차</t>
    <phoneticPr fontId="19" type="noConversion"/>
  </si>
  <si>
    <t xml:space="preserve"> o 사서 인건비(4대보험, 퇴직급여등 포함)</t>
    <phoneticPr fontId="19" type="noConversion"/>
  </si>
  <si>
    <t xml:space="preserve"> o 물품구입</t>
    <phoneticPr fontId="19" type="noConversion"/>
  </si>
  <si>
    <t xml:space="preserve">   1. 아트샵판매및 관리인원(4대보험,연월차수당포함)</t>
    <phoneticPr fontId="19" type="noConversion"/>
  </si>
  <si>
    <t xml:space="preserve">   2. 아트샵 주말ㆍ평일 아르바이트</t>
    <phoneticPr fontId="18" type="noConversion"/>
  </si>
  <si>
    <t xml:space="preserve"> o 아트상품구입 및 제작비</t>
    <phoneticPr fontId="19" type="noConversion"/>
  </si>
  <si>
    <t xml:space="preserve"> o 포스 사용 임차료</t>
    <phoneticPr fontId="19" type="noConversion"/>
  </si>
  <si>
    <t xml:space="preserve"> o 회의,자문비등</t>
    <phoneticPr fontId="19" type="noConversion"/>
  </si>
  <si>
    <t>복리후생비(경비)</t>
    <phoneticPr fontId="19" type="noConversion"/>
  </si>
  <si>
    <t>광고선전비</t>
    <phoneticPr fontId="19" type="noConversion"/>
  </si>
  <si>
    <t>인건비</t>
    <phoneticPr fontId="18" type="noConversion"/>
  </si>
  <si>
    <t xml:space="preserve"> o 임직원 직무교육</t>
    <phoneticPr fontId="18" type="noConversion"/>
  </si>
  <si>
    <t xml:space="preserve">   2. 아트센터 봉투 및 종이가방 제작</t>
    <phoneticPr fontId="18" type="noConversion"/>
  </si>
  <si>
    <t xml:space="preserve">   1. 관장실</t>
    <phoneticPr fontId="18" type="noConversion"/>
  </si>
  <si>
    <t xml:space="preserve">   2. 각 팀</t>
    <phoneticPr fontId="18" type="noConversion"/>
  </si>
  <si>
    <t xml:space="preserve">   2. 환경개선부담금</t>
    <phoneticPr fontId="18" type="noConversion"/>
  </si>
  <si>
    <t>기관</t>
    <phoneticPr fontId="19" type="noConversion"/>
  </si>
  <si>
    <t xml:space="preserve">   6. 시설관리소모품(전기,설비,건축,미화등)</t>
    <phoneticPr fontId="18" type="noConversion"/>
  </si>
  <si>
    <t xml:space="preserve">   2. 시책업무추진비(사업추진)</t>
    <phoneticPr fontId="19" type="noConversion"/>
  </si>
  <si>
    <t xml:space="preserve">   2. 주차료</t>
    <phoneticPr fontId="19" type="noConversion"/>
  </si>
  <si>
    <t xml:space="preserve">   1. 송금수수료</t>
    <phoneticPr fontId="19" type="noConversion"/>
  </si>
  <si>
    <t xml:space="preserve">   3. 전파 및 포스사용료</t>
    <phoneticPr fontId="18" type="noConversion"/>
  </si>
  <si>
    <t xml:space="preserve">   1. 사옥관리용역(순수시설:18명)</t>
    <phoneticPr fontId="19" type="noConversion"/>
  </si>
  <si>
    <t xml:space="preserve">   3. 조경유지보수(잔디깎기, 제초, 약제살포, 동면, 사목 재식재)</t>
    <phoneticPr fontId="18" type="noConversion"/>
  </si>
  <si>
    <t xml:space="preserve">   2. 사무용기기 임대</t>
    <phoneticPr fontId="18" type="noConversion"/>
  </si>
  <si>
    <t xml:space="preserve">   2. 전화요금 및 인터넷 회선사용료</t>
    <phoneticPr fontId="19" type="noConversion"/>
  </si>
  <si>
    <t>대</t>
    <phoneticPr fontId="18" type="noConversion"/>
  </si>
  <si>
    <t xml:space="preserve">   2. 사무용 모니터 구입</t>
    <phoneticPr fontId="19" type="noConversion"/>
  </si>
  <si>
    <t>학술연구</t>
    <phoneticPr fontId="19" type="noConversion"/>
  </si>
  <si>
    <t xml:space="preserve">인터뷰 프로젝트 </t>
    <phoneticPr fontId="19" type="noConversion"/>
  </si>
  <si>
    <t>전시운영</t>
    <phoneticPr fontId="19" type="noConversion"/>
  </si>
  <si>
    <t>2</t>
    <phoneticPr fontId="19" type="noConversion"/>
  </si>
  <si>
    <t>소모품비</t>
    <phoneticPr fontId="19" type="noConversion"/>
  </si>
  <si>
    <t xml:space="preserve"> o 전시운영물품</t>
    <phoneticPr fontId="19" type="noConversion"/>
  </si>
  <si>
    <t xml:space="preserve">   1. 국내작품 운송</t>
    <phoneticPr fontId="19" type="noConversion"/>
  </si>
  <si>
    <t>통신비</t>
    <phoneticPr fontId="19" type="noConversion"/>
  </si>
  <si>
    <t>기획전</t>
    <phoneticPr fontId="24" type="noConversion"/>
  </si>
  <si>
    <t>인건비</t>
    <phoneticPr fontId="19" type="noConversion"/>
  </si>
  <si>
    <t xml:space="preserve"> </t>
    <phoneticPr fontId="18" type="noConversion"/>
  </si>
  <si>
    <t>인*</t>
    <phoneticPr fontId="19" type="noConversion"/>
  </si>
  <si>
    <t>일</t>
    <phoneticPr fontId="19" type="noConversion"/>
  </si>
  <si>
    <t>광고선전비</t>
    <phoneticPr fontId="19" type="noConversion"/>
  </si>
  <si>
    <t>도서인쇄비</t>
    <phoneticPr fontId="19" type="noConversion"/>
  </si>
  <si>
    <t xml:space="preserve">   1. 도록</t>
    <phoneticPr fontId="19" type="noConversion"/>
  </si>
  <si>
    <t>부*</t>
    <phoneticPr fontId="19" type="noConversion"/>
  </si>
  <si>
    <t xml:space="preserve">   2. 리플렛 및 안내자료</t>
    <phoneticPr fontId="19" type="noConversion"/>
  </si>
  <si>
    <t>보험료</t>
    <phoneticPr fontId="19" type="noConversion"/>
  </si>
  <si>
    <t xml:space="preserve">   1. 해외초청자 항공료</t>
    <phoneticPr fontId="19" type="noConversion"/>
  </si>
  <si>
    <t xml:space="preserve">   2. 해외초청자 체재비</t>
    <phoneticPr fontId="19" type="noConversion"/>
  </si>
  <si>
    <t xml:space="preserve">   3. 해외초청자 일비</t>
    <phoneticPr fontId="19" type="noConversion"/>
  </si>
  <si>
    <t xml:space="preserve">   4. 국내출장여비</t>
    <phoneticPr fontId="19" type="noConversion"/>
  </si>
  <si>
    <t>지급수수료</t>
    <phoneticPr fontId="19" type="noConversion"/>
  </si>
  <si>
    <t xml:space="preserve">   1. 외부협력기획자수수료</t>
    <phoneticPr fontId="19" type="noConversion"/>
  </si>
  <si>
    <t>인</t>
    <phoneticPr fontId="19" type="noConversion"/>
  </si>
  <si>
    <t xml:space="preserve">   2. 번역료 (한-&gt;영)</t>
    <phoneticPr fontId="19" type="noConversion"/>
  </si>
  <si>
    <t xml:space="preserve">   3. 번역료(영-&gt;한)</t>
    <phoneticPr fontId="19" type="noConversion"/>
  </si>
  <si>
    <t xml:space="preserve">   4. 작가사례비</t>
    <phoneticPr fontId="19" type="noConversion"/>
  </si>
  <si>
    <t>지급용역료</t>
    <phoneticPr fontId="19" type="noConversion"/>
  </si>
  <si>
    <t xml:space="preserve">   2. 영상장비설치용역</t>
    <phoneticPr fontId="19" type="noConversion"/>
  </si>
  <si>
    <t xml:space="preserve">   1. 개막 행사 버스 임차</t>
    <phoneticPr fontId="19" type="noConversion"/>
  </si>
  <si>
    <t>대*</t>
    <phoneticPr fontId="19" type="noConversion"/>
  </si>
  <si>
    <t xml:space="preserve">   2. 영상장비 임차</t>
    <phoneticPr fontId="19" type="noConversion"/>
  </si>
  <si>
    <t xml:space="preserve">   1.  개막 행사비</t>
    <phoneticPr fontId="19" type="noConversion"/>
  </si>
  <si>
    <t xml:space="preserve">   2.  작가강연행사운영</t>
    <phoneticPr fontId="19" type="noConversion"/>
  </si>
  <si>
    <t>회의운영비</t>
    <phoneticPr fontId="19" type="noConversion"/>
  </si>
  <si>
    <t xml:space="preserve"> o 전시 기획회의 등</t>
    <phoneticPr fontId="19" type="noConversion"/>
  </si>
  <si>
    <t>컷*</t>
    <phoneticPr fontId="19" type="noConversion"/>
  </si>
  <si>
    <t>대</t>
    <phoneticPr fontId="19" type="noConversion"/>
  </si>
  <si>
    <t>교육프로그램 운영</t>
    <phoneticPr fontId="19" type="noConversion"/>
  </si>
  <si>
    <t xml:space="preserve"> o 교육 연구원 인건비</t>
    <phoneticPr fontId="19" type="noConversion"/>
  </si>
  <si>
    <t>개월</t>
    <phoneticPr fontId="19" type="noConversion"/>
  </si>
  <si>
    <t xml:space="preserve"> o 교사용 지도서</t>
    <phoneticPr fontId="19" type="noConversion"/>
  </si>
  <si>
    <t>활동지 및 자료집 인쇄</t>
    <phoneticPr fontId="19" type="noConversion"/>
  </si>
  <si>
    <t>종</t>
    <phoneticPr fontId="19" type="noConversion"/>
  </si>
  <si>
    <t xml:space="preserve"> o 프로그램 진행 재료비</t>
    <phoneticPr fontId="19" type="noConversion"/>
  </si>
  <si>
    <t>식*</t>
    <phoneticPr fontId="19" type="noConversion"/>
  </si>
  <si>
    <t>회</t>
    <phoneticPr fontId="18" type="noConversion"/>
  </si>
  <si>
    <t xml:space="preserve">   1. 강사료</t>
    <phoneticPr fontId="19" type="noConversion"/>
  </si>
  <si>
    <t xml:space="preserve">   2. 사진촬영비</t>
    <phoneticPr fontId="19" type="noConversion"/>
  </si>
  <si>
    <t xml:space="preserve">   3. 결과자료집 디자인 수수료</t>
    <phoneticPr fontId="19" type="noConversion"/>
  </si>
  <si>
    <t xml:space="preserve"> o 우편발송비</t>
    <phoneticPr fontId="19" type="noConversion"/>
  </si>
  <si>
    <t>건*</t>
    <phoneticPr fontId="19" type="noConversion"/>
  </si>
  <si>
    <t xml:space="preserve"> o 교사초청 워크숍 행사운영비</t>
    <phoneticPr fontId="19" type="noConversion"/>
  </si>
  <si>
    <t>원*</t>
    <phoneticPr fontId="18" type="noConversion"/>
  </si>
  <si>
    <t>=</t>
    <phoneticPr fontId="18" type="noConversion"/>
  </si>
  <si>
    <t xml:space="preserve"> o 교육출장비</t>
    <phoneticPr fontId="19" type="noConversion"/>
  </si>
  <si>
    <t xml:space="preserve"> o 기획 및 평가 간담회</t>
    <phoneticPr fontId="19" type="noConversion"/>
  </si>
  <si>
    <t>백남준 창작소</t>
    <phoneticPr fontId="24" type="noConversion"/>
  </si>
  <si>
    <t xml:space="preserve">   1. 프로그램 강사료</t>
    <phoneticPr fontId="19" type="noConversion"/>
  </si>
  <si>
    <t xml:space="preserve">   2. 보조강사 강사료</t>
    <phoneticPr fontId="19" type="noConversion"/>
  </si>
  <si>
    <t xml:space="preserve"> o 프로그램 재료 구입비</t>
    <phoneticPr fontId="19" type="noConversion"/>
  </si>
  <si>
    <t>식</t>
    <phoneticPr fontId="18" type="noConversion"/>
  </si>
  <si>
    <t xml:space="preserve">   2. 전문가 강사료</t>
    <phoneticPr fontId="19" type="noConversion"/>
  </si>
  <si>
    <t xml:space="preserve"> o 교육 전시 시공</t>
    <phoneticPr fontId="19" type="noConversion"/>
  </si>
  <si>
    <t xml:space="preserve"> o 교육 진행비</t>
    <phoneticPr fontId="19" type="noConversion"/>
  </si>
  <si>
    <t>백남준 아카데미</t>
    <phoneticPr fontId="24" type="noConversion"/>
  </si>
  <si>
    <t xml:space="preserve">   1. 살롱 자료집</t>
    <phoneticPr fontId="19" type="noConversion"/>
  </si>
  <si>
    <t xml:space="preserve">   2. 전공자 워크숍 자료집</t>
    <phoneticPr fontId="19" type="noConversion"/>
  </si>
  <si>
    <t xml:space="preserve">   1. 토크 강사료</t>
    <phoneticPr fontId="19" type="noConversion"/>
  </si>
  <si>
    <t xml:space="preserve">   2. 문화강좌 강사료</t>
    <phoneticPr fontId="19" type="noConversion"/>
  </si>
  <si>
    <t xml:space="preserve">   3. 워크숍 강사료</t>
    <phoneticPr fontId="19" type="noConversion"/>
  </si>
  <si>
    <t xml:space="preserve">   4. 교육운영사진촬영</t>
    <phoneticPr fontId="19" type="noConversion"/>
  </si>
  <si>
    <t xml:space="preserve"> o 버스 임차</t>
    <phoneticPr fontId="19" type="noConversion"/>
  </si>
  <si>
    <t xml:space="preserve">   1. 살롱 예술강좌 식음료비</t>
    <phoneticPr fontId="19" type="noConversion"/>
  </si>
  <si>
    <t>20</t>
    <phoneticPr fontId="19" type="noConversion"/>
  </si>
  <si>
    <t xml:space="preserve">   2. 교육행사 진행비</t>
    <phoneticPr fontId="19" type="noConversion"/>
  </si>
  <si>
    <t>전시교육개발 및 역량강화</t>
    <phoneticPr fontId="24" type="noConversion"/>
  </si>
  <si>
    <t xml:space="preserve"> o 직원해외연수출장비</t>
    <phoneticPr fontId="19" type="noConversion"/>
  </si>
  <si>
    <t xml:space="preserve"> o 역량강화워크숍</t>
    <phoneticPr fontId="19" type="noConversion"/>
  </si>
  <si>
    <t>소장품 관리</t>
    <phoneticPr fontId="19" type="noConversion"/>
  </si>
  <si>
    <t xml:space="preserve">   1. 관리약품 등</t>
    <phoneticPr fontId="19" type="noConversion"/>
  </si>
  <si>
    <t xml:space="preserve">   2. 작품설치 및 해체 공구, 전기기자재 등</t>
    <phoneticPr fontId="19" type="noConversion"/>
  </si>
  <si>
    <t>유지관리비</t>
    <phoneticPr fontId="19" type="noConversion"/>
  </si>
  <si>
    <t xml:space="preserve">   2. 진공관 등 엔틱 구형 TV</t>
    <phoneticPr fontId="19" type="noConversion"/>
  </si>
  <si>
    <t xml:space="preserve">   1. 작품복원비</t>
    <phoneticPr fontId="19" type="noConversion"/>
  </si>
  <si>
    <t xml:space="preserve">   2. 전자기기 수리</t>
    <phoneticPr fontId="19" type="noConversion"/>
  </si>
  <si>
    <t xml:space="preserve">   3. 작품 보관상자 제작</t>
    <phoneticPr fontId="19" type="noConversion"/>
  </si>
  <si>
    <t>아카이브 운영</t>
    <phoneticPr fontId="19" type="noConversion"/>
  </si>
  <si>
    <t xml:space="preserve"> o 연구결과 단행본 제작 (디자인, 인쇄)</t>
    <phoneticPr fontId="19" type="noConversion"/>
  </si>
  <si>
    <t>부</t>
    <phoneticPr fontId="18" type="noConversion"/>
  </si>
  <si>
    <t>소장품 수집 및 연구</t>
    <phoneticPr fontId="19" type="noConversion"/>
  </si>
  <si>
    <t>관람객 서비스</t>
    <phoneticPr fontId="19" type="noConversion"/>
  </si>
  <si>
    <t>백남준 종합홍보</t>
    <phoneticPr fontId="24" type="noConversion"/>
  </si>
  <si>
    <t>인*</t>
    <phoneticPr fontId="19" type="noConversion"/>
  </si>
  <si>
    <t xml:space="preserve"> </t>
    <phoneticPr fontId="18" type="noConversion"/>
  </si>
  <si>
    <t xml:space="preserve">   1. 국내온라인광고</t>
    <phoneticPr fontId="19" type="noConversion"/>
  </si>
  <si>
    <t xml:space="preserve">   2. 해외온라인 광고</t>
    <phoneticPr fontId="19" type="noConversion"/>
  </si>
  <si>
    <t xml:space="preserve">   3. 옥외광고</t>
    <phoneticPr fontId="19" type="noConversion"/>
  </si>
  <si>
    <t xml:space="preserve">   1. 기관 홍보 리플렛 제작</t>
    <phoneticPr fontId="19" type="noConversion"/>
  </si>
  <si>
    <t xml:space="preserve">   2. 행사전단지제작</t>
    <phoneticPr fontId="19" type="noConversion"/>
  </si>
  <si>
    <t xml:space="preserve"> o 홍보관련물품</t>
    <phoneticPr fontId="19" type="noConversion"/>
  </si>
  <si>
    <t xml:space="preserve">   1. 기자간담회용 버스임차</t>
    <phoneticPr fontId="19" type="noConversion"/>
  </si>
  <si>
    <t xml:space="preserve">   2. 도메인유지</t>
    <phoneticPr fontId="19" type="noConversion"/>
  </si>
  <si>
    <t xml:space="preserve"> o 홍보물 우편 발송</t>
    <phoneticPr fontId="19" type="noConversion"/>
  </si>
  <si>
    <t xml:space="preserve"> o 기자간담회 개최</t>
    <phoneticPr fontId="19" type="noConversion"/>
  </si>
  <si>
    <t xml:space="preserve"> o 홍보관련 회의 운영</t>
    <phoneticPr fontId="19" type="noConversion"/>
  </si>
  <si>
    <t xml:space="preserve"> o 교육 연구원 인건비</t>
    <phoneticPr fontId="19" type="noConversion"/>
  </si>
  <si>
    <t>100</t>
    <phoneticPr fontId="19" type="noConversion"/>
  </si>
  <si>
    <t xml:space="preserve">   1. 도슨트 및 일반자원봉사자 활동비</t>
    <phoneticPr fontId="19" type="noConversion"/>
  </si>
  <si>
    <t xml:space="preserve">   2. 자원봉사자 교육 강사료</t>
    <phoneticPr fontId="19" type="noConversion"/>
  </si>
  <si>
    <t xml:space="preserve">   3. 도슨트 교육 코디네이터</t>
    <phoneticPr fontId="19" type="noConversion"/>
  </si>
  <si>
    <t>50</t>
    <phoneticPr fontId="19" type="noConversion"/>
  </si>
  <si>
    <t>편의시설운영</t>
    <phoneticPr fontId="19" type="noConversion"/>
  </si>
  <si>
    <t xml:space="preserve">   1. 판매원(4대보험포함) </t>
    <phoneticPr fontId="19" type="noConversion"/>
  </si>
  <si>
    <t xml:space="preserve">   2. 아트샵 보조인력 인건비</t>
    <phoneticPr fontId="19" type="noConversion"/>
  </si>
  <si>
    <t>세금과공과</t>
    <phoneticPr fontId="19" type="noConversion"/>
  </si>
  <si>
    <t xml:space="preserve"> o 부가가치세 및 세금</t>
    <phoneticPr fontId="19" type="noConversion"/>
  </si>
  <si>
    <t xml:space="preserve"> o 포스임차비등</t>
    <phoneticPr fontId="19" type="noConversion"/>
  </si>
  <si>
    <t xml:space="preserve"> o 우편료등 통신비</t>
    <phoneticPr fontId="19" type="noConversion"/>
  </si>
  <si>
    <t xml:space="preserve"> o 회의,자문비등</t>
    <phoneticPr fontId="19" type="noConversion"/>
  </si>
  <si>
    <t xml:space="preserve"> o 상품구입 및 제작비</t>
    <phoneticPr fontId="19" type="noConversion"/>
  </si>
  <si>
    <t>백남준아트센터 국제예술상</t>
    <phoneticPr fontId="24" type="noConversion"/>
  </si>
  <si>
    <t xml:space="preserve">   1. 상금(1팀)(USD)</t>
    <phoneticPr fontId="19" type="noConversion"/>
  </si>
  <si>
    <t>인</t>
    <phoneticPr fontId="19" type="noConversion"/>
  </si>
  <si>
    <t xml:space="preserve">   2. 번역료 (한-&gt;영)</t>
    <phoneticPr fontId="19" type="noConversion"/>
  </si>
  <si>
    <t xml:space="preserve">   3. 번역료(영-&gt;한)</t>
    <phoneticPr fontId="19" type="noConversion"/>
  </si>
  <si>
    <t xml:space="preserve">   4. 심사위원사례비</t>
    <phoneticPr fontId="19" type="noConversion"/>
  </si>
  <si>
    <t xml:space="preserve">   5. 추천위원사례비</t>
    <phoneticPr fontId="19" type="noConversion"/>
  </si>
  <si>
    <t xml:space="preserve">   6. 송금수수료</t>
    <phoneticPr fontId="19" type="noConversion"/>
  </si>
  <si>
    <t xml:space="preserve">   7. 통역</t>
    <phoneticPr fontId="19" type="noConversion"/>
  </si>
  <si>
    <t xml:space="preserve">   1. 심사위원항공료</t>
    <phoneticPr fontId="19" type="noConversion"/>
  </si>
  <si>
    <t xml:space="preserve">   2. 수상작가항공권</t>
    <phoneticPr fontId="19" type="noConversion"/>
  </si>
  <si>
    <t xml:space="preserve">   3. 숙박체제</t>
    <phoneticPr fontId="19" type="noConversion"/>
  </si>
  <si>
    <t xml:space="preserve">   1. 트로피제작</t>
    <phoneticPr fontId="19" type="noConversion"/>
  </si>
  <si>
    <t xml:space="preserve">   2. 사진촬영</t>
    <phoneticPr fontId="19" type="noConversion"/>
  </si>
  <si>
    <t xml:space="preserve"> o 자료집발송</t>
    <phoneticPr fontId="19" type="noConversion"/>
  </si>
  <si>
    <t xml:space="preserve"> o 국내잡지</t>
    <phoneticPr fontId="19" type="noConversion"/>
  </si>
  <si>
    <t xml:space="preserve"> o 소모품구입</t>
    <phoneticPr fontId="19" type="noConversion"/>
  </si>
  <si>
    <t xml:space="preserve"> o 전시 기획회의 등</t>
    <phoneticPr fontId="19" type="noConversion"/>
  </si>
  <si>
    <t xml:space="preserve">  2. 부가급여(교통비+정액급식비+자녀학비보조수당+가족수당+초과근무수당 등 포함)</t>
    <phoneticPr fontId="19" type="noConversion"/>
  </si>
  <si>
    <t>복리후생비(경비)</t>
    <phoneticPr fontId="25" type="noConversion"/>
  </si>
  <si>
    <t>교육훈련비</t>
    <phoneticPr fontId="25" type="noConversion"/>
  </si>
  <si>
    <t xml:space="preserve">   1. 업무용봉투제작(대중소) </t>
    <phoneticPr fontId="19" type="noConversion"/>
  </si>
  <si>
    <t xml:space="preserve">   2. 박물관회의관련 자료집 발간   </t>
    <phoneticPr fontId="19" type="noConversion"/>
  </si>
  <si>
    <t>보험료</t>
    <phoneticPr fontId="25" type="noConversion"/>
  </si>
  <si>
    <t xml:space="preserve">   1. 건물관련보험(화재보험 등) </t>
    <phoneticPr fontId="18" type="noConversion"/>
  </si>
  <si>
    <t xml:space="preserve">   2. 영업배상책임보험 </t>
    <phoneticPr fontId="19" type="noConversion"/>
  </si>
  <si>
    <t xml:space="preserve">   3. 자동차보험(화물용) </t>
    <phoneticPr fontId="18" type="noConversion"/>
  </si>
  <si>
    <t xml:space="preserve">   1. 자동차세  </t>
    <phoneticPr fontId="18" type="noConversion"/>
  </si>
  <si>
    <t xml:space="preserve">   4. 법인균등할 주민세  </t>
    <phoneticPr fontId="18" type="noConversion"/>
  </si>
  <si>
    <t>대*</t>
    <phoneticPr fontId="25" type="noConversion"/>
  </si>
  <si>
    <t xml:space="preserve">   3. 프린터 토너(흑백,칼라)</t>
    <phoneticPr fontId="18" type="noConversion"/>
  </si>
  <si>
    <t xml:space="preserve">   4. 팩스 토너</t>
    <phoneticPr fontId="25" type="noConversion"/>
  </si>
  <si>
    <t xml:space="preserve">   5. 업무용문구 등 소모품</t>
    <phoneticPr fontId="18" type="noConversion"/>
  </si>
  <si>
    <t xml:space="preserve">   6. 생수사용료 등</t>
    <phoneticPr fontId="19" type="noConversion"/>
  </si>
  <si>
    <t xml:space="preserve">   3. 상하수도요금</t>
    <phoneticPr fontId="25" type="noConversion"/>
  </si>
  <si>
    <t>업무추진비</t>
    <phoneticPr fontId="25" type="noConversion"/>
  </si>
  <si>
    <t xml:space="preserve">   3. 원격지 보조금</t>
    <phoneticPr fontId="19" type="noConversion"/>
  </si>
  <si>
    <t xml:space="preserve">     - 물탱크청소 및 수질검사 </t>
    <phoneticPr fontId="19" type="noConversion"/>
  </si>
  <si>
    <t xml:space="preserve">     - 야외 목재데크 개선</t>
    <phoneticPr fontId="19" type="noConversion"/>
  </si>
  <si>
    <t xml:space="preserve">     - 건물유지보수 </t>
    <phoneticPr fontId="19" type="noConversion"/>
  </si>
  <si>
    <t xml:space="preserve">   2. 기계설비 분야</t>
    <phoneticPr fontId="19" type="noConversion"/>
  </si>
  <si>
    <t xml:space="preserve">     - 항온항습기 유지보수 </t>
    <phoneticPr fontId="19" type="noConversion"/>
  </si>
  <si>
    <t xml:space="preserve">     - 시스템 에어컨 청소</t>
    <phoneticPr fontId="19" type="noConversion"/>
  </si>
  <si>
    <t xml:space="preserve">   3. 전기통신 분야</t>
    <phoneticPr fontId="19" type="noConversion"/>
  </si>
  <si>
    <t xml:space="preserve">     - 수변전설비 점검  </t>
    <phoneticPr fontId="19" type="noConversion"/>
  </si>
  <si>
    <t xml:space="preserve">     - 조명설비 led교체  </t>
    <phoneticPr fontId="19" type="noConversion"/>
  </si>
  <si>
    <t>개*</t>
    <phoneticPr fontId="19" type="noConversion"/>
  </si>
  <si>
    <t xml:space="preserve">     - 산업용제습기 설치</t>
    <phoneticPr fontId="19" type="noConversion"/>
  </si>
  <si>
    <t xml:space="preserve">     - 전기실에어컨설치</t>
    <phoneticPr fontId="19" type="noConversion"/>
  </si>
  <si>
    <t xml:space="preserve">   4. 소방분야</t>
    <phoneticPr fontId="19" type="noConversion"/>
  </si>
  <si>
    <t xml:space="preserve">     - 청정소화기 구입</t>
    <phoneticPr fontId="19" type="noConversion"/>
  </si>
  <si>
    <t xml:space="preserve">   5. cctv 시스템</t>
    <phoneticPr fontId="19" type="noConversion"/>
  </si>
  <si>
    <t xml:space="preserve">     - 카메라 화질개선</t>
    <phoneticPr fontId="19" type="noConversion"/>
  </si>
  <si>
    <t xml:space="preserve">   6. 전산장비분야</t>
    <phoneticPr fontId="19" type="noConversion"/>
  </si>
  <si>
    <t xml:space="preserve">     - 전산장비유지보수(pc,복사기,프린터기 등)</t>
    <phoneticPr fontId="19" type="noConversion"/>
  </si>
  <si>
    <t xml:space="preserve">   1. 정기간행물 구독 </t>
    <phoneticPr fontId="19" type="noConversion"/>
  </si>
  <si>
    <t xml:space="preserve">   1. 시설검사(전기,승강기,실내공기질 등)</t>
    <phoneticPr fontId="19" type="noConversion"/>
  </si>
  <si>
    <t xml:space="preserve">   3. 자문위원회 및 심사위원 수당</t>
    <phoneticPr fontId="19" type="noConversion"/>
  </si>
  <si>
    <t xml:space="preserve">   4. 송금수수료 </t>
    <phoneticPr fontId="19" type="noConversion"/>
  </si>
  <si>
    <t xml:space="preserve">   5. 퀵서비스 </t>
    <phoneticPr fontId="19" type="noConversion"/>
  </si>
  <si>
    <t>지급용역료</t>
    <phoneticPr fontId="25" type="noConversion"/>
  </si>
  <si>
    <t xml:space="preserve">   2. 시설유지보수(소방 승강기 방범 방제 등)</t>
    <phoneticPr fontId="18" type="noConversion"/>
  </si>
  <si>
    <t xml:space="preserve">   1. 업무용차량 임차</t>
    <phoneticPr fontId="19" type="noConversion"/>
  </si>
  <si>
    <t xml:space="preserve">   2. 사무용 기기 임차</t>
    <phoneticPr fontId="19" type="noConversion"/>
  </si>
  <si>
    <t xml:space="preserve">   5. 관람객 편의 제공 물품 임차</t>
    <phoneticPr fontId="19" type="noConversion"/>
  </si>
  <si>
    <t xml:space="preserve">   2. 전신전화요금</t>
    <phoneticPr fontId="19" type="noConversion"/>
  </si>
  <si>
    <t xml:space="preserve">   3. 전자망 등 회선 사용료</t>
    <phoneticPr fontId="19" type="noConversion"/>
  </si>
  <si>
    <t>회선*</t>
    <phoneticPr fontId="19" type="noConversion"/>
  </si>
  <si>
    <t xml:space="preserve">   4. 케이블 tv 사용료</t>
    <phoneticPr fontId="18" type="noConversion"/>
  </si>
  <si>
    <t>고정자산</t>
    <phoneticPr fontId="25" type="noConversion"/>
  </si>
  <si>
    <t>자산구입비</t>
    <phoneticPr fontId="25" type="noConversion"/>
  </si>
  <si>
    <t xml:space="preserve">   1. 사무용 PC 교체</t>
    <phoneticPr fontId="18" type="noConversion"/>
  </si>
  <si>
    <t xml:space="preserve">   2. 전기식 차량운반구</t>
    <phoneticPr fontId="19" type="noConversion"/>
  </si>
  <si>
    <t>(사업비)</t>
    <phoneticPr fontId="25" type="noConversion"/>
  </si>
  <si>
    <t>선사유물 조사연구</t>
    <phoneticPr fontId="24" type="noConversion"/>
  </si>
  <si>
    <t xml:space="preserve"> o 조사연구 인력</t>
    <phoneticPr fontId="19" type="noConversion"/>
  </si>
  <si>
    <t xml:space="preserve">   1. 학술총서 발행</t>
    <phoneticPr fontId="19" type="noConversion"/>
  </si>
  <si>
    <t>부</t>
    <phoneticPr fontId="25" type="noConversion"/>
  </si>
  <si>
    <t xml:space="preserve">   2. 자료집 등 책자 제작</t>
    <phoneticPr fontId="19" type="noConversion"/>
  </si>
  <si>
    <t xml:space="preserve">   1. 항공료</t>
    <phoneticPr fontId="19" type="noConversion"/>
  </si>
  <si>
    <t xml:space="preserve">   3. 교통비</t>
    <phoneticPr fontId="19" type="noConversion"/>
  </si>
  <si>
    <t xml:space="preserve">   1. 주제발표자 수당</t>
    <phoneticPr fontId="19" type="noConversion"/>
  </si>
  <si>
    <t xml:space="preserve">   2. 국내발표자 및 토론자 수당</t>
    <phoneticPr fontId="19" type="noConversion"/>
  </si>
  <si>
    <t xml:space="preserve"> o 관련자료 구입</t>
    <phoneticPr fontId="19" type="noConversion"/>
  </si>
  <si>
    <t xml:space="preserve"> o 산보운영 등 행사운영비</t>
    <phoneticPr fontId="19" type="noConversion"/>
  </si>
  <si>
    <t xml:space="preserve"> o 조사 및 자료실 용품</t>
    <phoneticPr fontId="19" type="noConversion"/>
  </si>
  <si>
    <t xml:space="preserve"> o 자문회의</t>
    <phoneticPr fontId="19" type="noConversion"/>
  </si>
  <si>
    <t xml:space="preserve"> o 초청장 등 홍보물 제작</t>
    <phoneticPr fontId="19" type="noConversion"/>
  </si>
  <si>
    <t xml:space="preserve">   1.항공료</t>
    <phoneticPr fontId="19" type="noConversion"/>
  </si>
  <si>
    <t xml:space="preserve"> o 발표자 수당</t>
    <phoneticPr fontId="19" type="noConversion"/>
  </si>
  <si>
    <t xml:space="preserve">   1. 만찬비</t>
    <phoneticPr fontId="19" type="noConversion"/>
  </si>
  <si>
    <t xml:space="preserve">   2. 식비</t>
    <phoneticPr fontId="19" type="noConversion"/>
  </si>
  <si>
    <t xml:space="preserve">   3. 다과비</t>
    <phoneticPr fontId="19" type="noConversion"/>
  </si>
  <si>
    <t xml:space="preserve">   5. 기념품 구입비</t>
    <phoneticPr fontId="19" type="noConversion"/>
  </si>
  <si>
    <t>상설전시 운영</t>
    <phoneticPr fontId="25" type="noConversion"/>
  </si>
  <si>
    <t>소모품비</t>
    <phoneticPr fontId="25" type="noConversion"/>
  </si>
  <si>
    <t xml:space="preserve">   1. 프로젝터 램프 </t>
    <phoneticPr fontId="19" type="noConversion"/>
  </si>
  <si>
    <t xml:space="preserve">   2. 상설전시관리용품</t>
    <phoneticPr fontId="19" type="noConversion"/>
  </si>
  <si>
    <t>유지관리비</t>
    <phoneticPr fontId="25" type="noConversion"/>
  </si>
  <si>
    <t xml:space="preserve">   1. 전시장비 유지관리</t>
    <phoneticPr fontId="19" type="noConversion"/>
  </si>
  <si>
    <t xml:space="preserve">   3. 전시실 유지관리용품 구입</t>
    <phoneticPr fontId="19" type="noConversion"/>
  </si>
  <si>
    <t xml:space="preserve"> o 전시용 영상장비 구입</t>
    <phoneticPr fontId="19" type="noConversion"/>
  </si>
  <si>
    <t xml:space="preserve"> o 전시 컨텐츠 개선</t>
    <phoneticPr fontId="19" type="noConversion"/>
  </si>
  <si>
    <t xml:space="preserve">   1. 상설전시 코너 개선</t>
    <phoneticPr fontId="19" type="noConversion"/>
  </si>
  <si>
    <t xml:space="preserve">   2. 상설전시 코너 개선 그래픽 공사 </t>
    <phoneticPr fontId="19" type="noConversion"/>
  </si>
  <si>
    <t xml:space="preserve">   3. 상설전시실 싸인물 교체</t>
    <phoneticPr fontId="19" type="noConversion"/>
  </si>
  <si>
    <t xml:space="preserve"> o 외국어 리플렛 번역료</t>
    <phoneticPr fontId="19" type="noConversion"/>
  </si>
  <si>
    <t xml:space="preserve"> o 유물보험</t>
    <phoneticPr fontId="19" type="noConversion"/>
  </si>
  <si>
    <t xml:space="preserve">   1. 전시공사</t>
    <phoneticPr fontId="19" type="noConversion"/>
  </si>
  <si>
    <t xml:space="preserve">   2. 유물 운송</t>
    <phoneticPr fontId="19" type="noConversion"/>
  </si>
  <si>
    <t xml:space="preserve"> o 전시소모품 구입</t>
    <phoneticPr fontId="19" type="noConversion"/>
  </si>
  <si>
    <t xml:space="preserve"> o 계</t>
    <phoneticPr fontId="25" type="noConversion"/>
  </si>
  <si>
    <t>월평균액</t>
    <phoneticPr fontId="19" type="noConversion"/>
  </si>
  <si>
    <t xml:space="preserve"> o 기간제근로자 출장비</t>
    <phoneticPr fontId="19" type="noConversion"/>
  </si>
  <si>
    <t>선사의 법칙, 1박 2일</t>
    <phoneticPr fontId="25" type="noConversion"/>
  </si>
  <si>
    <t xml:space="preserve">   2. 야외체험장 관리(4대보험, 연월차,  퇴직금 포함)</t>
    <phoneticPr fontId="19" type="noConversion"/>
  </si>
  <si>
    <t xml:space="preserve">   1. 캠프체험 소모품</t>
    <phoneticPr fontId="19" type="noConversion"/>
  </si>
  <si>
    <t xml:space="preserve">   2. 야외체험장 소모품</t>
    <phoneticPr fontId="19" type="noConversion"/>
  </si>
  <si>
    <t xml:space="preserve"> o 캠핑용품 세탁 및 보수</t>
    <phoneticPr fontId="19" type="noConversion"/>
  </si>
  <si>
    <t>지급수수료</t>
    <phoneticPr fontId="25" type="noConversion"/>
  </si>
  <si>
    <t xml:space="preserve"> o 주말체험강사</t>
    <phoneticPr fontId="19" type="noConversion"/>
  </si>
  <si>
    <t xml:space="preserve"> o 캠프운영 및 체험재료 구입비</t>
    <phoneticPr fontId="19" type="noConversion"/>
  </si>
  <si>
    <t>찾아가는 박물관</t>
    <phoneticPr fontId="25" type="noConversion"/>
  </si>
  <si>
    <t xml:space="preserve"> o 기간제근로자(4대보험 포함)</t>
    <phoneticPr fontId="19" type="noConversion"/>
  </si>
  <si>
    <t xml:space="preserve">   1. 유아프로그램 재료</t>
    <phoneticPr fontId="19" type="noConversion"/>
  </si>
  <si>
    <t xml:space="preserve">   2. 야외동물 사료</t>
    <phoneticPr fontId="19" type="noConversion"/>
  </si>
  <si>
    <t xml:space="preserve"> o 기간제강사 출장비</t>
    <phoneticPr fontId="19" type="noConversion"/>
  </si>
  <si>
    <t xml:space="preserve"> o 교육안내자료발송</t>
    <phoneticPr fontId="25" type="noConversion"/>
  </si>
  <si>
    <t xml:space="preserve">   1. 특별행사운영</t>
    <phoneticPr fontId="19" type="noConversion"/>
  </si>
  <si>
    <t xml:space="preserve"> o 회의운영비</t>
    <phoneticPr fontId="25" type="noConversion"/>
  </si>
  <si>
    <t>선사지킴이</t>
    <phoneticPr fontId="25" type="noConversion"/>
  </si>
  <si>
    <t xml:space="preserve"> o 청소년해설사 결과보고서</t>
    <phoneticPr fontId="19" type="noConversion"/>
  </si>
  <si>
    <t xml:space="preserve"> o 청소년해설사 답사 여행자 보험</t>
    <phoneticPr fontId="19" type="noConversion"/>
  </si>
  <si>
    <t xml:space="preserve"> o 자원봉사자 답사 여행자 보험</t>
    <phoneticPr fontId="19" type="noConversion"/>
  </si>
  <si>
    <t xml:space="preserve">   1. 자원봉사자 활동비</t>
    <phoneticPr fontId="19" type="noConversion"/>
  </si>
  <si>
    <t xml:space="preserve"> o 청소년해설사 전시박스제작</t>
    <phoneticPr fontId="19" type="noConversion"/>
  </si>
  <si>
    <t xml:space="preserve"> o 우편물 발송</t>
    <phoneticPr fontId="19" type="noConversion"/>
  </si>
  <si>
    <t xml:space="preserve"> o 자원봉사자, 청소년 해설사 활동복 구입</t>
    <phoneticPr fontId="19" type="noConversion"/>
  </si>
  <si>
    <t xml:space="preserve"> o 홍보물 제작</t>
    <phoneticPr fontId="25" type="noConversion"/>
  </si>
  <si>
    <t>장</t>
    <phoneticPr fontId="25" type="noConversion"/>
  </si>
  <si>
    <t xml:space="preserve"> o 외부답사여행자보험</t>
    <phoneticPr fontId="25" type="noConversion"/>
  </si>
  <si>
    <t xml:space="preserve"> o 교육재료,물품 구입</t>
    <phoneticPr fontId="25" type="noConversion"/>
  </si>
  <si>
    <t xml:space="preserve">   1. 전문강사</t>
    <phoneticPr fontId="19" type="noConversion"/>
  </si>
  <si>
    <t xml:space="preserve">   2. 특강강사</t>
    <phoneticPr fontId="19" type="noConversion"/>
  </si>
  <si>
    <t>건</t>
    <phoneticPr fontId="25" type="noConversion"/>
  </si>
  <si>
    <t xml:space="preserve"> o 다과,식음료 </t>
    <phoneticPr fontId="19" type="noConversion"/>
  </si>
  <si>
    <t>교육개발 및 역량강화</t>
    <phoneticPr fontId="25" type="noConversion"/>
  </si>
  <si>
    <t xml:space="preserve"> o 결과보고서 편집 및 제본</t>
    <phoneticPr fontId="19" type="noConversion"/>
  </si>
  <si>
    <t xml:space="preserve">   2. 교육평가현장평가위원</t>
    <phoneticPr fontId="19" type="noConversion"/>
  </si>
  <si>
    <t xml:space="preserve">   2. 직무교육</t>
    <phoneticPr fontId="19" type="noConversion"/>
  </si>
  <si>
    <t xml:space="preserve"> o 소장자료 복제</t>
    <phoneticPr fontId="19" type="noConversion"/>
  </si>
  <si>
    <t>박물관 종합홍보</t>
    <phoneticPr fontId="24" type="noConversion"/>
  </si>
  <si>
    <t xml:space="preserve"> o 홍보용 기념품, 배너 제작 등</t>
    <phoneticPr fontId="19" type="noConversion"/>
  </si>
  <si>
    <t xml:space="preserve">   1. 상설도록 및 건축도록 제작</t>
    <phoneticPr fontId="19" type="noConversion"/>
  </si>
  <si>
    <t xml:space="preserve">   2. 리플렛 제작</t>
    <phoneticPr fontId="19" type="noConversion"/>
  </si>
  <si>
    <t xml:space="preserve">   3. 셀프가이드 제작</t>
    <phoneticPr fontId="18" type="noConversion"/>
  </si>
  <si>
    <t xml:space="preserve"> o 홍보용 소모품</t>
    <phoneticPr fontId="19" type="noConversion"/>
  </si>
  <si>
    <t xml:space="preserve">   1. 뉴스레터 및 전시박스 제작</t>
    <phoneticPr fontId="19" type="noConversion"/>
  </si>
  <si>
    <t>개</t>
    <phoneticPr fontId="25" type="noConversion"/>
  </si>
  <si>
    <t xml:space="preserve">   2. 픽토그램 제작</t>
    <phoneticPr fontId="19" type="noConversion"/>
  </si>
  <si>
    <t xml:space="preserve"> o 지역간담회</t>
    <phoneticPr fontId="19" type="noConversion"/>
  </si>
  <si>
    <t xml:space="preserve">   1. 뮤지엄샵 매니저</t>
    <phoneticPr fontId="18" type="noConversion"/>
  </si>
  <si>
    <t xml:space="preserve">   2. 카페 바리스타</t>
    <phoneticPr fontId="18" type="noConversion"/>
  </si>
  <si>
    <r>
      <t xml:space="preserve">   4. 뮤지엄샵 </t>
    </r>
    <r>
      <rPr>
        <sz val="11"/>
        <rFont val="돋움"/>
        <family val="3"/>
        <charset val="129"/>
      </rPr>
      <t>·</t>
    </r>
    <r>
      <rPr>
        <sz val="10.199999999999999"/>
        <rFont val="돋움"/>
        <family val="3"/>
        <charset val="129"/>
      </rPr>
      <t xml:space="preserve"> </t>
    </r>
    <r>
      <rPr>
        <sz val="11"/>
        <rFont val="돋움"/>
        <family val="3"/>
        <charset val="129"/>
      </rPr>
      <t>카페 파트타임</t>
    </r>
    <phoneticPr fontId="18" type="noConversion"/>
  </si>
  <si>
    <t xml:space="preserve"> o 부가가치세 등 납부</t>
    <phoneticPr fontId="19" type="noConversion"/>
  </si>
  <si>
    <t xml:space="preserve">   1. 뮤지엄샵 토너 등 구입</t>
    <phoneticPr fontId="18" type="noConversion"/>
  </si>
  <si>
    <t xml:space="preserve">   2. 사무용품 등 구입</t>
    <phoneticPr fontId="18" type="noConversion"/>
  </si>
  <si>
    <t xml:space="preserve">   3. 소모성물품구입</t>
    <phoneticPr fontId="19" type="noConversion"/>
  </si>
  <si>
    <t xml:space="preserve">   1. 장비보수 및 수리비</t>
    <phoneticPr fontId="18" type="noConversion"/>
  </si>
  <si>
    <t xml:space="preserve">   1. 카페테리아 재료구입</t>
    <phoneticPr fontId="18" type="noConversion"/>
  </si>
  <si>
    <t xml:space="preserve">   2. 뮤지엄샵 상품구입</t>
    <phoneticPr fontId="18" type="noConversion"/>
  </si>
  <si>
    <t>개월</t>
    <phoneticPr fontId="19" type="noConversion"/>
  </si>
  <si>
    <t xml:space="preserve"> o 계</t>
    <phoneticPr fontId="19" type="noConversion"/>
  </si>
  <si>
    <t xml:space="preserve">   1. 전시실 조명 관리</t>
    <phoneticPr fontId="19" type="noConversion"/>
  </si>
  <si>
    <t xml:space="preserve">   2. 민속놀이마당 및 목판체험인쇄실 관리</t>
    <phoneticPr fontId="19" type="noConversion"/>
  </si>
  <si>
    <t xml:space="preserve">   3. 야외전시물 유지보수</t>
    <phoneticPr fontId="19" type="noConversion"/>
  </si>
  <si>
    <t xml:space="preserve">   1. 영상장비</t>
    <phoneticPr fontId="19" type="noConversion"/>
  </si>
  <si>
    <t xml:space="preserve">   2. 소프트웨어 구입(일러스트 등)</t>
    <phoneticPr fontId="19" type="noConversion"/>
  </si>
  <si>
    <t xml:space="preserve">   1. 교체전시보조물제작</t>
    <phoneticPr fontId="19" type="noConversion"/>
  </si>
  <si>
    <t xml:space="preserve">   2. 전시실 쇼케이스 제작 및 보수</t>
    <phoneticPr fontId="19" type="noConversion"/>
  </si>
  <si>
    <t xml:space="preserve">   3. 전시실 조명 교체</t>
    <phoneticPr fontId="19" type="noConversion"/>
  </si>
  <si>
    <t>식</t>
    <phoneticPr fontId="19" type="noConversion"/>
  </si>
  <si>
    <t xml:space="preserve">   5. 미로 재설계 및 증축</t>
    <phoneticPr fontId="19" type="noConversion"/>
  </si>
  <si>
    <t>원*</t>
    <phoneticPr fontId="19" type="noConversion"/>
  </si>
  <si>
    <t>회</t>
    <phoneticPr fontId="19" type="noConversion"/>
  </si>
  <si>
    <t xml:space="preserve"> o 우편 요금</t>
    <phoneticPr fontId="19" type="noConversion"/>
  </si>
  <si>
    <t>보험료</t>
    <phoneticPr fontId="19" type="noConversion"/>
  </si>
  <si>
    <t>도서인쇄비</t>
    <phoneticPr fontId="19" type="noConversion"/>
  </si>
  <si>
    <t>통신비</t>
    <phoneticPr fontId="19" type="noConversion"/>
  </si>
  <si>
    <t xml:space="preserve"> o 프로그램진행 수당 지급</t>
    <phoneticPr fontId="19" type="noConversion"/>
  </si>
  <si>
    <t xml:space="preserve"> o 설날, 단오, 추석 공연 행사진행</t>
    <phoneticPr fontId="19" type="noConversion"/>
  </si>
  <si>
    <t xml:space="preserve">   5. 홍경주 초상 모사본 제작</t>
    <phoneticPr fontId="19" type="noConversion"/>
  </si>
  <si>
    <t xml:space="preserve"> o 도서 재배치 </t>
    <phoneticPr fontId="19" type="noConversion"/>
  </si>
  <si>
    <t xml:space="preserve"> o 서가 구입</t>
    <phoneticPr fontId="19" type="noConversion"/>
  </si>
  <si>
    <t>지급용역료</t>
    <phoneticPr fontId="19" type="noConversion"/>
  </si>
  <si>
    <t xml:space="preserve">   1. 야외공연장 구조물 보수및 안전보강</t>
    <phoneticPr fontId="19" type="noConversion"/>
  </si>
  <si>
    <t>건물 전체 외곽 세척및 안전보강</t>
    <phoneticPr fontId="19" type="noConversion"/>
  </si>
  <si>
    <t xml:space="preserve">   3. 인터뷰 촬영 및 편집료</t>
    <phoneticPr fontId="19" type="noConversion"/>
  </si>
  <si>
    <t xml:space="preserve"> o 단행본발송</t>
    <phoneticPr fontId="19" type="noConversion"/>
  </si>
  <si>
    <t>회*</t>
    <phoneticPr fontId="19" type="noConversion"/>
  </si>
  <si>
    <t>회의운영비</t>
    <phoneticPr fontId="19" type="noConversion"/>
  </si>
  <si>
    <t>학술지 출간</t>
    <phoneticPr fontId="19" type="noConversion"/>
  </si>
  <si>
    <t>3</t>
    <phoneticPr fontId="19" type="noConversion"/>
  </si>
  <si>
    <t>종*</t>
    <phoneticPr fontId="19" type="noConversion"/>
  </si>
  <si>
    <t>지급용역료</t>
    <phoneticPr fontId="19" type="noConversion"/>
  </si>
  <si>
    <t xml:space="preserve"> o 디자인편집</t>
    <phoneticPr fontId="19" type="noConversion"/>
  </si>
  <si>
    <t xml:space="preserve"> o 도록 및 리플렛 제작</t>
    <phoneticPr fontId="19" type="noConversion"/>
  </si>
  <si>
    <t xml:space="preserve"> o 전시운영 회의진행</t>
    <phoneticPr fontId="19" type="noConversion"/>
  </si>
  <si>
    <t xml:space="preserve">   4. 번역료(영-&gt;한)</t>
  </si>
  <si>
    <t xml:space="preserve"> o 월간지광고게재</t>
    <phoneticPr fontId="19" type="noConversion"/>
  </si>
  <si>
    <t xml:space="preserve">   1. 번역료(한영)</t>
    <phoneticPr fontId="19" type="noConversion"/>
  </si>
  <si>
    <t xml:space="preserve">   2. 작가수수료</t>
    <phoneticPr fontId="19" type="noConversion"/>
  </si>
  <si>
    <t xml:space="preserve"> o 영상장비임차 등</t>
    <phoneticPr fontId="19" type="noConversion"/>
  </si>
  <si>
    <t xml:space="preserve"> o 전시연계행사운영비 등</t>
    <phoneticPr fontId="19" type="noConversion"/>
  </si>
  <si>
    <t>인</t>
    <phoneticPr fontId="19" type="noConversion"/>
  </si>
  <si>
    <t xml:space="preserve"> o 계</t>
    <phoneticPr fontId="19" type="noConversion"/>
  </si>
  <si>
    <t xml:space="preserve">   1. 국내여비</t>
    <phoneticPr fontId="19" type="noConversion"/>
  </si>
  <si>
    <t>회*</t>
    <phoneticPr fontId="19" type="noConversion"/>
  </si>
  <si>
    <t>명*</t>
    <phoneticPr fontId="19" type="noConversion"/>
  </si>
  <si>
    <t>원*</t>
    <phoneticPr fontId="19" type="noConversion"/>
  </si>
  <si>
    <t>월</t>
    <phoneticPr fontId="19" type="noConversion"/>
  </si>
  <si>
    <t>=</t>
    <phoneticPr fontId="19" type="noConversion"/>
  </si>
  <si>
    <t xml:space="preserve">   2. 원격지 보조금</t>
    <phoneticPr fontId="19" type="noConversion"/>
  </si>
  <si>
    <t xml:space="preserve">   1. 건물유지및 사무실보수</t>
    <phoneticPr fontId="19" type="noConversion"/>
  </si>
  <si>
    <t xml:space="preserve">   3. 전시장 프로젝트 램프</t>
    <phoneticPr fontId="19" type="noConversion"/>
  </si>
  <si>
    <t xml:space="preserve">   4. 차량유지관리(유류대 등)</t>
    <phoneticPr fontId="19" type="noConversion"/>
  </si>
  <si>
    <t>회</t>
    <phoneticPr fontId="19" type="noConversion"/>
  </si>
  <si>
    <t xml:space="preserve">   6. 주차장유지관리/개보수 등</t>
    <phoneticPr fontId="19" type="noConversion"/>
  </si>
  <si>
    <t>개월</t>
    <phoneticPr fontId="19" type="noConversion"/>
  </si>
  <si>
    <t>여비교통비</t>
    <phoneticPr fontId="19" type="noConversion"/>
  </si>
  <si>
    <t>지급용역료</t>
    <phoneticPr fontId="19" type="noConversion"/>
  </si>
  <si>
    <t>지급수수료</t>
    <phoneticPr fontId="19" type="noConversion"/>
  </si>
  <si>
    <t>행사운영비</t>
    <phoneticPr fontId="19" type="noConversion"/>
  </si>
  <si>
    <t>회의운영비</t>
    <phoneticPr fontId="19" type="noConversion"/>
  </si>
  <si>
    <t>성인교육프로그램</t>
    <phoneticPr fontId="25" type="noConversion"/>
  </si>
  <si>
    <t xml:space="preserve"> o 기간제 강사(4대보험, 퇴직금 포함)</t>
    <phoneticPr fontId="19" type="noConversion"/>
  </si>
  <si>
    <t>원*</t>
    <phoneticPr fontId="25" type="noConversion"/>
  </si>
  <si>
    <t xml:space="preserve"> o 활동지</t>
    <phoneticPr fontId="19" type="noConversion"/>
  </si>
  <si>
    <t>식</t>
    <phoneticPr fontId="25" type="noConversion"/>
  </si>
  <si>
    <t>=</t>
    <phoneticPr fontId="25" type="noConversion"/>
  </si>
  <si>
    <t xml:space="preserve"> o 계</t>
    <phoneticPr fontId="25" type="noConversion"/>
  </si>
  <si>
    <t xml:space="preserve">   1. ASI프로그램 운영물품</t>
    <phoneticPr fontId="19" type="noConversion"/>
  </si>
  <si>
    <t xml:space="preserve">   2. GO Back 운영 소모품</t>
    <phoneticPr fontId="19" type="noConversion"/>
  </si>
  <si>
    <t xml:space="preserve">   3. 교육안내 및 설명 현수막</t>
    <phoneticPr fontId="19" type="noConversion"/>
  </si>
  <si>
    <t xml:space="preserve">   4. 야외특성화교실 운영물품</t>
    <phoneticPr fontId="19" type="noConversion"/>
  </si>
  <si>
    <t xml:space="preserve"> o 기간제근로자 출장비</t>
    <phoneticPr fontId="19" type="noConversion"/>
  </si>
  <si>
    <t>회</t>
    <phoneticPr fontId="25" type="noConversion"/>
  </si>
  <si>
    <t xml:space="preserve"> o 보조강사</t>
    <phoneticPr fontId="19" type="noConversion"/>
  </si>
  <si>
    <t>일</t>
    <phoneticPr fontId="19" type="noConversion"/>
  </si>
  <si>
    <t xml:space="preserve">   1. 교육공간 개선</t>
    <phoneticPr fontId="19" type="noConversion"/>
  </si>
  <si>
    <t xml:space="preserve">   2. 상시교구재키트 제작</t>
    <phoneticPr fontId="19" type="noConversion"/>
  </si>
  <si>
    <t>종</t>
    <phoneticPr fontId="19" type="noConversion"/>
  </si>
  <si>
    <t xml:space="preserve"> o 홍보부스 및 특별프로그램 운영</t>
    <phoneticPr fontId="19" type="noConversion"/>
  </si>
  <si>
    <t xml:space="preserve"> o 운영회의</t>
    <phoneticPr fontId="19" type="noConversion"/>
  </si>
  <si>
    <t>도서인쇄비</t>
    <phoneticPr fontId="19" type="noConversion"/>
  </si>
  <si>
    <t>소모품비</t>
    <phoneticPr fontId="19" type="noConversion"/>
  </si>
  <si>
    <t xml:space="preserve"> o 기간제 강사</t>
    <phoneticPr fontId="19" type="noConversion"/>
  </si>
  <si>
    <t>월</t>
    <phoneticPr fontId="25" type="noConversion"/>
  </si>
  <si>
    <t xml:space="preserve"> o 교육운영물품</t>
    <phoneticPr fontId="19" type="noConversion"/>
  </si>
  <si>
    <t xml:space="preserve"> o 교육차량임차</t>
    <phoneticPr fontId="19" type="noConversion"/>
  </si>
  <si>
    <t xml:space="preserve"> o 특별프로그램 운영</t>
    <phoneticPr fontId="19" type="noConversion"/>
  </si>
  <si>
    <t xml:space="preserve"> o 기간제근로자 (4대보험 포함)</t>
    <phoneticPr fontId="19" type="noConversion"/>
  </si>
  <si>
    <t>개월</t>
    <phoneticPr fontId="25" type="noConversion"/>
  </si>
  <si>
    <t xml:space="preserve"> o 소장품 관리 일반 소모품 구입</t>
    <phoneticPr fontId="19" type="noConversion"/>
  </si>
  <si>
    <t xml:space="preserve">   1. 통합적 유해생물 관리</t>
    <phoneticPr fontId="25" type="noConversion"/>
  </si>
  <si>
    <t xml:space="preserve">   2. 포장, 관리재 구입</t>
    <phoneticPr fontId="19" type="noConversion"/>
  </si>
  <si>
    <t xml:space="preserve">   1. 자연사유물 보존처리</t>
    <phoneticPr fontId="19" type="noConversion"/>
  </si>
  <si>
    <t xml:space="preserve">   2. 전산시스템 유지보수</t>
    <phoneticPr fontId="19" type="noConversion"/>
  </si>
  <si>
    <t xml:space="preserve"> o 기증유물 전시도록 제작</t>
    <phoneticPr fontId="25" type="noConversion"/>
  </si>
  <si>
    <t>어린이 문화예술 심포지엄</t>
    <phoneticPr fontId="19" type="noConversion"/>
  </si>
  <si>
    <t>팀</t>
    <phoneticPr fontId="19" type="noConversion"/>
  </si>
  <si>
    <t xml:space="preserve">   2. 회의자문료</t>
    <phoneticPr fontId="19" type="noConversion"/>
  </si>
  <si>
    <t xml:space="preserve">   3. 원고료</t>
    <phoneticPr fontId="19" type="noConversion"/>
  </si>
  <si>
    <t xml:space="preserve">  2. 운영소모품 구입</t>
    <phoneticPr fontId="19" type="noConversion"/>
  </si>
  <si>
    <t xml:space="preserve"> =</t>
    <phoneticPr fontId="19" type="noConversion"/>
  </si>
  <si>
    <t xml:space="preserve"> o 프로그램 기획관련 국내 출장 </t>
    <phoneticPr fontId="19" type="noConversion"/>
  </si>
  <si>
    <t xml:space="preserve"> o 기획 및 운영 회의</t>
    <phoneticPr fontId="19" type="noConversion"/>
  </si>
  <si>
    <t xml:space="preserve"> o 프로그램 결과 자료집</t>
    <phoneticPr fontId="19" type="noConversion"/>
  </si>
  <si>
    <t xml:space="preserve"> =</t>
    <phoneticPr fontId="19" type="noConversion"/>
  </si>
  <si>
    <t xml:space="preserve"> o 프로그램 기획관련 국내 출장 </t>
    <phoneticPr fontId="19" type="noConversion"/>
  </si>
  <si>
    <t xml:space="preserve"> o 프로그램 보조강사 </t>
    <phoneticPr fontId="19" type="noConversion"/>
  </si>
  <si>
    <t xml:space="preserve"> o 재활용품 수급 차량입차</t>
    <phoneticPr fontId="19" type="noConversion"/>
  </si>
  <si>
    <t xml:space="preserve"> o 특별프로그램 행사 운영 </t>
    <phoneticPr fontId="19" type="noConversion"/>
  </si>
  <si>
    <t xml:space="preserve"> o 기획 및 운영 회의</t>
    <phoneticPr fontId="19" type="noConversion"/>
  </si>
  <si>
    <t xml:space="preserve"> o 교육연구원(1명)</t>
    <phoneticPr fontId="19" type="noConversion"/>
  </si>
  <si>
    <t xml:space="preserve">   1. 리플렛 제작</t>
    <phoneticPr fontId="19" type="noConversion"/>
  </si>
  <si>
    <t xml:space="preserve">   2. 홍보물(배너, 현수막) 제작</t>
    <phoneticPr fontId="19" type="noConversion"/>
  </si>
  <si>
    <t xml:space="preserve"> o 방학재료구입 및 물품구입(여름, 겨울)</t>
    <phoneticPr fontId="19" type="noConversion"/>
  </si>
  <si>
    <t xml:space="preserve">   1. 프로그램 주강사(여름, 겨울)</t>
    <phoneticPr fontId="19" type="noConversion"/>
  </si>
  <si>
    <t xml:space="preserve">   2. 프로그램 보조강사(여름, 겨울)</t>
    <phoneticPr fontId="19" type="noConversion"/>
  </si>
  <si>
    <t xml:space="preserve"> o 교육공간 설치 및 철거</t>
    <phoneticPr fontId="19" type="noConversion"/>
  </si>
  <si>
    <t xml:space="preserve"> o 특별교육 행사운영</t>
    <phoneticPr fontId="19" type="noConversion"/>
  </si>
  <si>
    <t xml:space="preserve"> o 안내요원 및 설문조사 등</t>
    <phoneticPr fontId="19" type="noConversion"/>
  </si>
  <si>
    <t xml:space="preserve"> o 심의수당 등</t>
    <phoneticPr fontId="19" type="noConversion"/>
  </si>
  <si>
    <t xml:space="preserve"> o 심의회의 및 평가 회의 등 </t>
    <phoneticPr fontId="19" type="noConversion"/>
  </si>
  <si>
    <t xml:space="preserve"> o 공연 홍보 및 행사진행비</t>
    <phoneticPr fontId="19" type="noConversion"/>
  </si>
  <si>
    <t xml:space="preserve">인건비 </t>
    <phoneticPr fontId="19" type="noConversion"/>
  </si>
  <si>
    <t xml:space="preserve">  1. 안전점검</t>
    <phoneticPr fontId="19" type="noConversion"/>
  </si>
  <si>
    <t xml:space="preserve">  2. 시설보수공사</t>
    <phoneticPr fontId="19" type="noConversion"/>
  </si>
  <si>
    <t>관람환경 개선</t>
    <phoneticPr fontId="19" type="noConversion"/>
  </si>
  <si>
    <t xml:space="preserve">  1. 경관용 엘리베이터 시설</t>
    <phoneticPr fontId="19" type="noConversion"/>
  </si>
  <si>
    <t xml:space="preserve">  2. 토목작업</t>
    <phoneticPr fontId="19" type="noConversion"/>
  </si>
  <si>
    <t xml:space="preserve">  3. 실시설계</t>
    <phoneticPr fontId="19" type="noConversion"/>
  </si>
  <si>
    <t xml:space="preserve">  4. 시설공사</t>
    <phoneticPr fontId="19" type="noConversion"/>
  </si>
  <si>
    <t xml:space="preserve">  5. 시스템 유지보수</t>
    <phoneticPr fontId="19" type="noConversion"/>
  </si>
  <si>
    <t xml:space="preserve">  6. 공간개선</t>
    <phoneticPr fontId="19" type="noConversion"/>
  </si>
  <si>
    <t xml:space="preserve">  1. 홍보물 제작 및 설치</t>
    <phoneticPr fontId="19" type="noConversion"/>
  </si>
  <si>
    <t xml:space="preserve">  3. 문화사랑방 인테리어 소모품 구입</t>
    <phoneticPr fontId="19" type="noConversion"/>
  </si>
  <si>
    <t xml:space="preserve">  4. 교육실 인테리어 소모품 구입</t>
    <phoneticPr fontId="19" type="noConversion"/>
  </si>
  <si>
    <t>1회</t>
    <phoneticPr fontId="19" type="noConversion"/>
  </si>
  <si>
    <t>19</t>
    <phoneticPr fontId="19" type="noConversion"/>
  </si>
  <si>
    <t>대</t>
    <phoneticPr fontId="19" type="noConversion"/>
  </si>
  <si>
    <t>경기도 문화유산 보존 및 연구</t>
  </si>
  <si>
    <t>경기도 문화유산 보존 및 연구</t>
    <phoneticPr fontId="19" type="noConversion"/>
  </si>
  <si>
    <t xml:space="preserve"> o 유물이관 및 운송</t>
    <phoneticPr fontId="19" type="noConversion"/>
  </si>
  <si>
    <t>회</t>
    <phoneticPr fontId="19" type="noConversion"/>
  </si>
  <si>
    <t xml:space="preserve"> o 운송관련출장</t>
    <phoneticPr fontId="19" type="noConversion"/>
  </si>
  <si>
    <t>명 *</t>
    <phoneticPr fontId="19" type="noConversion"/>
  </si>
  <si>
    <t xml:space="preserve"> o 정리용품</t>
    <phoneticPr fontId="19" type="noConversion"/>
  </si>
  <si>
    <t>ㅇ 경기학기획도서발간</t>
    <phoneticPr fontId="19" type="noConversion"/>
  </si>
  <si>
    <t>원 *</t>
    <phoneticPr fontId="19" type="noConversion"/>
  </si>
  <si>
    <t>부</t>
    <phoneticPr fontId="19" type="noConversion"/>
  </si>
  <si>
    <t>=</t>
    <phoneticPr fontId="19" type="noConversion"/>
  </si>
  <si>
    <t>회의운영비</t>
    <phoneticPr fontId="18" type="noConversion"/>
  </si>
  <si>
    <t>ㅇ 관계자업무협의등</t>
    <phoneticPr fontId="19" type="noConversion"/>
  </si>
  <si>
    <t>명*</t>
    <phoneticPr fontId="19" type="noConversion"/>
  </si>
  <si>
    <t>지급용역료</t>
    <phoneticPr fontId="19" type="noConversion"/>
  </si>
  <si>
    <t>ㅇ계</t>
    <phoneticPr fontId="19" type="noConversion"/>
  </si>
  <si>
    <t>종*</t>
    <phoneticPr fontId="19" type="noConversion"/>
  </si>
  <si>
    <t>행사운영비</t>
    <phoneticPr fontId="19" type="noConversion"/>
  </si>
  <si>
    <t>ㅇ 국내여비</t>
    <phoneticPr fontId="19" type="noConversion"/>
  </si>
  <si>
    <t>ㅇ 소모품구입</t>
    <phoneticPr fontId="19" type="noConversion"/>
  </si>
  <si>
    <t>경기지역학 네트워킹</t>
    <phoneticPr fontId="19" type="noConversion"/>
  </si>
  <si>
    <t>원*</t>
    <phoneticPr fontId="19" type="noConversion"/>
  </si>
  <si>
    <t>ㅇ 국내출장</t>
    <phoneticPr fontId="19" type="noConversion"/>
  </si>
  <si>
    <t>ㅇ 관계자업무협의등</t>
    <phoneticPr fontId="19" type="noConversion"/>
  </si>
  <si>
    <t>ㅇ 관계자현장답사</t>
    <phoneticPr fontId="19" type="noConversion"/>
  </si>
  <si>
    <t>자료구입비</t>
    <phoneticPr fontId="18" type="noConversion"/>
  </si>
  <si>
    <t>ㅇ 관련자료구입</t>
    <phoneticPr fontId="19" type="noConversion"/>
  </si>
  <si>
    <t>`</t>
    <phoneticPr fontId="19" type="noConversion"/>
  </si>
  <si>
    <t>통신비</t>
    <phoneticPr fontId="19" type="noConversion"/>
  </si>
  <si>
    <t>ㅇ 책자발송</t>
    <phoneticPr fontId="19" type="noConversion"/>
  </si>
  <si>
    <t>종</t>
    <phoneticPr fontId="19" type="noConversion"/>
  </si>
  <si>
    <t>ㅇ 현장조사 및 답사</t>
    <phoneticPr fontId="19" type="noConversion"/>
  </si>
  <si>
    <t xml:space="preserve">   1. 법정의무교육(강사1)</t>
    <phoneticPr fontId="19" type="noConversion"/>
  </si>
  <si>
    <t xml:space="preserve"> o 각종 교육운영비</t>
    <phoneticPr fontId="19" type="noConversion"/>
  </si>
  <si>
    <t xml:space="preserve">   1. 기본역량교육</t>
    <phoneticPr fontId="19" type="noConversion"/>
  </si>
  <si>
    <t xml:space="preserve">   3. 직무공통교육</t>
    <phoneticPr fontId="19" type="noConversion"/>
  </si>
  <si>
    <t xml:space="preserve"> o 영상콘텐츠 제작용역료</t>
    <phoneticPr fontId="19" type="noConversion"/>
  </si>
  <si>
    <t>원*</t>
    <phoneticPr fontId="31" type="noConversion"/>
  </si>
  <si>
    <t>문화예술 국제교류지원</t>
    <phoneticPr fontId="19" type="noConversion"/>
  </si>
  <si>
    <t>예술로 가로지르기</t>
    <phoneticPr fontId="25" type="noConversion"/>
  </si>
  <si>
    <t xml:space="preserve">   1. 예술로가로지르기 지원금</t>
    <phoneticPr fontId="19" type="noConversion"/>
  </si>
  <si>
    <t>식</t>
    <phoneticPr fontId="19" type="noConversion"/>
  </si>
  <si>
    <t xml:space="preserve">   2. 신화와예술맥놀리 출판지원 지원금</t>
    <phoneticPr fontId="19" type="noConversion"/>
  </si>
  <si>
    <t xml:space="preserve"> o 예술로가로지르기 온라인광고 등</t>
    <phoneticPr fontId="19" type="noConversion"/>
  </si>
  <si>
    <t xml:space="preserve"> o 신화와예술맥놀이 홍보물(리플렛.포스터,배너등)</t>
    <phoneticPr fontId="19" type="noConversion"/>
  </si>
  <si>
    <t>명*</t>
    <phoneticPr fontId="19" type="noConversion"/>
  </si>
  <si>
    <t xml:space="preserve">   1. 예술로가로지르기 강연료등(강연,행사진행,녹취,번역)</t>
    <phoneticPr fontId="19" type="noConversion"/>
  </si>
  <si>
    <t xml:space="preserve">   2. 신화와예술맥놀이 강의료등 (강연,녹취,윤문,자문회의,영상촬영등)</t>
    <phoneticPr fontId="19" type="noConversion"/>
  </si>
  <si>
    <t>지급용역료</t>
    <phoneticPr fontId="19" type="noConversion"/>
  </si>
  <si>
    <t xml:space="preserve"> o 예술로가로지르기 영상, 공연</t>
    <phoneticPr fontId="19" type="noConversion"/>
  </si>
  <si>
    <t>지급임차료</t>
    <phoneticPr fontId="19" type="noConversion"/>
  </si>
  <si>
    <t xml:space="preserve"> o 예술로가로지르기 대관</t>
    <phoneticPr fontId="19" type="noConversion"/>
  </si>
  <si>
    <t>일</t>
    <phoneticPr fontId="19" type="noConversion"/>
  </si>
  <si>
    <t xml:space="preserve"> o 계</t>
    <phoneticPr fontId="19" type="noConversion"/>
  </si>
  <si>
    <t xml:space="preserve">   1. 예술로가로지르기 행사운영(케이터링 등)</t>
    <phoneticPr fontId="19" type="noConversion"/>
  </si>
  <si>
    <t xml:space="preserve">   2. 신화와예술맥놀이 행사운영(강의다과 등)</t>
    <phoneticPr fontId="19" type="noConversion"/>
  </si>
  <si>
    <t>지역맞춤형 문화예술지원</t>
    <phoneticPr fontId="19" type="noConversion"/>
  </si>
  <si>
    <t xml:space="preserve"> o 단체지원</t>
    <phoneticPr fontId="19" type="noConversion"/>
  </si>
  <si>
    <t xml:space="preserve"> o 사무용 소모품 등</t>
    <phoneticPr fontId="19" type="noConversion"/>
  </si>
  <si>
    <t xml:space="preserve">   1. 심사비, 자문료 등</t>
    <phoneticPr fontId="19" type="noConversion"/>
  </si>
  <si>
    <t xml:space="preserve">   2. 사진및영상촬영</t>
    <phoneticPr fontId="19" type="noConversion"/>
  </si>
  <si>
    <t xml:space="preserve"> o 매개자워크숍 등</t>
    <phoneticPr fontId="19" type="noConversion"/>
  </si>
  <si>
    <t xml:space="preserve"> o 홍보기념품구매</t>
    <phoneticPr fontId="19" type="noConversion"/>
  </si>
  <si>
    <t>회</t>
    <phoneticPr fontId="19" type="noConversion"/>
  </si>
  <si>
    <t>경기상상캠퍼스 관리운영</t>
    <phoneticPr fontId="19" type="noConversion"/>
  </si>
  <si>
    <t xml:space="preserve"> o 외부단체 공간사용에 따른 수도광열비</t>
    <phoneticPr fontId="19" type="noConversion"/>
  </si>
  <si>
    <t xml:space="preserve"> o 내외부 환경개선</t>
    <phoneticPr fontId="19" type="noConversion"/>
  </si>
  <si>
    <t xml:space="preserve"> o 대외협력 행사운영비</t>
    <phoneticPr fontId="19" type="noConversion"/>
  </si>
  <si>
    <t>개월</t>
    <phoneticPr fontId="25" type="noConversion"/>
  </si>
  <si>
    <t>회</t>
    <phoneticPr fontId="25" type="noConversion"/>
  </si>
  <si>
    <t xml:space="preserve"> o 심사비 및 자문비</t>
    <phoneticPr fontId="19" type="noConversion"/>
  </si>
  <si>
    <t xml:space="preserve"> o 옥외매체(버스) 홍보 및 영상제작</t>
    <phoneticPr fontId="19" type="noConversion"/>
  </si>
  <si>
    <t>전시운영</t>
    <phoneticPr fontId="19" type="noConversion"/>
  </si>
  <si>
    <t>교육체험프로그램</t>
    <phoneticPr fontId="19" type="noConversion"/>
  </si>
  <si>
    <t>학술연구</t>
    <phoneticPr fontId="18" type="noConversion"/>
  </si>
  <si>
    <t>전시운영</t>
    <phoneticPr fontId="18" type="noConversion"/>
  </si>
  <si>
    <t>교육프로그램</t>
    <phoneticPr fontId="18" type="noConversion"/>
  </si>
  <si>
    <t>소장품</t>
    <phoneticPr fontId="18" type="noConversion"/>
  </si>
  <si>
    <t>소장품</t>
    <phoneticPr fontId="19" type="noConversion"/>
  </si>
  <si>
    <t>전시콘텐츠 역량 강화</t>
    <phoneticPr fontId="25" type="noConversion"/>
  </si>
  <si>
    <t>2018시흥바라지 에코뮤지엄</t>
  </si>
  <si>
    <t>2018경기만 에코뮤지엄 조성</t>
  </si>
  <si>
    <t>2018제부도명소화 문화재생</t>
  </si>
  <si>
    <t>지역문화예술특성화 지원</t>
  </si>
  <si>
    <t>2018경기도 문화재 원형기록화</t>
  </si>
  <si>
    <t>2018남한산성 옛길 활용 및 홍보</t>
  </si>
  <si>
    <t>경기도항일유적 안내판 및 표지판 설치</t>
  </si>
  <si>
    <t>지역특성화 문화예술교육 지원</t>
    <phoneticPr fontId="19" type="noConversion"/>
  </si>
  <si>
    <t>경기도도서관총서 발간</t>
    <phoneticPr fontId="19" type="noConversion"/>
  </si>
  <si>
    <t>교육훈련비</t>
    <phoneticPr fontId="19" type="noConversion"/>
  </si>
  <si>
    <t xml:space="preserve">   4. 복사기 및 프린터 토너</t>
  </si>
  <si>
    <t xml:space="preserve">   1. 국내여비</t>
  </si>
  <si>
    <t xml:space="preserve">   2. 원격지수당(비숙소)</t>
  </si>
  <si>
    <t xml:space="preserve">   3. 원격지수당(숙소제공)</t>
  </si>
  <si>
    <t xml:space="preserve">   3. 사무실 환경 개선비</t>
  </si>
  <si>
    <t xml:space="preserve">   1. 사무실 임차료(관리비 포함)</t>
  </si>
  <si>
    <t xml:space="preserve">   2. 관사 임차료</t>
  </si>
  <si>
    <t xml:space="preserve">   3. 차량 임차료</t>
  </si>
  <si>
    <t xml:space="preserve">   4. 복합기 및 냉온풍기 렌탈료</t>
  </si>
  <si>
    <t>고정자산</t>
    <phoneticPr fontId="31" type="noConversion"/>
  </si>
  <si>
    <t xml:space="preserve">   1. 사무용 가구 및 전산기기 구매</t>
  </si>
  <si>
    <t xml:space="preserve">   2. 교육실 음향장비 구입비</t>
  </si>
  <si>
    <t xml:space="preserve">   3. 외부 교육용 빔 프로젝터</t>
  </si>
  <si>
    <t xml:space="preserve">   1. 전시실, 스튜디오, 시설 및 야외 환경개선</t>
    <phoneticPr fontId="19" type="noConversion"/>
  </si>
  <si>
    <t>경영본부 + 문화예술본부 일반관리비</t>
    <phoneticPr fontId="19" type="noConversion"/>
  </si>
  <si>
    <t>예산액</t>
    <phoneticPr fontId="19" type="noConversion"/>
  </si>
  <si>
    <t>기   정
예산액</t>
    <phoneticPr fontId="19" type="noConversion"/>
  </si>
  <si>
    <t>증 감</t>
    <phoneticPr fontId="19" type="noConversion"/>
  </si>
  <si>
    <t>산    출    기    초</t>
    <phoneticPr fontId="25" type="noConversion"/>
  </si>
  <si>
    <t>목분류</t>
    <phoneticPr fontId="19" type="noConversion"/>
  </si>
  <si>
    <t>정책실</t>
    <phoneticPr fontId="19" type="noConversion"/>
  </si>
  <si>
    <t>정책위원회 운영</t>
    <phoneticPr fontId="19" type="noConversion"/>
  </si>
  <si>
    <t xml:space="preserve"> o 기간제(4대보험, 퇴직금포함)</t>
    <phoneticPr fontId="19" type="noConversion"/>
  </si>
  <si>
    <t>=</t>
    <phoneticPr fontId="25" type="noConversion"/>
  </si>
  <si>
    <t xml:space="preserve"> o 행사 소모품</t>
    <phoneticPr fontId="19" type="noConversion"/>
  </si>
  <si>
    <t xml:space="preserve"> o 정책연구 용역</t>
    <phoneticPr fontId="19" type="noConversion"/>
  </si>
  <si>
    <t xml:space="preserve"> o 간담회 및 포럼 개최</t>
    <phoneticPr fontId="19" type="noConversion"/>
  </si>
  <si>
    <t xml:space="preserve">   2. 뮤지엄운영위원회운영</t>
    <phoneticPr fontId="19" type="noConversion"/>
  </si>
  <si>
    <r>
      <t xml:space="preserve">   3. </t>
    </r>
    <r>
      <rPr>
        <sz val="12"/>
        <rFont val="맑은 고딕"/>
        <family val="3"/>
        <charset val="129"/>
      </rPr>
      <t>재단</t>
    </r>
    <r>
      <rPr>
        <sz val="12"/>
        <rFont val="돋움"/>
        <family val="3"/>
        <charset val="129"/>
      </rPr>
      <t xml:space="preserve"> </t>
    </r>
    <r>
      <rPr>
        <sz val="12"/>
        <rFont val="맑은 고딕"/>
        <family val="3"/>
        <charset val="129"/>
      </rPr>
      <t>협업</t>
    </r>
    <r>
      <rPr>
        <sz val="12"/>
        <rFont val="돋움"/>
        <family val="3"/>
        <charset val="129"/>
      </rPr>
      <t>(TF)</t>
    </r>
    <r>
      <rPr>
        <sz val="12"/>
        <rFont val="맑은 고딕"/>
        <family val="3"/>
        <charset val="129"/>
      </rPr>
      <t>위원회·업무협약</t>
    </r>
    <r>
      <rPr>
        <sz val="12"/>
        <rFont val="돋움"/>
        <family val="3"/>
        <charset val="129"/>
      </rPr>
      <t>(MOU)</t>
    </r>
    <r>
      <rPr>
        <sz val="12"/>
        <rFont val="맑은 고딕"/>
        <family val="3"/>
        <charset val="129"/>
      </rPr>
      <t>심의위원회</t>
    </r>
    <r>
      <rPr>
        <sz val="12"/>
        <rFont val="돋움"/>
        <family val="3"/>
        <charset val="129"/>
      </rPr>
      <t xml:space="preserve"> </t>
    </r>
    <r>
      <rPr>
        <sz val="12"/>
        <rFont val="맑은 고딕"/>
        <family val="3"/>
        <charset val="129"/>
      </rPr>
      <t>운영</t>
    </r>
    <phoneticPr fontId="19" type="noConversion"/>
  </si>
  <si>
    <t xml:space="preserve"> o 정책자료집 발간</t>
    <phoneticPr fontId="19" type="noConversion"/>
  </si>
  <si>
    <t xml:space="preserve"> o 사무소모품구입</t>
    <phoneticPr fontId="19" type="noConversion"/>
  </si>
  <si>
    <t xml:space="preserve">   1. 원고료/번역료</t>
    <phoneticPr fontId="19" type="noConversion"/>
  </si>
  <si>
    <t xml:space="preserve">   2. 포럼, 토론회 참석수당</t>
    <phoneticPr fontId="19" type="noConversion"/>
  </si>
  <si>
    <t xml:space="preserve"> o 문화정책포럼 개최</t>
    <phoneticPr fontId="19" type="noConversion"/>
  </si>
  <si>
    <t xml:space="preserve">   1. 문화정책 블레틴 디자인 및 발간</t>
    <phoneticPr fontId="19" type="noConversion"/>
  </si>
  <si>
    <t>문화예술 네트워크 확산</t>
    <phoneticPr fontId="19" type="noConversion"/>
  </si>
  <si>
    <t xml:space="preserve"> o 국내외 여비</t>
    <phoneticPr fontId="19" type="noConversion"/>
  </si>
  <si>
    <t>경기 라키비움 공간 조성</t>
    <phoneticPr fontId="19" type="noConversion"/>
  </si>
  <si>
    <t xml:space="preserve">   1. 설계 진행(건축, 전기)</t>
    <phoneticPr fontId="19" type="noConversion"/>
  </si>
  <si>
    <t xml:space="preserve">   2. 전기 기반공사</t>
    <phoneticPr fontId="19" type="noConversion"/>
  </si>
  <si>
    <t xml:space="preserve">   4. 기타 환경구축(소방, 휀스철거, 무선네트워크 등)</t>
    <phoneticPr fontId="19" type="noConversion"/>
  </si>
  <si>
    <t xml:space="preserve">   3. 철거공사 및 폐기물처리</t>
    <phoneticPr fontId="19" type="noConversion"/>
  </si>
  <si>
    <t>생활문화 직장인밴드</t>
    <phoneticPr fontId="19" type="noConversion"/>
  </si>
  <si>
    <t>경기만 에코뮤지엄 다큐제작</t>
    <phoneticPr fontId="19" type="noConversion"/>
  </si>
  <si>
    <t xml:space="preserve"> o 직장인밴드 페스티벌 개최 용역</t>
    <phoneticPr fontId="19" type="noConversion"/>
  </si>
  <si>
    <t xml:space="preserve"> o 경기만에코뮤지엄 다큐제작 용역</t>
    <phoneticPr fontId="19" type="noConversion"/>
  </si>
  <si>
    <t>경기도 대표소리를 찾아서</t>
    <phoneticPr fontId="19" type="noConversion"/>
  </si>
  <si>
    <t xml:space="preserve"> o 경기도 대표소리를 찾아서</t>
    <phoneticPr fontId="19" type="noConversion"/>
  </si>
  <si>
    <t xml:space="preserve">   2. 임직원 아카데미, 외부위탁교육(감사교육 등)</t>
    <phoneticPr fontId="19" type="noConversion"/>
  </si>
  <si>
    <t xml:space="preserve">   3. 임금피크제 대상자 교육훈련</t>
    <phoneticPr fontId="19" type="noConversion"/>
  </si>
  <si>
    <t xml:space="preserve">   4. 직원MT 등</t>
    <phoneticPr fontId="19" type="noConversion"/>
  </si>
  <si>
    <t>세분류</t>
    <phoneticPr fontId="19" type="noConversion"/>
  </si>
  <si>
    <t xml:space="preserve"> o 해외교류창작발표 지원</t>
    <phoneticPr fontId="19" type="noConversion"/>
  </si>
  <si>
    <t xml:space="preserve"> o 아트마켓 유닛부스 운영</t>
    <phoneticPr fontId="19" type="noConversion"/>
  </si>
  <si>
    <t>일</t>
    <phoneticPr fontId="19" type="noConversion"/>
  </si>
  <si>
    <t xml:space="preserve"> o 운영회의</t>
    <phoneticPr fontId="19" type="noConversion"/>
  </si>
  <si>
    <t>도서인쇄비</t>
    <phoneticPr fontId="19" type="noConversion"/>
  </si>
  <si>
    <t xml:space="preserve"> o 경기도문화재단협의회 자료집 발간</t>
    <phoneticPr fontId="19" type="noConversion"/>
  </si>
  <si>
    <t>회*</t>
    <phoneticPr fontId="19" type="noConversion"/>
  </si>
  <si>
    <t>원*</t>
    <phoneticPr fontId="19" type="noConversion"/>
  </si>
  <si>
    <t>부</t>
    <phoneticPr fontId="19" type="noConversion"/>
  </si>
  <si>
    <t>=</t>
    <phoneticPr fontId="19" type="noConversion"/>
  </si>
  <si>
    <t>세금과공과</t>
    <phoneticPr fontId="19" type="noConversion"/>
  </si>
  <si>
    <t xml:space="preserve"> o 광역문화재단연합회 회원 가입</t>
    <phoneticPr fontId="19" type="noConversion"/>
  </si>
  <si>
    <t>회</t>
    <phoneticPr fontId="19" type="noConversion"/>
  </si>
  <si>
    <t>지원비</t>
    <phoneticPr fontId="19" type="noConversion"/>
  </si>
  <si>
    <t xml:space="preserve"> o 경기도문화재단협의회 지원(전문인력양성기관)</t>
    <phoneticPr fontId="19" type="noConversion"/>
  </si>
  <si>
    <t>여비교통비</t>
    <phoneticPr fontId="19" type="noConversion"/>
  </si>
  <si>
    <t xml:space="preserve"> o 전문인력양성기관 교육생 연수 및 숙박</t>
    <phoneticPr fontId="19" type="noConversion"/>
  </si>
  <si>
    <t>명*</t>
    <phoneticPr fontId="19" type="noConversion"/>
  </si>
  <si>
    <t>행사운영비</t>
    <phoneticPr fontId="19" type="noConversion"/>
  </si>
  <si>
    <t xml:space="preserve">   1. 경기도문화재단협의회 대표자회의 개최</t>
    <phoneticPr fontId="19" type="noConversion"/>
  </si>
  <si>
    <t>식</t>
    <phoneticPr fontId="19" type="noConversion"/>
  </si>
  <si>
    <t xml:space="preserve">   2. 한국광역문화재단연합회 공동포럼 개최</t>
    <phoneticPr fontId="19" type="noConversion"/>
  </si>
  <si>
    <t>회의운영비</t>
    <phoneticPr fontId="19" type="noConversion"/>
  </si>
  <si>
    <t xml:space="preserve"> o 회의운영비</t>
    <phoneticPr fontId="19" type="noConversion"/>
  </si>
  <si>
    <t>인건비</t>
    <phoneticPr fontId="19" type="noConversion"/>
  </si>
  <si>
    <t xml:space="preserve"> o 기간제(4대보험, 퇴직금포함)</t>
    <phoneticPr fontId="19" type="noConversion"/>
  </si>
  <si>
    <t>원*</t>
    <phoneticPr fontId="25" type="noConversion"/>
  </si>
  <si>
    <t>개월</t>
    <phoneticPr fontId="25" type="noConversion"/>
  </si>
  <si>
    <t>=</t>
    <phoneticPr fontId="25" type="noConversion"/>
  </si>
  <si>
    <t xml:space="preserve"> o 연차보고서 및 홍보리플릿 제작</t>
    <phoneticPr fontId="19" type="noConversion"/>
  </si>
  <si>
    <t>소모품비</t>
    <phoneticPr fontId="19" type="noConversion"/>
  </si>
  <si>
    <t xml:space="preserve"> o 사무용품 등</t>
    <phoneticPr fontId="19" type="noConversion"/>
  </si>
  <si>
    <t xml:space="preserve"> o 국내여비</t>
    <phoneticPr fontId="19" type="noConversion"/>
  </si>
  <si>
    <t>지급수수료</t>
    <phoneticPr fontId="18" type="noConversion"/>
  </si>
  <si>
    <t xml:space="preserve"> o 계</t>
    <phoneticPr fontId="19" type="noConversion"/>
  </si>
  <si>
    <t xml:space="preserve">   1. 문화이음아트상품 기획</t>
    <phoneticPr fontId="19" type="noConversion"/>
  </si>
  <si>
    <t xml:space="preserve">   2. 국세청 및 후원관리시스템 수수료</t>
    <phoneticPr fontId="19" type="noConversion"/>
  </si>
  <si>
    <t xml:space="preserve">   3. 문화이음 정책개발 자문료 등</t>
    <phoneticPr fontId="19" type="noConversion"/>
  </si>
  <si>
    <t>지급용역료</t>
    <phoneticPr fontId="18" type="noConversion"/>
  </si>
  <si>
    <t xml:space="preserve">   1. 문화이음 정책개발 연구용역</t>
    <phoneticPr fontId="19" type="noConversion"/>
  </si>
  <si>
    <t xml:space="preserve">   2. 기부자 예우 행사</t>
    <phoneticPr fontId="19" type="noConversion"/>
  </si>
  <si>
    <t xml:space="preserve">   3. 사회공헌 행사</t>
    <phoneticPr fontId="19" type="noConversion"/>
  </si>
  <si>
    <t>지급임차료</t>
    <phoneticPr fontId="19" type="noConversion"/>
  </si>
  <si>
    <t xml:space="preserve"> o 기간제근로자PC 임차</t>
    <phoneticPr fontId="19" type="noConversion"/>
  </si>
  <si>
    <t xml:space="preserve"> o 지원비</t>
    <phoneticPr fontId="19" type="noConversion"/>
  </si>
  <si>
    <t>통신비</t>
    <phoneticPr fontId="19" type="noConversion"/>
  </si>
  <si>
    <t xml:space="preserve"> o 우편발송료 등</t>
    <phoneticPr fontId="19" type="noConversion"/>
  </si>
  <si>
    <t xml:space="preserve"> o 현수막제작, 기부자 예우 행사물품 구입 등</t>
    <phoneticPr fontId="19" type="noConversion"/>
  </si>
  <si>
    <t>홍보물구입비</t>
    <phoneticPr fontId="19" type="noConversion"/>
  </si>
  <si>
    <t xml:space="preserve"> o 기부자 예우 기념품 구입 등</t>
    <phoneticPr fontId="19" type="noConversion"/>
  </si>
  <si>
    <t>개</t>
    <phoneticPr fontId="19" type="noConversion"/>
  </si>
  <si>
    <t>뮤지엄 통합운영</t>
    <phoneticPr fontId="19" type="noConversion"/>
  </si>
  <si>
    <t xml:space="preserve"> o 어린이날 행사 진행 인력</t>
    <phoneticPr fontId="19" type="noConversion"/>
  </si>
  <si>
    <t xml:space="preserve"> o 어린이날 현수막, 홍보물 제작</t>
    <phoneticPr fontId="19" type="noConversion"/>
  </si>
  <si>
    <t xml:space="preserve"> o 어린이날 체험, 교육 물품 및 재료 구입</t>
    <phoneticPr fontId="19" type="noConversion"/>
  </si>
  <si>
    <t xml:space="preserve"> o 학술정보 및 원문자료 DB 구독</t>
    <phoneticPr fontId="19" type="noConversion"/>
  </si>
  <si>
    <t>지급수수료</t>
    <phoneticPr fontId="19" type="noConversion"/>
  </si>
  <si>
    <t xml:space="preserve"> o 어린이날 강사비</t>
    <phoneticPr fontId="19" type="noConversion"/>
  </si>
  <si>
    <t>지급용역료</t>
    <phoneticPr fontId="19" type="noConversion"/>
  </si>
  <si>
    <t xml:space="preserve">   1. 어린이날 종합안전관리(뮤지엄파크)</t>
    <phoneticPr fontId="19" type="noConversion"/>
  </si>
  <si>
    <t xml:space="preserve">   2. 어린이날 공연</t>
    <phoneticPr fontId="19" type="noConversion"/>
  </si>
  <si>
    <t xml:space="preserve">   3. 경기천년 관련 학술행사</t>
    <phoneticPr fontId="19" type="noConversion"/>
  </si>
  <si>
    <t xml:space="preserve"> o 어린이날 행사 물품 임대</t>
    <phoneticPr fontId="19" type="noConversion"/>
  </si>
  <si>
    <t xml:space="preserve">   1. 경기천년 관련 학술행사 지원</t>
    <phoneticPr fontId="19" type="noConversion"/>
  </si>
  <si>
    <t xml:space="preserve">   2. 경기문화교류 학술행사 지원(연변대)</t>
    <phoneticPr fontId="19" type="noConversion"/>
  </si>
  <si>
    <t xml:space="preserve">   1. 어린이날 행사 운영</t>
    <phoneticPr fontId="19" type="noConversion"/>
  </si>
  <si>
    <t xml:space="preserve">   2. 어린이날 행사 식음료비</t>
    <phoneticPr fontId="19" type="noConversion"/>
  </si>
  <si>
    <t xml:space="preserve"> o 각종 회의운영</t>
    <phoneticPr fontId="19" type="noConversion"/>
  </si>
  <si>
    <t>문화예술 통합운영</t>
    <phoneticPr fontId="19" type="noConversion"/>
  </si>
  <si>
    <t xml:space="preserve"> o 국내외 여비</t>
    <phoneticPr fontId="19" type="noConversion"/>
  </si>
  <si>
    <t>=</t>
    <phoneticPr fontId="18" type="noConversion"/>
  </si>
  <si>
    <t>명</t>
    <phoneticPr fontId="19" type="noConversion"/>
  </si>
  <si>
    <t xml:space="preserve"> o 문화예술 기획(통합)사업 추진</t>
    <phoneticPr fontId="19" type="noConversion"/>
  </si>
  <si>
    <t xml:space="preserve"> o 문화예술 활성화 행사 운영</t>
    <phoneticPr fontId="19" type="noConversion"/>
  </si>
  <si>
    <t>자산구입비</t>
    <phoneticPr fontId="19" type="noConversion"/>
  </si>
  <si>
    <t xml:space="preserve"> o 행사 회원가입용 장비 구입(태블릿,바코드스캐너 등)</t>
    <phoneticPr fontId="19" type="noConversion"/>
  </si>
  <si>
    <t>세트</t>
    <phoneticPr fontId="25" type="noConversion"/>
  </si>
  <si>
    <t>회</t>
    <phoneticPr fontId="25" type="noConversion"/>
  </si>
  <si>
    <t xml:space="preserve">   1. 홈페이지 연동 및 추가개발</t>
    <phoneticPr fontId="19" type="noConversion"/>
  </si>
  <si>
    <t>식</t>
    <phoneticPr fontId="25" type="noConversion"/>
  </si>
  <si>
    <t xml:space="preserve">   2. 실물 회원카드 디자인 제작</t>
    <phoneticPr fontId="19" type="noConversion"/>
  </si>
  <si>
    <t xml:space="preserve">   3. 온라인 이벤트 및 홍보용역</t>
    <phoneticPr fontId="19" type="noConversion"/>
  </si>
  <si>
    <t xml:space="preserve"> o CRM용 SMS, LMS 발송료, Wifi 이용료</t>
    <phoneticPr fontId="19" type="noConversion"/>
  </si>
  <si>
    <t>월</t>
    <phoneticPr fontId="25" type="noConversion"/>
  </si>
  <si>
    <t xml:space="preserve">   1. 회원 홍보 기념품 제작</t>
    <phoneticPr fontId="19" type="noConversion"/>
  </si>
  <si>
    <t xml:space="preserve">   2. 오프라인 행사 지원</t>
    <phoneticPr fontId="19" type="noConversion"/>
  </si>
  <si>
    <t>빅데이터 분석 및 활용</t>
    <phoneticPr fontId="24" type="noConversion"/>
  </si>
  <si>
    <t>지급수수료</t>
    <phoneticPr fontId="31" type="noConversion"/>
  </si>
  <si>
    <t xml:space="preserve"> o 심사료</t>
    <phoneticPr fontId="19" type="noConversion"/>
  </si>
  <si>
    <t>명*</t>
    <phoneticPr fontId="31" type="noConversion"/>
  </si>
  <si>
    <t xml:space="preserve">   1. 회원제 데이터 분석 용역</t>
    <phoneticPr fontId="19" type="noConversion"/>
  </si>
  <si>
    <t xml:space="preserve">   2. 소셜 데이터 분석 용역</t>
    <phoneticPr fontId="19" type="noConversion"/>
  </si>
  <si>
    <t>지급임차료</t>
    <phoneticPr fontId="31" type="noConversion"/>
  </si>
  <si>
    <t xml:space="preserve"> o 사무기기임차</t>
    <phoneticPr fontId="19" type="noConversion"/>
  </si>
  <si>
    <t xml:space="preserve"> o 심사회의 등 개최</t>
    <phoneticPr fontId="19" type="noConversion"/>
  </si>
  <si>
    <t xml:space="preserve"> o 학술자료집</t>
    <phoneticPr fontId="19" type="noConversion"/>
  </si>
  <si>
    <t>부*</t>
    <phoneticPr fontId="19" type="noConversion"/>
  </si>
  <si>
    <t xml:space="preserve"> o 행사 소모품</t>
    <phoneticPr fontId="19" type="noConversion"/>
  </si>
  <si>
    <t xml:space="preserve">여비교통비 </t>
    <phoneticPr fontId="19" type="noConversion"/>
  </si>
  <si>
    <t xml:space="preserve">   1. 국내여비</t>
    <phoneticPr fontId="19" type="noConversion"/>
  </si>
  <si>
    <t>개월</t>
    <phoneticPr fontId="19" type="noConversion"/>
  </si>
  <si>
    <t xml:space="preserve"> o 발표자 사례비</t>
    <phoneticPr fontId="19" type="noConversion"/>
  </si>
  <si>
    <t xml:space="preserve"> o 정책연구 용역</t>
    <phoneticPr fontId="19" type="noConversion"/>
  </si>
  <si>
    <t xml:space="preserve">   1. 행사 식음료비</t>
    <phoneticPr fontId="19" type="noConversion"/>
  </si>
  <si>
    <t xml:space="preserve">   2. 홍보물비</t>
    <phoneticPr fontId="19" type="noConversion"/>
  </si>
  <si>
    <t xml:space="preserve">   3. 대관료</t>
    <phoneticPr fontId="19" type="noConversion"/>
  </si>
  <si>
    <t>관</t>
    <phoneticPr fontId="19" type="noConversion"/>
  </si>
  <si>
    <t xml:space="preserve"> o 간담회 등 개최</t>
    <phoneticPr fontId="19" type="noConversion"/>
  </si>
  <si>
    <t xml:space="preserve"> o 우편발송료</t>
    <phoneticPr fontId="19" type="noConversion"/>
  </si>
  <si>
    <t>뮤지엄 공동교육 체험프로그램</t>
    <phoneticPr fontId="19" type="noConversion"/>
  </si>
  <si>
    <t>광고선전비</t>
    <phoneticPr fontId="19" type="noConversion"/>
  </si>
  <si>
    <t xml:space="preserve"> o 온오프라인 매체 광고비</t>
    <phoneticPr fontId="19" type="noConversion"/>
  </si>
  <si>
    <t>보험료</t>
    <phoneticPr fontId="19" type="noConversion"/>
  </si>
  <si>
    <t xml:space="preserve"> o 안전보험가입</t>
    <phoneticPr fontId="19" type="noConversion"/>
  </si>
  <si>
    <t xml:space="preserve"> o 체험 관련 소모품 구입</t>
    <phoneticPr fontId="19" type="noConversion"/>
  </si>
  <si>
    <t xml:space="preserve"> o 자문 및 강사비</t>
    <phoneticPr fontId="19" type="noConversion"/>
  </si>
  <si>
    <t xml:space="preserve">   1. 뮤지엄페스티벌 기획 및 운영</t>
    <phoneticPr fontId="19" type="noConversion"/>
  </si>
  <si>
    <t xml:space="preserve">   2. 홍보 운영</t>
    <phoneticPr fontId="19" type="noConversion"/>
  </si>
  <si>
    <t xml:space="preserve"> o 우편 발송</t>
    <phoneticPr fontId="19" type="noConversion"/>
  </si>
  <si>
    <t xml:space="preserve">   1. 기자간담회</t>
    <phoneticPr fontId="19" type="noConversion"/>
  </si>
  <si>
    <t xml:space="preserve">   2. 행사 식음료비</t>
    <phoneticPr fontId="19" type="noConversion"/>
  </si>
  <si>
    <t xml:space="preserve"> o 행사회의운영</t>
    <phoneticPr fontId="19" type="noConversion"/>
  </si>
  <si>
    <t xml:space="preserve">   1. 경기도박물관 공조기 및 배관 교체</t>
    <phoneticPr fontId="19" type="noConversion"/>
  </si>
  <si>
    <t xml:space="preserve">   2. 경기도박물관 수변전 특고압설비 보수</t>
    <phoneticPr fontId="19" type="noConversion"/>
  </si>
  <si>
    <t xml:space="preserve">   3. 백남준아트센터 시설 개보수(기획전시실 바닥 교체)</t>
    <phoneticPr fontId="19" type="noConversion"/>
  </si>
  <si>
    <t xml:space="preserve">   4. 전곡선사박물관 진입로 주변 개선 기본설계비</t>
    <phoneticPr fontId="19" type="noConversion"/>
  </si>
  <si>
    <t xml:space="preserve"> o 평가위원 수당</t>
    <phoneticPr fontId="19" type="noConversion"/>
  </si>
  <si>
    <t>5명*</t>
    <phoneticPr fontId="19" type="noConversion"/>
  </si>
  <si>
    <t>10회</t>
    <phoneticPr fontId="19" type="noConversion"/>
  </si>
  <si>
    <t xml:space="preserve"> o 유물구입</t>
    <phoneticPr fontId="19" type="noConversion"/>
  </si>
  <si>
    <t>1식</t>
    <phoneticPr fontId="19" type="noConversion"/>
  </si>
  <si>
    <t xml:space="preserve"> o 경기도박물관 찾아가는 버스 교체 구입</t>
    <phoneticPr fontId="25" type="noConversion"/>
  </si>
  <si>
    <t>대</t>
    <phoneticPr fontId="25" type="noConversion"/>
  </si>
  <si>
    <t xml:space="preserve">   1. 경기도박물관 찾아가는 버스 전시실 리모델링</t>
    <phoneticPr fontId="25" type="noConversion"/>
  </si>
  <si>
    <t xml:space="preserve">   2. 경기도어린이박물관 2층 상설전시실 '한강과 물' 노후화 리모델링 등</t>
    <phoneticPr fontId="25" type="noConversion"/>
  </si>
  <si>
    <t xml:space="preserve">   3. 전곡선사박물관 고고학체험실 리모델링</t>
    <phoneticPr fontId="25" type="noConversion"/>
  </si>
  <si>
    <t xml:space="preserve"> o 경기도박물관 정문 환경정비 공사</t>
    <phoneticPr fontId="25" type="noConversion"/>
  </si>
  <si>
    <t xml:space="preserve"> o 자문회의 회의수당</t>
    <phoneticPr fontId="25" type="noConversion"/>
  </si>
  <si>
    <t xml:space="preserve"> o 자문회의 개최</t>
    <phoneticPr fontId="25" type="noConversion"/>
  </si>
  <si>
    <t xml:space="preserve"> o 소모품비</t>
    <phoneticPr fontId="19" type="noConversion"/>
  </si>
  <si>
    <t xml:space="preserve"> o 편의물품 구입</t>
    <phoneticPr fontId="19" type="noConversion"/>
  </si>
  <si>
    <t>기관</t>
    <phoneticPr fontId="25" type="noConversion"/>
  </si>
  <si>
    <t xml:space="preserve">   1. 산하기관 편의시설 개선</t>
    <phoneticPr fontId="19" type="noConversion"/>
  </si>
  <si>
    <t xml:space="preserve">   1. 도록제작</t>
    <phoneticPr fontId="19" type="noConversion"/>
  </si>
  <si>
    <t xml:space="preserve">   2. 포스터 등 홍보물 제작</t>
    <phoneticPr fontId="19" type="noConversion"/>
  </si>
  <si>
    <t xml:space="preserve"> o 유물보험 가입</t>
    <phoneticPr fontId="19" type="noConversion"/>
  </si>
  <si>
    <t xml:space="preserve"> o 체험, 교육, 전시 물품 및 재료 구입</t>
    <phoneticPr fontId="19" type="noConversion"/>
  </si>
  <si>
    <t>여비교통비</t>
    <phoneticPr fontId="19" type="noConversion"/>
  </si>
  <si>
    <t xml:space="preserve"> o 계</t>
    <phoneticPr fontId="19" type="noConversion"/>
  </si>
  <si>
    <t xml:space="preserve">   1. 해외출장(유물대여)</t>
    <phoneticPr fontId="19" type="noConversion"/>
  </si>
  <si>
    <t>명</t>
    <phoneticPr fontId="19" type="noConversion"/>
  </si>
  <si>
    <t xml:space="preserve">   2. 해외유물대여기관 초청여비</t>
    <phoneticPr fontId="19" type="noConversion"/>
  </si>
  <si>
    <t>자산구입비</t>
    <phoneticPr fontId="19" type="noConversion"/>
  </si>
  <si>
    <t xml:space="preserve"> o 전시용 물품(빔프로젝터) 구입</t>
    <phoneticPr fontId="19" type="noConversion"/>
  </si>
  <si>
    <t>회*</t>
    <phoneticPr fontId="19" type="noConversion"/>
  </si>
  <si>
    <t xml:space="preserve">   1. 원고료 및 번역료</t>
    <phoneticPr fontId="19" type="noConversion"/>
  </si>
  <si>
    <t xml:space="preserve">   2. 전시자문료</t>
    <phoneticPr fontId="19" type="noConversion"/>
  </si>
  <si>
    <t xml:space="preserve">   3. 교육강사</t>
    <phoneticPr fontId="19" type="noConversion"/>
  </si>
  <si>
    <t xml:space="preserve">   4. 유물대여료</t>
    <phoneticPr fontId="19" type="noConversion"/>
  </si>
  <si>
    <t>원*</t>
    <phoneticPr fontId="19" type="noConversion"/>
  </si>
  <si>
    <t>회</t>
    <phoneticPr fontId="19" type="noConversion"/>
  </si>
  <si>
    <t xml:space="preserve">   1. 철거 및 전시공사</t>
    <phoneticPr fontId="19" type="noConversion"/>
  </si>
  <si>
    <t>식</t>
    <phoneticPr fontId="19" type="noConversion"/>
  </si>
  <si>
    <t xml:space="preserve">   2. 유물 운송료(해외포함)</t>
    <phoneticPr fontId="19" type="noConversion"/>
  </si>
  <si>
    <t xml:space="preserve">   3. 유물 사진 촬영비</t>
    <phoneticPr fontId="19" type="noConversion"/>
  </si>
  <si>
    <t xml:space="preserve">   4. 기획전시실 내 고정식진열장, 이동식진열장 제작·설치 </t>
    <phoneticPr fontId="19" type="noConversion"/>
  </si>
  <si>
    <t xml:space="preserve"> o 개막식 진행 등</t>
    <phoneticPr fontId="19" type="noConversion"/>
  </si>
  <si>
    <t xml:space="preserve"> o 전시추진 간담회</t>
    <phoneticPr fontId="19" type="noConversion"/>
  </si>
  <si>
    <t>도서인쇄비</t>
    <phoneticPr fontId="19" type="noConversion"/>
  </si>
  <si>
    <t xml:space="preserve"> o 전시리플릿, 초대권, 포스터, 카달로그제작 </t>
    <phoneticPr fontId="19" type="noConversion"/>
  </si>
  <si>
    <t>=</t>
    <phoneticPr fontId="19" type="noConversion"/>
  </si>
  <si>
    <t>보험료</t>
    <phoneticPr fontId="18" type="noConversion"/>
  </si>
  <si>
    <t>인</t>
    <phoneticPr fontId="18" type="noConversion"/>
  </si>
  <si>
    <t>소모품비</t>
    <phoneticPr fontId="19" type="noConversion"/>
  </si>
  <si>
    <t>지급수수료</t>
    <phoneticPr fontId="18" type="noConversion"/>
  </si>
  <si>
    <t>건</t>
    <phoneticPr fontId="19" type="noConversion"/>
  </si>
  <si>
    <t>지급용역료</t>
    <phoneticPr fontId="19" type="noConversion"/>
  </si>
  <si>
    <t xml:space="preserve"> </t>
    <phoneticPr fontId="19" type="noConversion"/>
  </si>
  <si>
    <t>지급임차료</t>
    <phoneticPr fontId="19" type="noConversion"/>
  </si>
  <si>
    <t>행사운영비</t>
    <phoneticPr fontId="19" type="noConversion"/>
  </si>
  <si>
    <t>명*</t>
    <phoneticPr fontId="19" type="noConversion"/>
  </si>
  <si>
    <t>회</t>
    <phoneticPr fontId="18" type="noConversion"/>
  </si>
  <si>
    <t>회의운영비</t>
    <phoneticPr fontId="18" type="noConversion"/>
  </si>
  <si>
    <t>인건비</t>
    <phoneticPr fontId="19" type="noConversion"/>
  </si>
  <si>
    <t xml:space="preserve"> </t>
    <phoneticPr fontId="18" type="noConversion"/>
  </si>
  <si>
    <t xml:space="preserve">   1. 전시 코디네이터 인건비</t>
    <phoneticPr fontId="19" type="noConversion"/>
  </si>
  <si>
    <t>인*</t>
    <phoneticPr fontId="19" type="noConversion"/>
  </si>
  <si>
    <t>개월</t>
    <phoneticPr fontId="19" type="noConversion"/>
  </si>
  <si>
    <t xml:space="preserve">   2. 디자이너 인건비</t>
    <phoneticPr fontId="19" type="noConversion"/>
  </si>
  <si>
    <t>월</t>
    <phoneticPr fontId="19" type="noConversion"/>
  </si>
  <si>
    <t>광고선전비</t>
    <phoneticPr fontId="19" type="noConversion"/>
  </si>
  <si>
    <t xml:space="preserve">   1. 도록</t>
    <phoneticPr fontId="19" type="noConversion"/>
  </si>
  <si>
    <t>부*</t>
    <phoneticPr fontId="19" type="noConversion"/>
  </si>
  <si>
    <t xml:space="preserve">   2. 리플렛 및 안내자료</t>
    <phoneticPr fontId="19" type="noConversion"/>
  </si>
  <si>
    <t>보험료</t>
    <phoneticPr fontId="19" type="noConversion"/>
  </si>
  <si>
    <t xml:space="preserve"> o 작품보험료</t>
    <phoneticPr fontId="19" type="noConversion"/>
  </si>
  <si>
    <t xml:space="preserve"> o 전시 관련 소모품비</t>
    <phoneticPr fontId="19" type="noConversion"/>
  </si>
  <si>
    <t xml:space="preserve">   1. 해외초청자 항공료</t>
    <phoneticPr fontId="19" type="noConversion"/>
  </si>
  <si>
    <t>5</t>
    <phoneticPr fontId="19" type="noConversion"/>
  </si>
  <si>
    <t xml:space="preserve">   2. 해외초청자 체재비</t>
    <phoneticPr fontId="19" type="noConversion"/>
  </si>
  <si>
    <t xml:space="preserve">   3. 해외초청자 일비</t>
    <phoneticPr fontId="19" type="noConversion"/>
  </si>
  <si>
    <t xml:space="preserve">   4. 국내출장여비</t>
    <phoneticPr fontId="19" type="noConversion"/>
  </si>
  <si>
    <t>일</t>
    <phoneticPr fontId="19" type="noConversion"/>
  </si>
  <si>
    <t>지급수수료</t>
    <phoneticPr fontId="19" type="noConversion"/>
  </si>
  <si>
    <t xml:space="preserve">   1. 번역료 (한-&gt;영)</t>
    <phoneticPr fontId="19" type="noConversion"/>
  </si>
  <si>
    <t xml:space="preserve">   2. 번역료(영-&gt;한)</t>
    <phoneticPr fontId="19" type="noConversion"/>
  </si>
  <si>
    <t xml:space="preserve">   3. 작가사례비</t>
    <phoneticPr fontId="19" type="noConversion"/>
  </si>
  <si>
    <t xml:space="preserve">   1. 국내외 작품 운송</t>
    <phoneticPr fontId="19" type="noConversion"/>
  </si>
  <si>
    <t xml:space="preserve">   2. 영상장비설치용역</t>
    <phoneticPr fontId="19" type="noConversion"/>
  </si>
  <si>
    <t xml:space="preserve">   3. 동영상촬영및편집</t>
    <phoneticPr fontId="19" type="noConversion"/>
  </si>
  <si>
    <t>시간</t>
    <phoneticPr fontId="19" type="noConversion"/>
  </si>
  <si>
    <t xml:space="preserve">   4. 전시설치작품 사진촬영</t>
    <phoneticPr fontId="19" type="noConversion"/>
  </si>
  <si>
    <t>컷</t>
    <phoneticPr fontId="19" type="noConversion"/>
  </si>
  <si>
    <t xml:space="preserve">   5. 전시장 지킴이</t>
    <phoneticPr fontId="19" type="noConversion"/>
  </si>
  <si>
    <t xml:space="preserve">   6. 전시장공사</t>
    <phoneticPr fontId="19" type="noConversion"/>
  </si>
  <si>
    <t xml:space="preserve">   7. 작품 제작용역</t>
    <phoneticPr fontId="19" type="noConversion"/>
  </si>
  <si>
    <t xml:space="preserve">   8. 전시시트지 및 현수막제작 </t>
    <phoneticPr fontId="19" type="noConversion"/>
  </si>
  <si>
    <t xml:space="preserve">   1. 개막 행사 버스 임차</t>
    <phoneticPr fontId="19" type="noConversion"/>
  </si>
  <si>
    <t>대*</t>
    <phoneticPr fontId="19" type="noConversion"/>
  </si>
  <si>
    <t xml:space="preserve">   2. 영상장비 임차</t>
    <phoneticPr fontId="19" type="noConversion"/>
  </si>
  <si>
    <t>통신비</t>
    <phoneticPr fontId="19" type="noConversion"/>
  </si>
  <si>
    <t xml:space="preserve">   1.  개막 행사비</t>
    <phoneticPr fontId="19" type="noConversion"/>
  </si>
  <si>
    <t xml:space="preserve">   2.  작가강연행사운영</t>
    <phoneticPr fontId="19" type="noConversion"/>
  </si>
  <si>
    <t>회의운영비</t>
    <phoneticPr fontId="19" type="noConversion"/>
  </si>
  <si>
    <t xml:space="preserve"> o 전시 기획회의 등</t>
    <phoneticPr fontId="19" type="noConversion"/>
  </si>
  <si>
    <t xml:space="preserve"> o 도록제작</t>
    <phoneticPr fontId="19" type="noConversion"/>
  </si>
  <si>
    <t xml:space="preserve">   1. 전시 공사</t>
    <phoneticPr fontId="19" type="noConversion"/>
  </si>
  <si>
    <t xml:space="preserve">   2. 설계 및 그래픽</t>
    <phoneticPr fontId="19" type="noConversion"/>
  </si>
  <si>
    <t xml:space="preserve">   3. 영상 제작</t>
    <phoneticPr fontId="19" type="noConversion"/>
  </si>
  <si>
    <t xml:space="preserve">   4. 홍보물제작</t>
    <phoneticPr fontId="19" type="noConversion"/>
  </si>
  <si>
    <t xml:space="preserve">   5. 유물운송</t>
    <phoneticPr fontId="19" type="noConversion"/>
  </si>
  <si>
    <t xml:space="preserve">   6. 유물 촬영</t>
    <phoneticPr fontId="19" type="noConversion"/>
  </si>
  <si>
    <t xml:space="preserve">   7. 유물 복제</t>
    <phoneticPr fontId="19" type="noConversion"/>
  </si>
  <si>
    <t xml:space="preserve">   8. 시의도 제작</t>
    <phoneticPr fontId="19" type="noConversion"/>
  </si>
  <si>
    <t xml:space="preserve">   10. 200주년 기념 판소리 공연</t>
    <phoneticPr fontId="19" type="noConversion"/>
  </si>
  <si>
    <t xml:space="preserve">   11. 200주년 기념 뮤지컬 공연</t>
    <phoneticPr fontId="19" type="noConversion"/>
  </si>
  <si>
    <t xml:space="preserve">   12. 200주년 기념 전례 재현</t>
    <phoneticPr fontId="19" type="noConversion"/>
  </si>
  <si>
    <t xml:space="preserve">   13. 다산축제 전시 행사</t>
    <phoneticPr fontId="19" type="noConversion"/>
  </si>
  <si>
    <t xml:space="preserve"> o 발송비</t>
    <phoneticPr fontId="19" type="noConversion"/>
  </si>
  <si>
    <t xml:space="preserve">  1. 개막식 행사</t>
    <phoneticPr fontId="19" type="noConversion"/>
  </si>
  <si>
    <t xml:space="preserve">  2. 200주년 관련 행사운영</t>
    <phoneticPr fontId="19" type="noConversion"/>
  </si>
  <si>
    <t xml:space="preserve">  1. 전시 회의운영</t>
    <phoneticPr fontId="19" type="noConversion"/>
  </si>
  <si>
    <t xml:space="preserve">  2. 200주년 회의운영</t>
    <phoneticPr fontId="19" type="noConversion"/>
  </si>
  <si>
    <t>광역·기초문화재단 협의체 운영</t>
    <phoneticPr fontId="19" type="noConversion"/>
  </si>
  <si>
    <t>문화이음 모금사업</t>
    <phoneticPr fontId="19" type="noConversion"/>
  </si>
  <si>
    <t>소장품구입비</t>
    <phoneticPr fontId="19" type="noConversion"/>
  </si>
  <si>
    <t xml:space="preserve">   3. 박물관 공간 디자인 용역 등</t>
    <phoneticPr fontId="19" type="noConversion"/>
  </si>
  <si>
    <t xml:space="preserve">   2. 뮤지엄파크 SIGNAGE 정립</t>
    <phoneticPr fontId="19" type="noConversion"/>
  </si>
  <si>
    <t xml:space="preserve"> o 상상캠퍼스 기간제근로자 (11명)</t>
    <phoneticPr fontId="19" type="noConversion"/>
  </si>
  <si>
    <t>뮤지엄 활성화 지원</t>
    <phoneticPr fontId="19" type="noConversion"/>
  </si>
  <si>
    <t>도민 문화향유 확대 지원</t>
    <phoneticPr fontId="19" type="noConversion"/>
  </si>
  <si>
    <t>지역문화 기반조성</t>
    <phoneticPr fontId="19" type="noConversion"/>
  </si>
  <si>
    <t>경기상상캠퍼스</t>
    <phoneticPr fontId="19" type="noConversion"/>
  </si>
  <si>
    <t>경기북부 일자리창출 및 창업지원</t>
    <phoneticPr fontId="31" type="noConversion"/>
  </si>
  <si>
    <t>전통문화유산 주제별 기획발굴</t>
    <phoneticPr fontId="19" type="noConversion"/>
  </si>
  <si>
    <t>전통문화자원 관광 상품화</t>
    <phoneticPr fontId="19" type="noConversion"/>
  </si>
  <si>
    <t>경기창작센터 종합홍보</t>
    <phoneticPr fontId="19" type="noConversion"/>
  </si>
  <si>
    <t xml:space="preserve"> o 관계자회의</t>
    <phoneticPr fontId="19" type="noConversion"/>
  </si>
  <si>
    <t>경기문화유산 아카데미 운영</t>
    <phoneticPr fontId="19" type="noConversion"/>
  </si>
  <si>
    <t>문화유산 보존처리시스템 노후화개선</t>
    <phoneticPr fontId="19" type="noConversion"/>
  </si>
  <si>
    <t>북한산성 방문자센터 운영</t>
    <phoneticPr fontId="19" type="noConversion"/>
  </si>
  <si>
    <t>학교연계 교육프로그램</t>
    <phoneticPr fontId="19" type="noConversion"/>
  </si>
  <si>
    <t>신진작가 프로젝트</t>
    <phoneticPr fontId="19" type="noConversion"/>
  </si>
  <si>
    <t>세 개의 방 프로젝트</t>
    <phoneticPr fontId="19" type="noConversion"/>
  </si>
  <si>
    <t>국제 기관협력 전시</t>
    <phoneticPr fontId="19" type="noConversion"/>
  </si>
  <si>
    <t>미래미술관 프로젝트</t>
    <phoneticPr fontId="19" type="noConversion"/>
  </si>
  <si>
    <t>실학총서 발간</t>
    <phoneticPr fontId="19" type="noConversion"/>
  </si>
  <si>
    <t>실학문화심포지엄 개최</t>
    <phoneticPr fontId="19" type="noConversion"/>
  </si>
  <si>
    <t>상설전시실 운영</t>
    <phoneticPr fontId="18" type="noConversion"/>
  </si>
  <si>
    <t>기획전 개최(2회)</t>
    <phoneticPr fontId="18" type="noConversion"/>
  </si>
  <si>
    <t>전시해설자원봉사자 운영</t>
    <phoneticPr fontId="18" type="noConversion"/>
  </si>
  <si>
    <t>편의시설 운영</t>
    <phoneticPr fontId="18" type="noConversion"/>
  </si>
  <si>
    <t>대상 맞춤형 프로그램</t>
    <phoneticPr fontId="19" type="noConversion"/>
  </si>
  <si>
    <t>전문가 연계 프로그램</t>
    <phoneticPr fontId="19" type="noConversion"/>
  </si>
  <si>
    <t>제부도 명소화 문화재생</t>
    <phoneticPr fontId="19" type="noConversion"/>
  </si>
  <si>
    <t>경기도 항일유적 안내판 및 표지판 설치 사업</t>
    <phoneticPr fontId="19" type="noConversion"/>
  </si>
  <si>
    <t>위원회 운영</t>
    <phoneticPr fontId="19" type="noConversion"/>
  </si>
  <si>
    <r>
      <t>문화정책포럼</t>
    </r>
    <r>
      <rPr>
        <sz val="12"/>
        <rFont val="맑은 고딕"/>
        <family val="3"/>
        <charset val="129"/>
      </rPr>
      <t>∙</t>
    </r>
    <r>
      <rPr>
        <sz val="12"/>
        <rFont val="돋움"/>
        <family val="3"/>
        <charset val="129"/>
      </rPr>
      <t>블래틴 발간</t>
    </r>
    <phoneticPr fontId="19" type="noConversion"/>
  </si>
  <si>
    <t>재단 통합운영 및 고객관리</t>
    <phoneticPr fontId="19" type="noConversion"/>
  </si>
  <si>
    <t>뮤지엄 정책 및 교류사업</t>
    <phoneticPr fontId="19" type="noConversion"/>
  </si>
  <si>
    <t>뮤지엄 시설안전 강화 노후시설 개보수</t>
    <phoneticPr fontId="19" type="noConversion"/>
  </si>
  <si>
    <t>뮤지엄 소장품 확보</t>
    <phoneticPr fontId="19" type="noConversion"/>
  </si>
  <si>
    <t>뮤지엄 관람환경 개선</t>
    <phoneticPr fontId="19" type="noConversion"/>
  </si>
  <si>
    <t>용인 뮤지엄파크 환경조성</t>
    <phoneticPr fontId="19" type="noConversion"/>
  </si>
  <si>
    <t>스마트 뮤지엄 종합서비스 개선</t>
    <phoneticPr fontId="24" type="noConversion"/>
  </si>
  <si>
    <t>경기도박물관(고려도경 특별전)</t>
    <phoneticPr fontId="19" type="noConversion"/>
  </si>
  <si>
    <t>백남준아트센터(개관 10주년)</t>
    <phoneticPr fontId="24" type="noConversion"/>
  </si>
  <si>
    <t>경기도미술관(재외한인전)</t>
    <phoneticPr fontId="19" type="noConversion"/>
  </si>
  <si>
    <t>실학박물관(목민심서 발간 200주년)</t>
    <phoneticPr fontId="19" type="noConversion"/>
  </si>
  <si>
    <t>경기천년 드론사진 공모전</t>
  </si>
  <si>
    <t>공연장상주단체 육성지원</t>
  </si>
  <si>
    <t>지역특성화 문화예술교육 지원</t>
  </si>
  <si>
    <t>화성지역 문화발전</t>
  </si>
  <si>
    <t>경기도 항일유적 안내판 및 표지판 설치</t>
  </si>
  <si>
    <t>문화관광 콘텐츠 공공미술</t>
  </si>
  <si>
    <t>한국문화예술위원회 작가비 지원사업</t>
  </si>
  <si>
    <t>단체</t>
    <phoneticPr fontId="19" type="noConversion"/>
  </si>
  <si>
    <t>행사용 소모품, 식음료 구입</t>
    <phoneticPr fontId="19" type="noConversion"/>
  </si>
  <si>
    <t>회의운영비(운영회의, 실무회의, 간담회 포함)</t>
  </si>
  <si>
    <t xml:space="preserve">   2. 노후시설 개선 (비상발전기, 소방수신기 등 노후교체, 옥상 방수공사 등)</t>
    <phoneticPr fontId="19" type="noConversion"/>
  </si>
  <si>
    <t>경기도 인문정신 기반구축</t>
    <phoneticPr fontId="19" type="noConversion"/>
  </si>
  <si>
    <t>경기도 역사문화 총서 기획발간</t>
    <phoneticPr fontId="19" type="noConversion"/>
  </si>
  <si>
    <t>경기 대표인물 평전 발간</t>
    <phoneticPr fontId="19" type="noConversion"/>
  </si>
  <si>
    <t>조선세종대 강무조사 및 활용방안 연구</t>
    <phoneticPr fontId="19" type="noConversion"/>
  </si>
  <si>
    <t>o 테크니션</t>
    <phoneticPr fontId="19" type="noConversion"/>
  </si>
  <si>
    <t xml:space="preserve"> o 기증유물실 리플렛 제작</t>
    <phoneticPr fontId="19" type="noConversion"/>
  </si>
  <si>
    <t xml:space="preserve"> o 대여유물 보험료</t>
    <phoneticPr fontId="19" type="noConversion"/>
  </si>
  <si>
    <t>산    출    기    초</t>
    <phoneticPr fontId="25" type="noConversion"/>
  </si>
  <si>
    <t>경기도미술관</t>
    <phoneticPr fontId="19" type="noConversion"/>
  </si>
  <si>
    <t>직원</t>
    <phoneticPr fontId="19" type="noConversion"/>
  </si>
  <si>
    <t>15</t>
    <phoneticPr fontId="19" type="noConversion"/>
  </si>
  <si>
    <t>퇴직급여</t>
    <phoneticPr fontId="19" type="noConversion"/>
  </si>
  <si>
    <t>원 /</t>
    <phoneticPr fontId="19" type="noConversion"/>
  </si>
  <si>
    <t xml:space="preserve">* </t>
    <phoneticPr fontId="18" type="noConversion"/>
  </si>
  <si>
    <t>제경비</t>
    <phoneticPr fontId="18" type="noConversion"/>
  </si>
  <si>
    <t xml:space="preserve"> o 직원MT, 건강검진</t>
    <phoneticPr fontId="19" type="noConversion"/>
  </si>
  <si>
    <t xml:space="preserve"> o 직원 직무교육</t>
    <phoneticPr fontId="19" type="noConversion"/>
  </si>
  <si>
    <t xml:space="preserve">   1. 건물관련보험(화재보험 등)</t>
    <phoneticPr fontId="19" type="noConversion"/>
  </si>
  <si>
    <t xml:space="preserve">   2. 영업배상책임보험</t>
    <phoneticPr fontId="19" type="noConversion"/>
  </si>
  <si>
    <t xml:space="preserve">   3. 재난배상책임보험</t>
    <phoneticPr fontId="19" type="noConversion"/>
  </si>
  <si>
    <t xml:space="preserve">   1. 관장실</t>
    <phoneticPr fontId="19" type="noConversion"/>
  </si>
  <si>
    <t>실*</t>
    <phoneticPr fontId="19" type="noConversion"/>
  </si>
  <si>
    <t xml:space="preserve"> </t>
    <phoneticPr fontId="19" type="noConversion"/>
  </si>
  <si>
    <t xml:space="preserve">   2. 각 팀</t>
    <phoneticPr fontId="19" type="noConversion"/>
  </si>
  <si>
    <t>팀*</t>
    <phoneticPr fontId="19" type="noConversion"/>
  </si>
  <si>
    <t>세금과공과</t>
    <phoneticPr fontId="19" type="noConversion"/>
  </si>
  <si>
    <t xml:space="preserve"> o 계</t>
    <phoneticPr fontId="19" type="noConversion"/>
  </si>
  <si>
    <t xml:space="preserve">   1. ICOM 연회비</t>
    <phoneticPr fontId="18" type="noConversion"/>
  </si>
  <si>
    <t>원*</t>
    <phoneticPr fontId="19" type="noConversion"/>
  </si>
  <si>
    <t>회</t>
    <phoneticPr fontId="19" type="noConversion"/>
  </si>
  <si>
    <t>=</t>
    <phoneticPr fontId="19" type="noConversion"/>
  </si>
  <si>
    <t xml:space="preserve">   2. 법인균등할 주민세</t>
    <phoneticPr fontId="18" type="noConversion"/>
  </si>
  <si>
    <t xml:space="preserve">   3. 재산분 주민세</t>
    <phoneticPr fontId="18" type="noConversion"/>
  </si>
  <si>
    <t xml:space="preserve">   4. 부가가치세</t>
    <phoneticPr fontId="18" type="noConversion"/>
  </si>
  <si>
    <t>원*</t>
    <phoneticPr fontId="19" type="noConversion"/>
  </si>
  <si>
    <t>회</t>
    <phoneticPr fontId="19" type="noConversion"/>
  </si>
  <si>
    <t>=</t>
    <phoneticPr fontId="19" type="noConversion"/>
  </si>
  <si>
    <t xml:space="preserve">   5. 환경개선부담금</t>
    <phoneticPr fontId="18" type="noConversion"/>
  </si>
  <si>
    <t>소모품비</t>
    <phoneticPr fontId="19" type="noConversion"/>
  </si>
  <si>
    <t xml:space="preserve"> o 계</t>
    <phoneticPr fontId="19" type="noConversion"/>
  </si>
  <si>
    <t xml:space="preserve">   1. 사무용기기 복사용지(복사,팩스,컴퓨터인쇄등)</t>
    <phoneticPr fontId="19" type="noConversion"/>
  </si>
  <si>
    <t xml:space="preserve">   2. 입장권제작</t>
    <phoneticPr fontId="19" type="noConversion"/>
  </si>
  <si>
    <t xml:space="preserve">   3. 생수사용료</t>
    <phoneticPr fontId="19" type="noConversion"/>
  </si>
  <si>
    <t xml:space="preserve">   4. 칼라복사기토너</t>
    <phoneticPr fontId="19" type="noConversion"/>
  </si>
  <si>
    <t xml:space="preserve">   5. 칼라복사기드럼</t>
    <phoneticPr fontId="19" type="noConversion"/>
  </si>
  <si>
    <t xml:space="preserve">   6. 잉크젯 및 레이저 프린터토너</t>
    <phoneticPr fontId="19" type="noConversion"/>
  </si>
  <si>
    <t xml:space="preserve">   7. 기타 업무용 문구 및 행사용 소모품구입(관장실 및 2개팀)</t>
    <phoneticPr fontId="19" type="noConversion"/>
  </si>
  <si>
    <t>수도광열비</t>
    <phoneticPr fontId="19" type="noConversion"/>
  </si>
  <si>
    <t xml:space="preserve"> o 계</t>
    <phoneticPr fontId="19" type="noConversion"/>
  </si>
  <si>
    <t xml:space="preserve">  1. 전기요금</t>
    <phoneticPr fontId="19" type="noConversion"/>
  </si>
  <si>
    <t xml:space="preserve">  2. 상하수도요금</t>
    <phoneticPr fontId="19" type="noConversion"/>
  </si>
  <si>
    <t>업무추진비</t>
    <phoneticPr fontId="19" type="noConversion"/>
  </si>
  <si>
    <t xml:space="preserve">   1. 기관운영일반업무추진비(관장)</t>
    <phoneticPr fontId="19" type="noConversion"/>
  </si>
  <si>
    <t xml:space="preserve">   2. 시책업무추진비(사업추진)</t>
    <phoneticPr fontId="19" type="noConversion"/>
  </si>
  <si>
    <t>여비교통비</t>
    <phoneticPr fontId="19" type="noConversion"/>
  </si>
  <si>
    <t xml:space="preserve"> </t>
    <phoneticPr fontId="19" type="noConversion"/>
  </si>
  <si>
    <t xml:space="preserve">   1. 국내여비</t>
    <phoneticPr fontId="19" type="noConversion"/>
  </si>
  <si>
    <t xml:space="preserve">   2. 주차료</t>
    <phoneticPr fontId="19" type="noConversion"/>
  </si>
  <si>
    <t xml:space="preserve">   3. 도로통행료</t>
    <phoneticPr fontId="19" type="noConversion"/>
  </si>
  <si>
    <t>유지관리비</t>
    <phoneticPr fontId="19" type="noConversion"/>
  </si>
  <si>
    <t xml:space="preserve">   1. 기계설비</t>
    <phoneticPr fontId="19" type="noConversion"/>
  </si>
  <si>
    <t xml:space="preserve">     - 냉난방 시스템 유지보수</t>
    <phoneticPr fontId="19" type="noConversion"/>
  </si>
  <si>
    <t xml:space="preserve">     - 열교환기 세관</t>
    <phoneticPr fontId="19" type="noConversion"/>
  </si>
  <si>
    <t xml:space="preserve">     - 수축열조청소</t>
    <phoneticPr fontId="19" type="noConversion"/>
  </si>
  <si>
    <t xml:space="preserve">     - 항온항습기 보수</t>
    <phoneticPr fontId="19" type="noConversion"/>
  </si>
  <si>
    <t xml:space="preserve">     - 공조시스템 보수</t>
    <phoneticPr fontId="19" type="noConversion"/>
  </si>
  <si>
    <t xml:space="preserve">     - 수처리설비 보수</t>
    <phoneticPr fontId="19" type="noConversion"/>
  </si>
  <si>
    <t xml:space="preserve">   2. 건축영선</t>
    <phoneticPr fontId="19" type="noConversion"/>
  </si>
  <si>
    <t xml:space="preserve">     - 물탱크 청소등 관리</t>
    <phoneticPr fontId="19" type="noConversion"/>
  </si>
  <si>
    <t xml:space="preserve">     - 유리교체,실리콘교체</t>
    <phoneticPr fontId="19" type="noConversion"/>
  </si>
  <si>
    <t xml:space="preserve">   3. 전기소방</t>
    <phoneticPr fontId="19" type="noConversion"/>
  </si>
  <si>
    <t xml:space="preserve">     - 전기설비 공사</t>
    <phoneticPr fontId="19" type="noConversion"/>
  </si>
  <si>
    <t xml:space="preserve">     - 비상발전기 연료구입</t>
    <phoneticPr fontId="19" type="noConversion"/>
  </si>
  <si>
    <t xml:space="preserve">     - 방화셔터,수신반,감지기,비상방송보수</t>
    <phoneticPr fontId="19" type="noConversion"/>
  </si>
  <si>
    <t xml:space="preserve">     - 분전반,조명,콘센트 선로 절연 측정 및 보수</t>
    <phoneticPr fontId="19" type="noConversion"/>
  </si>
  <si>
    <t xml:space="preserve">     - 수변전 설비,MCC반 보수</t>
    <phoneticPr fontId="19" type="noConversion"/>
  </si>
  <si>
    <t xml:space="preserve">   4. 자동제어</t>
    <phoneticPr fontId="19" type="noConversion"/>
  </si>
  <si>
    <t xml:space="preserve">     - CCTV, 출입통제시스템 보수</t>
    <phoneticPr fontId="19" type="noConversion"/>
  </si>
  <si>
    <t xml:space="preserve">     - 원격제어시스템 보수(전력,조명,기계설비)</t>
    <phoneticPr fontId="19" type="noConversion"/>
  </si>
  <si>
    <t xml:space="preserve">     - 급수시스템 보수</t>
    <phoneticPr fontId="19" type="noConversion"/>
  </si>
  <si>
    <t xml:space="preserve">     - 발권시스템 보수(출입게이트 포함)</t>
    <phoneticPr fontId="19" type="noConversion"/>
  </si>
  <si>
    <t xml:space="preserve">   5. 사옥시설 관리</t>
    <phoneticPr fontId="19" type="noConversion"/>
  </si>
  <si>
    <t xml:space="preserve">     - 건물유지 및 사무실 보수</t>
    <phoneticPr fontId="19" type="noConversion"/>
  </si>
  <si>
    <t xml:space="preserve">     - 내외부 도색</t>
    <phoneticPr fontId="19" type="noConversion"/>
  </si>
  <si>
    <t xml:space="preserve">   6. 전산장비 유지관리(방화벽라이센스 포함)</t>
    <phoneticPr fontId="19" type="noConversion"/>
  </si>
  <si>
    <t xml:space="preserve">   7. 차량유지비(유류대, 수리비 등)</t>
    <phoneticPr fontId="19" type="noConversion"/>
  </si>
  <si>
    <t>=</t>
    <phoneticPr fontId="18" type="noConversion"/>
  </si>
  <si>
    <t xml:space="preserve">   8. 시설소모품(전기,설비,건축,미화 등)</t>
    <phoneticPr fontId="19" type="noConversion"/>
  </si>
  <si>
    <t>자료구입비</t>
    <phoneticPr fontId="19" type="noConversion"/>
  </si>
  <si>
    <t xml:space="preserve">   1. 정기간행물(신문 등) 구독</t>
    <phoneticPr fontId="19" type="noConversion"/>
  </si>
  <si>
    <t xml:space="preserve">   2. 업무용 도서구입</t>
    <phoneticPr fontId="19" type="noConversion"/>
  </si>
  <si>
    <t>지급수수료</t>
    <phoneticPr fontId="19" type="noConversion"/>
  </si>
  <si>
    <t xml:space="preserve">   1. 자문위원회 참석수당 등(시설물안전, 미술관운영 기타)</t>
    <phoneticPr fontId="19" type="noConversion"/>
  </si>
  <si>
    <t xml:space="preserve">   2. 건물시설 검사수수료(전기,승강기,냉동제조,실내공기질측정 등)</t>
    <phoneticPr fontId="18" type="noConversion"/>
  </si>
  <si>
    <t xml:space="preserve">   3. 퀵서비스 이용료(택배포함)</t>
    <phoneticPr fontId="18" type="noConversion"/>
  </si>
  <si>
    <t>지급용역료</t>
    <phoneticPr fontId="19" type="noConversion"/>
  </si>
  <si>
    <t xml:space="preserve">   1. 공사등 가격조사용역(타당성조사 등)</t>
    <phoneticPr fontId="18" type="noConversion"/>
  </si>
  <si>
    <t xml:space="preserve">   2. 사옥관리용역(순수시설 14명)</t>
    <phoneticPr fontId="19" type="noConversion"/>
  </si>
  <si>
    <t>식</t>
    <phoneticPr fontId="19" type="noConversion"/>
  </si>
  <si>
    <t>=</t>
    <phoneticPr fontId="19" type="noConversion"/>
  </si>
  <si>
    <t xml:space="preserve">   3. 사옥시설유지보수관리(소방,무인경비,승강기,통신+PC,발권,방역 등)</t>
    <phoneticPr fontId="18" type="noConversion"/>
  </si>
  <si>
    <t xml:space="preserve">   4. 수공간 청소</t>
    <phoneticPr fontId="18" type="noConversion"/>
  </si>
  <si>
    <t>㎡*</t>
    <phoneticPr fontId="19" type="noConversion"/>
  </si>
  <si>
    <t xml:space="preserve">   5. 건축물 안전진단 </t>
    <phoneticPr fontId="19" type="noConversion"/>
  </si>
  <si>
    <t>지급임차료</t>
    <phoneticPr fontId="18" type="noConversion"/>
  </si>
  <si>
    <t xml:space="preserve"> o 계</t>
    <phoneticPr fontId="19" type="noConversion"/>
  </si>
  <si>
    <t xml:space="preserve">   1. 업무용 차량 임차</t>
    <phoneticPr fontId="18" type="noConversion"/>
  </si>
  <si>
    <t>대*</t>
    <phoneticPr fontId="18" type="noConversion"/>
  </si>
  <si>
    <t xml:space="preserve">   2. 사무용기기 임차(복사기)</t>
    <phoneticPr fontId="18" type="noConversion"/>
  </si>
  <si>
    <t xml:space="preserve">   3. 행사지원 차량 및 전시장비 임차</t>
    <phoneticPr fontId="18" type="noConversion"/>
  </si>
  <si>
    <t>일*</t>
    <phoneticPr fontId="19" type="noConversion"/>
  </si>
  <si>
    <t>직책업무추진비</t>
    <phoneticPr fontId="19" type="noConversion"/>
  </si>
  <si>
    <t xml:space="preserve">   1. 관장</t>
    <phoneticPr fontId="19" type="noConversion"/>
  </si>
  <si>
    <t xml:space="preserve">   2. 팀장</t>
    <phoneticPr fontId="19" type="noConversion"/>
  </si>
  <si>
    <t>통신비</t>
    <phoneticPr fontId="19" type="noConversion"/>
  </si>
  <si>
    <t xml:space="preserve">   1. 우편 요금</t>
    <phoneticPr fontId="19" type="noConversion"/>
  </si>
  <si>
    <t xml:space="preserve">   2. 전신전화 요금</t>
    <phoneticPr fontId="19" type="noConversion"/>
  </si>
  <si>
    <t xml:space="preserve">   3. 인터넷회선 사용료</t>
    <phoneticPr fontId="18" type="noConversion"/>
  </si>
  <si>
    <t>=</t>
    <phoneticPr fontId="19" type="noConversion"/>
  </si>
  <si>
    <t xml:space="preserve">   4. 케이블TV 사용료</t>
    <phoneticPr fontId="19" type="noConversion"/>
  </si>
  <si>
    <t>회의운영비</t>
    <phoneticPr fontId="18" type="noConversion"/>
  </si>
  <si>
    <t xml:space="preserve"> o 감사, 자문회의 등 식음료비</t>
    <phoneticPr fontId="18" type="noConversion"/>
  </si>
  <si>
    <t>고정자산</t>
    <phoneticPr fontId="24" type="noConversion"/>
  </si>
  <si>
    <t>자산구입비</t>
    <phoneticPr fontId="19" type="noConversion"/>
  </si>
  <si>
    <t xml:space="preserve"> o 사무용집기 및 비품(컴퓨터, 모니터 등)</t>
    <phoneticPr fontId="18" type="noConversion"/>
  </si>
  <si>
    <t>원*</t>
    <phoneticPr fontId="19" type="noConversion"/>
  </si>
  <si>
    <t>대</t>
    <phoneticPr fontId="19" type="noConversion"/>
  </si>
  <si>
    <t xml:space="preserve"> </t>
    <phoneticPr fontId="18" type="noConversion"/>
  </si>
  <si>
    <t>(사업비)</t>
    <phoneticPr fontId="19" type="noConversion"/>
  </si>
  <si>
    <t>학술연구</t>
    <phoneticPr fontId="19" type="noConversion"/>
  </si>
  <si>
    <t>학술조사 연구</t>
    <phoneticPr fontId="19" type="noConversion"/>
  </si>
  <si>
    <t>인건비</t>
    <phoneticPr fontId="19" type="noConversion"/>
  </si>
  <si>
    <t xml:space="preserve"> o 경기도미술관 백서발간 보조원</t>
    <phoneticPr fontId="19" type="noConversion"/>
  </si>
  <si>
    <t>월</t>
    <phoneticPr fontId="19" type="noConversion"/>
  </si>
  <si>
    <t xml:space="preserve"> o 경기도미술관 백서 발간비</t>
    <phoneticPr fontId="19" type="noConversion"/>
  </si>
  <si>
    <t>권</t>
    <phoneticPr fontId="19" type="noConversion"/>
  </si>
  <si>
    <t xml:space="preserve">   1. 원고료 및 번역료</t>
    <phoneticPr fontId="19" type="noConversion"/>
  </si>
  <si>
    <t xml:space="preserve">   2. 자문회의 수당</t>
    <phoneticPr fontId="19" type="noConversion"/>
  </si>
  <si>
    <t xml:space="preserve"> o 간담회 및 평가회의</t>
    <phoneticPr fontId="19" type="noConversion"/>
  </si>
  <si>
    <t>전시운영</t>
    <phoneticPr fontId="19" type="noConversion"/>
  </si>
  <si>
    <t>국제전- 프랑스 Wall Painting</t>
    <phoneticPr fontId="19" type="noConversion"/>
  </si>
  <si>
    <t>=</t>
    <phoneticPr fontId="19" type="noConversion"/>
  </si>
  <si>
    <t xml:space="preserve"> </t>
    <phoneticPr fontId="19" type="noConversion"/>
  </si>
  <si>
    <t>국제전- 아이러니&amp;아이디얼리즘 독일전</t>
    <phoneticPr fontId="19" type="noConversion"/>
  </si>
  <si>
    <t>지급용역료</t>
    <phoneticPr fontId="19" type="noConversion"/>
  </si>
  <si>
    <t xml:space="preserve"> o 계</t>
    <phoneticPr fontId="19" type="noConversion"/>
  </si>
  <si>
    <t xml:space="preserve">   1. 국제운송</t>
    <phoneticPr fontId="18" type="noConversion"/>
  </si>
  <si>
    <t>원*</t>
    <phoneticPr fontId="19" type="noConversion"/>
  </si>
  <si>
    <t>식</t>
    <phoneticPr fontId="19" type="noConversion"/>
  </si>
  <si>
    <t xml:space="preserve">   2. 도록제작</t>
    <phoneticPr fontId="18" type="noConversion"/>
  </si>
  <si>
    <t>식</t>
    <phoneticPr fontId="18" type="noConversion"/>
  </si>
  <si>
    <t xml:space="preserve">   3. 사진촬영</t>
    <phoneticPr fontId="19" type="noConversion"/>
  </si>
  <si>
    <t>회</t>
    <phoneticPr fontId="18" type="noConversion"/>
  </si>
  <si>
    <t xml:space="preserve">   1. 원고료</t>
    <phoneticPr fontId="19" type="noConversion"/>
  </si>
  <si>
    <t xml:space="preserve">   2. 번역료</t>
    <phoneticPr fontId="19" type="noConversion"/>
  </si>
  <si>
    <t xml:space="preserve"> o 전시개막 작품설치 해외출장(독일)</t>
    <phoneticPr fontId="18" type="noConversion"/>
  </si>
  <si>
    <t>소장품 기획전</t>
    <phoneticPr fontId="19" type="noConversion"/>
  </si>
  <si>
    <t>=</t>
    <phoneticPr fontId="19" type="noConversion"/>
  </si>
  <si>
    <t xml:space="preserve">   1. 소장품 선집 발간</t>
    <phoneticPr fontId="19" type="noConversion"/>
  </si>
  <si>
    <t>부</t>
    <phoneticPr fontId="19" type="noConversion"/>
  </si>
  <si>
    <t xml:space="preserve">   2. 전시 포스터, 리플렛, 초대장 등</t>
    <phoneticPr fontId="19" type="noConversion"/>
  </si>
  <si>
    <t>통신비</t>
    <phoneticPr fontId="19" type="noConversion"/>
  </si>
  <si>
    <t xml:space="preserve"> o 도록 및 초대장 발송</t>
    <phoneticPr fontId="19" type="noConversion"/>
  </si>
  <si>
    <t>회</t>
    <phoneticPr fontId="19" type="noConversion"/>
  </si>
  <si>
    <t xml:space="preserve">   1. 원고료</t>
    <phoneticPr fontId="19" type="noConversion"/>
  </si>
  <si>
    <t>매</t>
    <phoneticPr fontId="19" type="noConversion"/>
  </si>
  <si>
    <t xml:space="preserve">   2. 번역료</t>
    <phoneticPr fontId="19" type="noConversion"/>
  </si>
  <si>
    <t xml:space="preserve">   3. 강연료</t>
    <phoneticPr fontId="19" type="noConversion"/>
  </si>
  <si>
    <t>명</t>
    <phoneticPr fontId="19" type="noConversion"/>
  </si>
  <si>
    <t xml:space="preserve">   1. 전시장 구성 공사</t>
    <phoneticPr fontId="19" type="noConversion"/>
  </si>
  <si>
    <t xml:space="preserve"> </t>
    <phoneticPr fontId="19" type="noConversion"/>
  </si>
  <si>
    <t xml:space="preserve">   2. 전시 사인물 제작 및 설치</t>
    <phoneticPr fontId="19" type="noConversion"/>
  </si>
  <si>
    <t xml:space="preserve">   3. 작품운송설치철거용역</t>
    <phoneticPr fontId="19" type="noConversion"/>
  </si>
  <si>
    <t xml:space="preserve">   4. 사진 촬영비</t>
    <phoneticPr fontId="19" type="noConversion"/>
  </si>
  <si>
    <t>컷</t>
    <phoneticPr fontId="19" type="noConversion"/>
  </si>
  <si>
    <t>명*</t>
    <phoneticPr fontId="19" type="noConversion"/>
  </si>
  <si>
    <t>한국 현대판화 60년전</t>
    <phoneticPr fontId="19" type="noConversion"/>
  </si>
  <si>
    <t>인건비</t>
    <phoneticPr fontId="19" type="noConversion"/>
  </si>
  <si>
    <t xml:space="preserve"> o 전시자료 조사 보조인력</t>
    <phoneticPr fontId="19" type="noConversion"/>
  </si>
  <si>
    <t>월</t>
    <phoneticPr fontId="19" type="noConversion"/>
  </si>
  <si>
    <t xml:space="preserve">   1. 도록 발간</t>
    <phoneticPr fontId="19" type="noConversion"/>
  </si>
  <si>
    <t xml:space="preserve">   1. 전시 설치 및 운영 소모품 구입</t>
    <phoneticPr fontId="19" type="noConversion"/>
  </si>
  <si>
    <t xml:space="preserve">   2. 교육프로그램 운영</t>
    <phoneticPr fontId="19" type="noConversion"/>
  </si>
  <si>
    <t>광고선전비</t>
    <phoneticPr fontId="19" type="noConversion"/>
  </si>
  <si>
    <t xml:space="preserve"> o 전시광고</t>
    <phoneticPr fontId="19" type="noConversion"/>
  </si>
  <si>
    <t>식</t>
    <phoneticPr fontId="19" type="noConversion"/>
  </si>
  <si>
    <t xml:space="preserve">   5. 판화체험제작 지원</t>
    <phoneticPr fontId="19" type="noConversion"/>
  </si>
  <si>
    <t xml:space="preserve">   1. 외부강사</t>
    <phoneticPr fontId="19" type="noConversion"/>
  </si>
  <si>
    <t xml:space="preserve">   2. 보조강사</t>
    <phoneticPr fontId="19" type="noConversion"/>
  </si>
  <si>
    <t xml:space="preserve">   3. 체험공간설계 및 감리</t>
    <phoneticPr fontId="19" type="noConversion"/>
  </si>
  <si>
    <t xml:space="preserve">   4. 원고료</t>
    <phoneticPr fontId="19" type="noConversion"/>
  </si>
  <si>
    <t xml:space="preserve">   5. 번역료</t>
    <phoneticPr fontId="19" type="noConversion"/>
  </si>
  <si>
    <t xml:space="preserve">   6. 강연료</t>
    <phoneticPr fontId="19" type="noConversion"/>
  </si>
  <si>
    <t xml:space="preserve"> o 개막식 식음료비</t>
    <phoneticPr fontId="19" type="noConversion"/>
  </si>
  <si>
    <t xml:space="preserve"> o 전시관련 회의 식음료비</t>
    <phoneticPr fontId="19" type="noConversion"/>
  </si>
  <si>
    <t xml:space="preserve"> o 국내출장비</t>
    <phoneticPr fontId="18" type="noConversion"/>
  </si>
  <si>
    <t>원*</t>
    <phoneticPr fontId="19" type="noConversion"/>
  </si>
  <si>
    <t>회</t>
    <phoneticPr fontId="18" type="noConversion"/>
  </si>
  <si>
    <t>국제교류전- 대만전</t>
    <phoneticPr fontId="19" type="noConversion"/>
  </si>
  <si>
    <t>지급용역료</t>
    <phoneticPr fontId="19" type="noConversion"/>
  </si>
  <si>
    <t xml:space="preserve"> o 국제운송(국내작품 취합 → 대만)</t>
    <phoneticPr fontId="19" type="noConversion"/>
  </si>
  <si>
    <t xml:space="preserve"> o 번역료</t>
    <phoneticPr fontId="19" type="noConversion"/>
  </si>
  <si>
    <t>여비교통비</t>
    <phoneticPr fontId="19" type="noConversion"/>
  </si>
  <si>
    <t>어린이벽화 10주년 홈커밍</t>
    <phoneticPr fontId="19" type="noConversion"/>
  </si>
  <si>
    <t xml:space="preserve"> o 홈커밍프로그램 자료조사 보조인력</t>
    <phoneticPr fontId="19" type="noConversion"/>
  </si>
  <si>
    <t>개월</t>
    <phoneticPr fontId="19" type="noConversion"/>
  </si>
  <si>
    <t>도서인쇄비</t>
    <phoneticPr fontId="19" type="noConversion"/>
  </si>
  <si>
    <t xml:space="preserve"> o 10주년 기념 자료집 제작</t>
    <phoneticPr fontId="19" type="noConversion"/>
  </si>
  <si>
    <t>권</t>
    <phoneticPr fontId="19" type="noConversion"/>
  </si>
  <si>
    <t>소모품비</t>
    <phoneticPr fontId="19" type="noConversion"/>
  </si>
  <si>
    <t xml:space="preserve"> o 프로그램 운영용품 구입</t>
    <phoneticPr fontId="19" type="noConversion"/>
  </si>
  <si>
    <t xml:space="preserve"> o 프로그램 진행과정, 인터뷰 영상 촬영</t>
    <phoneticPr fontId="19" type="noConversion"/>
  </si>
  <si>
    <t>지급수수료</t>
    <phoneticPr fontId="19" type="noConversion"/>
  </si>
  <si>
    <t xml:space="preserve"> o 작가 특강 프로그램 강사료</t>
    <phoneticPr fontId="19" type="noConversion"/>
  </si>
  <si>
    <t xml:space="preserve">   1. 홈커밍프로그램 관련 작가 초청 여비</t>
    <phoneticPr fontId="18" type="noConversion"/>
  </si>
  <si>
    <t xml:space="preserve">   2. 프로그램관련 출장</t>
    <phoneticPr fontId="18" type="noConversion"/>
  </si>
  <si>
    <t>행사운영비</t>
    <phoneticPr fontId="18" type="noConversion"/>
  </si>
  <si>
    <t xml:space="preserve">   1. 10주년 기념품 제작</t>
    <phoneticPr fontId="19" type="noConversion"/>
  </si>
  <si>
    <t>개</t>
    <phoneticPr fontId="19" type="noConversion"/>
  </si>
  <si>
    <t xml:space="preserve">   2. 10주년 기념 홈커밍데이 프로그램 행사운영</t>
    <phoneticPr fontId="19" type="noConversion"/>
  </si>
  <si>
    <t xml:space="preserve">   3. 10주년 기념 홈커밍데이 개막행사</t>
    <phoneticPr fontId="19" type="noConversion"/>
  </si>
  <si>
    <t>회의운영비</t>
    <phoneticPr fontId="19" type="noConversion"/>
  </si>
  <si>
    <t xml:space="preserve"> o 회의 식음료비</t>
    <phoneticPr fontId="19" type="noConversion"/>
  </si>
  <si>
    <t>교육프로그램</t>
    <phoneticPr fontId="19" type="noConversion"/>
  </si>
  <si>
    <t>인문정신문화 교육프로그램</t>
    <phoneticPr fontId="19" type="noConversion"/>
  </si>
  <si>
    <t xml:space="preserve"> o 온라인광고 및 아카이브</t>
    <phoneticPr fontId="19" type="noConversion"/>
  </si>
  <si>
    <t xml:space="preserve"> o 계</t>
    <phoneticPr fontId="19" type="noConversion"/>
  </si>
  <si>
    <t xml:space="preserve"> o 강사섭외, 타기관 리서칭</t>
    <phoneticPr fontId="19" type="noConversion"/>
  </si>
  <si>
    <t xml:space="preserve"> o 강사료</t>
    <phoneticPr fontId="19" type="noConversion"/>
  </si>
  <si>
    <t xml:space="preserve"> o 회의식음료</t>
    <phoneticPr fontId="19" type="noConversion"/>
  </si>
  <si>
    <t>도슨트 양성 교육프로그램</t>
    <phoneticPr fontId="19" type="noConversion"/>
  </si>
  <si>
    <t xml:space="preserve"> o 자료집 디자인 및 인쇄</t>
    <phoneticPr fontId="19" type="noConversion"/>
  </si>
  <si>
    <t>부</t>
    <phoneticPr fontId="18" type="noConversion"/>
  </si>
  <si>
    <t>아</t>
    <phoneticPr fontId="19" type="noConversion"/>
  </si>
  <si>
    <t xml:space="preserve"> o 타기관 리서칭 및 교류 업무</t>
    <phoneticPr fontId="19" type="noConversion"/>
  </si>
  <si>
    <t xml:space="preserve">   1. 현수막,배너제작 등</t>
    <phoneticPr fontId="19" type="noConversion"/>
  </si>
  <si>
    <t xml:space="preserve">   2. 사진 및 동영상촬영</t>
    <phoneticPr fontId="19" type="noConversion"/>
  </si>
  <si>
    <t>지급임차료</t>
    <phoneticPr fontId="19" type="noConversion"/>
  </si>
  <si>
    <t xml:space="preserve"> o 차량임차</t>
    <phoneticPr fontId="19" type="noConversion"/>
  </si>
  <si>
    <t>행사운영비</t>
    <phoneticPr fontId="19" type="noConversion"/>
  </si>
  <si>
    <t xml:space="preserve"> o 강의와 답사등 행사진행</t>
    <phoneticPr fontId="19" type="noConversion"/>
  </si>
  <si>
    <t xml:space="preserve"> o 회의비 </t>
    <phoneticPr fontId="18" type="noConversion"/>
  </si>
  <si>
    <t>상설교육전시프로그램</t>
    <phoneticPr fontId="19" type="noConversion"/>
  </si>
  <si>
    <t xml:space="preserve">   1. 교육강사(4대보험, 퇴직급여 포함)</t>
    <phoneticPr fontId="19" type="noConversion"/>
  </si>
  <si>
    <t xml:space="preserve">   2. 전시실지킴이(도슨트)</t>
    <phoneticPr fontId="19" type="noConversion"/>
  </si>
  <si>
    <t>보험료</t>
    <phoneticPr fontId="18" type="noConversion"/>
  </si>
  <si>
    <t xml:space="preserve">   1. 전시 연출 및 운영</t>
    <phoneticPr fontId="19" type="noConversion"/>
  </si>
  <si>
    <t xml:space="preserve">   1. 주강사</t>
    <phoneticPr fontId="19" type="noConversion"/>
  </si>
  <si>
    <t xml:space="preserve">   2.보조강사</t>
    <phoneticPr fontId="19" type="noConversion"/>
  </si>
  <si>
    <t xml:space="preserve">   3. 번역료</t>
    <phoneticPr fontId="19" type="noConversion"/>
  </si>
  <si>
    <t xml:space="preserve">   4. 공간 설계디자인</t>
    <phoneticPr fontId="19" type="noConversion"/>
  </si>
  <si>
    <t xml:space="preserve">   5. 작품제작 지원비</t>
    <phoneticPr fontId="19" type="noConversion"/>
  </si>
  <si>
    <t xml:space="preserve">   6. 작가 사례비</t>
    <phoneticPr fontId="19" type="noConversion"/>
  </si>
  <si>
    <t xml:space="preserve">   1. 교육키트제작</t>
    <phoneticPr fontId="19" type="noConversion"/>
  </si>
  <si>
    <t xml:space="preserve">   2. 작품 설치 및 철거, 운송</t>
    <phoneticPr fontId="19" type="noConversion"/>
  </si>
  <si>
    <t xml:space="preserve">   3. 전시장 조성 공사</t>
    <phoneticPr fontId="19" type="noConversion"/>
  </si>
  <si>
    <t xml:space="preserve">   4. 전시 사인물 제작 시공</t>
    <phoneticPr fontId="19" type="noConversion"/>
  </si>
  <si>
    <t>지급임차료</t>
    <phoneticPr fontId="18" type="noConversion"/>
  </si>
  <si>
    <t xml:space="preserve"> o 전시 기기 임차</t>
    <phoneticPr fontId="19" type="noConversion"/>
  </si>
  <si>
    <t xml:space="preserve"> o 우편발송</t>
    <phoneticPr fontId="19" type="noConversion"/>
  </si>
  <si>
    <t xml:space="preserve"> o 오프닝행사진행</t>
    <phoneticPr fontId="19" type="noConversion"/>
  </si>
  <si>
    <t>학교연계 교육프로그램</t>
    <phoneticPr fontId="19" type="noConversion"/>
  </si>
  <si>
    <t>종*</t>
    <phoneticPr fontId="19" type="noConversion"/>
  </si>
  <si>
    <t>회*</t>
    <phoneticPr fontId="19" type="noConversion"/>
  </si>
  <si>
    <t>세트</t>
    <phoneticPr fontId="19" type="noConversion"/>
  </si>
  <si>
    <t>전시교육개발 및 역량강화</t>
    <phoneticPr fontId="19" type="noConversion"/>
  </si>
  <si>
    <t xml:space="preserve"> o 작품 보험료</t>
    <phoneticPr fontId="19" type="noConversion"/>
  </si>
  <si>
    <t xml:space="preserve"> o 소장품 관리 소모품</t>
    <phoneticPr fontId="19" type="noConversion"/>
  </si>
  <si>
    <t xml:space="preserve">   1. 소장품 기증 보상금</t>
    <phoneticPr fontId="18" type="noConversion"/>
  </si>
  <si>
    <t xml:space="preserve">   2. 심의위원 회의수당</t>
    <phoneticPr fontId="18" type="noConversion"/>
  </si>
  <si>
    <t>관람객서비스</t>
    <phoneticPr fontId="19" type="noConversion"/>
  </si>
  <si>
    <t>전시지킴이(도슨트) 운영</t>
    <phoneticPr fontId="19" type="noConversion"/>
  </si>
  <si>
    <t xml:space="preserve"> o 안내요원(4대 보험 포함)</t>
    <phoneticPr fontId="18" type="noConversion"/>
  </si>
  <si>
    <t>개월</t>
    <phoneticPr fontId="18" type="noConversion"/>
  </si>
  <si>
    <t xml:space="preserve"> o 여비교통비 </t>
    <phoneticPr fontId="18" type="noConversion"/>
  </si>
  <si>
    <t xml:space="preserve"> o 복리후생비(피복비등)</t>
    <phoneticPr fontId="19" type="noConversion"/>
  </si>
  <si>
    <t xml:space="preserve"> o 채용 심사위원 수당</t>
    <phoneticPr fontId="19" type="noConversion"/>
  </si>
  <si>
    <t>프로젝트갤러리 운영</t>
    <phoneticPr fontId="19" type="noConversion"/>
  </si>
  <si>
    <t xml:space="preserve"> o 초청엽서 리플렛 제작 인쇄</t>
    <phoneticPr fontId="19" type="noConversion"/>
  </si>
  <si>
    <t xml:space="preserve"> o 전시구성비품</t>
    <phoneticPr fontId="19" type="noConversion"/>
  </si>
  <si>
    <t xml:space="preserve"> o 국내출장</t>
    <phoneticPr fontId="19" type="noConversion"/>
  </si>
  <si>
    <t xml:space="preserve"> o 장비 임차</t>
    <phoneticPr fontId="19" type="noConversion"/>
  </si>
  <si>
    <t xml:space="preserve">   1. 공간 재정비</t>
    <phoneticPr fontId="19" type="noConversion"/>
  </si>
  <si>
    <t xml:space="preserve">   2. 전시 사인물 제작 설치</t>
    <phoneticPr fontId="19" type="noConversion"/>
  </si>
  <si>
    <t xml:space="preserve"> o 전시 연계 행사</t>
    <phoneticPr fontId="19" type="noConversion"/>
  </si>
  <si>
    <t>문화자원봉사 교육운영</t>
    <phoneticPr fontId="19" type="noConversion"/>
  </si>
  <si>
    <t>인건비</t>
    <phoneticPr fontId="18" type="noConversion"/>
  </si>
  <si>
    <t xml:space="preserve">   1. 자원봉사 활동비 </t>
    <phoneticPr fontId="19" type="noConversion"/>
  </si>
  <si>
    <t xml:space="preserve">   2. 자원봉사 CS 강사료 </t>
    <phoneticPr fontId="19" type="noConversion"/>
  </si>
  <si>
    <t xml:space="preserve"> o 문화자원봉사 답사 차량 임차</t>
    <phoneticPr fontId="19" type="noConversion"/>
  </si>
  <si>
    <t xml:space="preserve">   3. 봉사자 연말 사은회</t>
    <phoneticPr fontId="19" type="noConversion"/>
  </si>
  <si>
    <t xml:space="preserve"> o 문화자원봉사 간담회   </t>
    <phoneticPr fontId="19" type="noConversion"/>
  </si>
  <si>
    <t>아카이브 구축 및 도서관 운영</t>
    <phoneticPr fontId="19" type="noConversion"/>
  </si>
  <si>
    <t>미술관 종합홍보</t>
    <phoneticPr fontId="19" type="noConversion"/>
  </si>
  <si>
    <t>관람환경 개선</t>
    <phoneticPr fontId="19" type="noConversion"/>
  </si>
  <si>
    <t xml:space="preserve"> o 돛대형상유리 실리콘 보수 공사</t>
    <phoneticPr fontId="18" type="noConversion"/>
  </si>
  <si>
    <t>㎡</t>
    <phoneticPr fontId="19" type="noConversion"/>
  </si>
  <si>
    <t>원/㎡*</t>
    <phoneticPr fontId="19" type="noConversion"/>
  </si>
  <si>
    <t>편의시설 운영</t>
    <phoneticPr fontId="19" type="noConversion"/>
  </si>
  <si>
    <t xml:space="preserve"> o 판매원(4대보험포함)</t>
    <phoneticPr fontId="19" type="noConversion"/>
  </si>
  <si>
    <t>세금과공과</t>
    <phoneticPr fontId="19" type="noConversion"/>
  </si>
  <si>
    <t xml:space="preserve"> o 부가가치세 및 세금</t>
    <phoneticPr fontId="19" type="noConversion"/>
  </si>
  <si>
    <t xml:space="preserve"> o 포스임차비등</t>
    <phoneticPr fontId="19" type="noConversion"/>
  </si>
  <si>
    <t xml:space="preserve"> o 아트상품저작권료 등</t>
    <phoneticPr fontId="19" type="noConversion"/>
  </si>
  <si>
    <t xml:space="preserve"> o 우편발송비</t>
    <phoneticPr fontId="19" type="noConversion"/>
  </si>
  <si>
    <t>특별사업</t>
    <phoneticPr fontId="19" type="noConversion"/>
  </si>
  <si>
    <t>외부기관 협력 사업</t>
    <phoneticPr fontId="19" type="noConversion"/>
  </si>
  <si>
    <t xml:space="preserve"> o 타기관 리서칭 및 교류업무</t>
    <phoneticPr fontId="19" type="noConversion"/>
  </si>
  <si>
    <t>지급용역료</t>
    <phoneticPr fontId="18" type="noConversion"/>
  </si>
  <si>
    <t xml:space="preserve"> o 행사지원 및 설치용역</t>
    <phoneticPr fontId="18" type="noConversion"/>
  </si>
  <si>
    <t xml:space="preserve"> o 대외협력 행사 개막식지원</t>
    <phoneticPr fontId="18" type="noConversion"/>
  </si>
  <si>
    <t xml:space="preserve"> o 대외협력사업 회의운영비</t>
    <phoneticPr fontId="18" type="noConversion"/>
  </si>
  <si>
    <t>명*</t>
    <phoneticPr fontId="18" type="noConversion"/>
  </si>
  <si>
    <t xml:space="preserve"> o 소장자료 및 소장작품 종합보험</t>
    <phoneticPr fontId="19" type="noConversion"/>
  </si>
  <si>
    <t xml:space="preserve"> o 작품 반출,반입,설치,점검 보조인력 </t>
    <phoneticPr fontId="19" type="noConversion"/>
  </si>
  <si>
    <t xml:space="preserve"> o 직원 퇴직급여</t>
    <phoneticPr fontId="19" type="noConversion"/>
  </si>
  <si>
    <t xml:space="preserve"> o 감사, 자문회의 등 식음료비</t>
    <phoneticPr fontId="18" type="noConversion"/>
  </si>
  <si>
    <t xml:space="preserve"> o 사무용 PC 및 집기류 등</t>
    <phoneticPr fontId="19" type="noConversion"/>
  </si>
  <si>
    <t xml:space="preserve"> o 진행보조</t>
    <phoneticPr fontId="19" type="noConversion"/>
  </si>
  <si>
    <t xml:space="preserve"> o 진행 소모품</t>
    <phoneticPr fontId="19" type="noConversion"/>
  </si>
  <si>
    <t xml:space="preserve"> o 심층인터뷰 츨장</t>
    <phoneticPr fontId="19" type="noConversion"/>
  </si>
  <si>
    <t xml:space="preserve"> o 심포지엄 행사운영비</t>
    <phoneticPr fontId="19" type="noConversion"/>
  </si>
  <si>
    <t xml:space="preserve"> o 소장품 복원 및 점검 간담회</t>
    <phoneticPr fontId="19" type="noConversion"/>
  </si>
  <si>
    <t xml:space="preserve"> o 아카이브 운영 간담회</t>
    <phoneticPr fontId="19" type="noConversion"/>
  </si>
  <si>
    <t xml:space="preserve"> o 소장품 연구 </t>
    <phoneticPr fontId="19" type="noConversion"/>
  </si>
  <si>
    <t xml:space="preserve"> o 계</t>
    <phoneticPr fontId="19" type="noConversion"/>
  </si>
  <si>
    <t xml:space="preserve"> o 홍보인력운영</t>
    <phoneticPr fontId="19" type="noConversion"/>
  </si>
  <si>
    <t xml:space="preserve"> o 국내출장비</t>
    <phoneticPr fontId="19" type="noConversion"/>
  </si>
  <si>
    <t xml:space="preserve"> o 작품보험료</t>
    <phoneticPr fontId="19" type="noConversion"/>
  </si>
  <si>
    <t xml:space="preserve"> o 국내우편발송</t>
    <phoneticPr fontId="19" type="noConversion"/>
  </si>
  <si>
    <t xml:space="preserve"> o 영상장비 임차</t>
    <phoneticPr fontId="19" type="noConversion"/>
  </si>
  <si>
    <t xml:space="preserve">   3. 작가사례비</t>
    <phoneticPr fontId="19" type="noConversion"/>
  </si>
  <si>
    <t xml:space="preserve">   4. 통역비</t>
    <phoneticPr fontId="19" type="noConversion"/>
  </si>
  <si>
    <t xml:space="preserve"> o 관련 소모품비</t>
    <phoneticPr fontId="19" type="noConversion"/>
  </si>
  <si>
    <t xml:space="preserve">   3. 작가사례비</t>
    <phoneticPr fontId="19" type="noConversion"/>
  </si>
  <si>
    <t xml:space="preserve">   1. 개막 행사비</t>
    <phoneticPr fontId="19" type="noConversion"/>
  </si>
  <si>
    <t xml:space="preserve">   2. 작가강연행사운영</t>
    <phoneticPr fontId="19" type="noConversion"/>
  </si>
  <si>
    <t xml:space="preserve">    – 4대보험 부담금</t>
    <phoneticPr fontId="19" type="noConversion"/>
  </si>
  <si>
    <t xml:space="preserve">    – 선택적 복지제도 운영</t>
    <phoneticPr fontId="19" type="noConversion"/>
  </si>
  <si>
    <t>– 직원</t>
    <phoneticPr fontId="19" type="noConversion"/>
  </si>
  <si>
    <t xml:space="preserve"> o 번역료 (한--&gt;영)</t>
    <phoneticPr fontId="19" type="noConversion"/>
  </si>
  <si>
    <t xml:space="preserve">   1. CRT, LCD 등 백업 모니터 구입 </t>
    <phoneticPr fontId="19" type="noConversion"/>
  </si>
  <si>
    <t xml:space="preserve">   5. 대형입간판 설치</t>
    <phoneticPr fontId="19" type="noConversion"/>
  </si>
  <si>
    <t>기획조정팀</t>
    <phoneticPr fontId="19" type="noConversion"/>
  </si>
  <si>
    <t>경영기능 개선</t>
    <phoneticPr fontId="19" type="noConversion"/>
  </si>
  <si>
    <t>재단 및 소속기관 평가</t>
    <phoneticPr fontId="19" type="noConversion"/>
  </si>
  <si>
    <t xml:space="preserve"> o 경영평가 보고서 제작</t>
    <phoneticPr fontId="18" type="noConversion"/>
  </si>
  <si>
    <t xml:space="preserve">   1. 평가위원단 심사비</t>
    <phoneticPr fontId="18" type="noConversion"/>
  </si>
  <si>
    <t xml:space="preserve">   2. 내부평가위원 심사비</t>
    <phoneticPr fontId="18" type="noConversion"/>
  </si>
  <si>
    <t xml:space="preserve"> o 평가 관련 장비 구입</t>
    <phoneticPr fontId="18" type="noConversion"/>
  </si>
  <si>
    <t xml:space="preserve"> o 성과관리시스템 도입</t>
    <phoneticPr fontId="18" type="noConversion"/>
  </si>
  <si>
    <t xml:space="preserve"> o 전산기기 임차 등</t>
    <phoneticPr fontId="18" type="noConversion"/>
  </si>
  <si>
    <t xml:space="preserve"> o 평가관련 회의</t>
    <phoneticPr fontId="18" type="noConversion"/>
  </si>
  <si>
    <t>문화예술 계기성</t>
    <phoneticPr fontId="19" type="noConversion"/>
  </si>
  <si>
    <t xml:space="preserve"> o 예총, 민예총, 문화원, 경기언론인클럽 운영 지원</t>
    <phoneticPr fontId="19" type="noConversion"/>
  </si>
  <si>
    <t>인사팀</t>
    <phoneticPr fontId="19" type="noConversion"/>
  </si>
  <si>
    <t>직원 역량강화</t>
    <phoneticPr fontId="19" type="noConversion"/>
  </si>
  <si>
    <t>직원 역량강화 프로그램 운영</t>
    <phoneticPr fontId="19" type="noConversion"/>
  </si>
  <si>
    <t>회</t>
    <phoneticPr fontId="31" type="noConversion"/>
  </si>
  <si>
    <t>=</t>
    <phoneticPr fontId="31" type="noConversion"/>
  </si>
  <si>
    <t xml:space="preserve">   2. 법정의무교육(강사2)</t>
    <phoneticPr fontId="19" type="noConversion"/>
  </si>
  <si>
    <t xml:space="preserve">   3. 직무전문교육</t>
    <phoneticPr fontId="19" type="noConversion"/>
  </si>
  <si>
    <t xml:space="preserve">   4. GGCF 특강</t>
    <phoneticPr fontId="19" type="noConversion"/>
  </si>
  <si>
    <t xml:space="preserve">   2. 계층별 리더십 과정</t>
    <phoneticPr fontId="19" type="noConversion"/>
  </si>
  <si>
    <t>지급수수료</t>
    <phoneticPr fontId="31" type="noConversion"/>
  </si>
  <si>
    <t xml:space="preserve"> o 사업운영비</t>
    <phoneticPr fontId="31" type="noConversion"/>
  </si>
  <si>
    <t>GGCF YOUNG 정책탐사단 운영</t>
    <phoneticPr fontId="19" type="noConversion"/>
  </si>
  <si>
    <t>지급용역료</t>
    <phoneticPr fontId="31" type="noConversion"/>
  </si>
  <si>
    <t>식*</t>
    <phoneticPr fontId="19" type="noConversion"/>
  </si>
  <si>
    <t xml:space="preserve"> o 영상촬영 교육 강사료</t>
    <phoneticPr fontId="19" type="noConversion"/>
  </si>
  <si>
    <t>원*</t>
    <phoneticPr fontId="31" type="noConversion"/>
  </si>
  <si>
    <t>=</t>
    <phoneticPr fontId="31" type="noConversion"/>
  </si>
  <si>
    <t>지급임차료</t>
    <phoneticPr fontId="31" type="noConversion"/>
  </si>
  <si>
    <t xml:space="preserve"> o 촬영장비 임차료</t>
    <phoneticPr fontId="19" type="noConversion"/>
  </si>
  <si>
    <t>조직문화활성화</t>
    <phoneticPr fontId="19" type="noConversion"/>
  </si>
  <si>
    <t>조직문화활성화</t>
    <phoneticPr fontId="24" type="noConversion"/>
  </si>
  <si>
    <t>지급용역료</t>
    <phoneticPr fontId="19" type="noConversion"/>
  </si>
  <si>
    <t xml:space="preserve"> o 조직문화진단 연구용역료</t>
    <phoneticPr fontId="19" type="noConversion"/>
  </si>
  <si>
    <t>식*</t>
    <phoneticPr fontId="19" type="noConversion"/>
  </si>
  <si>
    <t>여비교통비</t>
    <phoneticPr fontId="19" type="noConversion"/>
  </si>
  <si>
    <t xml:space="preserve"> o 선진기관 리서치 견학</t>
    <phoneticPr fontId="19" type="noConversion"/>
  </si>
  <si>
    <t>경영지원팀</t>
    <phoneticPr fontId="19" type="noConversion"/>
  </si>
  <si>
    <t>경영기능 개선</t>
    <phoneticPr fontId="19" type="noConversion"/>
  </si>
  <si>
    <t>정보화 사업운영</t>
    <phoneticPr fontId="19" type="noConversion"/>
  </si>
  <si>
    <t xml:space="preserve"> o 소프트웨어(V3 백신, 내PC지킴이, 알툴즈 등)</t>
    <phoneticPr fontId="19" type="noConversion"/>
  </si>
  <si>
    <t>원*</t>
    <phoneticPr fontId="19" type="noConversion"/>
  </si>
  <si>
    <t>개</t>
    <phoneticPr fontId="19" type="noConversion"/>
  </si>
  <si>
    <t>유지관리비</t>
    <phoneticPr fontId="19" type="noConversion"/>
  </si>
  <si>
    <t xml:space="preserve">   1. 웹메일 사용료</t>
    <phoneticPr fontId="19" type="noConversion"/>
  </si>
  <si>
    <t xml:space="preserve">   2. 서버 분기별 백업 및 유지보수</t>
    <phoneticPr fontId="19" type="noConversion"/>
  </si>
  <si>
    <t>회</t>
    <phoneticPr fontId="19" type="noConversion"/>
  </si>
  <si>
    <t xml:space="preserve">   3. 회계시스템(G20) 사용료</t>
    <phoneticPr fontId="19" type="noConversion"/>
  </si>
  <si>
    <t xml:space="preserve">   4. 통신실 면진장비 설치</t>
    <phoneticPr fontId="19" type="noConversion"/>
  </si>
  <si>
    <t>자산구입비</t>
    <phoneticPr fontId="19" type="noConversion"/>
  </si>
  <si>
    <t xml:space="preserve">   1. 전산기기(PC, OA기기) 구매</t>
    <phoneticPr fontId="19" type="noConversion"/>
  </si>
  <si>
    <t>대</t>
    <phoneticPr fontId="19" type="noConversion"/>
  </si>
  <si>
    <t xml:space="preserve">   2. SW 구입(한글, 오피스, 윈도우 등)</t>
    <phoneticPr fontId="19" type="noConversion"/>
  </si>
  <si>
    <t xml:space="preserve">   3. 노후서버(G20, 웹하드 등) 교체</t>
    <phoneticPr fontId="19" type="noConversion"/>
  </si>
  <si>
    <t>지급용역료</t>
    <phoneticPr fontId="19" type="noConversion"/>
  </si>
  <si>
    <t xml:space="preserve">   1. 소프트웨어 자산관리 용역</t>
    <phoneticPr fontId="19" type="noConversion"/>
  </si>
  <si>
    <t xml:space="preserve">   2. 전산기기(PC 및 OA) 및 서버 보수</t>
    <phoneticPr fontId="19" type="noConversion"/>
  </si>
  <si>
    <t>개월</t>
    <phoneticPr fontId="19" type="noConversion"/>
  </si>
  <si>
    <t xml:space="preserve">   3. G20, 웹하드서버 개선 및 유지보수</t>
    <phoneticPr fontId="19" type="noConversion"/>
  </si>
  <si>
    <t xml:space="preserve">   4. 전자결제시스템(G-Portal) 사용료</t>
    <phoneticPr fontId="19" type="noConversion"/>
  </si>
  <si>
    <t xml:space="preserve"> o 인터넷회선, 분당KT-IDC회선, 보안솔루션 사용료</t>
    <phoneticPr fontId="19" type="noConversion"/>
  </si>
  <si>
    <t>미디어마케팅팀</t>
    <phoneticPr fontId="19" type="noConversion"/>
  </si>
  <si>
    <t>미디어 활성화</t>
    <phoneticPr fontId="19" type="noConversion"/>
  </si>
  <si>
    <t>문화예술네트워크 홍보강화</t>
    <phoneticPr fontId="19" type="noConversion"/>
  </si>
  <si>
    <t xml:space="preserve"> o 브로슈어 및 홍보물 인쇄 등</t>
    <phoneticPr fontId="19" type="noConversion"/>
  </si>
  <si>
    <t>광고선전비</t>
    <phoneticPr fontId="19" type="noConversion"/>
  </si>
  <si>
    <t xml:space="preserve"> o 문화예술 콘텐츠 기획기사 발굴 및 언론홍보 등</t>
    <phoneticPr fontId="19" type="noConversion"/>
  </si>
  <si>
    <t xml:space="preserve"> o 소모품 구입 등</t>
    <phoneticPr fontId="31" type="noConversion"/>
  </si>
  <si>
    <t>원*</t>
    <phoneticPr fontId="31" type="noConversion"/>
  </si>
  <si>
    <t>회</t>
    <phoneticPr fontId="31" type="noConversion"/>
  </si>
  <si>
    <t>=</t>
    <phoneticPr fontId="31" type="noConversion"/>
  </si>
  <si>
    <t xml:space="preserve">   1. SNS(페이스북, 인스타그램) 운영 등</t>
    <phoneticPr fontId="19" type="noConversion"/>
  </si>
  <si>
    <t xml:space="preserve">   2. 2019 업무용 다이어리 제작 등</t>
    <phoneticPr fontId="19" type="noConversion"/>
  </si>
  <si>
    <t xml:space="preserve">   3. 홍보 기념품 제작용역 등</t>
    <phoneticPr fontId="19" type="noConversion"/>
  </si>
  <si>
    <t xml:space="preserve">   4. 홍보 디자인 제작 등</t>
    <phoneticPr fontId="19" type="noConversion"/>
  </si>
  <si>
    <t xml:space="preserve"> o 디지털카메라 장비 구입 등</t>
    <phoneticPr fontId="31" type="noConversion"/>
  </si>
  <si>
    <t xml:space="preserve"> o 팸투어 및 간담회 강사비 등</t>
    <phoneticPr fontId="19" type="noConversion"/>
  </si>
  <si>
    <t>지급임차료</t>
    <phoneticPr fontId="19" type="noConversion"/>
  </si>
  <si>
    <t xml:space="preserve"> o 전산기기 임대료 등</t>
    <phoneticPr fontId="19" type="noConversion"/>
  </si>
  <si>
    <t>월</t>
    <phoneticPr fontId="19" type="noConversion"/>
  </si>
  <si>
    <t>행사운영비</t>
    <phoneticPr fontId="19" type="noConversion"/>
  </si>
  <si>
    <t xml:space="preserve"> o 문화예술 팸투어, 홍보간담회 운영 </t>
    <phoneticPr fontId="19" type="noConversion"/>
  </si>
  <si>
    <t xml:space="preserve"> o 홍보 기념품 샘플제작 및 구매 등</t>
    <phoneticPr fontId="19" type="noConversion"/>
  </si>
  <si>
    <t>디지털 문화콘텐츠 제작 확산</t>
    <phoneticPr fontId="19" type="noConversion"/>
  </si>
  <si>
    <t xml:space="preserve"> o 연간 Adobe 등 소프트웨어 라이선스 등</t>
    <phoneticPr fontId="31" type="noConversion"/>
  </si>
  <si>
    <t>식</t>
    <phoneticPr fontId="31" type="noConversion"/>
  </si>
  <si>
    <t xml:space="preserve"> o 콘텐츠 제작 등 출장비</t>
    <phoneticPr fontId="31" type="noConversion"/>
  </si>
  <si>
    <t>유지관리비</t>
    <phoneticPr fontId="19" type="noConversion"/>
  </si>
  <si>
    <t xml:space="preserve"> o 구글 드라이브 시스템 운영 등</t>
    <phoneticPr fontId="19" type="noConversion"/>
  </si>
  <si>
    <t>지급수수료</t>
    <phoneticPr fontId="19" type="noConversion"/>
  </si>
  <si>
    <t xml:space="preserve">   1. 용역 심사비 등</t>
    <phoneticPr fontId="19" type="noConversion"/>
  </si>
  <si>
    <t xml:space="preserve">   2. 외국어 번역비 등</t>
    <phoneticPr fontId="19" type="noConversion"/>
  </si>
  <si>
    <t xml:space="preserve">   1. 영상콘텐츠 촬영 및 편집용역 등</t>
    <phoneticPr fontId="19" type="noConversion"/>
  </si>
  <si>
    <t xml:space="preserve">   2. 사진콘텐츠 촬영 및 보정용역 등</t>
    <phoneticPr fontId="19" type="noConversion"/>
  </si>
  <si>
    <t>통신비</t>
    <phoneticPr fontId="19" type="noConversion"/>
  </si>
  <si>
    <t xml:space="preserve"> o 우편 및 택배 발송 등</t>
    <phoneticPr fontId="31" type="noConversion"/>
  </si>
  <si>
    <t xml:space="preserve"> o 관련회의 식음료 등</t>
    <phoneticPr fontId="19" type="noConversion"/>
  </si>
  <si>
    <t>스마트뮤지엄 활용시스템 운영</t>
    <phoneticPr fontId="19" type="noConversion"/>
  </si>
  <si>
    <t xml:space="preserve"> o 국내 출장비</t>
    <phoneticPr fontId="19" type="noConversion"/>
  </si>
  <si>
    <t>명*</t>
    <phoneticPr fontId="31" type="noConversion"/>
  </si>
  <si>
    <t>개월</t>
    <phoneticPr fontId="19" type="noConversion"/>
  </si>
  <si>
    <t xml:space="preserve"> o 심사비 등</t>
    <phoneticPr fontId="19" type="noConversion"/>
  </si>
  <si>
    <t xml:space="preserve">   1. 소속뮤지엄 미디어 아카이브월 제작</t>
    <phoneticPr fontId="19" type="noConversion"/>
  </si>
  <si>
    <t xml:space="preserve">   2. 스마트 뮤지엄 플랫폼 콘텐츠 기능개발 등</t>
    <phoneticPr fontId="19" type="noConversion"/>
  </si>
  <si>
    <t xml:space="preserve"> o 통신, 음향, 영상기기 임차</t>
    <phoneticPr fontId="19" type="noConversion"/>
  </si>
  <si>
    <t xml:space="preserve"> o 정보통신 회선 추가 및 관람객 SMS 발송 등</t>
    <phoneticPr fontId="19" type="noConversion"/>
  </si>
  <si>
    <t>회의운영비</t>
    <phoneticPr fontId="19" type="noConversion"/>
  </si>
  <si>
    <t xml:space="preserve"> o 사업관련 업무협의 및 자문</t>
    <phoneticPr fontId="19" type="noConversion"/>
  </si>
  <si>
    <t>온라인 활성화</t>
    <phoneticPr fontId="19" type="noConversion"/>
  </si>
  <si>
    <t>통합 웹사이트 및 온라인 운영</t>
    <phoneticPr fontId="19" type="noConversion"/>
  </si>
  <si>
    <t xml:space="preserve">   2. 운영요원 기간제 퇴직금(1년)</t>
    <phoneticPr fontId="19" type="noConversion"/>
  </si>
  <si>
    <t xml:space="preserve">   2. 연간 Adobe 등 소프트웨어 라이선스 등</t>
    <phoneticPr fontId="19" type="noConversion"/>
  </si>
  <si>
    <t xml:space="preserve">   3. 연간폰트 라이선스</t>
    <phoneticPr fontId="19" type="noConversion"/>
  </si>
  <si>
    <t xml:space="preserve"> o 업무 및 출장 등</t>
    <phoneticPr fontId="19" type="noConversion"/>
  </si>
  <si>
    <t xml:space="preserve">   1. IDC 서버 OS, 백업 유지보수 등</t>
    <phoneticPr fontId="19" type="noConversion"/>
  </si>
  <si>
    <t xml:space="preserve">   2. 도메인 및 SSL 보안인증서 등</t>
    <phoneticPr fontId="19" type="noConversion"/>
  </si>
  <si>
    <t xml:space="preserve"> o 이미지 저작권 구입 등</t>
    <phoneticPr fontId="19" type="noConversion"/>
  </si>
  <si>
    <t xml:space="preserve">   1. IDC 서버 노후화 교체 등</t>
    <phoneticPr fontId="19" type="noConversion"/>
  </si>
  <si>
    <t xml:space="preserve">   2. 전산 사무기기 교체 등</t>
    <phoneticPr fontId="19" type="noConversion"/>
  </si>
  <si>
    <t xml:space="preserve">   1. 외국어 번역료 및 원고료 등</t>
    <phoneticPr fontId="19" type="noConversion"/>
  </si>
  <si>
    <t xml:space="preserve">   2. 어워드 심사비 등</t>
    <phoneticPr fontId="19" type="noConversion"/>
  </si>
  <si>
    <t xml:space="preserve">   1. 뮤지엄 홈페이지 개편용역 등</t>
    <phoneticPr fontId="19" type="noConversion"/>
  </si>
  <si>
    <t>건</t>
    <phoneticPr fontId="19" type="noConversion"/>
  </si>
  <si>
    <t xml:space="preserve">   2. 문화포털 콘텐츠 생산 가공 등</t>
    <phoneticPr fontId="19" type="noConversion"/>
  </si>
  <si>
    <t xml:space="preserve">   3. 재단 웹사이트 기능개선 용역 등</t>
    <phoneticPr fontId="19" type="noConversion"/>
  </si>
  <si>
    <t xml:space="preserve">   1. 웹용 SMS 문자서비스 등 </t>
    <phoneticPr fontId="19" type="noConversion"/>
  </si>
  <si>
    <t xml:space="preserve"> o 홈페이지 및 블로그 활성화 이벤트 등</t>
    <phoneticPr fontId="19" type="noConversion"/>
  </si>
  <si>
    <t xml:space="preserve"> o 온라인 서비스 운영 관련회의 등</t>
    <phoneticPr fontId="19" type="noConversion"/>
  </si>
  <si>
    <t xml:space="preserve">   1. 급여 및 4대보험</t>
    <phoneticPr fontId="19" type="noConversion"/>
  </si>
  <si>
    <t xml:space="preserve">   2. 퇴직금</t>
    <phoneticPr fontId="19" type="noConversion"/>
  </si>
  <si>
    <t xml:space="preserve"> o 광고제작 게재</t>
    <phoneticPr fontId="19" type="noConversion"/>
  </si>
  <si>
    <t>도서인쇄비</t>
    <phoneticPr fontId="31" type="noConversion"/>
  </si>
  <si>
    <t xml:space="preserve"> o 지지씨 가이드북 제작</t>
    <phoneticPr fontId="19" type="noConversion"/>
  </si>
  <si>
    <t xml:space="preserve"> o 소모품 구입</t>
    <phoneticPr fontId="19" type="noConversion"/>
  </si>
  <si>
    <t>회</t>
    <phoneticPr fontId="25" type="noConversion"/>
  </si>
  <si>
    <t xml:space="preserve"> o 국내 출장비</t>
    <phoneticPr fontId="19" type="noConversion"/>
  </si>
  <si>
    <t>명*</t>
    <phoneticPr fontId="31" type="noConversion"/>
  </si>
  <si>
    <t>자료구입비</t>
    <phoneticPr fontId="31" type="noConversion"/>
  </si>
  <si>
    <t xml:space="preserve"> o 참고서적 구입 등</t>
    <phoneticPr fontId="19" type="noConversion"/>
  </si>
  <si>
    <t xml:space="preserve"> o 원고료 및 번역료 등</t>
    <phoneticPr fontId="19" type="noConversion"/>
  </si>
  <si>
    <t xml:space="preserve">   1. 온라인 콘텐츠 플랫폼 웹프로그램 기능개선 등</t>
    <phoneticPr fontId="19" type="noConversion"/>
  </si>
  <si>
    <t xml:space="preserve">   2. 사진촬영 용역 등</t>
    <phoneticPr fontId="19" type="noConversion"/>
  </si>
  <si>
    <t xml:space="preserve">   3. 편집디자인 용역 등</t>
    <phoneticPr fontId="31" type="noConversion"/>
  </si>
  <si>
    <t xml:space="preserve"> o 사무기기 등</t>
    <phoneticPr fontId="19" type="noConversion"/>
  </si>
  <si>
    <t xml:space="preserve"> o 문자 및 우편발송</t>
    <phoneticPr fontId="19" type="noConversion"/>
  </si>
  <si>
    <t>문화콘텐츠 확산</t>
    <phoneticPr fontId="19" type="noConversion"/>
  </si>
  <si>
    <t>문화콘텐츠 제작 및 확산</t>
    <phoneticPr fontId="19" type="noConversion"/>
  </si>
  <si>
    <t xml:space="preserve"> o 방송, 신문, 인터넷, 옥외광고 등 매체 광고비</t>
    <phoneticPr fontId="19" type="noConversion"/>
  </si>
  <si>
    <t xml:space="preserve"> o 인문학콘서트 용역 등</t>
    <phoneticPr fontId="19" type="noConversion"/>
  </si>
  <si>
    <t>스마트 체험프로그램 운영</t>
    <phoneticPr fontId="19" type="noConversion"/>
  </si>
  <si>
    <t>도서인쇄비</t>
    <phoneticPr fontId="19" type="noConversion"/>
  </si>
  <si>
    <t xml:space="preserve"> o 교육프로그램 키트 제작</t>
    <phoneticPr fontId="19" type="noConversion"/>
  </si>
  <si>
    <t>원*</t>
    <phoneticPr fontId="25" type="noConversion"/>
  </si>
  <si>
    <t>회</t>
    <phoneticPr fontId="25" type="noConversion"/>
  </si>
  <si>
    <t>=</t>
    <phoneticPr fontId="25" type="noConversion"/>
  </si>
  <si>
    <t>보험료</t>
    <phoneticPr fontId="31" type="noConversion"/>
  </si>
  <si>
    <t xml:space="preserve"> o 여행자 보험</t>
    <phoneticPr fontId="19" type="noConversion"/>
  </si>
  <si>
    <t>명</t>
    <phoneticPr fontId="25" type="noConversion"/>
  </si>
  <si>
    <t>소모품비</t>
    <phoneticPr fontId="31" type="noConversion"/>
  </si>
  <si>
    <t xml:space="preserve"> o 사무용,체험용 소모품 구입</t>
    <phoneticPr fontId="19" type="noConversion"/>
  </si>
  <si>
    <t>지급수수료</t>
    <phoneticPr fontId="31" type="noConversion"/>
  </si>
  <si>
    <t xml:space="preserve"> o 교육강사</t>
    <phoneticPr fontId="19" type="noConversion"/>
  </si>
  <si>
    <t xml:space="preserve">   1. 교육체험 콘텐츠 제작</t>
    <phoneticPr fontId="19" type="noConversion"/>
  </si>
  <si>
    <t xml:space="preserve">   2. 영상 및 사진 촬영</t>
    <phoneticPr fontId="19" type="noConversion"/>
  </si>
  <si>
    <t>식</t>
    <phoneticPr fontId="25" type="noConversion"/>
  </si>
  <si>
    <t>지금임차료</t>
    <phoneticPr fontId="31" type="noConversion"/>
  </si>
  <si>
    <t xml:space="preserve"> o 버스, 장비임차료</t>
    <phoneticPr fontId="19" type="noConversion"/>
  </si>
  <si>
    <t>대</t>
    <phoneticPr fontId="25" type="noConversion"/>
  </si>
  <si>
    <t>통신비</t>
    <phoneticPr fontId="31" type="noConversion"/>
  </si>
  <si>
    <t xml:space="preserve"> o 우편 발송 등</t>
    <phoneticPr fontId="19" type="noConversion"/>
  </si>
  <si>
    <t>통</t>
    <phoneticPr fontId="25" type="noConversion"/>
  </si>
  <si>
    <t xml:space="preserve">   1. 체험교육행사 개최</t>
    <phoneticPr fontId="19" type="noConversion"/>
  </si>
  <si>
    <t xml:space="preserve">   2. 특별행사 개최</t>
    <phoneticPr fontId="19" type="noConversion"/>
  </si>
  <si>
    <t xml:space="preserve"> o 각종 회의 개최</t>
    <phoneticPr fontId="19" type="noConversion"/>
  </si>
  <si>
    <t>뮤지엄 문화상품 개발</t>
    <phoneticPr fontId="19" type="noConversion"/>
  </si>
  <si>
    <t xml:space="preserve">   2. 상품 연출사진 촬영 및 편집 등</t>
    <phoneticPr fontId="19" type="noConversion"/>
  </si>
  <si>
    <t xml:space="preserve">   3. 온라인 뮤지엄숍 개발 등</t>
    <phoneticPr fontId="19" type="noConversion"/>
  </si>
  <si>
    <t xml:space="preserve"> o 아트숍 상품 구매제작 등</t>
    <phoneticPr fontId="19" type="noConversion"/>
  </si>
  <si>
    <t xml:space="preserve"> o 통합패키지 제작 및 샘플제작 등</t>
    <phoneticPr fontId="19" type="noConversion"/>
  </si>
  <si>
    <t>본예산(103차)</t>
    <phoneticPr fontId="19" type="noConversion"/>
  </si>
  <si>
    <t>1추(105차)</t>
    <phoneticPr fontId="19" type="noConversion"/>
  </si>
  <si>
    <t>합 계</t>
    <phoneticPr fontId="19" type="noConversion"/>
  </si>
  <si>
    <t>도 비</t>
    <phoneticPr fontId="19" type="noConversion"/>
  </si>
  <si>
    <t>국 비</t>
    <phoneticPr fontId="19" type="noConversion"/>
  </si>
  <si>
    <t>기 타</t>
    <phoneticPr fontId="19" type="noConversion"/>
  </si>
  <si>
    <t>정책실</t>
    <phoneticPr fontId="19" type="noConversion"/>
  </si>
  <si>
    <t>경영본부(외부재원)</t>
    <phoneticPr fontId="19" type="noConversion"/>
  </si>
  <si>
    <t xml:space="preserve"> </t>
    <phoneticPr fontId="19" type="noConversion"/>
  </si>
  <si>
    <t>인사팀</t>
    <phoneticPr fontId="19" type="noConversion"/>
  </si>
  <si>
    <t>미디어마케팅팅</t>
    <phoneticPr fontId="19" type="noConversion"/>
  </si>
  <si>
    <t>공기관대행사업</t>
    <phoneticPr fontId="19" type="noConversion"/>
  </si>
  <si>
    <t>경기천년 드론사진 공모전</t>
    <phoneticPr fontId="19" type="noConversion"/>
  </si>
  <si>
    <t>문화예술본부(외부재원)</t>
    <phoneticPr fontId="19" type="noConversion"/>
  </si>
  <si>
    <t>문예진흥팀</t>
    <phoneticPr fontId="19" type="noConversion"/>
  </si>
  <si>
    <t>공연예술단체 지원</t>
    <phoneticPr fontId="19" type="noConversion"/>
  </si>
  <si>
    <t>공연장 상주단체 육성 지원</t>
    <phoneticPr fontId="19" type="noConversion"/>
  </si>
  <si>
    <t>경기문화예술교육지원센터사업</t>
    <phoneticPr fontId="19" type="noConversion"/>
  </si>
  <si>
    <t>교육지원센터 운영</t>
    <phoneticPr fontId="19" type="noConversion"/>
  </si>
  <si>
    <t>매개자 발굴 및 육성기획사업</t>
    <phoneticPr fontId="19" type="noConversion"/>
  </si>
  <si>
    <t>비평연구 및 교육콘텐츠 강화</t>
    <phoneticPr fontId="19" type="noConversion"/>
  </si>
  <si>
    <t>홍보 및 아카이빙</t>
    <phoneticPr fontId="19" type="noConversion"/>
  </si>
  <si>
    <t xml:space="preserve">꿈다락 토요문화학교 </t>
    <phoneticPr fontId="19" type="noConversion"/>
  </si>
  <si>
    <t>지역특성화 지원사업</t>
    <phoneticPr fontId="19" type="noConversion"/>
  </si>
  <si>
    <t>지역특성화 문화예술교육 지원</t>
    <phoneticPr fontId="19" type="noConversion"/>
  </si>
  <si>
    <t>지역문화예술특성화 지원</t>
    <phoneticPr fontId="19" type="noConversion"/>
  </si>
  <si>
    <t>지역문화팀</t>
    <phoneticPr fontId="19" type="noConversion"/>
  </si>
  <si>
    <t>보조금</t>
    <phoneticPr fontId="19" type="noConversion"/>
  </si>
  <si>
    <t>문화누리</t>
    <phoneticPr fontId="19" type="noConversion"/>
  </si>
  <si>
    <t>문화누리카드사업</t>
    <phoneticPr fontId="19" type="noConversion"/>
  </si>
  <si>
    <t>문화나눔센터 운영</t>
    <phoneticPr fontId="19" type="noConversion"/>
  </si>
  <si>
    <t>경기상상캠퍼스 운영</t>
    <phoneticPr fontId="19" type="noConversion"/>
  </si>
  <si>
    <t>청년문화 활성화</t>
    <phoneticPr fontId="19" type="noConversion"/>
  </si>
  <si>
    <t>청년실험실</t>
    <phoneticPr fontId="19" type="noConversion"/>
  </si>
  <si>
    <t>다사리문화기획학교</t>
    <phoneticPr fontId="19" type="noConversion"/>
  </si>
  <si>
    <t>교류 및 네트워크</t>
    <phoneticPr fontId="19" type="noConversion"/>
  </si>
  <si>
    <t>청년문화페스티벌</t>
    <phoneticPr fontId="19" type="noConversion"/>
  </si>
  <si>
    <t>포레포레</t>
    <phoneticPr fontId="19" type="noConversion"/>
  </si>
  <si>
    <t>플랫폼 1986</t>
    <phoneticPr fontId="19" type="noConversion"/>
  </si>
  <si>
    <t>경기생활문화센터</t>
    <phoneticPr fontId="19" type="noConversion"/>
  </si>
  <si>
    <t>경기생활문화센터</t>
    <phoneticPr fontId="19" type="noConversion"/>
  </si>
  <si>
    <t>공간 운영</t>
    <phoneticPr fontId="19" type="noConversion"/>
  </si>
  <si>
    <t>경기상상캠퍼스 조성</t>
    <phoneticPr fontId="19" type="noConversion"/>
  </si>
  <si>
    <t>공간 리모델링</t>
    <phoneticPr fontId="19" type="noConversion"/>
  </si>
  <si>
    <t>제2청년문화창작소 운영</t>
    <phoneticPr fontId="19" type="noConversion"/>
  </si>
  <si>
    <t>북부문화사업단</t>
    <phoneticPr fontId="19" type="noConversion"/>
  </si>
  <si>
    <t>경기창작센터</t>
    <phoneticPr fontId="19" type="noConversion"/>
  </si>
  <si>
    <t>화성지역 문화발전</t>
    <phoneticPr fontId="19" type="noConversion"/>
  </si>
  <si>
    <t>2018경기만 에코뮤지엄 조성</t>
    <phoneticPr fontId="19" type="noConversion"/>
  </si>
  <si>
    <t>2018연강갤러리 운영</t>
    <phoneticPr fontId="19" type="noConversion"/>
  </si>
  <si>
    <t>2018연강갤러리 운영</t>
  </si>
  <si>
    <t>2018시흥바라지 에코뮤지엄</t>
    <phoneticPr fontId="19" type="noConversion"/>
  </si>
  <si>
    <t>2018제부도명소화 문화재생</t>
    <phoneticPr fontId="19" type="noConversion"/>
  </si>
  <si>
    <t>경기문화재연구원(외부재원)</t>
    <phoneticPr fontId="19" type="noConversion"/>
  </si>
  <si>
    <t>경기문화재연구원</t>
    <phoneticPr fontId="19" type="noConversion"/>
  </si>
  <si>
    <t>2018경기도 문화재 원형기록화</t>
    <phoneticPr fontId="19" type="noConversion"/>
  </si>
  <si>
    <t>경기학연구센터</t>
    <phoneticPr fontId="19" type="noConversion"/>
  </si>
  <si>
    <t>2018남한산성 옛길 활용 및 홍보</t>
    <phoneticPr fontId="19" type="noConversion"/>
  </si>
  <si>
    <t>경기도항일유적 안내판 및 표지판 설치</t>
    <phoneticPr fontId="19" type="noConversion"/>
  </si>
  <si>
    <t>경기도박물관(외부재원)</t>
    <phoneticPr fontId="19" type="noConversion"/>
  </si>
  <si>
    <t>경기도미술관(외부재원)</t>
    <phoneticPr fontId="19" type="noConversion"/>
  </si>
  <si>
    <t>경기도미술관</t>
    <phoneticPr fontId="19" type="noConversion"/>
  </si>
  <si>
    <t>문화관광 활성화</t>
    <phoneticPr fontId="19" type="noConversion"/>
  </si>
  <si>
    <t>문화관광 콘텐츠 공공미술</t>
    <phoneticPr fontId="19" type="noConversion"/>
  </si>
  <si>
    <t>동두천시 K-Rock빌리지조성</t>
    <phoneticPr fontId="19" type="noConversion"/>
  </si>
  <si>
    <t>캠프보산 거리예술 공공미술</t>
    <phoneticPr fontId="19" type="noConversion"/>
  </si>
  <si>
    <t>백남준아트센터(외부재원)</t>
    <phoneticPr fontId="19" type="noConversion"/>
  </si>
  <si>
    <t>백남준아트센터</t>
    <phoneticPr fontId="19" type="noConversion"/>
  </si>
  <si>
    <t>한국문화예술위원회 작가비 지원사업</t>
    <phoneticPr fontId="19" type="noConversion"/>
  </si>
  <si>
    <t>한국문화예술위원회 작가비 지원</t>
    <phoneticPr fontId="19" type="noConversion"/>
  </si>
  <si>
    <t>실학박물관(외부재원)</t>
    <phoneticPr fontId="19" type="noConversion"/>
  </si>
  <si>
    <t>실학박물관</t>
    <phoneticPr fontId="19" type="noConversion"/>
  </si>
  <si>
    <t>경기도어린이박물관(외부재원)</t>
    <phoneticPr fontId="19" type="noConversion"/>
  </si>
  <si>
    <t>경기도어린이박물관</t>
    <phoneticPr fontId="19" type="noConversion"/>
  </si>
  <si>
    <t>전곡선사박물관(외부재원)</t>
    <phoneticPr fontId="19" type="noConversion"/>
  </si>
  <si>
    <t>전곡선사박물관</t>
    <phoneticPr fontId="19" type="noConversion"/>
  </si>
  <si>
    <t>공기관대행</t>
    <phoneticPr fontId="19" type="noConversion"/>
  </si>
  <si>
    <t xml:space="preserve"> 공기관대행사업/보조금 총계</t>
    <phoneticPr fontId="19" type="noConversion"/>
  </si>
  <si>
    <t>노후공립박물관안전및관람환경개선사업</t>
    <phoneticPr fontId="19" type="noConversion"/>
  </si>
  <si>
    <t>2017경기도문화영향평가</t>
    <phoneticPr fontId="19" type="noConversion"/>
  </si>
  <si>
    <t>경영본부(외부재원)</t>
    <phoneticPr fontId="19" type="noConversion"/>
  </si>
  <si>
    <t>청년일자리창출</t>
    <phoneticPr fontId="19" type="noConversion"/>
  </si>
  <si>
    <t>경기천년 드론사진 공모전</t>
    <phoneticPr fontId="19" type="noConversion"/>
  </si>
  <si>
    <t xml:space="preserve"> o 장치 제작, 인력 운영, 홍보 등</t>
    <phoneticPr fontId="19" type="noConversion"/>
  </si>
  <si>
    <t>지역문화예술특성화 지원</t>
    <phoneticPr fontId="19" type="noConversion"/>
  </si>
  <si>
    <t>지역예술활동지원</t>
    <phoneticPr fontId="19" type="noConversion"/>
  </si>
  <si>
    <t xml:space="preserve">  1. 직접 공모지원(18개 시군대상)</t>
    <phoneticPr fontId="19" type="noConversion"/>
  </si>
  <si>
    <t xml:space="preserve">  2. 13개 기초문화재단 공모지원</t>
    <phoneticPr fontId="19" type="noConversion"/>
  </si>
  <si>
    <t xml:space="preserve">  3. 평가주관단체 지원</t>
    <phoneticPr fontId="19" type="noConversion"/>
  </si>
  <si>
    <t>전문예술창작지원</t>
    <phoneticPr fontId="19" type="noConversion"/>
  </si>
  <si>
    <t xml:space="preserve"> o 공모안내요원 등</t>
    <phoneticPr fontId="19" type="noConversion"/>
  </si>
  <si>
    <t xml:space="preserve"> o 지원사업신청 및 정산 안내서</t>
    <phoneticPr fontId="19" type="noConversion"/>
  </si>
  <si>
    <t xml:space="preserve"> o 지원사업 소모품</t>
    <phoneticPr fontId="19" type="noConversion"/>
  </si>
  <si>
    <t xml:space="preserve">   1. 지원사업 모니터링 등</t>
    <phoneticPr fontId="19" type="noConversion"/>
  </si>
  <si>
    <t xml:space="preserve">   2. 해외연수 여비</t>
    <phoneticPr fontId="19" type="noConversion"/>
  </si>
  <si>
    <t xml:space="preserve">   1. 심의비 등</t>
    <phoneticPr fontId="19" type="noConversion"/>
  </si>
  <si>
    <t xml:space="preserve">   2. 국가지원시스템 운영</t>
    <phoneticPr fontId="19" type="noConversion"/>
  </si>
  <si>
    <t>임차비</t>
    <phoneticPr fontId="19" type="noConversion"/>
  </si>
  <si>
    <t xml:space="preserve"> o 지원사업 장비 임차</t>
    <phoneticPr fontId="19" type="noConversion"/>
  </si>
  <si>
    <t xml:space="preserve">     - 신진작가</t>
    <phoneticPr fontId="19" type="noConversion"/>
  </si>
  <si>
    <t xml:space="preserve">     - 기성작가</t>
    <phoneticPr fontId="19" type="noConversion"/>
  </si>
  <si>
    <t xml:space="preserve">     - 문학창작집</t>
    <phoneticPr fontId="19" type="noConversion"/>
  </si>
  <si>
    <t xml:space="preserve">     - 선정작품집</t>
    <phoneticPr fontId="19" type="noConversion"/>
  </si>
  <si>
    <t xml:space="preserve">   2. 공연예술 창작지원 등</t>
    <phoneticPr fontId="19" type="noConversion"/>
  </si>
  <si>
    <t xml:space="preserve">     - 창작지원(1단계)</t>
    <phoneticPr fontId="19" type="noConversion"/>
  </si>
  <si>
    <t xml:space="preserve">     - 초연지원(2단계)</t>
    <phoneticPr fontId="19" type="noConversion"/>
  </si>
  <si>
    <t xml:space="preserve">     - 유통지원(3단계)</t>
    <phoneticPr fontId="19" type="noConversion"/>
  </si>
  <si>
    <t xml:space="preserve">   3. 시각예술 창작지원 등</t>
    <phoneticPr fontId="19" type="noConversion"/>
  </si>
  <si>
    <t xml:space="preserve">     - 우수작가 개인전</t>
    <phoneticPr fontId="19" type="noConversion"/>
  </si>
  <si>
    <t xml:space="preserve">     - 중견작가 작품집</t>
    <phoneticPr fontId="19" type="noConversion"/>
  </si>
  <si>
    <t xml:space="preserve">     - 공동전 미술관 지원</t>
    <phoneticPr fontId="19" type="noConversion"/>
  </si>
  <si>
    <t xml:space="preserve">   4. 연구평론 출간지원</t>
    <phoneticPr fontId="19" type="noConversion"/>
  </si>
  <si>
    <t xml:space="preserve">     - 연구/평론</t>
    <phoneticPr fontId="19" type="noConversion"/>
  </si>
  <si>
    <t xml:space="preserve">     - 전문예술 평가지원(시각, 공연)</t>
    <phoneticPr fontId="19" type="noConversion"/>
  </si>
  <si>
    <t xml:space="preserve"> o 우편발송비</t>
    <phoneticPr fontId="19" type="noConversion"/>
  </si>
  <si>
    <t xml:space="preserve"> o 설명회, 워크숍 등</t>
    <phoneticPr fontId="19" type="noConversion"/>
  </si>
  <si>
    <t xml:space="preserve"> o 자문, 심의, 기획회의 등</t>
    <phoneticPr fontId="19" type="noConversion"/>
  </si>
  <si>
    <t>기획지원사업</t>
    <phoneticPr fontId="19" type="noConversion"/>
  </si>
  <si>
    <t xml:space="preserve"> o 온/오프라인 광고</t>
    <phoneticPr fontId="19" type="noConversion"/>
  </si>
  <si>
    <t xml:space="preserve"> o 영상 촬영 등</t>
    <phoneticPr fontId="19" type="noConversion"/>
  </si>
  <si>
    <t xml:space="preserve"> o 심의비 및 자문비</t>
    <phoneticPr fontId="19" type="noConversion"/>
  </si>
  <si>
    <t xml:space="preserve">  1. 공공하는 예술프로젝트</t>
    <phoneticPr fontId="19" type="noConversion"/>
  </si>
  <si>
    <t xml:space="preserve">  2. 별별예술 프로젝트</t>
    <phoneticPr fontId="19" type="noConversion"/>
  </si>
  <si>
    <t xml:space="preserve">  3. 기초문화재단 협력지원</t>
    <phoneticPr fontId="19" type="noConversion"/>
  </si>
  <si>
    <t xml:space="preserve">  4. 평가모니터링</t>
    <phoneticPr fontId="19" type="noConversion"/>
  </si>
  <si>
    <t xml:space="preserve"> o 심의 관련 회의 등</t>
    <phoneticPr fontId="19" type="noConversion"/>
  </si>
  <si>
    <t>공연장상주단체 육성지원</t>
    <phoneticPr fontId="19" type="noConversion"/>
  </si>
  <si>
    <t xml:space="preserve">  1. 지원사업 모니터링</t>
    <phoneticPr fontId="19" type="noConversion"/>
  </si>
  <si>
    <t xml:space="preserve">  2. 해외연수 여비</t>
    <phoneticPr fontId="19" type="noConversion"/>
  </si>
  <si>
    <t xml:space="preserve"> o 심의, 추진위원회 운영 등</t>
    <phoneticPr fontId="19" type="noConversion"/>
  </si>
  <si>
    <t xml:space="preserve">  1. 애뉴얼리포트 제작</t>
    <phoneticPr fontId="19" type="noConversion"/>
  </si>
  <si>
    <t xml:space="preserve">  2. 신작공연 영상제작 지원</t>
    <phoneticPr fontId="19" type="noConversion"/>
  </si>
  <si>
    <t xml:space="preserve">  1. 상주단체 공모지원</t>
    <phoneticPr fontId="19" type="noConversion"/>
  </si>
  <si>
    <t xml:space="preserve">  2. 교류사업(페스타)</t>
    <phoneticPr fontId="19" type="noConversion"/>
  </si>
  <si>
    <t xml:space="preserve">  3. 공연장 상주단체 평가</t>
    <phoneticPr fontId="19" type="noConversion"/>
  </si>
  <si>
    <t>경기문화예술교육지원센터 사업</t>
    <phoneticPr fontId="19" type="noConversion"/>
  </si>
  <si>
    <t>교육지원센터 운영</t>
    <phoneticPr fontId="19" type="noConversion"/>
  </si>
  <si>
    <t xml:space="preserve">  1. 급여</t>
    <phoneticPr fontId="19" type="noConversion"/>
  </si>
  <si>
    <t>명*</t>
    <phoneticPr fontId="19" type="noConversion"/>
  </si>
  <si>
    <t>월</t>
    <phoneticPr fontId="19" type="noConversion"/>
  </si>
  <si>
    <t xml:space="preserve">  2. 퇴직급여</t>
    <phoneticPr fontId="19" type="noConversion"/>
  </si>
  <si>
    <t xml:space="preserve">  3. 4대보험</t>
    <phoneticPr fontId="19" type="noConversion"/>
  </si>
  <si>
    <t>%</t>
    <phoneticPr fontId="19" type="noConversion"/>
  </si>
  <si>
    <t xml:space="preserve">  4. 복지카드</t>
    <phoneticPr fontId="19" type="noConversion"/>
  </si>
  <si>
    <t>원</t>
    <phoneticPr fontId="19" type="noConversion"/>
  </si>
  <si>
    <t xml:space="preserve">  5. 건강검진</t>
    <phoneticPr fontId="19" type="noConversion"/>
  </si>
  <si>
    <t>부서운영비</t>
    <phoneticPr fontId="19" type="noConversion"/>
  </si>
  <si>
    <t xml:space="preserve"> o 부서운영비</t>
    <phoneticPr fontId="19" type="noConversion"/>
  </si>
  <si>
    <t>소모품비</t>
    <phoneticPr fontId="19" type="noConversion"/>
  </si>
  <si>
    <t>개*</t>
    <phoneticPr fontId="19" type="noConversion"/>
  </si>
  <si>
    <t>업무추진비</t>
    <phoneticPr fontId="19" type="noConversion"/>
  </si>
  <si>
    <t xml:space="preserve"> o 업무추진비 </t>
    <phoneticPr fontId="19" type="noConversion"/>
  </si>
  <si>
    <t>여비교통비</t>
    <phoneticPr fontId="19" type="noConversion"/>
  </si>
  <si>
    <t xml:space="preserve"> o 여비교통비</t>
    <phoneticPr fontId="19" type="noConversion"/>
  </si>
  <si>
    <t xml:space="preserve"> o 유류비, 주차료 등</t>
    <phoneticPr fontId="19" type="noConversion"/>
  </si>
  <si>
    <t xml:space="preserve"> o SMS 구입 및 우편물 발송 등</t>
    <phoneticPr fontId="19" type="noConversion"/>
  </si>
  <si>
    <t>매개자 발굴 및 육성기획사업</t>
    <phoneticPr fontId="19" type="noConversion"/>
  </si>
  <si>
    <t>지급수수료</t>
    <phoneticPr fontId="19" type="noConversion"/>
  </si>
  <si>
    <t>지원비</t>
    <phoneticPr fontId="19" type="noConversion"/>
  </si>
  <si>
    <t xml:space="preserve"> o 프로젝트 모임</t>
    <phoneticPr fontId="19" type="noConversion"/>
  </si>
  <si>
    <t>모임</t>
    <phoneticPr fontId="19" type="noConversion"/>
  </si>
  <si>
    <t>행사운영비</t>
    <phoneticPr fontId="19" type="noConversion"/>
  </si>
  <si>
    <t xml:space="preserve"> o 워크숍, 사업공유회 운영 등</t>
    <phoneticPr fontId="19" type="noConversion"/>
  </si>
  <si>
    <t>회의운영비</t>
    <phoneticPr fontId="19" type="noConversion"/>
  </si>
  <si>
    <t xml:space="preserve"> o 운영 회의, 모니터링 및 컨설팅 진행 등</t>
    <phoneticPr fontId="19" type="noConversion"/>
  </si>
  <si>
    <t>비평연구 및 교육콘텐츠 강화</t>
    <phoneticPr fontId="19" type="noConversion"/>
  </si>
  <si>
    <t xml:space="preserve"> o 매개자 역량강화 프로그램 결과자료집 제작</t>
    <phoneticPr fontId="19" type="noConversion"/>
  </si>
  <si>
    <t>지급임차료</t>
    <phoneticPr fontId="19" type="noConversion"/>
  </si>
  <si>
    <t>홍보 및 아카이빙</t>
    <phoneticPr fontId="19" type="noConversion"/>
  </si>
  <si>
    <t xml:space="preserve"> o 센터 연감 제작</t>
    <phoneticPr fontId="19" type="noConversion"/>
  </si>
  <si>
    <t>자료구입비</t>
    <phoneticPr fontId="19" type="noConversion"/>
  </si>
  <si>
    <t xml:space="preserve"> o 문화예술교육 참고 자료 구입 등</t>
    <phoneticPr fontId="19" type="noConversion"/>
  </si>
  <si>
    <t xml:space="preserve"> o 홈페이지 운영 관련 회의 등</t>
    <phoneticPr fontId="19" type="noConversion"/>
  </si>
  <si>
    <t xml:space="preserve">꿈다락 토요문화학교 </t>
    <phoneticPr fontId="19" type="noConversion"/>
  </si>
  <si>
    <t>인건비</t>
    <phoneticPr fontId="19" type="noConversion"/>
  </si>
  <si>
    <t xml:space="preserve">  6. 보조인력</t>
    <phoneticPr fontId="19" type="noConversion"/>
  </si>
  <si>
    <t>도서인쇄비</t>
    <phoneticPr fontId="19" type="noConversion"/>
  </si>
  <si>
    <t xml:space="preserve">  1. 결과자료집 제작</t>
    <phoneticPr fontId="19" type="noConversion"/>
  </si>
  <si>
    <t>부</t>
    <phoneticPr fontId="19" type="noConversion"/>
  </si>
  <si>
    <t xml:space="preserve">  2. 프로그램 홍보물 등 제작</t>
    <phoneticPr fontId="19" type="noConversion"/>
  </si>
  <si>
    <t xml:space="preserve"> o 소모품비</t>
    <phoneticPr fontId="19" type="noConversion"/>
  </si>
  <si>
    <t xml:space="preserve">   1. 사전워크숍 강사 초빙</t>
    <phoneticPr fontId="19" type="noConversion"/>
  </si>
  <si>
    <t xml:space="preserve">   2. 결과워크숍 강사 초빙</t>
    <phoneticPr fontId="19" type="noConversion"/>
  </si>
  <si>
    <t xml:space="preserve">   3. 일반공모 심의 등</t>
    <phoneticPr fontId="19" type="noConversion"/>
  </si>
  <si>
    <t>일</t>
    <phoneticPr fontId="19" type="noConversion"/>
  </si>
  <si>
    <t xml:space="preserve">   4. 꿈다락 토요문화학교 운영 자문 등</t>
    <phoneticPr fontId="19" type="noConversion"/>
  </si>
  <si>
    <t xml:space="preserve">   5. 원고료 및 교정 교열 등</t>
    <phoneticPr fontId="19" type="noConversion"/>
  </si>
  <si>
    <t xml:space="preserve">   6. 단기 용역(아르바이트)</t>
    <phoneticPr fontId="19" type="noConversion"/>
  </si>
  <si>
    <t>단체</t>
    <phoneticPr fontId="19" type="noConversion"/>
  </si>
  <si>
    <t xml:space="preserve"> o SMS 구입 및 우편 발송</t>
    <phoneticPr fontId="19" type="noConversion"/>
  </si>
  <si>
    <t xml:space="preserve"> o 사업운영회의 식음료</t>
    <phoneticPr fontId="19" type="noConversion"/>
  </si>
  <si>
    <t>지역문화팀</t>
    <phoneticPr fontId="19" type="noConversion"/>
  </si>
  <si>
    <t>문화누리</t>
    <phoneticPr fontId="19" type="noConversion"/>
  </si>
  <si>
    <t>통합문화이용권(문화누리카드)</t>
    <phoneticPr fontId="19" type="noConversion"/>
  </si>
  <si>
    <t xml:space="preserve"> o 카드발급</t>
    <phoneticPr fontId="19" type="noConversion"/>
  </si>
  <si>
    <t>매</t>
    <phoneticPr fontId="19" type="noConversion"/>
  </si>
  <si>
    <t>문화나눔센터 운영</t>
    <phoneticPr fontId="19" type="noConversion"/>
  </si>
  <si>
    <t>급여</t>
    <phoneticPr fontId="19" type="noConversion"/>
  </si>
  <si>
    <t>명</t>
    <phoneticPr fontId="19" type="noConversion"/>
  </si>
  <si>
    <t>퇴직급여</t>
    <phoneticPr fontId="19" type="noConversion"/>
  </si>
  <si>
    <t>복리후생비</t>
    <phoneticPr fontId="19" type="noConversion"/>
  </si>
  <si>
    <t xml:space="preserve"> o 문화누리카드 발급 및 이용안내 홍보물 제작</t>
    <phoneticPr fontId="19" type="noConversion"/>
  </si>
  <si>
    <t>소모품</t>
    <phoneticPr fontId="19" type="noConversion"/>
  </si>
  <si>
    <t xml:space="preserve"> o 사무용품 등</t>
    <phoneticPr fontId="18" type="noConversion"/>
  </si>
  <si>
    <t xml:space="preserve"> o 출장비</t>
    <phoneticPr fontId="19" type="noConversion"/>
  </si>
  <si>
    <t xml:space="preserve"> o 가맹점 신규발굴 및 콜센터운영 보조인력</t>
    <phoneticPr fontId="19" type="noConversion"/>
  </si>
  <si>
    <t xml:space="preserve"> o 사무기기 임차</t>
    <phoneticPr fontId="19" type="noConversion"/>
  </si>
  <si>
    <t xml:space="preserve"> o 우편물 및 SMS발송</t>
    <phoneticPr fontId="19" type="noConversion"/>
  </si>
  <si>
    <t>회*</t>
    <phoneticPr fontId="19" type="noConversion"/>
  </si>
  <si>
    <t>건</t>
    <phoneticPr fontId="19" type="noConversion"/>
  </si>
  <si>
    <t xml:space="preserve"> o 카드이용촉진프로그램 개발/운영</t>
    <phoneticPr fontId="19" type="noConversion"/>
  </si>
  <si>
    <t xml:space="preserve"> o 회의 및 간담회추진, 식음료비 등</t>
    <phoneticPr fontId="19" type="noConversion"/>
  </si>
  <si>
    <t>경기상상캠퍼스 운영</t>
    <phoneticPr fontId="19" type="noConversion"/>
  </si>
  <si>
    <t>청년문화 활성화</t>
    <phoneticPr fontId="19" type="noConversion"/>
  </si>
  <si>
    <t xml:space="preserve"> o 홍보물, 자료집 제작(컨설팅, 교육, 청년실험프로젝트 등)</t>
    <phoneticPr fontId="19" type="noConversion"/>
  </si>
  <si>
    <t xml:space="preserve"> o 운영물품 (기념품 및 소모품)</t>
    <phoneticPr fontId="19" type="noConversion"/>
  </si>
  <si>
    <t xml:space="preserve"> o 국내출장</t>
    <phoneticPr fontId="19" type="noConversion"/>
  </si>
  <si>
    <t xml:space="preserve"> o 강사, 심사, 자문 사례비</t>
    <phoneticPr fontId="19" type="noConversion"/>
  </si>
  <si>
    <t>명*</t>
    <phoneticPr fontId="25" type="noConversion"/>
  </si>
  <si>
    <t xml:space="preserve"> </t>
    <phoneticPr fontId="25" type="noConversion"/>
  </si>
  <si>
    <t xml:space="preserve">  1. 청년실험프로젝트 OT, 현장설명회, 멤버쉽 교류행사, 테스트마켓 등</t>
    <phoneticPr fontId="19" type="noConversion"/>
  </si>
  <si>
    <t xml:space="preserve"> o 회의운영비(컨설팅, 교육, 심사진행 등)</t>
    <phoneticPr fontId="19" type="noConversion"/>
  </si>
  <si>
    <t>청년실험실</t>
    <phoneticPr fontId="19" type="noConversion"/>
  </si>
  <si>
    <t>지원금</t>
    <phoneticPr fontId="19" type="noConversion"/>
  </si>
  <si>
    <t xml:space="preserve"> o</t>
    <phoneticPr fontId="19" type="noConversion"/>
  </si>
  <si>
    <t>계</t>
    <phoneticPr fontId="19" type="noConversion"/>
  </si>
  <si>
    <t>계</t>
    <phoneticPr fontId="19" type="noConversion"/>
  </si>
  <si>
    <t>실험실(LAB) 프로젝트 운영</t>
    <phoneticPr fontId="19" type="noConversion"/>
  </si>
  <si>
    <t>라이브클럽 프로그램 운영</t>
    <phoneticPr fontId="19" type="noConversion"/>
  </si>
  <si>
    <t xml:space="preserve"> o 홍보물 제작비</t>
    <phoneticPr fontId="19" type="noConversion"/>
  </si>
  <si>
    <t>홍보물 제작(통합브로셔 제작, 온라인 배너 등)</t>
    <phoneticPr fontId="19" type="noConversion"/>
  </si>
  <si>
    <t xml:space="preserve"> o 목공랩, 미디어랩 등 소모품비</t>
    <phoneticPr fontId="19" type="noConversion"/>
  </si>
  <si>
    <t>실험실(LAB) 기기관리 및 소모품 구입</t>
    <phoneticPr fontId="19" type="noConversion"/>
  </si>
  <si>
    <t xml:space="preserve"> o 청년실험실,라이브클럽 장비 구입 등</t>
    <phoneticPr fontId="19" type="noConversion"/>
  </si>
  <si>
    <t>실험실(LAB) 및 라이브클럽 기기장비 구입 등</t>
    <phoneticPr fontId="19" type="noConversion"/>
  </si>
  <si>
    <t>식</t>
    <phoneticPr fontId="25" type="noConversion"/>
  </si>
  <si>
    <t>=</t>
    <phoneticPr fontId="18" type="noConversion"/>
  </si>
  <si>
    <t>실험실(LAB) 강사료, 테크니컬 워크숍 사례비 등</t>
    <phoneticPr fontId="19" type="noConversion"/>
  </si>
  <si>
    <t>심의운영, 전문가 자문 사례비 등</t>
    <phoneticPr fontId="19" type="noConversion"/>
  </si>
  <si>
    <t>원*</t>
    <phoneticPr fontId="19" type="noConversion"/>
  </si>
  <si>
    <t>명</t>
    <phoneticPr fontId="19" type="noConversion"/>
  </si>
  <si>
    <t>사업기록(영상 및 사진촬영) 사례비</t>
    <phoneticPr fontId="19" type="noConversion"/>
  </si>
  <si>
    <t>회</t>
    <phoneticPr fontId="25" type="noConversion"/>
  </si>
  <si>
    <t>=</t>
    <phoneticPr fontId="18" type="noConversion"/>
  </si>
  <si>
    <t>통신비</t>
    <phoneticPr fontId="19" type="noConversion"/>
  </si>
  <si>
    <t xml:space="preserve"> o 문자발송, 우편발송 등</t>
    <phoneticPr fontId="19" type="noConversion"/>
  </si>
  <si>
    <t>식</t>
    <phoneticPr fontId="25" type="noConversion"/>
  </si>
  <si>
    <t>행사운영비</t>
    <phoneticPr fontId="19" type="noConversion"/>
  </si>
  <si>
    <t xml:space="preserve"> o 청년실험실 결과 공유회, 특별행사 개최 등</t>
    <phoneticPr fontId="19" type="noConversion"/>
  </si>
  <si>
    <t>결과공유회, 특별행사 개최 등</t>
    <phoneticPr fontId="19" type="noConversion"/>
  </si>
  <si>
    <t>회의운영비</t>
    <phoneticPr fontId="19" type="noConversion"/>
  </si>
  <si>
    <t xml:space="preserve"> o 회의운영비(운영회의, 실무회의, 간담회 포함)</t>
    <phoneticPr fontId="19" type="noConversion"/>
  </si>
  <si>
    <t>회</t>
    <phoneticPr fontId="19" type="noConversion"/>
  </si>
  <si>
    <t>=</t>
    <phoneticPr fontId="19" type="noConversion"/>
  </si>
  <si>
    <t>다사리문화기획학교</t>
    <phoneticPr fontId="19" type="noConversion"/>
  </si>
  <si>
    <t>도서인쇄비</t>
    <phoneticPr fontId="19" type="noConversion"/>
  </si>
  <si>
    <t xml:space="preserve"> o 결과자료집 제작, 홍보물 제작비 등</t>
    <phoneticPr fontId="19" type="noConversion"/>
  </si>
  <si>
    <t>식</t>
    <phoneticPr fontId="19" type="noConversion"/>
  </si>
  <si>
    <t>소모품비</t>
    <phoneticPr fontId="19" type="noConversion"/>
  </si>
  <si>
    <t xml:space="preserve"> o 운영물품 구입</t>
    <phoneticPr fontId="19" type="noConversion"/>
  </si>
  <si>
    <t>여비교통비</t>
    <phoneticPr fontId="19" type="noConversion"/>
  </si>
  <si>
    <t xml:space="preserve"> o 국내출장 여비</t>
    <phoneticPr fontId="19" type="noConversion"/>
  </si>
  <si>
    <t>지급수수료</t>
    <phoneticPr fontId="19" type="noConversion"/>
  </si>
  <si>
    <t xml:space="preserve"> o 계</t>
    <phoneticPr fontId="19" type="noConversion"/>
  </si>
  <si>
    <t xml:space="preserve"> </t>
    <phoneticPr fontId="25" type="noConversion"/>
  </si>
  <si>
    <t>월</t>
    <phoneticPr fontId="25" type="noConversion"/>
  </si>
  <si>
    <t>명*</t>
    <phoneticPr fontId="19" type="noConversion"/>
  </si>
  <si>
    <t>지급임차료</t>
    <phoneticPr fontId="19" type="noConversion"/>
  </si>
  <si>
    <t xml:space="preserve"> o 다사리행사 장비 임차</t>
    <phoneticPr fontId="19" type="noConversion"/>
  </si>
  <si>
    <t>지원비</t>
    <phoneticPr fontId="19" type="noConversion"/>
  </si>
  <si>
    <t xml:space="preserve"> o 프로젝트 실행 지원비</t>
    <phoneticPr fontId="19" type="noConversion"/>
  </si>
  <si>
    <t xml:space="preserve"> o 우편발송비 등</t>
    <phoneticPr fontId="19" type="noConversion"/>
  </si>
  <si>
    <t>교류 및 네트워크</t>
    <phoneticPr fontId="19" type="noConversion"/>
  </si>
  <si>
    <t xml:space="preserve"> o 운영물품 구입</t>
    <phoneticPr fontId="19" type="noConversion"/>
  </si>
  <si>
    <t xml:space="preserve"> o 다사리행사 장비 임차</t>
    <phoneticPr fontId="19" type="noConversion"/>
  </si>
  <si>
    <t>교류행사 장비 임차</t>
    <phoneticPr fontId="19" type="noConversion"/>
  </si>
  <si>
    <t>액티브 시티즌 지원비</t>
    <phoneticPr fontId="19" type="noConversion"/>
  </si>
  <si>
    <t xml:space="preserve"> o 우편발송비 등</t>
    <phoneticPr fontId="19" type="noConversion"/>
  </si>
  <si>
    <t>청년문화 페스티벌</t>
    <phoneticPr fontId="19" type="noConversion"/>
  </si>
  <si>
    <t xml:space="preserve"> o 결과보고집 제작 및 인쇄</t>
    <phoneticPr fontId="19" type="noConversion"/>
  </si>
  <si>
    <t xml:space="preserve"> o 프로그램 운영 청년단체 기획 지원비</t>
    <phoneticPr fontId="19" type="noConversion"/>
  </si>
  <si>
    <t xml:space="preserve"> o 계 </t>
    <phoneticPr fontId="19" type="noConversion"/>
  </si>
  <si>
    <t xml:space="preserve"> o 행사 집기임차 </t>
    <phoneticPr fontId="19" type="noConversion"/>
  </si>
  <si>
    <t>식'</t>
    <phoneticPr fontId="19" type="noConversion"/>
  </si>
  <si>
    <t xml:space="preserve"> o 회의운영비(운영회의, 실무회의, 간담회 포함)</t>
    <phoneticPr fontId="19" type="noConversion"/>
  </si>
  <si>
    <t>포레포레</t>
    <phoneticPr fontId="19" type="noConversion"/>
  </si>
  <si>
    <t xml:space="preserve"> o 간담회 및 회의운영</t>
    <phoneticPr fontId="19" type="noConversion"/>
  </si>
  <si>
    <t>플랫폼1986</t>
    <phoneticPr fontId="19" type="noConversion"/>
  </si>
  <si>
    <t xml:space="preserve"> o 광고선전비</t>
    <phoneticPr fontId="19" type="noConversion"/>
  </si>
  <si>
    <t xml:space="preserve"> o 홍보물 및 아카이브자료 제작</t>
    <phoneticPr fontId="19" type="noConversion"/>
  </si>
  <si>
    <t xml:space="preserve"> o 미디어 콘텐츠 제작 및 전시</t>
    <phoneticPr fontId="19" type="noConversion"/>
  </si>
  <si>
    <t xml:space="preserve">  1. 외부 환경 개선 </t>
    <phoneticPr fontId="19" type="noConversion"/>
  </si>
  <si>
    <t xml:space="preserve">  2. 내부 공간 조성(카페, 옥상, 전시, 작업스튜디오 등)</t>
    <phoneticPr fontId="19" type="noConversion"/>
  </si>
  <si>
    <t xml:space="preserve">  3. 기획프로그램 제작</t>
    <phoneticPr fontId="31" type="noConversion"/>
  </si>
  <si>
    <t xml:space="preserve">  1. 디자인, 프로그램 운영, 심의, 자문  등</t>
    <phoneticPr fontId="19" type="noConversion"/>
  </si>
  <si>
    <t xml:space="preserve">  2. 공연, 강연, 교육, 단기인력 사례비 등</t>
    <phoneticPr fontId="19" type="noConversion"/>
  </si>
  <si>
    <t xml:space="preserve"> o 회의운영비(컨설팅, 교육, 심사진행 등)</t>
    <phoneticPr fontId="19" type="noConversion"/>
  </si>
  <si>
    <t>회</t>
    <phoneticPr fontId="25" type="noConversion"/>
  </si>
  <si>
    <t>인</t>
    <phoneticPr fontId="25" type="noConversion"/>
  </si>
  <si>
    <t>개월</t>
    <phoneticPr fontId="25" type="noConversion"/>
  </si>
  <si>
    <t>곳*</t>
    <phoneticPr fontId="19" type="noConversion"/>
  </si>
  <si>
    <t xml:space="preserve"> o  계</t>
    <phoneticPr fontId="19" type="noConversion"/>
  </si>
  <si>
    <t xml:space="preserve"> o 가구 및 장비구입</t>
    <phoneticPr fontId="19" type="noConversion"/>
  </si>
  <si>
    <t xml:space="preserve"> o 우편 및 문자발송</t>
    <phoneticPr fontId="19" type="noConversion"/>
  </si>
  <si>
    <t>공간운영</t>
    <phoneticPr fontId="19" type="noConversion"/>
  </si>
  <si>
    <t xml:space="preserve"> o SNS 광고</t>
    <phoneticPr fontId="19" type="noConversion"/>
  </si>
  <si>
    <t>보험료</t>
    <phoneticPr fontId="19" type="noConversion"/>
  </si>
  <si>
    <t>대*</t>
    <phoneticPr fontId="19" type="noConversion"/>
  </si>
  <si>
    <t xml:space="preserve"> o 업무관련 자료구입(물가정보)</t>
    <phoneticPr fontId="19" type="noConversion"/>
  </si>
  <si>
    <t>종*</t>
    <phoneticPr fontId="25" type="noConversion"/>
  </si>
  <si>
    <t xml:space="preserve"> o 자문회의, 간담회 등</t>
    <phoneticPr fontId="19" type="noConversion"/>
  </si>
  <si>
    <t>경기상상캠퍼스 조성</t>
    <phoneticPr fontId="19" type="noConversion"/>
  </si>
  <si>
    <t>공간 리모델링</t>
    <phoneticPr fontId="19" type="noConversion"/>
  </si>
  <si>
    <t xml:space="preserve">   1. 리모델링 공사(건축,기계,전기,소방,통신)</t>
    <phoneticPr fontId="19" type="noConversion"/>
  </si>
  <si>
    <t xml:space="preserve">   2. 설계비</t>
    <phoneticPr fontId="19" type="noConversion"/>
  </si>
  <si>
    <t xml:space="preserve">   3. 감리비(건축,전기)</t>
    <phoneticPr fontId="19" type="noConversion"/>
  </si>
  <si>
    <t xml:space="preserve">   4. 기타용역비(석면철거, 구조진단)</t>
    <phoneticPr fontId="19" type="noConversion"/>
  </si>
  <si>
    <t xml:space="preserve">   5. 공간 인테리어</t>
    <phoneticPr fontId="19" type="noConversion"/>
  </si>
  <si>
    <t>제2청년문화창작소 운영</t>
    <phoneticPr fontId="19" type="noConversion"/>
  </si>
  <si>
    <t xml:space="preserve"> o 아카이브 프로젝트 소모품비 등</t>
    <phoneticPr fontId="19" type="noConversion"/>
  </si>
  <si>
    <t xml:space="preserve"> o 인건비(4대보험, 퇴직금, 휴일수당 포함)</t>
    <phoneticPr fontId="19" type="noConversion"/>
  </si>
  <si>
    <t xml:space="preserve"> o 창직실험프로젝트 지원비</t>
    <phoneticPr fontId="19" type="noConversion"/>
  </si>
  <si>
    <t xml:space="preserve"> o 창직실험 결과 공유회 등</t>
    <phoneticPr fontId="19" type="noConversion"/>
  </si>
  <si>
    <t xml:space="preserve"> o 심사비, 자문회의, 간담회 등</t>
    <phoneticPr fontId="19" type="noConversion"/>
  </si>
  <si>
    <t>북부문화사업단</t>
    <phoneticPr fontId="19" type="noConversion"/>
  </si>
  <si>
    <t>한국문화예술위원회지원사업</t>
    <phoneticPr fontId="19" type="noConversion"/>
  </si>
  <si>
    <t>인생나눔교실</t>
    <phoneticPr fontId="19" type="noConversion"/>
  </si>
  <si>
    <t>경기창작센터</t>
    <phoneticPr fontId="19" type="noConversion"/>
  </si>
  <si>
    <t>화성지역 문화발전</t>
    <phoneticPr fontId="19" type="noConversion"/>
  </si>
  <si>
    <t xml:space="preserve"> o 악기 및 음식 강습 등</t>
    <phoneticPr fontId="19" type="noConversion"/>
  </si>
  <si>
    <t>ㅇ계</t>
    <phoneticPr fontId="19" type="noConversion"/>
  </si>
  <si>
    <t xml:space="preserve">   1. 경기만 에코뮤지엄 민관협치 기반 조성 </t>
    <phoneticPr fontId="19" type="noConversion"/>
  </si>
  <si>
    <t>식*</t>
    <phoneticPr fontId="19" type="noConversion"/>
  </si>
  <si>
    <t xml:space="preserve">   2. 통합브랜드 온오프라인 홍보</t>
    <phoneticPr fontId="19" type="noConversion"/>
  </si>
  <si>
    <t xml:space="preserve">   1. 3개 시군 연계 지원사업</t>
    <phoneticPr fontId="19" type="noConversion"/>
  </si>
  <si>
    <t xml:space="preserve">   2. 홍보 및 기획발굴사업</t>
    <phoneticPr fontId="19" type="noConversion"/>
  </si>
  <si>
    <t xml:space="preserve">   2. 거점답사 등 여비</t>
    <phoneticPr fontId="19" type="noConversion"/>
  </si>
  <si>
    <t>o 계약직 인건비</t>
    <phoneticPr fontId="19" type="noConversion"/>
  </si>
  <si>
    <t>2018제부도 명소화 문화재생</t>
    <phoneticPr fontId="19" type="noConversion"/>
  </si>
  <si>
    <t>o 제부도 명소화 디자인 사업(3차년)</t>
    <phoneticPr fontId="19" type="noConversion"/>
  </si>
  <si>
    <t>ㅇ 계</t>
    <phoneticPr fontId="19" type="noConversion"/>
  </si>
  <si>
    <t xml:space="preserve">   1. 홍보영상 촬영 등 </t>
    <phoneticPr fontId="19" type="noConversion"/>
  </si>
  <si>
    <t xml:space="preserve">   2. 업무 관련 회의 및 사업 심의</t>
    <phoneticPr fontId="19" type="noConversion"/>
  </si>
  <si>
    <t xml:space="preserve">회의운영비 </t>
    <phoneticPr fontId="19" type="noConversion"/>
  </si>
  <si>
    <t xml:space="preserve">o 업무협의 및 사업 심사 등 </t>
    <phoneticPr fontId="19" type="noConversion"/>
  </si>
  <si>
    <t>o 관련출장 등</t>
    <phoneticPr fontId="19" type="noConversion"/>
  </si>
  <si>
    <t>2018시흥바라지 에코뮤지엄</t>
    <phoneticPr fontId="19" type="noConversion"/>
  </si>
  <si>
    <t>경기문화재연구원(외부재원)</t>
    <phoneticPr fontId="19" type="noConversion"/>
  </si>
  <si>
    <t>경기문화재연구원</t>
    <phoneticPr fontId="19" type="noConversion"/>
  </si>
  <si>
    <t>2018 경기도문화재 원형기록화</t>
    <phoneticPr fontId="19" type="noConversion"/>
  </si>
  <si>
    <t>인건비</t>
    <phoneticPr fontId="18" type="noConversion"/>
  </si>
  <si>
    <t xml:space="preserve"> o 보조원인건비</t>
    <phoneticPr fontId="19" type="noConversion"/>
  </si>
  <si>
    <t xml:space="preserve"> o 인쇄비</t>
    <phoneticPr fontId="19" type="noConversion"/>
  </si>
  <si>
    <t>식 *</t>
    <phoneticPr fontId="19" type="noConversion"/>
  </si>
  <si>
    <t xml:space="preserve"> o 사무용품</t>
    <phoneticPr fontId="19" type="noConversion"/>
  </si>
  <si>
    <t xml:space="preserve"> o 국내 여비</t>
    <phoneticPr fontId="19" type="noConversion"/>
  </si>
  <si>
    <t>명 *</t>
    <phoneticPr fontId="19" type="noConversion"/>
  </si>
  <si>
    <t>지급수수료</t>
    <phoneticPr fontId="18" type="noConversion"/>
  </si>
  <si>
    <t xml:space="preserve">   1. 윤문감수</t>
    <phoneticPr fontId="19" type="noConversion"/>
  </si>
  <si>
    <t xml:space="preserve">   2. 자문회의수당</t>
    <phoneticPr fontId="19" type="noConversion"/>
  </si>
  <si>
    <t xml:space="preserve"> o 사진촬영</t>
    <phoneticPr fontId="19" type="noConversion"/>
  </si>
  <si>
    <t>계</t>
    <phoneticPr fontId="31" type="noConversion"/>
  </si>
  <si>
    <t xml:space="preserve">   1 .사진촬영</t>
    <phoneticPr fontId="19" type="noConversion"/>
  </si>
  <si>
    <t>컷</t>
    <phoneticPr fontId="19" type="noConversion"/>
  </si>
  <si>
    <t xml:space="preserve">   2. 무형문화재 영상 제작</t>
    <phoneticPr fontId="19" type="noConversion"/>
  </si>
  <si>
    <t xml:space="preserve"> o 컴퓨터</t>
    <phoneticPr fontId="19" type="noConversion"/>
  </si>
  <si>
    <t xml:space="preserve"> o 회의비</t>
    <phoneticPr fontId="19" type="noConversion"/>
  </si>
  <si>
    <t>2018 남한산성 옛길 활용 및 홍보</t>
    <phoneticPr fontId="19" type="noConversion"/>
  </si>
  <si>
    <t>2018 남한산성 옛길 활용 및 홍보</t>
  </si>
  <si>
    <t>ㅇ사무용품 구입비</t>
    <phoneticPr fontId="19" type="noConversion"/>
  </si>
  <si>
    <t>ㅇ국내 여비</t>
    <phoneticPr fontId="19" type="noConversion"/>
  </si>
  <si>
    <t>경기도 항일유적 안내판 및 표지판 설치</t>
    <phoneticPr fontId="19" type="noConversion"/>
  </si>
  <si>
    <t xml:space="preserve">   1. 인건비</t>
    <phoneticPr fontId="19" type="noConversion"/>
  </si>
  <si>
    <t xml:space="preserve">   2. 4대 보험료</t>
    <phoneticPr fontId="19" type="noConversion"/>
  </si>
  <si>
    <t xml:space="preserve">   1. 원고료</t>
    <phoneticPr fontId="19" type="noConversion"/>
  </si>
  <si>
    <t xml:space="preserve">   2. 감수료</t>
    <phoneticPr fontId="19" type="noConversion"/>
  </si>
  <si>
    <t xml:space="preserve">   3. 대행수수료</t>
    <phoneticPr fontId="19" type="noConversion"/>
  </si>
  <si>
    <t xml:space="preserve">   1. 디자인</t>
    <phoneticPr fontId="19" type="noConversion"/>
  </si>
  <si>
    <t xml:space="preserve">   2. 안내판 제작/설치</t>
    <phoneticPr fontId="19" type="noConversion"/>
  </si>
  <si>
    <t xml:space="preserve">   3. 표지판 제작/설치</t>
    <phoneticPr fontId="19" type="noConversion"/>
  </si>
  <si>
    <t xml:space="preserve">   1. 조사차량 유류비</t>
    <phoneticPr fontId="19" type="noConversion"/>
  </si>
  <si>
    <t xml:space="preserve">   2. 조사차량 정기주차비</t>
    <phoneticPr fontId="19" type="noConversion"/>
  </si>
  <si>
    <t xml:space="preserve">   3. 하이패스 충전비</t>
    <phoneticPr fontId="19" type="noConversion"/>
  </si>
  <si>
    <t>경기도박물관(외부재원)</t>
    <phoneticPr fontId="19" type="noConversion"/>
  </si>
  <si>
    <t>경기도박물관</t>
    <phoneticPr fontId="19" type="noConversion"/>
  </si>
  <si>
    <t>신재생에너지 보급지원</t>
    <phoneticPr fontId="19" type="noConversion"/>
  </si>
  <si>
    <t>경기도미술관(외부재원)</t>
    <phoneticPr fontId="19" type="noConversion"/>
  </si>
  <si>
    <t>경기도미술관</t>
    <phoneticPr fontId="19" type="noConversion"/>
  </si>
  <si>
    <t>문화관광 콘텐츠 공공미술</t>
    <phoneticPr fontId="19" type="noConversion"/>
  </si>
  <si>
    <t>ㅇ사업 결과보고서</t>
    <phoneticPr fontId="19" type="noConversion"/>
  </si>
  <si>
    <t xml:space="preserve">   1. 작가선정위원회 운영</t>
    <phoneticPr fontId="19" type="noConversion"/>
  </si>
  <si>
    <t xml:space="preserve">   2. 사업비 정산 회계법인 수수료</t>
    <phoneticPr fontId="19" type="noConversion"/>
  </si>
  <si>
    <t xml:space="preserve">   3. 경기도미술관 기획수수료</t>
    <phoneticPr fontId="19" type="noConversion"/>
  </si>
  <si>
    <t xml:space="preserve">   1. 작가창작 지원금</t>
    <phoneticPr fontId="19" type="noConversion"/>
  </si>
  <si>
    <t xml:space="preserve">   2. 작품제작 기초공사</t>
    <phoneticPr fontId="19" type="noConversion"/>
  </si>
  <si>
    <t xml:space="preserve">   3. 작품제작비</t>
    <phoneticPr fontId="19" type="noConversion"/>
  </si>
  <si>
    <t xml:space="preserve">   4. 작품제작 영상촬영 및 편집</t>
    <phoneticPr fontId="19" type="noConversion"/>
  </si>
  <si>
    <t xml:space="preserve">   5. 작품안내 사인물 제작</t>
    <phoneticPr fontId="19" type="noConversion"/>
  </si>
  <si>
    <t xml:space="preserve">   6. 조형작품 경관조명 공사</t>
    <phoneticPr fontId="19" type="noConversion"/>
  </si>
  <si>
    <t xml:space="preserve">   7. 전기공사 안전점검</t>
    <phoneticPr fontId="19" type="noConversion"/>
  </si>
  <si>
    <t xml:space="preserve">   8. 업무 보조인력</t>
    <phoneticPr fontId="19" type="noConversion"/>
  </si>
  <si>
    <t>ㅇ협력회의</t>
    <phoneticPr fontId="19" type="noConversion"/>
  </si>
  <si>
    <t>미술관 특별사업</t>
    <phoneticPr fontId="19" type="noConversion"/>
  </si>
  <si>
    <t>화성시 전곡항 공공미술</t>
    <phoneticPr fontId="19" type="noConversion"/>
  </si>
  <si>
    <t>지급용역료</t>
    <phoneticPr fontId="18" type="noConversion"/>
  </si>
  <si>
    <t>시흥시 오이도 포토존</t>
    <phoneticPr fontId="19" type="noConversion"/>
  </si>
  <si>
    <t>경기교육나눔사업</t>
    <phoneticPr fontId="19" type="noConversion"/>
  </si>
  <si>
    <t>도서인쇄비</t>
    <phoneticPr fontId="18" type="noConversion"/>
  </si>
  <si>
    <t>2017 경기도 청년신진작가 공모전</t>
    <phoneticPr fontId="19" type="noConversion"/>
  </si>
  <si>
    <t>임진각생태탐방로 전시콘텐츠</t>
    <phoneticPr fontId="19" type="noConversion"/>
  </si>
  <si>
    <t>동두천시 K-Rock 빌리지 조성</t>
    <phoneticPr fontId="19" type="noConversion"/>
  </si>
  <si>
    <t>캠프보산 거리예술 공공미술</t>
    <phoneticPr fontId="19" type="noConversion"/>
  </si>
  <si>
    <t>ㅇ공연 전시장 구성 소모품</t>
    <phoneticPr fontId="19" type="noConversion"/>
  </si>
  <si>
    <t xml:space="preserve">   1. 업무협의 및 공연운영 출장비</t>
    <phoneticPr fontId="19" type="noConversion"/>
  </si>
  <si>
    <t xml:space="preserve">   2. 해외작가 항공권 지급</t>
    <phoneticPr fontId="19" type="noConversion"/>
  </si>
  <si>
    <t xml:space="preserve">   3. 해외작가 숙박료 지급</t>
    <phoneticPr fontId="19" type="noConversion"/>
  </si>
  <si>
    <t xml:space="preserve">   4. 국내 업무출장비</t>
    <phoneticPr fontId="19" type="noConversion"/>
  </si>
  <si>
    <t xml:space="preserve">   1. 시범공연 연출 및 기획연출</t>
    <phoneticPr fontId="19" type="noConversion"/>
  </si>
  <si>
    <t xml:space="preserve">   2. 경기도미술관 기획수수료</t>
    <phoneticPr fontId="19" type="noConversion"/>
  </si>
  <si>
    <t xml:space="preserve">   1. 공연대행료(출연료, 기획, 운영)</t>
    <phoneticPr fontId="19" type="noConversion"/>
  </si>
  <si>
    <t xml:space="preserve">   2. 공연 안전요원 및 운영 대행</t>
    <phoneticPr fontId="19" type="noConversion"/>
  </si>
  <si>
    <t xml:space="preserve">   3. 공연 전시 기록영상촬영 및 편집</t>
    <phoneticPr fontId="19" type="noConversion"/>
  </si>
  <si>
    <t xml:space="preserve">   4. 공연 홍보대행 용역</t>
    <phoneticPr fontId="19" type="noConversion"/>
  </si>
  <si>
    <t xml:space="preserve">   5. 홍보 전시관 특별전시 구성</t>
    <phoneticPr fontId="19" type="noConversion"/>
  </si>
  <si>
    <t xml:space="preserve">   6. 교각 작품제작 작가 창작비</t>
    <phoneticPr fontId="19" type="noConversion"/>
  </si>
  <si>
    <t xml:space="preserve">   7. 교각 기초공사</t>
    <phoneticPr fontId="19" type="noConversion"/>
  </si>
  <si>
    <t xml:space="preserve">   8. 건물 기초공사</t>
    <phoneticPr fontId="19" type="noConversion"/>
  </si>
  <si>
    <t xml:space="preserve">   9. 작품제작 재료지급</t>
    <phoneticPr fontId="19" type="noConversion"/>
  </si>
  <si>
    <t xml:space="preserve">   10. 홍보 전시관 특별전시 구성</t>
    <phoneticPr fontId="19" type="noConversion"/>
  </si>
  <si>
    <t>ㅇ고소작업대 차량임차</t>
    <phoneticPr fontId="19" type="noConversion"/>
  </si>
  <si>
    <t>ㅇ공연기획 및 작품제작관련 회의</t>
    <phoneticPr fontId="19" type="noConversion"/>
  </si>
  <si>
    <t>동두천 거리예술 조성</t>
    <phoneticPr fontId="19" type="noConversion"/>
  </si>
  <si>
    <t>백남준아트센터(외부재원)</t>
    <phoneticPr fontId="19" type="noConversion"/>
  </si>
  <si>
    <t>백남준아트센터</t>
    <phoneticPr fontId="19" type="noConversion"/>
  </si>
  <si>
    <t>실학박물관(외부재원)</t>
    <phoneticPr fontId="19" type="noConversion"/>
  </si>
  <si>
    <t>실학박물관</t>
    <phoneticPr fontId="19" type="noConversion"/>
  </si>
  <si>
    <t>경기도어린이박물관(외부재원)</t>
    <phoneticPr fontId="19" type="noConversion"/>
  </si>
  <si>
    <t>경기도어린이박물관</t>
    <phoneticPr fontId="19" type="noConversion"/>
  </si>
  <si>
    <t>어린이교육프로그램 운영</t>
    <phoneticPr fontId="19" type="noConversion"/>
  </si>
  <si>
    <t>꿈다락토요문화학교</t>
    <phoneticPr fontId="19" type="noConversion"/>
  </si>
  <si>
    <t>전곡선사박물관(외부재원)</t>
    <phoneticPr fontId="19" type="noConversion"/>
  </si>
  <si>
    <t>전곡선사박물관</t>
    <phoneticPr fontId="19" type="noConversion"/>
  </si>
  <si>
    <t>특별사업</t>
    <phoneticPr fontId="19" type="noConversion"/>
  </si>
  <si>
    <t xml:space="preserve"> 위탁사업 총계</t>
    <phoneticPr fontId="19" type="noConversion"/>
  </si>
  <si>
    <t>2018경기도사이버도서관운영</t>
    <phoneticPr fontId="19" type="noConversion"/>
  </si>
  <si>
    <t>관리운영비</t>
    <phoneticPr fontId="19" type="noConversion"/>
  </si>
  <si>
    <t>디지털콘텐츠도입</t>
    <phoneticPr fontId="19" type="noConversion"/>
  </si>
  <si>
    <t>경기도도서관택배서비스</t>
    <phoneticPr fontId="19" type="noConversion"/>
  </si>
  <si>
    <t>경기도 디지털 아카이브 운영</t>
    <phoneticPr fontId="19" type="noConversion"/>
  </si>
  <si>
    <t>경기정명천년기념 콘텐츠 개발</t>
    <phoneticPr fontId="19" type="noConversion"/>
  </si>
  <si>
    <t>경기도메모리시스템 개발</t>
    <phoneticPr fontId="19" type="noConversion"/>
  </si>
  <si>
    <t>경기도메모리 DB구축</t>
    <phoneticPr fontId="19" type="noConversion"/>
  </si>
  <si>
    <t>도서관 독서문화 확산</t>
    <phoneticPr fontId="19" type="noConversion"/>
  </si>
  <si>
    <t>도서관 및 독서홍보사업</t>
    <phoneticPr fontId="19" type="noConversion"/>
  </si>
  <si>
    <t>온라인독서콘텐츠 개발보급</t>
    <phoneticPr fontId="19" type="noConversion"/>
  </si>
  <si>
    <t>경기도도서관연감 발간</t>
    <phoneticPr fontId="19" type="noConversion"/>
  </si>
  <si>
    <t xml:space="preserve"> </t>
    <phoneticPr fontId="19" type="noConversion"/>
  </si>
  <si>
    <t>(단위:천원)</t>
    <phoneticPr fontId="19" type="noConversion"/>
  </si>
  <si>
    <t>(단위 : 천원)</t>
    <phoneticPr fontId="19" type="noConversion"/>
  </si>
  <si>
    <t>재원구분</t>
    <phoneticPr fontId="19" type="noConversion"/>
  </si>
  <si>
    <t>과      목</t>
    <phoneticPr fontId="19" type="noConversion"/>
  </si>
  <si>
    <t>예산액</t>
    <phoneticPr fontId="19" type="noConversion"/>
  </si>
  <si>
    <t>기   정
예산액</t>
    <phoneticPr fontId="19" type="noConversion"/>
  </si>
  <si>
    <t>증 감</t>
    <phoneticPr fontId="19" type="noConversion"/>
  </si>
  <si>
    <t>산    출    기    초</t>
    <phoneticPr fontId="19" type="noConversion"/>
  </si>
  <si>
    <t>장분류</t>
    <phoneticPr fontId="19" type="noConversion"/>
  </si>
  <si>
    <t>관분류</t>
    <phoneticPr fontId="19" type="noConversion"/>
  </si>
  <si>
    <t>항분류</t>
    <phoneticPr fontId="19" type="noConversion"/>
  </si>
  <si>
    <t>목분류</t>
    <phoneticPr fontId="19" type="noConversion"/>
  </si>
  <si>
    <t>세분류</t>
    <phoneticPr fontId="19" type="noConversion"/>
  </si>
  <si>
    <t xml:space="preserve"> 위탁사업 총계</t>
    <phoneticPr fontId="19" type="noConversion"/>
  </si>
  <si>
    <t>경영본부(외부재원)</t>
    <phoneticPr fontId="19" type="noConversion"/>
  </si>
  <si>
    <t>2018경기도사이버도서관운영</t>
    <phoneticPr fontId="19" type="noConversion"/>
  </si>
  <si>
    <t>공기관대행사업</t>
    <phoneticPr fontId="19" type="noConversion"/>
  </si>
  <si>
    <t>관리운영비</t>
    <phoneticPr fontId="19" type="noConversion"/>
  </si>
  <si>
    <t>인건비</t>
    <phoneticPr fontId="19" type="noConversion"/>
  </si>
  <si>
    <t>급여</t>
    <phoneticPr fontId="19" type="noConversion"/>
  </si>
  <si>
    <t>ㅇ계</t>
    <phoneticPr fontId="19" type="noConversion"/>
  </si>
  <si>
    <t>월</t>
    <phoneticPr fontId="19" type="noConversion"/>
  </si>
  <si>
    <t>퇴직급여</t>
    <phoneticPr fontId="19" type="noConversion"/>
  </si>
  <si>
    <t>ㅇ 직원 퇴직급여</t>
    <phoneticPr fontId="19" type="noConversion"/>
  </si>
  <si>
    <t>원 /</t>
    <phoneticPr fontId="19" type="noConversion"/>
  </si>
  <si>
    <t>*</t>
    <phoneticPr fontId="19" type="noConversion"/>
  </si>
  <si>
    <t>복리후생비(급여)</t>
    <phoneticPr fontId="19" type="noConversion"/>
  </si>
  <si>
    <t xml:space="preserve">  1. 4대 보험 부담금</t>
    <phoneticPr fontId="19" type="noConversion"/>
  </si>
  <si>
    <t xml:space="preserve">  2. 선택적 복지제도 운영(재해 단체보장 보험 포함)</t>
    <phoneticPr fontId="19" type="noConversion"/>
  </si>
  <si>
    <t>제경비</t>
    <phoneticPr fontId="19" type="noConversion"/>
  </si>
  <si>
    <t>복리후생비</t>
    <phoneticPr fontId="19" type="noConversion"/>
  </si>
  <si>
    <t>ㅇ경비성 복리후생비(건강검진)</t>
    <phoneticPr fontId="19" type="noConversion"/>
  </si>
  <si>
    <t>수도광열비</t>
    <phoneticPr fontId="19" type="noConversion"/>
  </si>
  <si>
    <t>ㅇ전기료</t>
    <phoneticPr fontId="19" type="noConversion"/>
  </si>
  <si>
    <t>개월</t>
    <phoneticPr fontId="19" type="noConversion"/>
  </si>
  <si>
    <t>유지관리비</t>
    <phoneticPr fontId="19" type="noConversion"/>
  </si>
  <si>
    <t>ㅇ계</t>
    <phoneticPr fontId="19" type="noConversion"/>
  </si>
  <si>
    <t xml:space="preserve">  1. S/W 이용기간연장</t>
    <phoneticPr fontId="19" type="noConversion"/>
  </si>
  <si>
    <t>건</t>
    <phoneticPr fontId="19" type="noConversion"/>
  </si>
  <si>
    <t xml:space="preserve">  2. 도서관협회 외 학회 3기관 연회비</t>
    <phoneticPr fontId="19" type="noConversion"/>
  </si>
  <si>
    <t xml:space="preserve">  3. 전산시스템 유지 관리</t>
    <phoneticPr fontId="19" type="noConversion"/>
  </si>
  <si>
    <t xml:space="preserve">  4. 도메인 연장</t>
    <phoneticPr fontId="19" type="noConversion"/>
  </si>
  <si>
    <t xml:space="preserve">  1. 업무용 참고도서 구입</t>
    <phoneticPr fontId="19" type="noConversion"/>
  </si>
  <si>
    <t>권</t>
    <phoneticPr fontId="19" type="noConversion"/>
  </si>
  <si>
    <t xml:space="preserve">  2. 신문잡지 구독</t>
    <phoneticPr fontId="19" type="noConversion"/>
  </si>
  <si>
    <t>종*</t>
    <phoneticPr fontId="19" type="noConversion"/>
  </si>
  <si>
    <t>소모품비</t>
    <phoneticPr fontId="19" type="noConversion"/>
  </si>
  <si>
    <t xml:space="preserve">  1. 생수비</t>
    <phoneticPr fontId="19" type="noConversion"/>
  </si>
  <si>
    <t>월</t>
    <phoneticPr fontId="18" type="noConversion"/>
  </si>
  <si>
    <t xml:space="preserve">  2. 사무용품 구입</t>
    <phoneticPr fontId="19" type="noConversion"/>
  </si>
  <si>
    <t>도서인쇄비</t>
    <phoneticPr fontId="19" type="noConversion"/>
  </si>
  <si>
    <t>보험료</t>
    <phoneticPr fontId="19" type="noConversion"/>
  </si>
  <si>
    <t>자산구입비</t>
    <phoneticPr fontId="19" type="noConversion"/>
  </si>
  <si>
    <t>ㅇ 계</t>
    <phoneticPr fontId="19" type="noConversion"/>
  </si>
  <si>
    <t>식</t>
    <phoneticPr fontId="19" type="noConversion"/>
  </si>
  <si>
    <t>ㅇ 사무공간 리모델링 공사</t>
    <phoneticPr fontId="19" type="noConversion"/>
  </si>
  <si>
    <t>지급임차료</t>
    <phoneticPr fontId="19" type="noConversion"/>
  </si>
  <si>
    <t>ㅇ 물품 이동 등</t>
    <phoneticPr fontId="18" type="noConversion"/>
  </si>
  <si>
    <t>여비교통비</t>
    <phoneticPr fontId="19" type="noConversion"/>
  </si>
  <si>
    <t>명*</t>
    <phoneticPr fontId="19" type="noConversion"/>
  </si>
  <si>
    <t>월</t>
    <phoneticPr fontId="19" type="noConversion"/>
  </si>
  <si>
    <t>부서운영비</t>
    <phoneticPr fontId="19" type="noConversion"/>
  </si>
  <si>
    <t>직책업무추진비</t>
    <phoneticPr fontId="19" type="noConversion"/>
  </si>
  <si>
    <t>교육훈련비</t>
    <phoneticPr fontId="19" type="noConversion"/>
  </si>
  <si>
    <t>경기도사이버도서관 시스템 운영</t>
    <phoneticPr fontId="19" type="noConversion"/>
  </si>
  <si>
    <t>전자도서관 디지털콘텐츠 구축</t>
    <phoneticPr fontId="19" type="noConversion"/>
  </si>
  <si>
    <t>종</t>
    <phoneticPr fontId="19" type="noConversion"/>
  </si>
  <si>
    <t>경기도사이버도서관시스템 운영</t>
    <phoneticPr fontId="19" type="noConversion"/>
  </si>
  <si>
    <t xml:space="preserve">   1. 서버용 백신</t>
    <phoneticPr fontId="19" type="noConversion"/>
  </si>
  <si>
    <t>원*</t>
    <phoneticPr fontId="19" type="noConversion"/>
  </si>
  <si>
    <t>식</t>
    <phoneticPr fontId="19" type="noConversion"/>
  </si>
  <si>
    <t>=</t>
    <phoneticPr fontId="19" type="noConversion"/>
  </si>
  <si>
    <t xml:space="preserve">   2. 노후전산시스템 교체</t>
    <phoneticPr fontId="19" type="noConversion"/>
  </si>
  <si>
    <t xml:space="preserve">   3. 신규전자책 서버 도입 및 스토리지 증설</t>
    <phoneticPr fontId="19" type="noConversion"/>
  </si>
  <si>
    <t>지급수수료</t>
    <phoneticPr fontId="19" type="noConversion"/>
  </si>
  <si>
    <t xml:space="preserve"> o 계</t>
    <phoneticPr fontId="19" type="noConversion"/>
  </si>
  <si>
    <t xml:space="preserve">   1. 제안서 평가</t>
    <phoneticPr fontId="19" type="noConversion"/>
  </si>
  <si>
    <t>명*</t>
    <phoneticPr fontId="19" type="noConversion"/>
  </si>
  <si>
    <t>회</t>
    <phoneticPr fontId="19" type="noConversion"/>
  </si>
  <si>
    <t xml:space="preserve">   2. 독서지원 콘텐츠 개발 회의</t>
    <phoneticPr fontId="19" type="noConversion"/>
  </si>
  <si>
    <t>명</t>
    <phoneticPr fontId="19" type="noConversion"/>
  </si>
  <si>
    <t>지급용역료</t>
    <phoneticPr fontId="19" type="noConversion"/>
  </si>
  <si>
    <t xml:space="preserve">   1. 모바일앱 연계 홈페이지 기능 개선</t>
    <phoneticPr fontId="19" type="noConversion"/>
  </si>
  <si>
    <t xml:space="preserve">   2. 전자책 서비스기능 개선</t>
    <phoneticPr fontId="19" type="noConversion"/>
  </si>
  <si>
    <t xml:space="preserve">   3. 사이버도서관 모바일 APP 제작</t>
    <phoneticPr fontId="19" type="noConversion"/>
  </si>
  <si>
    <t xml:space="preserve">   4. 독서지원/어린이도서관 웹서비스 기능 개선</t>
    <phoneticPr fontId="19" type="noConversion"/>
  </si>
  <si>
    <t>회의운영비</t>
    <phoneticPr fontId="19" type="noConversion"/>
  </si>
  <si>
    <t>도서 택배서비스</t>
    <phoneticPr fontId="19" type="noConversion"/>
  </si>
  <si>
    <t xml:space="preserve"> </t>
    <phoneticPr fontId="19" type="noConversion"/>
  </si>
  <si>
    <t>통신비</t>
    <phoneticPr fontId="19" type="noConversion"/>
  </si>
  <si>
    <t xml:space="preserve"> o 택배비</t>
    <phoneticPr fontId="19" type="noConversion"/>
  </si>
  <si>
    <t>회*</t>
    <phoneticPr fontId="19" type="noConversion"/>
  </si>
  <si>
    <t>소모품비</t>
    <phoneticPr fontId="19" type="noConversion"/>
  </si>
  <si>
    <t xml:space="preserve"> o 행낭 가방 제작</t>
    <phoneticPr fontId="19" type="noConversion"/>
  </si>
  <si>
    <t>개*</t>
    <phoneticPr fontId="19" type="noConversion"/>
  </si>
  <si>
    <t>경기도 디지털아카이브 운영</t>
    <phoneticPr fontId="19" type="noConversion"/>
  </si>
  <si>
    <t>경기정명천년기념 콘텐츠 개발</t>
    <phoneticPr fontId="19" type="noConversion"/>
  </si>
  <si>
    <t xml:space="preserve">   1. 경기정명천년기념콘텐츠개발</t>
    <phoneticPr fontId="19" type="noConversion"/>
  </si>
  <si>
    <t xml:space="preserve">   2. 경기정명천년기념콘텐츠 전시제쟉</t>
    <phoneticPr fontId="19" type="noConversion"/>
  </si>
  <si>
    <t>`1</t>
    <phoneticPr fontId="19" type="noConversion"/>
  </si>
  <si>
    <t xml:space="preserve">   3. 콘텐츠 홍보동영상 제작</t>
    <phoneticPr fontId="19" type="noConversion"/>
  </si>
  <si>
    <t xml:space="preserve">   1. 심사수당 등</t>
    <phoneticPr fontId="19" type="noConversion"/>
  </si>
  <si>
    <t xml:space="preserve">   2. 콘텐츠 활용교육 강사수당</t>
    <phoneticPr fontId="19" type="noConversion"/>
  </si>
  <si>
    <t>도서인쇄비</t>
    <phoneticPr fontId="19" type="noConversion"/>
  </si>
  <si>
    <t xml:space="preserve"> o 경기정명천년기념콘텐츠 활동지 제작</t>
    <phoneticPr fontId="19" type="noConversion"/>
  </si>
  <si>
    <t>부</t>
    <phoneticPr fontId="19" type="noConversion"/>
  </si>
  <si>
    <t>행사운영비</t>
    <phoneticPr fontId="19" type="noConversion"/>
  </si>
  <si>
    <t xml:space="preserve">   1. 콘텐츠 전시운영</t>
    <phoneticPr fontId="19" type="noConversion"/>
  </si>
  <si>
    <t xml:space="preserve">   2. 콘텐츠 이용자교육</t>
    <phoneticPr fontId="19" type="noConversion"/>
  </si>
  <si>
    <t xml:space="preserve"> o 심사회의 진행</t>
    <phoneticPr fontId="19" type="noConversion"/>
  </si>
  <si>
    <t>경기도메모리시스템 개발</t>
    <phoneticPr fontId="19" type="noConversion"/>
  </si>
  <si>
    <t xml:space="preserve"> o 경기도 메모리 시스템 개발</t>
    <phoneticPr fontId="19" type="noConversion"/>
  </si>
  <si>
    <t xml:space="preserve"> o 제안서 평가</t>
    <phoneticPr fontId="19" type="noConversion"/>
  </si>
  <si>
    <t>경기도DB메모리구축</t>
    <phoneticPr fontId="19" type="noConversion"/>
  </si>
  <si>
    <t xml:space="preserve">   1. 경기도메모리 신규 DB구축</t>
    <phoneticPr fontId="19" type="noConversion"/>
  </si>
  <si>
    <t>면</t>
    <phoneticPr fontId="19" type="noConversion"/>
  </si>
  <si>
    <t xml:space="preserve">   2. 경기도메모리 DB고도화 사업</t>
    <phoneticPr fontId="19" type="noConversion"/>
  </si>
  <si>
    <t>건</t>
    <phoneticPr fontId="19" type="noConversion"/>
  </si>
  <si>
    <t>인건비</t>
    <phoneticPr fontId="19" type="noConversion"/>
  </si>
  <si>
    <t xml:space="preserve"> o 경기도메모리 지원 계약직 채용</t>
    <phoneticPr fontId="19" type="noConversion"/>
  </si>
  <si>
    <t>개월</t>
    <phoneticPr fontId="19" type="noConversion"/>
  </si>
  <si>
    <t xml:space="preserve">   1.제안서심사 등</t>
    <phoneticPr fontId="19" type="noConversion"/>
  </si>
  <si>
    <t xml:space="preserve">   2. 경기도 지역문화자원관리 매뉴얼 TFT</t>
    <phoneticPr fontId="19" type="noConversion"/>
  </si>
  <si>
    <t xml:space="preserve"> o  지역문화자원관리 매뉴얼 제작</t>
    <phoneticPr fontId="19" type="noConversion"/>
  </si>
  <si>
    <t xml:space="preserve"> o  지역문화자원관리 매뉴얼 교육</t>
    <phoneticPr fontId="19" type="noConversion"/>
  </si>
  <si>
    <t xml:space="preserve">  1. 심사회의 등 운영</t>
    <phoneticPr fontId="19" type="noConversion"/>
  </si>
  <si>
    <t xml:space="preserve">  2. 매뉴얼 TFT회의 운영</t>
    <phoneticPr fontId="19" type="noConversion"/>
  </si>
  <si>
    <t>도서관 독서문화확산</t>
    <phoneticPr fontId="19" type="noConversion"/>
  </si>
  <si>
    <t>경기도사이버도서관 홍보</t>
    <phoneticPr fontId="19" type="noConversion"/>
  </si>
  <si>
    <t xml:space="preserve">   1. 독서의 달 기념 포스터 제작</t>
    <phoneticPr fontId="19" type="noConversion"/>
  </si>
  <si>
    <t>장</t>
    <phoneticPr fontId="19" type="noConversion"/>
  </si>
  <si>
    <t xml:space="preserve">   2. 사이버도서관 홍보지 제작</t>
    <phoneticPr fontId="19" type="noConversion"/>
  </si>
  <si>
    <t xml:space="preserve">   1. 독서의 달 표어 및 포스터 심사</t>
    <phoneticPr fontId="19" type="noConversion"/>
  </si>
  <si>
    <t xml:space="preserve">   2. 독서 및 도서관 관련 이벤트 심사</t>
    <phoneticPr fontId="19" type="noConversion"/>
  </si>
  <si>
    <t xml:space="preserve">   3. 다독다독축제 강연</t>
    <phoneticPr fontId="19" type="noConversion"/>
  </si>
  <si>
    <t xml:space="preserve">   1. 내생애첫도서관 교육프로그램</t>
    <phoneticPr fontId="19" type="noConversion"/>
  </si>
  <si>
    <t>개소*</t>
    <phoneticPr fontId="19" type="noConversion"/>
  </si>
  <si>
    <t xml:space="preserve">   2. 홍보물 제작</t>
    <phoneticPr fontId="19" type="noConversion"/>
  </si>
  <si>
    <t xml:space="preserve">   3.도서관교육DVD 제작</t>
    <phoneticPr fontId="19" type="noConversion"/>
  </si>
  <si>
    <t>개</t>
    <phoneticPr fontId="19" type="noConversion"/>
  </si>
  <si>
    <t xml:space="preserve">   4. 지주간판 보수</t>
    <phoneticPr fontId="19" type="noConversion"/>
  </si>
  <si>
    <t xml:space="preserve">   1. 독서의 달 표어 공모</t>
    <phoneticPr fontId="19" type="noConversion"/>
  </si>
  <si>
    <t xml:space="preserve">   2. 독서 및 도서관 관련 이벤트</t>
    <phoneticPr fontId="19" type="noConversion"/>
  </si>
  <si>
    <t xml:space="preserve">   3. 축제 및 도서관대회 참가</t>
    <phoneticPr fontId="19" type="noConversion"/>
  </si>
  <si>
    <t>온라인독서콘텐츠 개발보급</t>
    <phoneticPr fontId="19" type="noConversion"/>
  </si>
  <si>
    <t xml:space="preserve">   1. 서평집 제작</t>
    <phoneticPr fontId="19" type="noConversion"/>
  </si>
  <si>
    <t>부</t>
    <phoneticPr fontId="19" type="noConversion"/>
  </si>
  <si>
    <t xml:space="preserve">   2. 교제제작</t>
    <phoneticPr fontId="19" type="noConversion"/>
  </si>
  <si>
    <t xml:space="preserve">   1. 서평원고료</t>
    <phoneticPr fontId="19" type="noConversion"/>
  </si>
  <si>
    <t xml:space="preserve">   2. 강사료</t>
    <phoneticPr fontId="19" type="noConversion"/>
  </si>
  <si>
    <t>명</t>
    <phoneticPr fontId="19" type="noConversion"/>
  </si>
  <si>
    <t xml:space="preserve">   3. 편집료(윤문,교정,교열)</t>
    <phoneticPr fontId="19" type="noConversion"/>
  </si>
  <si>
    <t xml:space="preserve"> o 행사차량임차</t>
    <phoneticPr fontId="19" type="noConversion"/>
  </si>
  <si>
    <t>일</t>
    <phoneticPr fontId="19" type="noConversion"/>
  </si>
  <si>
    <t>도서관전문가세미나개최</t>
    <phoneticPr fontId="19" type="noConversion"/>
  </si>
  <si>
    <t xml:space="preserve">   1. 사서직무워크숍</t>
    <phoneticPr fontId="19" type="noConversion"/>
  </si>
  <si>
    <t>명</t>
    <phoneticPr fontId="19" type="noConversion"/>
  </si>
  <si>
    <t xml:space="preserve">   2. 신입사서워크숍</t>
    <phoneticPr fontId="19" type="noConversion"/>
  </si>
  <si>
    <t xml:space="preserve">   3. 전문가세미나</t>
    <phoneticPr fontId="19" type="noConversion"/>
  </si>
  <si>
    <t xml:space="preserve">   1.행사차량임차</t>
    <phoneticPr fontId="19" type="noConversion"/>
  </si>
  <si>
    <t>대*</t>
    <phoneticPr fontId="19" type="noConversion"/>
  </si>
  <si>
    <t>일</t>
    <phoneticPr fontId="19" type="noConversion"/>
  </si>
  <si>
    <t xml:space="preserve">   2. 업무용승합차</t>
    <phoneticPr fontId="19" type="noConversion"/>
  </si>
  <si>
    <t>행사운영비</t>
    <phoneticPr fontId="19" type="noConversion"/>
  </si>
  <si>
    <t>경기도도서관연감발간</t>
    <phoneticPr fontId="19" type="noConversion"/>
  </si>
  <si>
    <t xml:space="preserve"> o 연감 책자 제작</t>
    <phoneticPr fontId="19" type="noConversion"/>
  </si>
  <si>
    <t>경기도도서관총서발간</t>
    <phoneticPr fontId="19" type="noConversion"/>
  </si>
  <si>
    <t xml:space="preserve">   1. 총서원고료</t>
    <phoneticPr fontId="19" type="noConversion"/>
  </si>
  <si>
    <t>매</t>
    <phoneticPr fontId="19" type="noConversion"/>
  </si>
  <si>
    <t xml:space="preserve">   2. 심사수당 등</t>
    <phoneticPr fontId="19" type="noConversion"/>
  </si>
  <si>
    <t xml:space="preserve"> o 총서 제작</t>
    <phoneticPr fontId="19" type="noConversion"/>
  </si>
  <si>
    <t>회의운영비</t>
    <phoneticPr fontId="19" type="noConversion"/>
  </si>
  <si>
    <t xml:space="preserve"> o 개발회의 진행</t>
    <phoneticPr fontId="19" type="noConversion"/>
  </si>
  <si>
    <t>위탁수수료</t>
    <phoneticPr fontId="19" type="noConversion"/>
  </si>
  <si>
    <t xml:space="preserve"> o 위탁수수료</t>
    <phoneticPr fontId="19" type="noConversion"/>
  </si>
  <si>
    <t>%</t>
    <phoneticPr fontId="19" type="noConversion"/>
  </si>
  <si>
    <t>문화예술본부(외부재원)</t>
    <phoneticPr fontId="19" type="noConversion"/>
  </si>
  <si>
    <t>통신비</t>
    <phoneticPr fontId="19" type="noConversion"/>
  </si>
  <si>
    <t>경기문화재연구원(외부재원)</t>
    <phoneticPr fontId="19" type="noConversion"/>
  </si>
  <si>
    <t>2018경기도문화재돌봄사업</t>
    <phoneticPr fontId="19" type="noConversion"/>
  </si>
  <si>
    <t>공기관대행사업</t>
    <phoneticPr fontId="19" type="noConversion"/>
  </si>
  <si>
    <t>인건비</t>
    <phoneticPr fontId="19" type="noConversion"/>
  </si>
  <si>
    <t xml:space="preserve">   1. 단장</t>
    <phoneticPr fontId="19" type="noConversion"/>
  </si>
  <si>
    <t>복리후생비</t>
    <phoneticPr fontId="19" type="noConversion"/>
  </si>
  <si>
    <t xml:space="preserve">   1. 사업단 직원 상해보험 가입 등</t>
    <phoneticPr fontId="19" type="noConversion"/>
  </si>
  <si>
    <t xml:space="preserve">   2. 직원워크숍(우수단체 문화재 방문교육)</t>
    <phoneticPr fontId="19" type="noConversion"/>
  </si>
  <si>
    <t xml:space="preserve">   3. 직원 건강검진</t>
    <phoneticPr fontId="19" type="noConversion"/>
  </si>
  <si>
    <t xml:space="preserve"> o 직원 회의 및 교육</t>
    <phoneticPr fontId="19" type="noConversion"/>
  </si>
  <si>
    <t xml:space="preserve"> o 사무실 운영비</t>
    <phoneticPr fontId="19" type="noConversion"/>
  </si>
  <si>
    <t>광고선전비</t>
    <phoneticPr fontId="19" type="noConversion"/>
  </si>
  <si>
    <t xml:space="preserve"> o 사업홍보 및 물품 구입</t>
    <phoneticPr fontId="19" type="noConversion"/>
  </si>
  <si>
    <t>회</t>
    <phoneticPr fontId="18" type="noConversion"/>
  </si>
  <si>
    <t xml:space="preserve"> o 보고서 인쇄 등</t>
    <phoneticPr fontId="19" type="noConversion"/>
  </si>
  <si>
    <t xml:space="preserve"> o 각종 제세금</t>
    <phoneticPr fontId="19" type="noConversion"/>
  </si>
  <si>
    <t xml:space="preserve">   1. 노후 소화기 교체 및 설치</t>
    <phoneticPr fontId="19" type="noConversion"/>
  </si>
  <si>
    <t xml:space="preserve">   2. 목부재 생들기름칠</t>
    <phoneticPr fontId="19" type="noConversion"/>
  </si>
  <si>
    <t xml:space="preserve">   3. 현장작업용 물품 구입</t>
    <phoneticPr fontId="19" type="noConversion"/>
  </si>
  <si>
    <t xml:space="preserve">   4. 문화재 주변 자생초 이식</t>
    <phoneticPr fontId="19" type="noConversion"/>
  </si>
  <si>
    <t xml:space="preserve">   5. 경미수리 재료 구입</t>
    <phoneticPr fontId="19" type="noConversion"/>
  </si>
  <si>
    <t xml:space="preserve">   6. 사무용품 구입</t>
    <phoneticPr fontId="19" type="noConversion"/>
  </si>
  <si>
    <t>업무추진비</t>
    <phoneticPr fontId="18" type="noConversion"/>
  </si>
  <si>
    <t xml:space="preserve"> o 사업단 업무추진 운영경비</t>
    <phoneticPr fontId="19" type="noConversion"/>
  </si>
  <si>
    <t>여비교통비</t>
    <phoneticPr fontId="18" type="noConversion"/>
  </si>
  <si>
    <t xml:space="preserve"> o 직원 출장비</t>
    <phoneticPr fontId="19" type="noConversion"/>
  </si>
  <si>
    <t xml:space="preserve">   1. 고속도로 통행료</t>
    <phoneticPr fontId="19" type="noConversion"/>
  </si>
  <si>
    <t xml:space="preserve">   2. 관용차량 유류비</t>
    <phoneticPr fontId="19" type="noConversion"/>
  </si>
  <si>
    <t>개월</t>
    <phoneticPr fontId="18" type="noConversion"/>
  </si>
  <si>
    <t xml:space="preserve">   3. 주차비 등</t>
    <phoneticPr fontId="19" type="noConversion"/>
  </si>
  <si>
    <t xml:space="preserve">   4. 시설보수, 안내판 교체, 장비수리 등</t>
    <phoneticPr fontId="19" type="noConversion"/>
  </si>
  <si>
    <t>자료구입비</t>
    <phoneticPr fontId="18" type="noConversion"/>
  </si>
  <si>
    <t xml:space="preserve"> o 사업운영 관련 도서 구입 등</t>
    <phoneticPr fontId="19" type="noConversion"/>
  </si>
  <si>
    <t>자산구입비</t>
    <phoneticPr fontId="18" type="noConversion"/>
  </si>
  <si>
    <t xml:space="preserve"> o 현장운영 및 전문모니터링 자산구입</t>
    <phoneticPr fontId="19" type="noConversion"/>
  </si>
  <si>
    <t xml:space="preserve">   1. 사업 위탁수수료</t>
    <phoneticPr fontId="19" type="noConversion"/>
  </si>
  <si>
    <t xml:space="preserve">   2. 자문위원 수당</t>
    <phoneticPr fontId="19" type="noConversion"/>
  </si>
  <si>
    <t xml:space="preserve">   3. 17년도 사업단 회계점검</t>
    <phoneticPr fontId="19" type="noConversion"/>
  </si>
  <si>
    <t xml:space="preserve">   4. 현장안전 보건관리비(전문기관)</t>
    <phoneticPr fontId="19" type="noConversion"/>
  </si>
  <si>
    <t xml:space="preserve">   1. 북부사무실 임차</t>
    <phoneticPr fontId="19" type="noConversion"/>
  </si>
  <si>
    <t xml:space="preserve">   2. 교육장 및 자재창고 임차</t>
    <phoneticPr fontId="19" type="noConversion"/>
  </si>
  <si>
    <t xml:space="preserve">   3. 관용차량 임차</t>
    <phoneticPr fontId="19" type="noConversion"/>
  </si>
  <si>
    <t xml:space="preserve">   4. 컴퓨터, 사무집기 등 일반기자재 임차</t>
    <phoneticPr fontId="19" type="noConversion"/>
  </si>
  <si>
    <t xml:space="preserve"> o 팀장 직책업무추진비</t>
    <phoneticPr fontId="19" type="noConversion"/>
  </si>
  <si>
    <t xml:space="preserve"> o 관용차량 gps 통신료 등</t>
    <phoneticPr fontId="19" type="noConversion"/>
  </si>
  <si>
    <t>피복비</t>
    <phoneticPr fontId="19" type="noConversion"/>
  </si>
  <si>
    <t xml:space="preserve"> </t>
    <phoneticPr fontId="25" type="noConversion"/>
  </si>
  <si>
    <t xml:space="preserve">   1. 작업화</t>
    <phoneticPr fontId="19" type="noConversion"/>
  </si>
  <si>
    <t xml:space="preserve">   2. 작업복</t>
    <phoneticPr fontId="19" type="noConversion"/>
  </si>
  <si>
    <t xml:space="preserve">   3. 하절기 피복류</t>
    <phoneticPr fontId="19" type="noConversion"/>
  </si>
  <si>
    <t>회의운영비</t>
    <phoneticPr fontId="18" type="noConversion"/>
  </si>
  <si>
    <t xml:space="preserve"> o 회의진행</t>
    <phoneticPr fontId="19" type="noConversion"/>
  </si>
  <si>
    <t>2018경기도 옛길 관리운영</t>
    <phoneticPr fontId="19" type="noConversion"/>
  </si>
  <si>
    <t>공기관대행사업</t>
    <phoneticPr fontId="19" type="noConversion"/>
  </si>
  <si>
    <t>일반관리</t>
    <phoneticPr fontId="19" type="noConversion"/>
  </si>
  <si>
    <t xml:space="preserve">   1. 연구원 인건비</t>
    <phoneticPr fontId="19" type="noConversion"/>
  </si>
  <si>
    <t xml:space="preserve">   2. 퇴직금</t>
    <phoneticPr fontId="19" type="noConversion"/>
  </si>
  <si>
    <t xml:space="preserve">   3. 4대 보험</t>
    <phoneticPr fontId="19" type="noConversion"/>
  </si>
  <si>
    <t>%</t>
    <phoneticPr fontId="19" type="noConversion"/>
  </si>
  <si>
    <t xml:space="preserve"> o 성과보고서 인쇄비</t>
    <phoneticPr fontId="19" type="noConversion"/>
  </si>
  <si>
    <t xml:space="preserve"> o 소모품비</t>
    <phoneticPr fontId="19" type="noConversion"/>
  </si>
  <si>
    <t>여비교통비</t>
    <phoneticPr fontId="19" type="noConversion"/>
  </si>
  <si>
    <t xml:space="preserve"> o 국내 출장비</t>
    <phoneticPr fontId="19" type="noConversion"/>
  </si>
  <si>
    <t xml:space="preserve">   1. KTA 회비</t>
    <phoneticPr fontId="19" type="noConversion"/>
  </si>
  <si>
    <t>식</t>
    <phoneticPr fontId="18" type="noConversion"/>
  </si>
  <si>
    <t xml:space="preserve">   2. 위탁수수료</t>
    <phoneticPr fontId="19" type="noConversion"/>
  </si>
  <si>
    <t>지급임차료</t>
    <phoneticPr fontId="19" type="noConversion"/>
  </si>
  <si>
    <t xml:space="preserve"> o 업무용 PC 임차비</t>
    <phoneticPr fontId="19" type="noConversion"/>
  </si>
  <si>
    <t>대</t>
    <phoneticPr fontId="19" type="noConversion"/>
  </si>
  <si>
    <t xml:space="preserve">   1. 자원봉사단 활용물품 구입비</t>
    <phoneticPr fontId="19" type="noConversion"/>
  </si>
  <si>
    <t>명</t>
    <phoneticPr fontId="18" type="noConversion"/>
  </si>
  <si>
    <t xml:space="preserve">   2. 자원봉사단 행사 운영</t>
    <phoneticPr fontId="19" type="noConversion"/>
  </si>
  <si>
    <t>활용</t>
    <phoneticPr fontId="19" type="noConversion"/>
  </si>
  <si>
    <t>보험료</t>
    <phoneticPr fontId="19" type="noConversion"/>
  </si>
  <si>
    <t xml:space="preserve"> o 행사 참가자 보험료</t>
    <phoneticPr fontId="19" type="noConversion"/>
  </si>
  <si>
    <t xml:space="preserve"> o 행사물품 구입</t>
    <phoneticPr fontId="19" type="noConversion"/>
  </si>
  <si>
    <t xml:space="preserve">   1. 콘텐츠 조사연구</t>
    <phoneticPr fontId="19" type="noConversion"/>
  </si>
  <si>
    <t>매</t>
    <phoneticPr fontId="18" type="noConversion"/>
  </si>
  <si>
    <t xml:space="preserve">   2. 프로그램 강사료</t>
    <phoneticPr fontId="19" type="noConversion"/>
  </si>
  <si>
    <t xml:space="preserve">   3. 논문공모 심사비</t>
    <phoneticPr fontId="19" type="noConversion"/>
  </si>
  <si>
    <t xml:space="preserve">   4. 논문공모 시상금</t>
    <phoneticPr fontId="19" type="noConversion"/>
  </si>
  <si>
    <t xml:space="preserve">   5. 전문가 자문료</t>
    <phoneticPr fontId="19" type="noConversion"/>
  </si>
  <si>
    <t xml:space="preserve"> o 생태문화자원 기초조사 연구</t>
    <phoneticPr fontId="19" type="noConversion"/>
  </si>
  <si>
    <t xml:space="preserve"> o 버스 임차비</t>
    <phoneticPr fontId="19" type="noConversion"/>
  </si>
  <si>
    <t>대*</t>
    <phoneticPr fontId="19" type="noConversion"/>
  </si>
  <si>
    <t xml:space="preserve">   1. 활용프로그램 운영비</t>
    <phoneticPr fontId="19" type="noConversion"/>
  </si>
  <si>
    <t>회</t>
    <phoneticPr fontId="18" type="noConversion"/>
  </si>
  <si>
    <t xml:space="preserve">   2. 교육프로그램 운영비</t>
    <phoneticPr fontId="19" type="noConversion"/>
  </si>
  <si>
    <t xml:space="preserve">   3. 학술발표회 운영비</t>
    <phoneticPr fontId="19" type="noConversion"/>
  </si>
  <si>
    <t>유지관리</t>
    <phoneticPr fontId="19" type="noConversion"/>
  </si>
  <si>
    <t>유지관리비</t>
    <phoneticPr fontId="19" type="noConversion"/>
  </si>
  <si>
    <t xml:space="preserve">   1. 유지관리 보수 물품 등</t>
    <phoneticPr fontId="19" type="noConversion"/>
  </si>
  <si>
    <t xml:space="preserve">   2. 차량 유류비</t>
    <phoneticPr fontId="19" type="noConversion"/>
  </si>
  <si>
    <t>개월</t>
    <phoneticPr fontId="18" type="noConversion"/>
  </si>
  <si>
    <t xml:space="preserve">   1. 시설물 교체 보수 비용</t>
    <phoneticPr fontId="19" type="noConversion"/>
  </si>
  <si>
    <t>건</t>
    <phoneticPr fontId="18" type="noConversion"/>
  </si>
  <si>
    <t xml:space="preserve">   2. 시설물 유지 보수</t>
    <phoneticPr fontId="19" type="noConversion"/>
  </si>
  <si>
    <t xml:space="preserve"> o 업무용 차량 임차비</t>
    <phoneticPr fontId="19" type="noConversion"/>
  </si>
  <si>
    <t>홍보</t>
    <phoneticPr fontId="19" type="noConversion"/>
  </si>
  <si>
    <t xml:space="preserve">   1. 홍보물 제작 인쇄(엽서 및 포스터)</t>
    <phoneticPr fontId="19" type="noConversion"/>
  </si>
  <si>
    <t xml:space="preserve">   2. 안내지도 제작</t>
    <phoneticPr fontId="19" type="noConversion"/>
  </si>
  <si>
    <t>개</t>
    <phoneticPr fontId="19" type="noConversion"/>
  </si>
  <si>
    <t xml:space="preserve"> o 문자발송 및 우편비</t>
    <phoneticPr fontId="19" type="noConversion"/>
  </si>
  <si>
    <t xml:space="preserve">   1. 홍보물 웹디자인 의뢰비</t>
    <phoneticPr fontId="19" type="noConversion"/>
  </si>
  <si>
    <t xml:space="preserve">   2. 광고비</t>
    <phoneticPr fontId="19" type="noConversion"/>
  </si>
  <si>
    <t xml:space="preserve">   3. 천년기자단 멘토 강사료</t>
    <phoneticPr fontId="19" type="noConversion"/>
  </si>
  <si>
    <t xml:space="preserve">   1. 홈페이지 유지관리(서버 및 자료 관리)</t>
    <phoneticPr fontId="19" type="noConversion"/>
  </si>
  <si>
    <t xml:space="preserve">   2. 영상 및 사진 촬영비(항공)</t>
    <phoneticPr fontId="19" type="noConversion"/>
  </si>
  <si>
    <t xml:space="preserve">   3. 만족도 조사 설문지 컨설팅</t>
    <phoneticPr fontId="19" type="noConversion"/>
  </si>
  <si>
    <t xml:space="preserve">   1. 기념품 제작비</t>
    <phoneticPr fontId="19" type="noConversion"/>
  </si>
  <si>
    <t xml:space="preserve">   2. 청년기자단 행사 운영비</t>
    <phoneticPr fontId="19" type="noConversion"/>
  </si>
  <si>
    <t>경기천년사업</t>
    <phoneticPr fontId="19" type="noConversion"/>
  </si>
  <si>
    <t>경기 아카이브전</t>
    <phoneticPr fontId="24" type="noConversion"/>
  </si>
  <si>
    <t>보험료</t>
    <phoneticPr fontId="31" type="noConversion"/>
  </si>
  <si>
    <t>지급임차료</t>
    <phoneticPr fontId="31" type="noConversion"/>
  </si>
  <si>
    <t xml:space="preserve"> o 회의운영</t>
    <phoneticPr fontId="19" type="noConversion"/>
  </si>
  <si>
    <t>도민정책 상상플랫폼</t>
    <phoneticPr fontId="24" type="noConversion"/>
  </si>
  <si>
    <t>경기천년 대축제</t>
    <phoneticPr fontId="24" type="noConversion"/>
  </si>
  <si>
    <t xml:space="preserve"> o 심사비 및 자문비</t>
    <phoneticPr fontId="19" type="noConversion"/>
  </si>
  <si>
    <t>경기천년 빛나는 정신문화발간</t>
    <phoneticPr fontId="24" type="noConversion"/>
  </si>
  <si>
    <t xml:space="preserve"> o 그레이트북스 기획 및 집필, 편집료</t>
    <phoneticPr fontId="19" type="noConversion"/>
  </si>
  <si>
    <t>천년경기의 목소리 공모전</t>
    <phoneticPr fontId="24" type="noConversion"/>
  </si>
  <si>
    <t xml:space="preserve"> o 천년경기 목소리 공모전 용역</t>
    <phoneticPr fontId="19" type="noConversion"/>
  </si>
  <si>
    <t xml:space="preserve"> o 공모전 결과 공유회 등 행사운영 등</t>
    <phoneticPr fontId="19" type="noConversion"/>
  </si>
  <si>
    <t>경기천년 기획홍보</t>
    <phoneticPr fontId="24" type="noConversion"/>
  </si>
  <si>
    <t>경기천년 매체홍보 및 영상제작</t>
    <phoneticPr fontId="24" type="noConversion"/>
  </si>
  <si>
    <t xml:space="preserve"> o 지면(일간지 및 잡지) 매체비</t>
    <phoneticPr fontId="19" type="noConversion"/>
  </si>
  <si>
    <t xml:space="preserve"> o 런칭행사 및 간담회 등</t>
    <phoneticPr fontId="19" type="noConversion"/>
  </si>
  <si>
    <t xml:space="preserve">   3. 위탁수수료</t>
    <phoneticPr fontId="19" type="noConversion"/>
  </si>
  <si>
    <t>o 에코뮤지엄 연구회 지원</t>
    <phoneticPr fontId="19" type="noConversion"/>
  </si>
  <si>
    <t>o 위탁수수료</t>
    <phoneticPr fontId="19" type="noConversion"/>
  </si>
  <si>
    <t xml:space="preserve">   1. 에코뮤지엄 선진 모델 벤치마킹</t>
    <phoneticPr fontId="19" type="noConversion"/>
  </si>
  <si>
    <t>o 성과공유워크숍 등 운영</t>
    <phoneticPr fontId="19" type="noConversion"/>
  </si>
  <si>
    <t>o 사무 기기 임차</t>
    <phoneticPr fontId="19" type="noConversion"/>
  </si>
  <si>
    <t>o 업무 관련 회의 등</t>
    <phoneticPr fontId="19" type="noConversion"/>
  </si>
  <si>
    <t>o 사무용품 구입</t>
    <phoneticPr fontId="19" type="noConversion"/>
  </si>
  <si>
    <t>o 자문회의, 간담회 등</t>
    <phoneticPr fontId="19" type="noConversion"/>
  </si>
  <si>
    <t xml:space="preserve"> o 기자간담회, 홍보회의 등</t>
    <phoneticPr fontId="19" type="noConversion"/>
  </si>
  <si>
    <t xml:space="preserve"> o 자원봉사자 활동비</t>
    <phoneticPr fontId="19" type="noConversion"/>
  </si>
  <si>
    <t xml:space="preserve"> o 봉사자의 날 등 행사 운영</t>
    <phoneticPr fontId="19" type="noConversion"/>
  </si>
  <si>
    <t xml:space="preserve"> o 교육자료 구입</t>
    <phoneticPr fontId="19" type="noConversion"/>
  </si>
  <si>
    <t xml:space="preserve"> o 외부 정책자문위원 수당</t>
    <phoneticPr fontId="19" type="noConversion"/>
  </si>
  <si>
    <t xml:space="preserve"> o 결과자료집 제작</t>
    <phoneticPr fontId="19" type="noConversion"/>
  </si>
  <si>
    <t xml:space="preserve">   1. 운영회의</t>
    <phoneticPr fontId="19" type="noConversion"/>
  </si>
  <si>
    <t xml:space="preserve">   2. 자문회의</t>
    <phoneticPr fontId="19" type="noConversion"/>
  </si>
  <si>
    <t xml:space="preserve">   1. 문화예술포럼 운영</t>
    <phoneticPr fontId="19" type="noConversion"/>
  </si>
  <si>
    <t xml:space="preserve">   2. 문화예술기초조사 용역</t>
    <phoneticPr fontId="19" type="noConversion"/>
  </si>
  <si>
    <t xml:space="preserve">   1. 자문회의 회의수당</t>
    <phoneticPr fontId="25" type="noConversion"/>
  </si>
  <si>
    <t xml:space="preserve">   2. 원고료/번역료</t>
    <phoneticPr fontId="19" type="noConversion"/>
  </si>
  <si>
    <t xml:space="preserve">   1. 관련자료집제작</t>
    <phoneticPr fontId="19" type="noConversion"/>
  </si>
  <si>
    <t xml:space="preserve">   2. 관련홍보인쇄물제작</t>
    <phoneticPr fontId="19" type="noConversion"/>
  </si>
  <si>
    <t xml:space="preserve">   2. 뮤지엄 국제교류 활성화</t>
    <phoneticPr fontId="19" type="noConversion"/>
  </si>
  <si>
    <t>2018경기도문화재돌봄사업</t>
    <phoneticPr fontId="19" type="noConversion"/>
  </si>
  <si>
    <t>2018경기도옛길관리운영</t>
    <phoneticPr fontId="19" type="noConversion"/>
  </si>
  <si>
    <t xml:space="preserve">  2. 부가급여(교통비+정액급식비+자녀학비보조수당+가족수당 포함)</t>
    <phoneticPr fontId="19" type="noConversion"/>
  </si>
  <si>
    <t xml:space="preserve"> - 직원</t>
    <phoneticPr fontId="19" type="noConversion"/>
  </si>
  <si>
    <t xml:space="preserve">  1. 콘텐츠 전시용 워크스테이션 구매</t>
    <phoneticPr fontId="19" type="noConversion"/>
  </si>
  <si>
    <t xml:space="preserve">  2. 콘텐츠 전시용 빔프로잭터 구입</t>
    <phoneticPr fontId="19" type="noConversion"/>
  </si>
  <si>
    <t xml:space="preserve">  3. A3 프린터/복합기구입</t>
    <phoneticPr fontId="19" type="noConversion"/>
  </si>
  <si>
    <t xml:space="preserve">  4. 업무용 PC 구입</t>
    <phoneticPr fontId="19" type="noConversion"/>
  </si>
  <si>
    <t xml:space="preserve">  5. 책상 및 의자</t>
    <phoneticPr fontId="19" type="noConversion"/>
  </si>
  <si>
    <t xml:space="preserve">  1. 국내여비</t>
    <phoneticPr fontId="19" type="noConversion"/>
  </si>
  <si>
    <t xml:space="preserve">  2. 국외여비</t>
    <phoneticPr fontId="19" type="noConversion"/>
  </si>
  <si>
    <t>ㅇ부서운영비</t>
    <phoneticPr fontId="19" type="noConversion"/>
  </si>
  <si>
    <t>ㅇ직책 업무추진비</t>
    <phoneticPr fontId="19" type="noConversion"/>
  </si>
  <si>
    <t>ㅇ직원 교육훈련비</t>
    <phoneticPr fontId="19" type="noConversion"/>
  </si>
  <si>
    <t xml:space="preserve">   1. 집중교육</t>
    <phoneticPr fontId="19" type="noConversion"/>
  </si>
  <si>
    <t xml:space="preserve">   2. 교육 및 간담회</t>
    <phoneticPr fontId="19" type="noConversion"/>
  </si>
  <si>
    <t>행사운영비</t>
    <phoneticPr fontId="31" type="noConversion"/>
  </si>
  <si>
    <t>회의운영비</t>
    <phoneticPr fontId="31" type="noConversion"/>
  </si>
  <si>
    <t xml:space="preserve"> o 교육 코디네이터</t>
    <phoneticPr fontId="19" type="noConversion"/>
  </si>
  <si>
    <t xml:space="preserve"> o 교육 소모품 </t>
    <phoneticPr fontId="19" type="noConversion"/>
  </si>
  <si>
    <t>`</t>
    <phoneticPr fontId="19" type="noConversion"/>
  </si>
  <si>
    <t>명*</t>
    <phoneticPr fontId="19" type="noConversion"/>
  </si>
  <si>
    <t>회</t>
    <phoneticPr fontId="19" type="noConversion"/>
  </si>
  <si>
    <t xml:space="preserve"> o 계</t>
    <phoneticPr fontId="19" type="noConversion"/>
  </si>
  <si>
    <t xml:space="preserve">   1. 주강사비 (3시간)</t>
    <phoneticPr fontId="19" type="noConversion"/>
  </si>
  <si>
    <t xml:space="preserve">   2. 보조강사 (3시간)</t>
    <phoneticPr fontId="19" type="noConversion"/>
  </si>
  <si>
    <t xml:space="preserve"> o 교육 및 홍보, 식당 위탁운영</t>
    <phoneticPr fontId="19" type="noConversion"/>
  </si>
  <si>
    <t xml:space="preserve"> o 미디어기기 임차</t>
    <phoneticPr fontId="19" type="noConversion"/>
  </si>
  <si>
    <t>대*</t>
    <phoneticPr fontId="19" type="noConversion"/>
  </si>
  <si>
    <t>월</t>
    <phoneticPr fontId="19" type="noConversion"/>
  </si>
  <si>
    <t xml:space="preserve"> o 창의연수 행사운영비</t>
    <phoneticPr fontId="19" type="noConversion"/>
  </si>
  <si>
    <t xml:space="preserve"> o 예술 교육 프로그램 회의운영비</t>
    <phoneticPr fontId="19" type="noConversion"/>
  </si>
  <si>
    <t xml:space="preserve"> o 교육 소모품</t>
    <phoneticPr fontId="19" type="noConversion"/>
  </si>
  <si>
    <t>지급용역료</t>
    <phoneticPr fontId="19" type="noConversion"/>
  </si>
  <si>
    <t>지급임차료</t>
    <phoneticPr fontId="19" type="noConversion"/>
  </si>
  <si>
    <t>행사운영비</t>
    <phoneticPr fontId="19" type="noConversion"/>
  </si>
  <si>
    <t>상상퐁당 예술나눔</t>
    <phoneticPr fontId="19" type="noConversion"/>
  </si>
  <si>
    <t>인건비</t>
    <phoneticPr fontId="19" type="noConversion"/>
  </si>
  <si>
    <t xml:space="preserve"> o 연구결과 단행본 제작 (디자인, 인쇄)</t>
    <phoneticPr fontId="19" type="noConversion"/>
  </si>
  <si>
    <t>원*</t>
    <phoneticPr fontId="18" type="noConversion"/>
  </si>
  <si>
    <t xml:space="preserve">   1. 해외항공료</t>
    <phoneticPr fontId="19" type="noConversion"/>
  </si>
  <si>
    <t>인</t>
    <phoneticPr fontId="19" type="noConversion"/>
  </si>
  <si>
    <t xml:space="preserve">   2. 해외체제비</t>
    <phoneticPr fontId="19" type="noConversion"/>
  </si>
  <si>
    <t xml:space="preserve">   1. 번역료 (한--&gt;영)</t>
    <phoneticPr fontId="19" type="noConversion"/>
  </si>
  <si>
    <t xml:space="preserve">   2. 번역료 (영--&gt;한)</t>
    <phoneticPr fontId="19" type="noConversion"/>
  </si>
  <si>
    <t>ㅇ 비디오 아카이브 디지털 파일 생성</t>
  </si>
  <si>
    <t>ㅇ 아카이브 운영 간담회</t>
  </si>
  <si>
    <t>회</t>
    <phoneticPr fontId="19" type="noConversion"/>
  </si>
  <si>
    <t>소모품비</t>
    <phoneticPr fontId="19" type="noConversion"/>
  </si>
  <si>
    <t xml:space="preserve"> o 전시운영물품</t>
    <phoneticPr fontId="19" type="noConversion"/>
  </si>
  <si>
    <t xml:space="preserve">   1. 국내작품 운송 및설치</t>
    <phoneticPr fontId="19" type="noConversion"/>
  </si>
  <si>
    <t xml:space="preserve">   2. 전시장 가벽 설치, 도장공사, 가구 제작</t>
    <phoneticPr fontId="19" type="noConversion"/>
  </si>
  <si>
    <t xml:space="preserve">   3. 전시홍보물 제작</t>
    <phoneticPr fontId="19" type="noConversion"/>
  </si>
  <si>
    <t>식</t>
    <phoneticPr fontId="19" type="noConversion"/>
  </si>
  <si>
    <t xml:space="preserve">   4.전시장 시트지 및 현수막 제작</t>
    <phoneticPr fontId="19" type="noConversion"/>
  </si>
  <si>
    <t>원*</t>
    <phoneticPr fontId="19" type="noConversion"/>
  </si>
  <si>
    <t xml:space="preserve">   5. 영상 편집비</t>
    <phoneticPr fontId="19" type="noConversion"/>
  </si>
  <si>
    <t xml:space="preserve">   6. 영상 설치 용역</t>
    <phoneticPr fontId="19" type="noConversion"/>
  </si>
  <si>
    <t>지급임차비</t>
    <phoneticPr fontId="19" type="noConversion"/>
  </si>
  <si>
    <t>o 작품 대여료</t>
    <phoneticPr fontId="19" type="noConversion"/>
  </si>
  <si>
    <t>건</t>
    <phoneticPr fontId="19" type="noConversion"/>
  </si>
  <si>
    <t>통신비</t>
    <phoneticPr fontId="19" type="noConversion"/>
  </si>
  <si>
    <t xml:space="preserve"> o 통신비 등</t>
    <phoneticPr fontId="19" type="noConversion"/>
  </si>
  <si>
    <t xml:space="preserve"> o 전시운영 회의진행</t>
    <phoneticPr fontId="19" type="noConversion"/>
  </si>
  <si>
    <t xml:space="preserve"> o 계</t>
    <phoneticPr fontId="19" type="noConversion"/>
  </si>
  <si>
    <t>식</t>
    <phoneticPr fontId="19" type="noConversion"/>
  </si>
  <si>
    <t>회</t>
    <phoneticPr fontId="19" type="noConversion"/>
  </si>
  <si>
    <t xml:space="preserve">여비교통비 </t>
  </si>
  <si>
    <t>보험료</t>
    <phoneticPr fontId="19" type="noConversion"/>
  </si>
  <si>
    <t xml:space="preserve"> o 입주작가 단체 상해보험</t>
    <phoneticPr fontId="19" type="noConversion"/>
  </si>
  <si>
    <t>명</t>
    <phoneticPr fontId="19" type="noConversion"/>
  </si>
  <si>
    <t xml:space="preserve"> o 계</t>
    <phoneticPr fontId="19" type="noConversion"/>
  </si>
  <si>
    <t>소모품비</t>
    <phoneticPr fontId="19" type="noConversion"/>
  </si>
  <si>
    <t xml:space="preserve"> o 레지던시 프로그램 운영 소모품비</t>
    <phoneticPr fontId="19" type="noConversion"/>
  </si>
  <si>
    <t>월</t>
    <phoneticPr fontId="19" type="noConversion"/>
  </si>
  <si>
    <t>회</t>
    <phoneticPr fontId="19" type="noConversion"/>
  </si>
  <si>
    <t xml:space="preserve">   1. 입주작가 워크샵 강사비</t>
    <phoneticPr fontId="19" type="noConversion"/>
  </si>
  <si>
    <t xml:space="preserve">   2. 입주작가 선정 공모 심사비</t>
    <phoneticPr fontId="19" type="noConversion"/>
  </si>
  <si>
    <t xml:space="preserve">   3. 해외파견 작가 공모 심사비</t>
    <phoneticPr fontId="19" type="noConversion"/>
  </si>
  <si>
    <t>건</t>
    <phoneticPr fontId="19" type="noConversion"/>
  </si>
  <si>
    <t xml:space="preserve">   4. 운영 자문위원회 참석수당</t>
    <phoneticPr fontId="19" type="noConversion"/>
  </si>
  <si>
    <t>지원비</t>
    <phoneticPr fontId="19" type="noConversion"/>
  </si>
  <si>
    <t xml:space="preserve">   1. 입주작가 경기지역 뮤지엄투어 워크숍</t>
    <phoneticPr fontId="19" type="noConversion"/>
  </si>
  <si>
    <t xml:space="preserve">   2. 입주작가 지역 스터디 워크숍</t>
    <phoneticPr fontId="19" type="noConversion"/>
  </si>
  <si>
    <t xml:space="preserve">   3. 입주작가 / 파견작가 공모심사 운영비</t>
    <phoneticPr fontId="19" type="noConversion"/>
  </si>
  <si>
    <t>회의운영비</t>
    <phoneticPr fontId="19" type="noConversion"/>
  </si>
  <si>
    <t xml:space="preserve"> o 프로그램운영회의</t>
    <phoneticPr fontId="19" type="noConversion"/>
  </si>
  <si>
    <t>회</t>
    <phoneticPr fontId="31" type="noConversion"/>
  </si>
  <si>
    <t>ㅇ 프로젝트 심의 및 비평 인터뷰</t>
    <phoneticPr fontId="19" type="noConversion"/>
  </si>
  <si>
    <t>ㅇ 전시 장비 임차</t>
    <phoneticPr fontId="19" type="noConversion"/>
  </si>
  <si>
    <t>ㅇ 아트프로젝트 및 퀀텀점프</t>
    <phoneticPr fontId="19" type="noConversion"/>
  </si>
  <si>
    <t xml:space="preserve"> o 소모품 구입</t>
    <phoneticPr fontId="19" type="noConversion"/>
  </si>
  <si>
    <t xml:space="preserve"> o 회의 및 워크숍 현장모니터링 등</t>
    <phoneticPr fontId="19" type="noConversion"/>
  </si>
  <si>
    <t xml:space="preserve"> </t>
    <phoneticPr fontId="19" type="noConversion"/>
  </si>
  <si>
    <t>인*</t>
    <phoneticPr fontId="19" type="noConversion"/>
  </si>
  <si>
    <t>원*</t>
    <phoneticPr fontId="19" type="noConversion"/>
  </si>
  <si>
    <t>2. 결과자료집 총평원고</t>
    <phoneticPr fontId="19" type="noConversion"/>
  </si>
  <si>
    <t>3. 일반공모심의</t>
    <phoneticPr fontId="19" type="noConversion"/>
  </si>
  <si>
    <t>일</t>
    <phoneticPr fontId="19" type="noConversion"/>
  </si>
  <si>
    <t>4. 지역 특성화 사업 기획 자문</t>
    <phoneticPr fontId="19" type="noConversion"/>
  </si>
  <si>
    <t>5. 단기 용역(아르바이트)</t>
    <phoneticPr fontId="19" type="noConversion"/>
  </si>
  <si>
    <t>1. 현장 사진 촬영</t>
    <phoneticPr fontId="19" type="noConversion"/>
  </si>
  <si>
    <t>2. 현장 영상 촬영 등</t>
    <phoneticPr fontId="19" type="noConversion"/>
  </si>
  <si>
    <t>1. 공간대관</t>
    <phoneticPr fontId="19" type="noConversion"/>
  </si>
  <si>
    <t>2. 음향기기 임차</t>
    <phoneticPr fontId="19" type="noConversion"/>
  </si>
  <si>
    <t>1. 일반공모</t>
    <phoneticPr fontId="19" type="noConversion"/>
  </si>
  <si>
    <t>단체</t>
    <phoneticPr fontId="19" type="noConversion"/>
  </si>
  <si>
    <t>2. 기획공모</t>
    <phoneticPr fontId="19" type="noConversion"/>
  </si>
  <si>
    <t>2. 모니터링 단체</t>
    <phoneticPr fontId="19" type="noConversion"/>
  </si>
  <si>
    <t>1. 사전워크숍, 권역별, 결과워크숍 행사 운영비</t>
    <phoneticPr fontId="19" type="noConversion"/>
  </si>
  <si>
    <t>2. 심의 진행 운영비</t>
    <phoneticPr fontId="19" type="noConversion"/>
  </si>
  <si>
    <t>3. 간담회, 컨설팅 운영비</t>
    <phoneticPr fontId="19" type="noConversion"/>
  </si>
  <si>
    <t xml:space="preserve"> o 사업운영회의 식음료</t>
    <phoneticPr fontId="19" type="noConversion"/>
  </si>
  <si>
    <t>1. 사전.권역별.결과워크숍 진행 및 강의</t>
    <phoneticPr fontId="19" type="noConversion"/>
  </si>
  <si>
    <t>인건비</t>
    <phoneticPr fontId="19" type="noConversion"/>
  </si>
  <si>
    <t xml:space="preserve">   1. 전시도록 제작</t>
    <phoneticPr fontId="18" type="noConversion"/>
  </si>
  <si>
    <t xml:space="preserve">   2. 전시홍보물 제작</t>
    <phoneticPr fontId="18" type="noConversion"/>
  </si>
  <si>
    <t xml:space="preserve"> o 전시작품 보험료</t>
    <phoneticPr fontId="19" type="noConversion"/>
  </si>
  <si>
    <t xml:space="preserve">   1. 영상장비 임차료</t>
    <phoneticPr fontId="18" type="noConversion"/>
  </si>
  <si>
    <t xml:space="preserve">   2. 차량 임차료</t>
    <phoneticPr fontId="18" type="noConversion"/>
  </si>
  <si>
    <t xml:space="preserve"> o 관련 행사 운영</t>
    <phoneticPr fontId="18" type="noConversion"/>
  </si>
  <si>
    <t xml:space="preserve"> o 회의식음료비</t>
    <phoneticPr fontId="18" type="noConversion"/>
  </si>
  <si>
    <t>통신비</t>
    <phoneticPr fontId="19" type="noConversion"/>
  </si>
  <si>
    <t xml:space="preserve"> o 우편발송비</t>
    <phoneticPr fontId="19" type="noConversion"/>
  </si>
  <si>
    <t xml:space="preserve">   3. 해외조사 여비</t>
    <phoneticPr fontId="18" type="noConversion"/>
  </si>
  <si>
    <t xml:space="preserve">   2. 작가초청 여비</t>
    <phoneticPr fontId="18" type="noConversion"/>
  </si>
  <si>
    <t xml:space="preserve">   1. 국내조사 여비</t>
    <phoneticPr fontId="18" type="noConversion"/>
  </si>
  <si>
    <t xml:space="preserve">   6. 사진/영상 촬영</t>
    <phoneticPr fontId="18" type="noConversion"/>
  </si>
  <si>
    <t xml:space="preserve">   5. 사인물 제작설치</t>
    <phoneticPr fontId="18" type="noConversion"/>
  </si>
  <si>
    <t xml:space="preserve">   4. 작품 설치/철수</t>
    <phoneticPr fontId="18" type="noConversion"/>
  </si>
  <si>
    <t xml:space="preserve">   3. 전시장 공사</t>
    <phoneticPr fontId="18" type="noConversion"/>
  </si>
  <si>
    <t xml:space="preserve">   2. 국내 작품운송</t>
    <phoneticPr fontId="18" type="noConversion"/>
  </si>
  <si>
    <t xml:space="preserve">   1. 해외 작품운송</t>
    <phoneticPr fontId="18" type="noConversion"/>
  </si>
  <si>
    <t xml:space="preserve">   1. 원고료/번역료</t>
    <phoneticPr fontId="18" type="noConversion"/>
  </si>
  <si>
    <t xml:space="preserve">   2. 해외인사 통역비</t>
    <phoneticPr fontId="18" type="noConversion"/>
  </si>
  <si>
    <t xml:space="preserve">   3. 작가 사례비</t>
    <phoneticPr fontId="18" type="noConversion"/>
  </si>
  <si>
    <t xml:space="preserve">   4. 자문회의 수당</t>
    <phoneticPr fontId="18" type="noConversion"/>
  </si>
  <si>
    <t>□ 위탁사업</t>
    <phoneticPr fontId="31" type="noConversion"/>
  </si>
  <si>
    <t>본부/기관명</t>
    <phoneticPr fontId="31" type="noConversion"/>
  </si>
  <si>
    <t>위탁사업명</t>
    <phoneticPr fontId="31" type="noConversion"/>
  </si>
  <si>
    <t>위탁기관</t>
    <phoneticPr fontId="31" type="noConversion"/>
  </si>
  <si>
    <t>위탁사업 합 계</t>
    <phoneticPr fontId="19" type="noConversion"/>
  </si>
  <si>
    <t>2017 경기도 사이버도서관 운영</t>
    <phoneticPr fontId="31" type="noConversion"/>
  </si>
  <si>
    <t>경기도</t>
    <phoneticPr fontId="19" type="noConversion"/>
  </si>
  <si>
    <t>2017 경기옛길 관리운영 사업</t>
    <phoneticPr fontId="19" type="noConversion"/>
  </si>
  <si>
    <t>남한산성 국청사지 발굴조사</t>
    <phoneticPr fontId="19" type="noConversion"/>
  </si>
  <si>
    <t>남한산성 지수당 발굴조사</t>
    <phoneticPr fontId="19" type="noConversion"/>
  </si>
  <si>
    <t>2017 경기도 문화재돌봄사업</t>
    <phoneticPr fontId="19" type="noConversion"/>
  </si>
  <si>
    <t>2017 북한산성 보존정비 사업</t>
    <phoneticPr fontId="19" type="noConversion"/>
  </si>
  <si>
    <t>고양시</t>
    <phoneticPr fontId="19" type="noConversion"/>
  </si>
  <si>
    <t>문화유산본부 소 계</t>
    <phoneticPr fontId="31" type="noConversion"/>
  </si>
  <si>
    <t xml:space="preserve">   9. 200주년 기념 묘제 및 강연회</t>
    <phoneticPr fontId="19" type="noConversion"/>
  </si>
  <si>
    <t>경기문화예술 온라인 서비스 기반</t>
    <phoneticPr fontId="19" type="noConversion"/>
  </si>
  <si>
    <t xml:space="preserve">   1. 교구재 구입</t>
    <phoneticPr fontId="19" type="noConversion"/>
  </si>
  <si>
    <t xml:space="preserve">   2. 운영용품 구입</t>
    <phoneticPr fontId="19" type="noConversion"/>
  </si>
  <si>
    <t xml:space="preserve"> o 설치 및 해체 보조</t>
    <phoneticPr fontId="19" type="noConversion"/>
  </si>
  <si>
    <t xml:space="preserve">   1. 도급용역(16명) </t>
    <phoneticPr fontId="19" type="noConversion"/>
  </si>
  <si>
    <t xml:space="preserve">   1. 급여</t>
    <phoneticPr fontId="19" type="noConversion"/>
  </si>
  <si>
    <t xml:space="preserve">   2. 부가급여</t>
    <phoneticPr fontId="19" type="noConversion"/>
  </si>
  <si>
    <t xml:space="preserve">   1. 4대보험</t>
    <phoneticPr fontId="19" type="noConversion"/>
  </si>
  <si>
    <t xml:space="preserve">   2. 복지카드</t>
    <phoneticPr fontId="19" type="noConversion"/>
  </si>
  <si>
    <t xml:space="preserve">   3. 건강검진</t>
    <phoneticPr fontId="19" type="noConversion"/>
  </si>
  <si>
    <t xml:space="preserve">   4. 보장보험</t>
    <phoneticPr fontId="19" type="noConversion"/>
  </si>
  <si>
    <t xml:space="preserve">  2. 입주단체 대상 답사 및 투어</t>
    <phoneticPr fontId="19" type="noConversion"/>
  </si>
  <si>
    <t xml:space="preserve"> o 협력 프로젝트 지원비</t>
    <phoneticPr fontId="19" type="noConversion"/>
  </si>
  <si>
    <t xml:space="preserve"> o 행사광고비</t>
    <phoneticPr fontId="19" type="noConversion"/>
  </si>
  <si>
    <t xml:space="preserve"> o 기획프로그램 진행</t>
    <phoneticPr fontId="19" type="noConversion"/>
  </si>
  <si>
    <t xml:space="preserve"> o 프로젝트팀 기획 지원비</t>
    <phoneticPr fontId="19" type="noConversion"/>
  </si>
  <si>
    <t xml:space="preserve">   1. 사진 촬영</t>
    <phoneticPr fontId="19" type="noConversion"/>
  </si>
  <si>
    <t xml:space="preserve">   2. 사진 촬영</t>
    <phoneticPr fontId="19" type="noConversion"/>
  </si>
  <si>
    <t xml:space="preserve">   3. 기획사업_문화예술공간 탐방 및 국제협력 네트워크 구축</t>
    <phoneticPr fontId="19" type="noConversion"/>
  </si>
  <si>
    <t xml:space="preserve">   4. 기획사업_문화예술연구용역</t>
    <phoneticPr fontId="19" type="noConversion"/>
  </si>
  <si>
    <t xml:space="preserve">   5. SNS 홍보마케팅 운영</t>
    <phoneticPr fontId="19" type="noConversion"/>
  </si>
  <si>
    <t xml:space="preserve">   1. 차량 임차</t>
    <phoneticPr fontId="19" type="noConversion"/>
  </si>
  <si>
    <t xml:space="preserve">   2. 공간 대관</t>
    <phoneticPr fontId="19" type="noConversion"/>
  </si>
  <si>
    <t xml:space="preserve">   3. 사무기기 임차 (프린트, PC, 노트북)</t>
    <phoneticPr fontId="19" type="noConversion"/>
  </si>
  <si>
    <t xml:space="preserve">   1. 일반 공모</t>
    <phoneticPr fontId="19" type="noConversion"/>
  </si>
  <si>
    <t xml:space="preserve">   2. 모니터링단</t>
    <phoneticPr fontId="19" type="noConversion"/>
  </si>
  <si>
    <t xml:space="preserve">   1. 문화예술교육주간 축제</t>
    <phoneticPr fontId="19" type="noConversion"/>
  </si>
  <si>
    <t xml:space="preserve">   2. 운영단체 아카데미</t>
    <phoneticPr fontId="19" type="noConversion"/>
  </si>
  <si>
    <t xml:space="preserve">   3. 행사 기념품 제작</t>
    <phoneticPr fontId="19" type="noConversion"/>
  </si>
  <si>
    <t xml:space="preserve">   4. 심의 행사 운영비</t>
    <phoneticPr fontId="19" type="noConversion"/>
  </si>
  <si>
    <t xml:space="preserve">   5. 사전 워크숍, 컨설팅 등 행사운영</t>
    <phoneticPr fontId="19" type="noConversion"/>
  </si>
  <si>
    <t xml:space="preserve">   6. 결과워크숍 2박 3일</t>
    <phoneticPr fontId="19" type="noConversion"/>
  </si>
  <si>
    <t xml:space="preserve">  1. 인터넷 전용선 사용료</t>
    <phoneticPr fontId="19" type="noConversion"/>
  </si>
  <si>
    <t xml:space="preserve">  2.  SMS, 전화, 팩스 사용료</t>
    <phoneticPr fontId="18" type="noConversion"/>
  </si>
  <si>
    <t xml:space="preserve">   5. 시기별 컨텐츠 큐레이션 서비스 개발</t>
    <phoneticPr fontId="19" type="noConversion"/>
  </si>
  <si>
    <t xml:space="preserve">   6. 독서지원 콘텐츠 구성</t>
    <phoneticPr fontId="19" type="noConversion"/>
  </si>
  <si>
    <t xml:space="preserve">   4. 서비스 개선 자문</t>
    <phoneticPr fontId="19" type="noConversion"/>
  </si>
  <si>
    <t xml:space="preserve"> o 직무전문교육</t>
    <phoneticPr fontId="19" type="noConversion"/>
  </si>
  <si>
    <t>ㅇ 전시장 공사, 운송설치, 행사 공연 용역료</t>
    <phoneticPr fontId="19" type="noConversion"/>
  </si>
  <si>
    <t>ㅇ 전시 및 오픈스튜디오 행사운영비</t>
    <phoneticPr fontId="19" type="noConversion"/>
  </si>
  <si>
    <t>ㅇ 공모심사 및 사업진행 회의운영비</t>
    <phoneticPr fontId="19" type="noConversion"/>
  </si>
  <si>
    <t>ㅇ 국내 출장여비</t>
    <phoneticPr fontId="19" type="noConversion"/>
  </si>
  <si>
    <t xml:space="preserve"> o 특별 행사(공연) 용역</t>
    <phoneticPr fontId="19" type="noConversion"/>
  </si>
  <si>
    <t xml:space="preserve"> o 아르바이트 인건비</t>
    <phoneticPr fontId="19" type="noConversion"/>
  </si>
  <si>
    <t xml:space="preserve"> o 심포지엄 개최 위한 섭외 및 사전 협의</t>
    <phoneticPr fontId="19" type="noConversion"/>
  </si>
  <si>
    <t xml:space="preserve">   2. 교육실 운영물품 등 기본 재료 구입</t>
    <phoneticPr fontId="19" type="noConversion"/>
  </si>
  <si>
    <t xml:space="preserve">   3. 홍보용 사진촬영, 번역료 등</t>
    <phoneticPr fontId="19" type="noConversion"/>
  </si>
  <si>
    <t xml:space="preserve">   2. 국외학회 연회비</t>
    <phoneticPr fontId="19" type="noConversion"/>
  </si>
  <si>
    <t xml:space="preserve">   1. 국내학회 연회비</t>
    <phoneticPr fontId="19" type="noConversion"/>
  </si>
  <si>
    <t xml:space="preserve"> o 운영소모품 구입</t>
    <phoneticPr fontId="19" type="noConversion"/>
  </si>
  <si>
    <t xml:space="preserve">   3. 역량강화교육 강사</t>
    <phoneticPr fontId="19" type="noConversion"/>
  </si>
  <si>
    <t xml:space="preserve"> o 보존처리 소모품</t>
    <phoneticPr fontId="19" type="noConversion"/>
  </si>
  <si>
    <t xml:space="preserve">   1. 홍보물 제작</t>
    <phoneticPr fontId="18" type="noConversion"/>
  </si>
  <si>
    <t xml:space="preserve">   2. 교재 제작</t>
    <phoneticPr fontId="18" type="noConversion"/>
  </si>
  <si>
    <t xml:space="preserve">   4. 기증유물실 테마전시 및 재개관</t>
    <phoneticPr fontId="19" type="noConversion"/>
  </si>
  <si>
    <t>의무실 운영</t>
    <phoneticPr fontId="19" type="noConversion"/>
  </si>
  <si>
    <t xml:space="preserve">   2. 행정지원 및 전문 모니터링</t>
    <phoneticPr fontId="19" type="noConversion"/>
  </si>
  <si>
    <t xml:space="preserve">   3. 경미수리</t>
    <phoneticPr fontId="19" type="noConversion"/>
  </si>
  <si>
    <t xml:space="preserve">   4. 부가수당(정액급식비+자격수당+시간외수당 등 포함)</t>
    <phoneticPr fontId="19" type="noConversion"/>
  </si>
  <si>
    <t xml:space="preserve">   5. 연금 지급(4대보험+퇴직금 등 포함)</t>
    <phoneticPr fontId="19" type="noConversion"/>
  </si>
  <si>
    <t>=</t>
    <phoneticPr fontId="19" type="noConversion"/>
  </si>
  <si>
    <t>회</t>
    <phoneticPr fontId="19" type="noConversion"/>
  </si>
  <si>
    <t xml:space="preserve"> </t>
    <phoneticPr fontId="19" type="noConversion"/>
  </si>
  <si>
    <t xml:space="preserve">   1. 개막식 식음료비</t>
    <phoneticPr fontId="19" type="noConversion"/>
  </si>
  <si>
    <t xml:space="preserve">   2. 학술행사 다과</t>
    <phoneticPr fontId="19" type="noConversion"/>
  </si>
  <si>
    <t>명*</t>
    <phoneticPr fontId="19" type="noConversion"/>
  </si>
  <si>
    <t xml:space="preserve"> o 초청장 및 도록 발송</t>
    <phoneticPr fontId="19" type="noConversion"/>
  </si>
  <si>
    <t>여비교통비</t>
    <phoneticPr fontId="19" type="noConversion"/>
  </si>
  <si>
    <t>통신비</t>
    <phoneticPr fontId="19" type="noConversion"/>
  </si>
  <si>
    <t xml:space="preserve"> o 문화민주주의 계약직(보조인력) 인건비</t>
    <phoneticPr fontId="19" type="noConversion"/>
  </si>
  <si>
    <t>원*</t>
    <phoneticPr fontId="19" type="noConversion"/>
  </si>
  <si>
    <t>개월</t>
    <phoneticPr fontId="19" type="noConversion"/>
  </si>
  <si>
    <t xml:space="preserve"> o 문화민주주의 온,오프라인 광고비</t>
    <phoneticPr fontId="19" type="noConversion"/>
  </si>
  <si>
    <t>회</t>
    <phoneticPr fontId="25" type="noConversion"/>
  </si>
  <si>
    <t>식</t>
    <phoneticPr fontId="25" type="noConversion"/>
  </si>
  <si>
    <t xml:space="preserve"> o 문화민주주의 출장비</t>
    <phoneticPr fontId="19" type="noConversion"/>
  </si>
  <si>
    <t xml:space="preserve"> o 문화민주주의 심사 및 자문비 등</t>
    <phoneticPr fontId="19" type="noConversion"/>
  </si>
  <si>
    <t xml:space="preserve"> o 계</t>
    <phoneticPr fontId="19" type="noConversion"/>
  </si>
  <si>
    <t xml:space="preserve">  1. 문화민주주의 도민의제 정책연구</t>
    <phoneticPr fontId="19" type="noConversion"/>
  </si>
  <si>
    <t>식</t>
    <phoneticPr fontId="19" type="noConversion"/>
  </si>
  <si>
    <t xml:space="preserve">  2. 사업과정 아카이브 기획, 운영</t>
    <phoneticPr fontId="19" type="noConversion"/>
  </si>
  <si>
    <t xml:space="preserve">  3. 라키비움 운영(안) 컨설팅</t>
    <phoneticPr fontId="19" type="noConversion"/>
  </si>
  <si>
    <t xml:space="preserve"> o 문화민주주의 행사진행비</t>
    <phoneticPr fontId="19" type="noConversion"/>
  </si>
  <si>
    <t xml:space="preserve"> o 문화민주주의 회의운영계</t>
    <phoneticPr fontId="19" type="noConversion"/>
  </si>
  <si>
    <t>개월</t>
    <phoneticPr fontId="25" type="noConversion"/>
  </si>
  <si>
    <t xml:space="preserve"> o 온,오프라인 매체 광고비</t>
    <phoneticPr fontId="19" type="noConversion"/>
  </si>
  <si>
    <t>권</t>
    <phoneticPr fontId="25" type="noConversion"/>
  </si>
  <si>
    <t xml:space="preserve"> o 운송/전시 보험료</t>
    <phoneticPr fontId="19" type="noConversion"/>
  </si>
  <si>
    <t>원*</t>
    <phoneticPr fontId="19" type="noConversion"/>
  </si>
  <si>
    <t>식</t>
    <phoneticPr fontId="25" type="noConversion"/>
  </si>
  <si>
    <t xml:space="preserve"> </t>
    <phoneticPr fontId="19" type="noConversion"/>
  </si>
  <si>
    <t xml:space="preserve"> o 계</t>
    <phoneticPr fontId="19" type="noConversion"/>
  </si>
  <si>
    <t>명</t>
    <phoneticPr fontId="19" type="noConversion"/>
  </si>
  <si>
    <t>=</t>
    <phoneticPr fontId="19" type="noConversion"/>
  </si>
  <si>
    <t>명*</t>
    <phoneticPr fontId="19" type="noConversion"/>
  </si>
  <si>
    <t>회</t>
    <phoneticPr fontId="19" type="noConversion"/>
  </si>
  <si>
    <t>회</t>
    <phoneticPr fontId="25" type="noConversion"/>
  </si>
  <si>
    <t>원*</t>
    <phoneticPr fontId="19" type="noConversion"/>
  </si>
  <si>
    <t>식</t>
    <phoneticPr fontId="25" type="noConversion"/>
  </si>
  <si>
    <t>=</t>
    <phoneticPr fontId="19" type="noConversion"/>
  </si>
  <si>
    <t xml:space="preserve"> o 교육용 기기 및 장소 임차료</t>
    <phoneticPr fontId="19" type="noConversion"/>
  </si>
  <si>
    <t xml:space="preserve"> o 우편발송료(발송비 등)</t>
    <phoneticPr fontId="19" type="noConversion"/>
  </si>
  <si>
    <t xml:space="preserve"> o 오프닝 세레모니, 전시부대행사 및 기념품 및 교육행사 등</t>
    <phoneticPr fontId="19" type="noConversion"/>
  </si>
  <si>
    <t>식</t>
    <phoneticPr fontId="19" type="noConversion"/>
  </si>
  <si>
    <t xml:space="preserve"> o 회의운영</t>
    <phoneticPr fontId="19" type="noConversion"/>
  </si>
  <si>
    <t>인건비</t>
    <phoneticPr fontId="19" type="noConversion"/>
  </si>
  <si>
    <t>광고선전비</t>
    <phoneticPr fontId="31" type="noConversion"/>
  </si>
  <si>
    <t>도서인쇄비</t>
    <phoneticPr fontId="19" type="noConversion"/>
  </si>
  <si>
    <t>보험료</t>
    <phoneticPr fontId="31" type="noConversion"/>
  </si>
  <si>
    <t>소모품비</t>
    <phoneticPr fontId="19" type="noConversion"/>
  </si>
  <si>
    <t>지급수수료</t>
    <phoneticPr fontId="19" type="noConversion"/>
  </si>
  <si>
    <t>지급용역료</t>
    <phoneticPr fontId="19" type="noConversion"/>
  </si>
  <si>
    <t>지급임차료</t>
    <phoneticPr fontId="31" type="noConversion"/>
  </si>
  <si>
    <t>통신비</t>
    <phoneticPr fontId="31" type="noConversion"/>
  </si>
  <si>
    <t>행사운영비</t>
    <phoneticPr fontId="19" type="noConversion"/>
  </si>
  <si>
    <t>회의운영비</t>
    <phoneticPr fontId="19" type="noConversion"/>
  </si>
  <si>
    <t>경기 아카이브전</t>
    <phoneticPr fontId="19" type="noConversion"/>
  </si>
  <si>
    <t xml:space="preserve"> o 생활문화 기초조사 및 연구지원</t>
    <phoneticPr fontId="19" type="noConversion"/>
  </si>
  <si>
    <t>건</t>
    <phoneticPr fontId="19" type="noConversion"/>
  </si>
  <si>
    <t xml:space="preserve"> o 자료집 제작  </t>
    <phoneticPr fontId="19" type="noConversion"/>
  </si>
  <si>
    <t xml:space="preserve"> o 소모품 구입 </t>
    <phoneticPr fontId="19" type="noConversion"/>
  </si>
  <si>
    <t xml:space="preserve">   1. 국내출장</t>
    <phoneticPr fontId="19" type="noConversion"/>
  </si>
  <si>
    <t xml:space="preserve">   2. 국외출방</t>
    <phoneticPr fontId="19" type="noConversion"/>
  </si>
  <si>
    <t xml:space="preserve"> o 우편발송료</t>
    <phoneticPr fontId="19" type="noConversion"/>
  </si>
  <si>
    <t xml:space="preserve"> o 간담회, 워크숍 개최 </t>
    <phoneticPr fontId="19" type="noConversion"/>
  </si>
  <si>
    <t xml:space="preserve"> o 관계자 회의 등 </t>
    <phoneticPr fontId="19" type="noConversion"/>
  </si>
  <si>
    <t xml:space="preserve"> o 온오프라인 광고비</t>
    <phoneticPr fontId="19" type="noConversion"/>
  </si>
  <si>
    <t>지역문화 정책연구 및 네트워크</t>
    <phoneticPr fontId="19" type="noConversion"/>
  </si>
  <si>
    <t xml:space="preserve">   3. 웹홍보디자인</t>
    <phoneticPr fontId="19" type="noConversion"/>
  </si>
  <si>
    <t xml:space="preserve">   2. 온라인플랫폼 구축</t>
    <phoneticPr fontId="19" type="noConversion"/>
  </si>
  <si>
    <t xml:space="preserve">   3. 기념품 제작</t>
    <phoneticPr fontId="19" type="noConversion"/>
  </si>
  <si>
    <t xml:space="preserve">   1. 추진단 지원비</t>
    <phoneticPr fontId="19" type="noConversion"/>
  </si>
  <si>
    <t xml:space="preserve">   2. 플랫폼 지원비</t>
    <phoneticPr fontId="19" type="noConversion"/>
  </si>
  <si>
    <t xml:space="preserve">   3. 생활문화예술단 지원비</t>
    <phoneticPr fontId="19" type="noConversion"/>
  </si>
  <si>
    <t>회</t>
    <phoneticPr fontId="19" type="noConversion"/>
  </si>
  <si>
    <t>통신비</t>
    <phoneticPr fontId="19" type="noConversion"/>
  </si>
  <si>
    <t xml:space="preserve"> o 홍보물 발송</t>
    <phoneticPr fontId="19" type="noConversion"/>
  </si>
  <si>
    <t xml:space="preserve"> o 사업홍보물 제작</t>
    <phoneticPr fontId="19" type="noConversion"/>
  </si>
  <si>
    <t>인건비</t>
    <phoneticPr fontId="19" type="noConversion"/>
  </si>
  <si>
    <t xml:space="preserve"> o 생활문화사업 운영인력</t>
    <phoneticPr fontId="19" type="noConversion"/>
  </si>
  <si>
    <t>개월</t>
    <phoneticPr fontId="19" type="noConversion"/>
  </si>
  <si>
    <t xml:space="preserve">   1. 3년차 지원사업 </t>
    <phoneticPr fontId="19" type="noConversion"/>
  </si>
  <si>
    <t>단체*</t>
    <phoneticPr fontId="19" type="noConversion"/>
  </si>
  <si>
    <t>건</t>
    <phoneticPr fontId="19" type="noConversion"/>
  </si>
  <si>
    <t>=</t>
    <phoneticPr fontId="19" type="noConversion"/>
  </si>
  <si>
    <t xml:space="preserve">   2. 마을재생</t>
    <phoneticPr fontId="19" type="noConversion"/>
  </si>
  <si>
    <t>원*</t>
    <phoneticPr fontId="19" type="noConversion"/>
  </si>
  <si>
    <t xml:space="preserve">   3. 리서치,이슈발굴</t>
    <phoneticPr fontId="19" type="noConversion"/>
  </si>
  <si>
    <t xml:space="preserve">   4. G오픈스튜디오</t>
    <phoneticPr fontId="19" type="noConversion"/>
  </si>
  <si>
    <t xml:space="preserve"> o 인건비</t>
    <phoneticPr fontId="19" type="noConversion"/>
  </si>
  <si>
    <t xml:space="preserve">   2. 지역코디네이터(조사) </t>
    <phoneticPr fontId="19" type="noConversion"/>
  </si>
  <si>
    <t xml:space="preserve"> o 계</t>
    <phoneticPr fontId="19" type="noConversion"/>
  </si>
  <si>
    <t xml:space="preserve">   1. 영상촬영</t>
    <phoneticPr fontId="19" type="noConversion"/>
  </si>
  <si>
    <t xml:space="preserve">   2. 기념품 제작</t>
    <phoneticPr fontId="19" type="noConversion"/>
  </si>
  <si>
    <t xml:space="preserve">   1. 자료집제작</t>
    <phoneticPr fontId="19" type="noConversion"/>
  </si>
  <si>
    <t xml:space="preserve">   2. 홍보물제작</t>
    <phoneticPr fontId="19" type="noConversion"/>
  </si>
  <si>
    <t>자료구입비</t>
    <phoneticPr fontId="19" type="noConversion"/>
  </si>
  <si>
    <t xml:space="preserve"> o 자료구입</t>
    <phoneticPr fontId="19" type="noConversion"/>
  </si>
  <si>
    <t xml:space="preserve">   1. 보이는 마을 소모품 구입</t>
    <phoneticPr fontId="19" type="noConversion"/>
  </si>
  <si>
    <t>회</t>
    <phoneticPr fontId="19" type="noConversion"/>
  </si>
  <si>
    <t xml:space="preserve">   2. 기념품제작</t>
    <phoneticPr fontId="19" type="noConversion"/>
  </si>
  <si>
    <t xml:space="preserve"> o 국내여비</t>
    <phoneticPr fontId="19" type="noConversion"/>
  </si>
  <si>
    <t xml:space="preserve"> o 프로젝트 진행 인력</t>
    <phoneticPr fontId="19" type="noConversion"/>
  </si>
  <si>
    <t>1</t>
    <phoneticPr fontId="19" type="noConversion"/>
  </si>
  <si>
    <t>광고선전비</t>
    <phoneticPr fontId="19" type="noConversion"/>
  </si>
  <si>
    <t xml:space="preserve"> o 버스 및 지하철 광고료</t>
    <phoneticPr fontId="19" type="noConversion"/>
  </si>
  <si>
    <t>식</t>
    <phoneticPr fontId="19" type="noConversion"/>
  </si>
  <si>
    <t xml:space="preserve"> o 프로젝트자료집</t>
    <phoneticPr fontId="19" type="noConversion"/>
  </si>
  <si>
    <t xml:space="preserve"> o 작품보험료</t>
    <phoneticPr fontId="19" type="noConversion"/>
  </si>
  <si>
    <t xml:space="preserve"> o 관련 소모품비</t>
    <phoneticPr fontId="19" type="noConversion"/>
  </si>
  <si>
    <t>식</t>
    <phoneticPr fontId="19" type="noConversion"/>
  </si>
  <si>
    <t xml:space="preserve">   1. 해외출장 및 초청 항공료</t>
    <phoneticPr fontId="19" type="noConversion"/>
  </si>
  <si>
    <t>3</t>
    <phoneticPr fontId="19" type="noConversion"/>
  </si>
  <si>
    <t xml:space="preserve">   2. 해외출장 및 초청자 체재비</t>
    <phoneticPr fontId="19" type="noConversion"/>
  </si>
  <si>
    <t xml:space="preserve">   3. 해외출장 및 초청자 일비</t>
    <phoneticPr fontId="19" type="noConversion"/>
  </si>
  <si>
    <t xml:space="preserve">   1. 외부협력 기획자수수료</t>
    <phoneticPr fontId="19" type="noConversion"/>
  </si>
  <si>
    <t>인</t>
    <phoneticPr fontId="19" type="noConversion"/>
  </si>
  <si>
    <t xml:space="preserve">   2. 퍼포먼스공연료</t>
    <phoneticPr fontId="19" type="noConversion"/>
  </si>
  <si>
    <t>회</t>
    <phoneticPr fontId="19" type="noConversion"/>
  </si>
  <si>
    <t xml:space="preserve">   3. 번역료(한-&gt;영)</t>
    <phoneticPr fontId="19" type="noConversion"/>
  </si>
  <si>
    <t xml:space="preserve">   5. 작가사례비</t>
    <phoneticPr fontId="19" type="noConversion"/>
  </si>
  <si>
    <t xml:space="preserve">   1.해외 작품 운송</t>
    <phoneticPr fontId="19" type="noConversion"/>
  </si>
  <si>
    <t xml:space="preserve">   2. 작품제작용역</t>
    <phoneticPr fontId="19" type="noConversion"/>
  </si>
  <si>
    <t xml:space="preserve">   3. 전시장공사</t>
    <phoneticPr fontId="19" type="noConversion"/>
  </si>
  <si>
    <t xml:space="preserve">   4. 작품설치용역</t>
    <phoneticPr fontId="19" type="noConversion"/>
  </si>
  <si>
    <t xml:space="preserve">   5. 아카이브 액자제작</t>
    <phoneticPr fontId="19" type="noConversion"/>
  </si>
  <si>
    <t xml:space="preserve">   6. 전시시트지 및 현수막제작 </t>
    <phoneticPr fontId="19" type="noConversion"/>
  </si>
  <si>
    <t xml:space="preserve">   3. 작품데여료</t>
    <phoneticPr fontId="19" type="noConversion"/>
  </si>
  <si>
    <t xml:space="preserve">   1. 개막 행사비</t>
    <phoneticPr fontId="19" type="noConversion"/>
  </si>
  <si>
    <t xml:space="preserve">   2. 부대행사운영</t>
    <phoneticPr fontId="19" type="noConversion"/>
  </si>
  <si>
    <t>근대 문화유산 활용 사업</t>
    <phoneticPr fontId="19" type="noConversion"/>
  </si>
  <si>
    <t>소외어르신 문화예술 프로그램 지원</t>
    <phoneticPr fontId="19" type="noConversion"/>
  </si>
  <si>
    <t>벌터 문화마을 만들기</t>
    <phoneticPr fontId="19" type="noConversion"/>
  </si>
  <si>
    <t>연강갤러리 전시 운영</t>
    <phoneticPr fontId="19" type="noConversion"/>
  </si>
  <si>
    <t>경기 전통문화 활성화</t>
    <phoneticPr fontId="19" type="noConversion"/>
  </si>
  <si>
    <t>북한산성 연구보존 및 활성화</t>
    <phoneticPr fontId="19" type="noConversion"/>
  </si>
  <si>
    <t xml:space="preserve"> 경기문화인력 키움프로젝트</t>
    <phoneticPr fontId="19" type="noConversion"/>
  </si>
  <si>
    <t xml:space="preserve"> 북한산성 연구총서 발간</t>
    <phoneticPr fontId="19" type="noConversion"/>
  </si>
  <si>
    <t xml:space="preserve"> 생생문화재 사업</t>
    <phoneticPr fontId="19" type="noConversion"/>
  </si>
  <si>
    <t xml:space="preserve"> 지역문화유산 교육</t>
    <phoneticPr fontId="19" type="noConversion"/>
  </si>
  <si>
    <t xml:space="preserve"> 교육나눔사업</t>
    <phoneticPr fontId="19" type="noConversion"/>
  </si>
  <si>
    <t xml:space="preserve"> 경기꿈의대학</t>
    <phoneticPr fontId="19" type="noConversion"/>
  </si>
  <si>
    <t>백남준 라이브러리 운영 지원</t>
    <phoneticPr fontId="31" type="noConversion"/>
  </si>
  <si>
    <t>사이버도서관 운영</t>
    <phoneticPr fontId="19" type="noConversion"/>
  </si>
  <si>
    <t>경기도 대표도서관 지원 사업</t>
    <phoneticPr fontId="19" type="noConversion"/>
  </si>
  <si>
    <t>문화재 돌봄 사업</t>
    <phoneticPr fontId="19" type="noConversion"/>
  </si>
  <si>
    <t>경기 옛길 관리운영</t>
    <phoneticPr fontId="19" type="noConversion"/>
  </si>
  <si>
    <t>북한산성 보존정비 사업</t>
    <phoneticPr fontId="19" type="noConversion"/>
  </si>
  <si>
    <t>근대문화유산 활용 사업</t>
    <phoneticPr fontId="19" type="noConversion"/>
  </si>
  <si>
    <t>연강갤러리 전시 운영</t>
    <phoneticPr fontId="19" type="noConversion"/>
  </si>
  <si>
    <t>경기 전통문화 활성화</t>
    <phoneticPr fontId="19" type="noConversion"/>
  </si>
  <si>
    <t>2018북한산성 연구보존 및 활성화</t>
  </si>
  <si>
    <t>2018북한산성 연구보존 및 활성화</t>
    <phoneticPr fontId="19" type="noConversion"/>
  </si>
  <si>
    <t>경기문화인력 키움프로젝트</t>
    <phoneticPr fontId="19" type="noConversion"/>
  </si>
  <si>
    <t>2018북한산성 연구총서 발간</t>
    <phoneticPr fontId="19" type="noConversion"/>
  </si>
  <si>
    <t>2018북한산성 연구총서 발간</t>
    <phoneticPr fontId="19" type="noConversion"/>
  </si>
  <si>
    <t>생생문화재</t>
    <phoneticPr fontId="19" type="noConversion"/>
  </si>
  <si>
    <t>생생문화재</t>
    <phoneticPr fontId="19" type="noConversion"/>
  </si>
  <si>
    <t>지역문화유산 교육</t>
    <phoneticPr fontId="19" type="noConversion"/>
  </si>
  <si>
    <t>지역문화유산 교육</t>
    <phoneticPr fontId="19" type="noConversion"/>
  </si>
  <si>
    <t>2018 교육나눔사업</t>
    <phoneticPr fontId="19" type="noConversion"/>
  </si>
  <si>
    <t>2018 교육나눔사업</t>
    <phoneticPr fontId="19" type="noConversion"/>
  </si>
  <si>
    <t>경기꿈의대학</t>
    <phoneticPr fontId="19" type="noConversion"/>
  </si>
  <si>
    <t>행궁지정비(4차)</t>
    <phoneticPr fontId="19" type="noConversion"/>
  </si>
  <si>
    <t>구조안전진단(2차)</t>
    <phoneticPr fontId="19" type="noConversion"/>
  </si>
  <si>
    <t>전문가 포럼</t>
    <phoneticPr fontId="19" type="noConversion"/>
  </si>
  <si>
    <t>대토론회 개최</t>
    <phoneticPr fontId="19" type="noConversion"/>
  </si>
  <si>
    <t>비전선포식</t>
    <phoneticPr fontId="19" type="noConversion"/>
  </si>
  <si>
    <t>홍보사업</t>
    <phoneticPr fontId="19" type="noConversion"/>
  </si>
  <si>
    <t xml:space="preserve">  - 백남준아트센터 미래미술관 프로젝트 (한국공간복지재단)</t>
    <phoneticPr fontId="19" type="noConversion"/>
  </si>
  <si>
    <t xml:space="preserve">  - 경기도미술관 프랑스-Wall Painting (주한프랑스문화원)</t>
    <phoneticPr fontId="19" type="noConversion"/>
  </si>
  <si>
    <t xml:space="preserve">  - 문화예술본부 지역문화팀 근대 문화유산 활용 사업 (경기도)</t>
    <phoneticPr fontId="19" type="noConversion"/>
  </si>
  <si>
    <t xml:space="preserve">  - 문화예술본부 지역문화팀 소외어르신 문화예술 프로그램 지원 (경기도)</t>
    <phoneticPr fontId="19" type="noConversion"/>
  </si>
  <si>
    <t xml:space="preserve">  - 문화예술본부 경기창작센터 연강갤러리 전시 운영 (연천군)</t>
    <phoneticPr fontId="19" type="noConversion"/>
  </si>
  <si>
    <t xml:space="preserve">  - 백남준아트센터 작은도서관 운영 지원 (용인시)</t>
    <phoneticPr fontId="19" type="noConversion"/>
  </si>
  <si>
    <t xml:space="preserve">  - 백남준아트센터 경기꿈의대학 (경기도교육청)</t>
    <phoneticPr fontId="19" type="noConversion"/>
  </si>
  <si>
    <t xml:space="preserve">  - 경기문화재연구원 문화유산팀 북한산성 연구총서 (고양시)</t>
    <phoneticPr fontId="19" type="noConversion"/>
  </si>
  <si>
    <t xml:space="preserve">  - 경기문화재연구원 문화유산팀 생생문화재 (고양시)</t>
    <phoneticPr fontId="19" type="noConversion"/>
  </si>
  <si>
    <t xml:space="preserve">  - 경기문화재연구원 문화유산팀 북한산성 연구보존 및 활성화 (경기도)</t>
    <phoneticPr fontId="19" type="noConversion"/>
  </si>
  <si>
    <t xml:space="preserve">  - 경기문화재연구원 경기학연구센터 경기 전통문화 활성화 (경기도)</t>
    <phoneticPr fontId="19" type="noConversion"/>
  </si>
  <si>
    <t xml:space="preserve">  - 경기도박물관, 경기도미술관, 실학박물관 교육나눔사업 (경기도)</t>
    <phoneticPr fontId="19" type="noConversion"/>
  </si>
  <si>
    <t xml:space="preserve">  - 경영본부 사이버도서관관리팀 경기도 대표도서관 지원 사업 (경기도)</t>
    <phoneticPr fontId="19" type="noConversion"/>
  </si>
  <si>
    <t xml:space="preserve"> 제1조(예산규모) 2018년도 2회 추경 수입·지출예산 규모는 다음과 같다.</t>
    <phoneticPr fontId="19" type="noConversion"/>
  </si>
  <si>
    <t xml:space="preserve"> 제2조(예산명세) 2018년도 2회 추경 수입·지출 예산명세는
                         별첨“2회 추경 수입·지출 예산서”와 같다.</t>
    <phoneticPr fontId="19" type="noConversion"/>
  </si>
  <si>
    <t>2018년도 2회 추경 수입예산 총괄표</t>
    <phoneticPr fontId="19" type="noConversion"/>
  </si>
  <si>
    <t>2018년도 2회 추경 지출예산 총괄표</t>
    <phoneticPr fontId="19" type="noConversion"/>
  </si>
  <si>
    <t xml:space="preserve">  - 문화예술본부 지역문화팀 벌터 문화마을 만들기 (수원시)</t>
    <phoneticPr fontId="19" type="noConversion"/>
  </si>
  <si>
    <t xml:space="preserve">  - 경영본부 사이버도서관관리팀 경기도 사이버도서관 운영 (경기도)</t>
    <phoneticPr fontId="19" type="noConversion"/>
  </si>
  <si>
    <t xml:space="preserve">   4. 국내출장</t>
    <phoneticPr fontId="19" type="noConversion"/>
  </si>
  <si>
    <t xml:space="preserve"> o 워크숍 공유회</t>
    <phoneticPr fontId="19" type="noConversion"/>
  </si>
  <si>
    <t xml:space="preserve"> o 문화민주주의 정책연구 도서 인쇄 등</t>
    <phoneticPr fontId="19" type="noConversion"/>
  </si>
  <si>
    <t>2018년도 2회 추경 수입예산 (고유목적)</t>
    <phoneticPr fontId="19" type="noConversion"/>
  </si>
  <si>
    <t>2018년도 2회 추경 지출예산 (고유목적)</t>
    <phoneticPr fontId="19" type="noConversion"/>
  </si>
  <si>
    <t>2018년도 2회 추경 지출예산 (문화예술본부)</t>
    <phoneticPr fontId="19" type="noConversion"/>
  </si>
  <si>
    <t>2018년도 2회 추경 지출예산 (경기문화재연구원)</t>
    <phoneticPr fontId="19" type="noConversion"/>
  </si>
  <si>
    <t>2018년도 2회 추경 지출예산 (경기도미술관)</t>
    <phoneticPr fontId="19" type="noConversion"/>
  </si>
  <si>
    <t>2018년도 2회 추경 지출예산 (백남준아트센터)</t>
    <phoneticPr fontId="19" type="noConversion"/>
  </si>
  <si>
    <t>2018년도 2회 추경 지출예산 (경기도어린이박물관)</t>
    <phoneticPr fontId="19" type="noConversion"/>
  </si>
  <si>
    <t>2018년도 지출예산 (위탁)</t>
    <phoneticPr fontId="19" type="noConversion"/>
  </si>
  <si>
    <t>2018년도 지출예산 (공기관대행, 보조금, 지원금)</t>
    <phoneticPr fontId="19" type="noConversion"/>
  </si>
  <si>
    <t xml:space="preserve">  - 경영본부 미디어마케팅팀 경기천년 드론사진 공모전 (경기도)</t>
    <phoneticPr fontId="19" type="noConversion"/>
  </si>
  <si>
    <t xml:space="preserve">  - 문화예술본부 지역문화팀 경기문화인력 키움프로젝트 (한국문화관광연구원)</t>
    <phoneticPr fontId="19" type="noConversion"/>
  </si>
  <si>
    <t xml:space="preserve">  - 경기문화재연구원 문화유산팀 지역문화유산 교육 (고양시)</t>
    <phoneticPr fontId="19" type="noConversion"/>
  </si>
  <si>
    <t xml:space="preserve"> 통합문화이용권(문화누리카드) 사업</t>
    <phoneticPr fontId="19" type="noConversion"/>
  </si>
  <si>
    <t xml:space="preserve">   1. 전문가 자문회의 및 심사</t>
    <phoneticPr fontId="19" type="noConversion"/>
  </si>
  <si>
    <t xml:space="preserve">   1. 생활문화 기초현황조사 </t>
    <phoneticPr fontId="19" type="noConversion"/>
  </si>
  <si>
    <t xml:space="preserve">   2. 청미공 기획 및 운영</t>
    <phoneticPr fontId="19" type="noConversion"/>
  </si>
  <si>
    <t xml:space="preserve">   3. 콘텐츠 제작 및 활용 </t>
    <phoneticPr fontId="19" type="noConversion"/>
  </si>
  <si>
    <t xml:space="preserve">   4. 생활문화지표 시범적용연구</t>
    <phoneticPr fontId="19" type="noConversion"/>
  </si>
  <si>
    <t>경기천년 브랜드 및 축제영상 제작</t>
    <phoneticPr fontId="24" type="noConversion"/>
  </si>
  <si>
    <t xml:space="preserve"> o 사업명 변경 (경기천년 다큐제작 -&gt; 경기천년 브랜드 및 축제영상 제작)</t>
    <phoneticPr fontId="19" type="noConversion"/>
  </si>
  <si>
    <t xml:space="preserve">  - 문화예술본부 (문예진흥사업)</t>
    <phoneticPr fontId="19" type="noConversion"/>
  </si>
  <si>
    <t>생활문화 활성화 지원</t>
    <phoneticPr fontId="19" type="noConversion"/>
  </si>
  <si>
    <t>옆 집에 사는 예술가</t>
    <phoneticPr fontId="19" type="noConversion"/>
  </si>
  <si>
    <t>생활문화 정책연구</t>
    <phoneticPr fontId="19" type="noConversion"/>
  </si>
  <si>
    <t>지역문화(생활문화) 네트워크 협력</t>
    <phoneticPr fontId="19" type="noConversion"/>
  </si>
  <si>
    <t xml:space="preserve"> o 예산전용 (생활문화 정책연구 -&gt; 지역문화 정책연구 및 네트워크)</t>
    <phoneticPr fontId="19" type="noConversion"/>
  </si>
  <si>
    <t xml:space="preserve"> o 예산전용 (지역문화 네트워크 협력 -&gt; 지역문화 정책연구 및 네트워크)</t>
    <phoneticPr fontId="19" type="noConversion"/>
  </si>
  <si>
    <t>생활문화 콘텐츠 제작 및 활용</t>
    <phoneticPr fontId="19" type="noConversion"/>
  </si>
  <si>
    <t xml:space="preserve"> o 예산전용 (생활문화 콘텐츠 제작 및 활용 -&gt; 지역문화 정책연구 및 네트워크)</t>
    <phoneticPr fontId="19" type="noConversion"/>
  </si>
  <si>
    <t xml:space="preserve"> o 예산전용 (생활문화 정책연구, 지역문화 네트워크협력, 생활문화 콘텐츠 제작 및 활용, 도민정책 상상플랫폼 -&gt; 지역문화 정책연구 및 네트워크)</t>
    <phoneticPr fontId="19" type="noConversion"/>
  </si>
  <si>
    <t>천년근대문화유산 발굴</t>
    <phoneticPr fontId="19" type="noConversion"/>
  </si>
  <si>
    <t xml:space="preserve"> o 심사비 및 자문비</t>
    <phoneticPr fontId="19" type="noConversion"/>
  </si>
  <si>
    <t>회</t>
    <phoneticPr fontId="19" type="noConversion"/>
  </si>
  <si>
    <t>지급용역료</t>
    <phoneticPr fontId="19" type="noConversion"/>
  </si>
  <si>
    <t xml:space="preserve"> o 천년근대문화유산 발굴 용역</t>
    <phoneticPr fontId="19" type="noConversion"/>
  </si>
  <si>
    <t xml:space="preserve">  - 경기문화재연구원 북한산성 보존정비 사업 (국비, 도비, 시비)</t>
    <phoneticPr fontId="19" type="noConversion"/>
  </si>
  <si>
    <t xml:space="preserve">  - 경기문화재연구원 문화재 돌봄사업 (국비, 도비)</t>
    <phoneticPr fontId="19" type="noConversion"/>
  </si>
  <si>
    <t xml:space="preserve"> o 계</t>
    <phoneticPr fontId="19" type="noConversion"/>
  </si>
  <si>
    <t>계</t>
    <phoneticPr fontId="19" type="noConversion"/>
  </si>
  <si>
    <t xml:space="preserve">   1. 종합홍보리플릿제작</t>
    <phoneticPr fontId="19" type="noConversion"/>
  </si>
  <si>
    <t xml:space="preserve"> </t>
    <phoneticPr fontId="19" type="noConversion"/>
  </si>
  <si>
    <t>원*</t>
    <phoneticPr fontId="19" type="noConversion"/>
  </si>
  <si>
    <t>부</t>
    <phoneticPr fontId="19" type="noConversion"/>
  </si>
  <si>
    <t>=</t>
    <phoneticPr fontId="19" type="noConversion"/>
  </si>
  <si>
    <t xml:space="preserve">   2. 연보제작</t>
    <phoneticPr fontId="19" type="noConversion"/>
  </si>
  <si>
    <t xml:space="preserve">   1. 뉴스레터 제작</t>
    <phoneticPr fontId="19" type="noConversion"/>
  </si>
  <si>
    <t>원+</t>
    <phoneticPr fontId="19" type="noConversion"/>
  </si>
  <si>
    <t>개월</t>
    <phoneticPr fontId="19" type="noConversion"/>
  </si>
  <si>
    <t xml:space="preserve">   2. 홍보영상 제작</t>
    <phoneticPr fontId="19" type="noConversion"/>
  </si>
  <si>
    <t>회</t>
    <phoneticPr fontId="19" type="noConversion"/>
  </si>
  <si>
    <t>디자인 비용</t>
    <phoneticPr fontId="19" type="noConversion"/>
  </si>
  <si>
    <t xml:space="preserve">   1. 서포터즈운영</t>
    <phoneticPr fontId="19" type="noConversion"/>
  </si>
  <si>
    <t xml:space="preserve"> </t>
    <phoneticPr fontId="18" type="noConversion"/>
  </si>
  <si>
    <t>명</t>
    <phoneticPr fontId="18" type="noConversion"/>
  </si>
  <si>
    <t xml:space="preserve">   2. 문화콘서트 운영</t>
    <phoneticPr fontId="19" type="noConversion"/>
  </si>
  <si>
    <t>식</t>
    <phoneticPr fontId="19" type="noConversion"/>
  </si>
  <si>
    <t xml:space="preserve">   3. SNS 이벤트</t>
    <phoneticPr fontId="19" type="noConversion"/>
  </si>
  <si>
    <t xml:space="preserve"> o 소모품비</t>
    <phoneticPr fontId="19" type="noConversion"/>
  </si>
  <si>
    <t>회</t>
    <phoneticPr fontId="18" type="noConversion"/>
  </si>
  <si>
    <t xml:space="preserve"> o 우편발송비</t>
    <phoneticPr fontId="19" type="noConversion"/>
  </si>
  <si>
    <t xml:space="preserve"> o 회의운영비</t>
    <phoneticPr fontId="19" type="noConversion"/>
  </si>
  <si>
    <t>명</t>
    <phoneticPr fontId="19" type="noConversion"/>
  </si>
  <si>
    <t>도서인쇄비</t>
    <phoneticPr fontId="18" type="noConversion"/>
  </si>
  <si>
    <t>지급용역료</t>
    <phoneticPr fontId="18" type="noConversion"/>
  </si>
  <si>
    <t>지급수수료</t>
    <phoneticPr fontId="18" type="noConversion"/>
  </si>
  <si>
    <t>행사운영비</t>
    <phoneticPr fontId="18" type="noConversion"/>
  </si>
  <si>
    <t>소모품비</t>
    <phoneticPr fontId="18" type="noConversion"/>
  </si>
  <si>
    <t>통신비</t>
    <phoneticPr fontId="19" type="noConversion"/>
  </si>
  <si>
    <t>회의운영비</t>
    <phoneticPr fontId="18" type="noConversion"/>
  </si>
  <si>
    <t xml:space="preserve"> o 예산과목 폐지</t>
    <phoneticPr fontId="19" type="noConversion"/>
  </si>
  <si>
    <t xml:space="preserve">   3. 전시장 지킴이</t>
    <phoneticPr fontId="19" type="noConversion"/>
  </si>
  <si>
    <t xml:space="preserve">   4. 전시장공사</t>
    <phoneticPr fontId="19" type="noConversion"/>
  </si>
  <si>
    <t xml:space="preserve">   5. 전시장해체공사</t>
    <phoneticPr fontId="19" type="noConversion"/>
  </si>
  <si>
    <t xml:space="preserve">   1. 중장비(굴삭기 06 기종) 임차료</t>
    <phoneticPr fontId="19" type="noConversion"/>
  </si>
  <si>
    <t>일 *</t>
    <phoneticPr fontId="24" type="noConversion"/>
  </si>
  <si>
    <t>원 *</t>
    <phoneticPr fontId="19" type="noConversion"/>
  </si>
  <si>
    <t>대 *</t>
    <phoneticPr fontId="18" type="noConversion"/>
  </si>
  <si>
    <t>개 현장</t>
    <phoneticPr fontId="24" type="noConversion"/>
  </si>
  <si>
    <t xml:space="preserve">   2. 중장비(굴삭기 08 기종) 임차료</t>
    <phoneticPr fontId="19" type="noConversion"/>
  </si>
  <si>
    <t xml:space="preserve">   3. 중장비(덤프트럭) 임차료</t>
    <phoneticPr fontId="19" type="noConversion"/>
  </si>
  <si>
    <t xml:space="preserve">   4. 중장비 운송료(03 기종)</t>
    <phoneticPr fontId="19" type="noConversion"/>
  </si>
  <si>
    <t xml:space="preserve">   5. 중장비 운송료(06, 06, 08,10.1 기종)</t>
    <phoneticPr fontId="18" type="noConversion"/>
  </si>
  <si>
    <t xml:space="preserve">   6. 현장사무실용 콘테이너 운송료</t>
    <phoneticPr fontId="24" type="noConversion"/>
  </si>
  <si>
    <t>회 *</t>
    <phoneticPr fontId="18" type="noConversion"/>
  </si>
  <si>
    <t xml:space="preserve">   7. 현장사무실 임차료</t>
    <phoneticPr fontId="24" type="noConversion"/>
  </si>
  <si>
    <t>월 *</t>
    <phoneticPr fontId="24" type="noConversion"/>
  </si>
  <si>
    <t xml:space="preserve">   8. 장비 및 물품수송 차량 임차료</t>
    <phoneticPr fontId="24" type="noConversion"/>
  </si>
  <si>
    <t xml:space="preserve">   9. 현장 업무용차량 임차료(4륜구동형)</t>
    <phoneticPr fontId="24" type="noConversion"/>
  </si>
  <si>
    <t xml:space="preserve"> 10. 현장 사무실 냉,난방기, 집기류 임차료</t>
    <phoneticPr fontId="24" type="noConversion"/>
  </si>
  <si>
    <t xml:space="preserve">   1. 지표조사여비</t>
    <phoneticPr fontId="19" type="noConversion"/>
  </si>
  <si>
    <t>일*</t>
    <phoneticPr fontId="19" type="noConversion"/>
  </si>
  <si>
    <t>명*</t>
    <phoneticPr fontId="19" type="noConversion"/>
  </si>
  <si>
    <t xml:space="preserve">   2. 발굴조사현장 여비</t>
    <phoneticPr fontId="24" type="noConversion"/>
  </si>
  <si>
    <t>개현장*</t>
    <phoneticPr fontId="19" type="noConversion"/>
  </si>
  <si>
    <t xml:space="preserve">   3. 조사용역 국내여비</t>
    <phoneticPr fontId="24" type="noConversion"/>
  </si>
  <si>
    <t>회*</t>
    <phoneticPr fontId="19" type="noConversion"/>
  </si>
  <si>
    <t xml:space="preserve"> o 발굴현장 설치 및 계약관련 보증보험료</t>
    <phoneticPr fontId="19" type="noConversion"/>
  </si>
  <si>
    <t xml:space="preserve">   1. 발굴조사용 조사소모품 구입</t>
    <phoneticPr fontId="19" type="noConversion"/>
  </si>
  <si>
    <t xml:space="preserve">   2. 발굴조사용 문구류 구입</t>
    <phoneticPr fontId="19" type="noConversion"/>
  </si>
  <si>
    <t xml:space="preserve">   3. 유물정리 소모품 구입</t>
    <phoneticPr fontId="19" type="noConversion"/>
  </si>
  <si>
    <t xml:space="preserve">   4. 유물 보존처리 약품류 구입</t>
    <phoneticPr fontId="19" type="noConversion"/>
  </si>
  <si>
    <t xml:space="preserve">   5. 보존처리 물품 구입</t>
    <phoneticPr fontId="19" type="noConversion"/>
  </si>
  <si>
    <t xml:space="preserve">   6. 조사현장 생수비</t>
    <phoneticPr fontId="19" type="noConversion"/>
  </si>
  <si>
    <t>개현장 *</t>
    <phoneticPr fontId="19" type="noConversion"/>
  </si>
  <si>
    <t>월</t>
    <phoneticPr fontId="18" type="noConversion"/>
  </si>
  <si>
    <t xml:space="preserve"> o 업무관련 각종 회의운영</t>
    <phoneticPr fontId="19" type="noConversion"/>
  </si>
  <si>
    <t>일</t>
    <phoneticPr fontId="19" type="noConversion"/>
  </si>
  <si>
    <t xml:space="preserve"> o 심포지엄 자료집 및 관련 인쇄물</t>
    <phoneticPr fontId="19" type="noConversion"/>
  </si>
  <si>
    <t xml:space="preserve">   1. 3D 스캔</t>
    <phoneticPr fontId="19" type="noConversion"/>
  </si>
  <si>
    <t xml:space="preserve">   2. 영상 제작(원고 나레이션, 음악 등)</t>
    <phoneticPr fontId="19" type="noConversion"/>
  </si>
  <si>
    <t xml:space="preserve">   3. 전시운영(공사, 장비 등)</t>
    <phoneticPr fontId="19" type="noConversion"/>
  </si>
  <si>
    <t xml:space="preserve">   4. 사진 촬영</t>
    <phoneticPr fontId="19" type="noConversion"/>
  </si>
  <si>
    <t>곳*</t>
    <phoneticPr fontId="31" type="noConversion"/>
  </si>
  <si>
    <t xml:space="preserve">   1. 발표자 원고료 및 토론자, 사회자 수당</t>
    <phoneticPr fontId="19" type="noConversion"/>
  </si>
  <si>
    <t xml:space="preserve">   2. 자문 수당</t>
    <phoneticPr fontId="19" type="noConversion"/>
  </si>
  <si>
    <t>회*</t>
    <phoneticPr fontId="31" type="noConversion"/>
  </si>
  <si>
    <t>통신비</t>
    <phoneticPr fontId="19" type="noConversion"/>
  </si>
  <si>
    <t xml:space="preserve"> o 우편물 발송료</t>
    <phoneticPr fontId="19" type="noConversion"/>
  </si>
  <si>
    <t xml:space="preserve">   1. 사무기기 임차</t>
    <phoneticPr fontId="19" type="noConversion"/>
  </si>
  <si>
    <t xml:space="preserve">   2. 전시장비 임차</t>
    <phoneticPr fontId="19" type="noConversion"/>
  </si>
  <si>
    <t xml:space="preserve">   1. 자문회의 수당</t>
    <phoneticPr fontId="19" type="noConversion"/>
  </si>
  <si>
    <t xml:space="preserve">   2. 원고료</t>
    <phoneticPr fontId="19" type="noConversion"/>
  </si>
  <si>
    <t>매*</t>
    <phoneticPr fontId="19" type="noConversion"/>
  </si>
  <si>
    <t>소모품비</t>
    <phoneticPr fontId="19" type="noConversion"/>
  </si>
  <si>
    <t>자료구입비</t>
    <phoneticPr fontId="19" type="noConversion"/>
  </si>
  <si>
    <t>월</t>
    <phoneticPr fontId="19" type="noConversion"/>
  </si>
  <si>
    <t>대*</t>
    <phoneticPr fontId="19" type="noConversion"/>
  </si>
  <si>
    <t xml:space="preserve">   1. 라디오 시보 제작 및 송출</t>
    <phoneticPr fontId="19" type="noConversion"/>
  </si>
  <si>
    <t xml:space="preserve">   2. TV 광고(영상 송출)</t>
    <phoneticPr fontId="19" type="noConversion"/>
  </si>
  <si>
    <t xml:space="preserve">   1. 국내외 온라인 광고</t>
    <phoneticPr fontId="19" type="noConversion"/>
  </si>
  <si>
    <t xml:space="preserve">   2. 전문지 광고</t>
    <phoneticPr fontId="19" type="noConversion"/>
  </si>
  <si>
    <t xml:space="preserve">   1. 전시 카달로그제작</t>
    <phoneticPr fontId="19" type="noConversion"/>
  </si>
  <si>
    <t xml:space="preserve">   2. 전시 포스터, 리플렛, 초대장 등</t>
    <phoneticPr fontId="19" type="noConversion"/>
  </si>
  <si>
    <t xml:space="preserve">   1. 초청작가, 기획자(항공비)</t>
    <phoneticPr fontId="19" type="noConversion"/>
  </si>
  <si>
    <t xml:space="preserve">   2. 초청작가, 기획자(숙박비)</t>
    <phoneticPr fontId="19" type="noConversion"/>
  </si>
  <si>
    <t xml:space="preserve">   3. 초청작가, 기획자(일비)</t>
    <phoneticPr fontId="19" type="noConversion"/>
  </si>
  <si>
    <t xml:space="preserve">   1. 카탈로그 원고료</t>
    <phoneticPr fontId="19" type="noConversion"/>
  </si>
  <si>
    <t xml:space="preserve">   2. 원고 번역료</t>
    <phoneticPr fontId="19" type="noConversion"/>
  </si>
  <si>
    <t>매</t>
    <phoneticPr fontId="19" type="noConversion"/>
  </si>
  <si>
    <t xml:space="preserve">   3. 영상 번역료</t>
    <phoneticPr fontId="19" type="noConversion"/>
  </si>
  <si>
    <t xml:space="preserve">   4. 작품제작지원금</t>
    <phoneticPr fontId="19" type="noConversion"/>
  </si>
  <si>
    <t xml:space="preserve">   5. 통역료</t>
    <phoneticPr fontId="19" type="noConversion"/>
  </si>
  <si>
    <t xml:space="preserve">   6. 강의료</t>
    <phoneticPr fontId="19" type="noConversion"/>
  </si>
  <si>
    <t xml:space="preserve">   7. 제작현장보조인력</t>
    <phoneticPr fontId="19" type="noConversion"/>
  </si>
  <si>
    <t xml:space="preserve">   1. 전시장 구성 공사 및 복구</t>
    <phoneticPr fontId="19" type="noConversion"/>
  </si>
  <si>
    <t xml:space="preserve">   2. 전시 사인물 제작 및 설치</t>
    <phoneticPr fontId="19" type="noConversion"/>
  </si>
  <si>
    <t xml:space="preserve">   3. 작품운송설치철거용역</t>
    <phoneticPr fontId="19" type="noConversion"/>
  </si>
  <si>
    <t xml:space="preserve">   4. 사진촬영비</t>
    <phoneticPr fontId="19" type="noConversion"/>
  </si>
  <si>
    <t>컷</t>
    <phoneticPr fontId="19" type="noConversion"/>
  </si>
  <si>
    <t xml:space="preserve">   1. 고소작업대 임차</t>
    <phoneticPr fontId="19" type="noConversion"/>
  </si>
  <si>
    <t xml:space="preserve">   2. 비계 임차 </t>
    <phoneticPr fontId="19" type="noConversion"/>
  </si>
  <si>
    <t xml:space="preserve">   3. 음향, 영상기기 등 임차</t>
    <phoneticPr fontId="19" type="noConversion"/>
  </si>
  <si>
    <t xml:space="preserve">   4. 버스 임차</t>
    <phoneticPr fontId="19" type="noConversion"/>
  </si>
  <si>
    <t xml:space="preserve"> o 종합 홍보 인쇄물 제작</t>
    <phoneticPr fontId="19" type="noConversion"/>
  </si>
  <si>
    <t>종*</t>
    <phoneticPr fontId="19" type="noConversion"/>
  </si>
  <si>
    <t xml:space="preserve"> o 홍보 SNS 운영</t>
    <phoneticPr fontId="19" type="noConversion"/>
  </si>
  <si>
    <t xml:space="preserve"> o 임차료</t>
    <phoneticPr fontId="19" type="noConversion"/>
  </si>
  <si>
    <t xml:space="preserve"> o 전시이미지 구입</t>
    <phoneticPr fontId="19" type="noConversion"/>
  </si>
  <si>
    <t xml:space="preserve"> o 홍보물 및 </t>
    <phoneticPr fontId="19" type="noConversion"/>
  </si>
  <si>
    <t xml:space="preserve">   2. 배너, 현수막, 포스터 등 제작 및 부착, DM 작업 등</t>
    <phoneticPr fontId="19" type="noConversion"/>
  </si>
  <si>
    <t xml:space="preserve"> o 전시보조</t>
    <phoneticPr fontId="19" type="noConversion"/>
  </si>
  <si>
    <t>원*</t>
    <phoneticPr fontId="19" type="noConversion"/>
  </si>
  <si>
    <t>개월</t>
    <phoneticPr fontId="19" type="noConversion"/>
  </si>
  <si>
    <t>=</t>
    <phoneticPr fontId="19" type="noConversion"/>
  </si>
  <si>
    <t xml:space="preserve"> o 계</t>
    <phoneticPr fontId="19" type="noConversion"/>
  </si>
  <si>
    <t xml:space="preserve">   1. 홍보물 제작</t>
    <phoneticPr fontId="19" type="noConversion"/>
  </si>
  <si>
    <t>회</t>
    <phoneticPr fontId="19" type="noConversion"/>
  </si>
  <si>
    <t xml:space="preserve">   2. 도록 제작</t>
    <phoneticPr fontId="25" type="noConversion"/>
  </si>
  <si>
    <t>회*</t>
    <phoneticPr fontId="19" type="noConversion"/>
  </si>
  <si>
    <t>매</t>
    <phoneticPr fontId="19" type="noConversion"/>
  </si>
  <si>
    <t xml:space="preserve"> o 유물보험</t>
    <phoneticPr fontId="19" type="noConversion"/>
  </si>
  <si>
    <t xml:space="preserve"> o 유물협의</t>
    <phoneticPr fontId="19" type="noConversion"/>
  </si>
  <si>
    <t>명*</t>
    <phoneticPr fontId="19" type="noConversion"/>
  </si>
  <si>
    <t xml:space="preserve">   1. 전시공사</t>
    <phoneticPr fontId="19" type="noConversion"/>
  </si>
  <si>
    <t xml:space="preserve">   2. 전시 그래픽 공사</t>
    <phoneticPr fontId="19" type="noConversion"/>
  </si>
  <si>
    <t xml:space="preserve">   3. 유물 촬영비</t>
    <phoneticPr fontId="19" type="noConversion"/>
  </si>
  <si>
    <t xml:space="preserve">   4. 유물 운송</t>
    <phoneticPr fontId="19" type="noConversion"/>
  </si>
  <si>
    <t>식</t>
    <phoneticPr fontId="19" type="noConversion"/>
  </si>
  <si>
    <t xml:space="preserve">   5. 웹 홍보</t>
    <phoneticPr fontId="19" type="noConversion"/>
  </si>
  <si>
    <t xml:space="preserve">   6. 특별전 기념품 제작</t>
    <phoneticPr fontId="19" type="noConversion"/>
  </si>
  <si>
    <t xml:space="preserve">   7. 전문작품설치</t>
    <phoneticPr fontId="19" type="noConversion"/>
  </si>
  <si>
    <t xml:space="preserve">   1. 설치작품 작가료</t>
    <phoneticPr fontId="19" type="noConversion"/>
  </si>
  <si>
    <t xml:space="preserve">   2. 전시도록 원고료</t>
    <phoneticPr fontId="19" type="noConversion"/>
  </si>
  <si>
    <t>6ㄹ</t>
    <phoneticPr fontId="19" type="noConversion"/>
  </si>
  <si>
    <t xml:space="preserve">   3. 그래피티 작가료</t>
    <phoneticPr fontId="19" type="noConversion"/>
  </si>
  <si>
    <t xml:space="preserve"> o 개막식 행사</t>
    <phoneticPr fontId="19" type="noConversion"/>
  </si>
  <si>
    <t>명</t>
    <phoneticPr fontId="19" type="noConversion"/>
  </si>
  <si>
    <t xml:space="preserve"> o 회의운영비</t>
    <phoneticPr fontId="19" type="noConversion"/>
  </si>
  <si>
    <t xml:space="preserve"> o 버스임차</t>
    <phoneticPr fontId="19" type="noConversion"/>
  </si>
  <si>
    <t xml:space="preserve"> o 전시·홍보장비 구입 </t>
    <phoneticPr fontId="19" type="noConversion"/>
  </si>
  <si>
    <t xml:space="preserve"> o 우편물발송</t>
    <phoneticPr fontId="19" type="noConversion"/>
  </si>
  <si>
    <t>인건비</t>
    <phoneticPr fontId="19" type="noConversion"/>
  </si>
  <si>
    <t>도서인쇄비</t>
    <phoneticPr fontId="25" type="noConversion"/>
  </si>
  <si>
    <t>보험료</t>
    <phoneticPr fontId="19" type="noConversion"/>
  </si>
  <si>
    <t>여비교통비</t>
    <phoneticPr fontId="19" type="noConversion"/>
  </si>
  <si>
    <t>지급용역료</t>
    <phoneticPr fontId="19" type="noConversion"/>
  </si>
  <si>
    <t>지급수수료</t>
    <phoneticPr fontId="19" type="noConversion"/>
  </si>
  <si>
    <t>행사운영비</t>
    <phoneticPr fontId="19" type="noConversion"/>
  </si>
  <si>
    <t>회의운영비</t>
    <phoneticPr fontId="19" type="noConversion"/>
  </si>
  <si>
    <t>지급임차료</t>
    <phoneticPr fontId="19" type="noConversion"/>
  </si>
  <si>
    <t>자산구입비</t>
    <phoneticPr fontId="19" type="noConversion"/>
  </si>
  <si>
    <t>통신비</t>
    <phoneticPr fontId="19" type="noConversion"/>
  </si>
  <si>
    <t>소모품비</t>
    <phoneticPr fontId="19" type="noConversion"/>
  </si>
  <si>
    <t xml:space="preserve">   1. 전시 캔버스 구입</t>
    <phoneticPr fontId="19" type="noConversion"/>
  </si>
  <si>
    <t>개</t>
    <phoneticPr fontId="19" type="noConversion"/>
  </si>
  <si>
    <t xml:space="preserve">   2. 전시 소모품 구입</t>
    <phoneticPr fontId="25" type="noConversion"/>
  </si>
  <si>
    <t>기획전 개최</t>
    <phoneticPr fontId="19" type="noConversion"/>
  </si>
  <si>
    <t>소모품비</t>
    <phoneticPr fontId="19" type="noConversion"/>
  </si>
  <si>
    <t>명 *</t>
    <phoneticPr fontId="19" type="noConversion"/>
  </si>
  <si>
    <t>ㅇ 출장비</t>
    <phoneticPr fontId="19" type="noConversion"/>
  </si>
  <si>
    <t>월</t>
    <phoneticPr fontId="19" type="noConversion"/>
  </si>
  <si>
    <t>식 *</t>
    <phoneticPr fontId="19" type="noConversion"/>
  </si>
  <si>
    <t>회</t>
    <phoneticPr fontId="19" type="noConversion"/>
  </si>
  <si>
    <t>여비교통비</t>
    <phoneticPr fontId="19" type="noConversion"/>
  </si>
  <si>
    <t>명 *</t>
    <phoneticPr fontId="19" type="noConversion"/>
  </si>
  <si>
    <t>지급수수료</t>
    <phoneticPr fontId="19" type="noConversion"/>
  </si>
  <si>
    <t xml:space="preserve"> o 소모품,홍보물,답사인원중식등</t>
    <phoneticPr fontId="19" type="noConversion"/>
  </si>
  <si>
    <t>지급임차료</t>
    <phoneticPr fontId="19" type="noConversion"/>
  </si>
  <si>
    <t xml:space="preserve"> o 답사차량임차</t>
    <phoneticPr fontId="19" type="noConversion"/>
  </si>
  <si>
    <t>회의운영비</t>
    <phoneticPr fontId="19" type="noConversion"/>
  </si>
  <si>
    <t>ㅇ 간담회,평가회</t>
    <phoneticPr fontId="19" type="noConversion"/>
  </si>
  <si>
    <t>경기도 성곽투어프로그램 운영</t>
    <phoneticPr fontId="19" type="noConversion"/>
  </si>
  <si>
    <t>인건비</t>
    <phoneticPr fontId="18" type="noConversion"/>
  </si>
  <si>
    <t>ㅇ 전담연구원 인건비</t>
    <phoneticPr fontId="19" type="noConversion"/>
  </si>
  <si>
    <t>도서인쇄비</t>
    <phoneticPr fontId="19" type="noConversion"/>
  </si>
  <si>
    <t>ㅇ 자료집 제작</t>
    <phoneticPr fontId="19" type="noConversion"/>
  </si>
  <si>
    <t>원 *</t>
    <phoneticPr fontId="19" type="noConversion"/>
  </si>
  <si>
    <t>=</t>
    <phoneticPr fontId="19" type="noConversion"/>
  </si>
  <si>
    <t>여비교통비</t>
    <phoneticPr fontId="18" type="noConversion"/>
  </si>
  <si>
    <t>ㅇ 출장비</t>
    <phoneticPr fontId="19" type="noConversion"/>
  </si>
  <si>
    <t>지급수수료</t>
    <phoneticPr fontId="18" type="noConversion"/>
  </si>
  <si>
    <t>ㅇ 강사료,진행요원</t>
    <phoneticPr fontId="19" type="noConversion"/>
  </si>
  <si>
    <t>ㅇ 투어버스 임차료</t>
    <phoneticPr fontId="19" type="noConversion"/>
  </si>
  <si>
    <t>행사운영비</t>
    <phoneticPr fontId="18" type="noConversion"/>
  </si>
  <si>
    <t>ㅇ 행사운영비(보험료, 입장료, 식비, 소모품, 홍보물 등)</t>
    <phoneticPr fontId="19" type="noConversion"/>
  </si>
  <si>
    <t>경기 고고자료 아카이빙</t>
    <phoneticPr fontId="19" type="noConversion"/>
  </si>
  <si>
    <t xml:space="preserve"> o 국내출장</t>
    <phoneticPr fontId="19" type="noConversion"/>
  </si>
  <si>
    <t xml:space="preserve"> o 전산장비(PC)</t>
    <phoneticPr fontId="19" type="noConversion"/>
  </si>
  <si>
    <t xml:space="preserve"> o 자문수당</t>
    <phoneticPr fontId="19" type="noConversion"/>
  </si>
  <si>
    <t>명*</t>
    <phoneticPr fontId="19" type="noConversion"/>
  </si>
  <si>
    <t xml:space="preserve"> o </t>
    <phoneticPr fontId="19" type="noConversion"/>
  </si>
  <si>
    <t>고고자료 디지탈화 용역</t>
    <phoneticPr fontId="19" type="noConversion"/>
  </si>
  <si>
    <t>식*</t>
    <phoneticPr fontId="19" type="noConversion"/>
  </si>
  <si>
    <t>식</t>
    <phoneticPr fontId="19" type="noConversion"/>
  </si>
  <si>
    <t xml:space="preserve"> o 언론사 홍보</t>
    <phoneticPr fontId="19" type="noConversion"/>
  </si>
  <si>
    <t>지급수수료</t>
    <phoneticPr fontId="19" type="noConversion"/>
  </si>
  <si>
    <t>지급용역료</t>
    <phoneticPr fontId="19" type="noConversion"/>
  </si>
  <si>
    <t>여비교통비</t>
    <phoneticPr fontId="19" type="noConversion"/>
  </si>
  <si>
    <t>회의운영비</t>
    <phoneticPr fontId="19" type="noConversion"/>
  </si>
  <si>
    <t xml:space="preserve">   1. 강의수당</t>
    <phoneticPr fontId="19" type="noConversion"/>
  </si>
  <si>
    <t xml:space="preserve">   2. 원고료(외부)</t>
    <phoneticPr fontId="19" type="noConversion"/>
  </si>
  <si>
    <t xml:space="preserve">   3. 원고료(내부)</t>
    <phoneticPr fontId="19" type="noConversion"/>
  </si>
  <si>
    <t>ㅇ 예산과목 폐지</t>
    <phoneticPr fontId="19" type="noConversion"/>
  </si>
  <si>
    <t>ㅇ 공동체설명회</t>
    <phoneticPr fontId="19" type="noConversion"/>
  </si>
  <si>
    <t>ㅇ 회의 경비</t>
    <phoneticPr fontId="19" type="noConversion"/>
  </si>
  <si>
    <t xml:space="preserve">   1. 연보제작</t>
    <phoneticPr fontId="19" type="noConversion"/>
  </si>
  <si>
    <t xml:space="preserve">   2. 전시안내팜플렛제작</t>
    <phoneticPr fontId="19" type="noConversion"/>
  </si>
  <si>
    <t xml:space="preserve">   3. 홍보인쇄물제작</t>
    <phoneticPr fontId="19" type="noConversion"/>
  </si>
  <si>
    <t>부</t>
    <phoneticPr fontId="19" type="noConversion"/>
  </si>
  <si>
    <t xml:space="preserve"> o 기관홍보 간담회</t>
    <phoneticPr fontId="19" type="noConversion"/>
  </si>
  <si>
    <t xml:space="preserve"> o 홍보이벤트 운영</t>
    <phoneticPr fontId="19" type="noConversion"/>
  </si>
  <si>
    <t>o 계</t>
  </si>
  <si>
    <t>도서인쇄비</t>
    <phoneticPr fontId="19" type="noConversion"/>
  </si>
  <si>
    <t>소모품비</t>
    <phoneticPr fontId="19" type="noConversion"/>
  </si>
  <si>
    <t>지금임차료</t>
    <phoneticPr fontId="19" type="noConversion"/>
  </si>
  <si>
    <t>o 사무용품 구입</t>
    <phoneticPr fontId="19" type="noConversion"/>
  </si>
  <si>
    <t>o 국내출장</t>
    <phoneticPr fontId="19" type="noConversion"/>
  </si>
  <si>
    <t>o 워크숍 개최</t>
    <phoneticPr fontId="19" type="noConversion"/>
  </si>
  <si>
    <t>o 예산과목 폐지</t>
    <phoneticPr fontId="19" type="noConversion"/>
  </si>
  <si>
    <t>o 회의 경비</t>
    <phoneticPr fontId="19" type="noConversion"/>
  </si>
  <si>
    <t xml:space="preserve">   1. 원고집필</t>
    <phoneticPr fontId="19" type="noConversion"/>
  </si>
  <si>
    <t xml:space="preserve">   3. 원고교정</t>
    <phoneticPr fontId="19" type="noConversion"/>
  </si>
  <si>
    <t>소외어르신 문화예술 프로그램 지원</t>
  </si>
  <si>
    <t xml:space="preserve"> </t>
    <phoneticPr fontId="25" type="noConversion"/>
  </si>
  <si>
    <t xml:space="preserve">  1. 사업수수료</t>
    <phoneticPr fontId="19" type="noConversion"/>
  </si>
  <si>
    <t xml:space="preserve">  2. 심의수당</t>
    <phoneticPr fontId="19" type="noConversion"/>
  </si>
  <si>
    <t xml:space="preserve">  3. 현장평가 수당</t>
    <phoneticPr fontId="19" type="noConversion"/>
  </si>
  <si>
    <t xml:space="preserve">  4. 컨설팅 및 회의수당</t>
    <phoneticPr fontId="19" type="noConversion"/>
  </si>
  <si>
    <t xml:space="preserve"> o 소외어르신 문화예술 프로그램 운영 지원비</t>
    <phoneticPr fontId="19" type="noConversion"/>
  </si>
  <si>
    <t xml:space="preserve"> o 설명회, 워크숍, 성과공유회</t>
    <phoneticPr fontId="19" type="noConversion"/>
  </si>
  <si>
    <t xml:space="preserve"> o 미술잡지 등 사업 홍보</t>
    <phoneticPr fontId="19" type="noConversion"/>
  </si>
  <si>
    <t xml:space="preserve">계 </t>
    <phoneticPr fontId="31" type="noConversion"/>
  </si>
  <si>
    <t>원*</t>
    <phoneticPr fontId="31" type="noConversion"/>
  </si>
  <si>
    <t>곳</t>
    <phoneticPr fontId="31" type="noConversion"/>
  </si>
  <si>
    <t>회</t>
    <phoneticPr fontId="31" type="noConversion"/>
  </si>
  <si>
    <t xml:space="preserve"> o 전단지</t>
    <phoneticPr fontId="19" type="noConversion"/>
  </si>
  <si>
    <t>도록제작비</t>
    <phoneticPr fontId="31" type="noConversion"/>
  </si>
  <si>
    <t xml:space="preserve"> o 소모품구입</t>
    <phoneticPr fontId="19" type="noConversion"/>
  </si>
  <si>
    <t xml:space="preserve"> o 사업추진 국내여비</t>
    <phoneticPr fontId="19" type="noConversion"/>
  </si>
  <si>
    <t>명</t>
    <phoneticPr fontId="31" type="noConversion"/>
  </si>
  <si>
    <t>일</t>
    <phoneticPr fontId="31" type="noConversion"/>
  </si>
  <si>
    <t xml:space="preserve"> o 작품제작 등 지원</t>
    <phoneticPr fontId="19" type="noConversion"/>
  </si>
  <si>
    <t>전시 액자 제작</t>
    <phoneticPr fontId="31" type="noConversion"/>
  </si>
  <si>
    <t>개</t>
    <phoneticPr fontId="31" type="noConversion"/>
  </si>
  <si>
    <t>전시용 빔프로젝터 구입</t>
    <phoneticPr fontId="31" type="noConversion"/>
  </si>
  <si>
    <t>대</t>
    <phoneticPr fontId="31" type="noConversion"/>
  </si>
  <si>
    <t>전시 관련 회의 식음료비</t>
    <phoneticPr fontId="31" type="noConversion"/>
  </si>
  <si>
    <t xml:space="preserve">   1. 미술잡지 홍보</t>
    <phoneticPr fontId="19" type="noConversion"/>
  </si>
  <si>
    <t xml:space="preserve">   2. 네오쿡</t>
    <phoneticPr fontId="19" type="noConversion"/>
  </si>
  <si>
    <t xml:space="preserve">   2. 해외작가 항공료</t>
    <phoneticPr fontId="19" type="noConversion"/>
  </si>
  <si>
    <t xml:space="preserve">   3. 작가 숙식비</t>
    <phoneticPr fontId="19" type="noConversion"/>
  </si>
  <si>
    <t xml:space="preserve">   2. 전시 보조작가 수수료</t>
    <phoneticPr fontId="19" type="noConversion"/>
  </si>
  <si>
    <t xml:space="preserve">   1. 작가 수수료</t>
    <phoneticPr fontId="19" type="noConversion"/>
  </si>
  <si>
    <t>자산구입비</t>
    <phoneticPr fontId="31" type="noConversion"/>
  </si>
  <si>
    <t>경기문화인력 키움프로젝트</t>
    <phoneticPr fontId="19" type="noConversion"/>
  </si>
  <si>
    <t>지역문화 전문인력 지원 사업</t>
    <phoneticPr fontId="19" type="noConversion"/>
  </si>
  <si>
    <t xml:space="preserve"> o 전문강사</t>
    <phoneticPr fontId="19" type="noConversion"/>
  </si>
  <si>
    <t xml:space="preserve">  1. 회계 검수비용</t>
    <phoneticPr fontId="19" type="noConversion"/>
  </si>
  <si>
    <t xml:space="preserve">  2. 국외현장 교육비</t>
    <phoneticPr fontId="19" type="noConversion"/>
  </si>
  <si>
    <t xml:space="preserve"> o 버스 임차료</t>
    <phoneticPr fontId="19" type="noConversion"/>
  </si>
  <si>
    <t xml:space="preserve">  3. 성남문화재단</t>
    <phoneticPr fontId="19" type="noConversion"/>
  </si>
  <si>
    <t xml:space="preserve">  2. 부천문화재단</t>
    <phoneticPr fontId="19" type="noConversion"/>
  </si>
  <si>
    <t xml:space="preserve">  1. 경기도문화원연합회</t>
    <phoneticPr fontId="19" type="noConversion"/>
  </si>
  <si>
    <t xml:space="preserve"> o 행사 다과비용</t>
    <phoneticPr fontId="19" type="noConversion"/>
  </si>
  <si>
    <t>2018 북한산성 연구보존 및 활성화</t>
    <phoneticPr fontId="19" type="noConversion"/>
  </si>
  <si>
    <t>북한산성 연구 및 공모사업</t>
    <phoneticPr fontId="19" type="noConversion"/>
  </si>
  <si>
    <t>ㅇ 보고서 인쇄비</t>
    <phoneticPr fontId="19" type="noConversion"/>
  </si>
  <si>
    <t>학술심포지엄 개최 및 국제교류</t>
    <phoneticPr fontId="19" type="noConversion"/>
  </si>
  <si>
    <t>ㅇ 사무용품 구입비</t>
    <phoneticPr fontId="19" type="noConversion"/>
  </si>
  <si>
    <t>ㅇ 국내 여비</t>
    <phoneticPr fontId="19" type="noConversion"/>
  </si>
  <si>
    <t>ㅇ 조사차량 대여료</t>
    <phoneticPr fontId="19" type="noConversion"/>
  </si>
  <si>
    <t>ㅇ 전문가 답사비</t>
    <phoneticPr fontId="19" type="noConversion"/>
  </si>
  <si>
    <t>ㅇ 연구진 회의비</t>
    <phoneticPr fontId="19" type="noConversion"/>
  </si>
  <si>
    <t>ㅇ 공모 시상금 및 심사료</t>
    <phoneticPr fontId="19" type="noConversion"/>
  </si>
  <si>
    <t>ㅇ 관련 회의 운영</t>
    <phoneticPr fontId="19" type="noConversion"/>
  </si>
  <si>
    <t>도서인쇄비</t>
    <phoneticPr fontId="19" type="noConversion"/>
  </si>
  <si>
    <t>회의운영비</t>
    <phoneticPr fontId="19" type="noConversion"/>
  </si>
  <si>
    <t>지급수수료</t>
    <phoneticPr fontId="19" type="noConversion"/>
  </si>
  <si>
    <t>회의운영비</t>
    <phoneticPr fontId="18" type="noConversion"/>
  </si>
  <si>
    <t>지급용역료</t>
    <phoneticPr fontId="19" type="noConversion"/>
  </si>
  <si>
    <t>ㅇ 계</t>
    <phoneticPr fontId="19" type="noConversion"/>
  </si>
  <si>
    <t>ㅇ 자료조사 및 집필료</t>
    <phoneticPr fontId="19" type="noConversion"/>
  </si>
  <si>
    <t>ㅇ 관련 회의 운영회</t>
    <phoneticPr fontId="19" type="noConversion"/>
  </si>
  <si>
    <t>도서인쇄비</t>
    <phoneticPr fontId="18" type="noConversion"/>
  </si>
  <si>
    <t>ㅇ 연구보조원 인건비</t>
    <phoneticPr fontId="19" type="noConversion"/>
  </si>
  <si>
    <t xml:space="preserve">   1. 주제발표 원고료</t>
    <phoneticPr fontId="19" type="noConversion"/>
  </si>
  <si>
    <t xml:space="preserve">   2. 토론자 및 좌장 수당</t>
    <phoneticPr fontId="19" type="noConversion"/>
  </si>
  <si>
    <t xml:space="preserve">   3. 기획 관련 자문수당</t>
    <phoneticPr fontId="19" type="noConversion"/>
  </si>
  <si>
    <t xml:space="preserve">   4. 자료집 번역료</t>
    <phoneticPr fontId="19" type="noConversion"/>
  </si>
  <si>
    <t xml:space="preserve">   5. 심포지움 동시 통역료</t>
    <phoneticPr fontId="19" type="noConversion"/>
  </si>
  <si>
    <t>ㅇ 대관료</t>
    <phoneticPr fontId="19" type="noConversion"/>
  </si>
  <si>
    <t xml:space="preserve">   1. 심포지엄 자료집</t>
    <phoneticPr fontId="19" type="noConversion"/>
  </si>
  <si>
    <t xml:space="preserve">   2. 포스터 및 초청장 제작과 발송</t>
    <phoneticPr fontId="19" type="noConversion"/>
  </si>
  <si>
    <t>ㅇ 심포 관련 식대, 기념품 등 일괄</t>
    <phoneticPr fontId="19" type="noConversion"/>
  </si>
  <si>
    <t>ㅇ 심포 관련 회의운영비</t>
    <phoneticPr fontId="19" type="noConversion"/>
  </si>
  <si>
    <t xml:space="preserve">   1. 외빈 초청 여비</t>
    <phoneticPr fontId="19" type="noConversion"/>
  </si>
  <si>
    <t xml:space="preserve">   2. 세계유산총회 및 기타 국외 회의 참석</t>
    <phoneticPr fontId="19" type="noConversion"/>
  </si>
  <si>
    <t>2018 북한산성 연구총서 발간</t>
    <phoneticPr fontId="19" type="noConversion"/>
  </si>
  <si>
    <t>생생문화재</t>
    <phoneticPr fontId="19" type="noConversion"/>
  </si>
  <si>
    <t>지역문화유산 교육</t>
    <phoneticPr fontId="19" type="noConversion"/>
  </si>
  <si>
    <t>북한산성에서 뛰어놀자</t>
    <phoneticPr fontId="19" type="noConversion"/>
  </si>
  <si>
    <t>ㅇ 여행자보험</t>
    <phoneticPr fontId="19" type="noConversion"/>
  </si>
  <si>
    <t>ㅇ 사무용품 및 소모품</t>
    <phoneticPr fontId="19" type="noConversion"/>
  </si>
  <si>
    <t>ㅇ 행사보조</t>
    <phoneticPr fontId="19" type="noConversion"/>
  </si>
  <si>
    <t>ㅇ 차량 임차</t>
    <phoneticPr fontId="19" type="noConversion"/>
  </si>
  <si>
    <t>ㅇ 회의 운영</t>
    <phoneticPr fontId="19" type="noConversion"/>
  </si>
  <si>
    <t>어린이 고고학자 교실</t>
    <phoneticPr fontId="19" type="noConversion"/>
  </si>
  <si>
    <t>경기 전통문화 활성화</t>
    <phoneticPr fontId="19" type="noConversion"/>
  </si>
  <si>
    <t>경기 전통문화학교 운영</t>
    <phoneticPr fontId="19" type="noConversion"/>
  </si>
  <si>
    <t>ㅇ 단체 지원금</t>
    <phoneticPr fontId="19" type="noConversion"/>
  </si>
  <si>
    <t>경기 전통문화 상품화</t>
    <phoneticPr fontId="19" type="noConversion"/>
  </si>
  <si>
    <t>경기 전통문화 상업지원</t>
    <phoneticPr fontId="19" type="noConversion"/>
  </si>
  <si>
    <t>ㅇ 연구용역</t>
    <phoneticPr fontId="19" type="noConversion"/>
  </si>
  <si>
    <t xml:space="preserve">   1. 전문연구원</t>
    <phoneticPr fontId="19" type="noConversion"/>
  </si>
  <si>
    <t>ㅇ 홍보물 제작</t>
    <phoneticPr fontId="19" type="noConversion"/>
  </si>
  <si>
    <t>ㅇ 각종 소모품</t>
    <phoneticPr fontId="19" type="noConversion"/>
  </si>
  <si>
    <t>ㅇ 심의비</t>
    <phoneticPr fontId="19" type="noConversion"/>
  </si>
  <si>
    <t xml:space="preserve">   1. PC 임차</t>
    <phoneticPr fontId="19" type="noConversion"/>
  </si>
  <si>
    <t xml:space="preserve">   2. 복합기 임차</t>
    <phoneticPr fontId="19" type="noConversion"/>
  </si>
  <si>
    <t>ㅇ 우편료</t>
    <phoneticPr fontId="19" type="noConversion"/>
  </si>
  <si>
    <t>ㅇ 간담회 등</t>
    <phoneticPr fontId="19" type="noConversion"/>
  </si>
  <si>
    <t>ㅇ 회의 운영</t>
    <phoneticPr fontId="19" type="noConversion"/>
  </si>
  <si>
    <t>2018 경기꿈의학교</t>
    <phoneticPr fontId="19" type="noConversion"/>
  </si>
  <si>
    <t>2018 교육나눔사업</t>
    <phoneticPr fontId="19" type="noConversion"/>
  </si>
  <si>
    <t>2018 교육나눔사업</t>
    <phoneticPr fontId="19" type="noConversion"/>
  </si>
  <si>
    <t xml:space="preserve">   1. 주강사비</t>
    <phoneticPr fontId="19" type="noConversion"/>
  </si>
  <si>
    <t xml:space="preserve">   2. 보조강사비</t>
    <phoneticPr fontId="19" type="noConversion"/>
  </si>
  <si>
    <t>ㅇ 간담회비</t>
    <phoneticPr fontId="19" type="noConversion"/>
  </si>
  <si>
    <t>ㅇ 교육재료비</t>
    <phoneticPr fontId="19" type="noConversion"/>
  </si>
  <si>
    <t>인건비</t>
    <phoneticPr fontId="19" type="noConversion"/>
  </si>
  <si>
    <t>지급임차료</t>
    <phoneticPr fontId="19" type="noConversion"/>
  </si>
  <si>
    <t>행사운영비</t>
    <phoneticPr fontId="19" type="noConversion"/>
  </si>
  <si>
    <t>ㅇ 교재 제작 등</t>
    <phoneticPr fontId="19" type="noConversion"/>
  </si>
  <si>
    <t>ㅇ 작가, 강사</t>
    <phoneticPr fontId="19" type="noConversion"/>
  </si>
  <si>
    <t>ㅇ 버스 임차</t>
    <phoneticPr fontId="19" type="noConversion"/>
  </si>
  <si>
    <t>ㅇ 사인물 제작</t>
    <phoneticPr fontId="19" type="noConversion"/>
  </si>
  <si>
    <t>ㅇ 운영회의</t>
    <phoneticPr fontId="19" type="noConversion"/>
  </si>
  <si>
    <t>백남준 라이브러리</t>
    <phoneticPr fontId="19" type="noConversion"/>
  </si>
  <si>
    <t>백남준 도서관 운영 지원</t>
    <phoneticPr fontId="19" type="noConversion"/>
  </si>
  <si>
    <t>경기 꿈의대학</t>
    <phoneticPr fontId="19" type="noConversion"/>
  </si>
  <si>
    <t>ㅇ 기획회의</t>
    <phoneticPr fontId="19" type="noConversion"/>
  </si>
  <si>
    <t xml:space="preserve">   1. 행사물품 구입</t>
    <phoneticPr fontId="19" type="noConversion"/>
  </si>
  <si>
    <t xml:space="preserve">   2. 다과 구입</t>
    <phoneticPr fontId="19" type="noConversion"/>
  </si>
  <si>
    <t xml:space="preserve"> o 도서관 운영 소모품 구매</t>
    <phoneticPr fontId="19" type="noConversion"/>
  </si>
  <si>
    <t xml:space="preserve"> o 국내외 도서 구입</t>
    <phoneticPr fontId="19" type="noConversion"/>
  </si>
  <si>
    <t>자료구입비</t>
    <phoneticPr fontId="19" type="noConversion"/>
  </si>
  <si>
    <t xml:space="preserve"> o 데이터베이스 유지보수</t>
    <phoneticPr fontId="19" type="noConversion"/>
  </si>
  <si>
    <t xml:space="preserve"> o 한국문화예술위원회 작가비 지원금 지급(5인)</t>
    <phoneticPr fontId="19" type="noConversion"/>
  </si>
  <si>
    <t xml:space="preserve"> o 계</t>
    <phoneticPr fontId="19" type="noConversion"/>
  </si>
  <si>
    <t>원*</t>
    <phoneticPr fontId="19" type="noConversion"/>
  </si>
  <si>
    <t>부</t>
    <phoneticPr fontId="19" type="noConversion"/>
  </si>
  <si>
    <t>=</t>
    <phoneticPr fontId="19" type="noConversion"/>
  </si>
  <si>
    <t>식</t>
    <phoneticPr fontId="19" type="noConversion"/>
  </si>
  <si>
    <t>식</t>
    <phoneticPr fontId="25" type="noConversion"/>
  </si>
  <si>
    <t xml:space="preserve"> o 국내여비</t>
    <phoneticPr fontId="19" type="noConversion"/>
  </si>
  <si>
    <t>월*</t>
    <phoneticPr fontId="19" type="noConversion"/>
  </si>
  <si>
    <t xml:space="preserve">   1. 지원사업 심의수당</t>
    <phoneticPr fontId="19" type="noConversion"/>
  </si>
  <si>
    <t>명*</t>
    <phoneticPr fontId="19" type="noConversion"/>
  </si>
  <si>
    <t>회</t>
    <phoneticPr fontId="19" type="noConversion"/>
  </si>
  <si>
    <t xml:space="preserve">   2. 회의참석수당</t>
    <phoneticPr fontId="19" type="noConversion"/>
  </si>
  <si>
    <t xml:space="preserve">   3. 발표수당</t>
    <phoneticPr fontId="19" type="noConversion"/>
  </si>
  <si>
    <t xml:space="preserve"> o 장소 임차</t>
    <phoneticPr fontId="19" type="noConversion"/>
  </si>
  <si>
    <t xml:space="preserve"> o 물품구입 등</t>
    <phoneticPr fontId="19" type="noConversion"/>
  </si>
  <si>
    <t xml:space="preserve"> o 사업설명회 등</t>
    <phoneticPr fontId="19" type="noConversion"/>
  </si>
  <si>
    <t>워크숍 등</t>
    <phoneticPr fontId="19" type="noConversion"/>
  </si>
  <si>
    <t xml:space="preserve"> o 심사, 자문 등</t>
    <phoneticPr fontId="19" type="noConversion"/>
  </si>
  <si>
    <t xml:space="preserve">   1. 심의 수당</t>
    <phoneticPr fontId="19" type="noConversion"/>
  </si>
  <si>
    <t xml:space="preserve">   1. 심포지엄 개최</t>
    <phoneticPr fontId="19" type="noConversion"/>
  </si>
  <si>
    <t xml:space="preserve">   2. 기획발굴 진행</t>
    <phoneticPr fontId="19" type="noConversion"/>
  </si>
  <si>
    <t>권</t>
    <phoneticPr fontId="19" type="noConversion"/>
  </si>
  <si>
    <t>원</t>
    <phoneticPr fontId="19" type="noConversion"/>
  </si>
  <si>
    <t>매</t>
    <phoneticPr fontId="19" type="noConversion"/>
  </si>
  <si>
    <r>
      <t>원</t>
    </r>
    <r>
      <rPr>
        <sz val="12"/>
        <rFont val="맑은 고딕"/>
        <family val="3"/>
        <charset val="129"/>
      </rPr>
      <t>*</t>
    </r>
    <phoneticPr fontId="19" type="noConversion"/>
  </si>
  <si>
    <t>o 행사운영 물품 구입</t>
    <phoneticPr fontId="19" type="noConversion"/>
  </si>
  <si>
    <t>o 국내출장</t>
    <phoneticPr fontId="19" type="noConversion"/>
  </si>
  <si>
    <t>o 관계자 업무 협의</t>
    <phoneticPr fontId="19" type="noConversion"/>
  </si>
  <si>
    <t>o 인문학강좌 행사 운영</t>
    <phoneticPr fontId="19" type="noConversion"/>
  </si>
  <si>
    <t>o 통신비</t>
    <phoneticPr fontId="19" type="noConversion"/>
  </si>
  <si>
    <t>o 경기학 기획도서 발간</t>
    <phoneticPr fontId="19" type="noConversion"/>
  </si>
  <si>
    <t xml:space="preserve"> o 계약직(보조인력) 인건비</t>
    <phoneticPr fontId="19" type="noConversion"/>
  </si>
  <si>
    <t>개월</t>
    <phoneticPr fontId="25" type="noConversion"/>
  </si>
  <si>
    <t xml:space="preserve">  1. 국외여비</t>
    <phoneticPr fontId="19" type="noConversion"/>
  </si>
  <si>
    <t>명</t>
    <phoneticPr fontId="19" type="noConversion"/>
  </si>
  <si>
    <t xml:space="preserve">  2. 국내여비</t>
    <phoneticPr fontId="19" type="noConversion"/>
  </si>
  <si>
    <t xml:space="preserve"> o 심사비 및 자문비</t>
    <phoneticPr fontId="19" type="noConversion"/>
  </si>
  <si>
    <t>회</t>
    <phoneticPr fontId="25" type="noConversion"/>
  </si>
  <si>
    <t xml:space="preserve"> o 축제운영대행 용역</t>
    <phoneticPr fontId="19" type="noConversion"/>
  </si>
  <si>
    <t xml:space="preserve"> o 전산, 사무장비 등 임차료</t>
    <phoneticPr fontId="19" type="noConversion"/>
  </si>
  <si>
    <t xml:space="preserve"> o 생활문화축제 기획 및 운영 </t>
    <phoneticPr fontId="19" type="noConversion"/>
  </si>
  <si>
    <t xml:space="preserve"> o 행사진행비</t>
    <phoneticPr fontId="19" type="noConversion"/>
  </si>
  <si>
    <t xml:space="preserve"> o 회의운영</t>
    <phoneticPr fontId="19" type="noConversion"/>
  </si>
  <si>
    <t>인건비</t>
    <phoneticPr fontId="19" type="noConversion"/>
  </si>
  <si>
    <t>광고선전비</t>
    <phoneticPr fontId="31" type="noConversion"/>
  </si>
  <si>
    <t>여비교통비</t>
    <phoneticPr fontId="19" type="noConversion"/>
  </si>
  <si>
    <t>지급수수료</t>
    <phoneticPr fontId="19" type="noConversion"/>
  </si>
  <si>
    <t>지급용역료</t>
    <phoneticPr fontId="19" type="noConversion"/>
  </si>
  <si>
    <t>지급임차료</t>
    <phoneticPr fontId="31" type="noConversion"/>
  </si>
  <si>
    <t>지원비</t>
    <phoneticPr fontId="19" type="noConversion"/>
  </si>
  <si>
    <t>행사운영비</t>
    <phoneticPr fontId="19" type="noConversion"/>
  </si>
  <si>
    <t>회의운영비</t>
    <phoneticPr fontId="19" type="noConversion"/>
  </si>
  <si>
    <t xml:space="preserve">   1. 계약직 기본급</t>
    <phoneticPr fontId="25" type="noConversion"/>
  </si>
  <si>
    <t>월</t>
    <phoneticPr fontId="25" type="noConversion"/>
  </si>
  <si>
    <t xml:space="preserve">   2. 부가급여 및 복리후생비</t>
    <phoneticPr fontId="19" type="noConversion"/>
  </si>
  <si>
    <t xml:space="preserve"> o 온오프라인 광고 </t>
    <phoneticPr fontId="19" type="noConversion"/>
  </si>
  <si>
    <t xml:space="preserve"> o 결과자료집 제작</t>
    <phoneticPr fontId="19" type="noConversion"/>
  </si>
  <si>
    <t xml:space="preserve"> o 작품운송 및 전시 보험</t>
    <phoneticPr fontId="19" type="noConversion"/>
  </si>
  <si>
    <t xml:space="preserve"> o 계 </t>
    <phoneticPr fontId="19" type="noConversion"/>
  </si>
  <si>
    <t xml:space="preserve">   1. 현수막, 배너 등 제작 </t>
    <phoneticPr fontId="19" type="noConversion"/>
  </si>
  <si>
    <t xml:space="preserve">   2. 기타 소모품 구입 </t>
    <phoneticPr fontId="19" type="noConversion"/>
  </si>
  <si>
    <t xml:space="preserve"> o 초청작가 항공료</t>
    <phoneticPr fontId="19" type="noConversion"/>
  </si>
  <si>
    <t xml:space="preserve"> o 사무용 가구 구매 </t>
    <phoneticPr fontId="19" type="noConversion"/>
  </si>
  <si>
    <t xml:space="preserve">   1. 강의,자문,원고료 </t>
    <phoneticPr fontId="19" type="noConversion"/>
  </si>
  <si>
    <t xml:space="preserve">   2. 작가료</t>
    <phoneticPr fontId="19" type="noConversion"/>
  </si>
  <si>
    <t xml:space="preserve">   3. 번역료</t>
    <phoneticPr fontId="19" type="noConversion"/>
  </si>
  <si>
    <t xml:space="preserve">   4. 작품 설치 및 진행 보조 </t>
    <phoneticPr fontId="25" type="noConversion"/>
  </si>
  <si>
    <t>일</t>
    <phoneticPr fontId="25" type="noConversion"/>
  </si>
  <si>
    <t>=</t>
    <phoneticPr fontId="18" type="noConversion"/>
  </si>
  <si>
    <t xml:space="preserve">   1. 로비전시공사(설치, 도장, 전기 등)   </t>
    <phoneticPr fontId="19" type="noConversion"/>
  </si>
  <si>
    <t xml:space="preserve">   2. 홍보물(리플렛, 결과자료집 등)</t>
    <phoneticPr fontId="19" type="noConversion"/>
  </si>
  <si>
    <t xml:space="preserve">   3. 전시사인물 제작 설치 </t>
    <phoneticPr fontId="19" type="noConversion"/>
  </si>
  <si>
    <t xml:space="preserve">   4. 작품 운송 및 설치</t>
    <phoneticPr fontId="19" type="noConversion"/>
  </si>
  <si>
    <t xml:space="preserve">   5. 전시작품사진촬영</t>
    <phoneticPr fontId="19" type="noConversion"/>
  </si>
  <si>
    <t xml:space="preserve">   6. 전시홍보영상촬영 </t>
    <phoneticPr fontId="19" type="noConversion"/>
  </si>
  <si>
    <t xml:space="preserve"> o 지원금 </t>
    <phoneticPr fontId="19" type="noConversion"/>
  </si>
  <si>
    <t xml:space="preserve"> o 우편물 발송  </t>
    <phoneticPr fontId="19" type="noConversion"/>
  </si>
  <si>
    <t xml:space="preserve"> o 전시, 공연 등 행사 운영 </t>
    <phoneticPr fontId="19" type="noConversion"/>
  </si>
  <si>
    <t xml:space="preserve"> o 업무추진회의 </t>
    <phoneticPr fontId="19" type="noConversion"/>
  </si>
  <si>
    <t>경기아트플랫폼운영</t>
    <phoneticPr fontId="19" type="noConversion"/>
  </si>
  <si>
    <t>광고선전비</t>
    <phoneticPr fontId="19" type="noConversion"/>
  </si>
  <si>
    <t>도서인쇄비</t>
    <phoneticPr fontId="19" type="noConversion"/>
  </si>
  <si>
    <t>자산구입비</t>
    <phoneticPr fontId="19" type="noConversion"/>
  </si>
  <si>
    <t>소모품비</t>
    <phoneticPr fontId="19" type="noConversion"/>
  </si>
  <si>
    <t xml:space="preserve">   1. 사무용 및 행사 소모품</t>
    <phoneticPr fontId="19" type="noConversion"/>
  </si>
  <si>
    <t xml:space="preserve">   2. 회원카드 등 운영 물품</t>
    <phoneticPr fontId="19" type="noConversion"/>
  </si>
  <si>
    <t>회의운영비</t>
    <phoneticPr fontId="19" type="noConversion"/>
  </si>
  <si>
    <t xml:space="preserve">   1. 온라인 모바일 앱 서비스 가입 운영</t>
    <phoneticPr fontId="19" type="noConversion"/>
  </si>
  <si>
    <t xml:space="preserve">   2. 온라인 이벤트 운영비</t>
    <phoneticPr fontId="19" type="noConversion"/>
  </si>
  <si>
    <t>회</t>
    <phoneticPr fontId="18" type="noConversion"/>
  </si>
  <si>
    <t xml:space="preserve"> </t>
    <phoneticPr fontId="19" type="noConversion"/>
  </si>
  <si>
    <t>일</t>
    <phoneticPr fontId="19" type="noConversion"/>
  </si>
  <si>
    <t xml:space="preserve"> o 소장작품 정비 및 수복</t>
    <phoneticPr fontId="18" type="noConversion"/>
  </si>
  <si>
    <t xml:space="preserve"> o 국내 작품 대여처 작품 점검</t>
    <phoneticPr fontId="19" type="noConversion"/>
  </si>
  <si>
    <t>점</t>
    <phoneticPr fontId="18" type="noConversion"/>
  </si>
  <si>
    <t xml:space="preserve"> o 회의 다과비</t>
    <phoneticPr fontId="18" type="noConversion"/>
  </si>
  <si>
    <t xml:space="preserve"> o 전시실 지킴이</t>
    <phoneticPr fontId="19" type="noConversion"/>
  </si>
  <si>
    <t xml:space="preserve"> o 홍보물 제작</t>
    <phoneticPr fontId="19" type="noConversion"/>
  </si>
  <si>
    <t xml:space="preserve"> o 현수막, 행사용물품 구입 등</t>
    <phoneticPr fontId="19" type="noConversion"/>
  </si>
  <si>
    <t xml:space="preserve"> o 국내여비  </t>
    <phoneticPr fontId="19" type="noConversion"/>
  </si>
  <si>
    <t>월</t>
    <phoneticPr fontId="19" type="noConversion"/>
  </si>
  <si>
    <t xml:space="preserve"> o 시설 교체, 철거 등</t>
    <phoneticPr fontId="19" type="noConversion"/>
  </si>
  <si>
    <t xml:space="preserve"> o 교육 및 자문 수당 </t>
    <phoneticPr fontId="19" type="noConversion"/>
  </si>
  <si>
    <t xml:space="preserve"> o 전시 기획운영 </t>
    <phoneticPr fontId="19" type="noConversion"/>
  </si>
  <si>
    <t xml:space="preserve"> o 난방기 대여 등</t>
    <phoneticPr fontId="19" type="noConversion"/>
  </si>
  <si>
    <t>회*</t>
    <phoneticPr fontId="19" type="noConversion"/>
  </si>
  <si>
    <t>종</t>
    <phoneticPr fontId="19" type="noConversion"/>
  </si>
  <si>
    <t xml:space="preserve"> o 우편 발송료 등</t>
    <phoneticPr fontId="19" type="noConversion"/>
  </si>
  <si>
    <t xml:space="preserve"> o 워크숍 등 행사운영비</t>
    <phoneticPr fontId="19" type="noConversion"/>
  </si>
  <si>
    <t xml:space="preserve"> o 심의, 업무회의 등 </t>
    <phoneticPr fontId="19" type="noConversion"/>
  </si>
  <si>
    <t>식*</t>
    <phoneticPr fontId="31" type="noConversion"/>
  </si>
  <si>
    <t>식</t>
    <phoneticPr fontId="31" type="noConversion"/>
  </si>
  <si>
    <t xml:space="preserve"> o 전시작품 보험료 등</t>
    <phoneticPr fontId="19" type="noConversion"/>
  </si>
  <si>
    <t xml:space="preserve"> o 사무비품 및 소모품 구입</t>
    <phoneticPr fontId="19" type="noConversion"/>
  </si>
  <si>
    <t xml:space="preserve"> o 출장비</t>
    <phoneticPr fontId="19" type="noConversion"/>
  </si>
  <si>
    <t xml:space="preserve"> o 경기천년 홍보 콘텐츠 기획 제작 및 운영</t>
    <phoneticPr fontId="19" type="noConversion"/>
  </si>
  <si>
    <t xml:space="preserve"> o 홍보 이벤트 및 행사</t>
    <phoneticPr fontId="19" type="noConversion"/>
  </si>
  <si>
    <t xml:space="preserve"> o 사무용품, 기념품제작 등</t>
    <phoneticPr fontId="19" type="noConversion"/>
  </si>
  <si>
    <t xml:space="preserve"> o 자료구입</t>
    <phoneticPr fontId="19" type="noConversion"/>
  </si>
  <si>
    <t>건</t>
    <phoneticPr fontId="19" type="noConversion"/>
  </si>
  <si>
    <t xml:space="preserve">   2. 자문 및 강의 발표수당</t>
    <phoneticPr fontId="19" type="noConversion"/>
  </si>
  <si>
    <t xml:space="preserve">   3. 현장진행스텝</t>
    <phoneticPr fontId="19" type="noConversion"/>
  </si>
  <si>
    <t xml:space="preserve">   4. 자문수당</t>
    <phoneticPr fontId="19" type="noConversion"/>
  </si>
  <si>
    <t xml:space="preserve"> o 마을아카이브프로젝트 지원비</t>
    <phoneticPr fontId="19" type="noConversion"/>
  </si>
  <si>
    <t xml:space="preserve"> o 워크숍 및 공유회 개최</t>
    <phoneticPr fontId="19" type="noConversion"/>
  </si>
  <si>
    <t xml:space="preserve"> o 심의 및 업무회의 진행</t>
    <phoneticPr fontId="19" type="noConversion"/>
  </si>
  <si>
    <t xml:space="preserve">   1. 마을아카이브 책자 제작</t>
    <phoneticPr fontId="19" type="noConversion"/>
  </si>
  <si>
    <t xml:space="preserve">   2. 실향민프로젝트 책자 제작</t>
    <phoneticPr fontId="19" type="noConversion"/>
  </si>
  <si>
    <t xml:space="preserve">   1. 영상촬영제작</t>
    <phoneticPr fontId="19" type="noConversion"/>
  </si>
  <si>
    <t xml:space="preserve">   2. 실향민 구술사조사 및 프로그램 운영</t>
    <phoneticPr fontId="19" type="noConversion"/>
  </si>
  <si>
    <t xml:space="preserve"> o G-BUS 송출비</t>
    <phoneticPr fontId="19" type="noConversion"/>
  </si>
  <si>
    <t xml:space="preserve">  1. 브랜드영상 제작</t>
    <phoneticPr fontId="19" type="noConversion"/>
  </si>
  <si>
    <t xml:space="preserve">  2. 축제영상 기록 및 제작</t>
    <phoneticPr fontId="19" type="noConversion"/>
  </si>
  <si>
    <t xml:space="preserve"> o 사업 관련 행사운영 등</t>
    <phoneticPr fontId="19" type="noConversion"/>
  </si>
  <si>
    <t xml:space="preserve"> o 심사비 지급 등</t>
    <phoneticPr fontId="19" type="noConversion"/>
  </si>
  <si>
    <t xml:space="preserve"> o 회의운영 등</t>
    <phoneticPr fontId="19" type="noConversion"/>
  </si>
  <si>
    <t xml:space="preserve"> o 소모품비</t>
    <phoneticPr fontId="18" type="noConversion"/>
  </si>
  <si>
    <t xml:space="preserve"> o 자료구독 및 구입</t>
    <phoneticPr fontId="18" type="noConversion"/>
  </si>
  <si>
    <t xml:space="preserve"> o 보조인력</t>
    <phoneticPr fontId="19" type="noConversion"/>
  </si>
  <si>
    <t xml:space="preserve">일 </t>
    <phoneticPr fontId="18" type="noConversion"/>
  </si>
  <si>
    <t xml:space="preserve"> o 국내출장</t>
    <phoneticPr fontId="19" type="noConversion"/>
  </si>
  <si>
    <t xml:space="preserve"> o 자료교환 및 발송</t>
    <phoneticPr fontId="18" type="noConversion"/>
  </si>
  <si>
    <t xml:space="preserve"> o 평가회의</t>
    <phoneticPr fontId="19" type="noConversion"/>
  </si>
  <si>
    <t xml:space="preserve"> o 디지털 아카이빙 및 아카이빙 거치대 시공</t>
    <phoneticPr fontId="19" type="noConversion"/>
  </si>
  <si>
    <t>지급용역료</t>
    <phoneticPr fontId="19" type="noConversion"/>
  </si>
  <si>
    <t>백남준 도서관 운영</t>
    <phoneticPr fontId="19" type="noConversion"/>
  </si>
  <si>
    <t xml:space="preserve">   1. 도서관 사서 인건비 </t>
    <phoneticPr fontId="19" type="noConversion"/>
  </si>
  <si>
    <t xml:space="preserve">   2. 도서관 보조인력 인건비</t>
    <phoneticPr fontId="19" type="noConversion"/>
  </si>
  <si>
    <t xml:space="preserve">   1. 도서관 운영 소모품 (바코드용지,라벨지,토너 외)</t>
    <phoneticPr fontId="19" type="noConversion"/>
  </si>
  <si>
    <t xml:space="preserve">   2. 데이터베이스 백신</t>
    <phoneticPr fontId="19" type="noConversion"/>
  </si>
  <si>
    <t xml:space="preserve">   1. 국내외잡지 정기구독</t>
    <phoneticPr fontId="19" type="noConversion"/>
  </si>
  <si>
    <t xml:space="preserve">   2. 국내외 도서 구입</t>
    <phoneticPr fontId="19" type="noConversion"/>
  </si>
  <si>
    <t xml:space="preserve">   1. 도서관 시설 보수</t>
    <phoneticPr fontId="19" type="noConversion"/>
  </si>
  <si>
    <t xml:space="preserve">   2. 데이터베이스 서버 유지관리 용역</t>
    <phoneticPr fontId="19" type="noConversion"/>
  </si>
  <si>
    <t xml:space="preserve">   3. 데이터 저장 NAS 구축 및 관리 용역</t>
    <phoneticPr fontId="19" type="noConversion"/>
  </si>
  <si>
    <t xml:space="preserve"> o 도서관용 복합기 임차료</t>
    <phoneticPr fontId="19" type="noConversion"/>
  </si>
  <si>
    <t>지급임차료</t>
    <phoneticPr fontId="19" type="noConversion"/>
  </si>
  <si>
    <t xml:space="preserve"> o 커피머신 임차</t>
    <phoneticPr fontId="18" type="noConversion"/>
  </si>
  <si>
    <t>o 계</t>
    <phoneticPr fontId="19" type="noConversion"/>
  </si>
  <si>
    <t xml:space="preserve">  1. 심사 수당</t>
    <phoneticPr fontId="19" type="noConversion"/>
  </si>
  <si>
    <t xml:space="preserve">  2. 진행요원 수당</t>
    <phoneticPr fontId="19" type="noConversion"/>
  </si>
  <si>
    <t xml:space="preserve">  3. 안전요원 수당</t>
    <phoneticPr fontId="19" type="noConversion"/>
  </si>
  <si>
    <t>대*</t>
    <phoneticPr fontId="19" type="noConversion"/>
  </si>
  <si>
    <t>원 *</t>
    <phoneticPr fontId="19" type="noConversion"/>
  </si>
  <si>
    <t xml:space="preserve"> o 사무기기 및 차량임차 등</t>
    <phoneticPr fontId="19" type="noConversion"/>
  </si>
  <si>
    <t>개월</t>
    <phoneticPr fontId="19" type="noConversion"/>
  </si>
  <si>
    <t xml:space="preserve"> o 현장모니터링 등</t>
    <phoneticPr fontId="18" type="noConversion"/>
  </si>
  <si>
    <t xml:space="preserve">   1. 심사위원 수당</t>
    <phoneticPr fontId="19" type="noConversion"/>
  </si>
  <si>
    <t xml:space="preserve">   2. 자무위원 수당 등</t>
    <phoneticPr fontId="19" type="noConversion"/>
  </si>
  <si>
    <t xml:space="preserve">   1. 보조인건비</t>
    <phoneticPr fontId="19" type="noConversion"/>
  </si>
  <si>
    <t xml:space="preserve"> o 사무용 소모품 등</t>
    <phoneticPr fontId="19" type="noConversion"/>
  </si>
  <si>
    <t xml:space="preserve">   1. 소외계층 문화예술단체 지원</t>
    <phoneticPr fontId="19" type="noConversion"/>
  </si>
  <si>
    <t xml:space="preserve">   2. 모니터링 등</t>
    <phoneticPr fontId="19" type="noConversion"/>
  </si>
  <si>
    <t xml:space="preserve"> o 매개자워크숍, 결과공유회 등</t>
    <phoneticPr fontId="19" type="noConversion"/>
  </si>
  <si>
    <t xml:space="preserve"> o 홍보물기념품구매 등</t>
    <phoneticPr fontId="19" type="noConversion"/>
  </si>
  <si>
    <t xml:space="preserve"> o 심사위원 운영 등</t>
    <phoneticPr fontId="19" type="noConversion"/>
  </si>
  <si>
    <t xml:space="preserve"> o 계약직 인건비</t>
    <phoneticPr fontId="19" type="noConversion"/>
  </si>
  <si>
    <t xml:space="preserve"> o 자료집 제작</t>
    <phoneticPr fontId="19" type="noConversion"/>
  </si>
  <si>
    <t xml:space="preserve">   1. 교장 강사비 및 지급수수료</t>
    <phoneticPr fontId="19" type="noConversion"/>
  </si>
  <si>
    <t xml:space="preserve">   2. 프로젝트100 시상금</t>
    <phoneticPr fontId="19" type="noConversion"/>
  </si>
  <si>
    <t xml:space="preserve">   3. 강사비</t>
    <phoneticPr fontId="19" type="noConversion"/>
  </si>
  <si>
    <t xml:space="preserve">   4. 멘토링비</t>
    <phoneticPr fontId="19" type="noConversion"/>
  </si>
  <si>
    <t xml:space="preserve">   5. 컨설팅</t>
    <phoneticPr fontId="19" type="noConversion"/>
  </si>
  <si>
    <t xml:space="preserve">   6. 워크숍진행</t>
    <phoneticPr fontId="19" type="noConversion"/>
  </si>
  <si>
    <t xml:space="preserve">   7. 심의비</t>
    <phoneticPr fontId="19" type="noConversion"/>
  </si>
  <si>
    <t xml:space="preserve">   8. 자문료</t>
    <phoneticPr fontId="19" type="noConversion"/>
  </si>
  <si>
    <t xml:space="preserve">   1. 오리엔테이션 차량 등</t>
    <phoneticPr fontId="19" type="noConversion"/>
  </si>
  <si>
    <t xml:space="preserve">   2. 결과워크숍 차량 등</t>
    <phoneticPr fontId="19" type="noConversion"/>
  </si>
  <si>
    <t xml:space="preserve">   3. 1박2일(남,북부통합)워크숍 등</t>
    <phoneticPr fontId="19" type="noConversion"/>
  </si>
  <si>
    <t xml:space="preserve"> o 홍보물디자인, 인쇄, 배포 등</t>
    <phoneticPr fontId="19" type="noConversion"/>
  </si>
  <si>
    <t xml:space="preserve">   1. 문화기획 양성과정 프로젝트 지원</t>
    <phoneticPr fontId="19" type="noConversion"/>
  </si>
  <si>
    <t xml:space="preserve">   2. 문화기획 역량강화 프로젝트 지원</t>
    <phoneticPr fontId="19" type="noConversion"/>
  </si>
  <si>
    <t xml:space="preserve">   1. 오리엔테이션 진행 등</t>
    <phoneticPr fontId="19" type="noConversion"/>
  </si>
  <si>
    <t xml:space="preserve">   2. 1박2일 워크숍 진행 등</t>
    <phoneticPr fontId="19" type="noConversion"/>
  </si>
  <si>
    <t xml:space="preserve">   3. 도시연구 워크숍 진행 등</t>
    <phoneticPr fontId="19" type="noConversion"/>
  </si>
  <si>
    <t xml:space="preserve">   4. 네트워크파티(다사리Day) 등</t>
    <phoneticPr fontId="19" type="noConversion"/>
  </si>
  <si>
    <t xml:space="preserve">   5. 강의, 현장워크숍, 멘토링 진행 등</t>
    <phoneticPr fontId="19" type="noConversion"/>
  </si>
  <si>
    <t xml:space="preserve">   6. 결과공유회 및 행사진행 등</t>
    <phoneticPr fontId="19" type="noConversion"/>
  </si>
  <si>
    <t xml:space="preserve"> o 업무회의 진행</t>
    <phoneticPr fontId="19" type="noConversion"/>
  </si>
  <si>
    <t>인건비</t>
    <phoneticPr fontId="31" type="noConversion"/>
  </si>
  <si>
    <t>소모품비</t>
    <phoneticPr fontId="31" type="noConversion"/>
  </si>
  <si>
    <t>자료구입비</t>
    <phoneticPr fontId="19" type="noConversion"/>
  </si>
  <si>
    <t>지급임차료</t>
    <phoneticPr fontId="19" type="noConversion"/>
  </si>
  <si>
    <t xml:space="preserve"> o 소모품 구입 및 기념품 제작</t>
    <phoneticPr fontId="19" type="noConversion"/>
  </si>
  <si>
    <t xml:space="preserve">  2. 국외출장</t>
    <phoneticPr fontId="19" type="noConversion"/>
  </si>
  <si>
    <t>ㅇ계</t>
    <phoneticPr fontId="19" type="noConversion"/>
  </si>
  <si>
    <t xml:space="preserve">   1. 전문연구원 인건비</t>
    <phoneticPr fontId="19" type="noConversion"/>
  </si>
  <si>
    <t xml:space="preserve">   2. 급량비, 수당 등</t>
    <phoneticPr fontId="19" type="noConversion"/>
  </si>
  <si>
    <t>%</t>
    <phoneticPr fontId="19" type="noConversion"/>
  </si>
  <si>
    <t xml:space="preserve">   1. 스토리북 인쇄비</t>
    <phoneticPr fontId="19" type="noConversion"/>
  </si>
  <si>
    <t xml:space="preserve">   2. 안내지도 제작비</t>
    <phoneticPr fontId="19" type="noConversion"/>
  </si>
  <si>
    <t>ㅇ사무용품 구입비</t>
    <phoneticPr fontId="19" type="noConversion"/>
  </si>
  <si>
    <t>ㅇ국내 여비</t>
    <phoneticPr fontId="19" type="noConversion"/>
  </si>
  <si>
    <t>명*</t>
    <phoneticPr fontId="19" type="noConversion"/>
  </si>
  <si>
    <t>회</t>
    <phoneticPr fontId="19" type="noConversion"/>
  </si>
  <si>
    <t>ㅇ계</t>
    <phoneticPr fontId="19" type="noConversion"/>
  </si>
  <si>
    <t xml:space="preserve">   1. 차량 유류비</t>
    <phoneticPr fontId="19" type="noConversion"/>
  </si>
  <si>
    <t>월</t>
    <phoneticPr fontId="19" type="noConversion"/>
  </si>
  <si>
    <t xml:space="preserve">   2. 차량 정기 주차비</t>
    <phoneticPr fontId="19" type="noConversion"/>
  </si>
  <si>
    <t>월</t>
    <phoneticPr fontId="19" type="noConversion"/>
  </si>
  <si>
    <t xml:space="preserve">   3. 차량 관련 물품구입비</t>
    <phoneticPr fontId="19" type="noConversion"/>
  </si>
  <si>
    <t>원*</t>
    <phoneticPr fontId="19" type="noConversion"/>
  </si>
  <si>
    <t>식</t>
    <phoneticPr fontId="19" type="noConversion"/>
  </si>
  <si>
    <t>=</t>
    <phoneticPr fontId="19" type="noConversion"/>
  </si>
  <si>
    <t xml:space="preserve">   4. 차량 고속도로 통행료</t>
    <phoneticPr fontId="19" type="noConversion"/>
  </si>
  <si>
    <t>원*</t>
    <phoneticPr fontId="19" type="noConversion"/>
  </si>
  <si>
    <t>월</t>
    <phoneticPr fontId="19" type="noConversion"/>
  </si>
  <si>
    <t xml:space="preserve">   5. 차량 일반관리비</t>
    <phoneticPr fontId="19" type="noConversion"/>
  </si>
  <si>
    <t>식</t>
    <phoneticPr fontId="19" type="noConversion"/>
  </si>
  <si>
    <t>=</t>
    <phoneticPr fontId="19" type="noConversion"/>
  </si>
  <si>
    <t xml:space="preserve">   6. 안내시설물 보수 등</t>
    <phoneticPr fontId="19" type="noConversion"/>
  </si>
  <si>
    <t>원*</t>
    <phoneticPr fontId="19" type="noConversion"/>
  </si>
  <si>
    <t>ㅇ계</t>
    <phoneticPr fontId="19" type="noConversion"/>
  </si>
  <si>
    <t xml:space="preserve">   1. 강의료 및 자문회의 수당</t>
    <phoneticPr fontId="19" type="noConversion"/>
  </si>
  <si>
    <t>명*</t>
    <phoneticPr fontId="19" type="noConversion"/>
  </si>
  <si>
    <t>회</t>
    <phoneticPr fontId="19" type="noConversion"/>
  </si>
  <si>
    <t xml:space="preserve">   2. 대행사업 수수료</t>
    <phoneticPr fontId="19" type="noConversion"/>
  </si>
  <si>
    <t>원*</t>
    <phoneticPr fontId="19" type="noConversion"/>
  </si>
  <si>
    <t xml:space="preserve"> o 계</t>
    <phoneticPr fontId="19" type="noConversion"/>
  </si>
  <si>
    <t xml:space="preserve">   1. 업무용 차량 임차</t>
    <phoneticPr fontId="19" type="noConversion"/>
  </si>
  <si>
    <t>대*</t>
    <phoneticPr fontId="19" type="noConversion"/>
  </si>
  <si>
    <t>월</t>
    <phoneticPr fontId="19" type="noConversion"/>
  </si>
  <si>
    <t xml:space="preserve">   2. 업무용 PC 임차</t>
    <phoneticPr fontId="19" type="noConversion"/>
  </si>
  <si>
    <t xml:space="preserve"> o 옛길포럼 지원비</t>
    <phoneticPr fontId="19" type="noConversion"/>
  </si>
  <si>
    <t xml:space="preserve">   1. 기념품 제작, 간담회 진행 등</t>
    <phoneticPr fontId="19" type="noConversion"/>
  </si>
  <si>
    <t>회</t>
    <phoneticPr fontId="19" type="noConversion"/>
  </si>
  <si>
    <t xml:space="preserve">   2. 도보행사 및 테마프로그램 운영</t>
    <phoneticPr fontId="19" type="noConversion"/>
  </si>
  <si>
    <t xml:space="preserve">   3. 자원봉사자 프로그램 운영</t>
    <phoneticPr fontId="19" type="noConversion"/>
  </si>
  <si>
    <t xml:space="preserve">   4. 행사용 보험료</t>
    <phoneticPr fontId="19" type="noConversion"/>
  </si>
  <si>
    <t>ㅇ간담회 등</t>
    <phoneticPr fontId="19" type="noConversion"/>
  </si>
  <si>
    <t>명*</t>
    <phoneticPr fontId="19" type="noConversion"/>
  </si>
  <si>
    <t>지급용역료</t>
    <phoneticPr fontId="19" type="noConversion"/>
  </si>
  <si>
    <t>ㅇ예산과목 폐지</t>
    <phoneticPr fontId="19" type="noConversion"/>
  </si>
  <si>
    <t xml:space="preserve">   1. 신규부스 제작 (디자인,설치)</t>
    <phoneticPr fontId="19" type="noConversion"/>
  </si>
  <si>
    <t xml:space="preserve">   2. 미디어 파사드 콘텐츠 제작</t>
    <phoneticPr fontId="19" type="noConversion"/>
  </si>
  <si>
    <t xml:space="preserve">   3. 영상기기 제작 (맵핑,파사드)</t>
    <phoneticPr fontId="19" type="noConversion"/>
  </si>
  <si>
    <t xml:space="preserve">   4. VR부스 제작(디자인,설치)</t>
    <phoneticPr fontId="19" type="noConversion"/>
  </si>
  <si>
    <t xml:space="preserve">   5. VR지원 기기 제작</t>
    <phoneticPr fontId="19" type="noConversion"/>
  </si>
  <si>
    <t xml:space="preserve">   6. 이동형 VR 세트 제작</t>
    <phoneticPr fontId="19" type="noConversion"/>
  </si>
  <si>
    <t xml:space="preserve"> o 디지털 기기 임대</t>
    <phoneticPr fontId="19" type="noConversion"/>
  </si>
  <si>
    <t xml:space="preserve"> o 강사료</t>
    <phoneticPr fontId="19" type="noConversion"/>
  </si>
  <si>
    <t xml:space="preserve"> o 시범운영 행사진행</t>
    <phoneticPr fontId="19" type="noConversion"/>
  </si>
  <si>
    <t>지급임차료</t>
    <phoneticPr fontId="25" type="noConversion"/>
  </si>
  <si>
    <t>상설전미디어 체험코너 운영</t>
    <phoneticPr fontId="19" type="noConversion"/>
  </si>
  <si>
    <t>2018년도 2회 추경 지출예산 (전곡선사박물관)</t>
    <phoneticPr fontId="19" type="noConversion"/>
  </si>
  <si>
    <t xml:space="preserve"> o 운영업체 선정(6회)</t>
    <phoneticPr fontId="19" type="noConversion"/>
  </si>
  <si>
    <t>홍보물 제작</t>
    <phoneticPr fontId="19" type="noConversion"/>
  </si>
  <si>
    <t xml:space="preserve"> </t>
    <phoneticPr fontId="25" type="noConversion"/>
  </si>
  <si>
    <t xml:space="preserve"> o 참여단체 및 부스운영 지원</t>
    <phoneticPr fontId="19" type="noConversion"/>
  </si>
  <si>
    <t>운영기획단체 지원비</t>
    <phoneticPr fontId="19" type="noConversion"/>
  </si>
  <si>
    <t xml:space="preserve"> o 간담회 및 회의운영</t>
    <phoneticPr fontId="19" type="noConversion"/>
  </si>
  <si>
    <t>회의운영 및 평가회의</t>
    <phoneticPr fontId="19" type="noConversion"/>
  </si>
  <si>
    <t xml:space="preserve"> o 직원 여비</t>
    <phoneticPr fontId="19" type="noConversion"/>
  </si>
  <si>
    <r>
      <t xml:space="preserve"> </t>
    </r>
    <r>
      <rPr>
        <sz val="12"/>
        <color theme="1"/>
        <rFont val="돋움"/>
        <family val="3"/>
        <charset val="129"/>
      </rPr>
      <t xml:space="preserve"> 3. 제부도아트파크 공연 사업</t>
    </r>
    <phoneticPr fontId="19" type="noConversion"/>
  </si>
  <si>
    <t xml:space="preserve"> o 모바일, PC용 전자책, 오디오북 도입</t>
    <phoneticPr fontId="19" type="noConversion"/>
  </si>
  <si>
    <t xml:space="preserve"> o 전자책 이용 안내 영상 제작</t>
    <phoneticPr fontId="19" type="noConversion"/>
  </si>
  <si>
    <t>개월</t>
    <phoneticPr fontId="19" type="noConversion"/>
  </si>
  <si>
    <t>도서인쇄비</t>
    <phoneticPr fontId="18" type="noConversion"/>
  </si>
  <si>
    <t>ㅇ 보고서 인쇄비</t>
    <phoneticPr fontId="19" type="noConversion"/>
  </si>
  <si>
    <t>식 *</t>
    <phoneticPr fontId="19" type="noConversion"/>
  </si>
  <si>
    <t>회</t>
    <phoneticPr fontId="19" type="noConversion"/>
  </si>
  <si>
    <t>지급수수료</t>
    <phoneticPr fontId="19" type="noConversion"/>
  </si>
  <si>
    <t>ㅇ 자문위원회 수당</t>
    <phoneticPr fontId="19" type="noConversion"/>
  </si>
  <si>
    <t>명 *</t>
    <phoneticPr fontId="19" type="noConversion"/>
  </si>
  <si>
    <t>원 *</t>
    <phoneticPr fontId="19" type="noConversion"/>
  </si>
  <si>
    <t>=</t>
    <phoneticPr fontId="19" type="noConversion"/>
  </si>
  <si>
    <t>회의운영비</t>
    <phoneticPr fontId="19" type="noConversion"/>
  </si>
  <si>
    <t>ㅇ 소모품비</t>
    <phoneticPr fontId="19" type="noConversion"/>
  </si>
  <si>
    <t>지급용역료</t>
    <phoneticPr fontId="19" type="noConversion"/>
  </si>
  <si>
    <t>ㅇ 계</t>
    <phoneticPr fontId="19" type="noConversion"/>
  </si>
  <si>
    <t xml:space="preserve">   1. 보고서 인쇄비</t>
    <phoneticPr fontId="19" type="noConversion"/>
  </si>
  <si>
    <t xml:space="preserve">   2. 학술자료 온라인 활용 등</t>
    <phoneticPr fontId="19" type="noConversion"/>
  </si>
  <si>
    <t xml:space="preserve"> o 그레이트북스 100선 선정 기념행사 등</t>
    <phoneticPr fontId="19" type="noConversion"/>
  </si>
  <si>
    <t xml:space="preserve">   1. 레지던시 연감제작</t>
    <phoneticPr fontId="19" type="noConversion"/>
  </si>
  <si>
    <t>ㅇ 최종보고서 제작</t>
    <phoneticPr fontId="19" type="noConversion"/>
  </si>
  <si>
    <t>2018년도 2회 추경 지출예산 (경기도박물관)</t>
    <phoneticPr fontId="19" type="noConversion"/>
  </si>
  <si>
    <t xml:space="preserve">   1. 국외출장</t>
    <phoneticPr fontId="19" type="noConversion"/>
  </si>
  <si>
    <t xml:space="preserve">   2. 국내출장</t>
    <phoneticPr fontId="19" type="noConversion"/>
  </si>
  <si>
    <t xml:space="preserve"> o 프로그램관련 회의운영</t>
    <phoneticPr fontId="19" type="noConversion"/>
  </si>
  <si>
    <t xml:space="preserve"> o 교육키트 제작</t>
    <phoneticPr fontId="19" type="noConversion"/>
  </si>
  <si>
    <t xml:space="preserve"> o 직원해외연수 출장비</t>
    <phoneticPr fontId="19" type="noConversion"/>
  </si>
  <si>
    <t xml:space="preserve"> o 역량강화 워크숍</t>
    <phoneticPr fontId="19" type="noConversion"/>
  </si>
  <si>
    <t>전문도슨트 및 자원봉사 운영</t>
    <phoneticPr fontId="24" type="noConversion"/>
  </si>
  <si>
    <t>실학지역문화 네트워크</t>
    <phoneticPr fontId="18" type="noConversion"/>
  </si>
  <si>
    <t>경기북부사립박물관 연합 릴레이전</t>
    <phoneticPr fontId="19" type="noConversion"/>
  </si>
  <si>
    <t>ASI(신비한 고고학의 세계)</t>
    <phoneticPr fontId="25" type="noConversion"/>
  </si>
  <si>
    <t>홍보물 구입비</t>
    <phoneticPr fontId="19" type="noConversion"/>
  </si>
  <si>
    <t xml:space="preserve">   1. PM(공사감독)</t>
    <phoneticPr fontId="19" type="noConversion"/>
  </si>
  <si>
    <t xml:space="preserve">   2. 기획자문료</t>
    <phoneticPr fontId="19" type="noConversion"/>
  </si>
  <si>
    <t>북한산성 연구 및 활용 공모사업</t>
    <phoneticPr fontId="19" type="noConversion"/>
  </si>
  <si>
    <t>일반 관리</t>
    <phoneticPr fontId="19" type="noConversion"/>
  </si>
  <si>
    <t>2018 교육나눔사업</t>
    <phoneticPr fontId="19" type="noConversion"/>
  </si>
  <si>
    <t xml:space="preserve">   3. 실학예술소풍 회의참석비</t>
    <phoneticPr fontId="19" type="noConversion"/>
  </si>
  <si>
    <t xml:space="preserve">   2. 실학예술소풍 강사료</t>
    <phoneticPr fontId="19" type="noConversion"/>
  </si>
  <si>
    <t xml:space="preserve">   1. 실학연극소풍 강사료</t>
    <phoneticPr fontId="19" type="noConversion"/>
  </si>
  <si>
    <t>교육훈련비</t>
    <phoneticPr fontId="19" type="noConversion"/>
  </si>
  <si>
    <t xml:space="preserve"> o 업무용 컴퓨터 및 사무가구 등</t>
    <phoneticPr fontId="19" type="noConversion"/>
  </si>
  <si>
    <t xml:space="preserve"> o 기자간담회 및 스텝스텝 운영</t>
    <phoneticPr fontId="19" type="noConversion"/>
  </si>
  <si>
    <t>부서운영비</t>
    <phoneticPr fontId="19" type="noConversion"/>
  </si>
  <si>
    <t>세금과공과</t>
    <phoneticPr fontId="19" type="noConversion"/>
  </si>
  <si>
    <t>박스*</t>
    <phoneticPr fontId="19" type="noConversion"/>
  </si>
  <si>
    <t>통*</t>
    <phoneticPr fontId="19" type="noConversion"/>
  </si>
  <si>
    <t>개</t>
    <phoneticPr fontId="19" type="noConversion"/>
  </si>
  <si>
    <t xml:space="preserve"> o 교육훈련</t>
    <phoneticPr fontId="19" type="noConversion"/>
  </si>
  <si>
    <t>국내외 학술교류</t>
    <phoneticPr fontId="24" type="noConversion"/>
  </si>
  <si>
    <t>ㅇ 인건비</t>
    <phoneticPr fontId="19" type="noConversion"/>
  </si>
  <si>
    <t>ㅇ 사무용품구입</t>
    <phoneticPr fontId="19" type="noConversion"/>
  </si>
  <si>
    <t>ㅇ PC 임대</t>
    <phoneticPr fontId="19" type="noConversion"/>
  </si>
  <si>
    <t>ㅇ 출장경비</t>
    <phoneticPr fontId="19" type="noConversion"/>
  </si>
  <si>
    <t>ㅇ 위탁수수료</t>
    <phoneticPr fontId="19" type="noConversion"/>
  </si>
  <si>
    <t>전문가 포럼</t>
    <phoneticPr fontId="19" type="noConversion"/>
  </si>
  <si>
    <t xml:space="preserve">   1. 주제발표자 수당</t>
    <phoneticPr fontId="19" type="noConversion"/>
  </si>
  <si>
    <t xml:space="preserve">   3. 포럼 총회 수당</t>
    <phoneticPr fontId="19" type="noConversion"/>
  </si>
  <si>
    <t xml:space="preserve">   1. 행사장 대관</t>
    <phoneticPr fontId="19" type="noConversion"/>
  </si>
  <si>
    <t xml:space="preserve">   2. 다과 및 식비</t>
    <phoneticPr fontId="19" type="noConversion"/>
  </si>
  <si>
    <t xml:space="preserve">   1. 포럼 자료집 제작</t>
    <phoneticPr fontId="19" type="noConversion"/>
  </si>
  <si>
    <t>부*</t>
    <phoneticPr fontId="19" type="noConversion"/>
  </si>
  <si>
    <t xml:space="preserve">   2. 결과보고서 제작</t>
    <phoneticPr fontId="19" type="noConversion"/>
  </si>
  <si>
    <t>대토론회 개최</t>
    <phoneticPr fontId="19" type="noConversion"/>
  </si>
  <si>
    <t xml:space="preserve"> o 주제발표자 수당</t>
    <phoneticPr fontId="19" type="noConversion"/>
  </si>
  <si>
    <t xml:space="preserve"> o 원탁토론회 용역</t>
    <phoneticPr fontId="19" type="noConversion"/>
  </si>
  <si>
    <t xml:space="preserve"> o 토론회 자료집 제작</t>
    <phoneticPr fontId="19" type="noConversion"/>
  </si>
  <si>
    <t xml:space="preserve">   1. 다과 및 현수막</t>
    <phoneticPr fontId="19" type="noConversion"/>
  </si>
  <si>
    <t xml:space="preserve">   2. 참가자 식사</t>
    <phoneticPr fontId="19" type="noConversion"/>
  </si>
  <si>
    <t xml:space="preserve">   3. 행사장 대관</t>
    <phoneticPr fontId="19" type="noConversion"/>
  </si>
  <si>
    <t xml:space="preserve">   4. 초청장 제작 및 발송</t>
    <phoneticPr fontId="19" type="noConversion"/>
  </si>
  <si>
    <t xml:space="preserve">   5. 사전 설문 조사 및 영상 제작</t>
    <phoneticPr fontId="19" type="noConversion"/>
  </si>
  <si>
    <t>공기관대행사업</t>
    <phoneticPr fontId="19" type="noConversion"/>
  </si>
  <si>
    <t>비전선포식</t>
    <phoneticPr fontId="19" type="noConversion"/>
  </si>
  <si>
    <t xml:space="preserve"> o 북콘서트 용역</t>
    <phoneticPr fontId="19" type="noConversion"/>
  </si>
  <si>
    <t>홍보사업</t>
    <phoneticPr fontId="19" type="noConversion"/>
  </si>
  <si>
    <t xml:space="preserve">   1. 영상 촬영</t>
    <phoneticPr fontId="19" type="noConversion"/>
  </si>
  <si>
    <t xml:space="preserve">   2. 홍보 이벤트</t>
    <phoneticPr fontId="19" type="noConversion"/>
  </si>
  <si>
    <t xml:space="preserve">   3. 홍보 장비 임대</t>
    <phoneticPr fontId="19" type="noConversion"/>
  </si>
  <si>
    <t xml:space="preserve">   1. 홍보 기념품 제작</t>
    <phoneticPr fontId="19" type="noConversion"/>
  </si>
  <si>
    <t xml:space="preserve">   2. 축제 홍보부스 운영</t>
    <phoneticPr fontId="19" type="noConversion"/>
  </si>
  <si>
    <t>2018년도 2회 추경 지출예산 (위탁)</t>
    <phoneticPr fontId="19" type="noConversion"/>
  </si>
  <si>
    <t>2018 북한산성보존정비사업</t>
    <phoneticPr fontId="19" type="noConversion"/>
  </si>
  <si>
    <t>2018 경기도문화재돌봄사업</t>
    <phoneticPr fontId="19" type="noConversion"/>
  </si>
  <si>
    <t>2018년도 2회 추경 지출예산 (실학박물관)</t>
    <phoneticPr fontId="19" type="noConversion"/>
  </si>
  <si>
    <t>2018년도 2회 추경 지출예산 (예비비)</t>
    <phoneticPr fontId="19" type="noConversion"/>
  </si>
  <si>
    <t>2018년도 2회 추경 지출예산 (반납비)</t>
    <phoneticPr fontId="19" type="noConversion"/>
  </si>
  <si>
    <t>2018년도 2회 추경 지출예산 (정책실)</t>
    <phoneticPr fontId="19" type="noConversion"/>
  </si>
  <si>
    <t>2018년도 2회 추경 지출예산 (경영본부, 문화예술본부 - 일반관리비)</t>
    <phoneticPr fontId="19" type="noConversion"/>
  </si>
  <si>
    <t>2018년도 2회 추경 지출예산 (경영본부 - 사업비)</t>
    <phoneticPr fontId="19" type="noConversion"/>
  </si>
  <si>
    <t xml:space="preserve">   1. 6개 뮤지엄 문화(기획) 아트상품 개발 등</t>
    <phoneticPr fontId="19" type="noConversion"/>
  </si>
  <si>
    <t xml:space="preserve">   2. 워크숍 북</t>
    <phoneticPr fontId="19" type="noConversion"/>
  </si>
  <si>
    <t xml:space="preserve">   2. 4대보험료</t>
    <phoneticPr fontId="19" type="noConversion"/>
  </si>
  <si>
    <t xml:space="preserve">   1. 제1권 &lt;인물&gt;책자 발간</t>
    <phoneticPr fontId="19" type="noConversion"/>
  </si>
  <si>
    <t xml:space="preserve">   2. 제2권 &lt;문화유산&gt;책자 발간</t>
    <phoneticPr fontId="19" type="noConversion"/>
  </si>
  <si>
    <t xml:space="preserve">   1. 스토리텔링 원고집필</t>
    <phoneticPr fontId="19" type="noConversion"/>
  </si>
  <si>
    <t xml:space="preserve">   1. 편집디자인(삽화포함)</t>
    <phoneticPr fontId="19" type="noConversion"/>
  </si>
  <si>
    <t xml:space="preserve">   3. 책자발송</t>
    <phoneticPr fontId="19" type="noConversion"/>
  </si>
  <si>
    <t xml:space="preserve">   2. 디지털작업비</t>
    <phoneticPr fontId="19" type="noConversion"/>
  </si>
  <si>
    <t xml:space="preserve">   3. 자문료</t>
    <phoneticPr fontId="19" type="noConversion"/>
  </si>
  <si>
    <t xml:space="preserve">   2. 도서 인쇄</t>
    <phoneticPr fontId="19" type="noConversion"/>
  </si>
  <si>
    <t xml:space="preserve">   1. 지역학 행사 운영</t>
    <phoneticPr fontId="19" type="noConversion"/>
  </si>
  <si>
    <t xml:space="preserve">   2. 연구자 모임 운영</t>
    <phoneticPr fontId="19" type="noConversion"/>
  </si>
  <si>
    <t xml:space="preserve"> o 간담회</t>
    <phoneticPr fontId="19" type="noConversion"/>
  </si>
  <si>
    <t xml:space="preserve"> o 간담회</t>
    <phoneticPr fontId="19" type="noConversion"/>
  </si>
  <si>
    <t xml:space="preserve"> o 수장고 청소 비품</t>
    <phoneticPr fontId="19" type="noConversion"/>
  </si>
  <si>
    <t>실학소풍 운영</t>
    <phoneticPr fontId="19" type="noConversion"/>
  </si>
  <si>
    <t>2018 경기도옛길관리운영</t>
    <phoneticPr fontId="19" type="noConversion"/>
  </si>
  <si>
    <t xml:space="preserve"> o 홍보 카툰 제작</t>
    <phoneticPr fontId="19" type="noConversion"/>
  </si>
  <si>
    <t xml:space="preserve">   2. 포럼 참가자 수당</t>
    <phoneticPr fontId="19" type="noConversion"/>
  </si>
  <si>
    <t>청년 문화기획자 양성과정</t>
    <phoneticPr fontId="19" type="noConversion"/>
  </si>
  <si>
    <t xml:space="preserve">   2. 국외출장</t>
    <phoneticPr fontId="19" type="noConversion"/>
  </si>
  <si>
    <t>벌터 문화마을 만들기</t>
    <phoneticPr fontId="19" type="noConversion"/>
  </si>
  <si>
    <t xml:space="preserve"> o 업무대행 수수료</t>
    <phoneticPr fontId="19" type="noConversion"/>
  </si>
  <si>
    <t xml:space="preserve"> o 추진단 운영</t>
    <phoneticPr fontId="19" type="noConversion"/>
  </si>
  <si>
    <t>근대 문화유산 활용</t>
    <phoneticPr fontId="19" type="noConversion"/>
  </si>
  <si>
    <t>근대 문화유산 활용</t>
    <phoneticPr fontId="19" type="noConversion"/>
  </si>
  <si>
    <t>소모품비</t>
    <phoneticPr fontId="19" type="noConversion"/>
  </si>
  <si>
    <t>여비교통비</t>
    <phoneticPr fontId="19" type="noConversion"/>
  </si>
  <si>
    <t>지급용역료</t>
    <phoneticPr fontId="19" type="noConversion"/>
  </si>
  <si>
    <t xml:space="preserve"> o 자료집, 홍보물 제작</t>
    <phoneticPr fontId="19" type="noConversion"/>
  </si>
  <si>
    <t xml:space="preserve">  1. 행사물품 구입</t>
    <phoneticPr fontId="19" type="noConversion"/>
  </si>
  <si>
    <t xml:space="preserve">  2. 기념품 구입</t>
    <phoneticPr fontId="19" type="noConversion"/>
  </si>
  <si>
    <t xml:space="preserve">  1. 국내출장</t>
    <phoneticPr fontId="19" type="noConversion"/>
  </si>
  <si>
    <t>지급수수료</t>
    <phoneticPr fontId="19" type="noConversion"/>
  </si>
  <si>
    <t xml:space="preserve">  1. 심의, 자문 원고비</t>
    <phoneticPr fontId="19" type="noConversion"/>
  </si>
  <si>
    <t xml:space="preserve">  2. 업무대행 수수료</t>
    <phoneticPr fontId="19" type="noConversion"/>
  </si>
  <si>
    <t>지원비</t>
    <phoneticPr fontId="19" type="noConversion"/>
  </si>
  <si>
    <t xml:space="preserve"> o 운영단체 지원비</t>
    <phoneticPr fontId="19" type="noConversion"/>
  </si>
  <si>
    <t xml:space="preserve">  1. 워크숍</t>
    <phoneticPr fontId="19" type="noConversion"/>
  </si>
  <si>
    <t xml:space="preserve">  2. 결과공유 행사</t>
    <phoneticPr fontId="19" type="noConversion"/>
  </si>
  <si>
    <t xml:space="preserve"> o 업무 관련 회의</t>
    <phoneticPr fontId="19" type="noConversion"/>
  </si>
  <si>
    <t xml:space="preserve"> o 홍보 대행</t>
    <phoneticPr fontId="19" type="noConversion"/>
  </si>
  <si>
    <t xml:space="preserve"> o 회의용품</t>
    <phoneticPr fontId="19" type="noConversion"/>
  </si>
  <si>
    <t xml:space="preserve"> o 회의용품 구입 등</t>
    <phoneticPr fontId="19" type="noConversion"/>
  </si>
  <si>
    <t xml:space="preserve"> o 시책업무추진비</t>
    <phoneticPr fontId="19" type="noConversion"/>
  </si>
  <si>
    <t xml:space="preserve">   1. 해외 레지던시 교류 여비교통비</t>
    <phoneticPr fontId="19" type="noConversion"/>
  </si>
  <si>
    <t xml:space="preserve"> o 자료관리용 서버 구입</t>
    <phoneticPr fontId="19" type="noConversion"/>
  </si>
  <si>
    <t xml:space="preserve"> o 간담회, 평가회</t>
    <phoneticPr fontId="19" type="noConversion"/>
  </si>
  <si>
    <t xml:space="preserve">   1. 유물스캐너</t>
    <phoneticPr fontId="19" type="noConversion"/>
  </si>
  <si>
    <t xml:space="preserve">   1. 인문강좌 및 향토문화대학 강사료</t>
    <phoneticPr fontId="19" type="noConversion"/>
  </si>
  <si>
    <t xml:space="preserve">   3. 제3권 &lt;생활과문화&gt;홍보용 샘플북 발간</t>
    <phoneticPr fontId="19" type="noConversion"/>
  </si>
  <si>
    <t xml:space="preserve">   1. 제3권 생활과문화 원고료</t>
    <phoneticPr fontId="19" type="noConversion"/>
  </si>
  <si>
    <t xml:space="preserve">   2. 제3권 생활과문화 감수료</t>
    <phoneticPr fontId="19" type="noConversion"/>
  </si>
  <si>
    <t xml:space="preserve">   3. 자문회의수당</t>
    <phoneticPr fontId="19" type="noConversion"/>
  </si>
  <si>
    <t xml:space="preserve">   1. 제3권 생활과문화 편집디자인</t>
    <phoneticPr fontId="19" type="noConversion"/>
  </si>
  <si>
    <t xml:space="preserve">   2. 제2권 문화유산 디지탈제작비</t>
    <phoneticPr fontId="19" type="noConversion"/>
  </si>
  <si>
    <t xml:space="preserve">   1. 교육청 학교교사연수 워크숍</t>
    <phoneticPr fontId="19" type="noConversion"/>
  </si>
  <si>
    <t xml:space="preserve">   2. 문화유산 답사비(학교현장학습지원)</t>
    <phoneticPr fontId="19" type="noConversion"/>
  </si>
  <si>
    <t xml:space="preserve">   3. 집필진 워크숍</t>
    <phoneticPr fontId="19" type="noConversion"/>
  </si>
  <si>
    <t xml:space="preserve">   1. 집필 원고료</t>
    <phoneticPr fontId="19" type="noConversion"/>
  </si>
  <si>
    <t xml:space="preserve">   2. 인문학세미나 행사운영</t>
    <phoneticPr fontId="19" type="noConversion"/>
  </si>
  <si>
    <t xml:space="preserve">   1. 평전구입(신규출판)</t>
    <phoneticPr fontId="19" type="noConversion"/>
  </si>
  <si>
    <t xml:space="preserve">   2. 평전구입(기출판)</t>
    <phoneticPr fontId="19" type="noConversion"/>
  </si>
  <si>
    <t xml:space="preserve">   2. 작품 수수료</t>
    <phoneticPr fontId="19" type="noConversion"/>
  </si>
  <si>
    <t xml:space="preserve">   1. TV 정원 유지관리비</t>
    <phoneticPr fontId="19" type="noConversion"/>
  </si>
  <si>
    <t xml:space="preserve">   2. TV 물고기 유지관리비</t>
    <phoneticPr fontId="19" type="noConversion"/>
  </si>
  <si>
    <t xml:space="preserve">   1. 발표자 교통비</t>
    <phoneticPr fontId="19" type="noConversion"/>
  </si>
  <si>
    <t xml:space="preserve">   2. 우수기관 탐방 숙박</t>
    <phoneticPr fontId="19" type="noConversion"/>
  </si>
  <si>
    <t xml:space="preserve">   3. 강사 섭외 및 현장 탐방 출장</t>
    <phoneticPr fontId="19" type="noConversion"/>
  </si>
  <si>
    <t xml:space="preserve">   1. 홍보물(현수막, 배너) 제작 및 설치</t>
    <phoneticPr fontId="19" type="noConversion"/>
  </si>
  <si>
    <t xml:space="preserve">   2. 운영소모품 구입</t>
    <phoneticPr fontId="19" type="noConversion"/>
  </si>
  <si>
    <t xml:space="preserve"> o 전기, 상하수도, 가스 요금</t>
    <phoneticPr fontId="19" type="noConversion"/>
  </si>
  <si>
    <t xml:space="preserve"> o 난방연료비 및 전력비(발굴현장사무실 10개, 사무실1개)</t>
    <phoneticPr fontId="19" type="noConversion"/>
  </si>
  <si>
    <t xml:space="preserve">   1. X-레이 장비 구입</t>
    <phoneticPr fontId="19" type="noConversion"/>
  </si>
  <si>
    <t xml:space="preserve">   2. 보존처리 기자재 구입</t>
    <phoneticPr fontId="19" type="noConversion"/>
  </si>
  <si>
    <t xml:space="preserve">   3. 휴대용 XRP 구입</t>
    <phoneticPr fontId="19" type="noConversion"/>
  </si>
  <si>
    <t xml:space="preserve">   3. 모니터 타블렛</t>
    <phoneticPr fontId="19" type="noConversion"/>
  </si>
  <si>
    <t xml:space="preserve">   2. GNSS 측량기</t>
    <phoneticPr fontId="19" type="noConversion"/>
  </si>
  <si>
    <t xml:space="preserve"> o 예산전용 및 조정 (-&gt; 경기도미술관 경기 아카이브전, 문화사업팀 도민정책 상상플랫폼)</t>
    <phoneticPr fontId="19" type="noConversion"/>
  </si>
  <si>
    <t xml:space="preserve"> o 부서운영</t>
    <phoneticPr fontId="19" type="noConversion"/>
  </si>
  <si>
    <t xml:space="preserve"> o 직원 MT 건강검진</t>
    <phoneticPr fontId="19" type="noConversion"/>
  </si>
  <si>
    <t xml:space="preserve"> o 직무역량 강화 교육</t>
    <phoneticPr fontId="19" type="noConversion"/>
  </si>
  <si>
    <t xml:space="preserve"> o 센터 운영</t>
    <phoneticPr fontId="19" type="noConversion"/>
  </si>
  <si>
    <t xml:space="preserve"> o 보조 큐레이터 인건비</t>
    <phoneticPr fontId="19" type="noConversion"/>
  </si>
  <si>
    <t xml:space="preserve"> o 해외 레지던시 교류작가 전시 지원</t>
    <phoneticPr fontId="19" type="noConversion"/>
  </si>
  <si>
    <t xml:space="preserve">   1. 국외견학</t>
    <phoneticPr fontId="19" type="noConversion"/>
  </si>
  <si>
    <t xml:space="preserve">   2. 국내견학</t>
    <phoneticPr fontId="19" type="noConversion"/>
  </si>
  <si>
    <t>기정예산액</t>
    <phoneticPr fontId="19" type="noConversion"/>
  </si>
  <si>
    <t>기정예산액</t>
    <phoneticPr fontId="19" type="noConversion"/>
  </si>
  <si>
    <t>과목</t>
    <phoneticPr fontId="19" type="noConversion"/>
  </si>
  <si>
    <t xml:space="preserve">   3. 경영평가 성과급</t>
    <phoneticPr fontId="19" type="noConversion"/>
  </si>
  <si>
    <t xml:space="preserve">   1. 4대보험 부담금</t>
    <phoneticPr fontId="19" type="noConversion"/>
  </si>
  <si>
    <t xml:space="preserve">   2. 선택적 복지제도 운영</t>
    <phoneticPr fontId="19" type="noConversion"/>
  </si>
  <si>
    <t xml:space="preserve">   1. 심포지엄 오프닝 케이터링</t>
    <phoneticPr fontId="19" type="noConversion"/>
  </si>
  <si>
    <t xml:space="preserve">   2. 행사 운영 관련 다과</t>
    <phoneticPr fontId="19" type="noConversion"/>
  </si>
  <si>
    <t xml:space="preserve">   3. 기타 행사 준비</t>
    <phoneticPr fontId="19" type="noConversion"/>
  </si>
  <si>
    <t xml:space="preserve">   1. 사무용 PC 및 집기류 등</t>
    <phoneticPr fontId="19" type="noConversion"/>
  </si>
  <si>
    <t xml:space="preserve">   2. SW 구매 등</t>
    <phoneticPr fontId="19" type="noConversion"/>
  </si>
  <si>
    <t xml:space="preserve">   1. 매개자 역랑강화 워크숍 강연 등</t>
    <phoneticPr fontId="19" type="noConversion"/>
  </si>
  <si>
    <t xml:space="preserve">   2. 컨설팅, 자문 등</t>
    <phoneticPr fontId="19" type="noConversion"/>
  </si>
  <si>
    <t xml:space="preserve">   3. 강연, 워크숍 등 기록</t>
    <phoneticPr fontId="19" type="noConversion"/>
  </si>
  <si>
    <t xml:space="preserve">   1. 사진, 영상 촬영 등</t>
    <phoneticPr fontId="19" type="noConversion"/>
  </si>
  <si>
    <t xml:space="preserve">   2. 지지봄봄 제작</t>
    <phoneticPr fontId="19" type="noConversion"/>
  </si>
  <si>
    <t xml:space="preserve">   1. 사무기기 임차 등</t>
    <phoneticPr fontId="19" type="noConversion"/>
  </si>
  <si>
    <t xml:space="preserve">   2. 행사 공간 대관, 기자재 임차 등</t>
    <phoneticPr fontId="19" type="noConversion"/>
  </si>
  <si>
    <t xml:space="preserve">   1. 매개자 역량강화 프로그램 운영</t>
    <phoneticPr fontId="19" type="noConversion"/>
  </si>
  <si>
    <t xml:space="preserve">   2. 사업 결과공유회 운영 등</t>
    <phoneticPr fontId="19" type="noConversion"/>
  </si>
  <si>
    <t xml:space="preserve">   1. 매개자 역량강화 워크숍 기획회의</t>
    <phoneticPr fontId="19" type="noConversion"/>
  </si>
  <si>
    <t xml:space="preserve">   2. 유기관 네트워킹 회의 운영 등</t>
    <phoneticPr fontId="19" type="noConversion"/>
  </si>
  <si>
    <t xml:space="preserve">   1. 심의 등</t>
    <phoneticPr fontId="19" type="noConversion"/>
  </si>
  <si>
    <t xml:space="preserve">   1. 홍보물 및 기념품 제작비 등</t>
    <phoneticPr fontId="19" type="noConversion"/>
  </si>
  <si>
    <t xml:space="preserve">   2. 센터 운영 관련 소모품비 등</t>
    <phoneticPr fontId="19" type="noConversion"/>
  </si>
  <si>
    <t xml:space="preserve">   1. 홈페이지 개편 및 유지 보수</t>
    <phoneticPr fontId="19" type="noConversion"/>
  </si>
  <si>
    <t xml:space="preserve">   2. 센터 홍보 이미지 디자인 용역</t>
    <phoneticPr fontId="19" type="noConversion"/>
  </si>
  <si>
    <t xml:space="preserve">   3. 홈페이지 만족도 조사 및 홍보 이벤트 운영</t>
    <phoneticPr fontId="19" type="noConversion"/>
  </si>
  <si>
    <t xml:space="preserve">   2. 퇴직급여</t>
    <phoneticPr fontId="19" type="noConversion"/>
  </si>
  <si>
    <t xml:space="preserve">   3. 4대보험</t>
    <phoneticPr fontId="19" type="noConversion"/>
  </si>
  <si>
    <t xml:space="preserve">   4. 복지카드</t>
    <phoneticPr fontId="19" type="noConversion"/>
  </si>
  <si>
    <t xml:space="preserve">   5. 건강검진</t>
    <phoneticPr fontId="19" type="noConversion"/>
  </si>
  <si>
    <t xml:space="preserve">   6. 단기 보조인력</t>
    <phoneticPr fontId="19" type="noConversion"/>
  </si>
  <si>
    <t xml:space="preserve">   1. 청년창업 컨설팅, 교육, 멤버쉽 프로그램 사례비</t>
    <phoneticPr fontId="19" type="noConversion"/>
  </si>
  <si>
    <t xml:space="preserve">   2. 청년실험프로젝트 심사</t>
    <phoneticPr fontId="19" type="noConversion"/>
  </si>
  <si>
    <t xml:space="preserve">   3. 청년입주단체 심사</t>
    <phoneticPr fontId="19" type="noConversion"/>
  </si>
  <si>
    <t xml:space="preserve">   4. 전문가 자문</t>
    <phoneticPr fontId="19" type="noConversion"/>
  </si>
  <si>
    <t xml:space="preserve">   1. 교장(총괄멘토)</t>
    <phoneticPr fontId="19" type="noConversion"/>
  </si>
  <si>
    <t xml:space="preserve">   2. 프로젝트 멘토</t>
    <phoneticPr fontId="19" type="noConversion"/>
  </si>
  <si>
    <t xml:space="preserve">   3. 외부 강사비</t>
    <phoneticPr fontId="19" type="noConversion"/>
  </si>
  <si>
    <t xml:space="preserve">   4. 매칭 컨설팅</t>
    <phoneticPr fontId="19" type="noConversion"/>
  </si>
  <si>
    <t xml:space="preserve">   5. 다사리DAY공연, 사진 및 영상촬영, 홍보물 디자인 등</t>
    <phoneticPr fontId="19" type="noConversion"/>
  </si>
  <si>
    <t xml:space="preserve">   1. 워크숍 및 현장답사</t>
    <phoneticPr fontId="19" type="noConversion"/>
  </si>
  <si>
    <t xml:space="preserve">   2. 다사리DAY 진행 등</t>
    <phoneticPr fontId="19" type="noConversion"/>
  </si>
  <si>
    <t xml:space="preserve">   1. 행사 관련 인쇄 및 출력</t>
    <phoneticPr fontId="19" type="noConversion"/>
  </si>
  <si>
    <t xml:space="preserve">   2. 교류 및 네트워크 관련 인쇄물</t>
    <phoneticPr fontId="19" type="noConversion"/>
  </si>
  <si>
    <t xml:space="preserve">   1. 홍보물 디자인비</t>
    <phoneticPr fontId="19" type="noConversion"/>
  </si>
  <si>
    <t xml:space="preserve">   2. 행사운영 보조인력</t>
    <phoneticPr fontId="19" type="noConversion"/>
  </si>
  <si>
    <t xml:space="preserve">   3. 공연자 출연료</t>
    <phoneticPr fontId="19" type="noConversion"/>
  </si>
  <si>
    <t xml:space="preserve">   4. 공연팀 출연료</t>
    <phoneticPr fontId="19" type="noConversion"/>
  </si>
  <si>
    <t xml:space="preserve">   5. 영상, 사진촬영 및 편집</t>
    <phoneticPr fontId="19" type="noConversion"/>
  </si>
  <si>
    <t xml:space="preserve">   1. 홍보물 제작(현수막 등)</t>
    <phoneticPr fontId="19" type="noConversion"/>
  </si>
  <si>
    <t xml:space="preserve">   2. 방문객 기념품 등 제작</t>
    <phoneticPr fontId="19" type="noConversion"/>
  </si>
  <si>
    <t xml:space="preserve">   1. 행사 보험료</t>
    <phoneticPr fontId="19" type="noConversion"/>
  </si>
  <si>
    <t xml:space="preserve">   3. 행사스태프식대</t>
    <phoneticPr fontId="19" type="noConversion"/>
  </si>
  <si>
    <t xml:space="preserve">   2. 행사운영 물품</t>
    <phoneticPr fontId="19" type="noConversion"/>
  </si>
  <si>
    <t xml:space="preserve">   1. 홍보물 디자인 작업</t>
    <phoneticPr fontId="19" type="noConversion"/>
  </si>
  <si>
    <t xml:space="preserve">   2. 현장인력 사례</t>
    <phoneticPr fontId="19" type="noConversion"/>
  </si>
  <si>
    <t xml:space="preserve">   1. 기념품 구입</t>
    <phoneticPr fontId="19" type="noConversion"/>
  </si>
  <si>
    <t xml:space="preserve">   2. 공방운영 재료비</t>
    <phoneticPr fontId="19" type="noConversion"/>
  </si>
  <si>
    <t xml:space="preserve">   3. 공간운영 소모품 구입</t>
    <phoneticPr fontId="19" type="noConversion"/>
  </si>
  <si>
    <t xml:space="preserve">   1. 직원여비</t>
    <phoneticPr fontId="19" type="noConversion"/>
  </si>
  <si>
    <t xml:space="preserve">   1. 생활문화프로그램 리플랫 제작</t>
    <phoneticPr fontId="19" type="noConversion"/>
  </si>
  <si>
    <t xml:space="preserve">   2. 공방 및 단체프로그램 홍보 리플랫, 매거진 제작</t>
    <phoneticPr fontId="19" type="noConversion"/>
  </si>
  <si>
    <t xml:space="preserve">   1. 액티브 시티즌</t>
    <phoneticPr fontId="19" type="noConversion"/>
  </si>
  <si>
    <t xml:space="preserve">   2. 교류 및 네트워크 프로그램</t>
    <phoneticPr fontId="19" type="noConversion"/>
  </si>
  <si>
    <t xml:space="preserve">   1. 교류 및 네트워크 홍보 용역</t>
    <phoneticPr fontId="19" type="noConversion"/>
  </si>
  <si>
    <t xml:space="preserve">   2. 홍보물 제작 및 설치 용역</t>
    <phoneticPr fontId="19" type="noConversion"/>
  </si>
  <si>
    <t xml:space="preserve">   1. 봉투, 쇼핑백 제작</t>
    <phoneticPr fontId="19" type="noConversion"/>
  </si>
  <si>
    <t xml:space="preserve">   2. 각종 자료 인쇄 및 제본</t>
    <phoneticPr fontId="19" type="noConversion"/>
  </si>
  <si>
    <t xml:space="preserve">   3. 홍보물 제작</t>
    <phoneticPr fontId="19" type="noConversion"/>
  </si>
  <si>
    <t xml:space="preserve">   1. 업무용차량 자동차보험</t>
    <phoneticPr fontId="19" type="noConversion"/>
  </si>
  <si>
    <t xml:space="preserve">   2. 건물화재보험</t>
    <phoneticPr fontId="19" type="noConversion"/>
  </si>
  <si>
    <t xml:space="preserve">   3. 기타보험료</t>
    <phoneticPr fontId="19" type="noConversion"/>
  </si>
  <si>
    <t xml:space="preserve">   1. 업무용차량 세금납부</t>
    <phoneticPr fontId="19" type="noConversion"/>
  </si>
  <si>
    <t xml:space="preserve">   3. 면허세, 재산세, 주민세 등</t>
    <phoneticPr fontId="19" type="noConversion"/>
  </si>
  <si>
    <t xml:space="preserve">   2. 환경개선 부담금</t>
    <phoneticPr fontId="19" type="noConversion"/>
  </si>
  <si>
    <t xml:space="preserve">   1. 사무용기기 복사용지</t>
    <phoneticPr fontId="19" type="noConversion"/>
  </si>
  <si>
    <t xml:space="preserve">   2. 생수 사용료</t>
    <phoneticPr fontId="19" type="noConversion"/>
  </si>
  <si>
    <t xml:space="preserve">   3. 업무용 문구 및 소모품 구입</t>
    <phoneticPr fontId="19" type="noConversion"/>
  </si>
  <si>
    <t xml:space="preserve">   4. 시설관리 소모품</t>
    <phoneticPr fontId="19" type="noConversion"/>
  </si>
  <si>
    <t xml:space="preserve">   1. 생활문화센터 프로그램 강사비</t>
    <phoneticPr fontId="19" type="noConversion"/>
  </si>
  <si>
    <t xml:space="preserve">   2. 생활문화매개자 양성 강사비</t>
    <phoneticPr fontId="19" type="noConversion"/>
  </si>
  <si>
    <t xml:space="preserve">   3. 공방활용 및 청소년 자유학년제 운영 강사비</t>
    <phoneticPr fontId="19" type="noConversion"/>
  </si>
  <si>
    <t xml:space="preserve">   4. 장인발굴프로젝트 운영 강사비</t>
    <phoneticPr fontId="19" type="noConversion"/>
  </si>
  <si>
    <t xml:space="preserve">   5. 동네장인학교 운영 강사비</t>
    <phoneticPr fontId="19" type="noConversion"/>
  </si>
  <si>
    <t xml:space="preserve">   6. 청소년취재단 운영 멘토비</t>
    <phoneticPr fontId="19" type="noConversion"/>
  </si>
  <si>
    <t xml:space="preserve">   7. 생활문화동호회 강사지원</t>
    <phoneticPr fontId="19" type="noConversion"/>
  </si>
  <si>
    <t xml:space="preserve">   8. 공모 심의비</t>
    <phoneticPr fontId="19" type="noConversion"/>
  </si>
  <si>
    <t xml:space="preserve">   9. 홍보 이미지 제작</t>
    <phoneticPr fontId="19" type="noConversion"/>
  </si>
  <si>
    <t xml:space="preserve">   1. 텃밭 및 양봉장 관리</t>
    <phoneticPr fontId="19" type="noConversion"/>
  </si>
  <si>
    <t xml:space="preserve">   2. 생활 1980 1층 공간 리모델링</t>
    <phoneticPr fontId="19" type="noConversion"/>
  </si>
  <si>
    <t xml:space="preserve">   3. 생활 1990 공간 리모델링 및 조성</t>
    <phoneticPr fontId="19" type="noConversion"/>
  </si>
  <si>
    <t xml:space="preserve">   4. 유리, 섬유, 도자 공방 유지관리 용역</t>
    <phoneticPr fontId="19" type="noConversion"/>
  </si>
  <si>
    <t xml:space="preserve">   1. 지역 커뮤니티 연계프로젝트 운영 지원(자전거)</t>
    <phoneticPr fontId="19" type="noConversion"/>
  </si>
  <si>
    <t xml:space="preserve">   2. 생활문화 매개자 프로젝트 지원</t>
    <phoneticPr fontId="19" type="noConversion"/>
  </si>
  <si>
    <t xml:space="preserve">   3. 입주단체(공방, 카페) 우수프로젝트 지원</t>
    <phoneticPr fontId="19" type="noConversion"/>
  </si>
  <si>
    <t xml:space="preserve">   4. 생활문화공동체 지원</t>
    <phoneticPr fontId="19" type="noConversion"/>
  </si>
  <si>
    <t xml:space="preserve">   5. 생활문화동호회 프로젝트 지원</t>
    <phoneticPr fontId="19" type="noConversion"/>
  </si>
  <si>
    <t xml:space="preserve">   1. 한뼘전시 운영</t>
    <phoneticPr fontId="19" type="noConversion"/>
  </si>
  <si>
    <t xml:space="preserve">   2. 매개자 양성 프로그램 운영</t>
    <phoneticPr fontId="19" type="noConversion"/>
  </si>
  <si>
    <t xml:space="preserve">   3. 청소년문화자원봉사 운영</t>
    <phoneticPr fontId="19" type="noConversion"/>
  </si>
  <si>
    <t xml:space="preserve">   4. 프로그램 운영관련 지출</t>
    <phoneticPr fontId="19" type="noConversion"/>
  </si>
  <si>
    <t xml:space="preserve">   5. 전시 운영</t>
    <phoneticPr fontId="19" type="noConversion"/>
  </si>
  <si>
    <t xml:space="preserve">   6. 워크숍 운영</t>
    <phoneticPr fontId="19" type="noConversion"/>
  </si>
  <si>
    <t xml:space="preserve">   7. 설명회 및 간담회 등 운영</t>
    <phoneticPr fontId="19" type="noConversion"/>
  </si>
  <si>
    <t xml:space="preserve">   1. 사료 번역 및 감수</t>
    <phoneticPr fontId="19" type="noConversion"/>
  </si>
  <si>
    <t xml:space="preserve">   2. 대상유적 촬영</t>
    <phoneticPr fontId="19" type="noConversion"/>
  </si>
  <si>
    <t xml:space="preserve">   1. 교육 자료집</t>
    <phoneticPr fontId="19" type="noConversion"/>
  </si>
  <si>
    <t xml:space="preserve">   2. 홍보물</t>
    <phoneticPr fontId="19" type="noConversion"/>
  </si>
  <si>
    <t xml:space="preserve">   1. 전문 강사료</t>
    <phoneticPr fontId="19" type="noConversion"/>
  </si>
  <si>
    <t xml:space="preserve">   2. 보조 강사료</t>
    <phoneticPr fontId="19" type="noConversion"/>
  </si>
  <si>
    <t xml:space="preserve">   1. 프로그램 재료비</t>
    <phoneticPr fontId="19" type="noConversion"/>
  </si>
  <si>
    <t xml:space="preserve">   2. 행사 진행비</t>
    <phoneticPr fontId="19" type="noConversion"/>
  </si>
  <si>
    <t xml:space="preserve">   1. 워크북</t>
    <phoneticPr fontId="19" type="noConversion"/>
  </si>
  <si>
    <t xml:space="preserve">   2. 결과 보고서</t>
    <phoneticPr fontId="19" type="noConversion"/>
  </si>
  <si>
    <t>ㅇ 전산실 보험료</t>
    <phoneticPr fontId="19" type="noConversion"/>
  </si>
  <si>
    <t>ㅇ 교육/세미나 자료집 제작</t>
    <phoneticPr fontId="19" type="noConversion"/>
  </si>
  <si>
    <t xml:space="preserve">   1. 시설 관련</t>
    <phoneticPr fontId="19" type="noConversion"/>
  </si>
  <si>
    <t xml:space="preserve">   2. 차량 유지관리비</t>
    <phoneticPr fontId="19" type="noConversion"/>
  </si>
  <si>
    <t xml:space="preserve">   3. 컴퓨터프로그램 콘텐츠 사용</t>
    <phoneticPr fontId="19" type="noConversion"/>
  </si>
  <si>
    <t xml:space="preserve">   1. 시설물 검사 수수료</t>
    <phoneticPr fontId="19" type="noConversion"/>
  </si>
  <si>
    <t xml:space="preserve">   2. 통합 홍보물 한영 번역비</t>
    <phoneticPr fontId="19" type="noConversion"/>
  </si>
  <si>
    <t xml:space="preserve">   3. 통합 홍보물 사진 촬영비</t>
    <phoneticPr fontId="19" type="noConversion"/>
  </si>
  <si>
    <t xml:space="preserve">   4. 자문위원회 사례비</t>
    <phoneticPr fontId="19" type="noConversion"/>
  </si>
  <si>
    <t xml:space="preserve">   5. 신용카드 수수료</t>
    <phoneticPr fontId="19" type="noConversion"/>
  </si>
  <si>
    <t xml:space="preserve">   6. 법률자문 수수료</t>
    <phoneticPr fontId="19" type="noConversion"/>
  </si>
  <si>
    <t xml:space="preserve">   7. 송금수수료</t>
    <phoneticPr fontId="19" type="noConversion"/>
  </si>
  <si>
    <t xml:space="preserve">   8. 위탁수수료</t>
    <phoneticPr fontId="19" type="noConversion"/>
  </si>
  <si>
    <t xml:space="preserve">   1. 시설관리용역(14명)</t>
    <phoneticPr fontId="19" type="noConversion"/>
  </si>
  <si>
    <t xml:space="preserve">   2. 시설유지보수관리용역(소방, 전기, 보안, 컴퓨터 등)</t>
    <phoneticPr fontId="19" type="noConversion"/>
  </si>
  <si>
    <t xml:space="preserve">   3. 자산관리</t>
    <phoneticPr fontId="19" type="noConversion"/>
  </si>
  <si>
    <t xml:space="preserve">   4. 환경개선 및 시설물 관리</t>
    <phoneticPr fontId="19" type="noConversion"/>
  </si>
  <si>
    <t xml:space="preserve">   5. 조경관리비</t>
    <phoneticPr fontId="19" type="noConversion"/>
  </si>
  <si>
    <t xml:space="preserve">   6. 전자결재대행 </t>
    <phoneticPr fontId="19" type="noConversion"/>
  </si>
  <si>
    <t xml:space="preserve">   7. 외부 사인물 제작</t>
    <phoneticPr fontId="19" type="noConversion"/>
  </si>
  <si>
    <t xml:space="preserve">   8. 홈페이지 리뉴얼 및 유지보수</t>
    <phoneticPr fontId="19" type="noConversion"/>
  </si>
  <si>
    <t xml:space="preserve">   9 . SNS 홍보 및 관리</t>
    <phoneticPr fontId="19" type="noConversion"/>
  </si>
  <si>
    <t xml:space="preserve">  10. 캠퍼스 매거진 제작</t>
    <phoneticPr fontId="19" type="noConversion"/>
  </si>
  <si>
    <t xml:space="preserve">  11. 기념품 제작</t>
    <phoneticPr fontId="19" type="noConversion"/>
  </si>
  <si>
    <t xml:space="preserve">   2. 세정기, 비데 임차</t>
    <phoneticPr fontId="19" type="noConversion"/>
  </si>
  <si>
    <t xml:space="preserve">   3. 굴삭기 임차</t>
    <phoneticPr fontId="19" type="noConversion"/>
  </si>
  <si>
    <t xml:space="preserve">   4. 기타 장비 임차</t>
    <phoneticPr fontId="19" type="noConversion"/>
  </si>
  <si>
    <t xml:space="preserve">   5. 업무용 차량 임차</t>
    <phoneticPr fontId="19" type="noConversion"/>
  </si>
  <si>
    <t xml:space="preserve">   1. 통신요금</t>
    <phoneticPr fontId="19" type="noConversion"/>
  </si>
  <si>
    <t xml:space="preserve">   2. 우편 요금</t>
    <phoneticPr fontId="19" type="noConversion"/>
  </si>
  <si>
    <t xml:space="preserve">   1. 복합기 등 임차</t>
    <phoneticPr fontId="19" type="noConversion"/>
  </si>
  <si>
    <t xml:space="preserve">   1. 해외 문화재생공간 탐방</t>
    <phoneticPr fontId="19" type="noConversion"/>
  </si>
  <si>
    <t xml:space="preserve">   1. 창직실험프로젝트 심사비, 컨설팅비 등</t>
    <phoneticPr fontId="19" type="noConversion"/>
  </si>
  <si>
    <t xml:space="preserve">   1. 제2청년문화창작소 운영방안 연구</t>
    <phoneticPr fontId="19" type="noConversion"/>
  </si>
  <si>
    <t xml:space="preserve">   2. 아카이브 프로젝트</t>
    <phoneticPr fontId="19" type="noConversion"/>
  </si>
  <si>
    <t xml:space="preserve">   2. 유물 진열 용품</t>
    <phoneticPr fontId="19" type="noConversion"/>
  </si>
  <si>
    <t xml:space="preserve">   1. 목판인쇄 실습 용품</t>
    <phoneticPr fontId="19" type="noConversion"/>
  </si>
  <si>
    <t xml:space="preserve">  1. 물품구입</t>
    <phoneticPr fontId="19" type="noConversion"/>
  </si>
  <si>
    <t xml:space="preserve">  2. 현수막제작</t>
    <phoneticPr fontId="19" type="noConversion"/>
  </si>
  <si>
    <t xml:space="preserve">     - 4대보험 부담금</t>
    <phoneticPr fontId="19" type="noConversion"/>
  </si>
  <si>
    <t xml:space="preserve">      - 선택적 복지제도 운영</t>
    <phoneticPr fontId="19" type="noConversion"/>
  </si>
  <si>
    <t xml:space="preserve">      - 4대보험 부담금</t>
    <phoneticPr fontId="19" type="noConversion"/>
  </si>
  <si>
    <t xml:space="preserve">     - 선택적 복지제도 운영</t>
    <phoneticPr fontId="19" type="noConversion"/>
  </si>
  <si>
    <t xml:space="preserve">   1. 건물유지 및 사무실 보수</t>
    <phoneticPr fontId="19" type="noConversion"/>
  </si>
  <si>
    <t xml:space="preserve">   2. 고저수조약품청소 및 수질검사</t>
    <phoneticPr fontId="19" type="noConversion"/>
  </si>
  <si>
    <t xml:space="preserve">   3. 사무실 환경개선공사</t>
    <phoneticPr fontId="19" type="noConversion"/>
  </si>
  <si>
    <t xml:space="preserve">   1. 공기조화시스템 보수</t>
    <phoneticPr fontId="19" type="noConversion"/>
  </si>
  <si>
    <t xml:space="preserve">   2. 항온항습기 보수</t>
    <phoneticPr fontId="19" type="noConversion"/>
  </si>
  <si>
    <t xml:space="preserve">   3. 제습기 보수</t>
    <phoneticPr fontId="19" type="noConversion"/>
  </si>
  <si>
    <t xml:space="preserve">   4. 휀코일 보수</t>
    <phoneticPr fontId="19" type="noConversion"/>
  </si>
  <si>
    <t xml:space="preserve">   5. 시스템에어컨 청소 및 보수</t>
    <phoneticPr fontId="19" type="noConversion"/>
  </si>
  <si>
    <t xml:space="preserve">   6. 각종펌프 및 배기휀류</t>
    <phoneticPr fontId="19" type="noConversion"/>
  </si>
  <si>
    <t xml:space="preserve">   7. 냉온수기 세관</t>
    <phoneticPr fontId="19" type="noConversion"/>
  </si>
  <si>
    <t xml:space="preserve">   8. 보일러화학 세관</t>
    <phoneticPr fontId="19" type="noConversion"/>
  </si>
  <si>
    <t xml:space="preserve">   1. 비상발전기 보수</t>
    <phoneticPr fontId="19" type="noConversion"/>
  </si>
  <si>
    <t xml:space="preserve">   2. 비상발전기연료유구입</t>
    <phoneticPr fontId="19" type="noConversion"/>
  </si>
  <si>
    <t xml:space="preserve">   3. 수배전반, MCC반보수</t>
    <phoneticPr fontId="19" type="noConversion"/>
  </si>
  <si>
    <t xml:space="preserve">   4. 가로(보안)등 보수</t>
    <phoneticPr fontId="19" type="noConversion"/>
  </si>
  <si>
    <t xml:space="preserve">   5. 전화 및 전산장비 보수</t>
    <phoneticPr fontId="19" type="noConversion"/>
  </si>
  <si>
    <t>o 자동제어</t>
    <phoneticPr fontId="19" type="noConversion"/>
  </si>
  <si>
    <t xml:space="preserve">   1. CCTV 감시 및 출입통제시스템 보수</t>
    <phoneticPr fontId="19" type="noConversion"/>
  </si>
  <si>
    <t xml:space="preserve">   2. 원격시스템 보수 (전력, 기계, 조명 등)</t>
    <phoneticPr fontId="19" type="noConversion"/>
  </si>
  <si>
    <t xml:space="preserve">   3. 발권시스템 보수</t>
    <phoneticPr fontId="19" type="noConversion"/>
  </si>
  <si>
    <t xml:space="preserve">   1. 전시실 조명설비 보수</t>
    <phoneticPr fontId="19" type="noConversion"/>
  </si>
  <si>
    <t xml:space="preserve">   2. 차량유지관리(유류대,수리비,기타)</t>
    <phoneticPr fontId="19" type="noConversion"/>
  </si>
  <si>
    <t>o 건축영선</t>
    <phoneticPr fontId="19" type="noConversion"/>
  </si>
  <si>
    <t xml:space="preserve">   1. 전시 및 교육 전문인력</t>
    <phoneticPr fontId="19" type="noConversion"/>
  </si>
  <si>
    <t xml:space="preserve">   2. 전시 및 교육 보조인력</t>
    <phoneticPr fontId="19" type="noConversion"/>
  </si>
  <si>
    <t xml:space="preserve">   1. 전시도록 기획 편집 제작</t>
    <phoneticPr fontId="19" type="noConversion"/>
  </si>
  <si>
    <t xml:space="preserve">   2. 리플렛, 초청장, 포스터 제작</t>
    <phoneticPr fontId="19" type="noConversion"/>
  </si>
  <si>
    <t xml:space="preserve">   3. 교육프로그램 인쇄물</t>
    <phoneticPr fontId="19" type="noConversion"/>
  </si>
  <si>
    <t xml:space="preserve">   1. 전시재료, 소모품 등 구입</t>
    <phoneticPr fontId="19" type="noConversion"/>
  </si>
  <si>
    <t xml:space="preserve">   2. 교규재 맟 운영물품 구입</t>
    <phoneticPr fontId="19" type="noConversion"/>
  </si>
  <si>
    <t xml:space="preserve">   1. 국외여비</t>
    <phoneticPr fontId="19" type="noConversion"/>
  </si>
  <si>
    <t xml:space="preserve">   2. 회의참석수당 및 강사료</t>
    <phoneticPr fontId="19" type="noConversion"/>
  </si>
  <si>
    <t xml:space="preserve">   3. 출품수수료</t>
    <phoneticPr fontId="19" type="noConversion"/>
  </si>
  <si>
    <t xml:space="preserve">   1. 전시기획 및 운영</t>
    <phoneticPr fontId="19" type="noConversion"/>
  </si>
  <si>
    <t xml:space="preserve">   3. 기록관 기획 및 구축</t>
    <phoneticPr fontId="19" type="noConversion"/>
  </si>
  <si>
    <t xml:space="preserve">   2. 숲 해설 강사</t>
    <phoneticPr fontId="19" type="noConversion"/>
  </si>
  <si>
    <r>
      <t xml:space="preserve">   3. 뮤지엄샵-</t>
    </r>
    <r>
      <rPr>
        <sz val="11"/>
        <rFont val="돋움"/>
        <family val="3"/>
        <charset val="129"/>
      </rPr>
      <t xml:space="preserve"> 카페 판매보조원</t>
    </r>
    <phoneticPr fontId="18" type="noConversion"/>
  </si>
  <si>
    <t xml:space="preserve"> o 예산변경 (경기 생활문화 플랫폼, 생활문화 활성화 지원 -&gt; 경기 생활문화 플랫폼)</t>
    <phoneticPr fontId="19" type="noConversion"/>
  </si>
  <si>
    <t xml:space="preserve"> o 예산변경 (지역맞춤형 문화재생모델 개발, 옆 집에 사는 예술가 -&gt; 지역맞춤형 문화재생모델 개발)</t>
    <phoneticPr fontId="19" type="noConversion"/>
  </si>
  <si>
    <t xml:space="preserve">   2. 행사보조인력운영  </t>
    <phoneticPr fontId="19" type="noConversion"/>
  </si>
  <si>
    <t xml:space="preserve">   1.  사무용컴퓨터 구입</t>
    <phoneticPr fontId="19" type="noConversion"/>
  </si>
  <si>
    <t xml:space="preserve">   2.  캐드프로그램 구입</t>
    <phoneticPr fontId="19" type="noConversion"/>
  </si>
  <si>
    <t>백남준 라이브러리 운영</t>
    <phoneticPr fontId="19" type="noConversion"/>
  </si>
  <si>
    <t>지역문화전문인력 지원사업</t>
    <phoneticPr fontId="19" type="noConversion"/>
  </si>
  <si>
    <t xml:space="preserve"> o 퇴직급여</t>
    <phoneticPr fontId="19" type="noConversion"/>
  </si>
  <si>
    <t xml:space="preserve">   2. 해외인사 초청 여비</t>
    <phoneticPr fontId="19" type="noConversion"/>
  </si>
  <si>
    <t xml:space="preserve">   3. 국내출장</t>
    <phoneticPr fontId="19" type="noConversion"/>
  </si>
  <si>
    <t xml:space="preserve">   1. 외부강사 및 패널</t>
    <phoneticPr fontId="19" type="noConversion"/>
  </si>
  <si>
    <t xml:space="preserve">   2. 아티스트 사례비</t>
    <phoneticPr fontId="19" type="noConversion"/>
  </si>
  <si>
    <t xml:space="preserve">   3. 통번역 및 원고비</t>
    <phoneticPr fontId="19" type="noConversion"/>
  </si>
  <si>
    <t xml:space="preserve">   1. 대학생 블로거 운영</t>
    <phoneticPr fontId="19" type="noConversion"/>
  </si>
  <si>
    <t>2018년 이월액</t>
    <phoneticPr fontId="19" type="noConversion"/>
  </si>
  <si>
    <t xml:space="preserve">   2. 퇴직금 등</t>
    <phoneticPr fontId="19" type="noConversion"/>
  </si>
  <si>
    <t xml:space="preserve">   1. 급여(포괄임금 등)</t>
    <phoneticPr fontId="19" type="noConversion"/>
  </si>
  <si>
    <t>ㅇ 소모품 구입</t>
    <phoneticPr fontId="19" type="noConversion"/>
  </si>
</sst>
</file>

<file path=xl/styles.xml><?xml version="1.0" encoding="utf-8"?>
<styleSheet xmlns="http://schemas.openxmlformats.org/spreadsheetml/2006/main">
  <numFmts count="2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%"/>
    <numFmt numFmtId="177" formatCode="#,##0_ "/>
    <numFmt numFmtId="178" formatCode="#,##0_);[Red]\(#,##0\)"/>
    <numFmt numFmtId="179" formatCode="#,##0.0_);[Red]\(#,##0.0\)"/>
    <numFmt numFmtId="180" formatCode="#,##0_);\(#,##0\)"/>
    <numFmt numFmtId="181" formatCode="_-* #,##0.0_-;\-* #,##0.0_-;_-* &quot;-&quot;_-;_-@_-"/>
    <numFmt numFmtId="182" formatCode="#,##0.0"/>
    <numFmt numFmtId="183" formatCode="#,##0.0_ "/>
    <numFmt numFmtId="184" formatCode="#,##0_ ;[Red]\-#,##0\ "/>
    <numFmt numFmtId="185" formatCode="0_);[Red]\(0\)"/>
    <numFmt numFmtId="186" formatCode="#,##0.000"/>
    <numFmt numFmtId="187" formatCode="#,##0;&quot;△&quot;#,##0"/>
    <numFmt numFmtId="188" formatCode="_ * #,##0_ ;_ * \-#,##0_ ;_ * &quot;-&quot;_ ;_ @_ "/>
    <numFmt numFmtId="189" formatCode="&quot;?#,##0;\-&quot;&quot;?&quot;#,##0"/>
    <numFmt numFmtId="190" formatCode="&quot;?#,##0.00;\-&quot;&quot;?&quot;#,##0.00"/>
    <numFmt numFmtId="191" formatCode="&quot;RM&quot;#,##0.00_);[Red]&quot;₩&quot;\!\(&quot;RM&quot;#,##0.00&quot;₩&quot;\!\)"/>
    <numFmt numFmtId="192" formatCode="_ * #,##0.00_ ;_ * \-#,##0.00_ ;_ * &quot;-&quot;??_ ;_ @_ "/>
    <numFmt numFmtId="193" formatCode="0.0_);[Red]\(0.0\)"/>
    <numFmt numFmtId="194" formatCode="0_ "/>
    <numFmt numFmtId="195" formatCode="&quot;₩&quot;#,##0_);[Red]\(&quot;₩&quot;#,##0\)"/>
    <numFmt numFmtId="196" formatCode="0.0000000%"/>
    <numFmt numFmtId="197" formatCode="0.E+00"/>
    <numFmt numFmtId="198" formatCode="#,###,"/>
    <numFmt numFmtId="199" formatCode="_-* #,##0.00000_-;\-* #,##0.00000_-;_-* &quot;-&quot;_-;_-@_-"/>
  </numFmts>
  <fonts count="79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22"/>
      <name val="돋움"/>
      <family val="3"/>
      <charset val="129"/>
    </font>
    <font>
      <sz val="8"/>
      <name val="돋움"/>
      <family val="3"/>
      <charset val="129"/>
    </font>
    <font>
      <sz val="12"/>
      <name val="돋움"/>
      <family val="3"/>
      <charset val="129"/>
    </font>
    <font>
      <sz val="14"/>
      <name val="돋움"/>
      <family val="3"/>
      <charset val="129"/>
    </font>
    <font>
      <b/>
      <sz val="12"/>
      <name val="돋움"/>
      <family val="3"/>
      <charset val="129"/>
    </font>
    <font>
      <b/>
      <sz val="14"/>
      <name val="돋움"/>
      <family val="3"/>
      <charset val="129"/>
    </font>
    <font>
      <sz val="8"/>
      <name val="새굴림"/>
      <family val="1"/>
      <charset val="129"/>
    </font>
    <font>
      <sz val="8"/>
      <name val="맑은 고딕"/>
      <family val="3"/>
      <charset val="129"/>
    </font>
    <font>
      <sz val="9"/>
      <color indexed="8"/>
      <name val="굴림체"/>
      <family val="3"/>
      <charset val="129"/>
    </font>
    <font>
      <sz val="10"/>
      <name val="돋움"/>
      <family val="3"/>
      <charset val="129"/>
    </font>
    <font>
      <b/>
      <sz val="20"/>
      <name val="돋움"/>
      <family val="3"/>
      <charset val="129"/>
    </font>
    <font>
      <b/>
      <sz val="11"/>
      <name val="돋움"/>
      <family val="3"/>
      <charset val="129"/>
    </font>
    <font>
      <sz val="22"/>
      <name val="돋움"/>
      <family val="3"/>
      <charset val="129"/>
    </font>
    <font>
      <sz val="8"/>
      <name val="맑은 고딕"/>
      <family val="2"/>
      <charset val="129"/>
      <scheme val="minor"/>
    </font>
    <font>
      <b/>
      <sz val="24"/>
      <name val="돋움"/>
      <family val="3"/>
      <charset val="129"/>
    </font>
    <font>
      <sz val="20"/>
      <name val="HY신명조"/>
      <family val="1"/>
      <charset val="129"/>
    </font>
    <font>
      <sz val="16"/>
      <name val="HY신명조"/>
      <family val="1"/>
      <charset val="129"/>
    </font>
    <font>
      <b/>
      <sz val="14"/>
      <color indexed="8"/>
      <name val="돋움"/>
      <family val="3"/>
      <charset val="129"/>
    </font>
    <font>
      <b/>
      <sz val="28"/>
      <name val="돋움"/>
      <family val="3"/>
      <charset val="129"/>
    </font>
    <font>
      <sz val="28"/>
      <name val="돋움"/>
      <family val="3"/>
      <charset val="129"/>
    </font>
    <font>
      <b/>
      <sz val="14"/>
      <color theme="1"/>
      <name val="돋움"/>
      <family val="3"/>
      <charset val="129"/>
    </font>
    <font>
      <b/>
      <sz val="14"/>
      <color rgb="FF000000"/>
      <name val="돋움"/>
      <family val="3"/>
      <charset val="129"/>
    </font>
    <font>
      <sz val="14"/>
      <color theme="1"/>
      <name val="돋움"/>
      <family val="3"/>
      <charset val="129"/>
    </font>
    <font>
      <sz val="14"/>
      <color rgb="FF000000"/>
      <name val="돋움"/>
      <family val="3"/>
      <charset val="129"/>
    </font>
    <font>
      <sz val="11"/>
      <color indexed="8"/>
      <name val="돋움"/>
      <family val="3"/>
      <charset val="129"/>
    </font>
    <font>
      <sz val="10"/>
      <name val="바탕체"/>
      <family val="1"/>
      <charset val="129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u/>
      <sz val="16"/>
      <color indexed="8"/>
      <name val="돋움"/>
      <family val="3"/>
      <charset val="129"/>
    </font>
    <font>
      <sz val="14"/>
      <color indexed="8"/>
      <name val="뼻뮝"/>
      <family val="3"/>
      <charset val="129"/>
    </font>
    <font>
      <sz val="12"/>
      <color rgb="FFFF0000"/>
      <name val="돋움"/>
      <family val="3"/>
      <charset val="129"/>
    </font>
    <font>
      <sz val="12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b/>
      <sz val="11"/>
      <color theme="1"/>
      <name val="돋움"/>
      <family val="3"/>
      <charset val="129"/>
    </font>
    <font>
      <b/>
      <sz val="12"/>
      <color theme="1"/>
      <name val="돋움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22"/>
      <color theme="1"/>
      <name val="돋움"/>
      <family val="3"/>
      <charset val="129"/>
    </font>
    <font>
      <sz val="22"/>
      <color theme="1"/>
      <name val="돋움"/>
      <family val="3"/>
      <charset val="129"/>
    </font>
    <font>
      <sz val="8"/>
      <color theme="1"/>
      <name val="돋움"/>
      <family val="3"/>
      <charset val="129"/>
    </font>
    <font>
      <sz val="12"/>
      <name val="맑은 고딕"/>
      <family val="3"/>
      <charset val="129"/>
      <scheme val="minor"/>
    </font>
    <font>
      <b/>
      <sz val="18"/>
      <name val="돋움"/>
      <family val="3"/>
      <charset val="129"/>
    </font>
    <font>
      <b/>
      <sz val="6"/>
      <name val="돋움"/>
      <family val="3"/>
      <charset val="129"/>
    </font>
    <font>
      <sz val="6"/>
      <name val="돋움"/>
      <family val="3"/>
      <charset val="129"/>
    </font>
    <font>
      <b/>
      <sz val="10"/>
      <name val="돋움"/>
      <family val="3"/>
      <charset val="129"/>
    </font>
    <font>
      <sz val="13"/>
      <name val="HY신명조"/>
      <family val="1"/>
      <charset val="129"/>
    </font>
    <font>
      <sz val="12"/>
      <name val="맑은 고딕"/>
      <family val="3"/>
      <charset val="129"/>
    </font>
    <font>
      <u/>
      <sz val="12"/>
      <name val="돋움"/>
      <family val="3"/>
      <charset val="129"/>
    </font>
    <font>
      <sz val="10.199999999999999"/>
      <name val="돋움"/>
      <family val="3"/>
      <charset val="129"/>
    </font>
    <font>
      <b/>
      <sz val="16"/>
      <color theme="1"/>
      <name val="맑은 고딕"/>
      <family val="3"/>
      <charset val="129"/>
      <scheme val="minor"/>
    </font>
    <font>
      <sz val="15"/>
      <color rgb="FF00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00FF"/>
      <name val="돋움"/>
      <family val="3"/>
      <charset val="129"/>
    </font>
    <font>
      <b/>
      <sz val="11"/>
      <color rgb="FF0000FF"/>
      <name val="돋움"/>
      <family val="3"/>
      <charset val="129"/>
    </font>
    <font>
      <sz val="14"/>
      <color rgb="FF000000"/>
      <name val="맑은 고딕"/>
      <family val="3"/>
      <charset val="129"/>
    </font>
    <font>
      <sz val="10"/>
      <color theme="1"/>
      <name val="돋움"/>
      <family val="3"/>
      <charset val="129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24997711111789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hair">
        <color indexed="64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7086">
    <xf numFmtId="0" fontId="0" fillId="0" borderId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26" fillId="0" borderId="0"/>
    <xf numFmtId="0" fontId="17" fillId="0" borderId="0">
      <alignment vertical="center"/>
    </xf>
    <xf numFmtId="0" fontId="17" fillId="0" borderId="0"/>
    <xf numFmtId="0" fontId="16" fillId="0" borderId="0">
      <alignment vertical="center"/>
    </xf>
    <xf numFmtId="41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" fillId="0" borderId="0">
      <alignment vertical="center"/>
    </xf>
    <xf numFmtId="41" fontId="15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1" fontId="42" fillId="0" borderId="0" applyFont="0" applyFill="0" applyBorder="0" applyAlignment="0" applyProtection="0">
      <alignment vertical="center"/>
    </xf>
    <xf numFmtId="187" fontId="17" fillId="0" borderId="0" applyFont="0" applyFill="0" applyBorder="0" applyAlignment="0" applyProtection="0"/>
    <xf numFmtId="0" fontId="42" fillId="0" borderId="0" applyFill="0" applyAlignment="0"/>
    <xf numFmtId="189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43" fillId="0" borderId="0" applyFont="0" applyFill="0" applyBorder="0" applyAlignment="0" applyProtection="0"/>
    <xf numFmtId="191" fontId="17" fillId="0" borderId="0" applyFont="0" applyFill="0" applyBorder="0" applyAlignment="0" applyProtection="0"/>
    <xf numFmtId="38" fontId="44" fillId="5" borderId="0" applyNumberFormat="0" applyBorder="0" applyAlignment="0" applyProtection="0"/>
    <xf numFmtId="0" fontId="45" fillId="0" borderId="45" applyNumberFormat="0" applyAlignment="0" applyProtection="0">
      <alignment horizontal="left" vertical="center"/>
    </xf>
    <xf numFmtId="0" fontId="45" fillId="0" borderId="30">
      <alignment horizontal="left" vertical="center"/>
    </xf>
    <xf numFmtId="10" fontId="44" fillId="4" borderId="13" applyNumberFormat="0" applyBorder="0" applyAlignment="0" applyProtection="0"/>
    <xf numFmtId="191" fontId="17" fillId="0" borderId="0"/>
    <xf numFmtId="0" fontId="46" fillId="0" borderId="0"/>
    <xf numFmtId="10" fontId="46" fillId="0" borderId="0" applyFont="0" applyFill="0" applyBorder="0" applyAlignment="0" applyProtection="0"/>
    <xf numFmtId="0" fontId="47" fillId="0" borderId="0" applyNumberFormat="0" applyFont="0" applyFill="0" applyAlignment="0">
      <alignment horizontal="centerContinuous"/>
    </xf>
    <xf numFmtId="40" fontId="48" fillId="0" borderId="0" applyFont="0" applyFill="0" applyAlignment="0" applyProtection="0"/>
    <xf numFmtId="38" fontId="48" fillId="0" borderId="0" applyFont="0" applyFill="0" applyAlignment="0" applyProtection="0"/>
    <xf numFmtId="0" fontId="48" fillId="0" borderId="0" applyFont="0" applyFill="0" applyAlignment="0" applyProtection="0"/>
    <xf numFmtId="0" fontId="48" fillId="0" borderId="0" applyFont="0" applyFill="0" applyAlignment="0" applyProtection="0"/>
    <xf numFmtId="188" fontId="42" fillId="0" borderId="0" applyFont="0" applyFill="0" applyAlignment="0" applyProtection="0"/>
    <xf numFmtId="188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5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17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3649">
    <xf numFmtId="0" fontId="0" fillId="0" borderId="0" xfId="0"/>
    <xf numFmtId="49" fontId="20" fillId="0" borderId="1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177" fontId="20" fillId="0" borderId="56" xfId="2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38" fontId="30" fillId="0" borderId="0" xfId="0" applyNumberFormat="1" applyFont="1" applyFill="1" applyAlignment="1">
      <alignment horizontal="center" vertical="center"/>
    </xf>
    <xf numFmtId="41" fontId="20" fillId="0" borderId="0" xfId="2" applyFont="1" applyFill="1" applyBorder="1" applyAlignment="1">
      <alignment vertical="center"/>
    </xf>
    <xf numFmtId="49" fontId="20" fillId="0" borderId="0" xfId="0" applyNumberFormat="1" applyFont="1" applyFill="1" applyBorder="1" applyAlignment="1">
      <alignment vertical="center"/>
    </xf>
    <xf numFmtId="177" fontId="20" fillId="0" borderId="0" xfId="2" applyNumberFormat="1" applyFont="1" applyFill="1" applyBorder="1" applyAlignment="1">
      <alignment horizontal="right" vertical="center"/>
    </xf>
    <xf numFmtId="41" fontId="20" fillId="0" borderId="0" xfId="2" applyNumberFormat="1" applyFont="1" applyFill="1" applyBorder="1" applyAlignment="1">
      <alignment horizontal="right" vertical="center"/>
    </xf>
    <xf numFmtId="41" fontId="20" fillId="0" borderId="17" xfId="0" applyNumberFormat="1" applyFont="1" applyFill="1" applyBorder="1" applyAlignment="1">
      <alignment vertical="center"/>
    </xf>
    <xf numFmtId="177" fontId="20" fillId="0" borderId="13" xfId="6" applyNumberFormat="1" applyFont="1" applyFill="1" applyBorder="1" applyAlignment="1">
      <alignment horizontal="right" vertical="center"/>
    </xf>
    <xf numFmtId="41" fontId="20" fillId="0" borderId="0" xfId="2" applyFont="1" applyFill="1" applyBorder="1" applyAlignment="1">
      <alignment horizontal="right" vertical="center"/>
    </xf>
    <xf numFmtId="41" fontId="20" fillId="0" borderId="0" xfId="2" applyFont="1" applyFill="1" applyAlignment="1">
      <alignment vertical="center"/>
    </xf>
    <xf numFmtId="0" fontId="21" fillId="0" borderId="0" xfId="0" applyFont="1" applyFill="1" applyAlignment="1">
      <alignment vertical="center"/>
    </xf>
    <xf numFmtId="3" fontId="20" fillId="0" borderId="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3" fontId="20" fillId="0" borderId="7" xfId="6" applyNumberFormat="1" applyFont="1" applyFill="1" applyBorder="1" applyAlignment="1">
      <alignment vertical="center"/>
    </xf>
    <xf numFmtId="177" fontId="20" fillId="0" borderId="1" xfId="2" applyNumberFormat="1" applyFont="1" applyFill="1" applyBorder="1" applyAlignment="1">
      <alignment horizontal="right" vertical="center"/>
    </xf>
    <xf numFmtId="41" fontId="20" fillId="0" borderId="0" xfId="6" applyNumberFormat="1" applyFont="1" applyFill="1" applyBorder="1" applyAlignment="1">
      <alignment vertical="center"/>
    </xf>
    <xf numFmtId="41" fontId="20" fillId="0" borderId="1" xfId="2" applyFont="1" applyFill="1" applyBorder="1" applyAlignment="1">
      <alignment horizontal="right" vertical="center"/>
    </xf>
    <xf numFmtId="176" fontId="20" fillId="0" borderId="0" xfId="0" applyNumberFormat="1" applyFont="1" applyFill="1" applyAlignment="1">
      <alignment horizontal="right" vertical="center"/>
    </xf>
    <xf numFmtId="177" fontId="23" fillId="0" borderId="28" xfId="2" applyNumberFormat="1" applyFont="1" applyFill="1" applyBorder="1" applyAlignment="1">
      <alignment horizontal="right" vertical="center"/>
    </xf>
    <xf numFmtId="0" fontId="21" fillId="0" borderId="74" xfId="0" applyFont="1" applyBorder="1" applyAlignment="1">
      <alignment vertical="center"/>
    </xf>
    <xf numFmtId="177" fontId="21" fillId="0" borderId="37" xfId="2" applyNumberFormat="1" applyFont="1" applyFill="1" applyBorder="1" applyAlignment="1">
      <alignment horizontal="right" vertical="center"/>
    </xf>
    <xf numFmtId="0" fontId="21" fillId="0" borderId="75" xfId="0" applyFont="1" applyBorder="1" applyAlignment="1">
      <alignment vertical="center"/>
    </xf>
    <xf numFmtId="177" fontId="21" fillId="0" borderId="76" xfId="2" applyNumberFormat="1" applyFont="1" applyFill="1" applyBorder="1" applyAlignment="1">
      <alignment horizontal="right" vertical="center"/>
    </xf>
    <xf numFmtId="0" fontId="21" fillId="0" borderId="10" xfId="0" applyFont="1" applyBorder="1" applyAlignment="1">
      <alignment vertical="center"/>
    </xf>
    <xf numFmtId="177" fontId="21" fillId="0" borderId="26" xfId="2" applyNumberFormat="1" applyFont="1" applyFill="1" applyBorder="1" applyAlignment="1">
      <alignment horizontal="right" vertical="center"/>
    </xf>
    <xf numFmtId="0" fontId="21" fillId="0" borderId="78" xfId="0" applyFont="1" applyBorder="1" applyAlignment="1">
      <alignment vertical="center"/>
    </xf>
    <xf numFmtId="177" fontId="21" fillId="0" borderId="79" xfId="2" applyNumberFormat="1" applyFont="1" applyFill="1" applyBorder="1" applyAlignment="1">
      <alignment horizontal="right" vertical="center"/>
    </xf>
    <xf numFmtId="0" fontId="21" fillId="0" borderId="81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1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horizontal="right" vertical="center"/>
    </xf>
    <xf numFmtId="177" fontId="21" fillId="0" borderId="0" xfId="0" applyNumberFormat="1" applyFont="1" applyFill="1" applyBorder="1" applyAlignment="1">
      <alignment horizontal="right" vertical="center"/>
    </xf>
    <xf numFmtId="0" fontId="21" fillId="0" borderId="0" xfId="2" applyNumberFormat="1" applyFont="1" applyFill="1" applyBorder="1" applyAlignment="1">
      <alignment horizontal="right" vertical="center"/>
    </xf>
    <xf numFmtId="0" fontId="21" fillId="0" borderId="0" xfId="2" applyNumberFormat="1" applyFont="1" applyFill="1" applyBorder="1" applyAlignment="1">
      <alignment vertical="center"/>
    </xf>
    <xf numFmtId="41" fontId="23" fillId="0" borderId="44" xfId="2" applyFont="1" applyFill="1" applyBorder="1" applyAlignment="1">
      <alignment vertical="center"/>
    </xf>
    <xf numFmtId="41" fontId="23" fillId="0" borderId="45" xfId="2" applyFont="1" applyFill="1" applyBorder="1" applyAlignment="1">
      <alignment horizontal="centerContinuous" vertical="center"/>
    </xf>
    <xf numFmtId="41" fontId="23" fillId="0" borderId="45" xfId="2" applyFont="1" applyFill="1" applyBorder="1" applyAlignment="1">
      <alignment vertical="center"/>
    </xf>
    <xf numFmtId="41" fontId="23" fillId="0" borderId="46" xfId="2" applyFont="1" applyFill="1" applyBorder="1" applyAlignment="1">
      <alignment vertical="center"/>
    </xf>
    <xf numFmtId="0" fontId="23" fillId="0" borderId="44" xfId="0" applyNumberFormat="1" applyFont="1" applyFill="1" applyBorder="1" applyAlignment="1">
      <alignment horizontal="left" vertical="center"/>
    </xf>
    <xf numFmtId="0" fontId="21" fillId="0" borderId="8" xfId="0" applyNumberFormat="1" applyFont="1" applyFill="1" applyBorder="1" applyAlignment="1">
      <alignment vertical="center"/>
    </xf>
    <xf numFmtId="41" fontId="21" fillId="0" borderId="12" xfId="2" applyFont="1" applyFill="1" applyBorder="1" applyAlignment="1">
      <alignment vertical="center"/>
    </xf>
    <xf numFmtId="184" fontId="21" fillId="0" borderId="10" xfId="0" applyNumberFormat="1" applyFont="1" applyFill="1" applyBorder="1" applyAlignment="1">
      <alignment horizontal="right" vertical="center"/>
    </xf>
    <xf numFmtId="49" fontId="21" fillId="0" borderId="8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horizontal="right" vertical="center"/>
    </xf>
    <xf numFmtId="41" fontId="21" fillId="0" borderId="0" xfId="2" applyNumberFormat="1" applyFont="1" applyFill="1" applyBorder="1" applyAlignment="1">
      <alignment vertical="center"/>
    </xf>
    <xf numFmtId="49" fontId="21" fillId="0" borderId="11" xfId="0" applyNumberFormat="1" applyFont="1" applyFill="1" applyBorder="1" applyAlignment="1">
      <alignment vertical="center"/>
    </xf>
    <xf numFmtId="49" fontId="21" fillId="0" borderId="0" xfId="0" applyNumberFormat="1" applyFont="1" applyFill="1" applyBorder="1" applyAlignment="1">
      <alignment vertical="center"/>
    </xf>
    <xf numFmtId="38" fontId="21" fillId="0" borderId="0" xfId="0" applyNumberFormat="1" applyFont="1" applyFill="1" applyBorder="1" applyAlignment="1">
      <alignment horizontal="right" vertical="center"/>
    </xf>
    <xf numFmtId="49" fontId="21" fillId="0" borderId="0" xfId="0" applyNumberFormat="1" applyFont="1" applyFill="1" applyBorder="1" applyAlignment="1">
      <alignment horizontal="left" vertical="center"/>
    </xf>
    <xf numFmtId="41" fontId="21" fillId="0" borderId="0" xfId="0" applyNumberFormat="1" applyFont="1" applyFill="1" applyBorder="1" applyAlignment="1">
      <alignment vertical="center"/>
    </xf>
    <xf numFmtId="41" fontId="20" fillId="0" borderId="0" xfId="2" applyFont="1" applyFill="1" applyBorder="1" applyAlignment="1">
      <alignment horizontal="center" vertical="center"/>
    </xf>
    <xf numFmtId="38" fontId="30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 applyFill="1" applyBorder="1" applyAlignment="1">
      <alignment horizontal="center" vertical="center"/>
    </xf>
    <xf numFmtId="41" fontId="22" fillId="0" borderId="0" xfId="2" applyFont="1" applyFill="1" applyAlignment="1">
      <alignment vertical="center"/>
    </xf>
    <xf numFmtId="0" fontId="23" fillId="0" borderId="0" xfId="0" applyFont="1" applyFill="1" applyAlignment="1">
      <alignment vertical="center"/>
    </xf>
    <xf numFmtId="177" fontId="23" fillId="0" borderId="13" xfId="2" applyNumberFormat="1" applyFont="1" applyFill="1" applyBorder="1" applyAlignment="1">
      <alignment horizontal="right" vertical="center"/>
    </xf>
    <xf numFmtId="177" fontId="38" fillId="3" borderId="0" xfId="2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40" fillId="0" borderId="74" xfId="0" applyFont="1" applyFill="1" applyBorder="1" applyAlignment="1">
      <alignment horizontal="left" vertical="center" wrapText="1"/>
    </xf>
    <xf numFmtId="177" fontId="40" fillId="0" borderId="89" xfId="2" applyNumberFormat="1" applyFont="1" applyFill="1" applyBorder="1" applyAlignment="1">
      <alignment horizontal="right" vertical="center"/>
    </xf>
    <xf numFmtId="0" fontId="21" fillId="0" borderId="0" xfId="0" applyFont="1" applyFill="1" applyAlignment="1">
      <alignment vertical="center" wrapText="1"/>
    </xf>
    <xf numFmtId="0" fontId="40" fillId="0" borderId="14" xfId="0" applyFont="1" applyFill="1" applyBorder="1" applyAlignment="1">
      <alignment horizontal="left" vertical="center" wrapText="1"/>
    </xf>
    <xf numFmtId="177" fontId="40" fillId="0" borderId="21" xfId="2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vertical="center" wrapText="1"/>
    </xf>
    <xf numFmtId="177" fontId="21" fillId="0" borderId="0" xfId="2" applyNumberFormat="1" applyFont="1" applyAlignment="1">
      <alignment vertical="center" wrapText="1"/>
    </xf>
    <xf numFmtId="177" fontId="0" fillId="0" borderId="0" xfId="2" applyNumberFormat="1" applyFont="1" applyAlignment="1">
      <alignment vertical="center" wrapText="1"/>
    </xf>
    <xf numFmtId="41" fontId="0" fillId="0" borderId="0" xfId="2" applyFont="1" applyAlignment="1">
      <alignment horizontal="center" vertical="center" wrapText="1"/>
    </xf>
    <xf numFmtId="41" fontId="20" fillId="0" borderId="0" xfId="2" applyFont="1" applyAlignment="1">
      <alignment vertical="center" wrapText="1"/>
    </xf>
    <xf numFmtId="177" fontId="0" fillId="0" borderId="0" xfId="2" applyNumberFormat="1" applyFont="1" applyAlignment="1">
      <alignment vertical="center"/>
    </xf>
    <xf numFmtId="41" fontId="0" fillId="0" borderId="0" xfId="2" applyFont="1" applyAlignment="1">
      <alignment horizontal="center" vertical="center"/>
    </xf>
    <xf numFmtId="41" fontId="20" fillId="0" borderId="0" xfId="2" applyFont="1" applyAlignment="1">
      <alignment vertical="center"/>
    </xf>
    <xf numFmtId="0" fontId="20" fillId="0" borderId="0" xfId="0" applyFont="1" applyFill="1" applyBorder="1" applyAlignment="1">
      <alignment vertical="center"/>
    </xf>
    <xf numFmtId="38" fontId="20" fillId="0" borderId="0" xfId="0" applyNumberFormat="1" applyFont="1" applyFill="1" applyAlignment="1">
      <alignment horizontal="center" vertical="center"/>
    </xf>
    <xf numFmtId="49" fontId="20" fillId="0" borderId="0" xfId="2" applyNumberFormat="1" applyFont="1" applyFill="1" applyBorder="1" applyAlignment="1">
      <alignment horizontal="right" vertical="center"/>
    </xf>
    <xf numFmtId="49" fontId="20" fillId="0" borderId="0" xfId="2" applyNumberFormat="1" applyFont="1" applyFill="1" applyBorder="1" applyAlignment="1">
      <alignment vertical="center"/>
    </xf>
    <xf numFmtId="49" fontId="20" fillId="0" borderId="0" xfId="0" applyNumberFormat="1" applyFont="1" applyFill="1" applyBorder="1" applyAlignment="1">
      <alignment horizontal="right" vertical="center"/>
    </xf>
    <xf numFmtId="3" fontId="20" fillId="0" borderId="0" xfId="0" applyNumberFormat="1" applyFont="1" applyFill="1" applyAlignment="1">
      <alignment vertical="center"/>
    </xf>
    <xf numFmtId="49" fontId="20" fillId="0" borderId="0" xfId="6" applyNumberFormat="1" applyFont="1" applyFill="1" applyBorder="1" applyAlignment="1">
      <alignment vertical="center"/>
    </xf>
    <xf numFmtId="0" fontId="0" fillId="0" borderId="0" xfId="0" applyFont="1" applyFill="1"/>
    <xf numFmtId="177" fontId="20" fillId="0" borderId="14" xfId="6" applyNumberFormat="1" applyFont="1" applyFill="1" applyBorder="1" applyAlignment="1">
      <alignment horizontal="right" vertical="center"/>
    </xf>
    <xf numFmtId="177" fontId="20" fillId="0" borderId="36" xfId="6" applyNumberFormat="1" applyFont="1" applyFill="1" applyBorder="1" applyAlignment="1">
      <alignment horizontal="right" vertical="center"/>
    </xf>
    <xf numFmtId="3" fontId="20" fillId="0" borderId="7" xfId="2" applyNumberFormat="1" applyFont="1" applyFill="1" applyBorder="1" applyAlignment="1">
      <alignment vertical="center"/>
    </xf>
    <xf numFmtId="177" fontId="20" fillId="0" borderId="36" xfId="2" applyNumberFormat="1" applyFont="1" applyFill="1" applyBorder="1" applyAlignment="1">
      <alignment horizontal="right" vertical="center"/>
    </xf>
    <xf numFmtId="3" fontId="20" fillId="0" borderId="10" xfId="6" applyNumberFormat="1" applyFont="1" applyFill="1" applyBorder="1" applyAlignment="1">
      <alignment horizontal="center" vertical="center"/>
    </xf>
    <xf numFmtId="3" fontId="20" fillId="0" borderId="30" xfId="2" applyNumberFormat="1" applyFont="1" applyFill="1" applyBorder="1" applyAlignment="1">
      <alignment vertical="center"/>
    </xf>
    <xf numFmtId="177" fontId="20" fillId="0" borderId="0" xfId="6" applyNumberFormat="1" applyFont="1" applyFill="1" applyBorder="1" applyAlignment="1">
      <alignment horizontal="right" vertical="center"/>
    </xf>
    <xf numFmtId="0" fontId="29" fillId="0" borderId="0" xfId="0" applyFont="1" applyFill="1" applyAlignment="1">
      <alignment vertical="center"/>
    </xf>
    <xf numFmtId="49" fontId="20" fillId="0" borderId="0" xfId="0" applyNumberFormat="1" applyFont="1" applyFill="1" applyAlignment="1">
      <alignment vertical="center"/>
    </xf>
    <xf numFmtId="49" fontId="20" fillId="0" borderId="0" xfId="0" applyNumberFormat="1" applyFont="1" applyFill="1" applyAlignment="1">
      <alignment horizontal="right" vertical="center"/>
    </xf>
    <xf numFmtId="41" fontId="20" fillId="0" borderId="0" xfId="2" applyNumberFormat="1" applyFont="1" applyFill="1" applyAlignment="1">
      <alignment vertical="center"/>
    </xf>
    <xf numFmtId="176" fontId="38" fillId="0" borderId="90" xfId="1" applyNumberFormat="1" applyFont="1" applyFill="1" applyBorder="1" applyAlignment="1">
      <alignment vertical="center"/>
    </xf>
    <xf numFmtId="176" fontId="38" fillId="3" borderId="90" xfId="1" applyNumberFormat="1" applyFont="1" applyFill="1" applyBorder="1" applyAlignment="1">
      <alignment vertical="center"/>
    </xf>
    <xf numFmtId="176" fontId="40" fillId="0" borderId="90" xfId="1" applyNumberFormat="1" applyFont="1" applyFill="1" applyBorder="1" applyAlignment="1">
      <alignment vertical="center"/>
    </xf>
    <xf numFmtId="176" fontId="40" fillId="0" borderId="92" xfId="1" applyNumberFormat="1" applyFont="1" applyFill="1" applyBorder="1" applyAlignment="1">
      <alignment vertical="center"/>
    </xf>
    <xf numFmtId="177" fontId="39" fillId="3" borderId="86" xfId="0" applyNumberFormat="1" applyFont="1" applyFill="1" applyBorder="1" applyAlignment="1">
      <alignment horizontal="right" vertical="center" wrapText="1"/>
    </xf>
    <xf numFmtId="177" fontId="39" fillId="0" borderId="87" xfId="0" applyNumberFormat="1" applyFont="1" applyBorder="1" applyAlignment="1">
      <alignment horizontal="right" vertical="center" wrapText="1"/>
    </xf>
    <xf numFmtId="177" fontId="39" fillId="2" borderId="87" xfId="0" applyNumberFormat="1" applyFont="1" applyFill="1" applyBorder="1" applyAlignment="1">
      <alignment horizontal="right" vertical="center" wrapText="1"/>
    </xf>
    <xf numFmtId="177" fontId="39" fillId="3" borderId="13" xfId="0" applyNumberFormat="1" applyFont="1" applyFill="1" applyBorder="1" applyAlignment="1">
      <alignment horizontal="right" vertical="center" wrapText="1"/>
    </xf>
    <xf numFmtId="177" fontId="39" fillId="2" borderId="13" xfId="0" applyNumberFormat="1" applyFont="1" applyFill="1" applyBorder="1" applyAlignment="1">
      <alignment horizontal="right" vertical="center" wrapText="1"/>
    </xf>
    <xf numFmtId="177" fontId="41" fillId="2" borderId="88" xfId="0" applyNumberFormat="1" applyFont="1" applyFill="1" applyBorder="1" applyAlignment="1">
      <alignment horizontal="right" vertical="center" wrapText="1"/>
    </xf>
    <xf numFmtId="177" fontId="41" fillId="2" borderId="91" xfId="0" applyNumberFormat="1" applyFont="1" applyFill="1" applyBorder="1" applyAlignment="1">
      <alignment horizontal="right" vertical="center" wrapText="1"/>
    </xf>
    <xf numFmtId="177" fontId="21" fillId="2" borderId="88" xfId="0" applyNumberFormat="1" applyFont="1" applyFill="1" applyBorder="1" applyAlignment="1">
      <alignment horizontal="right" vertical="center" wrapText="1"/>
    </xf>
    <xf numFmtId="177" fontId="21" fillId="2" borderId="91" xfId="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left" vertical="center" wrapText="1"/>
    </xf>
    <xf numFmtId="41" fontId="21" fillId="0" borderId="75" xfId="2" applyFont="1" applyBorder="1" applyAlignment="1">
      <alignment horizontal="right" vertical="center"/>
    </xf>
    <xf numFmtId="0" fontId="20" fillId="0" borderId="0" xfId="6" applyFont="1" applyFill="1" applyBorder="1" applyAlignment="1">
      <alignment vertical="center"/>
    </xf>
    <xf numFmtId="41" fontId="20" fillId="0" borderId="2" xfId="2" applyFont="1" applyFill="1" applyBorder="1" applyAlignment="1">
      <alignment vertical="center"/>
    </xf>
    <xf numFmtId="3" fontId="20" fillId="0" borderId="8" xfId="6" applyNumberFormat="1" applyFont="1" applyFill="1" applyBorder="1" applyAlignment="1">
      <alignment horizontal="center" vertical="center"/>
    </xf>
    <xf numFmtId="3" fontId="20" fillId="0" borderId="26" xfId="6" applyNumberFormat="1" applyFont="1" applyFill="1" applyBorder="1" applyAlignment="1">
      <alignment horizontal="center" vertical="center"/>
    </xf>
    <xf numFmtId="3" fontId="20" fillId="0" borderId="30" xfId="2" applyNumberFormat="1" applyFont="1" applyFill="1" applyBorder="1" applyAlignment="1">
      <alignment horizontal="left" vertical="center"/>
    </xf>
    <xf numFmtId="3" fontId="20" fillId="0" borderId="0" xfId="2" applyNumberFormat="1" applyFont="1" applyFill="1" applyBorder="1" applyAlignment="1">
      <alignment horizontal="left" vertical="center"/>
    </xf>
    <xf numFmtId="41" fontId="20" fillId="0" borderId="15" xfId="2" applyFont="1" applyFill="1" applyBorder="1" applyAlignment="1">
      <alignment vertical="center"/>
    </xf>
    <xf numFmtId="41" fontId="20" fillId="0" borderId="5" xfId="2" applyFont="1" applyFill="1" applyBorder="1" applyAlignment="1">
      <alignment vertical="center"/>
    </xf>
    <xf numFmtId="41" fontId="29" fillId="0" borderId="0" xfId="2" applyFont="1" applyFill="1" applyAlignment="1">
      <alignment vertical="center"/>
    </xf>
    <xf numFmtId="0" fontId="20" fillId="0" borderId="0" xfId="0" applyFont="1" applyFill="1" applyBorder="1"/>
    <xf numFmtId="3" fontId="20" fillId="0" borderId="21" xfId="6" applyNumberFormat="1" applyFont="1" applyFill="1" applyBorder="1" applyAlignment="1">
      <alignment vertical="center"/>
    </xf>
    <xf numFmtId="177" fontId="20" fillId="0" borderId="4" xfId="2" applyNumberFormat="1" applyFont="1" applyFill="1" applyBorder="1" applyAlignment="1">
      <alignment vertical="center"/>
    </xf>
    <xf numFmtId="3" fontId="20" fillId="0" borderId="30" xfId="6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vertical="center"/>
    </xf>
    <xf numFmtId="41" fontId="20" fillId="0" borderId="46" xfId="2" applyFont="1" applyFill="1" applyBorder="1" applyAlignment="1">
      <alignment vertical="center"/>
    </xf>
    <xf numFmtId="41" fontId="20" fillId="0" borderId="25" xfId="2" applyFont="1" applyFill="1" applyBorder="1" applyAlignment="1">
      <alignment horizontal="center" vertical="center"/>
    </xf>
    <xf numFmtId="41" fontId="20" fillId="0" borderId="0" xfId="2" applyFont="1" applyFill="1" applyAlignment="1">
      <alignment horizontal="right" vertical="center"/>
    </xf>
    <xf numFmtId="0" fontId="34" fillId="0" borderId="64" xfId="0" applyFont="1" applyFill="1" applyBorder="1" applyAlignment="1">
      <alignment horizontal="center" vertical="center"/>
    </xf>
    <xf numFmtId="0" fontId="34" fillId="0" borderId="33" xfId="0" applyFont="1" applyFill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72" xfId="0" applyFont="1" applyFill="1" applyBorder="1" applyAlignment="1">
      <alignment horizontal="center" vertical="center"/>
    </xf>
    <xf numFmtId="38" fontId="34" fillId="0" borderId="13" xfId="0" applyNumberFormat="1" applyFont="1" applyFill="1" applyBorder="1" applyAlignment="1">
      <alignment horizontal="center" vertical="center"/>
    </xf>
    <xf numFmtId="177" fontId="34" fillId="0" borderId="56" xfId="0" applyNumberFormat="1" applyFont="1" applyFill="1" applyBorder="1" applyAlignment="1">
      <alignment horizontal="center" vertical="center"/>
    </xf>
    <xf numFmtId="0" fontId="34" fillId="0" borderId="18" xfId="0" applyFont="1" applyFill="1" applyBorder="1" applyAlignment="1">
      <alignment horizontal="center" vertical="center"/>
    </xf>
    <xf numFmtId="38" fontId="34" fillId="0" borderId="19" xfId="0" applyNumberFormat="1" applyFont="1" applyFill="1" applyBorder="1" applyAlignment="1">
      <alignment horizontal="center" vertical="center"/>
    </xf>
    <xf numFmtId="177" fontId="34" fillId="0" borderId="7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20" xfId="0" applyFill="1" applyBorder="1"/>
    <xf numFmtId="38" fontId="21" fillId="0" borderId="0" xfId="0" applyNumberFormat="1" applyFont="1" applyFill="1" applyAlignment="1">
      <alignment horizontal="right" vertical="center"/>
    </xf>
    <xf numFmtId="0" fontId="21" fillId="0" borderId="12" xfId="0" applyNumberFormat="1" applyFont="1" applyFill="1" applyBorder="1" applyAlignment="1">
      <alignment vertical="center"/>
    </xf>
    <xf numFmtId="0" fontId="21" fillId="0" borderId="82" xfId="0" applyNumberFormat="1" applyFont="1" applyFill="1" applyBorder="1" applyAlignment="1">
      <alignment horizontal="center" vertical="center" wrapText="1"/>
    </xf>
    <xf numFmtId="0" fontId="21" fillId="0" borderId="9" xfId="0" applyNumberFormat="1" applyFont="1" applyFill="1" applyBorder="1" applyAlignment="1">
      <alignment horizontal="center" vertical="center"/>
    </xf>
    <xf numFmtId="41" fontId="21" fillId="0" borderId="2" xfId="2" applyFont="1" applyFill="1" applyBorder="1" applyAlignment="1">
      <alignment vertical="center"/>
    </xf>
    <xf numFmtId="184" fontId="21" fillId="0" borderId="10" xfId="2" applyNumberFormat="1" applyFont="1" applyFill="1" applyBorder="1" applyAlignment="1">
      <alignment horizontal="right" vertical="center"/>
    </xf>
    <xf numFmtId="177" fontId="21" fillId="0" borderId="35" xfId="2" applyNumberFormat="1" applyFont="1" applyFill="1" applyBorder="1" applyAlignment="1">
      <alignment horizontal="right" vertical="center"/>
    </xf>
    <xf numFmtId="41" fontId="21" fillId="0" borderId="0" xfId="2" quotePrefix="1" applyFont="1" applyFill="1" applyBorder="1" applyAlignment="1">
      <alignment vertical="center"/>
    </xf>
    <xf numFmtId="41" fontId="21" fillId="0" borderId="0" xfId="2" applyFont="1" applyFill="1" applyBorder="1" applyAlignment="1">
      <alignment horizontal="right" vertical="center"/>
    </xf>
    <xf numFmtId="184" fontId="21" fillId="0" borderId="0" xfId="0" applyNumberFormat="1" applyFont="1" applyFill="1" applyBorder="1" applyAlignment="1">
      <alignment vertical="center"/>
    </xf>
    <xf numFmtId="41" fontId="21" fillId="0" borderId="0" xfId="2" applyFont="1" applyFill="1" applyBorder="1" applyAlignment="1">
      <alignment horizontal="center" vertical="center"/>
    </xf>
    <xf numFmtId="177" fontId="21" fillId="0" borderId="0" xfId="0" applyNumberFormat="1" applyFont="1" applyFill="1" applyAlignment="1">
      <alignment horizontal="right" vertical="center"/>
    </xf>
    <xf numFmtId="41" fontId="21" fillId="0" borderId="0" xfId="2" applyFont="1" applyFill="1" applyAlignment="1">
      <alignment vertical="center"/>
    </xf>
    <xf numFmtId="41" fontId="21" fillId="0" borderId="0" xfId="0" applyNumberFormat="1" applyFont="1" applyFill="1" applyAlignment="1">
      <alignment vertical="center"/>
    </xf>
    <xf numFmtId="0" fontId="20" fillId="0" borderId="0" xfId="6" applyFont="1" applyFill="1" applyBorder="1" applyAlignment="1">
      <alignment horizontal="left" vertical="center"/>
    </xf>
    <xf numFmtId="0" fontId="21" fillId="0" borderId="0" xfId="6" applyFont="1" applyFill="1" applyAlignment="1">
      <alignment vertical="center"/>
    </xf>
    <xf numFmtId="184" fontId="21" fillId="0" borderId="0" xfId="6" applyNumberFormat="1" applyFont="1" applyFill="1" applyAlignment="1">
      <alignment horizontal="right" vertical="center"/>
    </xf>
    <xf numFmtId="0" fontId="17" fillId="0" borderId="0" xfId="6" applyFont="1" applyFill="1" applyBorder="1" applyAlignment="1">
      <alignment vertical="center"/>
    </xf>
    <xf numFmtId="0" fontId="21" fillId="0" borderId="0" xfId="6" applyFont="1" applyFill="1" applyBorder="1" applyAlignment="1">
      <alignment vertical="center"/>
    </xf>
    <xf numFmtId="0" fontId="21" fillId="0" borderId="0" xfId="6" applyFont="1" applyFill="1" applyAlignment="1">
      <alignment horizontal="left" vertical="center"/>
    </xf>
    <xf numFmtId="3" fontId="21" fillId="0" borderId="0" xfId="6" applyNumberFormat="1" applyFont="1" applyFill="1" applyAlignment="1">
      <alignment vertical="center"/>
    </xf>
    <xf numFmtId="0" fontId="17" fillId="0" borderId="0" xfId="6" applyFont="1" applyFill="1" applyAlignment="1">
      <alignment vertical="center"/>
    </xf>
    <xf numFmtId="41" fontId="30" fillId="0" borderId="0" xfId="2" applyFont="1" applyFill="1" applyAlignment="1">
      <alignment horizontal="center" vertical="center"/>
    </xf>
    <xf numFmtId="41" fontId="20" fillId="0" borderId="17" xfId="2" applyFont="1" applyFill="1" applyBorder="1" applyAlignment="1">
      <alignment vertical="center"/>
    </xf>
    <xf numFmtId="0" fontId="20" fillId="0" borderId="0" xfId="6" applyFont="1" applyFill="1" applyAlignment="1">
      <alignment vertical="center"/>
    </xf>
    <xf numFmtId="3" fontId="20" fillId="0" borderId="0" xfId="6" applyNumberFormat="1" applyFont="1" applyFill="1" applyAlignment="1">
      <alignment vertical="center"/>
    </xf>
    <xf numFmtId="3" fontId="22" fillId="0" borderId="44" xfId="6" applyNumberFormat="1" applyFont="1" applyFill="1" applyBorder="1" applyAlignment="1">
      <alignment horizontal="left" vertical="center"/>
    </xf>
    <xf numFmtId="3" fontId="20" fillId="0" borderId="45" xfId="6" applyNumberFormat="1" applyFont="1" applyFill="1" applyBorder="1" applyAlignment="1">
      <alignment horizontal="center" vertical="center"/>
    </xf>
    <xf numFmtId="177" fontId="22" fillId="0" borderId="62" xfId="6" applyNumberFormat="1" applyFont="1" applyFill="1" applyBorder="1" applyAlignment="1">
      <alignment horizontal="right" vertical="center"/>
    </xf>
    <xf numFmtId="49" fontId="20" fillId="0" borderId="45" xfId="6" applyNumberFormat="1" applyFont="1" applyFill="1" applyBorder="1" applyAlignment="1">
      <alignment horizontal="center" vertical="center"/>
    </xf>
    <xf numFmtId="0" fontId="21" fillId="0" borderId="8" xfId="6" applyFont="1" applyFill="1" applyBorder="1" applyAlignment="1">
      <alignment vertical="center"/>
    </xf>
    <xf numFmtId="0" fontId="21" fillId="0" borderId="10" xfId="6" applyFont="1" applyFill="1" applyBorder="1" applyAlignment="1">
      <alignment vertical="center"/>
    </xf>
    <xf numFmtId="177" fontId="21" fillId="0" borderId="0" xfId="6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vertical="center"/>
    </xf>
    <xf numFmtId="3" fontId="20" fillId="0" borderId="7" xfId="6" applyNumberFormat="1" applyFont="1" applyFill="1" applyBorder="1" applyAlignment="1">
      <alignment horizontal="center" vertical="center"/>
    </xf>
    <xf numFmtId="41" fontId="17" fillId="0" borderId="0" xfId="2" applyFont="1" applyFill="1" applyAlignment="1">
      <alignment vertical="center"/>
    </xf>
    <xf numFmtId="3" fontId="20" fillId="0" borderId="30" xfId="0" applyNumberFormat="1" applyFont="1" applyFill="1" applyBorder="1" applyAlignment="1">
      <alignment horizontal="center" vertical="center"/>
    </xf>
    <xf numFmtId="3" fontId="50" fillId="0" borderId="2" xfId="6" applyNumberFormat="1" applyFont="1" applyFill="1" applyBorder="1" applyAlignment="1">
      <alignment vertical="center"/>
    </xf>
    <xf numFmtId="3" fontId="50" fillId="0" borderId="0" xfId="6" applyNumberFormat="1" applyFont="1" applyFill="1" applyBorder="1" applyAlignment="1">
      <alignment vertical="center"/>
    </xf>
    <xf numFmtId="177" fontId="50" fillId="0" borderId="10" xfId="6" applyNumberFormat="1" applyFont="1" applyFill="1" applyBorder="1" applyAlignment="1">
      <alignment horizontal="right" vertical="center"/>
    </xf>
    <xf numFmtId="0" fontId="50" fillId="0" borderId="10" xfId="0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178" fontId="50" fillId="0" borderId="15" xfId="0" applyNumberFormat="1" applyFont="1" applyFill="1" applyBorder="1" applyAlignment="1">
      <alignment vertical="center"/>
    </xf>
    <xf numFmtId="41" fontId="50" fillId="0" borderId="15" xfId="2" applyNumberFormat="1" applyFont="1" applyFill="1" applyBorder="1" applyAlignment="1">
      <alignment vertical="center"/>
    </xf>
    <xf numFmtId="49" fontId="50" fillId="0" borderId="30" xfId="0" applyNumberFormat="1" applyFont="1" applyFill="1" applyBorder="1" applyAlignment="1">
      <alignment horizontal="right" vertical="center"/>
    </xf>
    <xf numFmtId="177" fontId="50" fillId="0" borderId="56" xfId="0" applyNumberFormat="1" applyFont="1" applyFill="1" applyBorder="1" applyAlignment="1">
      <alignment vertical="center"/>
    </xf>
    <xf numFmtId="177" fontId="50" fillId="0" borderId="13" xfId="0" applyNumberFormat="1" applyFont="1" applyFill="1" applyBorder="1" applyAlignment="1">
      <alignment vertical="center"/>
    </xf>
    <xf numFmtId="3" fontId="50" fillId="0" borderId="10" xfId="6" applyNumberFormat="1" applyFont="1" applyFill="1" applyBorder="1" applyAlignment="1">
      <alignment vertical="center"/>
    </xf>
    <xf numFmtId="49" fontId="50" fillId="0" borderId="0" xfId="6" applyNumberFormat="1" applyFont="1" applyFill="1" applyBorder="1" applyAlignment="1">
      <alignment horizontal="right" vertical="center"/>
    </xf>
    <xf numFmtId="49" fontId="50" fillId="0" borderId="16" xfId="6" applyNumberFormat="1" applyFont="1" applyFill="1" applyBorder="1" applyAlignment="1">
      <alignment vertical="center"/>
    </xf>
    <xf numFmtId="177" fontId="50" fillId="0" borderId="34" xfId="0" applyNumberFormat="1" applyFont="1" applyFill="1" applyBorder="1" applyAlignment="1">
      <alignment vertical="center"/>
    </xf>
    <xf numFmtId="49" fontId="50" fillId="0" borderId="0" xfId="6" applyNumberFormat="1" applyFont="1" applyFill="1" applyBorder="1" applyAlignment="1">
      <alignment vertical="center"/>
    </xf>
    <xf numFmtId="49" fontId="50" fillId="0" borderId="0" xfId="2" applyNumberFormat="1" applyFont="1" applyFill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0" fontId="50" fillId="0" borderId="0" xfId="0" applyFont="1" applyFill="1" applyAlignment="1">
      <alignment vertical="center"/>
    </xf>
    <xf numFmtId="41" fontId="50" fillId="0" borderId="0" xfId="2" applyFont="1" applyFill="1" applyAlignment="1">
      <alignment vertical="center"/>
    </xf>
    <xf numFmtId="0" fontId="53" fillId="0" borderId="45" xfId="0" applyFont="1" applyFill="1" applyBorder="1" applyAlignment="1">
      <alignment vertical="center"/>
    </xf>
    <xf numFmtId="49" fontId="50" fillId="0" borderId="29" xfId="0" applyNumberFormat="1" applyFont="1" applyFill="1" applyBorder="1" applyAlignment="1">
      <alignment vertical="center"/>
    </xf>
    <xf numFmtId="49" fontId="50" fillId="0" borderId="30" xfId="0" applyNumberFormat="1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177" fontId="20" fillId="0" borderId="56" xfId="6" applyNumberFormat="1" applyFont="1" applyFill="1" applyBorder="1" applyAlignment="1">
      <alignment vertical="center"/>
    </xf>
    <xf numFmtId="0" fontId="20" fillId="0" borderId="0" xfId="6" applyFont="1" applyFill="1" applyBorder="1" applyAlignment="1">
      <alignment horizontal="center" vertical="center"/>
    </xf>
    <xf numFmtId="0" fontId="21" fillId="0" borderId="0" xfId="6" applyFont="1" applyFill="1" applyAlignment="1">
      <alignment horizontal="center" vertical="center"/>
    </xf>
    <xf numFmtId="0" fontId="50" fillId="0" borderId="12" xfId="0" applyFont="1" applyFill="1" applyBorder="1" applyAlignment="1">
      <alignment vertical="center"/>
    </xf>
    <xf numFmtId="41" fontId="50" fillId="0" borderId="0" xfId="2" applyFont="1" applyFill="1" applyBorder="1" applyAlignment="1">
      <alignment vertical="center"/>
    </xf>
    <xf numFmtId="0" fontId="51" fillId="0" borderId="12" xfId="0" applyFont="1" applyFill="1" applyBorder="1" applyAlignment="1">
      <alignment vertical="center"/>
    </xf>
    <xf numFmtId="0" fontId="0" fillId="0" borderId="0" xfId="0" applyAlignment="1">
      <alignment vertical="center"/>
    </xf>
    <xf numFmtId="177" fontId="39" fillId="0" borderId="87" xfId="0" applyNumberFormat="1" applyFont="1" applyFill="1" applyBorder="1" applyAlignment="1">
      <alignment horizontal="right" vertical="center" wrapText="1"/>
    </xf>
    <xf numFmtId="177" fontId="41" fillId="0" borderId="88" xfId="0" applyNumberFormat="1" applyFont="1" applyFill="1" applyBorder="1" applyAlignment="1">
      <alignment horizontal="right" vertical="center" wrapText="1"/>
    </xf>
    <xf numFmtId="177" fontId="41" fillId="0" borderId="91" xfId="0" applyNumberFormat="1" applyFont="1" applyFill="1" applyBorder="1" applyAlignment="1">
      <alignment horizontal="right" vertical="center" wrapText="1"/>
    </xf>
    <xf numFmtId="0" fontId="40" fillId="0" borderId="10" xfId="0" applyFont="1" applyFill="1" applyBorder="1" applyAlignment="1">
      <alignment horizontal="left" vertical="center" wrapText="1"/>
    </xf>
    <xf numFmtId="177" fontId="41" fillId="0" borderId="93" xfId="0" applyNumberFormat="1" applyFont="1" applyFill="1" applyBorder="1" applyAlignment="1">
      <alignment horizontal="right" vertical="center" wrapText="1"/>
    </xf>
    <xf numFmtId="3" fontId="50" fillId="0" borderId="2" xfId="2" applyNumberFormat="1" applyFont="1" applyFill="1" applyBorder="1" applyAlignment="1">
      <alignment vertical="center"/>
    </xf>
    <xf numFmtId="3" fontId="50" fillId="0" borderId="0" xfId="6" applyNumberFormat="1" applyFont="1" applyFill="1" applyBorder="1" applyAlignment="1">
      <alignment horizontal="center" vertical="center"/>
    </xf>
    <xf numFmtId="0" fontId="50" fillId="0" borderId="8" xfId="0" applyFont="1" applyFill="1" applyBorder="1" applyAlignment="1">
      <alignment horizontal="left" vertical="center"/>
    </xf>
    <xf numFmtId="178" fontId="50" fillId="0" borderId="4" xfId="0" applyNumberFormat="1" applyFont="1" applyFill="1" applyBorder="1" applyAlignment="1">
      <alignment vertical="center"/>
    </xf>
    <xf numFmtId="0" fontId="51" fillId="0" borderId="0" xfId="6" applyFont="1" applyFill="1" applyAlignment="1">
      <alignment vertical="center"/>
    </xf>
    <xf numFmtId="0" fontId="40" fillId="0" borderId="0" xfId="6" applyFont="1" applyFill="1" applyBorder="1" applyAlignment="1">
      <alignment vertical="center"/>
    </xf>
    <xf numFmtId="0" fontId="40" fillId="0" borderId="0" xfId="6" applyFont="1" applyFill="1" applyAlignment="1">
      <alignment vertical="center"/>
    </xf>
    <xf numFmtId="41" fontId="50" fillId="0" borderId="0" xfId="2" applyFont="1" applyFill="1"/>
    <xf numFmtId="0" fontId="51" fillId="0" borderId="0" xfId="0" applyFont="1" applyFill="1"/>
    <xf numFmtId="41" fontId="53" fillId="0" borderId="0" xfId="2" applyFont="1" applyFill="1"/>
    <xf numFmtId="0" fontId="52" fillId="0" borderId="0" xfId="0" applyFont="1" applyFill="1"/>
    <xf numFmtId="41" fontId="40" fillId="0" borderId="0" xfId="2" applyFont="1" applyFill="1"/>
    <xf numFmtId="41" fontId="50" fillId="0" borderId="0" xfId="2" applyFont="1" applyFill="1" applyBorder="1"/>
    <xf numFmtId="0" fontId="51" fillId="0" borderId="0" xfId="0" applyFont="1" applyFill="1" applyBorder="1"/>
    <xf numFmtId="41" fontId="51" fillId="0" borderId="0" xfId="0" applyNumberFormat="1" applyFont="1" applyFill="1" applyBorder="1"/>
    <xf numFmtId="184" fontId="40" fillId="0" borderId="0" xfId="6" applyNumberFormat="1" applyFont="1" applyFill="1" applyAlignment="1">
      <alignment horizontal="right" vertical="center"/>
    </xf>
    <xf numFmtId="184" fontId="40" fillId="0" borderId="0" xfId="6" applyNumberFormat="1" applyFont="1" applyFill="1" applyBorder="1" applyAlignment="1">
      <alignment horizontal="right" vertical="center"/>
    </xf>
    <xf numFmtId="0" fontId="51" fillId="0" borderId="0" xfId="6" applyFont="1" applyFill="1" applyBorder="1" applyAlignment="1">
      <alignment vertical="center"/>
    </xf>
    <xf numFmtId="0" fontId="40" fillId="0" borderId="0" xfId="6" applyFont="1" applyFill="1" applyAlignment="1">
      <alignment horizontal="left" vertical="center"/>
    </xf>
    <xf numFmtId="0" fontId="40" fillId="0" borderId="0" xfId="6" applyFont="1" applyFill="1" applyAlignment="1">
      <alignment horizontal="center" vertical="center"/>
    </xf>
    <xf numFmtId="3" fontId="40" fillId="0" borderId="0" xfId="6" applyNumberFormat="1" applyFont="1" applyFill="1" applyAlignment="1">
      <alignment vertical="center"/>
    </xf>
    <xf numFmtId="41" fontId="40" fillId="0" borderId="0" xfId="2" applyFont="1" applyFill="1" applyAlignment="1">
      <alignment vertical="center"/>
    </xf>
    <xf numFmtId="0" fontId="53" fillId="0" borderId="47" xfId="0" applyFont="1" applyFill="1" applyBorder="1" applyAlignment="1">
      <alignment vertical="center"/>
    </xf>
    <xf numFmtId="0" fontId="53" fillId="0" borderId="54" xfId="0" applyFont="1" applyFill="1" applyBorder="1" applyAlignment="1">
      <alignment vertical="center"/>
    </xf>
    <xf numFmtId="0" fontId="53" fillId="0" borderId="49" xfId="0" applyFont="1" applyFill="1" applyBorder="1" applyAlignment="1">
      <alignment vertical="center"/>
    </xf>
    <xf numFmtId="178" fontId="53" fillId="0" borderId="39" xfId="2" applyNumberFormat="1" applyFont="1" applyFill="1" applyBorder="1" applyAlignment="1">
      <alignment vertical="center"/>
    </xf>
    <xf numFmtId="177" fontId="53" fillId="0" borderId="62" xfId="2" applyNumberFormat="1" applyFont="1" applyFill="1" applyBorder="1" applyAlignment="1">
      <alignment vertical="center"/>
    </xf>
    <xf numFmtId="177" fontId="53" fillId="0" borderId="12" xfId="0" applyNumberFormat="1" applyFont="1" applyFill="1" applyBorder="1" applyAlignment="1">
      <alignment vertical="center"/>
    </xf>
    <xf numFmtId="49" fontId="50" fillId="0" borderId="44" xfId="0" applyNumberFormat="1" applyFont="1" applyFill="1" applyBorder="1" applyAlignment="1">
      <alignment vertical="center"/>
    </xf>
    <xf numFmtId="49" fontId="50" fillId="0" borderId="45" xfId="0" applyNumberFormat="1" applyFont="1" applyFill="1" applyBorder="1" applyAlignment="1">
      <alignment vertical="center"/>
    </xf>
    <xf numFmtId="49" fontId="50" fillId="0" borderId="45" xfId="0" applyNumberFormat="1" applyFont="1" applyFill="1" applyBorder="1" applyAlignment="1">
      <alignment horizontal="left" vertical="center"/>
    </xf>
    <xf numFmtId="49" fontId="50" fillId="0" borderId="45" xfId="0" applyNumberFormat="1" applyFont="1" applyFill="1" applyBorder="1" applyAlignment="1">
      <alignment horizontal="right" vertical="center"/>
    </xf>
    <xf numFmtId="0" fontId="50" fillId="0" borderId="45" xfId="0" applyFont="1" applyFill="1" applyBorder="1" applyAlignment="1">
      <alignment horizontal="left" vertical="center"/>
    </xf>
    <xf numFmtId="177" fontId="50" fillId="0" borderId="45" xfId="0" applyNumberFormat="1" applyFont="1" applyFill="1" applyBorder="1" applyAlignment="1">
      <alignment vertical="center"/>
    </xf>
    <xf numFmtId="0" fontId="50" fillId="0" borderId="45" xfId="0" applyFont="1" applyFill="1" applyBorder="1" applyAlignment="1">
      <alignment vertical="center"/>
    </xf>
    <xf numFmtId="41" fontId="50" fillId="0" borderId="46" xfId="2" applyNumberFormat="1" applyFont="1" applyFill="1" applyBorder="1" applyAlignment="1">
      <alignment vertical="center"/>
    </xf>
    <xf numFmtId="178" fontId="50" fillId="0" borderId="46" xfId="0" applyNumberFormat="1" applyFont="1" applyFill="1" applyBorder="1" applyAlignment="1">
      <alignment vertical="center"/>
    </xf>
    <xf numFmtId="49" fontId="50" fillId="0" borderId="48" xfId="0" applyNumberFormat="1" applyFont="1" applyFill="1" applyBorder="1" applyAlignment="1">
      <alignment vertical="center"/>
    </xf>
    <xf numFmtId="49" fontId="50" fillId="0" borderId="50" xfId="0" applyNumberFormat="1" applyFont="1" applyFill="1" applyBorder="1" applyAlignment="1">
      <alignment vertical="center"/>
    </xf>
    <xf numFmtId="49" fontId="50" fillId="0" borderId="50" xfId="0" applyNumberFormat="1" applyFont="1" applyFill="1" applyBorder="1" applyAlignment="1">
      <alignment horizontal="left" vertical="center"/>
    </xf>
    <xf numFmtId="49" fontId="50" fillId="0" borderId="50" xfId="0" applyNumberFormat="1" applyFont="1" applyFill="1" applyBorder="1" applyAlignment="1">
      <alignment horizontal="right" vertical="center"/>
    </xf>
    <xf numFmtId="0" fontId="50" fillId="0" borderId="50" xfId="0" applyFont="1" applyFill="1" applyBorder="1" applyAlignment="1">
      <alignment horizontal="left" vertical="center"/>
    </xf>
    <xf numFmtId="177" fontId="50" fillId="0" borderId="50" xfId="0" applyNumberFormat="1" applyFont="1" applyFill="1" applyBorder="1" applyAlignment="1">
      <alignment vertical="center"/>
    </xf>
    <xf numFmtId="0" fontId="50" fillId="0" borderId="50" xfId="0" applyFont="1" applyFill="1" applyBorder="1" applyAlignment="1">
      <alignment vertical="center"/>
    </xf>
    <xf numFmtId="41" fontId="50" fillId="0" borderId="53" xfId="2" applyNumberFormat="1" applyFont="1" applyFill="1" applyBorder="1" applyAlignment="1">
      <alignment vertical="center"/>
    </xf>
    <xf numFmtId="49" fontId="50" fillId="0" borderId="30" xfId="0" applyNumberFormat="1" applyFont="1" applyFill="1" applyBorder="1" applyAlignment="1">
      <alignment horizontal="left" vertical="center"/>
    </xf>
    <xf numFmtId="177" fontId="50" fillId="0" borderId="30" xfId="0" applyNumberFormat="1" applyFont="1" applyFill="1" applyBorder="1" applyAlignment="1">
      <alignment vertical="center"/>
    </xf>
    <xf numFmtId="41" fontId="50" fillId="0" borderId="0" xfId="2" applyFont="1" applyFill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41" fontId="50" fillId="0" borderId="0" xfId="0" applyNumberFormat="1" applyFont="1" applyFill="1" applyBorder="1" applyAlignment="1">
      <alignment horizontal="center" vertical="center"/>
    </xf>
    <xf numFmtId="3" fontId="20" fillId="0" borderId="30" xfId="0" applyNumberFormat="1" applyFont="1" applyFill="1" applyBorder="1" applyAlignment="1">
      <alignment horizontal="right" vertical="center"/>
    </xf>
    <xf numFmtId="3" fontId="20" fillId="0" borderId="8" xfId="6" applyNumberFormat="1" applyFont="1" applyFill="1" applyBorder="1" applyAlignment="1">
      <alignment horizontal="left" vertical="center"/>
    </xf>
    <xf numFmtId="177" fontId="20" fillId="0" borderId="15" xfId="2" applyNumberFormat="1" applyFont="1" applyFill="1" applyBorder="1" applyAlignment="1">
      <alignment horizontal="left" vertical="center"/>
    </xf>
    <xf numFmtId="41" fontId="20" fillId="0" borderId="15" xfId="2" applyFont="1" applyFill="1" applyBorder="1" applyAlignment="1">
      <alignment horizontal="left" vertical="center"/>
    </xf>
    <xf numFmtId="41" fontId="20" fillId="2" borderId="0" xfId="2" applyFont="1" applyFill="1" applyBorder="1" applyAlignment="1">
      <alignment horizontal="right" vertical="center"/>
    </xf>
    <xf numFmtId="3" fontId="20" fillId="0" borderId="45" xfId="6" applyNumberFormat="1" applyFont="1" applyFill="1" applyBorder="1" applyAlignment="1">
      <alignment horizontal="left" vertical="center"/>
    </xf>
    <xf numFmtId="3" fontId="20" fillId="0" borderId="0" xfId="6" applyNumberFormat="1" applyFont="1" applyFill="1" applyAlignment="1">
      <alignment horizontal="left" vertical="center"/>
    </xf>
    <xf numFmtId="41" fontId="20" fillId="0" borderId="4" xfId="2" applyFont="1" applyFill="1" applyBorder="1" applyAlignment="1">
      <alignment horizontal="left" vertical="center"/>
    </xf>
    <xf numFmtId="0" fontId="17" fillId="0" borderId="0" xfId="0" applyFont="1" applyFill="1" applyAlignment="1">
      <alignment vertical="center"/>
    </xf>
    <xf numFmtId="3" fontId="59" fillId="0" borderId="0" xfId="6" applyNumberFormat="1" applyFont="1" applyFill="1" applyBorder="1" applyAlignment="1">
      <alignment horizontal="left" vertical="center"/>
    </xf>
    <xf numFmtId="3" fontId="20" fillId="0" borderId="7" xfId="2" applyNumberFormat="1" applyFont="1" applyFill="1" applyBorder="1" applyAlignment="1">
      <alignment horizontal="left" vertical="center"/>
    </xf>
    <xf numFmtId="3" fontId="20" fillId="0" borderId="23" xfId="6" applyNumberFormat="1" applyFont="1" applyFill="1" applyBorder="1" applyAlignment="1">
      <alignment vertical="center"/>
    </xf>
    <xf numFmtId="41" fontId="20" fillId="2" borderId="0" xfId="2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41" fontId="0" fillId="0" borderId="0" xfId="2" applyFont="1" applyFill="1" applyBorder="1" applyAlignment="1">
      <alignment horizontal="center" vertical="center"/>
    </xf>
    <xf numFmtId="177" fontId="23" fillId="3" borderId="33" xfId="2" applyNumberFormat="1" applyFont="1" applyFill="1" applyBorder="1" applyAlignment="1">
      <alignment horizontal="center" vertical="center"/>
    </xf>
    <xf numFmtId="177" fontId="23" fillId="3" borderId="33" xfId="2" applyNumberFormat="1" applyFont="1" applyFill="1" applyBorder="1" applyAlignment="1">
      <alignment horizontal="center" vertical="center" wrapText="1"/>
    </xf>
    <xf numFmtId="41" fontId="23" fillId="3" borderId="63" xfId="2" applyFont="1" applyFill="1" applyBorder="1" applyAlignment="1">
      <alignment horizontal="center" vertical="center"/>
    </xf>
    <xf numFmtId="177" fontId="23" fillId="3" borderId="13" xfId="2" applyNumberFormat="1" applyFont="1" applyFill="1" applyBorder="1" applyAlignment="1">
      <alignment horizontal="right" vertical="center"/>
    </xf>
    <xf numFmtId="3" fontId="20" fillId="0" borderId="0" xfId="0" applyNumberFormat="1" applyFont="1" applyFill="1" applyBorder="1" applyAlignment="1">
      <alignment vertical="center"/>
    </xf>
    <xf numFmtId="0" fontId="40" fillId="0" borderId="83" xfId="0" applyFont="1" applyFill="1" applyBorder="1" applyAlignment="1">
      <alignment horizontal="left" vertical="center" wrapText="1"/>
    </xf>
    <xf numFmtId="177" fontId="41" fillId="2" borderId="93" xfId="0" applyNumberFormat="1" applyFont="1" applyFill="1" applyBorder="1" applyAlignment="1">
      <alignment horizontal="right" vertical="center" wrapText="1"/>
    </xf>
    <xf numFmtId="177" fontId="40" fillId="0" borderId="26" xfId="2" applyNumberFormat="1" applyFont="1" applyFill="1" applyBorder="1" applyAlignment="1">
      <alignment horizontal="right" vertical="center"/>
    </xf>
    <xf numFmtId="176" fontId="40" fillId="0" borderId="97" xfId="1" applyNumberFormat="1" applyFont="1" applyFill="1" applyBorder="1" applyAlignment="1">
      <alignment vertical="center"/>
    </xf>
    <xf numFmtId="177" fontId="39" fillId="0" borderId="98" xfId="0" applyNumberFormat="1" applyFont="1" applyFill="1" applyBorder="1" applyAlignment="1">
      <alignment horizontal="right" vertical="center" wrapText="1"/>
    </xf>
    <xf numFmtId="177" fontId="23" fillId="0" borderId="21" xfId="2" applyNumberFormat="1" applyFont="1" applyFill="1" applyBorder="1" applyAlignment="1">
      <alignment horizontal="right" vertical="center"/>
    </xf>
    <xf numFmtId="177" fontId="39" fillId="3" borderId="99" xfId="0" applyNumberFormat="1" applyFont="1" applyFill="1" applyBorder="1" applyAlignment="1">
      <alignment horizontal="right" vertical="center" wrapText="1"/>
    </xf>
    <xf numFmtId="177" fontId="38" fillId="3" borderId="19" xfId="2" applyNumberFormat="1" applyFont="1" applyFill="1" applyBorder="1" applyAlignment="1">
      <alignment horizontal="right" vertical="center"/>
    </xf>
    <xf numFmtId="176" fontId="38" fillId="3" borderId="70" xfId="1" applyNumberFormat="1" applyFont="1" applyFill="1" applyBorder="1" applyAlignment="1">
      <alignment vertical="center"/>
    </xf>
    <xf numFmtId="177" fontId="39" fillId="3" borderId="96" xfId="0" applyNumberFormat="1" applyFont="1" applyFill="1" applyBorder="1" applyAlignment="1">
      <alignment horizontal="right" vertical="center" wrapText="1"/>
    </xf>
    <xf numFmtId="177" fontId="23" fillId="3" borderId="28" xfId="2" applyNumberFormat="1" applyFont="1" applyFill="1" applyBorder="1" applyAlignment="1">
      <alignment horizontal="right" vertical="center"/>
    </xf>
    <xf numFmtId="177" fontId="39" fillId="3" borderId="100" xfId="0" applyNumberFormat="1" applyFont="1" applyFill="1" applyBorder="1" applyAlignment="1">
      <alignment horizontal="right" vertical="center" wrapText="1"/>
    </xf>
    <xf numFmtId="177" fontId="38" fillId="3" borderId="30" xfId="2" applyNumberFormat="1" applyFont="1" applyFill="1" applyBorder="1" applyAlignment="1">
      <alignment horizontal="right" vertical="center"/>
    </xf>
    <xf numFmtId="176" fontId="38" fillId="3" borderId="56" xfId="1" applyNumberFormat="1" applyFont="1" applyFill="1" applyBorder="1" applyAlignment="1">
      <alignment vertical="center"/>
    </xf>
    <xf numFmtId="41" fontId="22" fillId="0" borderId="0" xfId="2" applyFont="1" applyFill="1" applyBorder="1" applyAlignment="1">
      <alignment horizontal="center" vertical="center"/>
    </xf>
    <xf numFmtId="41" fontId="22" fillId="0" borderId="0" xfId="2" applyFont="1" applyAlignment="1">
      <alignment vertical="center" wrapText="1"/>
    </xf>
    <xf numFmtId="41" fontId="22" fillId="0" borderId="0" xfId="2" applyFont="1" applyAlignment="1">
      <alignment vertical="center"/>
    </xf>
    <xf numFmtId="3" fontId="20" fillId="0" borderId="7" xfId="0" applyNumberFormat="1" applyFont="1" applyFill="1" applyBorder="1" applyAlignment="1">
      <alignment vertical="center"/>
    </xf>
    <xf numFmtId="41" fontId="20" fillId="0" borderId="0" xfId="2" applyFont="1" applyFill="1" applyBorder="1" applyAlignment="1">
      <alignment horizontal="left" vertical="center"/>
    </xf>
    <xf numFmtId="177" fontId="20" fillId="0" borderId="56" xfId="6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38" fontId="30" fillId="0" borderId="0" xfId="0" applyNumberFormat="1" applyFont="1" applyFill="1" applyAlignment="1">
      <alignment horizontal="center" vertical="center"/>
    </xf>
    <xf numFmtId="41" fontId="20" fillId="0" borderId="0" xfId="2" applyFont="1" applyFill="1" applyBorder="1" applyAlignment="1">
      <alignment vertical="center"/>
    </xf>
    <xf numFmtId="49" fontId="20" fillId="0" borderId="0" xfId="0" applyNumberFormat="1" applyFont="1" applyFill="1" applyBorder="1" applyAlignment="1">
      <alignment vertical="center"/>
    </xf>
    <xf numFmtId="180" fontId="20" fillId="0" borderId="0" xfId="2" applyNumberFormat="1" applyFont="1" applyFill="1" applyBorder="1" applyAlignment="1">
      <alignment horizontal="right" vertical="center"/>
    </xf>
    <xf numFmtId="3" fontId="20" fillId="0" borderId="18" xfId="0" applyNumberFormat="1" applyFont="1" applyFill="1" applyBorder="1" applyAlignment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177" fontId="20" fillId="0" borderId="0" xfId="2" applyNumberFormat="1" applyFont="1" applyFill="1" applyBorder="1" applyAlignment="1">
      <alignment horizontal="right" vertical="center"/>
    </xf>
    <xf numFmtId="41" fontId="0" fillId="0" borderId="0" xfId="2" applyFont="1" applyFill="1" applyAlignment="1">
      <alignment vertical="center"/>
    </xf>
    <xf numFmtId="41" fontId="20" fillId="0" borderId="0" xfId="2" applyFont="1" applyFill="1" applyAlignment="1">
      <alignment vertical="center"/>
    </xf>
    <xf numFmtId="3" fontId="20" fillId="0" borderId="12" xfId="0" applyNumberFormat="1" applyFont="1" applyFill="1" applyBorder="1" applyAlignment="1">
      <alignment vertical="center"/>
    </xf>
    <xf numFmtId="3" fontId="20" fillId="0" borderId="5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/>
    </xf>
    <xf numFmtId="0" fontId="0" fillId="0" borderId="0" xfId="0" applyFont="1" applyFill="1" applyBorder="1"/>
    <xf numFmtId="3" fontId="20" fillId="0" borderId="30" xfId="0" applyNumberFormat="1" applyFont="1" applyFill="1" applyBorder="1" applyAlignment="1">
      <alignment vertical="center"/>
    </xf>
    <xf numFmtId="3" fontId="20" fillId="0" borderId="30" xfId="0" applyNumberFormat="1" applyFont="1" applyFill="1" applyBorder="1" applyAlignment="1">
      <alignment horizontal="left" vertical="center"/>
    </xf>
    <xf numFmtId="3" fontId="20" fillId="0" borderId="10" xfId="6" applyNumberFormat="1" applyFont="1" applyFill="1" applyBorder="1" applyAlignment="1">
      <alignment horizontal="left" vertical="center"/>
    </xf>
    <xf numFmtId="0" fontId="0" fillId="0" borderId="0" xfId="0" applyNumberFormat="1" applyFont="1" applyFill="1" applyAlignment="1">
      <alignment vertical="center"/>
    </xf>
    <xf numFmtId="41" fontId="0" fillId="0" borderId="0" xfId="2" applyFont="1" applyFill="1" applyBorder="1" applyAlignment="1">
      <alignment vertical="center"/>
    </xf>
    <xf numFmtId="41" fontId="0" fillId="0" borderId="0" xfId="0" applyNumberFormat="1" applyFont="1" applyFill="1" applyAlignment="1">
      <alignment horizontal="right" vertical="center"/>
    </xf>
    <xf numFmtId="184" fontId="23" fillId="0" borderId="39" xfId="2" applyNumberFormat="1" applyFont="1" applyFill="1" applyBorder="1" applyAlignment="1">
      <alignment horizontal="right" vertical="center"/>
    </xf>
    <xf numFmtId="0" fontId="20" fillId="0" borderId="0" xfId="0" applyFont="1" applyFill="1" applyBorder="1" applyAlignment="1">
      <alignment vertical="center"/>
    </xf>
    <xf numFmtId="177" fontId="20" fillId="0" borderId="2" xfId="2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3" fontId="20" fillId="0" borderId="30" xfId="6" applyNumberFormat="1" applyFont="1" applyFill="1" applyBorder="1" applyAlignment="1">
      <alignment horizontal="center" vertical="center"/>
    </xf>
    <xf numFmtId="177" fontId="20" fillId="0" borderId="15" xfId="2" applyNumberFormat="1" applyFont="1" applyFill="1" applyBorder="1" applyAlignment="1">
      <alignment horizontal="right" vertical="center"/>
    </xf>
    <xf numFmtId="3" fontId="20" fillId="0" borderId="7" xfId="0" applyNumberFormat="1" applyFont="1" applyFill="1" applyBorder="1" applyAlignment="1">
      <alignment horizontal="center" vertical="center"/>
    </xf>
    <xf numFmtId="41" fontId="0" fillId="0" borderId="0" xfId="2" applyFont="1" applyFill="1" applyBorder="1"/>
    <xf numFmtId="43" fontId="0" fillId="0" borderId="0" xfId="0" applyNumberFormat="1" applyFont="1" applyFill="1" applyAlignment="1">
      <alignment vertical="center"/>
    </xf>
    <xf numFmtId="177" fontId="20" fillId="0" borderId="15" xfId="2" applyNumberFormat="1" applyFont="1" applyFill="1" applyBorder="1" applyAlignment="1">
      <alignment vertical="center"/>
    </xf>
    <xf numFmtId="41" fontId="20" fillId="0" borderId="15" xfId="2" applyFont="1" applyFill="1" applyBorder="1" applyAlignment="1">
      <alignment horizontal="right" vertical="center"/>
    </xf>
    <xf numFmtId="0" fontId="0" fillId="2" borderId="8" xfId="0" applyFont="1" applyFill="1" applyBorder="1" applyAlignment="1">
      <alignment vertical="center"/>
    </xf>
    <xf numFmtId="0" fontId="20" fillId="2" borderId="26" xfId="0" applyFont="1" applyFill="1" applyBorder="1" applyAlignment="1">
      <alignment horizontal="left" vertical="center"/>
    </xf>
    <xf numFmtId="0" fontId="20" fillId="2" borderId="10" xfId="0" applyFont="1" applyFill="1" applyBorder="1" applyAlignment="1">
      <alignment vertical="center"/>
    </xf>
    <xf numFmtId="177" fontId="20" fillId="2" borderId="10" xfId="0" applyNumberFormat="1" applyFont="1" applyFill="1" applyBorder="1" applyAlignment="1">
      <alignment vertical="center"/>
    </xf>
    <xf numFmtId="177" fontId="20" fillId="2" borderId="35" xfId="0" applyNumberFormat="1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vertical="center"/>
    </xf>
    <xf numFmtId="3" fontId="20" fillId="2" borderId="0" xfId="2" applyNumberFormat="1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horizontal="right" vertical="center"/>
    </xf>
    <xf numFmtId="41" fontId="20" fillId="2" borderId="0" xfId="0" applyNumberFormat="1" applyFont="1" applyFill="1" applyBorder="1" applyAlignment="1">
      <alignment vertical="center"/>
    </xf>
    <xf numFmtId="0" fontId="20" fillId="2" borderId="0" xfId="0" applyNumberFormat="1" applyFont="1" applyFill="1" applyBorder="1" applyAlignment="1">
      <alignment vertical="center"/>
    </xf>
    <xf numFmtId="3" fontId="20" fillId="2" borderId="4" xfId="2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41" fontId="0" fillId="2" borderId="0" xfId="2" applyFont="1" applyFill="1" applyBorder="1" applyAlignment="1">
      <alignment vertical="center"/>
    </xf>
    <xf numFmtId="0" fontId="20" fillId="2" borderId="16" xfId="0" applyFont="1" applyFill="1" applyBorder="1" applyAlignment="1">
      <alignment vertical="center"/>
    </xf>
    <xf numFmtId="3" fontId="20" fillId="2" borderId="2" xfId="2" applyNumberFormat="1" applyFont="1" applyFill="1" applyBorder="1" applyAlignment="1">
      <alignment vertical="center"/>
    </xf>
    <xf numFmtId="0" fontId="20" fillId="2" borderId="9" xfId="0" applyFont="1" applyFill="1" applyBorder="1" applyAlignment="1">
      <alignment vertical="center"/>
    </xf>
    <xf numFmtId="177" fontId="20" fillId="2" borderId="9" xfId="0" applyNumberFormat="1" applyFont="1" applyFill="1" applyBorder="1" applyAlignment="1">
      <alignment vertical="center"/>
    </xf>
    <xf numFmtId="177" fontId="20" fillId="2" borderId="34" xfId="0" applyNumberFormat="1" applyFont="1" applyFill="1" applyBorder="1" applyAlignment="1">
      <alignment vertical="center"/>
    </xf>
    <xf numFmtId="178" fontId="20" fillId="2" borderId="6" xfId="0" applyNumberFormat="1" applyFont="1" applyFill="1" applyBorder="1" applyAlignment="1">
      <alignment vertical="center"/>
    </xf>
    <xf numFmtId="41" fontId="20" fillId="2" borderId="0" xfId="2" applyNumberFormat="1" applyFont="1" applyFill="1" applyBorder="1" applyAlignment="1">
      <alignment horizontal="right" vertical="center"/>
    </xf>
    <xf numFmtId="3" fontId="20" fillId="2" borderId="2" xfId="6" applyNumberFormat="1" applyFont="1" applyFill="1" applyBorder="1" applyAlignment="1">
      <alignment vertical="center"/>
    </xf>
    <xf numFmtId="3" fontId="20" fillId="2" borderId="3" xfId="2" applyNumberFormat="1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41" fontId="0" fillId="2" borderId="0" xfId="2" applyFont="1" applyFill="1" applyAlignment="1">
      <alignment vertical="center"/>
    </xf>
    <xf numFmtId="0" fontId="20" fillId="2" borderId="14" xfId="0" applyFont="1" applyFill="1" applyBorder="1" applyAlignment="1">
      <alignment vertical="center"/>
    </xf>
    <xf numFmtId="177" fontId="20" fillId="2" borderId="14" xfId="0" applyNumberFormat="1" applyFont="1" applyFill="1" applyBorder="1" applyAlignment="1">
      <alignment vertical="center"/>
    </xf>
    <xf numFmtId="177" fontId="20" fillId="2" borderId="36" xfId="0" applyNumberFormat="1" applyFont="1" applyFill="1" applyBorder="1" applyAlignment="1">
      <alignment vertical="center"/>
    </xf>
    <xf numFmtId="0" fontId="20" fillId="2" borderId="7" xfId="0" applyNumberFormat="1" applyFont="1" applyFill="1" applyBorder="1" applyAlignment="1">
      <alignment vertical="center"/>
    </xf>
    <xf numFmtId="178" fontId="20" fillId="2" borderId="7" xfId="0" applyNumberFormat="1" applyFont="1" applyFill="1" applyBorder="1" applyAlignment="1">
      <alignment vertical="center" wrapText="1"/>
    </xf>
    <xf numFmtId="3" fontId="20" fillId="2" borderId="4" xfId="6" applyNumberFormat="1" applyFont="1" applyFill="1" applyBorder="1" applyAlignment="1">
      <alignment vertical="center"/>
    </xf>
    <xf numFmtId="41" fontId="20" fillId="2" borderId="0" xfId="2" applyFont="1" applyFill="1" applyBorder="1" applyAlignment="1">
      <alignment horizontal="left" vertical="center" shrinkToFit="1"/>
    </xf>
    <xf numFmtId="178" fontId="20" fillId="2" borderId="0" xfId="0" applyNumberFormat="1" applyFont="1" applyFill="1" applyBorder="1" applyAlignment="1">
      <alignment vertical="center" wrapText="1"/>
    </xf>
    <xf numFmtId="0" fontId="20" fillId="2" borderId="9" xfId="0" applyFont="1" applyFill="1" applyBorder="1" applyAlignment="1">
      <alignment vertical="center" wrapText="1"/>
    </xf>
    <xf numFmtId="3" fontId="20" fillId="2" borderId="7" xfId="6" applyNumberFormat="1" applyFont="1" applyFill="1" applyBorder="1" applyAlignment="1">
      <alignment horizontal="right" vertical="center"/>
    </xf>
    <xf numFmtId="41" fontId="20" fillId="2" borderId="0" xfId="6" applyNumberFormat="1" applyFont="1" applyFill="1" applyBorder="1" applyAlignment="1">
      <alignment vertical="center"/>
    </xf>
    <xf numFmtId="41" fontId="0" fillId="2" borderId="0" xfId="0" applyNumberFormat="1" applyFont="1" applyFill="1" applyAlignment="1">
      <alignment vertical="center"/>
    </xf>
    <xf numFmtId="3" fontId="20" fillId="2" borderId="7" xfId="6" applyNumberFormat="1" applyFont="1" applyFill="1" applyBorder="1" applyAlignment="1">
      <alignment vertical="center"/>
    </xf>
    <xf numFmtId="178" fontId="20" fillId="2" borderId="0" xfId="0" applyNumberFormat="1" applyFont="1" applyFill="1" applyBorder="1" applyAlignment="1">
      <alignment horizontal="right" vertical="center"/>
    </xf>
    <xf numFmtId="177" fontId="20" fillId="2" borderId="13" xfId="0" applyNumberFormat="1" applyFont="1" applyFill="1" applyBorder="1" applyAlignment="1">
      <alignment vertical="center"/>
    </xf>
    <xf numFmtId="0" fontId="20" fillId="2" borderId="29" xfId="0" applyFont="1" applyFill="1" applyBorder="1" applyAlignment="1">
      <alignment horizontal="center" vertical="center"/>
    </xf>
    <xf numFmtId="0" fontId="20" fillId="2" borderId="30" xfId="0" applyFont="1" applyFill="1" applyBorder="1" applyAlignment="1">
      <alignment horizontal="center" vertical="center"/>
    </xf>
    <xf numFmtId="178" fontId="20" fillId="2" borderId="30" xfId="0" applyNumberFormat="1" applyFont="1" applyFill="1" applyBorder="1" applyAlignment="1">
      <alignment horizontal="center" vertical="center"/>
    </xf>
    <xf numFmtId="3" fontId="20" fillId="2" borderId="15" xfId="2" applyNumberFormat="1" applyFont="1" applyFill="1" applyBorder="1" applyAlignment="1">
      <alignment vertical="center"/>
    </xf>
    <xf numFmtId="178" fontId="20" fillId="2" borderId="59" xfId="0" applyNumberFormat="1" applyFont="1" applyFill="1" applyBorder="1" applyAlignment="1">
      <alignment vertical="center"/>
    </xf>
    <xf numFmtId="0" fontId="20" fillId="2" borderId="20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3" fontId="20" fillId="2" borderId="5" xfId="2" applyNumberFormat="1" applyFont="1" applyFill="1" applyBorder="1" applyAlignment="1">
      <alignment vertical="center"/>
    </xf>
    <xf numFmtId="184" fontId="20" fillId="2" borderId="13" xfId="6" applyNumberFormat="1" applyFont="1" applyFill="1" applyBorder="1" applyAlignment="1">
      <alignment horizontal="right" vertical="center"/>
    </xf>
    <xf numFmtId="184" fontId="20" fillId="2" borderId="10" xfId="0" applyNumberFormat="1" applyFont="1" applyFill="1" applyBorder="1" applyAlignment="1">
      <alignment horizontal="right" vertical="center"/>
    </xf>
    <xf numFmtId="41" fontId="20" fillId="2" borderId="28" xfId="2" applyFont="1" applyFill="1" applyBorder="1" applyAlignment="1">
      <alignment horizontal="left" vertical="center"/>
    </xf>
    <xf numFmtId="184" fontId="20" fillId="2" borderId="13" xfId="0" applyNumberFormat="1" applyFont="1" applyFill="1" applyBorder="1" applyAlignment="1">
      <alignment horizontal="right" vertical="center"/>
    </xf>
    <xf numFmtId="177" fontId="20" fillId="2" borderId="56" xfId="2" applyNumberFormat="1" applyFont="1" applyFill="1" applyBorder="1" applyAlignment="1">
      <alignment horizontal="right" vertical="center"/>
    </xf>
    <xf numFmtId="41" fontId="20" fillId="2" borderId="21" xfId="2" applyFont="1" applyFill="1" applyBorder="1" applyAlignment="1">
      <alignment vertical="center" shrinkToFit="1"/>
    </xf>
    <xf numFmtId="177" fontId="20" fillId="2" borderId="56" xfId="2" applyNumberFormat="1" applyFont="1" applyFill="1" applyBorder="1" applyAlignment="1">
      <alignment vertical="center"/>
    </xf>
    <xf numFmtId="3" fontId="20" fillId="2" borderId="26" xfId="0" applyNumberFormat="1" applyFont="1" applyFill="1" applyBorder="1" applyAlignment="1">
      <alignment vertical="center"/>
    </xf>
    <xf numFmtId="41" fontId="20" fillId="2" borderId="26" xfId="2" applyFont="1" applyFill="1" applyBorder="1" applyAlignment="1">
      <alignment vertical="center"/>
    </xf>
    <xf numFmtId="177" fontId="20" fillId="2" borderId="35" xfId="2" applyNumberFormat="1" applyFont="1" applyFill="1" applyBorder="1" applyAlignment="1">
      <alignment horizontal="right" vertical="center"/>
    </xf>
    <xf numFmtId="41" fontId="20" fillId="2" borderId="10" xfId="2" applyFont="1" applyFill="1" applyBorder="1" applyAlignment="1">
      <alignment vertical="center"/>
    </xf>
    <xf numFmtId="0" fontId="22" fillId="0" borderId="0" xfId="6" applyFont="1" applyFill="1" applyAlignment="1">
      <alignment vertical="center"/>
    </xf>
    <xf numFmtId="3" fontId="20" fillId="2" borderId="29" xfId="6" applyNumberFormat="1" applyFont="1" applyFill="1" applyBorder="1" applyAlignment="1">
      <alignment horizontal="left" vertical="center"/>
    </xf>
    <xf numFmtId="3" fontId="20" fillId="2" borderId="30" xfId="2" applyNumberFormat="1" applyFont="1" applyFill="1" applyBorder="1" applyAlignment="1">
      <alignment horizontal="left" vertical="center"/>
    </xf>
    <xf numFmtId="3" fontId="20" fillId="2" borderId="8" xfId="6" applyNumberFormat="1" applyFont="1" applyFill="1" applyBorder="1" applyAlignment="1">
      <alignment horizontal="center" vertical="center"/>
    </xf>
    <xf numFmtId="3" fontId="20" fillId="2" borderId="0" xfId="6" applyNumberFormat="1" applyFont="1" applyFill="1" applyBorder="1" applyAlignment="1">
      <alignment horizontal="center" vertical="center"/>
    </xf>
    <xf numFmtId="3" fontId="20" fillId="2" borderId="12" xfId="6" applyNumberFormat="1" applyFont="1" applyFill="1" applyBorder="1" applyAlignment="1">
      <alignment horizontal="left" vertical="center"/>
    </xf>
    <xf numFmtId="3" fontId="20" fillId="2" borderId="30" xfId="2" applyNumberFormat="1" applyFont="1" applyFill="1" applyBorder="1" applyAlignment="1">
      <alignment vertical="center"/>
    </xf>
    <xf numFmtId="41" fontId="20" fillId="2" borderId="4" xfId="2" applyFont="1" applyFill="1" applyBorder="1" applyAlignment="1">
      <alignment vertical="center"/>
    </xf>
    <xf numFmtId="41" fontId="20" fillId="2" borderId="0" xfId="2" applyFont="1" applyFill="1" applyBorder="1" applyAlignment="1">
      <alignment horizontal="left" vertical="center"/>
    </xf>
    <xf numFmtId="3" fontId="20" fillId="2" borderId="31" xfId="6" applyNumberFormat="1" applyFont="1" applyFill="1" applyBorder="1" applyAlignment="1">
      <alignment vertical="center"/>
    </xf>
    <xf numFmtId="177" fontId="20" fillId="2" borderId="10" xfId="0" applyNumberFormat="1" applyFont="1" applyFill="1" applyBorder="1" applyAlignment="1">
      <alignment horizontal="right" vertical="center"/>
    </xf>
    <xf numFmtId="177" fontId="20" fillId="2" borderId="35" xfId="6" applyNumberFormat="1" applyFont="1" applyFill="1" applyBorder="1" applyAlignment="1">
      <alignment horizontal="right" vertical="center"/>
    </xf>
    <xf numFmtId="3" fontId="20" fillId="2" borderId="0" xfId="2" applyNumberFormat="1" applyFont="1" applyFill="1" applyBorder="1" applyAlignment="1">
      <alignment horizontal="left" vertical="center"/>
    </xf>
    <xf numFmtId="177" fontId="20" fillId="2" borderId="2" xfId="2" applyNumberFormat="1" applyFont="1" applyFill="1" applyBorder="1" applyAlignment="1">
      <alignment vertical="center"/>
    </xf>
    <xf numFmtId="41" fontId="20" fillId="2" borderId="2" xfId="2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horizontal="right" vertical="center"/>
    </xf>
    <xf numFmtId="3" fontId="20" fillId="2" borderId="2" xfId="6" applyNumberFormat="1" applyFont="1" applyFill="1" applyBorder="1" applyAlignment="1">
      <alignment horizontal="left" vertical="center"/>
    </xf>
    <xf numFmtId="3" fontId="20" fillId="2" borderId="10" xfId="0" applyNumberFormat="1" applyFont="1" applyFill="1" applyBorder="1" applyAlignment="1">
      <alignment horizontal="left" vertical="center"/>
    </xf>
    <xf numFmtId="0" fontId="21" fillId="2" borderId="8" xfId="6" applyFont="1" applyFill="1" applyBorder="1" applyAlignment="1">
      <alignment vertical="center"/>
    </xf>
    <xf numFmtId="0" fontId="21" fillId="2" borderId="10" xfId="6" applyFont="1" applyFill="1" applyBorder="1" applyAlignment="1">
      <alignment vertical="center"/>
    </xf>
    <xf numFmtId="3" fontId="20" fillId="2" borderId="26" xfId="6" applyNumberFormat="1" applyFont="1" applyFill="1" applyBorder="1" applyAlignment="1">
      <alignment vertical="center"/>
    </xf>
    <xf numFmtId="41" fontId="20" fillId="2" borderId="0" xfId="2" applyFont="1" applyFill="1" applyAlignment="1">
      <alignment vertical="center"/>
    </xf>
    <xf numFmtId="177" fontId="20" fillId="2" borderId="31" xfId="0" applyNumberFormat="1" applyFont="1" applyFill="1" applyBorder="1" applyAlignment="1">
      <alignment horizontal="right" vertical="center"/>
    </xf>
    <xf numFmtId="3" fontId="22" fillId="2" borderId="39" xfId="6" applyNumberFormat="1" applyFont="1" applyFill="1" applyBorder="1" applyAlignment="1">
      <alignment vertical="center"/>
    </xf>
    <xf numFmtId="3" fontId="22" fillId="2" borderId="54" xfId="6" applyNumberFormat="1" applyFont="1" applyFill="1" applyBorder="1" applyAlignment="1">
      <alignment vertical="center"/>
    </xf>
    <xf numFmtId="3" fontId="22" fillId="2" borderId="45" xfId="6" applyNumberFormat="1" applyFont="1" applyFill="1" applyBorder="1" applyAlignment="1">
      <alignment vertical="center"/>
    </xf>
    <xf numFmtId="3" fontId="22" fillId="2" borderId="49" xfId="6" applyNumberFormat="1" applyFont="1" applyFill="1" applyBorder="1" applyAlignment="1">
      <alignment vertical="center"/>
    </xf>
    <xf numFmtId="184" fontId="22" fillId="2" borderId="39" xfId="6" applyNumberFormat="1" applyFont="1" applyFill="1" applyBorder="1" applyAlignment="1">
      <alignment horizontal="right" vertical="center"/>
    </xf>
    <xf numFmtId="177" fontId="22" fillId="2" borderId="62" xfId="6" applyNumberFormat="1" applyFont="1" applyFill="1" applyBorder="1" applyAlignment="1">
      <alignment horizontal="right" vertical="center"/>
    </xf>
    <xf numFmtId="3" fontId="22" fillId="2" borderId="44" xfId="6" applyNumberFormat="1" applyFont="1" applyFill="1" applyBorder="1" applyAlignment="1">
      <alignment horizontal="left" vertical="center"/>
    </xf>
    <xf numFmtId="3" fontId="22" fillId="2" borderId="45" xfId="6" applyNumberFormat="1" applyFont="1" applyFill="1" applyBorder="1" applyAlignment="1">
      <alignment horizontal="left" vertical="center"/>
    </xf>
    <xf numFmtId="177" fontId="20" fillId="2" borderId="14" xfId="2" applyNumberFormat="1" applyFont="1" applyFill="1" applyBorder="1" applyAlignment="1">
      <alignment horizontal="right" vertical="center"/>
    </xf>
    <xf numFmtId="177" fontId="20" fillId="2" borderId="36" xfId="2" applyNumberFormat="1" applyFont="1" applyFill="1" applyBorder="1" applyAlignment="1">
      <alignment horizontal="right" vertical="center"/>
    </xf>
    <xf numFmtId="3" fontId="20" fillId="2" borderId="7" xfId="6" applyNumberFormat="1" applyFont="1" applyFill="1" applyBorder="1" applyAlignment="1">
      <alignment horizontal="center" vertical="center"/>
    </xf>
    <xf numFmtId="177" fontId="20" fillId="2" borderId="4" xfId="2" applyNumberFormat="1" applyFont="1" applyFill="1" applyBorder="1" applyAlignment="1">
      <alignment horizontal="left" vertical="center"/>
    </xf>
    <xf numFmtId="41" fontId="20" fillId="2" borderId="4" xfId="2" applyFont="1" applyFill="1" applyBorder="1" applyAlignment="1">
      <alignment horizontal="left" vertical="center"/>
    </xf>
    <xf numFmtId="177" fontId="20" fillId="2" borderId="13" xfId="2" applyNumberFormat="1" applyFont="1" applyFill="1" applyBorder="1" applyAlignment="1">
      <alignment horizontal="right" vertical="center"/>
    </xf>
    <xf numFmtId="3" fontId="20" fillId="2" borderId="30" xfId="6" applyNumberFormat="1" applyFont="1" applyFill="1" applyBorder="1" applyAlignment="1">
      <alignment horizontal="center" vertical="center"/>
    </xf>
    <xf numFmtId="177" fontId="20" fillId="2" borderId="15" xfId="2" applyNumberFormat="1" applyFont="1" applyFill="1" applyBorder="1" applyAlignment="1">
      <alignment vertical="center"/>
    </xf>
    <xf numFmtId="41" fontId="20" fillId="2" borderId="15" xfId="2" applyFont="1" applyFill="1" applyBorder="1" applyAlignment="1">
      <alignment horizontal="right" vertical="center"/>
    </xf>
    <xf numFmtId="0" fontId="20" fillId="2" borderId="31" xfId="0" applyFont="1" applyFill="1" applyBorder="1" applyAlignment="1">
      <alignment horizontal="left" vertical="center" shrinkToFit="1"/>
    </xf>
    <xf numFmtId="0" fontId="20" fillId="2" borderId="9" xfId="0" applyFont="1" applyFill="1" applyBorder="1" applyAlignment="1">
      <alignment horizontal="left" vertical="center" shrinkToFit="1"/>
    </xf>
    <xf numFmtId="177" fontId="20" fillId="2" borderId="10" xfId="2" applyNumberFormat="1" applyFont="1" applyFill="1" applyBorder="1" applyAlignment="1">
      <alignment horizontal="right" vertical="center"/>
    </xf>
    <xf numFmtId="3" fontId="20" fillId="2" borderId="8" xfId="6" applyNumberFormat="1" applyFont="1" applyFill="1" applyBorder="1" applyAlignment="1">
      <alignment horizontal="left" vertical="center"/>
    </xf>
    <xf numFmtId="3" fontId="20" fillId="2" borderId="10" xfId="6" applyNumberFormat="1" applyFont="1" applyFill="1" applyBorder="1" applyAlignment="1">
      <alignment horizontal="left" vertical="center"/>
    </xf>
    <xf numFmtId="177" fontId="20" fillId="2" borderId="10" xfId="2" applyNumberFormat="1" applyFont="1" applyFill="1" applyBorder="1" applyAlignment="1">
      <alignment vertical="center"/>
    </xf>
    <xf numFmtId="177" fontId="20" fillId="2" borderId="15" xfId="2" applyNumberFormat="1" applyFont="1" applyFill="1" applyBorder="1" applyAlignment="1">
      <alignment horizontal="right" vertical="center"/>
    </xf>
    <xf numFmtId="41" fontId="20" fillId="2" borderId="15" xfId="2" applyFont="1" applyFill="1" applyBorder="1" applyAlignment="1">
      <alignment horizontal="left" vertical="center"/>
    </xf>
    <xf numFmtId="0" fontId="17" fillId="2" borderId="8" xfId="6" applyFont="1" applyFill="1" applyBorder="1">
      <alignment vertical="center"/>
    </xf>
    <xf numFmtId="177" fontId="20" fillId="2" borderId="15" xfId="2" applyNumberFormat="1" applyFont="1" applyFill="1" applyBorder="1" applyAlignment="1">
      <alignment horizontal="left" vertical="center"/>
    </xf>
    <xf numFmtId="3" fontId="20" fillId="2" borderId="15" xfId="2" applyNumberFormat="1" applyFont="1" applyFill="1" applyBorder="1" applyAlignment="1">
      <alignment horizontal="right" vertical="center"/>
    </xf>
    <xf numFmtId="3" fontId="20" fillId="2" borderId="9" xfId="0" applyNumberFormat="1" applyFont="1" applyFill="1" applyBorder="1" applyAlignment="1">
      <alignment vertical="center"/>
    </xf>
    <xf numFmtId="177" fontId="20" fillId="2" borderId="9" xfId="6" applyNumberFormat="1" applyFont="1" applyFill="1" applyBorder="1" applyAlignment="1">
      <alignment vertical="center"/>
    </xf>
    <xf numFmtId="3" fontId="20" fillId="2" borderId="24" xfId="0" applyNumberFormat="1" applyFont="1" applyFill="1" applyBorder="1" applyAlignment="1">
      <alignment vertical="center"/>
    </xf>
    <xf numFmtId="3" fontId="20" fillId="2" borderId="6" xfId="6" applyNumberFormat="1" applyFont="1" applyFill="1" applyBorder="1" applyAlignment="1">
      <alignment horizontal="left" vertical="center"/>
    </xf>
    <xf numFmtId="3" fontId="20" fillId="2" borderId="6" xfId="0" applyNumberFormat="1" applyFont="1" applyFill="1" applyBorder="1" applyAlignment="1">
      <alignment horizontal="right" vertical="center"/>
    </xf>
    <xf numFmtId="3" fontId="20" fillId="2" borderId="6" xfId="0" applyNumberFormat="1" applyFont="1" applyFill="1" applyBorder="1" applyAlignment="1">
      <alignment horizontal="left" vertical="center"/>
    </xf>
    <xf numFmtId="3" fontId="20" fillId="2" borderId="6" xfId="2" applyNumberFormat="1" applyFont="1" applyFill="1" applyBorder="1" applyAlignment="1">
      <alignment vertical="center"/>
    </xf>
    <xf numFmtId="3" fontId="20" fillId="2" borderId="6" xfId="0" applyNumberFormat="1" applyFont="1" applyFill="1" applyBorder="1" applyAlignment="1">
      <alignment vertical="center"/>
    </xf>
    <xf numFmtId="3" fontId="20" fillId="2" borderId="6" xfId="0" applyNumberFormat="1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vertical="center" wrapText="1"/>
    </xf>
    <xf numFmtId="3" fontId="20" fillId="2" borderId="21" xfId="0" applyNumberFormat="1" applyFont="1" applyFill="1" applyBorder="1" applyAlignment="1">
      <alignment vertical="center"/>
    </xf>
    <xf numFmtId="177" fontId="20" fillId="2" borderId="14" xfId="6" applyNumberFormat="1" applyFont="1" applyFill="1" applyBorder="1" applyAlignment="1">
      <alignment vertical="center"/>
    </xf>
    <xf numFmtId="3" fontId="20" fillId="2" borderId="7" xfId="0" applyNumberFormat="1" applyFont="1" applyFill="1" applyBorder="1" applyAlignment="1">
      <alignment horizontal="right" vertical="center"/>
    </xf>
    <xf numFmtId="3" fontId="20" fillId="2" borderId="7" xfId="0" applyNumberFormat="1" applyFont="1" applyFill="1" applyBorder="1" applyAlignment="1">
      <alignment horizontal="left" vertical="center"/>
    </xf>
    <xf numFmtId="3" fontId="20" fillId="2" borderId="7" xfId="2" applyNumberFormat="1" applyFont="1" applyFill="1" applyBorder="1" applyAlignment="1">
      <alignment vertical="center"/>
    </xf>
    <xf numFmtId="3" fontId="20" fillId="2" borderId="7" xfId="0" applyNumberFormat="1" applyFont="1" applyFill="1" applyBorder="1" applyAlignment="1">
      <alignment vertical="center"/>
    </xf>
    <xf numFmtId="3" fontId="20" fillId="2" borderId="7" xfId="0" applyNumberFormat="1" applyFont="1" applyFill="1" applyBorder="1" applyAlignment="1">
      <alignment horizontal="center" vertical="center"/>
    </xf>
    <xf numFmtId="177" fontId="20" fillId="2" borderId="56" xfId="6" applyNumberFormat="1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vertical="center"/>
    </xf>
    <xf numFmtId="41" fontId="20" fillId="2" borderId="15" xfId="2" applyFont="1" applyFill="1" applyBorder="1" applyAlignment="1">
      <alignment vertical="center"/>
    </xf>
    <xf numFmtId="0" fontId="21" fillId="2" borderId="16" xfId="6" applyFont="1" applyFill="1" applyBorder="1" applyAlignment="1">
      <alignment vertical="center"/>
    </xf>
    <xf numFmtId="3" fontId="20" fillId="2" borderId="10" xfId="6" applyNumberFormat="1" applyFont="1" applyFill="1" applyBorder="1" applyAlignment="1">
      <alignment vertical="center"/>
    </xf>
    <xf numFmtId="0" fontId="20" fillId="2" borderId="0" xfId="0" applyFont="1" applyFill="1" applyBorder="1" applyAlignment="1">
      <alignment vertical="center" wrapText="1"/>
    </xf>
    <xf numFmtId="177" fontId="20" fillId="2" borderId="2" xfId="6" applyNumberFormat="1" applyFont="1" applyFill="1" applyBorder="1" applyAlignment="1">
      <alignment horizontal="right" vertical="center"/>
    </xf>
    <xf numFmtId="177" fontId="20" fillId="2" borderId="56" xfId="6" applyNumberFormat="1" applyFont="1" applyFill="1" applyBorder="1" applyAlignment="1">
      <alignment horizontal="right" vertical="center"/>
    </xf>
    <xf numFmtId="0" fontId="20" fillId="2" borderId="10" xfId="0" applyFont="1" applyFill="1" applyBorder="1" applyAlignment="1">
      <alignment horizontal="left" vertical="center"/>
    </xf>
    <xf numFmtId="0" fontId="20" fillId="2" borderId="26" xfId="0" applyFont="1" applyFill="1" applyBorder="1" applyAlignment="1">
      <alignment vertical="center"/>
    </xf>
    <xf numFmtId="0" fontId="20" fillId="2" borderId="31" xfId="0" applyFont="1" applyFill="1" applyBorder="1" applyAlignment="1">
      <alignment horizontal="left" vertical="center"/>
    </xf>
    <xf numFmtId="184" fontId="20" fillId="2" borderId="10" xfId="6" applyNumberFormat="1" applyFont="1" applyFill="1" applyBorder="1" applyAlignment="1">
      <alignment horizontal="right" vertical="center"/>
    </xf>
    <xf numFmtId="0" fontId="20" fillId="2" borderId="12" xfId="0" applyFont="1" applyFill="1" applyBorder="1" applyAlignment="1">
      <alignment vertical="center"/>
    </xf>
    <xf numFmtId="0" fontId="0" fillId="2" borderId="0" xfId="0" applyFont="1" applyFill="1" applyBorder="1"/>
    <xf numFmtId="0" fontId="20" fillId="2" borderId="8" xfId="0" applyFont="1" applyFill="1" applyBorder="1" applyAlignment="1">
      <alignment horizontal="left" vertical="center"/>
    </xf>
    <xf numFmtId="0" fontId="20" fillId="2" borderId="25" xfId="0" applyFont="1" applyFill="1" applyBorder="1" applyAlignment="1">
      <alignment horizontal="left" vertical="center"/>
    </xf>
    <xf numFmtId="3" fontId="20" fillId="2" borderId="25" xfId="6" applyNumberFormat="1" applyFont="1" applyFill="1" applyBorder="1" applyAlignment="1">
      <alignment vertical="center"/>
    </xf>
    <xf numFmtId="3" fontId="20" fillId="2" borderId="20" xfId="6" applyNumberFormat="1" applyFont="1" applyFill="1" applyBorder="1" applyAlignment="1">
      <alignment vertical="center"/>
    </xf>
    <xf numFmtId="3" fontId="20" fillId="2" borderId="1" xfId="6" applyNumberFormat="1" applyFont="1" applyFill="1" applyBorder="1" applyAlignment="1">
      <alignment vertical="center"/>
    </xf>
    <xf numFmtId="3" fontId="20" fillId="2" borderId="1" xfId="2" applyNumberFormat="1" applyFont="1" applyFill="1" applyBorder="1" applyAlignment="1">
      <alignment vertical="center"/>
    </xf>
    <xf numFmtId="3" fontId="20" fillId="2" borderId="1" xfId="6" applyNumberFormat="1" applyFont="1" applyFill="1" applyBorder="1" applyAlignment="1">
      <alignment horizontal="right" vertical="center"/>
    </xf>
    <xf numFmtId="177" fontId="20" fillId="2" borderId="35" xfId="2" applyNumberFormat="1" applyFont="1" applyFill="1" applyBorder="1" applyAlignment="1">
      <alignment vertical="center"/>
    </xf>
    <xf numFmtId="178" fontId="20" fillId="2" borderId="13" xfId="0" applyNumberFormat="1" applyFont="1" applyFill="1" applyBorder="1" applyAlignment="1">
      <alignment horizontal="right" vertical="center"/>
    </xf>
    <xf numFmtId="178" fontId="20" fillId="2" borderId="30" xfId="0" applyNumberFormat="1" applyFont="1" applyFill="1" applyBorder="1" applyAlignment="1">
      <alignment vertical="center"/>
    </xf>
    <xf numFmtId="178" fontId="20" fillId="2" borderId="30" xfId="0" applyNumberFormat="1" applyFont="1" applyFill="1" applyBorder="1" applyAlignment="1">
      <alignment horizontal="right" vertical="center"/>
    </xf>
    <xf numFmtId="0" fontId="20" fillId="2" borderId="30" xfId="6" applyNumberFormat="1" applyFont="1" applyFill="1" applyBorder="1" applyAlignment="1">
      <alignment horizontal="left" vertical="center"/>
    </xf>
    <xf numFmtId="178" fontId="20" fillId="2" borderId="30" xfId="6" applyNumberFormat="1" applyFont="1" applyFill="1" applyBorder="1" applyAlignment="1">
      <alignment horizontal="right" vertical="center"/>
    </xf>
    <xf numFmtId="178" fontId="20" fillId="2" borderId="13" xfId="6" applyNumberFormat="1" applyFont="1" applyFill="1" applyBorder="1" applyAlignment="1">
      <alignment horizontal="right" vertical="center"/>
    </xf>
    <xf numFmtId="0" fontId="0" fillId="2" borderId="31" xfId="0" applyFont="1" applyFill="1" applyBorder="1" applyAlignment="1">
      <alignment vertical="center"/>
    </xf>
    <xf numFmtId="178" fontId="20" fillId="2" borderId="10" xfId="0" applyNumberFormat="1" applyFont="1" applyFill="1" applyBorder="1" applyAlignment="1">
      <alignment horizontal="right" vertical="center"/>
    </xf>
    <xf numFmtId="177" fontId="20" fillId="2" borderId="31" xfId="0" applyNumberFormat="1" applyFont="1" applyFill="1" applyBorder="1" applyAlignment="1">
      <alignment vertical="center"/>
    </xf>
    <xf numFmtId="178" fontId="20" fillId="2" borderId="0" xfId="6" applyNumberFormat="1" applyFont="1" applyFill="1" applyBorder="1" applyAlignment="1">
      <alignment horizontal="right" vertical="center"/>
    </xf>
    <xf numFmtId="0" fontId="20" fillId="2" borderId="0" xfId="6" applyNumberFormat="1" applyFont="1" applyFill="1" applyBorder="1" applyAlignment="1">
      <alignment horizontal="left" vertical="center"/>
    </xf>
    <xf numFmtId="178" fontId="20" fillId="2" borderId="2" xfId="0" applyNumberFormat="1" applyFont="1" applyFill="1" applyBorder="1" applyAlignment="1">
      <alignment vertical="center"/>
    </xf>
    <xf numFmtId="0" fontId="20" fillId="2" borderId="10" xfId="0" applyFont="1" applyFill="1" applyBorder="1" applyAlignment="1">
      <alignment horizontal="left" vertical="center" wrapText="1"/>
    </xf>
    <xf numFmtId="0" fontId="20" fillId="2" borderId="26" xfId="5" applyFont="1" applyFill="1" applyBorder="1" applyAlignment="1" applyProtection="1">
      <alignment horizontal="left" vertical="center"/>
    </xf>
    <xf numFmtId="178" fontId="20" fillId="2" borderId="31" xfId="0" applyNumberFormat="1" applyFont="1" applyFill="1" applyBorder="1" applyAlignment="1">
      <alignment horizontal="right" vertical="center"/>
    </xf>
    <xf numFmtId="0" fontId="20" fillId="2" borderId="0" xfId="5" applyFont="1" applyFill="1" applyBorder="1" applyAlignment="1" applyProtection="1">
      <alignment horizontal="left" vertical="center"/>
    </xf>
    <xf numFmtId="178" fontId="20" fillId="2" borderId="13" xfId="6" applyNumberFormat="1" applyFont="1" applyFill="1" applyBorder="1" applyAlignment="1">
      <alignment vertical="center"/>
    </xf>
    <xf numFmtId="177" fontId="20" fillId="2" borderId="13" xfId="6" applyNumberFormat="1" applyFont="1" applyFill="1" applyBorder="1" applyAlignment="1">
      <alignment vertical="center"/>
    </xf>
    <xf numFmtId="0" fontId="20" fillId="2" borderId="29" xfId="0" applyFont="1" applyFill="1" applyBorder="1" applyAlignment="1">
      <alignment vertical="center"/>
    </xf>
    <xf numFmtId="0" fontId="20" fillId="2" borderId="30" xfId="0" quotePrefix="1" applyFont="1" applyFill="1" applyBorder="1" applyAlignment="1">
      <alignment horizontal="center" vertical="center"/>
    </xf>
    <xf numFmtId="178" fontId="20" fillId="2" borderId="15" xfId="0" applyNumberFormat="1" applyFont="1" applyFill="1" applyBorder="1" applyAlignment="1">
      <alignment vertical="center"/>
    </xf>
    <xf numFmtId="0" fontId="0" fillId="2" borderId="0" xfId="0" applyFont="1" applyFill="1"/>
    <xf numFmtId="41" fontId="20" fillId="2" borderId="0" xfId="2" applyFont="1" applyFill="1" applyAlignment="1">
      <alignment horizontal="center" vertical="center"/>
    </xf>
    <xf numFmtId="3" fontId="20" fillId="2" borderId="0" xfId="6" applyNumberFormat="1" applyFont="1" applyFill="1" applyBorder="1" applyAlignment="1">
      <alignment horizontal="justify" vertical="center"/>
    </xf>
    <xf numFmtId="0" fontId="50" fillId="2" borderId="16" xfId="0" applyFont="1" applyFill="1" applyBorder="1" applyAlignment="1">
      <alignment horizontal="left" vertical="center"/>
    </xf>
    <xf numFmtId="0" fontId="50" fillId="2" borderId="10" xfId="0" applyFont="1" applyFill="1" applyBorder="1" applyAlignment="1">
      <alignment vertical="center"/>
    </xf>
    <xf numFmtId="0" fontId="50" fillId="2" borderId="10" xfId="0" applyFont="1" applyFill="1" applyBorder="1" applyAlignment="1">
      <alignment vertical="center" wrapText="1"/>
    </xf>
    <xf numFmtId="3" fontId="50" fillId="2" borderId="10" xfId="0" applyNumberFormat="1" applyFont="1" applyFill="1" applyBorder="1" applyAlignment="1">
      <alignment vertical="center"/>
    </xf>
    <xf numFmtId="178" fontId="50" fillId="2" borderId="10" xfId="0" applyNumberFormat="1" applyFont="1" applyFill="1" applyBorder="1" applyAlignment="1">
      <alignment vertical="center"/>
    </xf>
    <xf numFmtId="177" fontId="50" fillId="2" borderId="10" xfId="6" applyNumberFormat="1" applyFont="1" applyFill="1" applyBorder="1" applyAlignment="1">
      <alignment vertical="center"/>
    </xf>
    <xf numFmtId="177" fontId="50" fillId="2" borderId="35" xfId="6" applyNumberFormat="1" applyFont="1" applyFill="1" applyBorder="1" applyAlignment="1">
      <alignment vertical="center"/>
    </xf>
    <xf numFmtId="3" fontId="50" fillId="2" borderId="16" xfId="0" applyNumberFormat="1" applyFont="1" applyFill="1" applyBorder="1" applyAlignment="1">
      <alignment vertical="center"/>
    </xf>
    <xf numFmtId="0" fontId="51" fillId="2" borderId="0" xfId="0" applyFont="1" applyFill="1" applyBorder="1" applyAlignment="1">
      <alignment vertical="center"/>
    </xf>
    <xf numFmtId="3" fontId="50" fillId="2" borderId="0" xfId="0" applyNumberFormat="1" applyFont="1" applyFill="1" applyBorder="1" applyAlignment="1">
      <alignment vertical="center"/>
    </xf>
    <xf numFmtId="3" fontId="50" fillId="2" borderId="0" xfId="0" applyNumberFormat="1" applyFont="1" applyFill="1" applyBorder="1" applyAlignment="1">
      <alignment horizontal="center" vertical="center"/>
    </xf>
    <xf numFmtId="178" fontId="50" fillId="2" borderId="2" xfId="0" applyNumberFormat="1" applyFont="1" applyFill="1" applyBorder="1" applyAlignment="1">
      <alignment vertical="center"/>
    </xf>
    <xf numFmtId="0" fontId="51" fillId="2" borderId="0" xfId="0" applyFont="1" applyFill="1"/>
    <xf numFmtId="178" fontId="20" fillId="2" borderId="30" xfId="0" applyNumberFormat="1" applyFont="1" applyFill="1" applyBorder="1" applyAlignment="1">
      <alignment horizontal="right" vertical="center" wrapText="1"/>
    </xf>
    <xf numFmtId="178" fontId="20" fillId="2" borderId="30" xfId="0" applyNumberFormat="1" applyFont="1" applyFill="1" applyBorder="1" applyAlignment="1">
      <alignment vertical="center" wrapText="1"/>
    </xf>
    <xf numFmtId="0" fontId="51" fillId="2" borderId="0" xfId="0" applyFont="1" applyFill="1" applyBorder="1" applyAlignment="1"/>
    <xf numFmtId="177" fontId="20" fillId="2" borderId="35" xfId="0" applyNumberFormat="1" applyFont="1" applyFill="1" applyBorder="1" applyAlignment="1">
      <alignment vertical="center" shrinkToFit="1"/>
    </xf>
    <xf numFmtId="178" fontId="20" fillId="2" borderId="0" xfId="0" applyNumberFormat="1" applyFont="1" applyFill="1" applyBorder="1" applyAlignment="1">
      <alignment horizontal="right" vertical="center" wrapText="1"/>
    </xf>
    <xf numFmtId="0" fontId="20" fillId="2" borderId="0" xfId="0" applyFont="1" applyFill="1" applyBorder="1" applyAlignment="1">
      <alignment horizontal="center" vertical="center"/>
    </xf>
    <xf numFmtId="41" fontId="20" fillId="2" borderId="10" xfId="0" applyNumberFormat="1" applyFont="1" applyFill="1" applyBorder="1" applyAlignment="1">
      <alignment vertical="center"/>
    </xf>
    <xf numFmtId="178" fontId="20" fillId="2" borderId="14" xfId="0" applyNumberFormat="1" applyFont="1" applyFill="1" applyBorder="1" applyAlignment="1">
      <alignment vertical="center"/>
    </xf>
    <xf numFmtId="178" fontId="20" fillId="2" borderId="7" xfId="0" applyNumberFormat="1" applyFont="1" applyFill="1" applyBorder="1" applyAlignment="1">
      <alignment horizontal="right" vertical="center"/>
    </xf>
    <xf numFmtId="0" fontId="20" fillId="2" borderId="7" xfId="0" applyFont="1" applyFill="1" applyBorder="1" applyAlignment="1">
      <alignment vertical="center" wrapText="1"/>
    </xf>
    <xf numFmtId="178" fontId="50" fillId="2" borderId="0" xfId="0" applyNumberFormat="1" applyFont="1" applyFill="1" applyBorder="1" applyAlignment="1">
      <alignment vertical="center" wrapText="1"/>
    </xf>
    <xf numFmtId="0" fontId="50" fillId="2" borderId="0" xfId="0" applyFont="1" applyFill="1" applyBorder="1" applyAlignment="1">
      <alignment horizontal="center" vertical="center"/>
    </xf>
    <xf numFmtId="41" fontId="50" fillId="2" borderId="2" xfId="2" applyFont="1" applyFill="1" applyBorder="1" applyAlignment="1">
      <alignment vertical="center"/>
    </xf>
    <xf numFmtId="0" fontId="50" fillId="2" borderId="12" xfId="0" applyFont="1" applyFill="1" applyBorder="1" applyAlignment="1">
      <alignment vertical="center"/>
    </xf>
    <xf numFmtId="178" fontId="50" fillId="2" borderId="0" xfId="0" applyNumberFormat="1" applyFont="1" applyFill="1" applyBorder="1" applyAlignment="1">
      <alignment horizontal="right" vertical="center"/>
    </xf>
    <xf numFmtId="178" fontId="50" fillId="2" borderId="0" xfId="0" applyNumberFormat="1" applyFont="1" applyFill="1" applyBorder="1" applyAlignment="1">
      <alignment vertical="center"/>
    </xf>
    <xf numFmtId="41" fontId="27" fillId="2" borderId="16" xfId="2" applyFont="1" applyFill="1" applyBorder="1" applyAlignment="1">
      <alignment vertical="center"/>
    </xf>
    <xf numFmtId="41" fontId="27" fillId="2" borderId="10" xfId="2" applyFont="1" applyFill="1" applyBorder="1" applyAlignment="1">
      <alignment vertical="center"/>
    </xf>
    <xf numFmtId="178" fontId="20" fillId="2" borderId="13" xfId="2" applyNumberFormat="1" applyFont="1" applyFill="1" applyBorder="1" applyAlignment="1">
      <alignment horizontal="right" vertical="center" shrinkToFit="1"/>
    </xf>
    <xf numFmtId="41" fontId="20" fillId="2" borderId="30" xfId="2" applyFont="1" applyFill="1" applyBorder="1" applyAlignment="1">
      <alignment vertical="center" wrapText="1"/>
    </xf>
    <xf numFmtId="41" fontId="20" fillId="2" borderId="30" xfId="2" applyFont="1" applyFill="1" applyBorder="1" applyAlignment="1">
      <alignment horizontal="left" vertical="center"/>
    </xf>
    <xf numFmtId="41" fontId="20" fillId="2" borderId="30" xfId="2" applyFont="1" applyFill="1" applyBorder="1" applyAlignment="1">
      <alignment vertical="center"/>
    </xf>
    <xf numFmtId="0" fontId="20" fillId="2" borderId="10" xfId="0" applyFont="1" applyFill="1" applyBorder="1" applyAlignment="1">
      <alignment horizontal="left" vertical="center" shrinkToFit="1"/>
    </xf>
    <xf numFmtId="0" fontId="20" fillId="2" borderId="26" xfId="0" applyFont="1" applyFill="1" applyBorder="1" applyAlignment="1">
      <alignment horizontal="left" vertical="center" shrinkToFit="1"/>
    </xf>
    <xf numFmtId="178" fontId="20" fillId="2" borderId="10" xfId="2" applyNumberFormat="1" applyFont="1" applyFill="1" applyBorder="1" applyAlignment="1">
      <alignment horizontal="right" vertical="center" shrinkToFit="1"/>
    </xf>
    <xf numFmtId="177" fontId="20" fillId="2" borderId="3" xfId="2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 wrapText="1"/>
    </xf>
    <xf numFmtId="178" fontId="20" fillId="2" borderId="0" xfId="0" applyNumberFormat="1" applyFont="1" applyFill="1" applyBorder="1" applyAlignment="1">
      <alignment horizontal="left" vertical="center"/>
    </xf>
    <xf numFmtId="178" fontId="20" fillId="2" borderId="2" xfId="2" applyNumberFormat="1" applyFont="1" applyFill="1" applyBorder="1" applyAlignment="1">
      <alignment horizontal="right" vertical="center" shrinkToFit="1"/>
    </xf>
    <xf numFmtId="177" fontId="20" fillId="2" borderId="4" xfId="2" applyNumberFormat="1" applyFont="1" applyFill="1" applyBorder="1" applyAlignment="1">
      <alignment vertical="center"/>
    </xf>
    <xf numFmtId="178" fontId="20" fillId="2" borderId="7" xfId="0" applyNumberFormat="1" applyFont="1" applyFill="1" applyBorder="1" applyAlignment="1">
      <alignment horizontal="left" vertical="center"/>
    </xf>
    <xf numFmtId="41" fontId="20" fillId="2" borderId="7" xfId="2" applyFont="1" applyFill="1" applyBorder="1" applyAlignment="1">
      <alignment vertical="center"/>
    </xf>
    <xf numFmtId="178" fontId="20" fillId="2" borderId="4" xfId="2" applyNumberFormat="1" applyFont="1" applyFill="1" applyBorder="1" applyAlignment="1">
      <alignment horizontal="right" vertical="center" shrinkToFit="1"/>
    </xf>
    <xf numFmtId="0" fontId="27" fillId="2" borderId="8" xfId="0" applyFont="1" applyFill="1" applyBorder="1" applyAlignment="1">
      <alignment vertical="center"/>
    </xf>
    <xf numFmtId="0" fontId="27" fillId="2" borderId="26" xfId="0" applyFont="1" applyFill="1" applyBorder="1" applyAlignment="1">
      <alignment vertical="center"/>
    </xf>
    <xf numFmtId="178" fontId="20" fillId="2" borderId="13" xfId="2" applyNumberFormat="1" applyFont="1" applyFill="1" applyBorder="1" applyAlignment="1">
      <alignment horizontal="right" vertical="center"/>
    </xf>
    <xf numFmtId="3" fontId="20" fillId="2" borderId="7" xfId="0" applyNumberFormat="1" applyFont="1" applyFill="1" applyBorder="1" applyAlignment="1">
      <alignment vertical="center" wrapText="1"/>
    </xf>
    <xf numFmtId="178" fontId="20" fillId="2" borderId="4" xfId="0" applyNumberFormat="1" applyFont="1" applyFill="1" applyBorder="1" applyAlignment="1">
      <alignment horizontal="right" vertical="center"/>
    </xf>
    <xf numFmtId="178" fontId="20" fillId="2" borderId="4" xfId="2" applyNumberFormat="1" applyFont="1" applyFill="1" applyBorder="1" applyAlignment="1">
      <alignment vertical="center"/>
    </xf>
    <xf numFmtId="177" fontId="20" fillId="2" borderId="36" xfId="6" applyNumberFormat="1" applyFont="1" applyFill="1" applyBorder="1" applyAlignment="1">
      <alignment vertical="center"/>
    </xf>
    <xf numFmtId="0" fontId="20" fillId="2" borderId="20" xfId="0" applyFont="1" applyFill="1" applyBorder="1" applyAlignment="1">
      <alignment horizontal="left" vertical="center"/>
    </xf>
    <xf numFmtId="0" fontId="20" fillId="2" borderId="41" xfId="0" applyFont="1" applyFill="1" applyBorder="1" applyAlignment="1">
      <alignment vertical="center"/>
    </xf>
    <xf numFmtId="178" fontId="20" fillId="2" borderId="25" xfId="0" applyNumberFormat="1" applyFont="1" applyFill="1" applyBorder="1" applyAlignment="1">
      <alignment vertical="center"/>
    </xf>
    <xf numFmtId="177" fontId="20" fillId="2" borderId="40" xfId="6" applyNumberFormat="1" applyFont="1" applyFill="1" applyBorder="1" applyAlignment="1">
      <alignment vertical="center"/>
    </xf>
    <xf numFmtId="3" fontId="20" fillId="2" borderId="1" xfId="0" applyNumberFormat="1" applyFont="1" applyFill="1" applyBorder="1" applyAlignment="1">
      <alignment horizontal="left" vertical="center"/>
    </xf>
    <xf numFmtId="178" fontId="20" fillId="2" borderId="5" xfId="0" applyNumberFormat="1" applyFont="1" applyFill="1" applyBorder="1" applyAlignment="1">
      <alignment vertical="center"/>
    </xf>
    <xf numFmtId="0" fontId="37" fillId="0" borderId="0" xfId="0" applyNumberFormat="1" applyFont="1" applyFill="1" applyAlignment="1">
      <alignment horizontal="center" vertical="center"/>
    </xf>
    <xf numFmtId="41" fontId="21" fillId="0" borderId="0" xfId="2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vertical="center"/>
    </xf>
    <xf numFmtId="177" fontId="20" fillId="2" borderId="2" xfId="0" applyNumberFormat="1" applyFont="1" applyFill="1" applyBorder="1" applyAlignment="1">
      <alignment vertical="center" shrinkToFit="1"/>
    </xf>
    <xf numFmtId="43" fontId="51" fillId="0" borderId="0" xfId="0" applyNumberFormat="1" applyFont="1" applyFill="1"/>
    <xf numFmtId="184" fontId="21" fillId="0" borderId="0" xfId="0" applyNumberFormat="1" applyFont="1" applyFill="1" applyAlignment="1">
      <alignment vertical="center"/>
    </xf>
    <xf numFmtId="0" fontId="60" fillId="0" borderId="0" xfId="0" applyNumberFormat="1" applyFont="1" applyFill="1" applyAlignment="1">
      <alignment horizontal="center" vertical="center"/>
    </xf>
    <xf numFmtId="0" fontId="23" fillId="0" borderId="13" xfId="0" applyNumberFormat="1" applyFont="1" applyFill="1" applyBorder="1" applyAlignment="1">
      <alignment horizontal="center" vertical="center"/>
    </xf>
    <xf numFmtId="41" fontId="23" fillId="0" borderId="13" xfId="2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vertical="center"/>
    </xf>
    <xf numFmtId="41" fontId="23" fillId="0" borderId="0" xfId="2" applyFont="1" applyFill="1" applyBorder="1" applyAlignment="1">
      <alignment vertical="center"/>
    </xf>
    <xf numFmtId="41" fontId="23" fillId="0" borderId="13" xfId="2" applyFont="1" applyFill="1" applyBorder="1" applyAlignment="1">
      <alignment vertical="center"/>
    </xf>
    <xf numFmtId="41" fontId="21" fillId="0" borderId="0" xfId="0" applyNumberFormat="1" applyFont="1" applyFill="1" applyBorder="1" applyAlignment="1">
      <alignment horizontal="center" vertical="center"/>
    </xf>
    <xf numFmtId="184" fontId="23" fillId="0" borderId="12" xfId="2" applyNumberFormat="1" applyFont="1" applyFill="1" applyBorder="1" applyAlignment="1">
      <alignment horizontal="right" vertical="center"/>
    </xf>
    <xf numFmtId="184" fontId="23" fillId="0" borderId="62" xfId="2" applyNumberFormat="1" applyFont="1" applyFill="1" applyBorder="1" applyAlignment="1">
      <alignment horizontal="right" vertical="center"/>
    </xf>
    <xf numFmtId="177" fontId="20" fillId="0" borderId="46" xfId="6" applyNumberFormat="1" applyFont="1" applyFill="1" applyBorder="1" applyAlignment="1">
      <alignment horizontal="center" vertical="center"/>
    </xf>
    <xf numFmtId="41" fontId="22" fillId="0" borderId="0" xfId="2" applyFont="1" applyFill="1" applyBorder="1" applyAlignment="1">
      <alignment horizontal="left" vertical="center"/>
    </xf>
    <xf numFmtId="3" fontId="22" fillId="0" borderId="0" xfId="6" applyNumberFormat="1" applyFont="1" applyFill="1" applyAlignment="1">
      <alignment horizontal="left" vertical="center"/>
    </xf>
    <xf numFmtId="177" fontId="20" fillId="0" borderId="4" xfId="2" applyNumberFormat="1" applyFont="1" applyFill="1" applyBorder="1" applyAlignment="1">
      <alignment horizontal="left" vertical="center"/>
    </xf>
    <xf numFmtId="3" fontId="49" fillId="0" borderId="0" xfId="6" applyNumberFormat="1" applyFont="1" applyFill="1" applyBorder="1" applyAlignment="1">
      <alignment horizontal="center" vertical="center"/>
    </xf>
    <xf numFmtId="3" fontId="49" fillId="0" borderId="0" xfId="6" applyNumberFormat="1" applyFont="1" applyFill="1" applyBorder="1" applyAlignment="1">
      <alignment horizontal="left" vertical="center"/>
    </xf>
    <xf numFmtId="41" fontId="49" fillId="0" borderId="0" xfId="2" applyFont="1" applyFill="1" applyBorder="1" applyAlignment="1">
      <alignment horizontal="left" vertical="center"/>
    </xf>
    <xf numFmtId="41" fontId="20" fillId="0" borderId="3" xfId="2" applyFont="1" applyFill="1" applyBorder="1" applyAlignment="1">
      <alignment horizontal="left" vertical="center"/>
    </xf>
    <xf numFmtId="41" fontId="22" fillId="0" borderId="15" xfId="2" applyFont="1" applyFill="1" applyBorder="1" applyAlignment="1">
      <alignment horizontal="right" vertical="center"/>
    </xf>
    <xf numFmtId="3" fontId="22" fillId="0" borderId="0" xfId="6" applyNumberFormat="1" applyFont="1" applyFill="1" applyBorder="1" applyAlignment="1">
      <alignment horizontal="left" vertical="center"/>
    </xf>
    <xf numFmtId="0" fontId="17" fillId="0" borderId="0" xfId="0" applyFont="1" applyFill="1"/>
    <xf numFmtId="177" fontId="21" fillId="0" borderId="0" xfId="6" applyNumberFormat="1" applyFont="1" applyFill="1" applyAlignment="1">
      <alignment vertical="center"/>
    </xf>
    <xf numFmtId="3" fontId="22" fillId="2" borderId="7" xfId="6" applyNumberFormat="1" applyFont="1" applyFill="1" applyBorder="1" applyAlignment="1">
      <alignment horizontal="left" vertical="center"/>
    </xf>
    <xf numFmtId="177" fontId="22" fillId="2" borderId="38" xfId="6" applyNumberFormat="1" applyFont="1" applyFill="1" applyBorder="1" applyAlignment="1">
      <alignment horizontal="right" vertical="center"/>
    </xf>
    <xf numFmtId="177" fontId="22" fillId="2" borderId="39" xfId="6" applyNumberFormat="1" applyFont="1" applyFill="1" applyBorder="1" applyAlignment="1">
      <alignment horizontal="right" vertical="center"/>
    </xf>
    <xf numFmtId="177" fontId="20" fillId="2" borderId="14" xfId="6" applyNumberFormat="1" applyFont="1" applyFill="1" applyBorder="1" applyAlignment="1">
      <alignment horizontal="right" vertical="center"/>
    </xf>
    <xf numFmtId="177" fontId="20" fillId="2" borderId="10" xfId="6" applyNumberFormat="1" applyFont="1" applyFill="1" applyBorder="1" applyAlignment="1">
      <alignment horizontal="right" vertical="center"/>
    </xf>
    <xf numFmtId="177" fontId="20" fillId="2" borderId="13" xfId="0" applyNumberFormat="1" applyFont="1" applyFill="1" applyBorder="1" applyAlignment="1">
      <alignment horizontal="right" vertical="center"/>
    </xf>
    <xf numFmtId="177" fontId="20" fillId="2" borderId="14" xfId="0" applyNumberFormat="1" applyFont="1" applyFill="1" applyBorder="1" applyAlignment="1">
      <alignment horizontal="right" vertical="center"/>
    </xf>
    <xf numFmtId="184" fontId="21" fillId="2" borderId="0" xfId="6" applyNumberFormat="1" applyFont="1" applyFill="1" applyAlignment="1">
      <alignment horizontal="right" vertical="center"/>
    </xf>
    <xf numFmtId="0" fontId="20" fillId="0" borderId="0" xfId="6" applyFont="1" applyFill="1" applyAlignment="1">
      <alignment horizontal="center" vertical="center"/>
    </xf>
    <xf numFmtId="0" fontId="17" fillId="0" borderId="0" xfId="6" applyFont="1" applyFill="1" applyAlignment="1">
      <alignment horizontal="center" vertical="center"/>
    </xf>
    <xf numFmtId="3" fontId="20" fillId="0" borderId="0" xfId="6" applyNumberFormat="1" applyFont="1" applyFill="1" applyAlignment="1">
      <alignment horizontal="center" vertical="center"/>
    </xf>
    <xf numFmtId="3" fontId="22" fillId="0" borderId="0" xfId="6" applyNumberFormat="1" applyFont="1" applyFill="1" applyAlignment="1">
      <alignment horizontal="center" vertical="center"/>
    </xf>
    <xf numFmtId="0" fontId="17" fillId="0" borderId="0" xfId="6" applyFont="1" applyFill="1" applyBorder="1" applyAlignment="1">
      <alignment horizontal="center" vertical="center"/>
    </xf>
    <xf numFmtId="3" fontId="22" fillId="0" borderId="0" xfId="6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77" fontId="20" fillId="0" borderId="46" xfId="2" applyNumberFormat="1" applyFont="1" applyFill="1" applyBorder="1" applyAlignment="1">
      <alignment horizontal="left" vertical="center"/>
    </xf>
    <xf numFmtId="41" fontId="20" fillId="0" borderId="53" xfId="2" applyFont="1" applyFill="1" applyBorder="1" applyAlignment="1">
      <alignment horizontal="left" vertical="center"/>
    </xf>
    <xf numFmtId="3" fontId="22" fillId="2" borderId="0" xfId="6" applyNumberFormat="1" applyFont="1" applyFill="1" applyBorder="1" applyAlignment="1">
      <alignment horizontal="left" vertical="center"/>
    </xf>
    <xf numFmtId="3" fontId="20" fillId="0" borderId="14" xfId="6" applyNumberFormat="1" applyFont="1" applyFill="1" applyBorder="1" applyAlignment="1">
      <alignment horizontal="center" vertical="center"/>
    </xf>
    <xf numFmtId="177" fontId="20" fillId="2" borderId="9" xfId="6" applyNumberFormat="1" applyFont="1" applyFill="1" applyBorder="1" applyAlignment="1">
      <alignment horizontal="right" vertical="center"/>
    </xf>
    <xf numFmtId="3" fontId="22" fillId="0" borderId="102" xfId="6" applyNumberFormat="1" applyFont="1" applyFill="1" applyBorder="1" applyAlignment="1">
      <alignment horizontal="left" vertical="center"/>
    </xf>
    <xf numFmtId="177" fontId="22" fillId="2" borderId="39" xfId="0" applyNumberFormat="1" applyFont="1" applyFill="1" applyBorder="1" applyAlignment="1">
      <alignment horizontal="right" vertical="center"/>
    </xf>
    <xf numFmtId="177" fontId="22" fillId="2" borderId="62" xfId="0" applyNumberFormat="1" applyFont="1" applyFill="1" applyBorder="1" applyAlignment="1">
      <alignment horizontal="right" vertical="center"/>
    </xf>
    <xf numFmtId="177" fontId="22" fillId="2" borderId="10" xfId="0" applyNumberFormat="1" applyFont="1" applyFill="1" applyBorder="1" applyAlignment="1">
      <alignment horizontal="right" vertical="center"/>
    </xf>
    <xf numFmtId="3" fontId="50" fillId="2" borderId="8" xfId="6" applyNumberFormat="1" applyFont="1" applyFill="1" applyBorder="1">
      <alignment vertical="center"/>
    </xf>
    <xf numFmtId="3" fontId="50" fillId="2" borderId="10" xfId="6" applyNumberFormat="1" applyFont="1" applyFill="1" applyBorder="1">
      <alignment vertical="center"/>
    </xf>
    <xf numFmtId="3" fontId="50" fillId="2" borderId="10" xfId="6" applyNumberFormat="1" applyFont="1" applyFill="1" applyBorder="1" applyAlignment="1">
      <alignment vertical="center"/>
    </xf>
    <xf numFmtId="3" fontId="50" fillId="2" borderId="9" xfId="6" applyNumberFormat="1" applyFont="1" applyFill="1" applyBorder="1" applyAlignment="1">
      <alignment vertical="center"/>
    </xf>
    <xf numFmtId="177" fontId="50" fillId="2" borderId="9" xfId="2" applyNumberFormat="1" applyFont="1" applyFill="1" applyBorder="1" applyAlignment="1">
      <alignment horizontal="right" vertical="center"/>
    </xf>
    <xf numFmtId="177" fontId="50" fillId="2" borderId="34" xfId="2" applyNumberFormat="1" applyFont="1" applyFill="1" applyBorder="1" applyAlignment="1">
      <alignment horizontal="right" vertical="center"/>
    </xf>
    <xf numFmtId="3" fontId="50" fillId="2" borderId="12" xfId="6" applyNumberFormat="1" applyFont="1" applyFill="1" applyBorder="1">
      <alignment vertical="center"/>
    </xf>
    <xf numFmtId="3" fontId="50" fillId="2" borderId="24" xfId="6" applyNumberFormat="1" applyFont="1" applyFill="1" applyBorder="1" applyAlignment="1">
      <alignment vertical="center"/>
    </xf>
    <xf numFmtId="3" fontId="50" fillId="2" borderId="6" xfId="6" applyNumberFormat="1" applyFont="1" applyFill="1" applyBorder="1" applyAlignment="1">
      <alignment vertical="center"/>
    </xf>
    <xf numFmtId="3" fontId="50" fillId="2" borderId="6" xfId="2" applyNumberFormat="1" applyFont="1" applyFill="1" applyBorder="1" applyAlignment="1">
      <alignment vertical="center"/>
    </xf>
    <xf numFmtId="3" fontId="50" fillId="2" borderId="6" xfId="6" applyNumberFormat="1" applyFont="1" applyFill="1" applyBorder="1" applyAlignment="1">
      <alignment horizontal="right" vertical="center"/>
    </xf>
    <xf numFmtId="3" fontId="50" fillId="2" borderId="6" xfId="6" applyNumberFormat="1" applyFont="1" applyFill="1" applyBorder="1" applyAlignment="1">
      <alignment horizontal="center" vertical="center"/>
    </xf>
    <xf numFmtId="3" fontId="50" fillId="2" borderId="3" xfId="2" applyNumberFormat="1" applyFont="1" applyFill="1" applyBorder="1" applyAlignment="1">
      <alignment vertical="center"/>
    </xf>
    <xf numFmtId="3" fontId="50" fillId="2" borderId="3" xfId="6" applyNumberFormat="1" applyFont="1" applyFill="1" applyBorder="1" applyAlignment="1">
      <alignment vertical="center"/>
    </xf>
    <xf numFmtId="41" fontId="50" fillId="2" borderId="0" xfId="2" applyFont="1" applyFill="1"/>
    <xf numFmtId="177" fontId="50" fillId="2" borderId="10" xfId="2" applyNumberFormat="1" applyFont="1" applyFill="1" applyBorder="1" applyAlignment="1">
      <alignment horizontal="right" vertical="center"/>
    </xf>
    <xf numFmtId="177" fontId="50" fillId="2" borderId="35" xfId="2" applyNumberFormat="1" applyFont="1" applyFill="1" applyBorder="1" applyAlignment="1">
      <alignment horizontal="right" vertical="center"/>
    </xf>
    <xf numFmtId="3" fontId="50" fillId="2" borderId="0" xfId="6" applyNumberFormat="1" applyFont="1" applyFill="1" applyBorder="1" applyAlignment="1">
      <alignment horizontal="right" vertical="center"/>
    </xf>
    <xf numFmtId="3" fontId="50" fillId="2" borderId="2" xfId="2" applyNumberFormat="1" applyFont="1" applyFill="1" applyBorder="1" applyAlignment="1">
      <alignment vertical="center"/>
    </xf>
    <xf numFmtId="3" fontId="50" fillId="2" borderId="2" xfId="6" applyNumberFormat="1" applyFont="1" applyFill="1" applyBorder="1" applyAlignment="1">
      <alignment vertical="center"/>
    </xf>
    <xf numFmtId="0" fontId="32" fillId="0" borderId="0" xfId="0" applyFont="1" applyFill="1" applyAlignment="1">
      <alignment horizontal="center"/>
    </xf>
    <xf numFmtId="0" fontId="23" fillId="0" borderId="45" xfId="0" applyNumberFormat="1" applyFont="1" applyFill="1" applyBorder="1" applyAlignment="1">
      <alignment horizontal="center" vertical="center"/>
    </xf>
    <xf numFmtId="0" fontId="23" fillId="0" borderId="49" xfId="0" applyNumberFormat="1" applyFont="1" applyFill="1" applyBorder="1" applyAlignment="1">
      <alignment horizontal="center" vertical="center"/>
    </xf>
    <xf numFmtId="0" fontId="50" fillId="0" borderId="30" xfId="0" applyFont="1" applyFill="1" applyBorder="1" applyAlignment="1">
      <alignment vertical="center"/>
    </xf>
    <xf numFmtId="0" fontId="50" fillId="0" borderId="30" xfId="0" applyFont="1" applyFill="1" applyBorder="1" applyAlignment="1">
      <alignment horizontal="left" vertical="center"/>
    </xf>
    <xf numFmtId="0" fontId="50" fillId="0" borderId="26" xfId="0" applyFont="1" applyFill="1" applyBorder="1" applyAlignment="1">
      <alignment horizontal="left" vertical="center"/>
    </xf>
    <xf numFmtId="0" fontId="32" fillId="0" borderId="0" xfId="0" applyFont="1" applyFill="1" applyAlignment="1">
      <alignment horizontal="center"/>
    </xf>
    <xf numFmtId="38" fontId="20" fillId="2" borderId="0" xfId="0" applyNumberFormat="1" applyFont="1" applyFill="1" applyAlignment="1">
      <alignment horizontal="center" vertical="center"/>
    </xf>
    <xf numFmtId="49" fontId="20" fillId="2" borderId="0" xfId="0" applyNumberFormat="1" applyFont="1" applyFill="1" applyBorder="1" applyAlignment="1">
      <alignment vertical="center"/>
    </xf>
    <xf numFmtId="177" fontId="20" fillId="2" borderId="0" xfId="2" applyNumberFormat="1" applyFont="1" applyFill="1" applyBorder="1" applyAlignment="1">
      <alignment horizontal="right" vertical="center"/>
    </xf>
    <xf numFmtId="49" fontId="20" fillId="2" borderId="0" xfId="2" applyNumberFormat="1" applyFont="1" applyFill="1" applyBorder="1" applyAlignment="1">
      <alignment horizontal="right" vertical="center"/>
    </xf>
    <xf numFmtId="49" fontId="20" fillId="2" borderId="0" xfId="2" applyNumberFormat="1" applyFont="1" applyFill="1" applyBorder="1" applyAlignment="1">
      <alignment vertical="center"/>
    </xf>
    <xf numFmtId="49" fontId="20" fillId="2" borderId="0" xfId="0" applyNumberFormat="1" applyFont="1" applyFill="1" applyBorder="1" applyAlignment="1">
      <alignment horizontal="right" vertical="center"/>
    </xf>
    <xf numFmtId="41" fontId="20" fillId="2" borderId="17" xfId="0" applyNumberFormat="1" applyFont="1" applyFill="1" applyBorder="1" applyAlignment="1">
      <alignment vertical="center"/>
    </xf>
    <xf numFmtId="3" fontId="20" fillId="2" borderId="18" xfId="0" applyNumberFormat="1" applyFont="1" applyFill="1" applyBorder="1" applyAlignment="1">
      <alignment horizontal="center" vertical="center"/>
    </xf>
    <xf numFmtId="3" fontId="20" fillId="2" borderId="51" xfId="0" applyNumberFormat="1" applyFont="1" applyFill="1" applyBorder="1" applyAlignment="1">
      <alignment horizontal="center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12" xfId="0" applyNumberFormat="1" applyFont="1" applyFill="1" applyBorder="1" applyAlignment="1">
      <alignment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0" xfId="0" applyNumberFormat="1" applyFont="1" applyFill="1" applyAlignment="1">
      <alignment vertical="center"/>
    </xf>
    <xf numFmtId="41" fontId="20" fillId="2" borderId="25" xfId="2" applyFont="1" applyFill="1" applyBorder="1" applyAlignment="1">
      <alignment horizontal="center" vertical="center"/>
    </xf>
    <xf numFmtId="0" fontId="53" fillId="2" borderId="47" xfId="0" applyFont="1" applyFill="1" applyBorder="1" applyAlignment="1">
      <alignment vertical="center"/>
    </xf>
    <xf numFmtId="0" fontId="53" fillId="2" borderId="54" xfId="0" applyFont="1" applyFill="1" applyBorder="1" applyAlignment="1">
      <alignment vertical="center"/>
    </xf>
    <xf numFmtId="0" fontId="53" fillId="2" borderId="45" xfId="0" applyFont="1" applyFill="1" applyBorder="1" applyAlignment="1">
      <alignment vertical="center"/>
    </xf>
    <xf numFmtId="0" fontId="53" fillId="2" borderId="49" xfId="0" applyFont="1" applyFill="1" applyBorder="1" applyAlignment="1">
      <alignment vertical="center"/>
    </xf>
    <xf numFmtId="178" fontId="53" fillId="2" borderId="39" xfId="2" applyNumberFormat="1" applyFont="1" applyFill="1" applyBorder="1" applyAlignment="1">
      <alignment vertical="center"/>
    </xf>
    <xf numFmtId="177" fontId="53" fillId="2" borderId="62" xfId="2" applyNumberFormat="1" applyFont="1" applyFill="1" applyBorder="1" applyAlignment="1">
      <alignment vertical="center"/>
    </xf>
    <xf numFmtId="177" fontId="53" fillId="2" borderId="12" xfId="0" applyNumberFormat="1" applyFont="1" applyFill="1" applyBorder="1" applyAlignment="1">
      <alignment vertical="center"/>
    </xf>
    <xf numFmtId="49" fontId="50" fillId="2" borderId="44" xfId="0" applyNumberFormat="1" applyFont="1" applyFill="1" applyBorder="1" applyAlignment="1">
      <alignment vertical="center"/>
    </xf>
    <xf numFmtId="49" fontId="50" fillId="2" borderId="45" xfId="0" applyNumberFormat="1" applyFont="1" applyFill="1" applyBorder="1" applyAlignment="1">
      <alignment vertical="center"/>
    </xf>
    <xf numFmtId="49" fontId="50" fillId="2" borderId="45" xfId="0" applyNumberFormat="1" applyFont="1" applyFill="1" applyBorder="1" applyAlignment="1">
      <alignment horizontal="left" vertical="center"/>
    </xf>
    <xf numFmtId="49" fontId="50" fillId="2" borderId="45" xfId="0" applyNumberFormat="1" applyFont="1" applyFill="1" applyBorder="1" applyAlignment="1">
      <alignment horizontal="right" vertical="center"/>
    </xf>
    <xf numFmtId="0" fontId="50" fillId="2" borderId="45" xfId="0" applyFont="1" applyFill="1" applyBorder="1" applyAlignment="1">
      <alignment horizontal="left" vertical="center"/>
    </xf>
    <xf numFmtId="177" fontId="50" fillId="2" borderId="45" xfId="0" applyNumberFormat="1" applyFont="1" applyFill="1" applyBorder="1" applyAlignment="1">
      <alignment vertical="center"/>
    </xf>
    <xf numFmtId="0" fontId="50" fillId="2" borderId="45" xfId="0" applyFont="1" applyFill="1" applyBorder="1" applyAlignment="1">
      <alignment vertical="center"/>
    </xf>
    <xf numFmtId="41" fontId="50" fillId="2" borderId="46" xfId="2" applyNumberFormat="1" applyFont="1" applyFill="1" applyBorder="1" applyAlignment="1">
      <alignment vertical="center"/>
    </xf>
    <xf numFmtId="178" fontId="50" fillId="2" borderId="46" xfId="0" applyNumberFormat="1" applyFont="1" applyFill="1" applyBorder="1" applyAlignment="1">
      <alignment vertical="center"/>
    </xf>
    <xf numFmtId="41" fontId="50" fillId="2" borderId="0" xfId="2" applyFont="1" applyFill="1" applyBorder="1" applyAlignment="1">
      <alignment vertical="center"/>
    </xf>
    <xf numFmtId="0" fontId="50" fillId="2" borderId="8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left" vertical="center"/>
    </xf>
    <xf numFmtId="178" fontId="53" fillId="2" borderId="33" xfId="2" applyNumberFormat="1" applyFont="1" applyFill="1" applyBorder="1" applyAlignment="1">
      <alignment vertical="center"/>
    </xf>
    <xf numFmtId="177" fontId="53" fillId="2" borderId="63" xfId="2" applyNumberFormat="1" applyFont="1" applyFill="1" applyBorder="1" applyAlignment="1">
      <alignment vertical="center"/>
    </xf>
    <xf numFmtId="49" fontId="50" fillId="2" borderId="48" xfId="0" applyNumberFormat="1" applyFont="1" applyFill="1" applyBorder="1" applyAlignment="1">
      <alignment vertical="center"/>
    </xf>
    <xf numFmtId="49" fontId="50" fillId="2" borderId="50" xfId="0" applyNumberFormat="1" applyFont="1" applyFill="1" applyBorder="1" applyAlignment="1">
      <alignment vertical="center"/>
    </xf>
    <xf numFmtId="49" fontId="50" fillId="2" borderId="50" xfId="0" applyNumberFormat="1" applyFont="1" applyFill="1" applyBorder="1" applyAlignment="1">
      <alignment horizontal="left" vertical="center"/>
    </xf>
    <xf numFmtId="49" fontId="50" fillId="2" borderId="50" xfId="0" applyNumberFormat="1" applyFont="1" applyFill="1" applyBorder="1" applyAlignment="1">
      <alignment horizontal="right" vertical="center"/>
    </xf>
    <xf numFmtId="0" fontId="50" fillId="2" borderId="50" xfId="0" applyFont="1" applyFill="1" applyBorder="1" applyAlignment="1">
      <alignment horizontal="left" vertical="center"/>
    </xf>
    <xf numFmtId="177" fontId="50" fillId="2" borderId="50" xfId="0" applyNumberFormat="1" applyFont="1" applyFill="1" applyBorder="1" applyAlignment="1">
      <alignment vertical="center"/>
    </xf>
    <xf numFmtId="0" fontId="50" fillId="2" borderId="50" xfId="0" applyFont="1" applyFill="1" applyBorder="1" applyAlignment="1">
      <alignment vertical="center"/>
    </xf>
    <xf numFmtId="41" fontId="50" fillId="2" borderId="53" xfId="2" applyNumberFormat="1" applyFont="1" applyFill="1" applyBorder="1" applyAlignment="1">
      <alignment vertical="center"/>
    </xf>
    <xf numFmtId="178" fontId="50" fillId="2" borderId="4" xfId="0" applyNumberFormat="1" applyFont="1" applyFill="1" applyBorder="1" applyAlignment="1">
      <alignment vertical="center"/>
    </xf>
    <xf numFmtId="177" fontId="50" fillId="2" borderId="56" xfId="0" applyNumberFormat="1" applyFont="1" applyFill="1" applyBorder="1" applyAlignment="1">
      <alignment vertical="center"/>
    </xf>
    <xf numFmtId="49" fontId="50" fillId="2" borderId="29" xfId="0" applyNumberFormat="1" applyFont="1" applyFill="1" applyBorder="1" applyAlignment="1">
      <alignment vertical="center"/>
    </xf>
    <xf numFmtId="49" fontId="50" fillId="2" borderId="30" xfId="0" applyNumberFormat="1" applyFont="1" applyFill="1" applyBorder="1" applyAlignment="1">
      <alignment vertical="center"/>
    </xf>
    <xf numFmtId="49" fontId="50" fillId="2" borderId="30" xfId="0" applyNumberFormat="1" applyFont="1" applyFill="1" applyBorder="1" applyAlignment="1">
      <alignment horizontal="left" vertical="center"/>
    </xf>
    <xf numFmtId="49" fontId="50" fillId="2" borderId="30" xfId="0" applyNumberFormat="1" applyFont="1" applyFill="1" applyBorder="1" applyAlignment="1">
      <alignment horizontal="right" vertical="center"/>
    </xf>
    <xf numFmtId="177" fontId="50" fillId="2" borderId="30" xfId="0" applyNumberFormat="1" applyFont="1" applyFill="1" applyBorder="1" applyAlignment="1">
      <alignment vertical="center"/>
    </xf>
    <xf numFmtId="41" fontId="50" fillId="2" borderId="15" xfId="2" applyNumberFormat="1" applyFont="1" applyFill="1" applyBorder="1" applyAlignment="1">
      <alignment vertical="center"/>
    </xf>
    <xf numFmtId="178" fontId="50" fillId="2" borderId="15" xfId="0" applyNumberFormat="1" applyFont="1" applyFill="1" applyBorder="1" applyAlignment="1">
      <alignment vertical="center"/>
    </xf>
    <xf numFmtId="177" fontId="50" fillId="2" borderId="10" xfId="6" applyNumberFormat="1" applyFont="1" applyFill="1" applyBorder="1" applyAlignment="1">
      <alignment horizontal="right" vertical="center"/>
    </xf>
    <xf numFmtId="49" fontId="50" fillId="2" borderId="16" xfId="6" applyNumberFormat="1" applyFont="1" applyFill="1" applyBorder="1" applyAlignment="1">
      <alignment vertical="center"/>
    </xf>
    <xf numFmtId="49" fontId="50" fillId="2" borderId="0" xfId="6" applyNumberFormat="1" applyFont="1" applyFill="1" applyBorder="1" applyAlignment="1">
      <alignment vertical="center"/>
    </xf>
    <xf numFmtId="177" fontId="50" fillId="2" borderId="35" xfId="6" applyNumberFormat="1" applyFont="1" applyFill="1" applyBorder="1" applyAlignment="1">
      <alignment horizontal="right" vertical="center"/>
    </xf>
    <xf numFmtId="3" fontId="50" fillId="2" borderId="0" xfId="6" quotePrefix="1" applyNumberFormat="1" applyFont="1" applyFill="1" applyBorder="1" applyAlignment="1">
      <alignment vertical="center"/>
    </xf>
    <xf numFmtId="177" fontId="50" fillId="2" borderId="13" xfId="6" applyNumberFormat="1" applyFont="1" applyFill="1" applyBorder="1" applyAlignment="1">
      <alignment horizontal="right" vertical="center"/>
    </xf>
    <xf numFmtId="177" fontId="50" fillId="2" borderId="34" xfId="6" applyNumberFormat="1" applyFont="1" applyFill="1" applyBorder="1" applyAlignment="1">
      <alignment horizontal="right" vertical="center"/>
    </xf>
    <xf numFmtId="3" fontId="50" fillId="2" borderId="15" xfId="2" applyNumberFormat="1" applyFont="1" applyFill="1" applyBorder="1" applyAlignment="1">
      <alignment vertical="center"/>
    </xf>
    <xf numFmtId="0" fontId="51" fillId="2" borderId="0" xfId="0" applyFont="1" applyFill="1" applyAlignment="1">
      <alignment vertical="center"/>
    </xf>
    <xf numFmtId="3" fontId="50" fillId="2" borderId="26" xfId="6" applyNumberFormat="1" applyFont="1" applyFill="1" applyBorder="1" applyAlignment="1">
      <alignment vertical="center"/>
    </xf>
    <xf numFmtId="3" fontId="50" fillId="2" borderId="14" xfId="6" applyNumberFormat="1" applyFont="1" applyFill="1" applyBorder="1" applyAlignment="1">
      <alignment vertical="center"/>
    </xf>
    <xf numFmtId="177" fontId="50" fillId="2" borderId="14" xfId="6" applyNumberFormat="1" applyFont="1" applyFill="1" applyBorder="1" applyAlignment="1">
      <alignment horizontal="right" vertical="center"/>
    </xf>
    <xf numFmtId="3" fontId="50" fillId="2" borderId="7" xfId="6" applyNumberFormat="1" applyFont="1" applyFill="1" applyBorder="1" applyAlignment="1">
      <alignment vertical="center"/>
    </xf>
    <xf numFmtId="3" fontId="50" fillId="2" borderId="7" xfId="2" applyNumberFormat="1" applyFont="1" applyFill="1" applyBorder="1" applyAlignment="1">
      <alignment vertical="center"/>
    </xf>
    <xf numFmtId="3" fontId="50" fillId="2" borderId="4" xfId="2" applyNumberFormat="1" applyFont="1" applyFill="1" applyBorder="1" applyAlignment="1">
      <alignment vertical="center"/>
    </xf>
    <xf numFmtId="3" fontId="50" fillId="2" borderId="4" xfId="6" applyNumberFormat="1" applyFont="1" applyFill="1" applyBorder="1" applyAlignment="1">
      <alignment vertical="center"/>
    </xf>
    <xf numFmtId="177" fontId="50" fillId="2" borderId="56" xfId="2" applyNumberFormat="1" applyFont="1" applyFill="1" applyBorder="1" applyAlignment="1">
      <alignment horizontal="right" vertical="center"/>
    </xf>
    <xf numFmtId="177" fontId="50" fillId="2" borderId="10" xfId="2" applyNumberFormat="1" applyFont="1" applyFill="1" applyBorder="1" applyAlignment="1">
      <alignment vertical="center"/>
    </xf>
    <xf numFmtId="177" fontId="50" fillId="2" borderId="36" xfId="2" applyNumberFormat="1" applyFont="1" applyFill="1" applyBorder="1" applyAlignment="1">
      <alignment horizontal="right" vertical="center"/>
    </xf>
    <xf numFmtId="3" fontId="50" fillId="2" borderId="13" xfId="6" applyNumberFormat="1" applyFont="1" applyFill="1" applyBorder="1" applyAlignment="1">
      <alignment vertical="center"/>
    </xf>
    <xf numFmtId="3" fontId="50" fillId="2" borderId="30" xfId="6" applyNumberFormat="1" applyFont="1" applyFill="1" applyBorder="1" applyAlignment="1">
      <alignment vertical="center"/>
    </xf>
    <xf numFmtId="3" fontId="50" fillId="2" borderId="30" xfId="2" applyNumberFormat="1" applyFont="1" applyFill="1" applyBorder="1" applyAlignment="1">
      <alignment vertical="center"/>
    </xf>
    <xf numFmtId="3" fontId="50" fillId="2" borderId="15" xfId="6" applyNumberFormat="1" applyFont="1" applyFill="1" applyBorder="1" applyAlignment="1">
      <alignment vertical="center"/>
    </xf>
    <xf numFmtId="3" fontId="50" fillId="2" borderId="0" xfId="6" applyNumberFormat="1" applyFont="1" applyFill="1" applyBorder="1" applyAlignment="1">
      <alignment horizontal="justify" vertical="center"/>
    </xf>
    <xf numFmtId="3" fontId="50" fillId="2" borderId="22" xfId="6" applyNumberFormat="1" applyFont="1" applyFill="1" applyBorder="1" applyAlignment="1">
      <alignment vertical="center"/>
    </xf>
    <xf numFmtId="3" fontId="50" fillId="2" borderId="7" xfId="6" applyNumberFormat="1" applyFont="1" applyFill="1" applyBorder="1" applyAlignment="1">
      <alignment horizontal="right" vertical="center"/>
    </xf>
    <xf numFmtId="177" fontId="50" fillId="2" borderId="35" xfId="2" applyNumberFormat="1" applyFont="1" applyFill="1" applyBorder="1" applyAlignment="1">
      <alignment vertical="center"/>
    </xf>
    <xf numFmtId="177" fontId="50" fillId="2" borderId="2" xfId="2" applyNumberFormat="1" applyFont="1" applyFill="1" applyBorder="1" applyAlignment="1">
      <alignment vertical="center"/>
    </xf>
    <xf numFmtId="3" fontId="50" fillId="2" borderId="7" xfId="6" applyNumberFormat="1" applyFont="1" applyFill="1" applyBorder="1" applyAlignment="1">
      <alignment horizontal="center" vertical="center"/>
    </xf>
    <xf numFmtId="0" fontId="50" fillId="2" borderId="9" xfId="0" applyFont="1" applyFill="1" applyBorder="1" applyAlignment="1">
      <alignment vertical="center"/>
    </xf>
    <xf numFmtId="3" fontId="50" fillId="2" borderId="0" xfId="0" applyNumberFormat="1" applyFont="1" applyFill="1" applyBorder="1" applyAlignment="1">
      <alignment horizontal="right" vertical="center"/>
    </xf>
    <xf numFmtId="0" fontId="50" fillId="2" borderId="25" xfId="0" applyFont="1" applyFill="1" applyBorder="1" applyAlignment="1">
      <alignment vertical="center"/>
    </xf>
    <xf numFmtId="177" fontId="50" fillId="2" borderId="40" xfId="2" applyNumberFormat="1" applyFont="1" applyFill="1" applyBorder="1" applyAlignment="1">
      <alignment horizontal="right" vertical="center"/>
    </xf>
    <xf numFmtId="3" fontId="50" fillId="2" borderId="1" xfId="6" applyNumberFormat="1" applyFont="1" applyFill="1" applyBorder="1" applyAlignment="1">
      <alignment vertical="center"/>
    </xf>
    <xf numFmtId="178" fontId="50" fillId="2" borderId="30" xfId="0" applyNumberFormat="1" applyFont="1" applyFill="1" applyBorder="1" applyAlignment="1">
      <alignment vertical="center"/>
    </xf>
    <xf numFmtId="3" fontId="50" fillId="2" borderId="30" xfId="0" applyNumberFormat="1" applyFont="1" applyFill="1" applyBorder="1" applyAlignment="1">
      <alignment vertical="center"/>
    </xf>
    <xf numFmtId="0" fontId="50" fillId="2" borderId="7" xfId="0" applyFont="1" applyFill="1" applyBorder="1" applyAlignment="1">
      <alignment vertical="center"/>
    </xf>
    <xf numFmtId="41" fontId="50" fillId="2" borderId="30" xfId="2" applyFont="1" applyFill="1" applyBorder="1" applyAlignment="1">
      <alignment vertical="center"/>
    </xf>
    <xf numFmtId="41" fontId="50" fillId="2" borderId="4" xfId="2" applyFont="1" applyFill="1" applyBorder="1" applyAlignment="1">
      <alignment vertical="center"/>
    </xf>
    <xf numFmtId="178" fontId="50" fillId="2" borderId="30" xfId="0" applyNumberFormat="1" applyFont="1" applyFill="1" applyBorder="1" applyAlignment="1">
      <alignment horizontal="right" vertical="center"/>
    </xf>
    <xf numFmtId="178" fontId="50" fillId="2" borderId="10" xfId="0" applyNumberFormat="1" applyFont="1" applyFill="1" applyBorder="1" applyAlignment="1">
      <alignment horizontal="right" vertical="center"/>
    </xf>
    <xf numFmtId="0" fontId="27" fillId="2" borderId="0" xfId="0" applyFont="1" applyFill="1" applyBorder="1" applyAlignment="1">
      <alignment vertical="center"/>
    </xf>
    <xf numFmtId="178" fontId="20" fillId="2" borderId="26" xfId="2" applyNumberFormat="1" applyFont="1" applyFill="1" applyBorder="1" applyAlignment="1">
      <alignment vertical="center"/>
    </xf>
    <xf numFmtId="178" fontId="20" fillId="2" borderId="2" xfId="0" applyNumberFormat="1" applyFont="1" applyFill="1" applyBorder="1" applyAlignment="1">
      <alignment horizontal="right" vertical="center"/>
    </xf>
    <xf numFmtId="178" fontId="20" fillId="2" borderId="10" xfId="2" applyNumberFormat="1" applyFont="1" applyFill="1" applyBorder="1" applyAlignment="1">
      <alignment vertical="center"/>
    </xf>
    <xf numFmtId="41" fontId="20" fillId="2" borderId="0" xfId="2" applyFont="1" applyFill="1" applyAlignment="1">
      <alignment horizontal="right" vertical="center"/>
    </xf>
    <xf numFmtId="49" fontId="20" fillId="2" borderId="0" xfId="0" applyNumberFormat="1" applyFont="1" applyFill="1" applyAlignment="1">
      <alignment vertical="center"/>
    </xf>
    <xf numFmtId="49" fontId="20" fillId="2" borderId="0" xfId="0" applyNumberFormat="1" applyFont="1" applyFill="1" applyAlignment="1">
      <alignment horizontal="right" vertical="center"/>
    </xf>
    <xf numFmtId="41" fontId="20" fillId="2" borderId="0" xfId="2" applyNumberFormat="1" applyFont="1" applyFill="1" applyAlignment="1">
      <alignment vertical="center"/>
    </xf>
    <xf numFmtId="49" fontId="27" fillId="2" borderId="0" xfId="0" applyNumberFormat="1" applyFont="1" applyFill="1" applyBorder="1" applyAlignment="1">
      <alignment vertical="center"/>
    </xf>
    <xf numFmtId="177" fontId="27" fillId="2" borderId="0" xfId="0" applyNumberFormat="1" applyFont="1" applyFill="1" applyBorder="1" applyAlignment="1">
      <alignment horizontal="right" vertical="center"/>
    </xf>
    <xf numFmtId="41" fontId="27" fillId="2" borderId="0" xfId="2" applyFont="1" applyFill="1" applyBorder="1" applyAlignment="1">
      <alignment horizontal="right" vertical="center"/>
    </xf>
    <xf numFmtId="3" fontId="20" fillId="2" borderId="32" xfId="0" applyNumberFormat="1" applyFont="1" applyFill="1" applyBorder="1" applyAlignment="1">
      <alignment horizontal="center" vertical="center"/>
    </xf>
    <xf numFmtId="0" fontId="22" fillId="2" borderId="44" xfId="0" applyFont="1" applyFill="1" applyBorder="1" applyAlignment="1">
      <alignment vertical="center"/>
    </xf>
    <xf numFmtId="3" fontId="20" fillId="2" borderId="45" xfId="0" applyNumberFormat="1" applyFont="1" applyFill="1" applyBorder="1" applyAlignment="1">
      <alignment horizontal="center" vertical="center"/>
    </xf>
    <xf numFmtId="3" fontId="20" fillId="2" borderId="49" xfId="0" applyNumberFormat="1" applyFont="1" applyFill="1" applyBorder="1" applyAlignment="1">
      <alignment horizontal="center" vertical="center"/>
    </xf>
    <xf numFmtId="49" fontId="21" fillId="2" borderId="44" xfId="0" applyNumberFormat="1" applyFont="1" applyFill="1" applyBorder="1" applyAlignment="1">
      <alignment horizontal="center" vertical="center"/>
    </xf>
    <xf numFmtId="49" fontId="21" fillId="2" borderId="45" xfId="0" applyNumberFormat="1" applyFont="1" applyFill="1" applyBorder="1" applyAlignment="1">
      <alignment horizontal="center" vertical="center"/>
    </xf>
    <xf numFmtId="49" fontId="21" fillId="2" borderId="46" xfId="0" applyNumberFormat="1" applyFont="1" applyFill="1" applyBorder="1" applyAlignment="1">
      <alignment horizontal="center" vertical="center"/>
    </xf>
    <xf numFmtId="3" fontId="50" fillId="2" borderId="22" xfId="6" applyNumberFormat="1" applyFont="1" applyFill="1" applyBorder="1" applyAlignment="1">
      <alignment horizontal="left" vertical="center"/>
    </xf>
    <xf numFmtId="3" fontId="50" fillId="2" borderId="29" xfId="6" applyNumberFormat="1" applyFont="1" applyFill="1" applyBorder="1" applyAlignment="1">
      <alignment vertical="center"/>
    </xf>
    <xf numFmtId="3" fontId="50" fillId="2" borderId="20" xfId="6" applyNumberFormat="1" applyFont="1" applyFill="1" applyBorder="1" applyAlignment="1">
      <alignment vertical="center"/>
    </xf>
    <xf numFmtId="41" fontId="0" fillId="2" borderId="0" xfId="2" applyFont="1" applyFill="1" applyBorder="1" applyAlignment="1"/>
    <xf numFmtId="0" fontId="0" fillId="2" borderId="0" xfId="0" applyFont="1" applyFill="1" applyBorder="1" applyAlignment="1"/>
    <xf numFmtId="176" fontId="20" fillId="2" borderId="0" xfId="0" applyNumberFormat="1" applyFont="1" applyFill="1" applyBorder="1" applyAlignment="1">
      <alignment horizontal="left" vertical="center" wrapText="1"/>
    </xf>
    <xf numFmtId="3" fontId="20" fillId="2" borderId="13" xfId="6" applyNumberFormat="1" applyFont="1" applyFill="1" applyBorder="1" applyAlignment="1">
      <alignment vertical="center"/>
    </xf>
    <xf numFmtId="3" fontId="20" fillId="2" borderId="28" xfId="0" applyNumberFormat="1" applyFont="1" applyFill="1" applyBorder="1" applyAlignment="1">
      <alignment vertical="center"/>
    </xf>
    <xf numFmtId="177" fontId="20" fillId="2" borderId="13" xfId="2" applyNumberFormat="1" applyFont="1" applyFill="1" applyBorder="1" applyAlignment="1">
      <alignment vertical="center"/>
    </xf>
    <xf numFmtId="3" fontId="20" fillId="2" borderId="0" xfId="0" quotePrefix="1" applyNumberFormat="1" applyFont="1" applyFill="1" applyBorder="1" applyAlignment="1">
      <alignment horizontal="center" vertical="center"/>
    </xf>
    <xf numFmtId="177" fontId="20" fillId="2" borderId="2" xfId="2" applyNumberFormat="1" applyFont="1" applyFill="1" applyBorder="1" applyAlignment="1">
      <alignment horizontal="right" vertical="center"/>
    </xf>
    <xf numFmtId="177" fontId="50" fillId="2" borderId="10" xfId="0" applyNumberFormat="1" applyFont="1" applyFill="1" applyBorder="1" applyAlignment="1">
      <alignment vertical="center"/>
    </xf>
    <xf numFmtId="0" fontId="50" fillId="2" borderId="11" xfId="0" applyFont="1" applyFill="1" applyBorder="1" applyAlignment="1">
      <alignment horizontal="left" vertical="center"/>
    </xf>
    <xf numFmtId="3" fontId="50" fillId="2" borderId="1" xfId="6" applyNumberFormat="1" applyFont="1" applyFill="1" applyBorder="1" applyAlignment="1">
      <alignment horizontal="right" vertical="center"/>
    </xf>
    <xf numFmtId="0" fontId="27" fillId="2" borderId="0" xfId="0" applyFont="1" applyFill="1" applyBorder="1" applyAlignment="1"/>
    <xf numFmtId="41" fontId="17" fillId="2" borderId="0" xfId="2" applyFont="1" applyFill="1" applyAlignment="1">
      <alignment vertical="center"/>
    </xf>
    <xf numFmtId="177" fontId="20" fillId="2" borderId="0" xfId="0" applyNumberFormat="1" applyFont="1" applyFill="1" applyBorder="1" applyAlignment="1">
      <alignment horizontal="right" vertical="center"/>
    </xf>
    <xf numFmtId="180" fontId="20" fillId="2" borderId="0" xfId="2" applyNumberFormat="1" applyFont="1" applyFill="1" applyBorder="1" applyAlignment="1">
      <alignment horizontal="right" vertical="center"/>
    </xf>
    <xf numFmtId="177" fontId="20" fillId="2" borderId="25" xfId="0" applyNumberFormat="1" applyFont="1" applyFill="1" applyBorder="1" applyAlignment="1">
      <alignment horizontal="center" vertical="center"/>
    </xf>
    <xf numFmtId="0" fontId="22" fillId="2" borderId="47" xfId="0" applyFont="1" applyFill="1" applyBorder="1" applyAlignment="1">
      <alignment vertical="center"/>
    </xf>
    <xf numFmtId="0" fontId="22" fillId="2" borderId="54" xfId="0" applyFont="1" applyFill="1" applyBorder="1" applyAlignment="1">
      <alignment vertical="center"/>
    </xf>
    <xf numFmtId="0" fontId="22" fillId="2" borderId="45" xfId="0" applyFont="1" applyFill="1" applyBorder="1" applyAlignment="1">
      <alignment vertical="center"/>
    </xf>
    <xf numFmtId="0" fontId="22" fillId="2" borderId="49" xfId="0" applyFont="1" applyFill="1" applyBorder="1" applyAlignment="1">
      <alignment vertical="center"/>
    </xf>
    <xf numFmtId="177" fontId="22" fillId="2" borderId="25" xfId="0" applyNumberFormat="1" applyFont="1" applyFill="1" applyBorder="1" applyAlignment="1">
      <alignment vertical="center"/>
    </xf>
    <xf numFmtId="177" fontId="22" fillId="2" borderId="40" xfId="0" applyNumberFormat="1" applyFont="1" applyFill="1" applyBorder="1" applyAlignment="1">
      <alignment vertical="center"/>
    </xf>
    <xf numFmtId="177" fontId="20" fillId="2" borderId="1" xfId="0" applyNumberFormat="1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177" fontId="20" fillId="2" borderId="1" xfId="0" applyNumberFormat="1" applyFont="1" applyFill="1" applyBorder="1" applyAlignment="1">
      <alignment horizontal="right" vertical="center"/>
    </xf>
    <xf numFmtId="41" fontId="29" fillId="2" borderId="0" xfId="2" applyFont="1" applyFill="1" applyAlignment="1">
      <alignment vertical="center"/>
    </xf>
    <xf numFmtId="0" fontId="22" fillId="2" borderId="16" xfId="0" applyFont="1" applyFill="1" applyBorder="1" applyAlignment="1">
      <alignment horizontal="left" vertical="center"/>
    </xf>
    <xf numFmtId="0" fontId="22" fillId="2" borderId="38" xfId="0" applyFont="1" applyFill="1" applyBorder="1" applyAlignment="1">
      <alignment horizontal="left" vertical="center"/>
    </xf>
    <xf numFmtId="177" fontId="22" fillId="2" borderId="14" xfId="0" applyNumberFormat="1" applyFont="1" applyFill="1" applyBorder="1" applyAlignment="1">
      <alignment vertical="center"/>
    </xf>
    <xf numFmtId="177" fontId="22" fillId="2" borderId="36" xfId="0" applyNumberFormat="1" applyFont="1" applyFill="1" applyBorder="1" applyAlignment="1">
      <alignment vertical="center"/>
    </xf>
    <xf numFmtId="0" fontId="29" fillId="2" borderId="12" xfId="0" applyFont="1" applyFill="1" applyBorder="1" applyAlignment="1">
      <alignment vertical="center"/>
    </xf>
    <xf numFmtId="0" fontId="22" fillId="2" borderId="22" xfId="0" applyFont="1" applyFill="1" applyBorder="1" applyAlignment="1">
      <alignment vertical="center"/>
    </xf>
    <xf numFmtId="0" fontId="22" fillId="2" borderId="7" xfId="0" applyFont="1" applyFill="1" applyBorder="1" applyAlignment="1">
      <alignment vertical="center"/>
    </xf>
    <xf numFmtId="177" fontId="22" fillId="2" borderId="7" xfId="0" applyNumberFormat="1" applyFont="1" applyFill="1" applyBorder="1" applyAlignment="1">
      <alignment vertical="center"/>
    </xf>
    <xf numFmtId="177" fontId="22" fillId="2" borderId="7" xfId="0" applyNumberFormat="1" applyFont="1" applyFill="1" applyBorder="1" applyAlignment="1">
      <alignment horizontal="right" vertical="center"/>
    </xf>
    <xf numFmtId="3" fontId="22" fillId="2" borderId="4" xfId="2" applyNumberFormat="1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49" fontId="20" fillId="2" borderId="29" xfId="0" applyNumberFormat="1" applyFont="1" applyFill="1" applyBorder="1" applyAlignment="1">
      <alignment vertical="center"/>
    </xf>
    <xf numFmtId="49" fontId="20" fillId="2" borderId="30" xfId="0" applyNumberFormat="1" applyFont="1" applyFill="1" applyBorder="1" applyAlignment="1">
      <alignment vertical="center"/>
    </xf>
    <xf numFmtId="49" fontId="20" fillId="2" borderId="30" xfId="0" applyNumberFormat="1" applyFont="1" applyFill="1" applyBorder="1" applyAlignment="1">
      <alignment horizontal="left" vertical="center"/>
    </xf>
    <xf numFmtId="49" fontId="20" fillId="2" borderId="30" xfId="0" applyNumberFormat="1" applyFont="1" applyFill="1" applyBorder="1" applyAlignment="1">
      <alignment horizontal="right" vertical="center"/>
    </xf>
    <xf numFmtId="177" fontId="20" fillId="2" borderId="30" xfId="0" applyNumberFormat="1" applyFont="1" applyFill="1" applyBorder="1" applyAlignment="1">
      <alignment vertical="center"/>
    </xf>
    <xf numFmtId="41" fontId="20" fillId="2" borderId="15" xfId="2" applyNumberFormat="1" applyFont="1" applyFill="1" applyBorder="1" applyAlignment="1">
      <alignment vertical="center"/>
    </xf>
    <xf numFmtId="49" fontId="20" fillId="2" borderId="16" xfId="6" applyNumberFormat="1" applyFont="1" applyFill="1" applyBorder="1" applyAlignment="1">
      <alignment vertical="center"/>
    </xf>
    <xf numFmtId="49" fontId="20" fillId="2" borderId="0" xfId="6" applyNumberFormat="1" applyFont="1" applyFill="1" applyBorder="1" applyAlignment="1">
      <alignment vertical="center"/>
    </xf>
    <xf numFmtId="49" fontId="20" fillId="2" borderId="0" xfId="6" applyNumberFormat="1" applyFont="1" applyFill="1" applyBorder="1" applyAlignment="1">
      <alignment horizontal="right" vertical="center"/>
    </xf>
    <xf numFmtId="49" fontId="20" fillId="2" borderId="0" xfId="6" applyNumberFormat="1" applyFont="1" applyFill="1" applyBorder="1" applyAlignment="1">
      <alignment horizontal="center" vertical="center"/>
    </xf>
    <xf numFmtId="3" fontId="20" fillId="2" borderId="0" xfId="6" quotePrefix="1" applyNumberFormat="1" applyFont="1" applyFill="1" applyBorder="1" applyAlignment="1">
      <alignment vertical="center"/>
    </xf>
    <xf numFmtId="49" fontId="20" fillId="2" borderId="0" xfId="6" applyNumberFormat="1" applyFont="1" applyFill="1" applyBorder="1" applyAlignment="1">
      <alignment horizontal="left" vertical="center"/>
    </xf>
    <xf numFmtId="49" fontId="20" fillId="2" borderId="0" xfId="2" applyNumberFormat="1" applyFont="1" applyFill="1" applyBorder="1" applyAlignment="1">
      <alignment horizontal="center" vertical="center"/>
    </xf>
    <xf numFmtId="3" fontId="20" fillId="2" borderId="9" xfId="6" applyNumberFormat="1" applyFont="1" applyFill="1" applyBorder="1" applyAlignment="1">
      <alignment vertical="center"/>
    </xf>
    <xf numFmtId="177" fontId="20" fillId="2" borderId="34" xfId="6" applyNumberFormat="1" applyFont="1" applyFill="1" applyBorder="1" applyAlignment="1">
      <alignment horizontal="right" vertical="center"/>
    </xf>
    <xf numFmtId="49" fontId="20" fillId="2" borderId="24" xfId="6" applyNumberFormat="1" applyFont="1" applyFill="1" applyBorder="1" applyAlignment="1">
      <alignment vertical="center"/>
    </xf>
    <xf numFmtId="49" fontId="20" fillId="2" borderId="6" xfId="6" applyNumberFormat="1" applyFont="1" applyFill="1" applyBorder="1" applyAlignment="1">
      <alignment vertical="center"/>
    </xf>
    <xf numFmtId="49" fontId="20" fillId="2" borderId="6" xfId="2" applyNumberFormat="1" applyFont="1" applyFill="1" applyBorder="1" applyAlignment="1">
      <alignment vertical="center"/>
    </xf>
    <xf numFmtId="49" fontId="20" fillId="2" borderId="6" xfId="6" applyNumberFormat="1" applyFont="1" applyFill="1" applyBorder="1" applyAlignment="1">
      <alignment horizontal="right" vertical="center"/>
    </xf>
    <xf numFmtId="3" fontId="20" fillId="2" borderId="6" xfId="6" applyNumberFormat="1" applyFont="1" applyFill="1" applyBorder="1" applyAlignment="1">
      <alignment vertical="center"/>
    </xf>
    <xf numFmtId="41" fontId="20" fillId="2" borderId="6" xfId="2" applyFont="1" applyFill="1" applyBorder="1" applyAlignment="1">
      <alignment vertical="center"/>
    </xf>
    <xf numFmtId="181" fontId="20" fillId="2" borderId="6" xfId="2" applyNumberFormat="1" applyFont="1" applyFill="1" applyBorder="1" applyAlignment="1">
      <alignment vertical="center"/>
    </xf>
    <xf numFmtId="9" fontId="20" fillId="2" borderId="0" xfId="1" applyNumberFormat="1" applyFont="1" applyFill="1" applyBorder="1" applyAlignment="1">
      <alignment vertical="center"/>
    </xf>
    <xf numFmtId="3" fontId="20" fillId="2" borderId="14" xfId="6" applyNumberFormat="1" applyFont="1" applyFill="1" applyBorder="1" applyAlignment="1">
      <alignment vertical="center"/>
    </xf>
    <xf numFmtId="177" fontId="20" fillId="2" borderId="36" xfId="6" applyNumberFormat="1" applyFont="1" applyFill="1" applyBorder="1" applyAlignment="1">
      <alignment horizontal="right" vertical="center"/>
    </xf>
    <xf numFmtId="49" fontId="20" fillId="2" borderId="22" xfId="6" applyNumberFormat="1" applyFont="1" applyFill="1" applyBorder="1" applyAlignment="1">
      <alignment horizontal="left" vertical="center"/>
    </xf>
    <xf numFmtId="49" fontId="20" fillId="2" borderId="7" xfId="6" applyNumberFormat="1" applyFont="1" applyFill="1" applyBorder="1" applyAlignment="1">
      <alignment vertical="center"/>
    </xf>
    <xf numFmtId="49" fontId="20" fillId="2" borderId="7" xfId="2" applyNumberFormat="1" applyFont="1" applyFill="1" applyBorder="1" applyAlignment="1">
      <alignment vertical="center"/>
    </xf>
    <xf numFmtId="49" fontId="20" fillId="2" borderId="7" xfId="6" applyNumberFormat="1" applyFont="1" applyFill="1" applyBorder="1" applyAlignment="1">
      <alignment horizontal="right" vertical="center"/>
    </xf>
    <xf numFmtId="184" fontId="20" fillId="2" borderId="7" xfId="1" applyNumberFormat="1" applyFont="1" applyFill="1" applyBorder="1" applyAlignment="1">
      <alignment vertical="center"/>
    </xf>
    <xf numFmtId="0" fontId="20" fillId="2" borderId="22" xfId="0" applyFont="1" applyFill="1" applyBorder="1" applyAlignment="1">
      <alignment horizontal="center" vertical="center"/>
    </xf>
    <xf numFmtId="178" fontId="20" fillId="2" borderId="7" xfId="0" applyNumberFormat="1" applyFont="1" applyFill="1" applyBorder="1" applyAlignment="1">
      <alignment horizontal="center" vertical="center"/>
    </xf>
    <xf numFmtId="0" fontId="20" fillId="2" borderId="26" xfId="0" applyFont="1" applyFill="1" applyBorder="1" applyAlignment="1">
      <alignment vertical="center" shrinkToFit="1"/>
    </xf>
    <xf numFmtId="3" fontId="20" fillId="2" borderId="12" xfId="6" applyNumberFormat="1" applyFont="1" applyFill="1" applyBorder="1" applyAlignment="1">
      <alignment vertical="center"/>
    </xf>
    <xf numFmtId="3" fontId="20" fillId="2" borderId="22" xfId="6" applyNumberFormat="1" applyFont="1" applyFill="1" applyBorder="1" applyAlignment="1">
      <alignment vertical="center"/>
    </xf>
    <xf numFmtId="3" fontId="20" fillId="2" borderId="6" xfId="6" applyNumberFormat="1" applyFont="1" applyFill="1" applyBorder="1" applyAlignment="1">
      <alignment horizontal="right" vertical="center"/>
    </xf>
    <xf numFmtId="176" fontId="20" fillId="2" borderId="7" xfId="1" applyNumberFormat="1" applyFont="1" applyFill="1" applyBorder="1" applyAlignment="1">
      <alignment vertical="center"/>
    </xf>
    <xf numFmtId="0" fontId="0" fillId="2" borderId="12" xfId="0" applyFont="1" applyFill="1" applyBorder="1"/>
    <xf numFmtId="3" fontId="19" fillId="2" borderId="10" xfId="6" applyNumberFormat="1" applyFont="1" applyFill="1" applyBorder="1" applyAlignment="1">
      <alignment horizontal="center" vertical="center"/>
    </xf>
    <xf numFmtId="3" fontId="20" fillId="2" borderId="29" xfId="6" applyNumberFormat="1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horizontal="right" vertical="center"/>
    </xf>
    <xf numFmtId="0" fontId="20" fillId="2" borderId="52" xfId="0" applyFont="1" applyFill="1" applyBorder="1" applyAlignment="1">
      <alignment vertical="center"/>
    </xf>
    <xf numFmtId="177" fontId="22" fillId="2" borderId="62" xfId="0" applyNumberFormat="1" applyFont="1" applyFill="1" applyBorder="1" applyAlignment="1">
      <alignment vertical="center"/>
    </xf>
    <xf numFmtId="3" fontId="22" fillId="2" borderId="44" xfId="6" applyNumberFormat="1" applyFont="1" applyFill="1" applyBorder="1" applyAlignment="1">
      <alignment vertical="center"/>
    </xf>
    <xf numFmtId="3" fontId="22" fillId="2" borderId="45" xfId="2" applyNumberFormat="1" applyFont="1" applyFill="1" applyBorder="1" applyAlignment="1">
      <alignment vertical="center"/>
    </xf>
    <xf numFmtId="3" fontId="22" fillId="2" borderId="45" xfId="6" applyNumberFormat="1" applyFont="1" applyFill="1" applyBorder="1" applyAlignment="1">
      <alignment horizontal="right" vertical="center"/>
    </xf>
    <xf numFmtId="3" fontId="22" fillId="2" borderId="46" xfId="2" applyNumberFormat="1" applyFont="1" applyFill="1" applyBorder="1" applyAlignment="1">
      <alignment vertical="center"/>
    </xf>
    <xf numFmtId="41" fontId="22" fillId="2" borderId="0" xfId="2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20" fillId="2" borderId="14" xfId="0" applyFont="1" applyFill="1" applyBorder="1" applyAlignment="1">
      <alignment horizontal="left" vertical="center"/>
    </xf>
    <xf numFmtId="177" fontId="20" fillId="2" borderId="7" xfId="0" applyNumberFormat="1" applyFont="1" applyFill="1" applyBorder="1" applyAlignment="1">
      <alignment vertical="center"/>
    </xf>
    <xf numFmtId="177" fontId="20" fillId="2" borderId="7" xfId="0" applyNumberFormat="1" applyFont="1" applyFill="1" applyBorder="1" applyAlignment="1">
      <alignment horizontal="right" vertical="center"/>
    </xf>
    <xf numFmtId="177" fontId="20" fillId="2" borderId="4" xfId="0" applyNumberFormat="1" applyFont="1" applyFill="1" applyBorder="1" applyAlignment="1">
      <alignment vertical="center"/>
    </xf>
    <xf numFmtId="177" fontId="20" fillId="2" borderId="2" xfId="6" applyNumberFormat="1" applyFont="1" applyFill="1" applyBorder="1" applyAlignment="1">
      <alignment vertical="center"/>
    </xf>
    <xf numFmtId="0" fontId="20" fillId="2" borderId="30" xfId="0" quotePrefix="1" applyFont="1" applyFill="1" applyBorder="1" applyAlignment="1">
      <alignment vertical="center"/>
    </xf>
    <xf numFmtId="177" fontId="20" fillId="2" borderId="34" xfId="6" applyNumberFormat="1" applyFont="1" applyFill="1" applyBorder="1" applyAlignment="1">
      <alignment vertical="center"/>
    </xf>
    <xf numFmtId="0" fontId="20" fillId="2" borderId="15" xfId="0" quotePrefix="1" applyFont="1" applyFill="1" applyBorder="1" applyAlignment="1">
      <alignment vertical="center"/>
    </xf>
    <xf numFmtId="182" fontId="20" fillId="2" borderId="0" xfId="0" applyNumberFormat="1" applyFont="1" applyFill="1" applyBorder="1" applyAlignment="1">
      <alignment vertical="center"/>
    </xf>
    <xf numFmtId="43" fontId="0" fillId="2" borderId="0" xfId="0" applyNumberFormat="1" applyFont="1" applyFill="1" applyBorder="1" applyAlignment="1">
      <alignment vertical="center"/>
    </xf>
    <xf numFmtId="3" fontId="20" fillId="2" borderId="14" xfId="0" applyNumberFormat="1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177" fontId="20" fillId="2" borderId="30" xfId="0" applyNumberFormat="1" applyFont="1" applyFill="1" applyBorder="1" applyAlignment="1">
      <alignment horizontal="right" vertical="center"/>
    </xf>
    <xf numFmtId="177" fontId="20" fillId="2" borderId="15" xfId="0" applyNumberFormat="1" applyFont="1" applyFill="1" applyBorder="1" applyAlignment="1">
      <alignment vertical="center"/>
    </xf>
    <xf numFmtId="3" fontId="20" fillId="2" borderId="23" xfId="6" applyNumberFormat="1" applyFont="1" applyFill="1" applyBorder="1" applyAlignment="1">
      <alignment vertical="center"/>
    </xf>
    <xf numFmtId="177" fontId="20" fillId="2" borderId="4" xfId="6" applyNumberFormat="1" applyFont="1" applyFill="1" applyBorder="1" applyAlignment="1">
      <alignment vertical="center"/>
    </xf>
    <xf numFmtId="182" fontId="50" fillId="2" borderId="0" xfId="0" applyNumberFormat="1" applyFont="1" applyFill="1" applyBorder="1" applyAlignment="1">
      <alignment vertical="center"/>
    </xf>
    <xf numFmtId="3" fontId="50" fillId="2" borderId="23" xfId="6" applyNumberFormat="1" applyFont="1" applyFill="1" applyBorder="1" applyAlignment="1">
      <alignment vertical="center"/>
    </xf>
    <xf numFmtId="177" fontId="50" fillId="2" borderId="14" xfId="0" applyNumberFormat="1" applyFont="1" applyFill="1" applyBorder="1" applyAlignment="1">
      <alignment vertical="center"/>
    </xf>
    <xf numFmtId="3" fontId="20" fillId="2" borderId="27" xfId="6" applyNumberFormat="1" applyFont="1" applyFill="1" applyBorder="1" applyAlignment="1">
      <alignment vertical="center"/>
    </xf>
    <xf numFmtId="3" fontId="20" fillId="2" borderId="1" xfId="0" applyNumberFormat="1" applyFont="1" applyFill="1" applyBorder="1" applyAlignment="1">
      <alignment horizontal="right" vertical="center"/>
    </xf>
    <xf numFmtId="177" fontId="0" fillId="2" borderId="0" xfId="0" applyNumberFormat="1" applyFont="1" applyFill="1" applyAlignment="1">
      <alignment vertical="center"/>
    </xf>
    <xf numFmtId="177" fontId="20" fillId="2" borderId="0" xfId="0" applyNumberFormat="1" applyFont="1" applyFill="1" applyBorder="1" applyAlignment="1">
      <alignment vertical="center"/>
    </xf>
    <xf numFmtId="3" fontId="50" fillId="2" borderId="12" xfId="6" applyNumberFormat="1" applyFont="1" applyFill="1" applyBorder="1" applyAlignment="1">
      <alignment vertical="center"/>
    </xf>
    <xf numFmtId="3" fontId="50" fillId="2" borderId="30" xfId="6" applyNumberFormat="1" applyFont="1" applyFill="1" applyBorder="1" applyAlignment="1">
      <alignment horizontal="center" vertical="center"/>
    </xf>
    <xf numFmtId="3" fontId="50" fillId="2" borderId="25" xfId="6" applyNumberFormat="1" applyFont="1" applyFill="1" applyBorder="1" applyAlignment="1">
      <alignment vertical="center"/>
    </xf>
    <xf numFmtId="177" fontId="50" fillId="2" borderId="25" xfId="6" applyNumberFormat="1" applyFont="1" applyFill="1" applyBorder="1" applyAlignment="1">
      <alignment horizontal="right" vertical="center"/>
    </xf>
    <xf numFmtId="3" fontId="50" fillId="2" borderId="1" xfId="2" applyNumberFormat="1" applyFont="1" applyFill="1" applyBorder="1" applyAlignment="1">
      <alignment vertical="center"/>
    </xf>
    <xf numFmtId="177" fontId="50" fillId="2" borderId="10" xfId="0" applyNumberFormat="1" applyFont="1" applyFill="1" applyBorder="1" applyAlignment="1">
      <alignment horizontal="right" vertical="center"/>
    </xf>
    <xf numFmtId="41" fontId="20" fillId="2" borderId="2" xfId="2" applyNumberFormat="1" applyFont="1" applyFill="1" applyBorder="1" applyAlignment="1">
      <alignment vertical="center"/>
    </xf>
    <xf numFmtId="0" fontId="20" fillId="2" borderId="10" xfId="0" applyFont="1" applyFill="1" applyBorder="1" applyAlignment="1">
      <alignment vertical="center" shrinkToFit="1"/>
    </xf>
    <xf numFmtId="3" fontId="53" fillId="2" borderId="7" xfId="6" applyNumberFormat="1" applyFont="1" applyFill="1" applyBorder="1" applyAlignment="1">
      <alignment vertical="center"/>
    </xf>
    <xf numFmtId="3" fontId="53" fillId="2" borderId="7" xfId="2" applyNumberFormat="1" applyFont="1" applyFill="1" applyBorder="1" applyAlignment="1">
      <alignment vertical="center"/>
    </xf>
    <xf numFmtId="3" fontId="53" fillId="2" borderId="7" xfId="6" applyNumberFormat="1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left" vertical="center"/>
    </xf>
    <xf numFmtId="177" fontId="50" fillId="2" borderId="13" xfId="0" applyNumberFormat="1" applyFont="1" applyFill="1" applyBorder="1" applyAlignment="1">
      <alignment horizontal="right" vertical="center"/>
    </xf>
    <xf numFmtId="177" fontId="20" fillId="2" borderId="0" xfId="0" applyNumberFormat="1" applyFont="1" applyFill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3" fontId="53" fillId="2" borderId="4" xfId="2" applyNumberFormat="1" applyFont="1" applyFill="1" applyBorder="1" applyAlignment="1">
      <alignment vertical="center"/>
    </xf>
    <xf numFmtId="3" fontId="50" fillId="2" borderId="10" xfId="6" applyNumberFormat="1" applyFont="1" applyFill="1" applyBorder="1" applyAlignment="1">
      <alignment horizontal="right" vertical="center"/>
    </xf>
    <xf numFmtId="3" fontId="50" fillId="2" borderId="0" xfId="2" applyNumberFormat="1" applyFont="1" applyFill="1" applyBorder="1" applyAlignment="1">
      <alignment horizontal="right" vertical="center"/>
    </xf>
    <xf numFmtId="3" fontId="50" fillId="2" borderId="14" xfId="6" applyNumberFormat="1" applyFont="1" applyFill="1" applyBorder="1" applyAlignment="1">
      <alignment horizontal="right" vertical="center"/>
    </xf>
    <xf numFmtId="3" fontId="58" fillId="2" borderId="10" xfId="6" applyNumberFormat="1" applyFont="1" applyFill="1" applyBorder="1" applyAlignment="1">
      <alignment horizontal="center" vertical="center"/>
    </xf>
    <xf numFmtId="3" fontId="50" fillId="2" borderId="26" xfId="0" applyNumberFormat="1" applyFont="1" applyFill="1" applyBorder="1" applyAlignment="1">
      <alignment vertical="center"/>
    </xf>
    <xf numFmtId="3" fontId="50" fillId="2" borderId="29" xfId="0" applyNumberFormat="1" applyFont="1" applyFill="1" applyBorder="1" applyAlignment="1">
      <alignment vertical="center"/>
    </xf>
    <xf numFmtId="3" fontId="50" fillId="2" borderId="30" xfId="0" applyNumberFormat="1" applyFont="1" applyFill="1" applyBorder="1" applyAlignment="1">
      <alignment horizontal="left" vertical="center"/>
    </xf>
    <xf numFmtId="3" fontId="50" fillId="2" borderId="30" xfId="0" applyNumberFormat="1" applyFont="1" applyFill="1" applyBorder="1" applyAlignment="1">
      <alignment horizontal="center" vertical="center"/>
    </xf>
    <xf numFmtId="38" fontId="30" fillId="2" borderId="0" xfId="0" applyNumberFormat="1" applyFont="1" applyFill="1" applyAlignment="1">
      <alignment horizontal="center" vertical="center"/>
    </xf>
    <xf numFmtId="0" fontId="20" fillId="2" borderId="18" xfId="0" applyFont="1" applyFill="1" applyBorder="1" applyAlignment="1">
      <alignment horizontal="center" vertical="center"/>
    </xf>
    <xf numFmtId="177" fontId="22" fillId="2" borderId="14" xfId="2" applyNumberFormat="1" applyFont="1" applyFill="1" applyBorder="1" applyAlignment="1">
      <alignment vertical="center"/>
    </xf>
    <xf numFmtId="177" fontId="22" fillId="2" borderId="36" xfId="2" applyNumberFormat="1" applyFont="1" applyFill="1" applyBorder="1" applyAlignment="1">
      <alignment vertical="center"/>
    </xf>
    <xf numFmtId="0" fontId="22" fillId="2" borderId="12" xfId="0" applyFont="1" applyFill="1" applyBorder="1" applyAlignment="1">
      <alignment vertical="center"/>
    </xf>
    <xf numFmtId="177" fontId="22" fillId="2" borderId="30" xfId="0" applyNumberFormat="1" applyFont="1" applyFill="1" applyBorder="1" applyAlignment="1">
      <alignment horizontal="right" vertical="center"/>
    </xf>
    <xf numFmtId="0" fontId="22" fillId="2" borderId="30" xfId="0" applyFont="1" applyFill="1" applyBorder="1" applyAlignment="1">
      <alignment horizontal="left" vertical="center"/>
    </xf>
    <xf numFmtId="177" fontId="22" fillId="2" borderId="30" xfId="0" applyNumberFormat="1" applyFont="1" applyFill="1" applyBorder="1" applyAlignment="1">
      <alignment vertical="center"/>
    </xf>
    <xf numFmtId="0" fontId="22" fillId="2" borderId="30" xfId="0" applyFont="1" applyFill="1" applyBorder="1" applyAlignment="1">
      <alignment vertical="center"/>
    </xf>
    <xf numFmtId="177" fontId="22" fillId="2" borderId="30" xfId="0" applyNumberFormat="1" applyFont="1" applyFill="1" applyBorder="1" applyAlignment="1">
      <alignment horizontal="center" vertical="center"/>
    </xf>
    <xf numFmtId="3" fontId="22" fillId="2" borderId="15" xfId="2" applyNumberFormat="1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177" fontId="22" fillId="2" borderId="13" xfId="2" applyNumberFormat="1" applyFont="1" applyFill="1" applyBorder="1" applyAlignment="1">
      <alignment vertical="center"/>
    </xf>
    <xf numFmtId="177" fontId="20" fillId="2" borderId="30" xfId="0" applyNumberFormat="1" applyFont="1" applyFill="1" applyBorder="1" applyAlignment="1">
      <alignment horizontal="center" vertical="center"/>
    </xf>
    <xf numFmtId="3" fontId="20" fillId="2" borderId="6" xfId="6" applyNumberFormat="1" applyFont="1" applyFill="1" applyBorder="1" applyAlignment="1">
      <alignment horizontal="center" vertical="center"/>
    </xf>
    <xf numFmtId="41" fontId="20" fillId="2" borderId="0" xfId="2" applyFont="1" applyFill="1" applyBorder="1" applyAlignment="1">
      <alignment horizontal="center" vertical="center"/>
    </xf>
    <xf numFmtId="177" fontId="20" fillId="2" borderId="34" xfId="2" applyNumberFormat="1" applyFont="1" applyFill="1" applyBorder="1" applyAlignment="1">
      <alignment horizontal="right" vertical="center"/>
    </xf>
    <xf numFmtId="41" fontId="28" fillId="2" borderId="0" xfId="2" applyFont="1" applyFill="1" applyAlignment="1">
      <alignment vertical="center"/>
    </xf>
    <xf numFmtId="0" fontId="20" fillId="2" borderId="8" xfId="0" applyFont="1" applyFill="1" applyBorder="1" applyAlignment="1">
      <alignment vertical="center"/>
    </xf>
    <xf numFmtId="3" fontId="20" fillId="2" borderId="24" xfId="6" applyNumberFormat="1" applyFont="1" applyFill="1" applyBorder="1" applyAlignment="1">
      <alignment vertical="center"/>
    </xf>
    <xf numFmtId="49" fontId="20" fillId="2" borderId="22" xfId="6" applyNumberFormat="1" applyFont="1" applyFill="1" applyBorder="1" applyAlignment="1">
      <alignment vertical="center"/>
    </xf>
    <xf numFmtId="177" fontId="20" fillId="2" borderId="9" xfId="2" applyNumberFormat="1" applyFont="1" applyFill="1" applyBorder="1" applyAlignment="1">
      <alignment horizontal="right" vertical="center"/>
    </xf>
    <xf numFmtId="3" fontId="20" fillId="2" borderId="0" xfId="6" applyNumberFormat="1" applyFont="1" applyFill="1" applyBorder="1" applyAlignment="1">
      <alignment horizontal="right" vertical="center" shrinkToFit="1"/>
    </xf>
    <xf numFmtId="177" fontId="20" fillId="2" borderId="0" xfId="6" applyNumberFormat="1" applyFont="1" applyFill="1" applyBorder="1" applyAlignment="1">
      <alignment vertical="center"/>
    </xf>
    <xf numFmtId="49" fontId="20" fillId="2" borderId="7" xfId="2" applyNumberFormat="1" applyFont="1" applyFill="1" applyBorder="1" applyAlignment="1">
      <alignment horizontal="right" vertical="center"/>
    </xf>
    <xf numFmtId="177" fontId="20" fillId="2" borderId="7" xfId="6" applyNumberFormat="1" applyFont="1" applyFill="1" applyBorder="1" applyAlignment="1">
      <alignment vertical="center"/>
    </xf>
    <xf numFmtId="3" fontId="20" fillId="2" borderId="37" xfId="6" applyNumberFormat="1" applyFont="1" applyFill="1" applyBorder="1" applyAlignment="1">
      <alignment vertical="center"/>
    </xf>
    <xf numFmtId="3" fontId="20" fillId="2" borderId="32" xfId="6" applyNumberFormat="1" applyFont="1" applyFill="1" applyBorder="1" applyAlignment="1">
      <alignment vertical="center"/>
    </xf>
    <xf numFmtId="177" fontId="20" fillId="2" borderId="25" xfId="2" applyNumberFormat="1" applyFont="1" applyFill="1" applyBorder="1" applyAlignment="1">
      <alignment horizontal="right" vertical="center"/>
    </xf>
    <xf numFmtId="177" fontId="20" fillId="2" borderId="40" xfId="2" applyNumberFormat="1" applyFont="1" applyFill="1" applyBorder="1" applyAlignment="1">
      <alignment horizontal="right" vertical="center"/>
    </xf>
    <xf numFmtId="3" fontId="20" fillId="2" borderId="1" xfId="6" applyNumberFormat="1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left" vertical="center"/>
    </xf>
    <xf numFmtId="0" fontId="22" fillId="2" borderId="31" xfId="0" applyFont="1" applyFill="1" applyBorder="1" applyAlignment="1">
      <alignment horizontal="left" vertical="center"/>
    </xf>
    <xf numFmtId="177" fontId="22" fillId="2" borderId="39" xfId="2" applyNumberFormat="1" applyFont="1" applyFill="1" applyBorder="1" applyAlignment="1">
      <alignment vertical="center"/>
    </xf>
    <xf numFmtId="177" fontId="22" fillId="2" borderId="62" xfId="2" applyNumberFormat="1" applyFont="1" applyFill="1" applyBorder="1" applyAlignment="1">
      <alignment vertical="center"/>
    </xf>
    <xf numFmtId="177" fontId="22" fillId="2" borderId="45" xfId="0" applyNumberFormat="1" applyFont="1" applyFill="1" applyBorder="1" applyAlignment="1">
      <alignment vertical="center"/>
    </xf>
    <xf numFmtId="177" fontId="22" fillId="2" borderId="45" xfId="0" applyNumberFormat="1" applyFont="1" applyFill="1" applyBorder="1" applyAlignment="1">
      <alignment horizontal="right" vertical="center"/>
    </xf>
    <xf numFmtId="177" fontId="22" fillId="2" borderId="46" xfId="0" applyNumberFormat="1" applyFont="1" applyFill="1" applyBorder="1" applyAlignment="1">
      <alignment vertical="center"/>
    </xf>
    <xf numFmtId="3" fontId="20" fillId="2" borderId="21" xfId="6" applyNumberFormat="1" applyFont="1" applyFill="1" applyBorder="1" applyAlignment="1">
      <alignment vertical="center"/>
    </xf>
    <xf numFmtId="177" fontId="20" fillId="2" borderId="14" xfId="2" applyNumberFormat="1" applyFont="1" applyFill="1" applyBorder="1" applyAlignment="1">
      <alignment vertical="center"/>
    </xf>
    <xf numFmtId="177" fontId="20" fillId="2" borderId="9" xfId="2" applyNumberFormat="1" applyFont="1" applyFill="1" applyBorder="1" applyAlignment="1">
      <alignment vertical="center"/>
    </xf>
    <xf numFmtId="177" fontId="20" fillId="2" borderId="10" xfId="0" applyNumberFormat="1" applyFont="1" applyFill="1" applyBorder="1" applyAlignment="1">
      <alignment horizontal="left" vertical="center"/>
    </xf>
    <xf numFmtId="0" fontId="20" fillId="2" borderId="9" xfId="0" applyFont="1" applyFill="1" applyBorder="1" applyAlignment="1">
      <alignment vertical="center" shrinkToFit="1"/>
    </xf>
    <xf numFmtId="177" fontId="20" fillId="2" borderId="4" xfId="2" applyNumberFormat="1" applyFont="1" applyFill="1" applyBorder="1" applyAlignment="1">
      <alignment horizontal="right" vertical="center"/>
    </xf>
    <xf numFmtId="3" fontId="22" fillId="2" borderId="16" xfId="0" applyNumberFormat="1" applyFont="1" applyFill="1" applyBorder="1" applyAlignment="1">
      <alignment horizontal="left" vertical="center"/>
    </xf>
    <xf numFmtId="3" fontId="22" fillId="2" borderId="54" xfId="0" applyNumberFormat="1" applyFont="1" applyFill="1" applyBorder="1" applyAlignment="1">
      <alignment horizontal="left" vertical="center"/>
    </xf>
    <xf numFmtId="177" fontId="22" fillId="2" borderId="39" xfId="2" applyNumberFormat="1" applyFont="1" applyFill="1" applyBorder="1" applyAlignment="1">
      <alignment vertical="center" shrinkToFit="1"/>
    </xf>
    <xf numFmtId="49" fontId="20" fillId="2" borderId="44" xfId="0" applyNumberFormat="1" applyFont="1" applyFill="1" applyBorder="1" applyAlignment="1">
      <alignment horizontal="center" vertical="center"/>
    </xf>
    <xf numFmtId="49" fontId="20" fillId="2" borderId="45" xfId="0" applyNumberFormat="1" applyFont="1" applyFill="1" applyBorder="1" applyAlignment="1">
      <alignment horizontal="center" vertical="center"/>
    </xf>
    <xf numFmtId="49" fontId="20" fillId="2" borderId="46" xfId="0" applyNumberFormat="1" applyFont="1" applyFill="1" applyBorder="1" applyAlignment="1">
      <alignment horizontal="center" vertical="center"/>
    </xf>
    <xf numFmtId="41" fontId="54" fillId="2" borderId="0" xfId="2" applyFont="1" applyFill="1" applyAlignment="1">
      <alignment vertical="center"/>
    </xf>
    <xf numFmtId="0" fontId="54" fillId="2" borderId="0" xfId="0" applyFont="1" applyFill="1" applyAlignment="1">
      <alignment vertical="center"/>
    </xf>
    <xf numFmtId="0" fontId="20" fillId="2" borderId="13" xfId="0" applyFont="1" applyFill="1" applyBorder="1" applyAlignment="1">
      <alignment vertical="center"/>
    </xf>
    <xf numFmtId="41" fontId="54" fillId="2" borderId="0" xfId="2" applyFont="1" applyFill="1" applyBorder="1" applyAlignment="1">
      <alignment vertical="center"/>
    </xf>
    <xf numFmtId="0" fontId="54" fillId="2" borderId="0" xfId="0" applyFont="1" applyFill="1" applyBorder="1" applyAlignment="1">
      <alignment vertical="center"/>
    </xf>
    <xf numFmtId="177" fontId="20" fillId="2" borderId="0" xfId="0" applyNumberFormat="1" applyFont="1" applyFill="1" applyAlignment="1">
      <alignment vertical="center"/>
    </xf>
    <xf numFmtId="177" fontId="20" fillId="2" borderId="0" xfId="2" applyNumberFormat="1" applyFont="1" applyFill="1" applyAlignment="1">
      <alignment vertical="center"/>
    </xf>
    <xf numFmtId="41" fontId="29" fillId="2" borderId="0" xfId="2" applyFont="1" applyFill="1" applyBorder="1" applyAlignment="1">
      <alignment vertical="center"/>
    </xf>
    <xf numFmtId="41" fontId="63" fillId="0" borderId="0" xfId="2" applyFont="1" applyFill="1" applyAlignment="1">
      <alignment horizontal="center"/>
    </xf>
    <xf numFmtId="41" fontId="0" fillId="0" borderId="0" xfId="2" applyFont="1" applyAlignment="1">
      <alignment vertical="center"/>
    </xf>
    <xf numFmtId="0" fontId="29" fillId="0" borderId="0" xfId="0" applyFont="1" applyAlignment="1">
      <alignment vertical="center"/>
    </xf>
    <xf numFmtId="41" fontId="21" fillId="0" borderId="76" xfId="2" applyFont="1" applyBorder="1" applyAlignment="1">
      <alignment horizontal="right" vertical="center"/>
    </xf>
    <xf numFmtId="41" fontId="21" fillId="0" borderId="78" xfId="2" applyFont="1" applyBorder="1" applyAlignment="1">
      <alignment horizontal="right" vertical="center"/>
    </xf>
    <xf numFmtId="0" fontId="0" fillId="0" borderId="16" xfId="0" applyBorder="1" applyAlignment="1">
      <alignment vertical="center"/>
    </xf>
    <xf numFmtId="0" fontId="0" fillId="0" borderId="0" xfId="0" applyBorder="1" applyAlignment="1">
      <alignment vertical="center"/>
    </xf>
    <xf numFmtId="41" fontId="0" fillId="0" borderId="0" xfId="2" applyFont="1" applyBorder="1" applyAlignment="1">
      <alignment vertical="center"/>
    </xf>
    <xf numFmtId="177" fontId="0" fillId="0" borderId="0" xfId="2" applyNumberFormat="1" applyFont="1" applyBorder="1" applyAlignment="1">
      <alignment horizontal="right" vertical="center"/>
    </xf>
    <xf numFmtId="176" fontId="0" fillId="0" borderId="0" xfId="0" applyNumberFormat="1" applyBorder="1" applyAlignment="1">
      <alignment vertical="center"/>
    </xf>
    <xf numFmtId="177" fontId="0" fillId="0" borderId="0" xfId="2" applyNumberFormat="1" applyFont="1" applyAlignment="1">
      <alignment horizontal="right" vertical="center"/>
    </xf>
    <xf numFmtId="176" fontId="0" fillId="0" borderId="0" xfId="0" applyNumberFormat="1" applyAlignment="1">
      <alignment vertical="center"/>
    </xf>
    <xf numFmtId="176" fontId="23" fillId="0" borderId="56" xfId="1" applyNumberFormat="1" applyFont="1" applyFill="1" applyBorder="1" applyAlignment="1">
      <alignment horizontal="center" vertical="center"/>
    </xf>
    <xf numFmtId="176" fontId="21" fillId="0" borderId="34" xfId="1" applyNumberFormat="1" applyFont="1" applyFill="1" applyBorder="1" applyAlignment="1">
      <alignment horizontal="center" vertical="center"/>
    </xf>
    <xf numFmtId="176" fontId="21" fillId="0" borderId="77" xfId="1" applyNumberFormat="1" applyFont="1" applyFill="1" applyBorder="1" applyAlignment="1">
      <alignment horizontal="center" vertical="center"/>
    </xf>
    <xf numFmtId="41" fontId="29" fillId="0" borderId="0" xfId="2" applyFont="1" applyFill="1" applyBorder="1" applyAlignment="1">
      <alignment vertical="center"/>
    </xf>
    <xf numFmtId="0" fontId="23" fillId="0" borderId="16" xfId="0" applyNumberFormat="1" applyFont="1" applyFill="1" applyBorder="1" applyAlignment="1">
      <alignment horizontal="center" vertical="center"/>
    </xf>
    <xf numFmtId="0" fontId="21" fillId="0" borderId="37" xfId="0" applyNumberFormat="1" applyFont="1" applyFill="1" applyBorder="1" applyAlignment="1">
      <alignment horizontal="center" vertical="center" wrapText="1"/>
    </xf>
    <xf numFmtId="41" fontId="21" fillId="0" borderId="31" xfId="2" applyFont="1" applyFill="1" applyBorder="1" applyAlignment="1">
      <alignment vertical="center"/>
    </xf>
    <xf numFmtId="41" fontId="21" fillId="0" borderId="38" xfId="2" applyFont="1" applyFill="1" applyBorder="1" applyAlignment="1">
      <alignment vertical="center"/>
    </xf>
    <xf numFmtId="0" fontId="23" fillId="0" borderId="8" xfId="0" applyNumberFormat="1" applyFont="1" applyFill="1" applyBorder="1" applyAlignment="1">
      <alignment vertical="center"/>
    </xf>
    <xf numFmtId="41" fontId="63" fillId="0" borderId="0" xfId="2" applyFont="1" applyFill="1" applyAlignment="1">
      <alignment horizontal="center"/>
    </xf>
    <xf numFmtId="41" fontId="63" fillId="0" borderId="0" xfId="2" applyFont="1" applyFill="1" applyAlignment="1">
      <alignment horizontal="center" vertical="center"/>
    </xf>
    <xf numFmtId="0" fontId="64" fillId="0" borderId="0" xfId="0" applyFont="1" applyFill="1" applyAlignment="1">
      <alignment horizontal="right" vertical="center"/>
    </xf>
    <xf numFmtId="41" fontId="20" fillId="2" borderId="10" xfId="2" applyFont="1" applyFill="1" applyBorder="1" applyAlignment="1">
      <alignment horizontal="right" vertical="center"/>
    </xf>
    <xf numFmtId="178" fontId="20" fillId="2" borderId="14" xfId="2" applyNumberFormat="1" applyFont="1" applyFill="1" applyBorder="1" applyAlignment="1">
      <alignment horizontal="right" vertical="center" shrinkToFit="1"/>
    </xf>
    <xf numFmtId="177" fontId="20" fillId="2" borderId="25" xfId="6" applyNumberFormat="1" applyFont="1" applyFill="1" applyBorder="1" applyAlignment="1">
      <alignment horizontal="right" vertical="center"/>
    </xf>
    <xf numFmtId="177" fontId="20" fillId="2" borderId="40" xfId="6" applyNumberFormat="1" applyFont="1" applyFill="1" applyBorder="1" applyAlignment="1">
      <alignment horizontal="right" vertical="center"/>
    </xf>
    <xf numFmtId="178" fontId="20" fillId="2" borderId="9" xfId="0" applyNumberFormat="1" applyFont="1" applyFill="1" applyBorder="1" applyAlignment="1">
      <alignment vertical="center"/>
    </xf>
    <xf numFmtId="41" fontId="17" fillId="0" borderId="0" xfId="2" applyFont="1" applyFill="1" applyAlignment="1">
      <alignment horizontal="center" vertical="center"/>
    </xf>
    <xf numFmtId="4" fontId="20" fillId="0" borderId="0" xfId="6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3" fontId="20" fillId="2" borderId="0" xfId="6" applyNumberFormat="1" applyFont="1" applyFill="1" applyBorder="1">
      <alignment vertical="center"/>
    </xf>
    <xf numFmtId="178" fontId="22" fillId="2" borderId="0" xfId="0" applyNumberFormat="1" applyFont="1" applyFill="1" applyBorder="1" applyAlignment="1">
      <alignment vertical="center"/>
    </xf>
    <xf numFmtId="41" fontId="22" fillId="2" borderId="0" xfId="2" applyFont="1" applyFill="1" applyBorder="1" applyAlignment="1">
      <alignment horizontal="right" vertical="center"/>
    </xf>
    <xf numFmtId="0" fontId="50" fillId="2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77" fontId="20" fillId="0" borderId="25" xfId="2" applyNumberFormat="1" applyFont="1" applyFill="1" applyBorder="1" applyAlignment="1">
      <alignment horizontal="center" vertical="center"/>
    </xf>
    <xf numFmtId="177" fontId="20" fillId="0" borderId="40" xfId="2" applyNumberFormat="1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left" vertical="center"/>
    </xf>
    <xf numFmtId="178" fontId="20" fillId="2" borderId="16" xfId="0" applyNumberFormat="1" applyFont="1" applyFill="1" applyBorder="1" applyAlignment="1">
      <alignment vertical="center"/>
    </xf>
    <xf numFmtId="41" fontId="17" fillId="0" borderId="0" xfId="0" applyNumberFormat="1" applyFont="1" applyFill="1" applyAlignment="1">
      <alignment vertical="center"/>
    </xf>
    <xf numFmtId="178" fontId="50" fillId="0" borderId="33" xfId="2" applyNumberFormat="1" applyFont="1" applyFill="1" applyBorder="1" applyAlignment="1">
      <alignment vertical="center"/>
    </xf>
    <xf numFmtId="177" fontId="50" fillId="0" borderId="63" xfId="2" applyNumberFormat="1" applyFont="1" applyFill="1" applyBorder="1" applyAlignment="1">
      <alignment vertical="center"/>
    </xf>
    <xf numFmtId="49" fontId="21" fillId="0" borderId="20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1" fillId="0" borderId="5" xfId="0" applyNumberFormat="1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horizontal="left" vertical="center" wrapText="1"/>
    </xf>
    <xf numFmtId="177" fontId="41" fillId="2" borderId="105" xfId="0" applyNumberFormat="1" applyFont="1" applyFill="1" applyBorder="1" applyAlignment="1">
      <alignment horizontal="right" vertical="center" wrapText="1"/>
    </xf>
    <xf numFmtId="177" fontId="40" fillId="0" borderId="28" xfId="2" applyNumberFormat="1" applyFont="1" applyFill="1" applyBorder="1" applyAlignment="1">
      <alignment horizontal="right" vertical="center"/>
    </xf>
    <xf numFmtId="176" fontId="40" fillId="0" borderId="56" xfId="1" applyNumberFormat="1" applyFont="1" applyFill="1" applyBorder="1" applyAlignment="1">
      <alignment vertical="center"/>
    </xf>
    <xf numFmtId="0" fontId="20" fillId="2" borderId="30" xfId="0" applyNumberFormat="1" applyFont="1" applyFill="1" applyBorder="1" applyAlignment="1">
      <alignment vertical="center"/>
    </xf>
    <xf numFmtId="3" fontId="50" fillId="2" borderId="12" xfId="0" applyNumberFormat="1" applyFont="1" applyFill="1" applyBorder="1" applyAlignment="1">
      <alignment vertical="center"/>
    </xf>
    <xf numFmtId="41" fontId="20" fillId="2" borderId="2" xfId="2" applyFont="1" applyFill="1" applyBorder="1" applyAlignment="1">
      <alignment horizontal="right" vertical="center"/>
    </xf>
    <xf numFmtId="195" fontId="20" fillId="2" borderId="29" xfId="2" applyNumberFormat="1" applyFont="1" applyFill="1" applyBorder="1" applyAlignment="1">
      <alignment horizontal="left" vertical="center" wrapText="1"/>
    </xf>
    <xf numFmtId="195" fontId="20" fillId="2" borderId="30" xfId="2" applyNumberFormat="1" applyFont="1" applyFill="1" applyBorder="1" applyAlignment="1">
      <alignment horizontal="left" vertical="center" wrapText="1"/>
    </xf>
    <xf numFmtId="195" fontId="20" fillId="2" borderId="22" xfId="0" applyNumberFormat="1" applyFont="1" applyFill="1" applyBorder="1" applyAlignment="1">
      <alignment vertical="center"/>
    </xf>
    <xf numFmtId="195" fontId="20" fillId="2" borderId="7" xfId="0" applyNumberFormat="1" applyFont="1" applyFill="1" applyBorder="1" applyAlignment="1">
      <alignment vertical="center"/>
    </xf>
    <xf numFmtId="195" fontId="20" fillId="2" borderId="16" xfId="0" applyNumberFormat="1" applyFont="1" applyFill="1" applyBorder="1" applyAlignment="1">
      <alignment vertical="center"/>
    </xf>
    <xf numFmtId="195" fontId="20" fillId="2" borderId="0" xfId="6" applyNumberFormat="1" applyFont="1" applyFill="1" applyBorder="1" applyAlignment="1">
      <alignment horizontal="left" vertical="center"/>
    </xf>
    <xf numFmtId="195" fontId="0" fillId="2" borderId="0" xfId="0" applyNumberFormat="1" applyFont="1" applyFill="1" applyBorder="1" applyAlignment="1">
      <alignment vertical="center"/>
    </xf>
    <xf numFmtId="195" fontId="20" fillId="2" borderId="20" xfId="0" applyNumberFormat="1" applyFont="1" applyFill="1" applyBorder="1" applyAlignment="1">
      <alignment vertical="center"/>
    </xf>
    <xf numFmtId="195" fontId="20" fillId="2" borderId="1" xfId="6" applyNumberFormat="1" applyFont="1" applyFill="1" applyBorder="1" applyAlignment="1">
      <alignment horizontal="left" vertical="center"/>
    </xf>
    <xf numFmtId="41" fontId="23" fillId="0" borderId="13" xfId="2" applyFont="1" applyFill="1" applyBorder="1" applyAlignment="1">
      <alignment horizontal="right" vertical="center"/>
    </xf>
    <xf numFmtId="41" fontId="21" fillId="0" borderId="9" xfId="2" applyFont="1" applyBorder="1" applyAlignment="1">
      <alignment horizontal="right" vertical="center"/>
    </xf>
    <xf numFmtId="0" fontId="23" fillId="0" borderId="13" xfId="0" applyFont="1" applyBorder="1" applyAlignment="1">
      <alignment horizontal="left" vertical="center"/>
    </xf>
    <xf numFmtId="41" fontId="23" fillId="0" borderId="13" xfId="2" applyFont="1" applyBorder="1" applyAlignment="1">
      <alignment horizontal="right" vertical="center"/>
    </xf>
    <xf numFmtId="49" fontId="23" fillId="7" borderId="13" xfId="0" applyNumberFormat="1" applyFont="1" applyFill="1" applyBorder="1" applyAlignment="1">
      <alignment horizontal="center" vertical="center"/>
    </xf>
    <xf numFmtId="41" fontId="23" fillId="7" borderId="13" xfId="2" applyFont="1" applyFill="1" applyBorder="1" applyAlignment="1">
      <alignment horizontal="right" vertical="center"/>
    </xf>
    <xf numFmtId="176" fontId="23" fillId="7" borderId="56" xfId="1" applyNumberFormat="1" applyFont="1" applyFill="1" applyBorder="1" applyAlignment="1">
      <alignment horizontal="center" vertical="center"/>
    </xf>
    <xf numFmtId="49" fontId="23" fillId="7" borderId="14" xfId="0" applyNumberFormat="1" applyFont="1" applyFill="1" applyBorder="1" applyAlignment="1">
      <alignment horizontal="center" vertical="center"/>
    </xf>
    <xf numFmtId="41" fontId="23" fillId="7" borderId="14" xfId="2" applyFont="1" applyFill="1" applyBorder="1" applyAlignment="1">
      <alignment horizontal="right" vertical="center"/>
    </xf>
    <xf numFmtId="41" fontId="21" fillId="0" borderId="81" xfId="2" applyFont="1" applyBorder="1" applyAlignment="1">
      <alignment horizontal="right" vertical="center"/>
    </xf>
    <xf numFmtId="177" fontId="21" fillId="0" borderId="104" xfId="2" applyNumberFormat="1" applyFont="1" applyFill="1" applyBorder="1" applyAlignment="1">
      <alignment horizontal="right" vertical="center"/>
    </xf>
    <xf numFmtId="41" fontId="23" fillId="7" borderId="51" xfId="2" applyFont="1" applyFill="1" applyBorder="1" applyAlignment="1">
      <alignment horizontal="right" vertical="center"/>
    </xf>
    <xf numFmtId="41" fontId="23" fillId="3" borderId="33" xfId="2" applyFont="1" applyFill="1" applyBorder="1" applyAlignment="1">
      <alignment horizontal="right" vertical="center"/>
    </xf>
    <xf numFmtId="177" fontId="23" fillId="3" borderId="14" xfId="2" applyNumberFormat="1" applyFont="1" applyFill="1" applyBorder="1" applyAlignment="1">
      <alignment horizontal="right" vertical="center"/>
    </xf>
    <xf numFmtId="176" fontId="23" fillId="3" borderId="63" xfId="1" applyNumberFormat="1" applyFont="1" applyFill="1" applyBorder="1" applyAlignment="1">
      <alignment horizontal="center" vertical="center"/>
    </xf>
    <xf numFmtId="41" fontId="35" fillId="8" borderId="39" xfId="2" applyFont="1" applyFill="1" applyBorder="1" applyAlignment="1">
      <alignment horizontal="center" vertical="center"/>
    </xf>
    <xf numFmtId="177" fontId="35" fillId="8" borderId="39" xfId="2" applyNumberFormat="1" applyFont="1" applyFill="1" applyBorder="1" applyAlignment="1">
      <alignment horizontal="center" vertical="center"/>
    </xf>
    <xf numFmtId="176" fontId="23" fillId="8" borderId="62" xfId="0" applyNumberFormat="1" applyFont="1" applyFill="1" applyBorder="1" applyAlignment="1">
      <alignment horizontal="center" vertical="center"/>
    </xf>
    <xf numFmtId="177" fontId="23" fillId="7" borderId="13" xfId="2" applyNumberFormat="1" applyFont="1" applyFill="1" applyBorder="1" applyAlignment="1">
      <alignment horizontal="right" vertical="center"/>
    </xf>
    <xf numFmtId="176" fontId="38" fillId="7" borderId="13" xfId="1" applyNumberFormat="1" applyFont="1" applyFill="1" applyBorder="1" applyAlignment="1">
      <alignment vertical="center"/>
    </xf>
    <xf numFmtId="176" fontId="38" fillId="8" borderId="13" xfId="1" applyNumberFormat="1" applyFont="1" applyFill="1" applyBorder="1" applyAlignment="1">
      <alignment vertical="center"/>
    </xf>
    <xf numFmtId="41" fontId="23" fillId="0" borderId="0" xfId="2" applyFont="1" applyFill="1" applyAlignment="1">
      <alignment vertical="center"/>
    </xf>
    <xf numFmtId="0" fontId="21" fillId="0" borderId="0" xfId="0" applyFont="1" applyAlignment="1">
      <alignment vertical="center" wrapText="1"/>
    </xf>
    <xf numFmtId="177" fontId="21" fillId="0" borderId="0" xfId="2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23" fillId="7" borderId="13" xfId="0" applyFont="1" applyFill="1" applyBorder="1" applyAlignment="1">
      <alignment horizontal="center" vertical="center"/>
    </xf>
    <xf numFmtId="177" fontId="23" fillId="3" borderId="13" xfId="2" applyNumberFormat="1" applyFont="1" applyFill="1" applyBorder="1" applyAlignment="1">
      <alignment vertical="center"/>
    </xf>
    <xf numFmtId="0" fontId="40" fillId="2" borderId="74" xfId="0" applyFont="1" applyFill="1" applyBorder="1" applyAlignment="1">
      <alignment horizontal="center" vertical="center" wrapText="1"/>
    </xf>
    <xf numFmtId="177" fontId="41" fillId="2" borderId="74" xfId="0" applyNumberFormat="1" applyFont="1" applyFill="1" applyBorder="1" applyAlignment="1">
      <alignment horizontal="right" vertical="center"/>
    </xf>
    <xf numFmtId="177" fontId="40" fillId="2" borderId="74" xfId="2" applyNumberFormat="1" applyFont="1" applyFill="1" applyBorder="1" applyAlignment="1">
      <alignment horizontal="right" vertical="center"/>
    </xf>
    <xf numFmtId="0" fontId="21" fillId="2" borderId="75" xfId="0" applyFont="1" applyFill="1" applyBorder="1" applyAlignment="1">
      <alignment horizontal="center" vertical="center"/>
    </xf>
    <xf numFmtId="177" fontId="41" fillId="2" borderId="75" xfId="0" applyNumberFormat="1" applyFont="1" applyFill="1" applyBorder="1" applyAlignment="1">
      <alignment horizontal="right" vertical="center"/>
    </xf>
    <xf numFmtId="177" fontId="40" fillId="2" borderId="75" xfId="2" applyNumberFormat="1" applyFont="1" applyFill="1" applyBorder="1" applyAlignment="1">
      <alignment horizontal="right" vertical="center"/>
    </xf>
    <xf numFmtId="176" fontId="40" fillId="2" borderId="75" xfId="1" applyNumberFormat="1" applyFont="1" applyFill="1" applyBorder="1" applyAlignment="1">
      <alignment vertical="center"/>
    </xf>
    <xf numFmtId="49" fontId="21" fillId="2" borderId="75" xfId="0" applyNumberFormat="1" applyFont="1" applyFill="1" applyBorder="1" applyAlignment="1">
      <alignment horizontal="center" vertical="center"/>
    </xf>
    <xf numFmtId="0" fontId="21" fillId="2" borderId="81" xfId="0" applyFont="1" applyFill="1" applyBorder="1" applyAlignment="1">
      <alignment horizontal="center" vertical="center"/>
    </xf>
    <xf numFmtId="177" fontId="41" fillId="2" borderId="81" xfId="0" applyNumberFormat="1" applyFont="1" applyFill="1" applyBorder="1" applyAlignment="1">
      <alignment horizontal="right" vertical="center"/>
    </xf>
    <xf numFmtId="177" fontId="40" fillId="2" borderId="81" xfId="2" applyNumberFormat="1" applyFont="1" applyFill="1" applyBorder="1" applyAlignment="1">
      <alignment horizontal="right" vertical="center"/>
    </xf>
    <xf numFmtId="0" fontId="21" fillId="0" borderId="74" xfId="0" applyFont="1" applyBorder="1" applyAlignment="1">
      <alignment horizontal="center" vertical="center" wrapText="1"/>
    </xf>
    <xf numFmtId="177" fontId="21" fillId="0" borderId="74" xfId="2" applyNumberFormat="1" applyFont="1" applyBorder="1" applyAlignment="1">
      <alignment vertical="center"/>
    </xf>
    <xf numFmtId="0" fontId="21" fillId="0" borderId="75" xfId="0" applyFont="1" applyBorder="1" applyAlignment="1">
      <alignment horizontal="center" vertical="center" wrapText="1"/>
    </xf>
    <xf numFmtId="177" fontId="21" fillId="0" borderId="75" xfId="2" applyNumberFormat="1" applyFont="1" applyBorder="1" applyAlignment="1">
      <alignment vertical="center"/>
    </xf>
    <xf numFmtId="0" fontId="21" fillId="0" borderId="81" xfId="0" applyFont="1" applyBorder="1" applyAlignment="1">
      <alignment horizontal="center" vertical="center" wrapText="1"/>
    </xf>
    <xf numFmtId="177" fontId="21" fillId="0" borderId="81" xfId="2" applyNumberFormat="1" applyFont="1" applyBorder="1" applyAlignment="1">
      <alignment vertical="center"/>
    </xf>
    <xf numFmtId="0" fontId="23" fillId="8" borderId="13" xfId="0" applyFont="1" applyFill="1" applyBorder="1" applyAlignment="1">
      <alignment horizontal="center" vertical="center"/>
    </xf>
    <xf numFmtId="177" fontId="23" fillId="8" borderId="13" xfId="2" applyNumberFormat="1" applyFont="1" applyFill="1" applyBorder="1" applyAlignment="1">
      <alignment horizontal="center" vertical="center"/>
    </xf>
    <xf numFmtId="177" fontId="23" fillId="8" borderId="13" xfId="2" applyNumberFormat="1" applyFont="1" applyFill="1" applyBorder="1" applyAlignment="1">
      <alignment horizontal="center" vertical="center" wrapText="1"/>
    </xf>
    <xf numFmtId="41" fontId="23" fillId="8" borderId="13" xfId="2" applyFont="1" applyFill="1" applyBorder="1" applyAlignment="1">
      <alignment horizontal="center" vertical="center"/>
    </xf>
    <xf numFmtId="177" fontId="23" fillId="8" borderId="13" xfId="2" applyNumberFormat="1" applyFont="1" applyFill="1" applyBorder="1" applyAlignment="1">
      <alignment horizontal="right" vertical="center"/>
    </xf>
    <xf numFmtId="0" fontId="32" fillId="0" borderId="0" xfId="0" applyFont="1" applyFill="1" applyAlignment="1">
      <alignment horizontal="center"/>
    </xf>
    <xf numFmtId="176" fontId="38" fillId="0" borderId="56" xfId="1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23" fillId="0" borderId="44" xfId="4" applyNumberFormat="1" applyFont="1" applyFill="1" applyBorder="1" applyAlignment="1">
      <alignment horizontal="left" vertical="center"/>
    </xf>
    <xf numFmtId="0" fontId="21" fillId="0" borderId="0" xfId="4" applyNumberFormat="1" applyFont="1" applyFill="1" applyBorder="1" applyAlignment="1">
      <alignment vertical="center"/>
    </xf>
    <xf numFmtId="41" fontId="21" fillId="0" borderId="16" xfId="12707" applyFont="1" applyFill="1" applyBorder="1" applyAlignment="1">
      <alignment vertical="center"/>
    </xf>
    <xf numFmtId="41" fontId="21" fillId="0" borderId="74" xfId="2" applyFont="1" applyBorder="1" applyAlignment="1">
      <alignment horizontal="right" vertical="center"/>
    </xf>
    <xf numFmtId="177" fontId="21" fillId="0" borderId="89" xfId="2" applyNumberFormat="1" applyFont="1" applyFill="1" applyBorder="1" applyAlignment="1">
      <alignment horizontal="right" vertical="center"/>
    </xf>
    <xf numFmtId="176" fontId="21" fillId="0" borderId="90" xfId="1" applyNumberFormat="1" applyFont="1" applyFill="1" applyBorder="1" applyAlignment="1">
      <alignment horizontal="center" vertical="center"/>
    </xf>
    <xf numFmtId="41" fontId="21" fillId="0" borderId="0" xfId="2" applyFont="1" applyFill="1" applyBorder="1" applyAlignment="1">
      <alignment vertical="center"/>
    </xf>
    <xf numFmtId="177" fontId="32" fillId="0" borderId="0" xfId="0" applyNumberFormat="1" applyFont="1" applyFill="1" applyAlignment="1">
      <alignment horizontal="center"/>
    </xf>
    <xf numFmtId="0" fontId="21" fillId="0" borderId="78" xfId="0" applyFont="1" applyBorder="1" applyAlignment="1">
      <alignment horizontal="center" vertical="center" wrapText="1"/>
    </xf>
    <xf numFmtId="177" fontId="21" fillId="0" borderId="78" xfId="2" applyNumberFormat="1" applyFont="1" applyBorder="1" applyAlignment="1">
      <alignment vertical="center"/>
    </xf>
    <xf numFmtId="0" fontId="21" fillId="0" borderId="83" xfId="0" applyFont="1" applyBorder="1" applyAlignment="1">
      <alignment horizontal="center" vertical="center" wrapText="1"/>
    </xf>
    <xf numFmtId="177" fontId="21" fillId="0" borderId="83" xfId="2" applyNumberFormat="1" applyFont="1" applyBorder="1" applyAlignment="1">
      <alignment vertical="center"/>
    </xf>
    <xf numFmtId="184" fontId="23" fillId="0" borderId="0" xfId="0" applyNumberFormat="1" applyFont="1" applyFill="1" applyBorder="1" applyAlignment="1">
      <alignment vertical="center"/>
    </xf>
    <xf numFmtId="38" fontId="32" fillId="0" borderId="0" xfId="0" applyNumberFormat="1" applyFont="1" applyFill="1" applyAlignment="1">
      <alignment horizontal="center"/>
    </xf>
    <xf numFmtId="184" fontId="20" fillId="2" borderId="25" xfId="0" applyNumberFormat="1" applyFont="1" applyFill="1" applyBorder="1" applyAlignment="1">
      <alignment horizontal="right" vertical="center"/>
    </xf>
    <xf numFmtId="3" fontId="20" fillId="2" borderId="16" xfId="6" applyNumberFormat="1" applyFont="1" applyFill="1" applyBorder="1" applyAlignment="1">
      <alignment horizontal="center" vertical="center"/>
    </xf>
    <xf numFmtId="177" fontId="20" fillId="2" borderId="0" xfId="6" applyNumberFormat="1" applyFont="1" applyFill="1" applyBorder="1" applyAlignment="1">
      <alignment horizontal="right" vertical="center"/>
    </xf>
    <xf numFmtId="41" fontId="20" fillId="2" borderId="5" xfId="2" applyFont="1" applyFill="1" applyBorder="1" applyAlignment="1">
      <alignment vertical="center"/>
    </xf>
    <xf numFmtId="177" fontId="20" fillId="2" borderId="9" xfId="0" applyNumberFormat="1" applyFont="1" applyFill="1" applyBorder="1" applyAlignment="1">
      <alignment horizontal="right" vertical="center"/>
    </xf>
    <xf numFmtId="41" fontId="20" fillId="2" borderId="3" xfId="2" applyFont="1" applyFill="1" applyBorder="1" applyAlignment="1">
      <alignment vertical="center"/>
    </xf>
    <xf numFmtId="3" fontId="20" fillId="2" borderId="31" xfId="0" applyNumberFormat="1" applyFont="1" applyFill="1" applyBorder="1" applyAlignment="1">
      <alignment vertical="center"/>
    </xf>
    <xf numFmtId="177" fontId="20" fillId="2" borderId="103" xfId="0" applyNumberFormat="1" applyFont="1" applyFill="1" applyBorder="1" applyAlignment="1">
      <alignment horizontal="right" vertical="center"/>
    </xf>
    <xf numFmtId="0" fontId="51" fillId="0" borderId="0" xfId="0" applyFont="1" applyFill="1" applyAlignment="1">
      <alignment vertical="center"/>
    </xf>
    <xf numFmtId="41" fontId="20" fillId="2" borderId="2" xfId="0" applyNumberFormat="1" applyFont="1" applyFill="1" applyBorder="1" applyAlignment="1">
      <alignment vertical="center"/>
    </xf>
    <xf numFmtId="41" fontId="20" fillId="2" borderId="13" xfId="2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17" fillId="2" borderId="0" xfId="0" applyFont="1" applyFill="1"/>
    <xf numFmtId="3" fontId="20" fillId="2" borderId="13" xfId="6" applyNumberFormat="1" applyFont="1" applyFill="1" applyBorder="1" applyAlignment="1">
      <alignment horizontal="center" vertical="center"/>
    </xf>
    <xf numFmtId="41" fontId="20" fillId="2" borderId="2" xfId="2" applyNumberFormat="1" applyFont="1" applyFill="1" applyBorder="1" applyAlignment="1">
      <alignment horizontal="right" vertical="center"/>
    </xf>
    <xf numFmtId="0" fontId="21" fillId="2" borderId="31" xfId="6" applyFont="1" applyFill="1" applyBorder="1" applyAlignment="1">
      <alignment vertical="center"/>
    </xf>
    <xf numFmtId="41" fontId="20" fillId="2" borderId="12" xfId="2" applyFont="1" applyFill="1" applyBorder="1" applyAlignment="1">
      <alignment vertical="center"/>
    </xf>
    <xf numFmtId="0" fontId="20" fillId="2" borderId="2" xfId="0" applyFont="1" applyFill="1" applyBorder="1" applyAlignment="1">
      <alignment vertical="center"/>
    </xf>
    <xf numFmtId="3" fontId="20" fillId="2" borderId="11" xfId="6" applyNumberFormat="1" applyFont="1" applyFill="1" applyBorder="1" applyAlignment="1">
      <alignment horizontal="center" vertical="center"/>
    </xf>
    <xf numFmtId="3" fontId="20" fillId="2" borderId="32" xfId="6" applyNumberFormat="1" applyFont="1" applyFill="1" applyBorder="1" applyAlignment="1">
      <alignment horizontal="center" vertical="center"/>
    </xf>
    <xf numFmtId="3" fontId="20" fillId="2" borderId="43" xfId="6" applyNumberFormat="1" applyFont="1" applyFill="1" applyBorder="1" applyAlignment="1">
      <alignment horizontal="center" vertical="center"/>
    </xf>
    <xf numFmtId="3" fontId="22" fillId="2" borderId="8" xfId="6" applyNumberFormat="1" applyFont="1" applyFill="1" applyBorder="1" applyAlignment="1">
      <alignment vertical="center"/>
    </xf>
    <xf numFmtId="3" fontId="20" fillId="2" borderId="9" xfId="6" applyNumberFormat="1" applyFont="1" applyFill="1" applyBorder="1" applyAlignment="1">
      <alignment horizontal="center" vertical="center"/>
    </xf>
    <xf numFmtId="3" fontId="20" fillId="2" borderId="52" xfId="6" applyNumberFormat="1" applyFont="1" applyFill="1" applyBorder="1" applyAlignment="1">
      <alignment vertical="top"/>
    </xf>
    <xf numFmtId="3" fontId="20" fillId="2" borderId="9" xfId="6" applyNumberFormat="1" applyFont="1" applyFill="1" applyBorder="1" applyAlignment="1">
      <alignment vertical="top"/>
    </xf>
    <xf numFmtId="3" fontId="20" fillId="2" borderId="31" xfId="6" applyNumberFormat="1" applyFont="1" applyFill="1" applyBorder="1" applyAlignment="1">
      <alignment vertical="top"/>
    </xf>
    <xf numFmtId="3" fontId="20" fillId="2" borderId="10" xfId="6" applyNumberFormat="1" applyFont="1" applyFill="1" applyBorder="1" applyAlignment="1">
      <alignment vertical="top"/>
    </xf>
    <xf numFmtId="3" fontId="20" fillId="2" borderId="25" xfId="6" applyNumberFormat="1" applyFont="1" applyFill="1" applyBorder="1" applyAlignment="1">
      <alignment vertical="top"/>
    </xf>
    <xf numFmtId="3" fontId="20" fillId="2" borderId="26" xfId="6" applyNumberFormat="1" applyFont="1" applyFill="1" applyBorder="1" applyAlignment="1">
      <alignment horizontal="center" vertical="center"/>
    </xf>
    <xf numFmtId="0" fontId="21" fillId="2" borderId="26" xfId="6" applyFont="1" applyFill="1" applyBorder="1" applyAlignment="1">
      <alignment vertical="center"/>
    </xf>
    <xf numFmtId="3" fontId="22" fillId="2" borderId="8" xfId="6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left" vertical="center" shrinkToFit="1"/>
    </xf>
    <xf numFmtId="0" fontId="21" fillId="2" borderId="0" xfId="6" applyFont="1" applyFill="1" applyAlignment="1">
      <alignment vertical="center"/>
    </xf>
    <xf numFmtId="3" fontId="20" fillId="2" borderId="10" xfId="6" applyNumberFormat="1" applyFont="1" applyFill="1" applyBorder="1" applyAlignment="1">
      <alignment horizontal="right" vertical="center"/>
    </xf>
    <xf numFmtId="184" fontId="20" fillId="2" borderId="10" xfId="6" applyNumberFormat="1" applyFont="1" applyFill="1" applyBorder="1" applyAlignment="1">
      <alignment vertical="center"/>
    </xf>
    <xf numFmtId="177" fontId="50" fillId="2" borderId="9" xfId="2" applyNumberFormat="1" applyFont="1" applyFill="1" applyBorder="1" applyAlignment="1">
      <alignment vertical="center"/>
    </xf>
    <xf numFmtId="3" fontId="50" fillId="2" borderId="12" xfId="6" applyNumberFormat="1" applyFont="1" applyFill="1" applyBorder="1" applyAlignment="1">
      <alignment horizontal="left" vertical="center"/>
    </xf>
    <xf numFmtId="3" fontId="50" fillId="2" borderId="29" xfId="6" applyNumberFormat="1" applyFont="1" applyFill="1" applyBorder="1" applyAlignment="1">
      <alignment horizontal="left" vertical="center"/>
    </xf>
    <xf numFmtId="3" fontId="50" fillId="2" borderId="30" xfId="2" applyNumberFormat="1" applyFont="1" applyFill="1" applyBorder="1" applyAlignment="1">
      <alignment horizontal="left" vertical="center"/>
    </xf>
    <xf numFmtId="3" fontId="50" fillId="2" borderId="27" xfId="6" applyNumberFormat="1" applyFont="1" applyFill="1" applyBorder="1" applyAlignment="1">
      <alignment vertical="center"/>
    </xf>
    <xf numFmtId="3" fontId="50" fillId="2" borderId="5" xfId="2" applyNumberFormat="1" applyFont="1" applyFill="1" applyBorder="1" applyAlignment="1">
      <alignment vertical="center"/>
    </xf>
    <xf numFmtId="178" fontId="20" fillId="2" borderId="14" xfId="2" applyNumberFormat="1" applyFont="1" applyFill="1" applyBorder="1" applyAlignment="1">
      <alignment vertical="center"/>
    </xf>
    <xf numFmtId="177" fontId="20" fillId="2" borderId="36" xfId="2" applyNumberFormat="1" applyFont="1" applyFill="1" applyBorder="1" applyAlignment="1">
      <alignment vertical="center"/>
    </xf>
    <xf numFmtId="41" fontId="21" fillId="0" borderId="16" xfId="2" applyFont="1" applyFill="1" applyBorder="1" applyAlignment="1">
      <alignment vertical="center"/>
    </xf>
    <xf numFmtId="0" fontId="20" fillId="2" borderId="10" xfId="0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178" fontId="20" fillId="2" borderId="0" xfId="0" applyNumberFormat="1" applyFont="1" applyFill="1" applyBorder="1" applyAlignment="1">
      <alignment vertical="center"/>
    </xf>
    <xf numFmtId="0" fontId="20" fillId="2" borderId="22" xfId="0" applyFont="1" applyFill="1" applyBorder="1" applyAlignment="1">
      <alignment vertical="center"/>
    </xf>
    <xf numFmtId="178" fontId="20" fillId="2" borderId="7" xfId="0" applyNumberFormat="1" applyFont="1" applyFill="1" applyBorder="1" applyAlignment="1">
      <alignment vertical="center"/>
    </xf>
    <xf numFmtId="0" fontId="20" fillId="2" borderId="10" xfId="0" applyFont="1" applyFill="1" applyBorder="1" applyAlignment="1">
      <alignment vertical="center" wrapText="1"/>
    </xf>
    <xf numFmtId="177" fontId="20" fillId="2" borderId="56" xfId="0" applyNumberFormat="1" applyFont="1" applyFill="1" applyBorder="1" applyAlignment="1">
      <alignment vertical="center"/>
    </xf>
    <xf numFmtId="0" fontId="20" fillId="2" borderId="25" xfId="0" applyFont="1" applyFill="1" applyBorder="1" applyAlignment="1">
      <alignment vertical="center"/>
    </xf>
    <xf numFmtId="3" fontId="20" fillId="2" borderId="10" xfId="0" applyNumberFormat="1" applyFont="1" applyFill="1" applyBorder="1" applyAlignment="1">
      <alignment vertical="center"/>
    </xf>
    <xf numFmtId="3" fontId="20" fillId="2" borderId="29" xfId="0" applyNumberFormat="1" applyFont="1" applyFill="1" applyBorder="1" applyAlignment="1">
      <alignment vertical="center"/>
    </xf>
    <xf numFmtId="3" fontId="20" fillId="2" borderId="30" xfId="0" applyNumberFormat="1" applyFont="1" applyFill="1" applyBorder="1" applyAlignment="1">
      <alignment vertical="center"/>
    </xf>
    <xf numFmtId="3" fontId="20" fillId="2" borderId="30" xfId="0" applyNumberFormat="1" applyFont="1" applyFill="1" applyBorder="1" applyAlignment="1">
      <alignment horizontal="left" vertical="center"/>
    </xf>
    <xf numFmtId="3" fontId="20" fillId="2" borderId="30" xfId="0" applyNumberFormat="1" applyFont="1" applyFill="1" applyBorder="1" applyAlignment="1">
      <alignment horizontal="center" vertical="center"/>
    </xf>
    <xf numFmtId="177" fontId="20" fillId="2" borderId="10" xfId="6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horizontal="center" vertical="center"/>
    </xf>
    <xf numFmtId="178" fontId="20" fillId="2" borderId="10" xfId="0" applyNumberFormat="1" applyFont="1" applyFill="1" applyBorder="1" applyAlignment="1">
      <alignment vertical="center"/>
    </xf>
    <xf numFmtId="178" fontId="20" fillId="2" borderId="2" xfId="2" applyNumberFormat="1" applyFont="1" applyFill="1" applyBorder="1" applyAlignment="1">
      <alignment vertical="center"/>
    </xf>
    <xf numFmtId="41" fontId="20" fillId="2" borderId="0" xfId="2" applyFont="1" applyFill="1" applyAlignment="1">
      <alignment vertical="center"/>
    </xf>
    <xf numFmtId="0" fontId="20" fillId="2" borderId="31" xfId="0" applyFont="1" applyFill="1" applyBorder="1" applyAlignment="1">
      <alignment vertical="center" wrapText="1"/>
    </xf>
    <xf numFmtId="0" fontId="20" fillId="2" borderId="10" xfId="0" applyFont="1" applyFill="1" applyBorder="1" applyAlignment="1">
      <alignment horizontal="left" vertical="center"/>
    </xf>
    <xf numFmtId="0" fontId="0" fillId="2" borderId="30" xfId="0" applyFont="1" applyFill="1" applyBorder="1" applyAlignment="1">
      <alignment vertical="center"/>
    </xf>
    <xf numFmtId="177" fontId="20" fillId="2" borderId="35" xfId="6" applyNumberFormat="1" applyFont="1" applyFill="1" applyBorder="1" applyAlignment="1">
      <alignment vertical="center"/>
    </xf>
    <xf numFmtId="0" fontId="20" fillId="2" borderId="26" xfId="0" applyFont="1" applyFill="1" applyBorder="1" applyAlignment="1">
      <alignment vertical="center" wrapText="1"/>
    </xf>
    <xf numFmtId="177" fontId="50" fillId="2" borderId="14" xfId="6" applyNumberFormat="1" applyFont="1" applyFill="1" applyBorder="1" applyAlignment="1">
      <alignment vertical="center"/>
    </xf>
    <xf numFmtId="3" fontId="50" fillId="2" borderId="22" xfId="0" applyNumberFormat="1" applyFont="1" applyFill="1" applyBorder="1" applyAlignment="1">
      <alignment vertical="center"/>
    </xf>
    <xf numFmtId="3" fontId="50" fillId="2" borderId="7" xfId="0" applyNumberFormat="1" applyFont="1" applyFill="1" applyBorder="1" applyAlignment="1">
      <alignment vertical="center"/>
    </xf>
    <xf numFmtId="3" fontId="50" fillId="2" borderId="7" xfId="0" applyNumberFormat="1" applyFont="1" applyFill="1" applyBorder="1" applyAlignment="1">
      <alignment horizontal="center" vertical="center"/>
    </xf>
    <xf numFmtId="178" fontId="20" fillId="2" borderId="13" xfId="0" applyNumberFormat="1" applyFont="1" applyFill="1" applyBorder="1" applyAlignment="1">
      <alignment vertical="center"/>
    </xf>
    <xf numFmtId="0" fontId="20" fillId="2" borderId="31" xfId="0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178" fontId="20" fillId="2" borderId="14" xfId="6" applyNumberFormat="1" applyFont="1" applyFill="1" applyBorder="1" applyAlignment="1">
      <alignment vertical="center"/>
    </xf>
    <xf numFmtId="0" fontId="20" fillId="2" borderId="7" xfId="0" quotePrefix="1" applyFont="1" applyFill="1" applyBorder="1" applyAlignment="1">
      <alignment horizontal="center" vertical="center"/>
    </xf>
    <xf numFmtId="178" fontId="20" fillId="2" borderId="4" xfId="0" applyNumberFormat="1" applyFont="1" applyFill="1" applyBorder="1" applyAlignment="1">
      <alignment vertical="center"/>
    </xf>
    <xf numFmtId="3" fontId="20" fillId="2" borderId="25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" xfId="6" applyNumberFormat="1" applyFont="1" applyFill="1" applyBorder="1" applyAlignment="1">
      <alignment horizontal="left" vertical="center"/>
    </xf>
    <xf numFmtId="3" fontId="20" fillId="2" borderId="1" xfId="0" applyNumberFormat="1" applyFont="1" applyFill="1" applyBorder="1" applyAlignment="1">
      <alignment vertical="center"/>
    </xf>
    <xf numFmtId="3" fontId="20" fillId="2" borderId="1" xfId="0" applyNumberFormat="1" applyFont="1" applyFill="1" applyBorder="1" applyAlignment="1">
      <alignment horizontal="center" vertical="center"/>
    </xf>
    <xf numFmtId="0" fontId="51" fillId="2" borderId="12" xfId="0" applyFont="1" applyFill="1" applyBorder="1" applyAlignment="1">
      <alignment vertical="center"/>
    </xf>
    <xf numFmtId="177" fontId="50" fillId="2" borderId="13" xfId="0" applyNumberFormat="1" applyFont="1" applyFill="1" applyBorder="1" applyAlignment="1">
      <alignment vertical="center"/>
    </xf>
    <xf numFmtId="177" fontId="50" fillId="2" borderId="36" xfId="6" applyNumberFormat="1" applyFont="1" applyFill="1" applyBorder="1" applyAlignment="1">
      <alignment horizontal="right" vertical="center"/>
    </xf>
    <xf numFmtId="0" fontId="20" fillId="2" borderId="25" xfId="0" applyFont="1" applyFill="1" applyBorder="1" applyAlignment="1">
      <alignment vertical="center" wrapText="1"/>
    </xf>
    <xf numFmtId="178" fontId="20" fillId="2" borderId="15" xfId="2" applyNumberFormat="1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3" fontId="22" fillId="2" borderId="1" xfId="6" applyNumberFormat="1" applyFont="1" applyFill="1" applyBorder="1" applyAlignment="1">
      <alignment vertical="center"/>
    </xf>
    <xf numFmtId="177" fontId="20" fillId="2" borderId="25" xfId="2" applyNumberFormat="1" applyFont="1" applyFill="1" applyBorder="1" applyAlignment="1">
      <alignment horizontal="center" vertical="center"/>
    </xf>
    <xf numFmtId="177" fontId="20" fillId="2" borderId="40" xfId="2" applyNumberFormat="1" applyFont="1" applyFill="1" applyBorder="1" applyAlignment="1">
      <alignment horizontal="center" vertical="center"/>
    </xf>
    <xf numFmtId="0" fontId="50" fillId="2" borderId="30" xfId="0" applyFont="1" applyFill="1" applyBorder="1" applyAlignment="1">
      <alignment vertical="center"/>
    </xf>
    <xf numFmtId="49" fontId="21" fillId="2" borderId="20" xfId="0" applyNumberFormat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49" fontId="21" fillId="2" borderId="5" xfId="0" applyNumberFormat="1" applyFont="1" applyFill="1" applyBorder="1" applyAlignment="1">
      <alignment horizontal="center" vertical="center"/>
    </xf>
    <xf numFmtId="0" fontId="50" fillId="2" borderId="30" xfId="0" applyFont="1" applyFill="1" applyBorder="1" applyAlignment="1">
      <alignment horizontal="left" vertical="center"/>
    </xf>
    <xf numFmtId="0" fontId="50" fillId="2" borderId="26" xfId="0" applyFont="1" applyFill="1" applyBorder="1" applyAlignment="1">
      <alignment horizontal="left" vertical="center"/>
    </xf>
    <xf numFmtId="10" fontId="20" fillId="2" borderId="0" xfId="13" applyNumberFormat="1" applyFont="1" applyFill="1" applyBorder="1" applyAlignment="1">
      <alignment horizontal="right" vertical="center"/>
    </xf>
    <xf numFmtId="3" fontId="20" fillId="2" borderId="5" xfId="0" applyNumberFormat="1" applyFont="1" applyFill="1" applyBorder="1" applyAlignment="1">
      <alignment vertical="center"/>
    </xf>
    <xf numFmtId="177" fontId="22" fillId="2" borderId="25" xfId="0" applyNumberFormat="1" applyFont="1" applyFill="1" applyBorder="1" applyAlignment="1">
      <alignment horizontal="right" vertical="center"/>
    </xf>
    <xf numFmtId="3" fontId="20" fillId="2" borderId="46" xfId="0" applyNumberFormat="1" applyFont="1" applyFill="1" applyBorder="1" applyAlignment="1">
      <alignment vertical="center"/>
    </xf>
    <xf numFmtId="3" fontId="20" fillId="2" borderId="15" xfId="2" applyNumberFormat="1" applyFont="1" applyFill="1" applyBorder="1" applyAlignment="1">
      <alignment horizontal="left" vertical="center"/>
    </xf>
    <xf numFmtId="184" fontId="50" fillId="2" borderId="10" xfId="0" applyNumberFormat="1" applyFont="1" applyFill="1" applyBorder="1" applyAlignment="1">
      <alignment horizontal="right" vertical="center"/>
    </xf>
    <xf numFmtId="184" fontId="50" fillId="2" borderId="10" xfId="6" applyNumberFormat="1" applyFont="1" applyFill="1" applyBorder="1" applyAlignment="1">
      <alignment vertical="center"/>
    </xf>
    <xf numFmtId="3" fontId="50" fillId="2" borderId="0" xfId="2" applyNumberFormat="1" applyFont="1" applyFill="1" applyBorder="1" applyAlignment="1">
      <alignment horizontal="left" vertical="center"/>
    </xf>
    <xf numFmtId="0" fontId="20" fillId="2" borderId="8" xfId="6" applyFont="1" applyFill="1" applyBorder="1" applyAlignment="1">
      <alignment vertical="center"/>
    </xf>
    <xf numFmtId="0" fontId="20" fillId="2" borderId="10" xfId="6" applyFont="1" applyFill="1" applyBorder="1" applyAlignment="1">
      <alignment vertical="center"/>
    </xf>
    <xf numFmtId="41" fontId="20" fillId="2" borderId="28" xfId="2" applyFont="1" applyFill="1" applyBorder="1" applyAlignment="1">
      <alignment horizontal="left" vertical="center" shrinkToFit="1"/>
    </xf>
    <xf numFmtId="0" fontId="0" fillId="2" borderId="0" xfId="0" applyFill="1" applyBorder="1" applyAlignment="1">
      <alignment vertical="center"/>
    </xf>
    <xf numFmtId="41" fontId="22" fillId="2" borderId="2" xfId="2" applyFont="1" applyFill="1" applyBorder="1" applyAlignment="1">
      <alignment vertical="center"/>
    </xf>
    <xf numFmtId="177" fontId="20" fillId="2" borderId="34" xfId="2" applyNumberFormat="1" applyFont="1" applyFill="1" applyBorder="1" applyAlignment="1">
      <alignment vertical="center"/>
    </xf>
    <xf numFmtId="38" fontId="57" fillId="2" borderId="0" xfId="6" applyNumberFormat="1" applyFont="1" applyFill="1" applyAlignment="1">
      <alignment horizontal="center" vertical="center"/>
    </xf>
    <xf numFmtId="0" fontId="50" fillId="2" borderId="0" xfId="6" applyFont="1" applyFill="1" applyBorder="1" applyAlignment="1">
      <alignment vertical="center"/>
    </xf>
    <xf numFmtId="177" fontId="50" fillId="2" borderId="0" xfId="2" applyNumberFormat="1" applyFont="1" applyFill="1" applyBorder="1" applyAlignment="1">
      <alignment vertical="center"/>
    </xf>
    <xf numFmtId="177" fontId="50" fillId="2" borderId="0" xfId="2" applyNumberFormat="1" applyFont="1" applyFill="1" applyBorder="1" applyAlignment="1">
      <alignment horizontal="right" vertical="center"/>
    </xf>
    <xf numFmtId="3" fontId="50" fillId="2" borderId="0" xfId="6" applyNumberFormat="1" applyFont="1" applyFill="1" applyBorder="1">
      <alignment vertical="center"/>
    </xf>
    <xf numFmtId="180" fontId="50" fillId="2" borderId="0" xfId="2" applyNumberFormat="1" applyFont="1" applyFill="1" applyBorder="1" applyAlignment="1">
      <alignment horizontal="right" vertical="center"/>
    </xf>
    <xf numFmtId="41" fontId="50" fillId="2" borderId="0" xfId="6" applyNumberFormat="1" applyFont="1" applyFill="1" applyBorder="1" applyAlignment="1">
      <alignment vertical="center"/>
    </xf>
    <xf numFmtId="0" fontId="50" fillId="2" borderId="0" xfId="6" applyFont="1" applyFill="1" applyBorder="1" applyAlignment="1">
      <alignment horizontal="left" vertical="center"/>
    </xf>
    <xf numFmtId="0" fontId="50" fillId="2" borderId="0" xfId="6" applyFont="1" applyFill="1" applyBorder="1" applyAlignment="1">
      <alignment horizontal="center" vertical="center"/>
    </xf>
    <xf numFmtId="41" fontId="50" fillId="2" borderId="61" xfId="6" applyNumberFormat="1" applyFont="1" applyFill="1" applyBorder="1" applyAlignment="1">
      <alignment vertical="center"/>
    </xf>
    <xf numFmtId="3" fontId="50" fillId="2" borderId="18" xfId="6" applyNumberFormat="1" applyFont="1" applyFill="1" applyBorder="1" applyAlignment="1">
      <alignment horizontal="center" vertical="center"/>
    </xf>
    <xf numFmtId="3" fontId="50" fillId="2" borderId="51" xfId="6" applyNumberFormat="1" applyFont="1" applyFill="1" applyBorder="1" applyAlignment="1">
      <alignment horizontal="center" vertical="center"/>
    </xf>
    <xf numFmtId="3" fontId="50" fillId="2" borderId="19" xfId="6" applyNumberFormat="1" applyFont="1" applyFill="1" applyBorder="1" applyAlignment="1">
      <alignment horizontal="center" vertical="center"/>
    </xf>
    <xf numFmtId="3" fontId="50" fillId="2" borderId="57" xfId="6" applyNumberFormat="1" applyFont="1" applyFill="1" applyBorder="1" applyAlignment="1">
      <alignment vertical="center"/>
    </xf>
    <xf numFmtId="177" fontId="53" fillId="2" borderId="39" xfId="2" applyNumberFormat="1" applyFont="1" applyFill="1" applyBorder="1" applyAlignment="1">
      <alignment horizontal="right" vertical="center"/>
    </xf>
    <xf numFmtId="177" fontId="53" fillId="2" borderId="62" xfId="2" applyNumberFormat="1" applyFont="1" applyFill="1" applyBorder="1" applyAlignment="1">
      <alignment horizontal="right" vertical="center"/>
    </xf>
    <xf numFmtId="3" fontId="50" fillId="2" borderId="44" xfId="6" applyNumberFormat="1" applyFont="1" applyFill="1" applyBorder="1" applyAlignment="1">
      <alignment vertical="center"/>
    </xf>
    <xf numFmtId="3" fontId="50" fillId="2" borderId="45" xfId="6" applyNumberFormat="1" applyFont="1" applyFill="1" applyBorder="1" applyAlignment="1">
      <alignment vertical="center"/>
    </xf>
    <xf numFmtId="3" fontId="50" fillId="2" borderId="45" xfId="6" applyNumberFormat="1" applyFont="1" applyFill="1" applyBorder="1" applyAlignment="1">
      <alignment horizontal="centerContinuous" vertical="center"/>
    </xf>
    <xf numFmtId="3" fontId="50" fillId="2" borderId="45" xfId="2" applyNumberFormat="1" applyFont="1" applyFill="1" applyBorder="1" applyAlignment="1">
      <alignment horizontal="centerContinuous" vertical="center"/>
    </xf>
    <xf numFmtId="3" fontId="50" fillId="2" borderId="45" xfId="6" applyNumberFormat="1" applyFont="1" applyFill="1" applyBorder="1" applyAlignment="1">
      <alignment horizontal="left" vertical="center"/>
    </xf>
    <xf numFmtId="3" fontId="50" fillId="2" borderId="45" xfId="6" applyNumberFormat="1" applyFont="1" applyFill="1" applyBorder="1" applyAlignment="1">
      <alignment horizontal="center" vertical="center"/>
    </xf>
    <xf numFmtId="3" fontId="50" fillId="2" borderId="46" xfId="2" applyNumberFormat="1" applyFont="1" applyFill="1" applyBorder="1" applyAlignment="1">
      <alignment vertical="center"/>
    </xf>
    <xf numFmtId="3" fontId="50" fillId="2" borderId="73" xfId="6" applyNumberFormat="1" applyFont="1" applyFill="1" applyBorder="1" applyAlignment="1">
      <alignment vertical="center"/>
    </xf>
    <xf numFmtId="3" fontId="53" fillId="2" borderId="16" xfId="6" applyNumberFormat="1" applyFont="1" applyFill="1" applyBorder="1" applyAlignment="1">
      <alignment horizontal="left" vertical="center"/>
    </xf>
    <xf numFmtId="3" fontId="53" fillId="2" borderId="50" xfId="6" applyNumberFormat="1" applyFont="1" applyFill="1" applyBorder="1" applyAlignment="1">
      <alignment horizontal="left" vertical="center"/>
    </xf>
    <xf numFmtId="3" fontId="53" fillId="2" borderId="0" xfId="6" applyNumberFormat="1" applyFont="1" applyFill="1" applyBorder="1" applyAlignment="1">
      <alignment horizontal="left" vertical="center"/>
    </xf>
    <xf numFmtId="3" fontId="53" fillId="2" borderId="16" xfId="6" applyNumberFormat="1" applyFont="1" applyFill="1" applyBorder="1">
      <alignment vertical="center"/>
    </xf>
    <xf numFmtId="3" fontId="50" fillId="2" borderId="16" xfId="6" applyNumberFormat="1" applyFont="1" applyFill="1" applyBorder="1">
      <alignment vertical="center"/>
    </xf>
    <xf numFmtId="3" fontId="50" fillId="2" borderId="21" xfId="6" applyNumberFormat="1" applyFont="1" applyFill="1" applyBorder="1" applyAlignment="1">
      <alignment vertical="center"/>
    </xf>
    <xf numFmtId="177" fontId="50" fillId="2" borderId="14" xfId="2" applyNumberFormat="1" applyFont="1" applyFill="1" applyBorder="1" applyAlignment="1">
      <alignment horizontal="right" vertical="center"/>
    </xf>
    <xf numFmtId="3" fontId="53" fillId="2" borderId="6" xfId="6" applyNumberFormat="1" applyFont="1" applyFill="1" applyBorder="1" applyAlignment="1">
      <alignment vertical="center"/>
    </xf>
    <xf numFmtId="3" fontId="50" fillId="2" borderId="0" xfId="2" applyNumberFormat="1" applyFont="1" applyFill="1" applyBorder="1" applyAlignment="1">
      <alignment horizontal="center" vertical="center"/>
    </xf>
    <xf numFmtId="3" fontId="50" fillId="2" borderId="0" xfId="6" applyNumberFormat="1" applyFont="1" applyFill="1" applyBorder="1" applyAlignment="1">
      <alignment horizontal="right"/>
    </xf>
    <xf numFmtId="3" fontId="50" fillId="2" borderId="0" xfId="6" applyNumberFormat="1" applyFont="1" applyFill="1" applyBorder="1" applyAlignment="1">
      <alignment horizontal="left"/>
    </xf>
    <xf numFmtId="177" fontId="50" fillId="2" borderId="13" xfId="2" applyNumberFormat="1" applyFont="1" applyFill="1" applyBorder="1" applyAlignment="1">
      <alignment horizontal="right" vertical="center"/>
    </xf>
    <xf numFmtId="3" fontId="50" fillId="2" borderId="30" xfId="6" applyNumberFormat="1" applyFont="1" applyFill="1" applyBorder="1" applyAlignment="1">
      <alignment horizontal="right" vertical="center"/>
    </xf>
    <xf numFmtId="183" fontId="50" fillId="2" borderId="30" xfId="2" applyNumberFormat="1" applyFont="1" applyFill="1" applyBorder="1" applyAlignment="1">
      <alignment vertical="center"/>
    </xf>
    <xf numFmtId="9" fontId="50" fillId="2" borderId="0" xfId="1" applyNumberFormat="1" applyFont="1" applyFill="1" applyBorder="1" applyAlignment="1">
      <alignment vertical="center" wrapText="1"/>
    </xf>
    <xf numFmtId="184" fontId="50" fillId="2" borderId="7" xfId="1" applyNumberFormat="1" applyFont="1" applyFill="1" applyBorder="1" applyAlignment="1">
      <alignment vertical="center" wrapText="1"/>
    </xf>
    <xf numFmtId="3" fontId="50" fillId="2" borderId="28" xfId="6" applyNumberFormat="1" applyFont="1" applyFill="1" applyBorder="1" applyAlignment="1">
      <alignment vertical="center"/>
    </xf>
    <xf numFmtId="3" fontId="50" fillId="2" borderId="59" xfId="6" applyNumberFormat="1" applyFont="1" applyFill="1" applyBorder="1" applyAlignment="1">
      <alignment vertical="center"/>
    </xf>
    <xf numFmtId="0" fontId="50" fillId="2" borderId="0" xfId="0" applyFont="1" applyFill="1" applyBorder="1" applyAlignment="1">
      <alignment horizontal="right" vertical="center"/>
    </xf>
    <xf numFmtId="178" fontId="50" fillId="2" borderId="2" xfId="0" applyNumberFormat="1" applyFont="1" applyFill="1" applyBorder="1" applyAlignment="1">
      <alignment horizontal="right" vertical="center" wrapText="1"/>
    </xf>
    <xf numFmtId="41" fontId="50" fillId="2" borderId="0" xfId="2" applyFont="1" applyFill="1" applyBorder="1" applyAlignment="1">
      <alignment horizontal="right" vertical="center" wrapText="1"/>
    </xf>
    <xf numFmtId="3" fontId="50" fillId="2" borderId="60" xfId="6" applyNumberFormat="1" applyFont="1" applyFill="1" applyBorder="1" applyAlignment="1">
      <alignment vertical="center"/>
    </xf>
    <xf numFmtId="177" fontId="51" fillId="2" borderId="10" xfId="2" applyNumberFormat="1" applyFont="1" applyFill="1" applyBorder="1"/>
    <xf numFmtId="3" fontId="50" fillId="2" borderId="0" xfId="6" applyNumberFormat="1" applyFont="1" applyFill="1" applyBorder="1" applyAlignment="1">
      <alignment vertical="center" wrapText="1"/>
    </xf>
    <xf numFmtId="3" fontId="50" fillId="2" borderId="30" xfId="6" applyNumberFormat="1" applyFont="1" applyFill="1" applyBorder="1">
      <alignment vertical="center"/>
    </xf>
    <xf numFmtId="176" fontId="50" fillId="2" borderId="0" xfId="1" applyNumberFormat="1" applyFont="1" applyFill="1" applyBorder="1" applyAlignment="1">
      <alignment vertical="center"/>
    </xf>
    <xf numFmtId="3" fontId="50" fillId="2" borderId="11" xfId="6" applyNumberFormat="1" applyFont="1" applyFill="1" applyBorder="1">
      <alignment vertical="center"/>
    </xf>
    <xf numFmtId="3" fontId="50" fillId="2" borderId="25" xfId="6" applyNumberFormat="1" applyFont="1" applyFill="1" applyBorder="1">
      <alignment vertical="center"/>
    </xf>
    <xf numFmtId="177" fontId="50" fillId="2" borderId="25" xfId="2" applyNumberFormat="1" applyFont="1" applyFill="1" applyBorder="1" applyAlignment="1">
      <alignment vertical="center"/>
    </xf>
    <xf numFmtId="3" fontId="50" fillId="2" borderId="1" xfId="6" applyNumberFormat="1" applyFont="1" applyFill="1" applyBorder="1" applyAlignment="1">
      <alignment horizontal="center" vertical="center"/>
    </xf>
    <xf numFmtId="41" fontId="30" fillId="2" borderId="0" xfId="2" applyFont="1" applyFill="1" applyAlignment="1">
      <alignment horizontal="center" vertical="center"/>
    </xf>
    <xf numFmtId="184" fontId="20" fillId="2" borderId="0" xfId="6" applyNumberFormat="1" applyFont="1" applyFill="1" applyBorder="1" applyAlignment="1">
      <alignment horizontal="right" vertical="center"/>
    </xf>
    <xf numFmtId="0" fontId="20" fillId="2" borderId="0" xfId="6" applyFont="1" applyFill="1" applyBorder="1" applyAlignment="1">
      <alignment horizontal="left" vertical="center"/>
    </xf>
    <xf numFmtId="0" fontId="20" fillId="2" borderId="0" xfId="6" applyFont="1" applyFill="1" applyBorder="1" applyAlignment="1">
      <alignment vertical="center"/>
    </xf>
    <xf numFmtId="0" fontId="20" fillId="2" borderId="0" xfId="6" applyFont="1" applyFill="1" applyBorder="1" applyAlignment="1">
      <alignment horizontal="center" vertical="center"/>
    </xf>
    <xf numFmtId="41" fontId="20" fillId="2" borderId="17" xfId="2" applyFont="1" applyFill="1" applyBorder="1" applyAlignment="1">
      <alignment vertical="center"/>
    </xf>
    <xf numFmtId="184" fontId="22" fillId="2" borderId="10" xfId="6" applyNumberFormat="1" applyFont="1" applyFill="1" applyBorder="1" applyAlignment="1">
      <alignment horizontal="right" vertical="center"/>
    </xf>
    <xf numFmtId="177" fontId="22" fillId="2" borderId="62" xfId="2" applyNumberFormat="1" applyFont="1" applyFill="1" applyBorder="1" applyAlignment="1">
      <alignment horizontal="right" vertical="center"/>
    </xf>
    <xf numFmtId="49" fontId="20" fillId="2" borderId="44" xfId="6" applyNumberFormat="1" applyFont="1" applyFill="1" applyBorder="1" applyAlignment="1">
      <alignment horizontal="center" vertical="center"/>
    </xf>
    <xf numFmtId="49" fontId="20" fillId="2" borderId="45" xfId="6" applyNumberFormat="1" applyFont="1" applyFill="1" applyBorder="1" applyAlignment="1">
      <alignment horizontal="center" vertical="center"/>
    </xf>
    <xf numFmtId="49" fontId="20" fillId="2" borderId="46" xfId="6" applyNumberFormat="1" applyFont="1" applyFill="1" applyBorder="1" applyAlignment="1">
      <alignment horizontal="center" vertical="center"/>
    </xf>
    <xf numFmtId="41" fontId="20" fillId="2" borderId="46" xfId="2" applyFont="1" applyFill="1" applyBorder="1" applyAlignment="1">
      <alignment vertical="center"/>
    </xf>
    <xf numFmtId="184" fontId="22" fillId="2" borderId="39" xfId="0" applyNumberFormat="1" applyFont="1" applyFill="1" applyBorder="1" applyAlignment="1">
      <alignment vertical="center"/>
    </xf>
    <xf numFmtId="0" fontId="20" fillId="2" borderId="22" xfId="0" applyFont="1" applyFill="1" applyBorder="1"/>
    <xf numFmtId="177" fontId="22" fillId="2" borderId="4" xfId="0" applyNumberFormat="1" applyFont="1" applyFill="1" applyBorder="1" applyAlignment="1">
      <alignment vertical="center"/>
    </xf>
    <xf numFmtId="184" fontId="50" fillId="2" borderId="13" xfId="6" applyNumberFormat="1" applyFont="1" applyFill="1" applyBorder="1" applyAlignment="1">
      <alignment horizontal="right" vertical="center"/>
    </xf>
    <xf numFmtId="0" fontId="50" fillId="2" borderId="9" xfId="0" applyFont="1" applyFill="1" applyBorder="1" applyAlignment="1">
      <alignment vertical="center" wrapText="1"/>
    </xf>
    <xf numFmtId="41" fontId="50" fillId="2" borderId="12" xfId="2" applyFont="1" applyFill="1" applyBorder="1" applyAlignment="1">
      <alignment vertical="center"/>
    </xf>
    <xf numFmtId="0" fontId="22" fillId="2" borderId="16" xfId="6" applyFont="1" applyFill="1" applyBorder="1" applyAlignment="1">
      <alignment vertical="center"/>
    </xf>
    <xf numFmtId="0" fontId="22" fillId="2" borderId="38" xfId="6" applyFont="1" applyFill="1" applyBorder="1" applyAlignment="1">
      <alignment vertical="center"/>
    </xf>
    <xf numFmtId="184" fontId="20" fillId="2" borderId="38" xfId="0" applyNumberFormat="1" applyFont="1" applyFill="1" applyBorder="1" applyAlignment="1">
      <alignment horizontal="right" vertical="center"/>
    </xf>
    <xf numFmtId="177" fontId="20" fillId="2" borderId="55" xfId="2" applyNumberFormat="1" applyFont="1" applyFill="1" applyBorder="1" applyAlignment="1">
      <alignment horizontal="right" vertical="center"/>
    </xf>
    <xf numFmtId="3" fontId="22" fillId="2" borderId="48" xfId="0" applyNumberFormat="1" applyFont="1" applyFill="1" applyBorder="1" applyAlignment="1">
      <alignment vertical="center"/>
    </xf>
    <xf numFmtId="3" fontId="22" fillId="2" borderId="50" xfId="6" applyNumberFormat="1" applyFont="1" applyFill="1" applyBorder="1" applyAlignment="1">
      <alignment horizontal="left" vertical="center"/>
    </xf>
    <xf numFmtId="3" fontId="22" fillId="2" borderId="50" xfId="0" applyNumberFormat="1" applyFont="1" applyFill="1" applyBorder="1" applyAlignment="1">
      <alignment horizontal="right" vertical="center"/>
    </xf>
    <xf numFmtId="3" fontId="22" fillId="2" borderId="50" xfId="0" applyNumberFormat="1" applyFont="1" applyFill="1" applyBorder="1" applyAlignment="1">
      <alignment horizontal="left" vertical="center"/>
    </xf>
    <xf numFmtId="3" fontId="22" fillId="2" borderId="50" xfId="2" applyNumberFormat="1" applyFont="1" applyFill="1" applyBorder="1" applyAlignment="1">
      <alignment vertical="center"/>
    </xf>
    <xf numFmtId="3" fontId="22" fillId="2" borderId="50" xfId="0" applyNumberFormat="1" applyFont="1" applyFill="1" applyBorder="1" applyAlignment="1">
      <alignment vertical="center"/>
    </xf>
    <xf numFmtId="3" fontId="22" fillId="2" borderId="50" xfId="0" applyNumberFormat="1" applyFont="1" applyFill="1" applyBorder="1" applyAlignment="1">
      <alignment horizontal="center" vertical="center"/>
    </xf>
    <xf numFmtId="3" fontId="22" fillId="2" borderId="53" xfId="2" applyNumberFormat="1" applyFont="1" applyFill="1" applyBorder="1" applyAlignment="1">
      <alignment vertical="center"/>
    </xf>
    <xf numFmtId="41" fontId="22" fillId="2" borderId="53" xfId="2" applyFont="1" applyFill="1" applyBorder="1" applyAlignment="1">
      <alignment vertical="center"/>
    </xf>
    <xf numFmtId="0" fontId="22" fillId="2" borderId="10" xfId="6" applyFont="1" applyFill="1" applyBorder="1" applyAlignment="1">
      <alignment vertical="center"/>
    </xf>
    <xf numFmtId="3" fontId="22" fillId="2" borderId="29" xfId="0" applyNumberFormat="1" applyFont="1" applyFill="1" applyBorder="1" applyAlignment="1">
      <alignment vertical="center"/>
    </xf>
    <xf numFmtId="3" fontId="22" fillId="2" borderId="30" xfId="6" applyNumberFormat="1" applyFont="1" applyFill="1" applyBorder="1" applyAlignment="1">
      <alignment horizontal="left" vertical="center"/>
    </xf>
    <xf numFmtId="3" fontId="22" fillId="2" borderId="30" xfId="0" applyNumberFormat="1" applyFont="1" applyFill="1" applyBorder="1" applyAlignment="1">
      <alignment horizontal="right" vertical="center"/>
    </xf>
    <xf numFmtId="3" fontId="22" fillId="2" borderId="30" xfId="0" applyNumberFormat="1" applyFont="1" applyFill="1" applyBorder="1" applyAlignment="1">
      <alignment horizontal="left" vertical="center"/>
    </xf>
    <xf numFmtId="3" fontId="22" fillId="2" borderId="30" xfId="2" applyNumberFormat="1" applyFont="1" applyFill="1" applyBorder="1" applyAlignment="1">
      <alignment vertical="center"/>
    </xf>
    <xf numFmtId="3" fontId="22" fillId="2" borderId="30" xfId="0" applyNumberFormat="1" applyFont="1" applyFill="1" applyBorder="1" applyAlignment="1">
      <alignment vertical="center"/>
    </xf>
    <xf numFmtId="3" fontId="22" fillId="2" borderId="30" xfId="0" applyNumberFormat="1" applyFont="1" applyFill="1" applyBorder="1" applyAlignment="1">
      <alignment horizontal="center" vertical="center"/>
    </xf>
    <xf numFmtId="41" fontId="22" fillId="2" borderId="15" xfId="2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horizontal="left"/>
    </xf>
    <xf numFmtId="0" fontId="20" fillId="2" borderId="31" xfId="0" applyFont="1" applyFill="1" applyBorder="1" applyAlignment="1">
      <alignment vertical="center" shrinkToFit="1"/>
    </xf>
    <xf numFmtId="0" fontId="20" fillId="2" borderId="16" xfId="6" applyFont="1" applyFill="1" applyBorder="1" applyAlignment="1">
      <alignment vertical="center"/>
    </xf>
    <xf numFmtId="0" fontId="20" fillId="2" borderId="31" xfId="6" applyFont="1" applyFill="1" applyBorder="1" applyAlignment="1">
      <alignment vertical="center"/>
    </xf>
    <xf numFmtId="0" fontId="20" fillId="2" borderId="29" xfId="6" applyFont="1" applyFill="1" applyBorder="1" applyAlignment="1">
      <alignment vertical="center"/>
    </xf>
    <xf numFmtId="0" fontId="20" fillId="2" borderId="30" xfId="6" applyFont="1" applyFill="1" applyBorder="1" applyAlignment="1">
      <alignment vertical="center"/>
    </xf>
    <xf numFmtId="0" fontId="20" fillId="2" borderId="30" xfId="6" applyFont="1" applyFill="1" applyBorder="1" applyAlignment="1">
      <alignment horizontal="left" vertical="center"/>
    </xf>
    <xf numFmtId="0" fontId="20" fillId="2" borderId="30" xfId="6" applyFont="1" applyFill="1" applyBorder="1" applyAlignment="1">
      <alignment horizontal="center" vertical="center"/>
    </xf>
    <xf numFmtId="3" fontId="20" fillId="2" borderId="15" xfId="6" applyNumberFormat="1" applyFont="1" applyFill="1" applyBorder="1" applyAlignment="1">
      <alignment vertical="center"/>
    </xf>
    <xf numFmtId="0" fontId="20" fillId="2" borderId="10" xfId="6" applyFont="1" applyFill="1" applyBorder="1" applyAlignment="1">
      <alignment horizontal="left" vertical="center"/>
    </xf>
    <xf numFmtId="3" fontId="50" fillId="2" borderId="2" xfId="0" applyNumberFormat="1" applyFont="1" applyFill="1" applyBorder="1" applyAlignment="1">
      <alignment vertical="center"/>
    </xf>
    <xf numFmtId="3" fontId="20" fillId="2" borderId="45" xfId="6" applyNumberFormat="1" applyFont="1" applyFill="1" applyBorder="1" applyAlignment="1">
      <alignment horizontal="center" vertical="center"/>
    </xf>
    <xf numFmtId="3" fontId="20" fillId="2" borderId="8" xfId="6" applyNumberFormat="1" applyFont="1" applyFill="1" applyBorder="1" applyAlignment="1">
      <alignment vertical="center"/>
    </xf>
    <xf numFmtId="3" fontId="20" fillId="2" borderId="44" xfId="6" applyNumberFormat="1" applyFont="1" applyFill="1" applyBorder="1" applyAlignment="1">
      <alignment horizontal="left" vertical="center"/>
    </xf>
    <xf numFmtId="3" fontId="20" fillId="2" borderId="45" xfId="6" applyNumberFormat="1" applyFont="1" applyFill="1" applyBorder="1" applyAlignment="1">
      <alignment horizontal="left" vertical="center"/>
    </xf>
    <xf numFmtId="3" fontId="20" fillId="2" borderId="46" xfId="2" applyNumberFormat="1" applyFont="1" applyFill="1" applyBorder="1" applyAlignment="1">
      <alignment horizontal="left" vertical="center"/>
    </xf>
    <xf numFmtId="184" fontId="20" fillId="2" borderId="14" xfId="6" applyNumberFormat="1" applyFont="1" applyFill="1" applyBorder="1" applyAlignment="1">
      <alignment horizontal="right" vertical="center"/>
    </xf>
    <xf numFmtId="184" fontId="20" fillId="2" borderId="36" xfId="6" applyNumberFormat="1" applyFont="1" applyFill="1" applyBorder="1" applyAlignment="1">
      <alignment horizontal="right" vertical="center"/>
    </xf>
    <xf numFmtId="3" fontId="20" fillId="2" borderId="4" xfId="2" applyNumberFormat="1" applyFont="1" applyFill="1" applyBorder="1" applyAlignment="1">
      <alignment horizontal="left" vertical="center"/>
    </xf>
    <xf numFmtId="3" fontId="20" fillId="2" borderId="30" xfId="0" applyNumberFormat="1" applyFont="1" applyFill="1" applyBorder="1" applyAlignment="1">
      <alignment horizontal="right" vertical="center"/>
    </xf>
    <xf numFmtId="0" fontId="17" fillId="2" borderId="2" xfId="0" applyFont="1" applyFill="1" applyBorder="1" applyAlignment="1">
      <alignment vertical="center"/>
    </xf>
    <xf numFmtId="10" fontId="20" fillId="2" borderId="0" xfId="1" applyNumberFormat="1" applyFont="1" applyFill="1" applyBorder="1" applyAlignment="1">
      <alignment vertical="center"/>
    </xf>
    <xf numFmtId="178" fontId="20" fillId="2" borderId="12" xfId="0" applyNumberFormat="1" applyFont="1" applyFill="1" applyBorder="1" applyAlignment="1">
      <alignment vertical="center"/>
    </xf>
    <xf numFmtId="184" fontId="20" fillId="2" borderId="10" xfId="0" applyNumberFormat="1" applyFont="1" applyFill="1" applyBorder="1" applyAlignment="1">
      <alignment vertical="center"/>
    </xf>
    <xf numFmtId="0" fontId="20" fillId="2" borderId="31" xfId="0" applyFont="1" applyFill="1" applyBorder="1" applyAlignment="1">
      <alignment horizontal="left" vertical="center" wrapText="1"/>
    </xf>
    <xf numFmtId="0" fontId="20" fillId="2" borderId="10" xfId="5" applyFont="1" applyFill="1" applyBorder="1" applyAlignment="1" applyProtection="1">
      <alignment horizontal="left" vertical="center"/>
    </xf>
    <xf numFmtId="178" fontId="20" fillId="2" borderId="0" xfId="2" applyNumberFormat="1" applyFont="1" applyFill="1" applyBorder="1" applyAlignment="1">
      <alignment horizontal="right" vertical="center"/>
    </xf>
    <xf numFmtId="3" fontId="59" fillId="2" borderId="8" xfId="6" applyNumberFormat="1" applyFont="1" applyFill="1" applyBorder="1" applyAlignment="1">
      <alignment horizontal="left" vertical="center"/>
    </xf>
    <xf numFmtId="3" fontId="59" fillId="2" borderId="10" xfId="6" applyNumberFormat="1" applyFont="1" applyFill="1" applyBorder="1" applyAlignment="1">
      <alignment horizontal="left" vertical="center"/>
    </xf>
    <xf numFmtId="3" fontId="59" fillId="2" borderId="0" xfId="6" applyNumberFormat="1" applyFont="1" applyFill="1" applyBorder="1" applyAlignment="1">
      <alignment horizontal="center" vertical="center"/>
    </xf>
    <xf numFmtId="0" fontId="20" fillId="2" borderId="14" xfId="5" applyFont="1" applyFill="1" applyBorder="1" applyAlignment="1" applyProtection="1">
      <alignment horizontal="left" vertical="center"/>
    </xf>
    <xf numFmtId="177" fontId="20" fillId="2" borderId="23" xfId="0" applyNumberFormat="1" applyFont="1" applyFill="1" applyBorder="1" applyAlignment="1">
      <alignment horizontal="right" vertical="center"/>
    </xf>
    <xf numFmtId="178" fontId="20" fillId="2" borderId="7" xfId="2" applyNumberFormat="1" applyFont="1" applyFill="1" applyBorder="1" applyAlignment="1">
      <alignment horizontal="right" vertical="center"/>
    </xf>
    <xf numFmtId="0" fontId="17" fillId="2" borderId="7" xfId="0" applyFont="1" applyFill="1" applyBorder="1" applyAlignment="1">
      <alignment vertical="center"/>
    </xf>
    <xf numFmtId="178" fontId="20" fillId="2" borderId="60" xfId="0" applyNumberFormat="1" applyFont="1" applyFill="1" applyBorder="1" applyAlignment="1">
      <alignment vertical="center"/>
    </xf>
    <xf numFmtId="3" fontId="20" fillId="2" borderId="0" xfId="2" applyNumberFormat="1" applyFont="1" applyFill="1" applyBorder="1" applyAlignment="1">
      <alignment horizontal="center" vertical="center"/>
    </xf>
    <xf numFmtId="177" fontId="20" fillId="2" borderId="2" xfId="0" applyNumberFormat="1" applyFont="1" applyFill="1" applyBorder="1" applyAlignment="1">
      <alignment vertical="center"/>
    </xf>
    <xf numFmtId="3" fontId="20" fillId="2" borderId="7" xfId="2" applyNumberFormat="1" applyFont="1" applyFill="1" applyBorder="1" applyAlignment="1">
      <alignment horizontal="left" vertical="center"/>
    </xf>
    <xf numFmtId="41" fontId="20" fillId="2" borderId="4" xfId="2" applyFont="1" applyFill="1" applyBorder="1" applyAlignment="1">
      <alignment horizontal="right" vertical="center"/>
    </xf>
    <xf numFmtId="184" fontId="20" fillId="2" borderId="13" xfId="0" applyNumberFormat="1" applyFont="1" applyFill="1" applyBorder="1" applyAlignment="1">
      <alignment vertical="center"/>
    </xf>
    <xf numFmtId="0" fontId="21" fillId="2" borderId="0" xfId="6" applyFont="1" applyFill="1" applyBorder="1" applyAlignment="1">
      <alignment vertical="center"/>
    </xf>
    <xf numFmtId="0" fontId="17" fillId="2" borderId="16" xfId="6" applyFont="1" applyFill="1" applyBorder="1" applyAlignment="1">
      <alignment vertical="center"/>
    </xf>
    <xf numFmtId="184" fontId="20" fillId="2" borderId="14" xfId="0" applyNumberFormat="1" applyFont="1" applyFill="1" applyBorder="1" applyAlignment="1">
      <alignment horizontal="right" vertical="center"/>
    </xf>
    <xf numFmtId="177" fontId="20" fillId="2" borderId="15" xfId="6" applyNumberFormat="1" applyFont="1" applyFill="1" applyBorder="1" applyAlignment="1">
      <alignment horizontal="right" vertical="center"/>
    </xf>
    <xf numFmtId="184" fontId="20" fillId="2" borderId="14" xfId="0" applyNumberFormat="1" applyFont="1" applyFill="1" applyBorder="1" applyAlignment="1">
      <alignment vertical="center"/>
    </xf>
    <xf numFmtId="3" fontId="50" fillId="2" borderId="2" xfId="6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/>
    </xf>
    <xf numFmtId="0" fontId="20" fillId="2" borderId="44" xfId="0" applyFont="1" applyFill="1" applyBorder="1" applyAlignment="1">
      <alignment vertical="center"/>
    </xf>
    <xf numFmtId="0" fontId="20" fillId="2" borderId="45" xfId="0" applyFont="1" applyFill="1" applyBorder="1" applyAlignment="1">
      <alignment vertical="center"/>
    </xf>
    <xf numFmtId="177" fontId="20" fillId="2" borderId="45" xfId="0" applyNumberFormat="1" applyFont="1" applyFill="1" applyBorder="1" applyAlignment="1">
      <alignment vertical="center"/>
    </xf>
    <xf numFmtId="0" fontId="20" fillId="2" borderId="45" xfId="0" applyFont="1" applyFill="1" applyBorder="1" applyAlignment="1">
      <alignment horizontal="left" vertical="center"/>
    </xf>
    <xf numFmtId="177" fontId="20" fillId="2" borderId="45" xfId="0" applyNumberFormat="1" applyFont="1" applyFill="1" applyBorder="1" applyAlignment="1">
      <alignment horizontal="right" vertical="center"/>
    </xf>
    <xf numFmtId="0" fontId="22" fillId="2" borderId="10" xfId="0" applyFont="1" applyFill="1" applyBorder="1" applyAlignment="1">
      <alignment horizontal="left" vertical="center"/>
    </xf>
    <xf numFmtId="184" fontId="22" fillId="2" borderId="14" xfId="0" applyNumberFormat="1" applyFont="1" applyFill="1" applyBorder="1" applyAlignment="1">
      <alignment vertical="center"/>
    </xf>
    <xf numFmtId="0" fontId="0" fillId="2" borderId="16" xfId="0" applyFont="1" applyFill="1" applyBorder="1" applyAlignment="1">
      <alignment vertical="center"/>
    </xf>
    <xf numFmtId="184" fontId="20" fillId="2" borderId="9" xfId="6" applyNumberFormat="1" applyFont="1" applyFill="1" applyBorder="1" applyAlignment="1">
      <alignment horizontal="right" vertical="center"/>
    </xf>
    <xf numFmtId="178" fontId="50" fillId="2" borderId="60" xfId="0" applyNumberFormat="1" applyFont="1" applyFill="1" applyBorder="1" applyAlignment="1">
      <alignment vertical="center"/>
    </xf>
    <xf numFmtId="184" fontId="20" fillId="2" borderId="34" xfId="6" applyNumberFormat="1" applyFont="1" applyFill="1" applyBorder="1" applyAlignment="1">
      <alignment horizontal="right" vertical="center"/>
    </xf>
    <xf numFmtId="184" fontId="20" fillId="2" borderId="35" xfId="6" applyNumberFormat="1" applyFont="1" applyFill="1" applyBorder="1" applyAlignment="1">
      <alignment horizontal="right" vertical="center"/>
    </xf>
    <xf numFmtId="0" fontId="20" fillId="2" borderId="0" xfId="1" applyNumberFormat="1" applyFont="1" applyFill="1" applyBorder="1" applyAlignment="1">
      <alignment vertical="center"/>
    </xf>
    <xf numFmtId="9" fontId="20" fillId="2" borderId="7" xfId="1" applyFont="1" applyFill="1" applyBorder="1" applyAlignment="1">
      <alignment vertical="center"/>
    </xf>
    <xf numFmtId="3" fontId="20" fillId="2" borderId="52" xfId="6" applyNumberFormat="1" applyFont="1" applyFill="1" applyBorder="1" applyAlignment="1">
      <alignment vertical="center"/>
    </xf>
    <xf numFmtId="184" fontId="20" fillId="2" borderId="37" xfId="6" applyNumberFormat="1" applyFont="1" applyFill="1" applyBorder="1" applyAlignment="1">
      <alignment horizontal="right" vertical="center"/>
    </xf>
    <xf numFmtId="184" fontId="20" fillId="2" borderId="26" xfId="6" applyNumberFormat="1" applyFont="1" applyFill="1" applyBorder="1" applyAlignment="1">
      <alignment horizontal="right" vertical="center"/>
    </xf>
    <xf numFmtId="184" fontId="20" fillId="2" borderId="2" xfId="6" applyNumberFormat="1" applyFont="1" applyFill="1" applyBorder="1" applyAlignment="1">
      <alignment horizontal="right" vertical="center"/>
    </xf>
    <xf numFmtId="0" fontId="0" fillId="2" borderId="44" xfId="0" applyFont="1" applyFill="1" applyBorder="1" applyAlignment="1">
      <alignment vertical="center"/>
    </xf>
    <xf numFmtId="3" fontId="20" fillId="2" borderId="45" xfId="6" applyNumberFormat="1" applyFont="1" applyFill="1" applyBorder="1" applyAlignment="1">
      <alignment vertical="center"/>
    </xf>
    <xf numFmtId="177" fontId="22" fillId="2" borderId="60" xfId="0" applyNumberFormat="1" applyFont="1" applyFill="1" applyBorder="1" applyAlignment="1">
      <alignment vertical="center"/>
    </xf>
    <xf numFmtId="0" fontId="21" fillId="2" borderId="16" xfId="0" applyFont="1" applyFill="1" applyBorder="1" applyAlignment="1">
      <alignment vertical="center"/>
    </xf>
    <xf numFmtId="0" fontId="21" fillId="2" borderId="10" xfId="0" applyFont="1" applyFill="1" applyBorder="1" applyAlignment="1">
      <alignment vertical="center"/>
    </xf>
    <xf numFmtId="0" fontId="21" fillId="2" borderId="8" xfId="0" applyFont="1" applyFill="1" applyBorder="1" applyAlignment="1">
      <alignment vertical="center"/>
    </xf>
    <xf numFmtId="177" fontId="20" fillId="2" borderId="59" xfId="0" applyNumberFormat="1" applyFont="1" applyFill="1" applyBorder="1" applyAlignment="1">
      <alignment vertical="center"/>
    </xf>
    <xf numFmtId="3" fontId="20" fillId="2" borderId="59" xfId="0" applyNumberFormat="1" applyFont="1" applyFill="1" applyBorder="1" applyAlignment="1">
      <alignment vertical="center"/>
    </xf>
    <xf numFmtId="177" fontId="20" fillId="2" borderId="60" xfId="0" applyNumberFormat="1" applyFont="1" applyFill="1" applyBorder="1" applyAlignment="1">
      <alignment vertical="center"/>
    </xf>
    <xf numFmtId="0" fontId="20" fillId="2" borderId="29" xfId="0" applyFont="1" applyFill="1" applyBorder="1" applyAlignment="1" applyProtection="1">
      <alignment vertical="center"/>
      <protection locked="0"/>
    </xf>
    <xf numFmtId="0" fontId="20" fillId="2" borderId="30" xfId="0" applyFont="1" applyFill="1" applyBorder="1" applyAlignment="1">
      <alignment horizontal="left" vertical="center" wrapText="1"/>
    </xf>
    <xf numFmtId="0" fontId="20" fillId="2" borderId="30" xfId="0" applyFont="1" applyFill="1" applyBorder="1" applyAlignment="1">
      <alignment vertical="center" wrapText="1"/>
    </xf>
    <xf numFmtId="3" fontId="20" fillId="2" borderId="30" xfId="0" applyNumberFormat="1" applyFont="1" applyFill="1" applyBorder="1" applyAlignment="1">
      <alignment vertical="center" wrapText="1"/>
    </xf>
    <xf numFmtId="178" fontId="20" fillId="2" borderId="58" xfId="0" applyNumberFormat="1" applyFont="1" applyFill="1" applyBorder="1" applyAlignment="1">
      <alignment vertical="center"/>
    </xf>
    <xf numFmtId="178" fontId="22" fillId="2" borderId="39" xfId="0" applyNumberFormat="1" applyFont="1" applyFill="1" applyBorder="1" applyAlignment="1">
      <alignment vertical="center"/>
    </xf>
    <xf numFmtId="0" fontId="20" fillId="2" borderId="44" xfId="0" applyFont="1" applyFill="1" applyBorder="1" applyAlignment="1">
      <alignment horizontal="left" vertical="center" wrapText="1"/>
    </xf>
    <xf numFmtId="0" fontId="20" fillId="2" borderId="45" xfId="0" applyFont="1" applyFill="1" applyBorder="1" applyAlignment="1">
      <alignment horizontal="left" vertical="center" wrapText="1"/>
    </xf>
    <xf numFmtId="0" fontId="0" fillId="2" borderId="45" xfId="0" applyFont="1" applyFill="1" applyBorder="1" applyAlignment="1">
      <alignment vertical="center"/>
    </xf>
    <xf numFmtId="0" fontId="0" fillId="2" borderId="45" xfId="0" applyNumberFormat="1" applyFont="1" applyFill="1" applyBorder="1" applyAlignment="1">
      <alignment vertical="center"/>
    </xf>
    <xf numFmtId="178" fontId="20" fillId="2" borderId="45" xfId="0" applyNumberFormat="1" applyFont="1" applyFill="1" applyBorder="1" applyAlignment="1">
      <alignment horizontal="right" vertical="center"/>
    </xf>
    <xf numFmtId="0" fontId="20" fillId="2" borderId="45" xfId="0" applyNumberFormat="1" applyFont="1" applyFill="1" applyBorder="1" applyAlignment="1">
      <alignment vertical="center"/>
    </xf>
    <xf numFmtId="178" fontId="20" fillId="2" borderId="45" xfId="0" applyNumberFormat="1" applyFont="1" applyFill="1" applyBorder="1" applyAlignment="1">
      <alignment vertical="center"/>
    </xf>
    <xf numFmtId="0" fontId="20" fillId="2" borderId="45" xfId="0" quotePrefix="1" applyFont="1" applyFill="1" applyBorder="1" applyAlignment="1">
      <alignment vertical="center"/>
    </xf>
    <xf numFmtId="178" fontId="20" fillId="2" borderId="46" xfId="0" applyNumberFormat="1" applyFont="1" applyFill="1" applyBorder="1" applyAlignment="1">
      <alignment vertical="center"/>
    </xf>
    <xf numFmtId="41" fontId="20" fillId="2" borderId="0" xfId="2" applyNumberFormat="1" applyFont="1" applyFill="1" applyBorder="1" applyAlignment="1">
      <alignment horizontal="left" vertical="center"/>
    </xf>
    <xf numFmtId="9" fontId="20" fillId="2" borderId="0" xfId="0" applyNumberFormat="1" applyFont="1" applyFill="1" applyBorder="1" applyAlignment="1">
      <alignment vertical="center"/>
    </xf>
    <xf numFmtId="3" fontId="20" fillId="2" borderId="22" xfId="0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>
      <alignment vertical="center"/>
    </xf>
    <xf numFmtId="3" fontId="20" fillId="2" borderId="10" xfId="6" applyNumberFormat="1" applyFont="1" applyFill="1" applyBorder="1">
      <alignment vertical="center"/>
    </xf>
    <xf numFmtId="177" fontId="20" fillId="2" borderId="36" xfId="0" applyNumberFormat="1" applyFont="1" applyFill="1" applyBorder="1" applyAlignment="1">
      <alignment horizontal="right" vertical="center"/>
    </xf>
    <xf numFmtId="177" fontId="20" fillId="2" borderId="56" xfId="0" applyNumberFormat="1" applyFont="1" applyFill="1" applyBorder="1" applyAlignment="1">
      <alignment horizontal="right" vertical="center"/>
    </xf>
    <xf numFmtId="41" fontId="20" fillId="2" borderId="26" xfId="2" applyFont="1" applyFill="1" applyBorder="1" applyAlignment="1">
      <alignment horizontal="left" vertical="center"/>
    </xf>
    <xf numFmtId="178" fontId="50" fillId="2" borderId="0" xfId="6" applyNumberFormat="1" applyFont="1" applyFill="1" applyBorder="1" applyAlignment="1">
      <alignment horizontal="right" vertical="center"/>
    </xf>
    <xf numFmtId="178" fontId="50" fillId="2" borderId="12" xfId="0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178" fontId="50" fillId="2" borderId="30" xfId="6" applyNumberFormat="1" applyFont="1" applyFill="1" applyBorder="1" applyAlignment="1">
      <alignment horizontal="right" vertical="center"/>
    </xf>
    <xf numFmtId="0" fontId="50" fillId="2" borderId="30" xfId="6" applyNumberFormat="1" applyFont="1" applyFill="1" applyBorder="1" applyAlignment="1">
      <alignment horizontal="left" vertical="center"/>
    </xf>
    <xf numFmtId="0" fontId="50" fillId="2" borderId="0" xfId="6" applyNumberFormat="1" applyFont="1" applyFill="1" applyBorder="1" applyAlignment="1">
      <alignment horizontal="left" vertical="center"/>
    </xf>
    <xf numFmtId="177" fontId="50" fillId="2" borderId="31" xfId="0" applyNumberFormat="1" applyFont="1" applyFill="1" applyBorder="1" applyAlignment="1">
      <alignment vertical="center"/>
    </xf>
    <xf numFmtId="177" fontId="50" fillId="2" borderId="14" xfId="0" applyNumberFormat="1" applyFont="1" applyFill="1" applyBorder="1" applyAlignment="1">
      <alignment horizontal="right" vertical="center"/>
    </xf>
    <xf numFmtId="177" fontId="50" fillId="2" borderId="56" xfId="0" applyNumberFormat="1" applyFont="1" applyFill="1" applyBorder="1" applyAlignment="1">
      <alignment horizontal="right" vertical="center"/>
    </xf>
    <xf numFmtId="178" fontId="50" fillId="2" borderId="13" xfId="0" applyNumberFormat="1" applyFont="1" applyFill="1" applyBorder="1" applyAlignment="1">
      <alignment horizontal="right" vertical="center"/>
    </xf>
    <xf numFmtId="178" fontId="50" fillId="2" borderId="15" xfId="6" applyNumberFormat="1" applyFont="1" applyFill="1" applyBorder="1" applyAlignment="1">
      <alignment horizontal="left" vertical="center"/>
    </xf>
    <xf numFmtId="3" fontId="50" fillId="2" borderId="0" xfId="0" quotePrefix="1" applyNumberFormat="1" applyFont="1" applyFill="1" applyBorder="1" applyAlignment="1">
      <alignment horizontal="center" vertical="center"/>
    </xf>
    <xf numFmtId="177" fontId="20" fillId="2" borderId="7" xfId="0" applyNumberFormat="1" applyFont="1" applyFill="1" applyBorder="1" applyAlignment="1">
      <alignment horizontal="center" vertical="center"/>
    </xf>
    <xf numFmtId="3" fontId="20" fillId="2" borderId="4" xfId="0" applyNumberFormat="1" applyFont="1" applyFill="1" applyBorder="1" applyAlignment="1">
      <alignment vertical="center"/>
    </xf>
    <xf numFmtId="0" fontId="50" fillId="2" borderId="32" xfId="0" applyFont="1" applyFill="1" applyBorder="1" applyAlignment="1">
      <alignment horizontal="left" vertical="center"/>
    </xf>
    <xf numFmtId="177" fontId="50" fillId="2" borderId="70" xfId="0" applyNumberFormat="1" applyFont="1" applyFill="1" applyBorder="1" applyAlignment="1">
      <alignment vertical="center"/>
    </xf>
    <xf numFmtId="49" fontId="50" fillId="2" borderId="20" xfId="6" applyNumberFormat="1" applyFont="1" applyFill="1" applyBorder="1" applyAlignment="1">
      <alignment vertical="center"/>
    </xf>
    <xf numFmtId="49" fontId="50" fillId="2" borderId="1" xfId="6" applyNumberFormat="1" applyFont="1" applyFill="1" applyBorder="1" applyAlignment="1">
      <alignment vertical="center"/>
    </xf>
    <xf numFmtId="49" fontId="50" fillId="2" borderId="1" xfId="2" applyNumberFormat="1" applyFont="1" applyFill="1" applyBorder="1" applyAlignment="1">
      <alignment vertical="center"/>
    </xf>
    <xf numFmtId="49" fontId="50" fillId="2" borderId="1" xfId="6" applyNumberFormat="1" applyFont="1" applyFill="1" applyBorder="1" applyAlignment="1">
      <alignment horizontal="right" vertical="center"/>
    </xf>
    <xf numFmtId="177" fontId="22" fillId="2" borderId="35" xfId="6" applyNumberFormat="1" applyFont="1" applyFill="1" applyBorder="1" applyAlignment="1">
      <alignment horizontal="right" vertical="center"/>
    </xf>
    <xf numFmtId="177" fontId="22" fillId="2" borderId="55" xfId="6" applyNumberFormat="1" applyFont="1" applyFill="1" applyBorder="1" applyAlignment="1">
      <alignment horizontal="right" vertical="center"/>
    </xf>
    <xf numFmtId="177" fontId="20" fillId="2" borderId="46" xfId="6" applyNumberFormat="1" applyFont="1" applyFill="1" applyBorder="1" applyAlignment="1">
      <alignment horizontal="center" vertical="center"/>
    </xf>
    <xf numFmtId="3" fontId="61" fillId="2" borderId="45" xfId="6" applyNumberFormat="1" applyFont="1" applyFill="1" applyBorder="1" applyAlignment="1">
      <alignment horizontal="left" vertical="center"/>
    </xf>
    <xf numFmtId="177" fontId="22" fillId="2" borderId="46" xfId="2" applyNumberFormat="1" applyFont="1" applyFill="1" applyBorder="1" applyAlignment="1">
      <alignment horizontal="left" vertical="center"/>
    </xf>
    <xf numFmtId="41" fontId="22" fillId="2" borderId="4" xfId="2" applyFont="1" applyFill="1" applyBorder="1" applyAlignment="1">
      <alignment horizontal="left" vertical="center"/>
    </xf>
    <xf numFmtId="41" fontId="22" fillId="2" borderId="15" xfId="2" applyFont="1" applyFill="1" applyBorder="1" applyAlignment="1">
      <alignment horizontal="right" vertical="center"/>
    </xf>
    <xf numFmtId="41" fontId="22" fillId="2" borderId="68" xfId="2" applyFont="1" applyFill="1" applyBorder="1" applyAlignment="1">
      <alignment horizontal="right" vertical="center"/>
    </xf>
    <xf numFmtId="41" fontId="20" fillId="2" borderId="2" xfId="2" applyFont="1" applyFill="1" applyBorder="1" applyAlignment="1">
      <alignment horizontal="left" vertical="center"/>
    </xf>
    <xf numFmtId="41" fontId="22" fillId="2" borderId="53" xfId="2" applyFont="1" applyFill="1" applyBorder="1" applyAlignment="1">
      <alignment horizontal="left" vertical="center"/>
    </xf>
    <xf numFmtId="177" fontId="20" fillId="2" borderId="2" xfId="2" applyNumberFormat="1" applyFont="1" applyFill="1" applyBorder="1" applyAlignment="1">
      <alignment horizontal="left" vertical="center"/>
    </xf>
    <xf numFmtId="41" fontId="22" fillId="2" borderId="15" xfId="2" applyFont="1" applyFill="1" applyBorder="1" applyAlignment="1">
      <alignment horizontal="left" vertical="center"/>
    </xf>
    <xf numFmtId="177" fontId="20" fillId="2" borderId="68" xfId="2" applyNumberFormat="1" applyFont="1" applyFill="1" applyBorder="1" applyAlignment="1">
      <alignment vertical="center"/>
    </xf>
    <xf numFmtId="41" fontId="20" fillId="2" borderId="10" xfId="2" applyFont="1" applyFill="1" applyBorder="1" applyAlignment="1">
      <alignment vertical="center" wrapText="1"/>
    </xf>
    <xf numFmtId="41" fontId="17" fillId="2" borderId="0" xfId="2" applyFont="1" applyFill="1" applyAlignment="1">
      <alignment horizontal="center" vertical="center"/>
    </xf>
    <xf numFmtId="0" fontId="17" fillId="2" borderId="0" xfId="6" applyFont="1" applyFill="1" applyAlignment="1">
      <alignment horizontal="center" vertical="center"/>
    </xf>
    <xf numFmtId="0" fontId="20" fillId="2" borderId="13" xfId="6" applyFont="1" applyFill="1" applyBorder="1" applyAlignment="1">
      <alignment horizontal="center" vertical="center"/>
    </xf>
    <xf numFmtId="41" fontId="22" fillId="2" borderId="13" xfId="2" applyFont="1" applyFill="1" applyBorder="1" applyAlignment="1">
      <alignment horizontal="center" vertical="center"/>
    </xf>
    <xf numFmtId="3" fontId="22" fillId="2" borderId="13" xfId="6" applyNumberFormat="1" applyFont="1" applyFill="1" applyBorder="1" applyAlignment="1">
      <alignment horizontal="center" vertical="center"/>
    </xf>
    <xf numFmtId="3" fontId="20" fillId="2" borderId="0" xfId="6" applyNumberFormat="1" applyFont="1" applyFill="1" applyAlignment="1">
      <alignment vertical="center"/>
    </xf>
    <xf numFmtId="41" fontId="22" fillId="2" borderId="0" xfId="2" applyFont="1" applyFill="1" applyBorder="1" applyAlignment="1">
      <alignment horizontal="left" vertical="center"/>
    </xf>
    <xf numFmtId="3" fontId="22" fillId="2" borderId="0" xfId="6" applyNumberFormat="1" applyFont="1" applyFill="1" applyAlignment="1">
      <alignment horizontal="left" vertical="center"/>
    </xf>
    <xf numFmtId="3" fontId="20" fillId="2" borderId="41" xfId="6" applyNumberFormat="1" applyFont="1" applyFill="1" applyBorder="1" applyAlignment="1">
      <alignment vertical="center"/>
    </xf>
    <xf numFmtId="3" fontId="22" fillId="2" borderId="2" xfId="6" applyNumberFormat="1" applyFont="1" applyFill="1" applyBorder="1" applyAlignment="1">
      <alignment horizontal="left" vertical="center"/>
    </xf>
    <xf numFmtId="3" fontId="49" fillId="2" borderId="8" xfId="6" applyNumberFormat="1" applyFont="1" applyFill="1" applyBorder="1" applyAlignment="1">
      <alignment horizontal="center" vertical="center"/>
    </xf>
    <xf numFmtId="3" fontId="49" fillId="2" borderId="10" xfId="6" applyNumberFormat="1" applyFont="1" applyFill="1" applyBorder="1" applyAlignment="1">
      <alignment horizontal="center" vertical="center"/>
    </xf>
    <xf numFmtId="3" fontId="49" fillId="2" borderId="0" xfId="6" applyNumberFormat="1" applyFont="1" applyFill="1" applyBorder="1" applyAlignment="1">
      <alignment horizontal="center" vertical="center"/>
    </xf>
    <xf numFmtId="41" fontId="49" fillId="2" borderId="0" xfId="2" applyFont="1" applyFill="1" applyBorder="1" applyAlignment="1">
      <alignment horizontal="left" vertical="center"/>
    </xf>
    <xf numFmtId="41" fontId="49" fillId="2" borderId="13" xfId="2" applyFont="1" applyFill="1" applyBorder="1" applyAlignment="1">
      <alignment horizontal="center" vertical="center"/>
    </xf>
    <xf numFmtId="3" fontId="49" fillId="2" borderId="13" xfId="6" applyNumberFormat="1" applyFont="1" applyFill="1" applyBorder="1" applyAlignment="1">
      <alignment horizontal="center" vertical="center"/>
    </xf>
    <xf numFmtId="0" fontId="49" fillId="2" borderId="31" xfId="0" applyFont="1" applyFill="1" applyBorder="1" applyAlignment="1">
      <alignment vertical="center" wrapText="1"/>
    </xf>
    <xf numFmtId="41" fontId="21" fillId="2" borderId="2" xfId="2" applyFont="1" applyFill="1" applyBorder="1" applyAlignment="1">
      <alignment vertical="center"/>
    </xf>
    <xf numFmtId="41" fontId="21" fillId="2" borderId="3" xfId="2" applyFont="1" applyFill="1" applyBorder="1" applyAlignment="1">
      <alignment vertical="center"/>
    </xf>
    <xf numFmtId="3" fontId="49" fillId="2" borderId="2" xfId="6" applyNumberFormat="1" applyFont="1" applyFill="1" applyBorder="1" applyAlignment="1">
      <alignment horizontal="left" vertical="center"/>
    </xf>
    <xf numFmtId="41" fontId="49" fillId="2" borderId="2" xfId="2" applyFont="1" applyFill="1" applyBorder="1" applyAlignment="1">
      <alignment vertical="center"/>
    </xf>
    <xf numFmtId="0" fontId="17" fillId="2" borderId="13" xfId="6" applyFont="1" applyFill="1" applyBorder="1" applyAlignment="1">
      <alignment horizontal="center" vertical="center"/>
    </xf>
    <xf numFmtId="3" fontId="22" fillId="2" borderId="44" xfId="0" applyNumberFormat="1" applyFont="1" applyFill="1" applyBorder="1" applyAlignment="1">
      <alignment vertical="center"/>
    </xf>
    <xf numFmtId="3" fontId="22" fillId="2" borderId="45" xfId="0" applyNumberFormat="1" applyFont="1" applyFill="1" applyBorder="1" applyAlignment="1">
      <alignment vertical="center"/>
    </xf>
    <xf numFmtId="3" fontId="22" fillId="2" borderId="45" xfId="0" applyNumberFormat="1" applyFont="1" applyFill="1" applyBorder="1" applyAlignment="1">
      <alignment horizontal="center" vertical="center"/>
    </xf>
    <xf numFmtId="177" fontId="22" fillId="2" borderId="46" xfId="2" applyNumberFormat="1" applyFont="1" applyFill="1" applyBorder="1" applyAlignment="1">
      <alignment vertical="center"/>
    </xf>
    <xf numFmtId="41" fontId="22" fillId="2" borderId="46" xfId="2" applyFont="1" applyFill="1" applyBorder="1" applyAlignment="1">
      <alignment vertical="center"/>
    </xf>
    <xf numFmtId="41" fontId="20" fillId="2" borderId="21" xfId="2" applyFont="1" applyFill="1" applyBorder="1" applyAlignment="1">
      <alignment horizontal="left" vertical="center"/>
    </xf>
    <xf numFmtId="3" fontId="20" fillId="2" borderId="28" xfId="6" applyNumberFormat="1" applyFont="1" applyFill="1" applyBorder="1" applyAlignment="1">
      <alignment vertical="center"/>
    </xf>
    <xf numFmtId="41" fontId="20" fillId="2" borderId="59" xfId="2" applyFont="1" applyFill="1" applyBorder="1" applyAlignment="1">
      <alignment vertical="center"/>
    </xf>
    <xf numFmtId="0" fontId="22" fillId="2" borderId="10" xfId="0" applyFont="1" applyFill="1" applyBorder="1" applyAlignment="1">
      <alignment vertical="center" wrapText="1"/>
    </xf>
    <xf numFmtId="3" fontId="22" fillId="2" borderId="10" xfId="6" applyNumberFormat="1" applyFont="1" applyFill="1" applyBorder="1" applyAlignment="1">
      <alignment vertical="center"/>
    </xf>
    <xf numFmtId="3" fontId="20" fillId="2" borderId="0" xfId="2" applyNumberFormat="1" applyFont="1" applyFill="1" applyBorder="1" applyAlignment="1">
      <alignment horizontal="right" vertical="center"/>
    </xf>
    <xf numFmtId="41" fontId="20" fillId="2" borderId="60" xfId="2" applyFont="1" applyFill="1" applyBorder="1" applyAlignment="1">
      <alignment vertical="center"/>
    </xf>
    <xf numFmtId="177" fontId="20" fillId="2" borderId="26" xfId="0" applyNumberFormat="1" applyFont="1" applyFill="1" applyBorder="1" applyAlignment="1">
      <alignment horizontal="right" vertical="center"/>
    </xf>
    <xf numFmtId="177" fontId="22" fillId="2" borderId="10" xfId="0" applyNumberFormat="1" applyFont="1" applyFill="1" applyBorder="1" applyAlignment="1">
      <alignment vertical="center" wrapText="1"/>
    </xf>
    <xf numFmtId="184" fontId="20" fillId="2" borderId="103" xfId="0" applyNumberFormat="1" applyFont="1" applyFill="1" applyBorder="1" applyAlignment="1">
      <alignment horizontal="right" vertical="center"/>
    </xf>
    <xf numFmtId="177" fontId="20" fillId="2" borderId="15" xfId="0" applyNumberFormat="1" applyFont="1" applyFill="1" applyBorder="1" applyAlignment="1">
      <alignment horizontal="right" vertical="center"/>
    </xf>
    <xf numFmtId="3" fontId="20" fillId="2" borderId="45" xfId="2" applyNumberFormat="1" applyFont="1" applyFill="1" applyBorder="1" applyAlignment="1">
      <alignment horizontal="left" vertical="center"/>
    </xf>
    <xf numFmtId="177" fontId="20" fillId="2" borderId="46" xfId="2" applyNumberFormat="1" applyFont="1" applyFill="1" applyBorder="1" applyAlignment="1">
      <alignment vertical="center"/>
    </xf>
    <xf numFmtId="41" fontId="20" fillId="2" borderId="46" xfId="2" applyFont="1" applyFill="1" applyBorder="1" applyAlignment="1">
      <alignment horizontal="right" vertical="center"/>
    </xf>
    <xf numFmtId="3" fontId="22" fillId="2" borderId="20" xfId="6" applyNumberFormat="1" applyFont="1" applyFill="1" applyBorder="1" applyAlignment="1">
      <alignment horizontal="left" vertical="center"/>
    </xf>
    <xf numFmtId="3" fontId="22" fillId="2" borderId="1" xfId="6" applyNumberFormat="1" applyFont="1" applyFill="1" applyBorder="1" applyAlignment="1">
      <alignment horizontal="left" vertical="center"/>
    </xf>
    <xf numFmtId="3" fontId="22" fillId="2" borderId="1" xfId="6" applyNumberFormat="1" applyFont="1" applyFill="1" applyBorder="1" applyAlignment="1">
      <alignment horizontal="center" vertical="center"/>
    </xf>
    <xf numFmtId="177" fontId="22" fillId="2" borderId="5" xfId="2" applyNumberFormat="1" applyFont="1" applyFill="1" applyBorder="1" applyAlignment="1">
      <alignment horizontal="left" vertical="center"/>
    </xf>
    <xf numFmtId="0" fontId="0" fillId="2" borderId="13" xfId="0" applyFont="1" applyFill="1" applyBorder="1" applyAlignment="1">
      <alignment horizontal="center"/>
    </xf>
    <xf numFmtId="178" fontId="20" fillId="2" borderId="28" xfId="2" applyNumberFormat="1" applyFont="1" applyFill="1" applyBorder="1" applyAlignment="1">
      <alignment horizontal="left" vertical="center"/>
    </xf>
    <xf numFmtId="0" fontId="20" fillId="2" borderId="10" xfId="5" applyFont="1" applyFill="1" applyBorder="1" applyAlignment="1" applyProtection="1">
      <alignment vertical="center"/>
    </xf>
    <xf numFmtId="0" fontId="51" fillId="2" borderId="58" xfId="0" applyFont="1" applyFill="1" applyBorder="1" applyAlignment="1">
      <alignment vertical="center"/>
    </xf>
    <xf numFmtId="178" fontId="20" fillId="2" borderId="9" xfId="6" applyNumberFormat="1" applyFont="1" applyFill="1" applyBorder="1" applyAlignment="1">
      <alignment horizontal="right" vertical="center"/>
    </xf>
    <xf numFmtId="178" fontId="20" fillId="2" borderId="59" xfId="2" applyNumberFormat="1" applyFont="1" applyFill="1" applyBorder="1" applyAlignment="1">
      <alignment horizontal="left" vertical="center"/>
    </xf>
    <xf numFmtId="178" fontId="20" fillId="2" borderId="31" xfId="0" applyNumberFormat="1" applyFont="1" applyFill="1" applyBorder="1" applyAlignment="1">
      <alignment vertical="center"/>
    </xf>
    <xf numFmtId="178" fontId="20" fillId="2" borderId="14" xfId="6" applyNumberFormat="1" applyFont="1" applyFill="1" applyBorder="1" applyAlignment="1">
      <alignment horizontal="right" vertical="center"/>
    </xf>
    <xf numFmtId="41" fontId="49" fillId="2" borderId="0" xfId="2" applyFont="1" applyFill="1" applyBorder="1" applyAlignment="1">
      <alignment vertical="center"/>
    </xf>
    <xf numFmtId="3" fontId="20" fillId="2" borderId="50" xfId="2" applyNumberFormat="1" applyFont="1" applyFill="1" applyBorder="1" applyAlignment="1">
      <alignment vertical="center"/>
    </xf>
    <xf numFmtId="3" fontId="20" fillId="2" borderId="11" xfId="6" applyNumberFormat="1" applyFont="1" applyFill="1" applyBorder="1" applyAlignment="1">
      <alignment horizontal="left" vertical="center"/>
    </xf>
    <xf numFmtId="41" fontId="20" fillId="2" borderId="53" xfId="2" applyFont="1" applyFill="1" applyBorder="1" applyAlignment="1">
      <alignment horizontal="right" vertical="center"/>
    </xf>
    <xf numFmtId="0" fontId="21" fillId="2" borderId="1" xfId="6" applyFont="1" applyFill="1" applyBorder="1" applyAlignment="1">
      <alignment vertical="center"/>
    </xf>
    <xf numFmtId="3" fontId="20" fillId="2" borderId="31" xfId="6" applyNumberFormat="1" applyFont="1" applyFill="1" applyBorder="1">
      <alignment vertical="center"/>
    </xf>
    <xf numFmtId="3" fontId="20" fillId="2" borderId="14" xfId="6" applyNumberFormat="1" applyFont="1" applyFill="1" applyBorder="1" applyAlignment="1">
      <alignment horizontal="right" vertical="center"/>
    </xf>
    <xf numFmtId="3" fontId="20" fillId="2" borderId="8" xfId="6" applyNumberFormat="1" applyFont="1" applyFill="1" applyBorder="1">
      <alignment vertical="center"/>
    </xf>
    <xf numFmtId="3" fontId="20" fillId="2" borderId="26" xfId="6" applyNumberFormat="1" applyFont="1" applyFill="1" applyBorder="1">
      <alignment vertical="center"/>
    </xf>
    <xf numFmtId="3" fontId="20" fillId="2" borderId="9" xfId="6" applyNumberFormat="1" applyFont="1" applyFill="1" applyBorder="1" applyAlignment="1">
      <alignment horizontal="right" vertical="center"/>
    </xf>
    <xf numFmtId="177" fontId="49" fillId="2" borderId="2" xfId="6" applyNumberFormat="1" applyFont="1" applyFill="1" applyBorder="1" applyAlignment="1">
      <alignment horizontal="right" vertical="center"/>
    </xf>
    <xf numFmtId="3" fontId="22" fillId="2" borderId="0" xfId="6" applyNumberFormat="1" applyFont="1" applyFill="1" applyBorder="1" applyAlignment="1">
      <alignment vertical="center"/>
    </xf>
    <xf numFmtId="3" fontId="20" fillId="2" borderId="13" xfId="6" applyNumberFormat="1" applyFont="1" applyFill="1" applyBorder="1" applyAlignment="1">
      <alignment horizontal="right" vertical="center"/>
    </xf>
    <xf numFmtId="41" fontId="49" fillId="2" borderId="2" xfId="2" applyFont="1" applyFill="1" applyBorder="1" applyAlignment="1">
      <alignment horizontal="left" vertical="center"/>
    </xf>
    <xf numFmtId="0" fontId="17" fillId="2" borderId="10" xfId="6" applyFont="1" applyFill="1" applyBorder="1" applyAlignment="1">
      <alignment vertical="center"/>
    </xf>
    <xf numFmtId="3" fontId="20" fillId="2" borderId="0" xfId="36" applyNumberFormat="1" applyFont="1" applyFill="1" applyBorder="1" applyAlignment="1">
      <alignment vertical="center"/>
    </xf>
    <xf numFmtId="3" fontId="20" fillId="2" borderId="2" xfId="36" applyNumberFormat="1" applyFont="1" applyFill="1" applyBorder="1" applyAlignment="1">
      <alignment vertical="center"/>
    </xf>
    <xf numFmtId="3" fontId="50" fillId="2" borderId="0" xfId="36" applyNumberFormat="1" applyFont="1" applyFill="1" applyBorder="1" applyAlignment="1">
      <alignment vertical="center"/>
    </xf>
    <xf numFmtId="3" fontId="50" fillId="2" borderId="2" xfId="36" applyNumberFormat="1" applyFont="1" applyFill="1" applyBorder="1" applyAlignment="1">
      <alignment vertical="center"/>
    </xf>
    <xf numFmtId="3" fontId="20" fillId="2" borderId="25" xfId="6" applyNumberFormat="1" applyFont="1" applyFill="1" applyBorder="1" applyAlignment="1">
      <alignment horizontal="right" vertical="center"/>
    </xf>
    <xf numFmtId="177" fontId="20" fillId="2" borderId="46" xfId="2" applyNumberFormat="1" applyFont="1" applyFill="1" applyBorder="1" applyAlignment="1">
      <alignment horizontal="left" vertical="center"/>
    </xf>
    <xf numFmtId="3" fontId="22" fillId="2" borderId="102" xfId="6" applyNumberFormat="1" applyFont="1" applyFill="1" applyBorder="1" applyAlignment="1">
      <alignment horizontal="left" vertical="center"/>
    </xf>
    <xf numFmtId="0" fontId="21" fillId="2" borderId="9" xfId="6" applyFont="1" applyFill="1" applyBorder="1" applyAlignment="1">
      <alignment vertical="center"/>
    </xf>
    <xf numFmtId="0" fontId="21" fillId="2" borderId="0" xfId="0" applyNumberFormat="1" applyFont="1" applyFill="1" applyBorder="1" applyAlignment="1">
      <alignment vertical="center"/>
    </xf>
    <xf numFmtId="38" fontId="21" fillId="2" borderId="0" xfId="0" applyNumberFormat="1" applyFont="1" applyFill="1" applyAlignment="1">
      <alignment horizontal="right" vertical="center"/>
    </xf>
    <xf numFmtId="0" fontId="21" fillId="2" borderId="0" xfId="0" applyNumberFormat="1" applyFont="1" applyFill="1" applyBorder="1" applyAlignment="1">
      <alignment horizontal="right" vertical="center"/>
    </xf>
    <xf numFmtId="177" fontId="21" fillId="2" borderId="0" xfId="0" applyNumberFormat="1" applyFont="1" applyFill="1" applyBorder="1" applyAlignment="1">
      <alignment horizontal="right" vertical="center"/>
    </xf>
    <xf numFmtId="0" fontId="21" fillId="2" borderId="0" xfId="2" applyNumberFormat="1" applyFont="1" applyFill="1" applyBorder="1" applyAlignment="1">
      <alignment horizontal="right" vertical="center"/>
    </xf>
    <xf numFmtId="0" fontId="21" fillId="2" borderId="0" xfId="0" applyNumberFormat="1" applyFont="1" applyFill="1" applyBorder="1" applyAlignment="1">
      <alignment horizontal="center" vertical="center"/>
    </xf>
    <xf numFmtId="0" fontId="21" fillId="2" borderId="0" xfId="2" applyNumberFormat="1" applyFont="1" applyFill="1" applyBorder="1" applyAlignment="1">
      <alignment vertical="center"/>
    </xf>
    <xf numFmtId="0" fontId="21" fillId="2" borderId="12" xfId="0" applyNumberFormat="1" applyFont="1" applyFill="1" applyBorder="1" applyAlignment="1">
      <alignment vertical="center"/>
    </xf>
    <xf numFmtId="0" fontId="21" fillId="2" borderId="82" xfId="0" applyNumberFormat="1" applyFont="1" applyFill="1" applyBorder="1" applyAlignment="1">
      <alignment horizontal="center" vertical="center" wrapText="1"/>
    </xf>
    <xf numFmtId="0" fontId="21" fillId="2" borderId="37" xfId="0" applyNumberFormat="1" applyFont="1" applyFill="1" applyBorder="1" applyAlignment="1">
      <alignment horizontal="center" vertical="center" wrapText="1"/>
    </xf>
    <xf numFmtId="0" fontId="21" fillId="2" borderId="9" xfId="0" applyNumberFormat="1" applyFont="1" applyFill="1" applyBorder="1" applyAlignment="1">
      <alignment horizontal="center" vertical="center"/>
    </xf>
    <xf numFmtId="0" fontId="23" fillId="2" borderId="45" xfId="0" applyNumberFormat="1" applyFont="1" applyFill="1" applyBorder="1" applyAlignment="1">
      <alignment vertical="center"/>
    </xf>
    <xf numFmtId="0" fontId="23" fillId="2" borderId="49" xfId="0" applyNumberFormat="1" applyFont="1" applyFill="1" applyBorder="1" applyAlignment="1">
      <alignment vertical="center"/>
    </xf>
    <xf numFmtId="184" fontId="23" fillId="2" borderId="39" xfId="2" applyNumberFormat="1" applyFont="1" applyFill="1" applyBorder="1" applyAlignment="1">
      <alignment horizontal="right" vertical="center"/>
    </xf>
    <xf numFmtId="177" fontId="23" fillId="2" borderId="62" xfId="2" applyNumberFormat="1" applyFont="1" applyFill="1" applyBorder="1" applyAlignment="1">
      <alignment horizontal="right" vertical="center"/>
    </xf>
    <xf numFmtId="41" fontId="23" fillId="2" borderId="12" xfId="2" applyFont="1" applyFill="1" applyBorder="1" applyAlignment="1">
      <alignment vertical="center"/>
    </xf>
    <xf numFmtId="41" fontId="23" fillId="2" borderId="44" xfId="2" applyFont="1" applyFill="1" applyBorder="1" applyAlignment="1">
      <alignment vertical="center"/>
    </xf>
    <xf numFmtId="41" fontId="23" fillId="2" borderId="45" xfId="2" applyFont="1" applyFill="1" applyBorder="1" applyAlignment="1">
      <alignment horizontal="centerContinuous" vertical="center"/>
    </xf>
    <xf numFmtId="41" fontId="23" fillId="2" borderId="45" xfId="2" applyFont="1" applyFill="1" applyBorder="1" applyAlignment="1">
      <alignment horizontal="center" vertical="center"/>
    </xf>
    <xf numFmtId="41" fontId="23" fillId="2" borderId="45" xfId="2" applyFont="1" applyFill="1" applyBorder="1" applyAlignment="1">
      <alignment vertical="center"/>
    </xf>
    <xf numFmtId="41" fontId="23" fillId="2" borderId="46" xfId="2" applyFont="1" applyFill="1" applyBorder="1" applyAlignment="1">
      <alignment vertical="center"/>
    </xf>
    <xf numFmtId="0" fontId="23" fillId="2" borderId="47" xfId="0" applyNumberFormat="1" applyFont="1" applyFill="1" applyBorder="1" applyAlignment="1">
      <alignment horizontal="left" vertical="center"/>
    </xf>
    <xf numFmtId="0" fontId="23" fillId="2" borderId="44" xfId="0" applyNumberFormat="1" applyFont="1" applyFill="1" applyBorder="1" applyAlignment="1">
      <alignment horizontal="left" vertical="center"/>
    </xf>
    <xf numFmtId="0" fontId="23" fillId="2" borderId="45" xfId="0" applyNumberFormat="1" applyFont="1" applyFill="1" applyBorder="1" applyAlignment="1">
      <alignment horizontal="left" vertical="center"/>
    </xf>
    <xf numFmtId="0" fontId="21" fillId="2" borderId="8" xfId="0" applyNumberFormat="1" applyFont="1" applyFill="1" applyBorder="1" applyAlignment="1">
      <alignment vertical="center"/>
    </xf>
    <xf numFmtId="0" fontId="21" fillId="2" borderId="23" xfId="0" applyNumberFormat="1" applyFont="1" applyFill="1" applyBorder="1" applyAlignment="1">
      <alignment vertical="center"/>
    </xf>
    <xf numFmtId="0" fontId="21" fillId="2" borderId="21" xfId="0" applyNumberFormat="1" applyFont="1" applyFill="1" applyBorder="1" applyAlignment="1">
      <alignment vertical="center"/>
    </xf>
    <xf numFmtId="184" fontId="21" fillId="2" borderId="14" xfId="2" applyNumberFormat="1" applyFont="1" applyFill="1" applyBorder="1" applyAlignment="1">
      <alignment horizontal="right" vertical="center"/>
    </xf>
    <xf numFmtId="177" fontId="21" fillId="2" borderId="36" xfId="2" applyNumberFormat="1" applyFont="1" applyFill="1" applyBorder="1" applyAlignment="1">
      <alignment horizontal="right" vertical="center"/>
    </xf>
    <xf numFmtId="41" fontId="21" fillId="2" borderId="12" xfId="2" applyFont="1" applyFill="1" applyBorder="1" applyAlignment="1">
      <alignment vertical="center"/>
    </xf>
    <xf numFmtId="41" fontId="21" fillId="2" borderId="22" xfId="2" applyFont="1" applyFill="1" applyBorder="1" applyAlignment="1">
      <alignment vertical="center"/>
    </xf>
    <xf numFmtId="41" fontId="21" fillId="2" borderId="7" xfId="2" applyFont="1" applyFill="1" applyBorder="1" applyAlignment="1">
      <alignment vertical="center"/>
    </xf>
    <xf numFmtId="41" fontId="21" fillId="2" borderId="7" xfId="2" applyFont="1" applyFill="1" applyBorder="1" applyAlignment="1">
      <alignment horizontal="center" vertical="center"/>
    </xf>
    <xf numFmtId="41" fontId="21" fillId="2" borderId="4" xfId="2" applyFont="1" applyFill="1" applyBorder="1" applyAlignment="1">
      <alignment vertical="center"/>
    </xf>
    <xf numFmtId="0" fontId="21" fillId="2" borderId="26" xfId="0" applyNumberFormat="1" applyFont="1" applyFill="1" applyBorder="1" applyAlignment="1">
      <alignment vertical="center"/>
    </xf>
    <xf numFmtId="0" fontId="21" fillId="2" borderId="10" xfId="0" applyNumberFormat="1" applyFont="1" applyFill="1" applyBorder="1" applyAlignment="1">
      <alignment vertical="center"/>
    </xf>
    <xf numFmtId="0" fontId="21" fillId="2" borderId="13" xfId="0" applyNumberFormat="1" applyFont="1" applyFill="1" applyBorder="1" applyAlignment="1">
      <alignment vertical="center"/>
    </xf>
    <xf numFmtId="184" fontId="21" fillId="2" borderId="13" xfId="0" applyNumberFormat="1" applyFont="1" applyFill="1" applyBorder="1" applyAlignment="1">
      <alignment horizontal="right" vertical="center"/>
    </xf>
    <xf numFmtId="184" fontId="21" fillId="2" borderId="13" xfId="2" applyNumberFormat="1" applyFont="1" applyFill="1" applyBorder="1" applyAlignment="1">
      <alignment horizontal="right" vertical="center"/>
    </xf>
    <xf numFmtId="177" fontId="21" fillId="2" borderId="56" xfId="2" applyNumberFormat="1" applyFont="1" applyFill="1" applyBorder="1" applyAlignment="1">
      <alignment horizontal="right" vertical="center"/>
    </xf>
    <xf numFmtId="41" fontId="21" fillId="2" borderId="84" xfId="2" applyFont="1" applyFill="1" applyBorder="1" applyAlignment="1">
      <alignment vertical="center"/>
    </xf>
    <xf numFmtId="10" fontId="21" fillId="2" borderId="0" xfId="2" applyNumberFormat="1" applyFont="1" applyFill="1" applyBorder="1" applyAlignment="1">
      <alignment vertical="center"/>
    </xf>
    <xf numFmtId="176" fontId="20" fillId="2" borderId="0" xfId="2" applyNumberFormat="1" applyFont="1" applyFill="1" applyBorder="1" applyAlignment="1">
      <alignment vertical="center"/>
    </xf>
    <xf numFmtId="9" fontId="20" fillId="2" borderId="0" xfId="2" applyNumberFormat="1" applyFont="1" applyFill="1" applyBorder="1" applyAlignment="1">
      <alignment vertical="center"/>
    </xf>
    <xf numFmtId="41" fontId="21" fillId="2" borderId="29" xfId="2" applyFont="1" applyFill="1" applyBorder="1" applyAlignment="1">
      <alignment vertical="center"/>
    </xf>
    <xf numFmtId="41" fontId="21" fillId="2" borderId="30" xfId="2" quotePrefix="1" applyFont="1" applyFill="1" applyBorder="1" applyAlignment="1">
      <alignment vertical="center"/>
    </xf>
    <xf numFmtId="41" fontId="21" fillId="2" borderId="30" xfId="2" applyFont="1" applyFill="1" applyBorder="1" applyAlignment="1">
      <alignment horizontal="center" vertical="center"/>
    </xf>
    <xf numFmtId="41" fontId="21" fillId="2" borderId="30" xfId="2" applyFont="1" applyFill="1" applyBorder="1" applyAlignment="1">
      <alignment vertical="center"/>
    </xf>
    <xf numFmtId="41" fontId="21" fillId="2" borderId="15" xfId="2" applyFont="1" applyFill="1" applyBorder="1" applyAlignment="1">
      <alignment vertical="center"/>
    </xf>
    <xf numFmtId="184" fontId="21" fillId="2" borderId="10" xfId="0" applyNumberFormat="1" applyFont="1" applyFill="1" applyBorder="1" applyAlignment="1">
      <alignment horizontal="right" vertical="center"/>
    </xf>
    <xf numFmtId="184" fontId="21" fillId="2" borderId="10" xfId="2" applyNumberFormat="1" applyFont="1" applyFill="1" applyBorder="1" applyAlignment="1">
      <alignment horizontal="right" vertical="center"/>
    </xf>
    <xf numFmtId="177" fontId="21" fillId="2" borderId="35" xfId="2" applyNumberFormat="1" applyFont="1" applyFill="1" applyBorder="1" applyAlignment="1">
      <alignment horizontal="right" vertical="center"/>
    </xf>
    <xf numFmtId="41" fontId="21" fillId="2" borderId="0" xfId="2" quotePrefix="1" applyFont="1" applyFill="1" applyBorder="1" applyAlignment="1">
      <alignment vertical="center"/>
    </xf>
    <xf numFmtId="41" fontId="21" fillId="2" borderId="0" xfId="2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/>
    </xf>
    <xf numFmtId="41" fontId="21" fillId="2" borderId="0" xfId="2" applyFont="1" applyFill="1" applyBorder="1" applyAlignment="1">
      <alignment horizontal="right" vertical="center"/>
    </xf>
    <xf numFmtId="184" fontId="21" fillId="2" borderId="10" xfId="0" applyNumberFormat="1" applyFont="1" applyFill="1" applyBorder="1" applyAlignment="1">
      <alignment vertical="center"/>
    </xf>
    <xf numFmtId="49" fontId="21" fillId="2" borderId="8" xfId="0" applyNumberFormat="1" applyFont="1" applyFill="1" applyBorder="1" applyAlignment="1">
      <alignment vertical="center"/>
    </xf>
    <xf numFmtId="49" fontId="21" fillId="2" borderId="26" xfId="0" applyNumberFormat="1" applyFont="1" applyFill="1" applyBorder="1" applyAlignment="1">
      <alignment vertical="center"/>
    </xf>
    <xf numFmtId="49" fontId="21" fillId="2" borderId="10" xfId="0" applyNumberFormat="1" applyFont="1" applyFill="1" applyBorder="1" applyAlignment="1">
      <alignment vertical="center"/>
    </xf>
    <xf numFmtId="49" fontId="21" fillId="2" borderId="9" xfId="0" applyNumberFormat="1" applyFont="1" applyFill="1" applyBorder="1" applyAlignment="1">
      <alignment vertical="center" shrinkToFit="1"/>
    </xf>
    <xf numFmtId="184" fontId="21" fillId="2" borderId="9" xfId="0" applyNumberFormat="1" applyFont="1" applyFill="1" applyBorder="1" applyAlignment="1">
      <alignment horizontal="right" vertical="center"/>
    </xf>
    <xf numFmtId="177" fontId="21" fillId="2" borderId="34" xfId="0" applyNumberFormat="1" applyFont="1" applyFill="1" applyBorder="1" applyAlignment="1">
      <alignment horizontal="right" vertical="center"/>
    </xf>
    <xf numFmtId="49" fontId="21" fillId="2" borderId="12" xfId="0" applyNumberFormat="1" applyFont="1" applyFill="1" applyBorder="1" applyAlignment="1">
      <alignment vertical="center"/>
    </xf>
    <xf numFmtId="49" fontId="21" fillId="2" borderId="24" xfId="0" applyNumberFormat="1" applyFont="1" applyFill="1" applyBorder="1" applyAlignment="1">
      <alignment vertical="center"/>
    </xf>
    <xf numFmtId="0" fontId="21" fillId="2" borderId="6" xfId="0" applyFont="1" applyFill="1" applyBorder="1" applyAlignment="1">
      <alignment horizontal="right" vertical="center"/>
    </xf>
    <xf numFmtId="41" fontId="20" fillId="2" borderId="6" xfId="2" applyFont="1" applyFill="1" applyBorder="1" applyAlignment="1">
      <alignment horizontal="center" vertical="center" wrapText="1"/>
    </xf>
    <xf numFmtId="41" fontId="20" fillId="2" borderId="6" xfId="2" applyFont="1" applyFill="1" applyBorder="1" applyAlignment="1">
      <alignment vertical="center" wrapText="1"/>
    </xf>
    <xf numFmtId="0" fontId="21" fillId="2" borderId="6" xfId="0" applyFont="1" applyFill="1" applyBorder="1" applyAlignment="1">
      <alignment horizontal="center" vertical="center"/>
    </xf>
    <xf numFmtId="41" fontId="21" fillId="2" borderId="3" xfId="2" applyNumberFormat="1" applyFont="1" applyFill="1" applyBorder="1" applyAlignment="1">
      <alignment vertical="center"/>
    </xf>
    <xf numFmtId="49" fontId="21" fillId="2" borderId="9" xfId="0" applyNumberFormat="1" applyFont="1" applyFill="1" applyBorder="1" applyAlignment="1">
      <alignment vertical="center"/>
    </xf>
    <xf numFmtId="41" fontId="21" fillId="2" borderId="24" xfId="2" applyFont="1" applyFill="1" applyBorder="1" applyAlignment="1">
      <alignment vertical="center"/>
    </xf>
    <xf numFmtId="41" fontId="21" fillId="2" borderId="6" xfId="2" quotePrefix="1" applyFont="1" applyFill="1" applyBorder="1" applyAlignment="1">
      <alignment vertical="center"/>
    </xf>
    <xf numFmtId="41" fontId="21" fillId="2" borderId="6" xfId="2" applyFont="1" applyFill="1" applyBorder="1" applyAlignment="1">
      <alignment horizontal="center" vertical="center"/>
    </xf>
    <xf numFmtId="41" fontId="21" fillId="2" borderId="6" xfId="2" applyFont="1" applyFill="1" applyBorder="1" applyAlignment="1">
      <alignment vertical="center"/>
    </xf>
    <xf numFmtId="0" fontId="21" fillId="2" borderId="6" xfId="2" applyNumberFormat="1" applyFont="1" applyFill="1" applyBorder="1" applyAlignment="1">
      <alignment horizontal="left" vertical="center"/>
    </xf>
    <xf numFmtId="177" fontId="21" fillId="2" borderId="35" xfId="0" applyNumberFormat="1" applyFont="1" applyFill="1" applyBorder="1" applyAlignment="1">
      <alignment horizontal="right" vertical="center"/>
    </xf>
    <xf numFmtId="41" fontId="21" fillId="2" borderId="7" xfId="2" quotePrefix="1" applyFont="1" applyFill="1" applyBorder="1" applyAlignment="1">
      <alignment vertical="center"/>
    </xf>
    <xf numFmtId="0" fontId="21" fillId="2" borderId="7" xfId="2" applyNumberFormat="1" applyFont="1" applyFill="1" applyBorder="1" applyAlignment="1">
      <alignment horizontal="left" vertical="center"/>
    </xf>
    <xf numFmtId="0" fontId="21" fillId="2" borderId="9" xfId="0" applyNumberFormat="1" applyFont="1" applyFill="1" applyBorder="1" applyAlignment="1">
      <alignment vertical="center"/>
    </xf>
    <xf numFmtId="184" fontId="21" fillId="2" borderId="9" xfId="2" applyNumberFormat="1" applyFont="1" applyFill="1" applyBorder="1" applyAlignment="1">
      <alignment horizontal="right" vertical="center"/>
    </xf>
    <xf numFmtId="177" fontId="21" fillId="2" borderId="34" xfId="2" applyNumberFormat="1" applyFont="1" applyFill="1" applyBorder="1" applyAlignment="1">
      <alignment horizontal="right" vertical="center"/>
    </xf>
    <xf numFmtId="41" fontId="21" fillId="2" borderId="3" xfId="2" applyFont="1" applyFill="1" applyBorder="1" applyAlignment="1">
      <alignment vertical="center" wrapText="1"/>
    </xf>
    <xf numFmtId="49" fontId="23" fillId="2" borderId="16" xfId="0" applyNumberFormat="1" applyFont="1" applyFill="1" applyBorder="1" applyAlignment="1">
      <alignment vertical="center"/>
    </xf>
    <xf numFmtId="49" fontId="23" fillId="2" borderId="27" xfId="0" applyNumberFormat="1" applyFont="1" applyFill="1" applyBorder="1" applyAlignment="1">
      <alignment vertical="center"/>
    </xf>
    <xf numFmtId="49" fontId="23" fillId="2" borderId="30" xfId="0" applyNumberFormat="1" applyFont="1" applyFill="1" applyBorder="1" applyAlignment="1">
      <alignment vertical="center"/>
    </xf>
    <xf numFmtId="49" fontId="23" fillId="2" borderId="28" xfId="0" applyNumberFormat="1" applyFont="1" applyFill="1" applyBorder="1" applyAlignment="1">
      <alignment vertical="center"/>
    </xf>
    <xf numFmtId="184" fontId="23" fillId="2" borderId="13" xfId="0" applyNumberFormat="1" applyFont="1" applyFill="1" applyBorder="1" applyAlignment="1">
      <alignment horizontal="right" vertical="center"/>
    </xf>
    <xf numFmtId="177" fontId="23" fillId="2" borderId="56" xfId="0" applyNumberFormat="1" applyFont="1" applyFill="1" applyBorder="1" applyAlignment="1">
      <alignment horizontal="right" vertical="center"/>
    </xf>
    <xf numFmtId="49" fontId="23" fillId="2" borderId="29" xfId="0" applyNumberFormat="1" applyFont="1" applyFill="1" applyBorder="1" applyAlignment="1">
      <alignment vertical="center"/>
    </xf>
    <xf numFmtId="0" fontId="23" fillId="2" borderId="30" xfId="0" applyFont="1" applyFill="1" applyBorder="1" applyAlignment="1">
      <alignment horizontal="right" vertical="center"/>
    </xf>
    <xf numFmtId="41" fontId="23" fillId="2" borderId="30" xfId="2" applyFont="1" applyFill="1" applyBorder="1" applyAlignment="1">
      <alignment horizontal="center" vertical="center"/>
    </xf>
    <xf numFmtId="41" fontId="23" fillId="2" borderId="30" xfId="2" applyNumberFormat="1" applyFont="1" applyFill="1" applyBorder="1" applyAlignment="1">
      <alignment vertical="center"/>
    </xf>
    <xf numFmtId="0" fontId="23" fillId="2" borderId="30" xfId="0" applyFont="1" applyFill="1" applyBorder="1" applyAlignment="1">
      <alignment vertical="center"/>
    </xf>
    <xf numFmtId="9" fontId="23" fillId="2" borderId="30" xfId="0" applyNumberFormat="1" applyFont="1" applyFill="1" applyBorder="1" applyAlignment="1">
      <alignment vertical="center"/>
    </xf>
    <xf numFmtId="41" fontId="23" fillId="2" borderId="15" xfId="2" applyNumberFormat="1" applyFont="1" applyFill="1" applyBorder="1" applyAlignment="1">
      <alignment vertical="center"/>
    </xf>
    <xf numFmtId="49" fontId="21" fillId="2" borderId="0" xfId="0" applyNumberFormat="1" applyFont="1" applyFill="1" applyBorder="1" applyAlignment="1">
      <alignment vertical="center"/>
    </xf>
    <xf numFmtId="184" fontId="21" fillId="2" borderId="14" xfId="0" applyNumberFormat="1" applyFont="1" applyFill="1" applyBorder="1" applyAlignment="1">
      <alignment horizontal="right" vertical="center"/>
    </xf>
    <xf numFmtId="41" fontId="21" fillId="2" borderId="7" xfId="2" applyNumberFormat="1" applyFont="1" applyFill="1" applyBorder="1" applyAlignment="1">
      <alignment vertical="center"/>
    </xf>
    <xf numFmtId="0" fontId="21" fillId="2" borderId="7" xfId="0" applyFont="1" applyFill="1" applyBorder="1" applyAlignment="1">
      <alignment vertical="center"/>
    </xf>
    <xf numFmtId="10" fontId="21" fillId="2" borderId="7" xfId="0" applyNumberFormat="1" applyFont="1" applyFill="1" applyBorder="1" applyAlignment="1">
      <alignment vertical="center"/>
    </xf>
    <xf numFmtId="41" fontId="21" fillId="2" borderId="4" xfId="0" applyNumberFormat="1" applyFont="1" applyFill="1" applyBorder="1" applyAlignment="1">
      <alignment vertical="center"/>
    </xf>
    <xf numFmtId="184" fontId="21" fillId="2" borderId="83" xfId="0" applyNumberFormat="1" applyFont="1" applyFill="1" applyBorder="1" applyAlignment="1">
      <alignment horizontal="right" vertical="center"/>
    </xf>
    <xf numFmtId="49" fontId="21" fillId="2" borderId="16" xfId="0" applyNumberFormat="1" applyFont="1" applyFill="1" applyBorder="1" applyAlignment="1">
      <alignment vertical="center"/>
    </xf>
    <xf numFmtId="41" fontId="21" fillId="2" borderId="0" xfId="2" applyNumberFormat="1" applyFont="1" applyFill="1" applyBorder="1" applyAlignment="1">
      <alignment vertical="center"/>
    </xf>
    <xf numFmtId="41" fontId="21" fillId="2" borderId="2" xfId="0" applyNumberFormat="1" applyFont="1" applyFill="1" applyBorder="1" applyAlignment="1">
      <alignment vertical="center"/>
    </xf>
    <xf numFmtId="49" fontId="21" fillId="2" borderId="29" xfId="0" applyNumberFormat="1" applyFont="1" applyFill="1" applyBorder="1" applyAlignment="1">
      <alignment vertical="center"/>
    </xf>
    <xf numFmtId="49" fontId="21" fillId="2" borderId="30" xfId="0" applyNumberFormat="1" applyFont="1" applyFill="1" applyBorder="1" applyAlignment="1">
      <alignment vertical="center"/>
    </xf>
    <xf numFmtId="41" fontId="21" fillId="2" borderId="6" xfId="2" applyNumberFormat="1" applyFont="1" applyFill="1" applyBorder="1" applyAlignment="1">
      <alignment vertical="center"/>
    </xf>
    <xf numFmtId="0" fontId="21" fillId="2" borderId="6" xfId="0" applyFont="1" applyFill="1" applyBorder="1" applyAlignment="1">
      <alignment vertical="center"/>
    </xf>
    <xf numFmtId="42" fontId="21" fillId="2" borderId="16" xfId="0" applyNumberFormat="1" applyFont="1" applyFill="1" applyBorder="1" applyAlignment="1">
      <alignment vertical="center"/>
    </xf>
    <xf numFmtId="0" fontId="21" fillId="2" borderId="0" xfId="0" applyFont="1" applyFill="1" applyBorder="1" applyAlignment="1">
      <alignment horizontal="right" vertical="center"/>
    </xf>
    <xf numFmtId="0" fontId="21" fillId="2" borderId="0" xfId="0" applyFont="1" applyFill="1" applyBorder="1" applyAlignment="1">
      <alignment horizontal="center" vertical="center"/>
    </xf>
    <xf numFmtId="41" fontId="21" fillId="2" borderId="2" xfId="2" applyNumberFormat="1" applyFont="1" applyFill="1" applyBorder="1" applyAlignment="1">
      <alignment vertical="center"/>
    </xf>
    <xf numFmtId="49" fontId="21" fillId="2" borderId="14" xfId="0" applyNumberFormat="1" applyFont="1" applyFill="1" applyBorder="1" applyAlignment="1">
      <alignment vertical="center"/>
    </xf>
    <xf numFmtId="177" fontId="21" fillId="2" borderId="36" xfId="0" applyNumberFormat="1" applyFont="1" applyFill="1" applyBorder="1" applyAlignment="1">
      <alignment horizontal="right" vertical="center"/>
    </xf>
    <xf numFmtId="42" fontId="21" fillId="2" borderId="22" xfId="0" applyNumberFormat="1" applyFont="1" applyFill="1" applyBorder="1" applyAlignment="1">
      <alignment vertical="center"/>
    </xf>
    <xf numFmtId="0" fontId="21" fillId="2" borderId="7" xfId="0" applyFont="1" applyFill="1" applyBorder="1" applyAlignment="1">
      <alignment horizontal="center" vertical="center"/>
    </xf>
    <xf numFmtId="41" fontId="21" fillId="2" borderId="4" xfId="2" applyNumberFormat="1" applyFont="1" applyFill="1" applyBorder="1" applyAlignment="1">
      <alignment vertical="center"/>
    </xf>
    <xf numFmtId="49" fontId="21" fillId="2" borderId="13" xfId="0" applyNumberFormat="1" applyFont="1" applyFill="1" applyBorder="1" applyAlignment="1">
      <alignment vertical="center"/>
    </xf>
    <xf numFmtId="49" fontId="21" fillId="2" borderId="12" xfId="0" applyNumberFormat="1" applyFont="1" applyFill="1" applyBorder="1" applyAlignment="1">
      <alignment horizontal="left" vertical="center"/>
    </xf>
    <xf numFmtId="49" fontId="21" fillId="2" borderId="29" xfId="0" applyNumberFormat="1" applyFont="1" applyFill="1" applyBorder="1" applyAlignment="1">
      <alignment horizontal="left" vertical="center"/>
    </xf>
    <xf numFmtId="0" fontId="21" fillId="2" borderId="30" xfId="0" applyFont="1" applyFill="1" applyBorder="1" applyAlignment="1">
      <alignment horizontal="justify" vertical="center"/>
    </xf>
    <xf numFmtId="0" fontId="21" fillId="2" borderId="30" xfId="0" applyFont="1" applyFill="1" applyBorder="1" applyAlignment="1">
      <alignment horizontal="center" vertical="center"/>
    </xf>
    <xf numFmtId="41" fontId="21" fillId="2" borderId="30" xfId="2" applyNumberFormat="1" applyFont="1" applyFill="1" applyBorder="1" applyAlignment="1">
      <alignment vertical="center"/>
    </xf>
    <xf numFmtId="0" fontId="21" fillId="2" borderId="30" xfId="0" applyFont="1" applyFill="1" applyBorder="1" applyAlignment="1">
      <alignment vertical="center"/>
    </xf>
    <xf numFmtId="176" fontId="21" fillId="2" borderId="30" xfId="1" applyNumberFormat="1" applyFont="1" applyFill="1" applyBorder="1" applyAlignment="1">
      <alignment vertical="center"/>
    </xf>
    <xf numFmtId="41" fontId="21" fillId="2" borderId="15" xfId="2" applyNumberFormat="1" applyFont="1" applyFill="1" applyBorder="1" applyAlignment="1">
      <alignment vertical="center"/>
    </xf>
    <xf numFmtId="49" fontId="21" fillId="2" borderId="24" xfId="0" applyNumberFormat="1" applyFont="1" applyFill="1" applyBorder="1" applyAlignment="1">
      <alignment horizontal="left" vertical="center"/>
    </xf>
    <xf numFmtId="0" fontId="21" fillId="2" borderId="6" xfId="0" applyFont="1" applyFill="1" applyBorder="1" applyAlignment="1">
      <alignment horizontal="justify" vertical="center"/>
    </xf>
    <xf numFmtId="177" fontId="53" fillId="2" borderId="38" xfId="6" applyNumberFormat="1" applyFont="1" applyFill="1" applyBorder="1" applyAlignment="1">
      <alignment horizontal="right" vertical="center"/>
    </xf>
    <xf numFmtId="0" fontId="0" fillId="2" borderId="7" xfId="0" applyFont="1" applyFill="1" applyBorder="1" applyAlignment="1">
      <alignment vertical="center"/>
    </xf>
    <xf numFmtId="3" fontId="20" fillId="2" borderId="22" xfId="0" applyNumberFormat="1" applyFont="1" applyFill="1" applyBorder="1" applyAlignment="1">
      <alignment vertical="center"/>
    </xf>
    <xf numFmtId="0" fontId="21" fillId="0" borderId="25" xfId="0" applyNumberFormat="1" applyFont="1" applyFill="1" applyBorder="1" applyAlignment="1">
      <alignment vertical="center"/>
    </xf>
    <xf numFmtId="0" fontId="20" fillId="0" borderId="16" xfId="0" applyFont="1" applyFill="1" applyBorder="1" applyAlignment="1">
      <alignment horizontal="left" vertical="center"/>
    </xf>
    <xf numFmtId="0" fontId="20" fillId="0" borderId="10" xfId="0" applyFont="1" applyFill="1" applyBorder="1" applyAlignment="1">
      <alignment horizontal="left" vertical="center"/>
    </xf>
    <xf numFmtId="3" fontId="20" fillId="0" borderId="29" xfId="6" applyNumberFormat="1" applyFont="1" applyFill="1" applyBorder="1" applyAlignment="1">
      <alignment horizontal="left" vertical="center"/>
    </xf>
    <xf numFmtId="178" fontId="20" fillId="0" borderId="30" xfId="0" applyNumberFormat="1" applyFont="1" applyFill="1" applyBorder="1" applyAlignment="1">
      <alignment vertical="center"/>
    </xf>
    <xf numFmtId="41" fontId="20" fillId="6" borderId="0" xfId="2" applyFont="1" applyFill="1" applyBorder="1" applyAlignment="1">
      <alignment horizontal="left" vertical="center"/>
    </xf>
    <xf numFmtId="3" fontId="20" fillId="6" borderId="0" xfId="6" applyNumberFormat="1" applyFont="1" applyFill="1" applyBorder="1" applyAlignment="1">
      <alignment horizontal="center" vertical="center"/>
    </xf>
    <xf numFmtId="3" fontId="20" fillId="6" borderId="0" xfId="6" applyNumberFormat="1" applyFont="1" applyFill="1" applyBorder="1" applyAlignment="1">
      <alignment horizontal="left" vertical="center"/>
    </xf>
    <xf numFmtId="0" fontId="0" fillId="2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7" fillId="6" borderId="0" xfId="0" applyFont="1" applyFill="1"/>
    <xf numFmtId="0" fontId="17" fillId="6" borderId="0" xfId="0" applyFont="1" applyFill="1" applyAlignment="1">
      <alignment vertical="center"/>
    </xf>
    <xf numFmtId="0" fontId="17" fillId="6" borderId="0" xfId="6" applyFont="1" applyFill="1" applyAlignment="1">
      <alignment horizontal="center" vertical="center"/>
    </xf>
    <xf numFmtId="41" fontId="21" fillId="6" borderId="0" xfId="2" applyFont="1" applyFill="1" applyAlignment="1">
      <alignment vertical="center"/>
    </xf>
    <xf numFmtId="41" fontId="17" fillId="6" borderId="0" xfId="2" applyFont="1" applyFill="1" applyAlignment="1">
      <alignment vertical="center"/>
    </xf>
    <xf numFmtId="0" fontId="17" fillId="6" borderId="0" xfId="6" applyFont="1" applyFill="1" applyAlignment="1">
      <alignment vertical="center"/>
    </xf>
    <xf numFmtId="3" fontId="20" fillId="0" borderId="2" xfId="2" applyNumberFormat="1" applyFont="1" applyFill="1" applyBorder="1" applyAlignment="1">
      <alignment vertical="center"/>
    </xf>
    <xf numFmtId="0" fontId="27" fillId="2" borderId="16" xfId="0" applyFont="1" applyFill="1" applyBorder="1" applyAlignment="1">
      <alignment vertical="center"/>
    </xf>
    <xf numFmtId="178" fontId="27" fillId="2" borderId="10" xfId="0" applyNumberFormat="1" applyFont="1" applyFill="1" applyBorder="1" applyAlignment="1">
      <alignment vertical="center"/>
    </xf>
    <xf numFmtId="41" fontId="20" fillId="2" borderId="0" xfId="2" applyFont="1" applyFill="1" applyBorder="1" applyAlignment="1"/>
    <xf numFmtId="0" fontId="27" fillId="2" borderId="10" xfId="0" applyFont="1" applyFill="1" applyBorder="1" applyAlignment="1">
      <alignment vertical="center"/>
    </xf>
    <xf numFmtId="41" fontId="17" fillId="0" borderId="0" xfId="2" applyFont="1" applyAlignment="1">
      <alignment vertical="center"/>
    </xf>
    <xf numFmtId="41" fontId="17" fillId="0" borderId="0" xfId="2" applyFont="1" applyBorder="1" applyAlignment="1">
      <alignment vertical="center"/>
    </xf>
    <xf numFmtId="41" fontId="27" fillId="0" borderId="0" xfId="2" applyFont="1" applyFill="1" applyBorder="1" applyAlignment="1">
      <alignment horizontal="center" vertical="center"/>
    </xf>
    <xf numFmtId="41" fontId="63" fillId="0" borderId="0" xfId="2" applyFont="1" applyFill="1" applyBorder="1" applyAlignment="1">
      <alignment horizontal="center" vertical="center"/>
    </xf>
    <xf numFmtId="41" fontId="27" fillId="0" borderId="0" xfId="2" applyFont="1" applyFill="1" applyAlignment="1">
      <alignment vertical="center"/>
    </xf>
    <xf numFmtId="41" fontId="63" fillId="0" borderId="0" xfId="2" applyFont="1" applyFill="1" applyAlignment="1">
      <alignment vertical="center"/>
    </xf>
    <xf numFmtId="41" fontId="27" fillId="0" borderId="0" xfId="2" applyFont="1" applyAlignment="1">
      <alignment vertical="center"/>
    </xf>
    <xf numFmtId="41" fontId="63" fillId="0" borderId="0" xfId="2" applyFont="1" applyAlignment="1">
      <alignment vertical="center"/>
    </xf>
    <xf numFmtId="3" fontId="20" fillId="2" borderId="0" xfId="6" applyNumberFormat="1" applyFont="1" applyFill="1" applyAlignment="1">
      <alignment horizontal="center" vertical="center"/>
    </xf>
    <xf numFmtId="3" fontId="62" fillId="2" borderId="45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Alignment="1">
      <alignment horizontal="left" vertical="center"/>
    </xf>
    <xf numFmtId="3" fontId="20" fillId="2" borderId="21" xfId="6" applyNumberFormat="1" applyFont="1" applyFill="1" applyBorder="1" applyAlignment="1">
      <alignment horizontal="center" vertical="center"/>
    </xf>
    <xf numFmtId="3" fontId="20" fillId="2" borderId="0" xfId="6" applyNumberFormat="1" applyFont="1" applyFill="1" applyBorder="1" applyAlignment="1">
      <alignment horizontal="centerContinuous" vertical="center"/>
    </xf>
    <xf numFmtId="3" fontId="20" fillId="2" borderId="33" xfId="6" applyNumberFormat="1" applyFont="1" applyFill="1" applyBorder="1" applyAlignment="1">
      <alignment horizontal="right" vertical="center"/>
    </xf>
    <xf numFmtId="3" fontId="20" fillId="0" borderId="14" xfId="6" applyNumberFormat="1" applyFont="1" applyFill="1" applyBorder="1" applyAlignment="1">
      <alignment vertical="center"/>
    </xf>
    <xf numFmtId="3" fontId="20" fillId="2" borderId="0" xfId="2" applyNumberFormat="1" applyFont="1" applyFill="1" applyBorder="1" applyAlignment="1">
      <alignment horizontal="centerContinuous" vertical="center"/>
    </xf>
    <xf numFmtId="3" fontId="20" fillId="0" borderId="0" xfId="6" applyNumberFormat="1" applyFont="1" applyFill="1" applyBorder="1" applyAlignment="1">
      <alignment horizontal="center" vertical="center"/>
    </xf>
    <xf numFmtId="3" fontId="20" fillId="0" borderId="0" xfId="2" applyNumberFormat="1" applyFont="1" applyFill="1" applyBorder="1" applyAlignment="1">
      <alignment vertical="center"/>
    </xf>
    <xf numFmtId="3" fontId="20" fillId="0" borderId="0" xfId="6" applyNumberFormat="1" applyFont="1" applyFill="1" applyBorder="1" applyAlignment="1">
      <alignment vertical="center"/>
    </xf>
    <xf numFmtId="3" fontId="20" fillId="0" borderId="0" xfId="6" applyNumberFormat="1" applyFont="1" applyFill="1" applyBorder="1" applyAlignment="1">
      <alignment horizontal="right" vertical="center"/>
    </xf>
    <xf numFmtId="3" fontId="20" fillId="0" borderId="0" xfId="6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vertical="center"/>
    </xf>
    <xf numFmtId="3" fontId="20" fillId="2" borderId="0" xfId="2" applyNumberFormat="1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horizontal="right" vertical="center"/>
    </xf>
    <xf numFmtId="3" fontId="20" fillId="2" borderId="2" xfId="2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3" fontId="20" fillId="2" borderId="27" xfId="0" applyNumberFormat="1" applyFont="1" applyFill="1" applyBorder="1" applyAlignment="1">
      <alignment vertical="center"/>
    </xf>
    <xf numFmtId="3" fontId="20" fillId="9" borderId="0" xfId="6" applyNumberFormat="1" applyFont="1" applyFill="1" applyBorder="1" applyAlignment="1">
      <alignment horizontal="center" vertical="center"/>
    </xf>
    <xf numFmtId="3" fontId="20" fillId="0" borderId="16" xfId="0" applyNumberFormat="1" applyFont="1" applyFill="1" applyBorder="1" applyAlignment="1">
      <alignment vertical="center"/>
    </xf>
    <xf numFmtId="3" fontId="20" fillId="9" borderId="0" xfId="6" applyNumberFormat="1" applyFont="1" applyFill="1" applyBorder="1" applyAlignment="1">
      <alignment horizontal="left" vertical="center"/>
    </xf>
    <xf numFmtId="41" fontId="20" fillId="6" borderId="15" xfId="2" applyFont="1" applyFill="1" applyBorder="1" applyAlignment="1">
      <alignment horizontal="right" vertical="center"/>
    </xf>
    <xf numFmtId="41" fontId="20" fillId="9" borderId="0" xfId="2" applyFont="1" applyFill="1" applyBorder="1" applyAlignment="1">
      <alignment horizontal="left" vertical="center"/>
    </xf>
    <xf numFmtId="41" fontId="20" fillId="9" borderId="15" xfId="2" applyFont="1" applyFill="1" applyBorder="1" applyAlignment="1">
      <alignment horizontal="right" vertical="center"/>
    </xf>
    <xf numFmtId="177" fontId="20" fillId="2" borderId="13" xfId="6" applyNumberFormat="1" applyFont="1" applyFill="1" applyBorder="1" applyAlignment="1">
      <alignment horizontal="right" vertical="center"/>
    </xf>
    <xf numFmtId="0" fontId="50" fillId="2" borderId="10" xfId="0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vertical="center"/>
    </xf>
    <xf numFmtId="3" fontId="50" fillId="2" borderId="0" xfId="2" applyNumberFormat="1" applyFont="1" applyFill="1" applyBorder="1" applyAlignment="1">
      <alignment vertical="center"/>
    </xf>
    <xf numFmtId="3" fontId="50" fillId="2" borderId="0" xfId="6" applyNumberFormat="1" applyFont="1" applyFill="1" applyBorder="1" applyAlignment="1">
      <alignment horizontal="center" vertical="center"/>
    </xf>
    <xf numFmtId="177" fontId="50" fillId="2" borderId="9" xfId="6" applyNumberFormat="1" applyFont="1" applyFill="1" applyBorder="1" applyAlignment="1">
      <alignment horizontal="right" vertical="center"/>
    </xf>
    <xf numFmtId="177" fontId="50" fillId="2" borderId="9" xfId="0" applyNumberFormat="1" applyFont="1" applyFill="1" applyBorder="1" applyAlignment="1">
      <alignment vertical="center"/>
    </xf>
    <xf numFmtId="0" fontId="20" fillId="2" borderId="0" xfId="0" quotePrefix="1" applyFont="1" applyFill="1" applyBorder="1" applyAlignment="1">
      <alignment horizontal="center" vertical="center"/>
    </xf>
    <xf numFmtId="3" fontId="20" fillId="0" borderId="29" xfId="0" applyNumberFormat="1" applyFont="1" applyFill="1" applyBorder="1" applyAlignment="1">
      <alignment vertical="center"/>
    </xf>
    <xf numFmtId="3" fontId="20" fillId="0" borderId="15" xfId="2" applyNumberFormat="1" applyFont="1" applyFill="1" applyBorder="1" applyAlignment="1">
      <alignment vertical="center"/>
    </xf>
    <xf numFmtId="41" fontId="20" fillId="2" borderId="12" xfId="2" applyFont="1" applyFill="1" applyBorder="1" applyAlignment="1">
      <alignment horizontal="left" vertical="center"/>
    </xf>
    <xf numFmtId="3" fontId="50" fillId="2" borderId="0" xfId="12707" applyNumberFormat="1" applyFont="1" applyFill="1" applyBorder="1" applyAlignment="1">
      <alignment vertical="center"/>
    </xf>
    <xf numFmtId="3" fontId="50" fillId="2" borderId="2" xfId="12707" applyNumberFormat="1" applyFont="1" applyFill="1" applyBorder="1" applyAlignment="1">
      <alignment vertical="center"/>
    </xf>
    <xf numFmtId="3" fontId="50" fillId="2" borderId="32" xfId="6" applyNumberFormat="1" applyFont="1" applyFill="1" applyBorder="1" applyAlignment="1">
      <alignment vertical="center"/>
    </xf>
    <xf numFmtId="3" fontId="50" fillId="2" borderId="1" xfId="12707" applyNumberFormat="1" applyFont="1" applyFill="1" applyBorder="1" applyAlignment="1">
      <alignment vertical="center"/>
    </xf>
    <xf numFmtId="177" fontId="20" fillId="2" borderId="31" xfId="6" applyNumberFormat="1" applyFont="1" applyFill="1" applyBorder="1" applyAlignment="1">
      <alignment vertical="center"/>
    </xf>
    <xf numFmtId="184" fontId="50" fillId="2" borderId="10" xfId="0" applyNumberFormat="1" applyFont="1" applyFill="1" applyBorder="1" applyAlignment="1">
      <alignment vertical="center"/>
    </xf>
    <xf numFmtId="3" fontId="20" fillId="2" borderId="60" xfId="6" applyNumberFormat="1" applyFont="1" applyFill="1" applyBorder="1" applyAlignment="1">
      <alignment vertical="center"/>
    </xf>
    <xf numFmtId="41" fontId="0" fillId="2" borderId="10" xfId="2" applyFont="1" applyFill="1" applyBorder="1" applyAlignment="1">
      <alignment vertical="center"/>
    </xf>
    <xf numFmtId="182" fontId="20" fillId="2" borderId="0" xfId="6" applyNumberFormat="1" applyFont="1" applyFill="1" applyBorder="1" applyAlignment="1">
      <alignment vertical="center"/>
    </xf>
    <xf numFmtId="178" fontId="20" fillId="2" borderId="26" xfId="0" applyNumberFormat="1" applyFont="1" applyFill="1" applyBorder="1" applyAlignment="1">
      <alignment vertical="center"/>
    </xf>
    <xf numFmtId="195" fontId="20" fillId="2" borderId="16" xfId="0" applyNumberFormat="1" applyFont="1" applyFill="1" applyBorder="1" applyAlignment="1">
      <alignment horizontal="left" vertical="center"/>
    </xf>
    <xf numFmtId="195" fontId="20" fillId="2" borderId="0" xfId="0" applyNumberFormat="1" applyFont="1" applyFill="1" applyBorder="1" applyAlignment="1">
      <alignment horizontal="left" vertical="center"/>
    </xf>
    <xf numFmtId="195" fontId="20" fillId="2" borderId="0" xfId="0" applyNumberFormat="1" applyFont="1" applyFill="1" applyBorder="1" applyAlignment="1">
      <alignment vertical="center"/>
    </xf>
    <xf numFmtId="177" fontId="50" fillId="2" borderId="2" xfId="6" applyNumberFormat="1" applyFont="1" applyFill="1" applyBorder="1" applyAlignment="1">
      <alignment horizontal="right" vertical="center"/>
    </xf>
    <xf numFmtId="1" fontId="20" fillId="2" borderId="0" xfId="0" applyNumberFormat="1" applyFont="1" applyFill="1" applyBorder="1" applyAlignment="1">
      <alignment vertical="center"/>
    </xf>
    <xf numFmtId="0" fontId="20" fillId="0" borderId="10" xfId="0" applyFont="1" applyFill="1" applyBorder="1" applyAlignment="1">
      <alignment vertical="center"/>
    </xf>
    <xf numFmtId="184" fontId="20" fillId="2" borderId="0" xfId="1" applyNumberFormat="1" applyFont="1" applyFill="1" applyBorder="1" applyAlignment="1">
      <alignment vertical="center"/>
    </xf>
    <xf numFmtId="176" fontId="20" fillId="2" borderId="0" xfId="1" applyNumberFormat="1" applyFont="1" applyFill="1" applyBorder="1" applyAlignment="1">
      <alignment vertical="center"/>
    </xf>
    <xf numFmtId="177" fontId="49" fillId="2" borderId="35" xfId="6" applyNumberFormat="1" applyFont="1" applyFill="1" applyBorder="1" applyAlignment="1">
      <alignment horizontal="right" vertical="center"/>
    </xf>
    <xf numFmtId="0" fontId="0" fillId="2" borderId="2" xfId="0" applyFont="1" applyFill="1" applyBorder="1" applyAlignment="1">
      <alignment vertical="center"/>
    </xf>
    <xf numFmtId="0" fontId="20" fillId="2" borderId="24" xfId="0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vertical="center"/>
    </xf>
    <xf numFmtId="41" fontId="20" fillId="2" borderId="16" xfId="2" applyFont="1" applyFill="1" applyBorder="1" applyAlignment="1">
      <alignment vertical="center"/>
    </xf>
    <xf numFmtId="178" fontId="20" fillId="2" borderId="0" xfId="2" applyNumberFormat="1" applyFont="1" applyFill="1" applyBorder="1" applyAlignment="1">
      <alignment vertical="center"/>
    </xf>
    <xf numFmtId="0" fontId="20" fillId="2" borderId="0" xfId="0" quotePrefix="1" applyFont="1" applyFill="1" applyBorder="1" applyAlignment="1">
      <alignment vertical="center"/>
    </xf>
    <xf numFmtId="177" fontId="20" fillId="2" borderId="0" xfId="0" applyNumberFormat="1" applyFont="1" applyFill="1" applyBorder="1" applyAlignment="1">
      <alignment horizontal="right" vertical="center" wrapText="1"/>
    </xf>
    <xf numFmtId="177" fontId="22" fillId="2" borderId="25" xfId="6" applyNumberFormat="1" applyFont="1" applyFill="1" applyBorder="1" applyAlignment="1">
      <alignment horizontal="right" vertical="center"/>
    </xf>
    <xf numFmtId="177" fontId="22" fillId="2" borderId="40" xfId="6" applyNumberFormat="1" applyFont="1" applyFill="1" applyBorder="1" applyAlignment="1">
      <alignment horizontal="right" vertical="center"/>
    </xf>
    <xf numFmtId="3" fontId="20" fillId="2" borderId="115" xfId="0" applyNumberFormat="1" applyFont="1" applyFill="1" applyBorder="1" applyAlignment="1">
      <alignment vertical="center"/>
    </xf>
    <xf numFmtId="41" fontId="20" fillId="2" borderId="58" xfId="2" applyFont="1" applyFill="1" applyBorder="1" applyAlignment="1">
      <alignment vertical="center"/>
    </xf>
    <xf numFmtId="3" fontId="20" fillId="2" borderId="3" xfId="6" applyNumberFormat="1" applyFont="1" applyFill="1" applyBorder="1" applyAlignment="1">
      <alignment horizontal="left" vertical="center"/>
    </xf>
    <xf numFmtId="0" fontId="20" fillId="2" borderId="52" xfId="0" applyFont="1" applyFill="1" applyBorder="1" applyAlignment="1">
      <alignment vertical="center" wrapText="1"/>
    </xf>
    <xf numFmtId="3" fontId="20" fillId="2" borderId="37" xfId="0" applyNumberFormat="1" applyFont="1" applyFill="1" applyBorder="1" applyAlignment="1">
      <alignment vertical="center"/>
    </xf>
    <xf numFmtId="41" fontId="29" fillId="0" borderId="0" xfId="0" applyNumberFormat="1" applyFont="1" applyAlignment="1">
      <alignment vertical="center"/>
    </xf>
    <xf numFmtId="41" fontId="20" fillId="2" borderId="61" xfId="2" applyFont="1" applyFill="1" applyBorder="1" applyAlignment="1">
      <alignment vertical="center"/>
    </xf>
    <xf numFmtId="41" fontId="20" fillId="2" borderId="57" xfId="2" applyFont="1" applyFill="1" applyBorder="1" applyAlignment="1">
      <alignment vertical="center"/>
    </xf>
    <xf numFmtId="41" fontId="20" fillId="2" borderId="116" xfId="2" applyFont="1" applyFill="1" applyBorder="1" applyAlignment="1">
      <alignment vertical="center"/>
    </xf>
    <xf numFmtId="41" fontId="20" fillId="2" borderId="116" xfId="2" applyFont="1" applyFill="1" applyBorder="1" applyAlignment="1">
      <alignment horizontal="left" vertical="center"/>
    </xf>
    <xf numFmtId="41" fontId="20" fillId="2" borderId="60" xfId="2" applyFont="1" applyFill="1" applyBorder="1" applyAlignment="1">
      <alignment horizontal="left" vertical="center"/>
    </xf>
    <xf numFmtId="41" fontId="20" fillId="2" borderId="59" xfId="2" applyFont="1" applyFill="1" applyBorder="1" applyAlignment="1">
      <alignment horizontal="left" vertical="center"/>
    </xf>
    <xf numFmtId="41" fontId="22" fillId="2" borderId="116" xfId="2" applyFont="1" applyFill="1" applyBorder="1" applyAlignment="1">
      <alignment horizontal="left" vertical="center"/>
    </xf>
    <xf numFmtId="178" fontId="22" fillId="2" borderId="116" xfId="0" applyNumberFormat="1" applyFont="1" applyFill="1" applyBorder="1" applyAlignment="1">
      <alignment vertical="center"/>
    </xf>
    <xf numFmtId="178" fontId="22" fillId="2" borderId="60" xfId="0" applyNumberFormat="1" applyFont="1" applyFill="1" applyBorder="1" applyAlignment="1">
      <alignment vertical="center"/>
    </xf>
    <xf numFmtId="3" fontId="20" fillId="2" borderId="59" xfId="6" applyNumberFormat="1" applyFont="1" applyFill="1" applyBorder="1" applyAlignment="1">
      <alignment vertical="center"/>
    </xf>
    <xf numFmtId="3" fontId="20" fillId="2" borderId="58" xfId="6" applyNumberFormat="1" applyFont="1" applyFill="1" applyBorder="1" applyAlignment="1">
      <alignment vertical="center"/>
    </xf>
    <xf numFmtId="3" fontId="53" fillId="2" borderId="10" xfId="6" applyNumberFormat="1" applyFont="1" applyFill="1" applyBorder="1">
      <alignment vertical="center"/>
    </xf>
    <xf numFmtId="3" fontId="53" fillId="2" borderId="7" xfId="6" applyNumberFormat="1" applyFont="1" applyFill="1" applyBorder="1" applyAlignment="1">
      <alignment horizontal="left" vertical="center"/>
    </xf>
    <xf numFmtId="3" fontId="53" fillId="2" borderId="21" xfId="6" applyNumberFormat="1" applyFont="1" applyFill="1" applyBorder="1" applyAlignment="1">
      <alignment vertical="center"/>
    </xf>
    <xf numFmtId="177" fontId="53" fillId="2" borderId="14" xfId="2" applyNumberFormat="1" applyFont="1" applyFill="1" applyBorder="1" applyAlignment="1">
      <alignment horizontal="right" vertical="center"/>
    </xf>
    <xf numFmtId="177" fontId="53" fillId="2" borderId="36" xfId="2" applyNumberFormat="1" applyFont="1" applyFill="1" applyBorder="1" applyAlignment="1">
      <alignment horizontal="right" vertical="center"/>
    </xf>
    <xf numFmtId="3" fontId="53" fillId="2" borderId="22" xfId="6" applyNumberFormat="1" applyFont="1" applyFill="1" applyBorder="1" applyAlignment="1">
      <alignment vertical="center"/>
    </xf>
    <xf numFmtId="3" fontId="53" fillId="2" borderId="7" xfId="6" applyNumberFormat="1" applyFont="1" applyFill="1" applyBorder="1" applyAlignment="1">
      <alignment horizontal="right" vertical="center"/>
    </xf>
    <xf numFmtId="3" fontId="53" fillId="2" borderId="36" xfId="6" applyNumberFormat="1" applyFont="1" applyFill="1" applyBorder="1" applyAlignment="1">
      <alignment horizontal="right" vertical="center"/>
    </xf>
    <xf numFmtId="3" fontId="53" fillId="2" borderId="69" xfId="6" applyNumberFormat="1" applyFont="1" applyFill="1" applyBorder="1" applyAlignment="1">
      <alignment horizontal="left" vertical="center"/>
    </xf>
    <xf numFmtId="3" fontId="53" fillId="2" borderId="21" xfId="6" applyNumberFormat="1" applyFont="1" applyFill="1" applyBorder="1" applyAlignment="1">
      <alignment horizontal="left" vertical="center"/>
    </xf>
    <xf numFmtId="3" fontId="50" fillId="2" borderId="7" xfId="6" applyNumberFormat="1" applyFont="1" applyFill="1" applyBorder="1" applyAlignment="1">
      <alignment horizontal="centerContinuous" vertical="center"/>
    </xf>
    <xf numFmtId="3" fontId="50" fillId="2" borderId="7" xfId="2" applyNumberFormat="1" applyFont="1" applyFill="1" applyBorder="1" applyAlignment="1">
      <alignment horizontal="centerContinuous" vertical="center"/>
    </xf>
    <xf numFmtId="3" fontId="50" fillId="2" borderId="6" xfId="50733" applyNumberFormat="1" applyFont="1" applyFill="1" applyBorder="1" applyAlignment="1">
      <alignment vertical="center"/>
    </xf>
    <xf numFmtId="3" fontId="50" fillId="2" borderId="3" xfId="50733" applyNumberFormat="1" applyFont="1" applyFill="1" applyBorder="1" applyAlignment="1">
      <alignment vertical="center"/>
    </xf>
    <xf numFmtId="3" fontId="50" fillId="2" borderId="0" xfId="50733" applyNumberFormat="1" applyFont="1" applyFill="1" applyBorder="1" applyAlignment="1">
      <alignment vertical="center"/>
    </xf>
    <xf numFmtId="3" fontId="50" fillId="2" borderId="2" xfId="50733" applyNumberFormat="1" applyFont="1" applyFill="1" applyBorder="1" applyAlignment="1">
      <alignment vertical="center"/>
    </xf>
    <xf numFmtId="3" fontId="50" fillId="2" borderId="7" xfId="50733" applyNumberFormat="1" applyFont="1" applyFill="1" applyBorder="1" applyAlignment="1">
      <alignment vertical="center"/>
    </xf>
    <xf numFmtId="3" fontId="50" fillId="2" borderId="4" xfId="50733" applyNumberFormat="1" applyFont="1" applyFill="1" applyBorder="1" applyAlignment="1">
      <alignment vertical="center"/>
    </xf>
    <xf numFmtId="3" fontId="50" fillId="2" borderId="6" xfId="50734" applyNumberFormat="1" applyFont="1" applyFill="1" applyBorder="1" applyAlignment="1">
      <alignment vertical="center"/>
    </xf>
    <xf numFmtId="3" fontId="50" fillId="2" borderId="3" xfId="50734" applyNumberFormat="1" applyFont="1" applyFill="1" applyBorder="1" applyAlignment="1">
      <alignment vertical="center"/>
    </xf>
    <xf numFmtId="3" fontId="50" fillId="2" borderId="9" xfId="6" applyNumberFormat="1" applyFont="1" applyFill="1" applyBorder="1" applyAlignment="1">
      <alignment vertical="top"/>
    </xf>
    <xf numFmtId="3" fontId="50" fillId="2" borderId="10" xfId="6" applyNumberFormat="1" applyFont="1" applyFill="1" applyBorder="1" applyAlignment="1">
      <alignment vertical="top"/>
    </xf>
    <xf numFmtId="177" fontId="50" fillId="2" borderId="26" xfId="0" applyNumberFormat="1" applyFont="1" applyFill="1" applyBorder="1" applyAlignment="1">
      <alignment horizontal="right" vertical="center"/>
    </xf>
    <xf numFmtId="177" fontId="50" fillId="2" borderId="103" xfId="0" applyNumberFormat="1" applyFont="1" applyFill="1" applyBorder="1" applyAlignment="1">
      <alignment horizontal="right" vertical="center"/>
    </xf>
    <xf numFmtId="9" fontId="20" fillId="2" borderId="0" xfId="13" applyFont="1" applyFill="1" applyBorder="1" applyAlignment="1">
      <alignment vertical="center"/>
    </xf>
    <xf numFmtId="3" fontId="20" fillId="2" borderId="0" xfId="4" applyNumberFormat="1" applyFont="1" applyFill="1" applyBorder="1" applyAlignment="1">
      <alignment vertical="center"/>
    </xf>
    <xf numFmtId="3" fontId="20" fillId="2" borderId="16" xfId="4" applyNumberFormat="1" applyFont="1" applyFill="1" applyBorder="1" applyAlignment="1">
      <alignment vertical="center"/>
    </xf>
    <xf numFmtId="3" fontId="20" fillId="2" borderId="0" xfId="4" quotePrefix="1" applyNumberFormat="1" applyFont="1" applyFill="1" applyBorder="1" applyAlignment="1">
      <alignment horizontal="center" vertical="center"/>
    </xf>
    <xf numFmtId="41" fontId="20" fillId="2" borderId="58" xfId="2" applyFont="1" applyFill="1" applyBorder="1" applyAlignment="1">
      <alignment horizontal="left" vertical="center"/>
    </xf>
    <xf numFmtId="3" fontId="20" fillId="2" borderId="3" xfId="0" applyNumberFormat="1" applyFont="1" applyFill="1" applyBorder="1" applyAlignment="1">
      <alignment vertical="center"/>
    </xf>
    <xf numFmtId="41" fontId="20" fillId="2" borderId="116" xfId="2" applyFont="1" applyFill="1" applyBorder="1" applyAlignment="1">
      <alignment horizontal="right" vertical="center"/>
    </xf>
    <xf numFmtId="43" fontId="21" fillId="0" borderId="0" xfId="0" applyNumberFormat="1" applyFont="1" applyFill="1" applyBorder="1" applyAlignment="1">
      <alignment vertical="center"/>
    </xf>
    <xf numFmtId="10" fontId="0" fillId="0" borderId="0" xfId="13" applyNumberFormat="1" applyFont="1" applyFill="1" applyAlignment="1">
      <alignment vertical="center"/>
    </xf>
    <xf numFmtId="196" fontId="0" fillId="0" borderId="0" xfId="13" applyNumberFormat="1" applyFont="1" applyFill="1" applyAlignment="1">
      <alignment vertical="center"/>
    </xf>
    <xf numFmtId="49" fontId="20" fillId="0" borderId="0" xfId="6" applyNumberFormat="1" applyFont="1" applyFill="1" applyBorder="1" applyAlignment="1">
      <alignment horizontal="right" vertical="center"/>
    </xf>
    <xf numFmtId="3" fontId="20" fillId="0" borderId="2" xfId="6" applyNumberFormat="1" applyFont="1" applyFill="1" applyBorder="1" applyAlignment="1">
      <alignment vertical="center"/>
    </xf>
    <xf numFmtId="178" fontId="20" fillId="0" borderId="15" xfId="0" applyNumberFormat="1" applyFont="1" applyFill="1" applyBorder="1" applyAlignment="1">
      <alignment vertical="center"/>
    </xf>
    <xf numFmtId="41" fontId="51" fillId="0" borderId="0" xfId="2" applyFont="1" applyFill="1" applyAlignment="1">
      <alignment horizontal="center" vertical="center"/>
    </xf>
    <xf numFmtId="41" fontId="20" fillId="0" borderId="30" xfId="2" applyFont="1" applyFill="1" applyBorder="1" applyAlignment="1">
      <alignment vertical="center"/>
    </xf>
    <xf numFmtId="3" fontId="50" fillId="2" borderId="0" xfId="0" applyNumberFormat="1" applyFont="1" applyFill="1" applyBorder="1" applyAlignment="1">
      <alignment horizontal="left" vertical="center"/>
    </xf>
    <xf numFmtId="186" fontId="50" fillId="2" borderId="0" xfId="6" applyNumberFormat="1" applyFont="1" applyFill="1" applyBorder="1" applyAlignment="1">
      <alignment vertical="center"/>
    </xf>
    <xf numFmtId="3" fontId="50" fillId="2" borderId="16" xfId="6" applyNumberFormat="1" applyFont="1" applyFill="1" applyBorder="1" applyAlignment="1">
      <alignment vertical="center"/>
    </xf>
    <xf numFmtId="0" fontId="50" fillId="2" borderId="0" xfId="0" applyFont="1" applyFill="1" applyBorder="1" applyAlignment="1">
      <alignment vertical="center"/>
    </xf>
    <xf numFmtId="41" fontId="22" fillId="2" borderId="4" xfId="2" applyFont="1" applyFill="1" applyBorder="1" applyAlignment="1">
      <alignment vertical="center"/>
    </xf>
    <xf numFmtId="3" fontId="22" fillId="2" borderId="12" xfId="6" applyNumberFormat="1" applyFont="1" applyFill="1" applyBorder="1" applyAlignment="1">
      <alignment horizontal="left" vertical="center"/>
    </xf>
    <xf numFmtId="3" fontId="20" fillId="2" borderId="6" xfId="0" applyNumberFormat="1" applyFont="1" applyFill="1" applyBorder="1" applyAlignment="1">
      <alignment horizontal="left"/>
    </xf>
    <xf numFmtId="41" fontId="22" fillId="2" borderId="3" xfId="2" applyFont="1" applyFill="1" applyBorder="1" applyAlignment="1">
      <alignment vertical="center"/>
    </xf>
    <xf numFmtId="184" fontId="20" fillId="2" borderId="9" xfId="0" applyNumberFormat="1" applyFont="1" applyFill="1" applyBorder="1" applyAlignment="1">
      <alignment horizontal="right" vertical="center"/>
    </xf>
    <xf numFmtId="0" fontId="0" fillId="2" borderId="2" xfId="0" applyFont="1" applyFill="1" applyBorder="1"/>
    <xf numFmtId="184" fontId="20" fillId="2" borderId="26" xfId="0" applyNumberFormat="1" applyFont="1" applyFill="1" applyBorder="1" applyAlignment="1">
      <alignment horizontal="right" vertical="center"/>
    </xf>
    <xf numFmtId="41" fontId="20" fillId="2" borderId="28" xfId="2" applyFont="1" applyFill="1" applyBorder="1" applyAlignment="1">
      <alignment vertical="center" shrinkToFit="1"/>
    </xf>
    <xf numFmtId="3" fontId="20" fillId="2" borderId="13" xfId="0" applyNumberFormat="1" applyFont="1" applyFill="1" applyBorder="1" applyAlignment="1">
      <alignment vertical="center"/>
    </xf>
    <xf numFmtId="177" fontId="20" fillId="2" borderId="26" xfId="2" applyNumberFormat="1" applyFont="1" applyFill="1" applyBorder="1" applyAlignment="1">
      <alignment vertical="center"/>
    </xf>
    <xf numFmtId="197" fontId="20" fillId="2" borderId="13" xfId="6" applyNumberFormat="1" applyFont="1" applyFill="1" applyBorder="1" applyAlignment="1">
      <alignment vertical="center"/>
    </xf>
    <xf numFmtId="197" fontId="20" fillId="2" borderId="27" xfId="0" applyNumberFormat="1" applyFont="1" applyFill="1" applyBorder="1" applyAlignment="1">
      <alignment vertical="center" wrapText="1"/>
    </xf>
    <xf numFmtId="197" fontId="20" fillId="2" borderId="28" xfId="0" applyNumberFormat="1" applyFont="1" applyFill="1" applyBorder="1" applyAlignment="1">
      <alignment vertical="center"/>
    </xf>
    <xf numFmtId="197" fontId="20" fillId="2" borderId="29" xfId="0" applyNumberFormat="1" applyFont="1" applyFill="1" applyBorder="1" applyAlignment="1">
      <alignment vertical="center"/>
    </xf>
    <xf numFmtId="197" fontId="20" fillId="2" borderId="30" xfId="6" applyNumberFormat="1" applyFont="1" applyFill="1" applyBorder="1" applyAlignment="1">
      <alignment horizontal="left" vertical="center"/>
    </xf>
    <xf numFmtId="197" fontId="20" fillId="2" borderId="30" xfId="0" applyNumberFormat="1" applyFont="1" applyFill="1" applyBorder="1" applyAlignment="1">
      <alignment vertical="center"/>
    </xf>
    <xf numFmtId="197" fontId="20" fillId="2" borderId="30" xfId="0" applyNumberFormat="1" applyFont="1" applyFill="1" applyBorder="1" applyAlignment="1">
      <alignment horizontal="center" vertical="center"/>
    </xf>
    <xf numFmtId="197" fontId="20" fillId="2" borderId="15" xfId="2" applyNumberFormat="1" applyFont="1" applyFill="1" applyBorder="1" applyAlignment="1">
      <alignment vertical="center"/>
    </xf>
    <xf numFmtId="197" fontId="20" fillId="2" borderId="15" xfId="0" applyNumberFormat="1" applyFont="1" applyFill="1" applyBorder="1" applyAlignment="1">
      <alignment vertical="center"/>
    </xf>
    <xf numFmtId="178" fontId="22" fillId="2" borderId="15" xfId="0" applyNumberFormat="1" applyFont="1" applyFill="1" applyBorder="1" applyAlignment="1">
      <alignment vertical="center"/>
    </xf>
    <xf numFmtId="3" fontId="20" fillId="2" borderId="2" xfId="2" applyNumberFormat="1" applyFont="1" applyFill="1" applyBorder="1" applyAlignment="1">
      <alignment horizontal="right" vertical="center"/>
    </xf>
    <xf numFmtId="3" fontId="20" fillId="0" borderId="2" xfId="6" applyNumberFormat="1" applyFont="1" applyFill="1" applyBorder="1" applyAlignment="1">
      <alignment horizontal="left" vertical="center"/>
    </xf>
    <xf numFmtId="0" fontId="20" fillId="2" borderId="6" xfId="0" applyFont="1" applyFill="1" applyBorder="1" applyAlignment="1">
      <alignment vertical="center" wrapText="1"/>
    </xf>
    <xf numFmtId="178" fontId="20" fillId="2" borderId="10" xfId="6" applyNumberFormat="1" applyFont="1" applyFill="1" applyBorder="1" applyAlignment="1">
      <alignment horizontal="right" vertical="center"/>
    </xf>
    <xf numFmtId="3" fontId="20" fillId="0" borderId="0" xfId="0" applyNumberFormat="1" applyFont="1" applyFill="1" applyBorder="1" applyAlignment="1">
      <alignment horizontal="left" vertical="center"/>
    </xf>
    <xf numFmtId="3" fontId="20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right" vertical="center"/>
    </xf>
    <xf numFmtId="0" fontId="22" fillId="2" borderId="8" xfId="6" applyFont="1" applyFill="1" applyBorder="1" applyAlignment="1">
      <alignment vertical="center"/>
    </xf>
    <xf numFmtId="0" fontId="22" fillId="2" borderId="45" xfId="6" applyFont="1" applyFill="1" applyBorder="1" applyAlignment="1">
      <alignment vertical="center"/>
    </xf>
    <xf numFmtId="3" fontId="22" fillId="2" borderId="44" xfId="2" applyNumberFormat="1" applyFont="1" applyFill="1" applyBorder="1" applyAlignment="1">
      <alignment vertical="center"/>
    </xf>
    <xf numFmtId="178" fontId="20" fillId="2" borderId="33" xfId="0" applyNumberFormat="1" applyFont="1" applyFill="1" applyBorder="1" applyAlignment="1">
      <alignment vertical="center"/>
    </xf>
    <xf numFmtId="3" fontId="20" fillId="2" borderId="48" xfId="2" applyNumberFormat="1" applyFont="1" applyFill="1" applyBorder="1" applyAlignment="1">
      <alignment vertical="center"/>
    </xf>
    <xf numFmtId="3" fontId="20" fillId="2" borderId="53" xfId="2" applyNumberFormat="1" applyFont="1" applyFill="1" applyBorder="1" applyAlignment="1">
      <alignment vertical="center"/>
    </xf>
    <xf numFmtId="0" fontId="20" fillId="0" borderId="16" xfId="6" applyFont="1" applyFill="1" applyBorder="1" applyAlignment="1">
      <alignment vertical="center"/>
    </xf>
    <xf numFmtId="0" fontId="20" fillId="0" borderId="10" xfId="6" applyFont="1" applyFill="1" applyBorder="1" applyAlignment="1">
      <alignment vertical="center"/>
    </xf>
    <xf numFmtId="3" fontId="20" fillId="0" borderId="12" xfId="6" applyNumberFormat="1" applyFont="1" applyFill="1" applyBorder="1" applyAlignment="1">
      <alignment horizontal="left" vertical="center"/>
    </xf>
    <xf numFmtId="3" fontId="20" fillId="0" borderId="29" xfId="2" applyNumberFormat="1" applyFont="1" applyFill="1" applyBorder="1" applyAlignment="1">
      <alignment vertical="center"/>
    </xf>
    <xf numFmtId="41" fontId="20" fillId="0" borderId="59" xfId="2" applyFont="1" applyFill="1" applyBorder="1" applyAlignment="1">
      <alignment vertical="center"/>
    </xf>
    <xf numFmtId="3" fontId="20" fillId="0" borderId="16" xfId="2" applyNumberFormat="1" applyFont="1" applyFill="1" applyBorder="1" applyAlignment="1">
      <alignment vertical="center"/>
    </xf>
    <xf numFmtId="3" fontId="20" fillId="2" borderId="29" xfId="2" applyNumberFormat="1" applyFont="1" applyFill="1" applyBorder="1" applyAlignment="1">
      <alignment vertical="center"/>
    </xf>
    <xf numFmtId="0" fontId="20" fillId="0" borderId="30" xfId="6" applyFont="1" applyFill="1" applyBorder="1" applyAlignment="1">
      <alignment vertical="center"/>
    </xf>
    <xf numFmtId="41" fontId="20" fillId="0" borderId="12" xfId="2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41" fontId="20" fillId="0" borderId="59" xfId="2" applyFont="1" applyFill="1" applyBorder="1" applyAlignment="1">
      <alignment horizontal="left" vertical="center"/>
    </xf>
    <xf numFmtId="3" fontId="22" fillId="0" borderId="39" xfId="6" applyNumberFormat="1" applyFont="1" applyFill="1" applyBorder="1" applyAlignment="1">
      <alignment vertical="center"/>
    </xf>
    <xf numFmtId="3" fontId="22" fillId="0" borderId="54" xfId="6" applyNumberFormat="1" applyFont="1" applyFill="1" applyBorder="1" applyAlignment="1">
      <alignment vertical="center"/>
    </xf>
    <xf numFmtId="3" fontId="22" fillId="0" borderId="45" xfId="6" applyNumberFormat="1" applyFont="1" applyFill="1" applyBorder="1" applyAlignment="1">
      <alignment vertical="center"/>
    </xf>
    <xf numFmtId="3" fontId="22" fillId="0" borderId="49" xfId="6" applyNumberFormat="1" applyFont="1" applyFill="1" applyBorder="1" applyAlignment="1">
      <alignment vertical="center"/>
    </xf>
    <xf numFmtId="184" fontId="22" fillId="0" borderId="39" xfId="6" applyNumberFormat="1" applyFont="1" applyFill="1" applyBorder="1" applyAlignment="1">
      <alignment horizontal="right" vertical="center"/>
    </xf>
    <xf numFmtId="3" fontId="20" fillId="0" borderId="22" xfId="6" applyNumberFormat="1" applyFont="1" applyFill="1" applyBorder="1" applyAlignment="1">
      <alignment horizontal="left" vertical="center"/>
    </xf>
    <xf numFmtId="3" fontId="20" fillId="0" borderId="10" xfId="0" applyNumberFormat="1" applyFont="1" applyFill="1" applyBorder="1" applyAlignment="1">
      <alignment vertical="center"/>
    </xf>
    <xf numFmtId="41" fontId="20" fillId="0" borderId="59" xfId="2" applyFont="1" applyFill="1" applyBorder="1" applyAlignment="1">
      <alignment horizontal="right" vertical="center"/>
    </xf>
    <xf numFmtId="184" fontId="20" fillId="0" borderId="13" xfId="6" applyNumberFormat="1" applyFont="1" applyFill="1" applyBorder="1" applyAlignment="1">
      <alignment horizontal="right" vertical="center"/>
    </xf>
    <xf numFmtId="0" fontId="20" fillId="2" borderId="0" xfId="6" applyFont="1" applyFill="1" applyAlignment="1">
      <alignment vertical="center"/>
    </xf>
    <xf numFmtId="177" fontId="22" fillId="0" borderId="62" xfId="6" applyNumberFormat="1" applyFont="1" applyFill="1" applyBorder="1" applyAlignment="1">
      <alignment vertical="center"/>
    </xf>
    <xf numFmtId="41" fontId="20" fillId="0" borderId="116" xfId="2" applyFont="1" applyFill="1" applyBorder="1" applyAlignment="1">
      <alignment horizontal="left" vertical="center"/>
    </xf>
    <xf numFmtId="184" fontId="20" fillId="0" borderId="14" xfId="6" applyNumberFormat="1" applyFont="1" applyFill="1" applyBorder="1" applyAlignment="1">
      <alignment horizontal="right" vertical="center"/>
    </xf>
    <xf numFmtId="3" fontId="20" fillId="0" borderId="4" xfId="2" applyNumberFormat="1" applyFont="1" applyFill="1" applyBorder="1" applyAlignment="1">
      <alignment horizontal="right" vertical="center"/>
    </xf>
    <xf numFmtId="41" fontId="20" fillId="0" borderId="60" xfId="2" applyFont="1" applyFill="1" applyBorder="1" applyAlignment="1">
      <alignment horizontal="right" vertical="center"/>
    </xf>
    <xf numFmtId="3" fontId="20" fillId="0" borderId="15" xfId="2" applyNumberFormat="1" applyFont="1" applyFill="1" applyBorder="1" applyAlignment="1">
      <alignment horizontal="right" vertical="center"/>
    </xf>
    <xf numFmtId="0" fontId="21" fillId="0" borderId="26" xfId="6" applyFont="1" applyFill="1" applyBorder="1" applyAlignment="1">
      <alignment vertical="center"/>
    </xf>
    <xf numFmtId="176" fontId="38" fillId="0" borderId="80" xfId="1" applyNumberFormat="1" applyFont="1" applyFill="1" applyBorder="1" applyAlignment="1">
      <alignment vertical="center"/>
    </xf>
    <xf numFmtId="0" fontId="20" fillId="2" borderId="38" xfId="0" applyFont="1" applyFill="1" applyBorder="1" applyAlignment="1">
      <alignment horizontal="left" vertical="center" wrapText="1"/>
    </xf>
    <xf numFmtId="0" fontId="20" fillId="2" borderId="7" xfId="0" applyNumberFormat="1" applyFont="1" applyFill="1" applyBorder="1" applyAlignment="1">
      <alignment horizontal="left" vertical="center"/>
    </xf>
    <xf numFmtId="41" fontId="20" fillId="2" borderId="7" xfId="0" applyNumberFormat="1" applyFont="1" applyFill="1" applyBorder="1" applyAlignment="1">
      <alignment horizontal="right" vertical="center"/>
    </xf>
    <xf numFmtId="0" fontId="20" fillId="2" borderId="30" xfId="0" applyNumberFormat="1" applyFont="1" applyFill="1" applyBorder="1" applyAlignment="1">
      <alignment horizontal="left" vertical="center"/>
    </xf>
    <xf numFmtId="41" fontId="20" fillId="2" borderId="30" xfId="0" applyNumberFormat="1" applyFont="1" applyFill="1" applyBorder="1" applyAlignment="1">
      <alignment horizontal="right" vertical="center"/>
    </xf>
    <xf numFmtId="0" fontId="0" fillId="2" borderId="9" xfId="0" applyFont="1" applyFill="1" applyBorder="1" applyAlignment="1">
      <alignment vertical="center"/>
    </xf>
    <xf numFmtId="181" fontId="20" fillId="2" borderId="10" xfId="2" applyNumberFormat="1" applyFont="1" applyFill="1" applyBorder="1" applyAlignment="1">
      <alignment vertical="center"/>
    </xf>
    <xf numFmtId="181" fontId="19" fillId="2" borderId="10" xfId="2" applyNumberFormat="1" applyFont="1" applyFill="1" applyBorder="1" applyAlignment="1">
      <alignment vertical="center"/>
    </xf>
    <xf numFmtId="193" fontId="20" fillId="2" borderId="30" xfId="2" applyNumberFormat="1" applyFont="1" applyFill="1" applyBorder="1" applyAlignment="1">
      <alignment vertical="center"/>
    </xf>
    <xf numFmtId="0" fontId="20" fillId="2" borderId="0" xfId="0" applyNumberFormat="1" applyFont="1" applyFill="1" applyBorder="1" applyAlignment="1">
      <alignment horizontal="left" vertical="center"/>
    </xf>
    <xf numFmtId="41" fontId="20" fillId="2" borderId="0" xfId="0" applyNumberFormat="1" applyFont="1" applyFill="1" applyBorder="1" applyAlignment="1">
      <alignment horizontal="right" vertical="center"/>
    </xf>
    <xf numFmtId="41" fontId="20" fillId="2" borderId="7" xfId="2" applyNumberFormat="1" applyFont="1" applyFill="1" applyBorder="1" applyAlignment="1">
      <alignment vertical="center"/>
    </xf>
    <xf numFmtId="0" fontId="20" fillId="2" borderId="30" xfId="0" applyNumberFormat="1" applyFont="1" applyFill="1" applyBorder="1" applyAlignment="1">
      <alignment horizontal="center" vertical="center"/>
    </xf>
    <xf numFmtId="0" fontId="20" fillId="2" borderId="6" xfId="0" applyNumberFormat="1" applyFont="1" applyFill="1" applyBorder="1" applyAlignment="1">
      <alignment vertical="center"/>
    </xf>
    <xf numFmtId="41" fontId="20" fillId="2" borderId="6" xfId="0" applyNumberFormat="1" applyFont="1" applyFill="1" applyBorder="1" applyAlignment="1">
      <alignment horizontal="right" vertical="center"/>
    </xf>
    <xf numFmtId="41" fontId="20" fillId="2" borderId="0" xfId="2" applyNumberFormat="1" applyFont="1" applyFill="1" applyBorder="1" applyAlignment="1">
      <alignment vertical="center"/>
    </xf>
    <xf numFmtId="0" fontId="20" fillId="2" borderId="0" xfId="6" applyNumberFormat="1" applyFont="1" applyFill="1" applyBorder="1" applyAlignment="1">
      <alignment vertical="center"/>
    </xf>
    <xf numFmtId="178" fontId="20" fillId="2" borderId="30" xfId="2" applyNumberFormat="1" applyFont="1" applyFill="1" applyBorder="1" applyAlignment="1">
      <alignment vertical="center"/>
    </xf>
    <xf numFmtId="0" fontId="20" fillId="2" borderId="22" xfId="0" applyFont="1" applyFill="1" applyBorder="1" applyAlignment="1">
      <alignment horizontal="left" vertical="center"/>
    </xf>
    <xf numFmtId="0" fontId="20" fillId="2" borderId="7" xfId="0" quotePrefix="1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horizontal="right" vertical="center"/>
    </xf>
    <xf numFmtId="177" fontId="20" fillId="2" borderId="0" xfId="0" applyNumberFormat="1" applyFont="1" applyFill="1" applyBorder="1" applyAlignment="1">
      <alignment vertical="center" shrinkToFit="1"/>
    </xf>
    <xf numFmtId="41" fontId="20" fillId="2" borderId="1" xfId="0" applyNumberFormat="1" applyFont="1" applyFill="1" applyBorder="1" applyAlignment="1">
      <alignment horizontal="right" vertical="center"/>
    </xf>
    <xf numFmtId="0" fontId="20" fillId="2" borderId="1" xfId="0" applyNumberFormat="1" applyFont="1" applyFill="1" applyBorder="1" applyAlignment="1">
      <alignment vertical="center"/>
    </xf>
    <xf numFmtId="178" fontId="20" fillId="2" borderId="1" xfId="0" applyNumberFormat="1" applyFont="1" applyFill="1" applyBorder="1" applyAlignment="1">
      <alignment vertical="center"/>
    </xf>
    <xf numFmtId="41" fontId="0" fillId="2" borderId="7" xfId="2" applyFont="1" applyFill="1" applyBorder="1" applyAlignment="1">
      <alignment vertical="center"/>
    </xf>
    <xf numFmtId="178" fontId="20" fillId="2" borderId="15" xfId="6" applyNumberFormat="1" applyFont="1" applyFill="1" applyBorder="1" applyAlignment="1">
      <alignment horizontal="left" vertical="center"/>
    </xf>
    <xf numFmtId="3" fontId="20" fillId="2" borderId="31" xfId="0" applyNumberFormat="1" applyFont="1" applyFill="1" applyBorder="1" applyAlignment="1">
      <alignment horizontal="left" vertical="center" shrinkToFit="1"/>
    </xf>
    <xf numFmtId="178" fontId="20" fillId="2" borderId="31" xfId="6" applyNumberFormat="1" applyFont="1" applyFill="1" applyBorder="1" applyAlignment="1">
      <alignment horizontal="right" vertical="center"/>
    </xf>
    <xf numFmtId="178" fontId="20" fillId="2" borderId="26" xfId="0" applyNumberFormat="1" applyFont="1" applyFill="1" applyBorder="1" applyAlignment="1">
      <alignment horizontal="right" vertical="center"/>
    </xf>
    <xf numFmtId="178" fontId="20" fillId="2" borderId="6" xfId="0" applyNumberFormat="1" applyFont="1" applyFill="1" applyBorder="1" applyAlignment="1">
      <alignment horizontal="right" vertical="center"/>
    </xf>
    <xf numFmtId="0" fontId="0" fillId="2" borderId="49" xfId="0" applyFont="1" applyFill="1" applyBorder="1" applyAlignment="1">
      <alignment vertical="center"/>
    </xf>
    <xf numFmtId="0" fontId="20" fillId="2" borderId="30" xfId="6" applyNumberFormat="1" applyFont="1" applyFill="1" applyBorder="1" applyAlignment="1">
      <alignment vertical="center"/>
    </xf>
    <xf numFmtId="41" fontId="20" fillId="2" borderId="30" xfId="2" applyNumberFormat="1" applyFont="1" applyFill="1" applyBorder="1" applyAlignment="1">
      <alignment horizontal="right" vertical="center"/>
    </xf>
    <xf numFmtId="0" fontId="20" fillId="2" borderId="7" xfId="6" applyNumberFormat="1" applyFont="1" applyFill="1" applyBorder="1" applyAlignment="1">
      <alignment vertical="center"/>
    </xf>
    <xf numFmtId="41" fontId="20" fillId="2" borderId="7" xfId="6" applyNumberFormat="1" applyFont="1" applyFill="1" applyBorder="1" applyAlignment="1">
      <alignment vertical="center"/>
    </xf>
    <xf numFmtId="176" fontId="20" fillId="2" borderId="7" xfId="6" applyNumberFormat="1" applyFont="1" applyFill="1" applyBorder="1" applyAlignment="1">
      <alignment vertical="center"/>
    </xf>
    <xf numFmtId="3" fontId="20" fillId="2" borderId="3" xfId="6" applyNumberFormat="1" applyFont="1" applyFill="1" applyBorder="1" applyAlignment="1">
      <alignment vertical="center"/>
    </xf>
    <xf numFmtId="41" fontId="0" fillId="2" borderId="0" xfId="2" applyFont="1" applyFill="1" applyAlignment="1">
      <alignment horizontal="center" vertical="center"/>
    </xf>
    <xf numFmtId="3" fontId="20" fillId="2" borderId="0" xfId="1" applyNumberFormat="1" applyFont="1" applyFill="1" applyBorder="1" applyAlignment="1">
      <alignment vertical="center"/>
    </xf>
    <xf numFmtId="178" fontId="20" fillId="2" borderId="2" xfId="0" applyNumberFormat="1" applyFont="1" applyFill="1" applyBorder="1" applyAlignment="1">
      <alignment horizontal="right" vertical="center" wrapText="1"/>
    </xf>
    <xf numFmtId="3" fontId="20" fillId="2" borderId="7" xfId="1" applyNumberFormat="1" applyFont="1" applyFill="1" applyBorder="1" applyAlignment="1">
      <alignment vertical="center"/>
    </xf>
    <xf numFmtId="176" fontId="20" fillId="2" borderId="0" xfId="6" applyNumberFormat="1" applyFont="1" applyFill="1" applyBorder="1" applyAlignment="1">
      <alignment vertical="center"/>
    </xf>
    <xf numFmtId="193" fontId="20" fillId="2" borderId="0" xfId="6" applyNumberFormat="1" applyFont="1" applyFill="1" applyBorder="1" applyAlignment="1">
      <alignment vertical="center"/>
    </xf>
    <xf numFmtId="177" fontId="20" fillId="2" borderId="12" xfId="2" applyNumberFormat="1" applyFont="1" applyFill="1" applyBorder="1" applyAlignment="1">
      <alignment vertical="center"/>
    </xf>
    <xf numFmtId="41" fontId="0" fillId="2" borderId="35" xfId="2" applyFont="1" applyFill="1" applyBorder="1" applyAlignment="1">
      <alignment vertical="center"/>
    </xf>
    <xf numFmtId="41" fontId="0" fillId="2" borderId="12" xfId="2" applyFont="1" applyFill="1" applyBorder="1" applyAlignment="1">
      <alignment vertical="center"/>
    </xf>
    <xf numFmtId="178" fontId="20" fillId="2" borderId="3" xfId="2" applyNumberFormat="1" applyFont="1" applyFill="1" applyBorder="1" applyAlignment="1">
      <alignment vertical="center"/>
    </xf>
    <xf numFmtId="178" fontId="20" fillId="2" borderId="10" xfId="0" applyNumberFormat="1" applyFont="1" applyFill="1" applyBorder="1" applyAlignment="1">
      <alignment horizontal="left" vertical="center"/>
    </xf>
    <xf numFmtId="177" fontId="20" fillId="2" borderId="70" xfId="0" applyNumberFormat="1" applyFont="1" applyFill="1" applyBorder="1" applyAlignment="1">
      <alignment vertical="center"/>
    </xf>
    <xf numFmtId="0" fontId="20" fillId="2" borderId="66" xfId="0" applyFont="1" applyFill="1" applyBorder="1" applyAlignment="1">
      <alignment vertical="center"/>
    </xf>
    <xf numFmtId="0" fontId="20" fillId="2" borderId="67" xfId="0" applyFont="1" applyFill="1" applyBorder="1" applyAlignment="1">
      <alignment vertical="center"/>
    </xf>
    <xf numFmtId="178" fontId="20" fillId="2" borderId="67" xfId="0" applyNumberFormat="1" applyFont="1" applyFill="1" applyBorder="1" applyAlignment="1">
      <alignment vertical="center"/>
    </xf>
    <xf numFmtId="0" fontId="0" fillId="2" borderId="67" xfId="0" applyFont="1" applyFill="1" applyBorder="1" applyAlignment="1">
      <alignment vertical="center"/>
    </xf>
    <xf numFmtId="178" fontId="20" fillId="2" borderId="68" xfId="0" applyNumberFormat="1" applyFont="1" applyFill="1" applyBorder="1" applyAlignment="1">
      <alignment vertical="center"/>
    </xf>
    <xf numFmtId="177" fontId="20" fillId="2" borderId="26" xfId="0" applyNumberFormat="1" applyFont="1" applyFill="1" applyBorder="1" applyAlignment="1">
      <alignment vertical="center"/>
    </xf>
    <xf numFmtId="177" fontId="20" fillId="2" borderId="21" xfId="0" applyNumberFormat="1" applyFont="1" applyFill="1" applyBorder="1" applyAlignment="1">
      <alignment vertical="center"/>
    </xf>
    <xf numFmtId="49" fontId="20" fillId="2" borderId="29" xfId="0" applyNumberFormat="1" applyFont="1" applyFill="1" applyBorder="1" applyAlignment="1">
      <alignment horizontal="center" vertical="center"/>
    </xf>
    <xf numFmtId="49" fontId="20" fillId="2" borderId="30" xfId="0" applyNumberFormat="1" applyFont="1" applyFill="1" applyBorder="1" applyAlignment="1">
      <alignment horizontal="center" vertical="center"/>
    </xf>
    <xf numFmtId="49" fontId="20" fillId="2" borderId="16" xfId="0" applyNumberFormat="1" applyFont="1" applyFill="1" applyBorder="1" applyAlignment="1">
      <alignment vertical="center"/>
    </xf>
    <xf numFmtId="177" fontId="20" fillId="2" borderId="31" xfId="6" applyNumberFormat="1" applyFont="1" applyFill="1" applyBorder="1" applyAlignment="1">
      <alignment horizontal="right" vertical="center"/>
    </xf>
    <xf numFmtId="0" fontId="20" fillId="2" borderId="0" xfId="0" applyNumberFormat="1" applyFont="1" applyFill="1" applyBorder="1" applyAlignment="1">
      <alignment horizontal="right" vertical="center"/>
    </xf>
    <xf numFmtId="49" fontId="20" fillId="2" borderId="22" xfId="0" applyNumberFormat="1" applyFont="1" applyFill="1" applyBorder="1" applyAlignment="1">
      <alignment vertical="center"/>
    </xf>
    <xf numFmtId="49" fontId="20" fillId="2" borderId="7" xfId="6" applyNumberFormat="1" applyFont="1" applyFill="1" applyBorder="1" applyAlignment="1">
      <alignment horizontal="left" vertical="center"/>
    </xf>
    <xf numFmtId="49" fontId="20" fillId="2" borderId="7" xfId="0" applyNumberFormat="1" applyFont="1" applyFill="1" applyBorder="1" applyAlignment="1">
      <alignment vertical="center"/>
    </xf>
    <xf numFmtId="0" fontId="20" fillId="2" borderId="7" xfId="0" applyNumberFormat="1" applyFont="1" applyFill="1" applyBorder="1" applyAlignment="1">
      <alignment horizontal="right" vertical="center"/>
    </xf>
    <xf numFmtId="41" fontId="20" fillId="2" borderId="4" xfId="2" applyNumberFormat="1" applyFont="1" applyFill="1" applyBorder="1" applyAlignment="1">
      <alignment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vertical="center"/>
    </xf>
    <xf numFmtId="0" fontId="20" fillId="2" borderId="28" xfId="0" applyFont="1" applyFill="1" applyBorder="1" applyAlignment="1">
      <alignment vertical="center" shrinkToFit="1"/>
    </xf>
    <xf numFmtId="177" fontId="20" fillId="2" borderId="25" xfId="2" applyNumberFormat="1" applyFont="1" applyFill="1" applyBorder="1" applyAlignment="1">
      <alignment horizontal="center" vertical="center"/>
    </xf>
    <xf numFmtId="177" fontId="20" fillId="2" borderId="40" xfId="2" applyNumberFormat="1" applyFont="1" applyFill="1" applyBorder="1" applyAlignment="1">
      <alignment horizontal="center" vertical="center"/>
    </xf>
    <xf numFmtId="49" fontId="20" fillId="2" borderId="20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20" fillId="2" borderId="5" xfId="0" applyNumberFormat="1" applyFont="1" applyFill="1" applyBorder="1" applyAlignment="1">
      <alignment horizontal="center" vertical="center"/>
    </xf>
    <xf numFmtId="3" fontId="20" fillId="2" borderId="30" xfId="6" applyNumberFormat="1" applyFont="1" applyFill="1" applyBorder="1" applyAlignment="1">
      <alignment horizontal="left" vertical="center"/>
    </xf>
    <xf numFmtId="0" fontId="20" fillId="2" borderId="21" xfId="0" applyFont="1" applyFill="1" applyBorder="1" applyAlignment="1">
      <alignment vertical="center" shrinkToFit="1"/>
    </xf>
    <xf numFmtId="0" fontId="20" fillId="0" borderId="27" xfId="0" applyFont="1" applyFill="1" applyBorder="1" applyAlignment="1">
      <alignment horizontal="left" vertical="center"/>
    </xf>
    <xf numFmtId="0" fontId="20" fillId="0" borderId="28" xfId="0" applyFont="1" applyFill="1" applyBorder="1" applyAlignment="1">
      <alignment horizontal="left" vertical="center"/>
    </xf>
    <xf numFmtId="0" fontId="20" fillId="2" borderId="13" xfId="0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/>
    </xf>
    <xf numFmtId="0" fontId="20" fillId="0" borderId="13" xfId="0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 wrapText="1"/>
    </xf>
    <xf numFmtId="0" fontId="20" fillId="2" borderId="30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0" fontId="20" fillId="2" borderId="21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0" fontId="20" fillId="2" borderId="6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6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7" xfId="0" applyFont="1" applyFill="1" applyBorder="1" applyAlignment="1">
      <alignment vertical="center"/>
    </xf>
    <xf numFmtId="177" fontId="20" fillId="2" borderId="40" xfId="0" applyNumberFormat="1" applyFont="1" applyFill="1" applyBorder="1" applyAlignment="1">
      <alignment horizontal="center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49" fontId="21" fillId="2" borderId="20" xfId="0" applyNumberFormat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49" fontId="21" fillId="2" borderId="5" xfId="0" applyNumberFormat="1" applyFont="1" applyFill="1" applyBorder="1" applyAlignment="1">
      <alignment horizontal="center" vertical="center"/>
    </xf>
    <xf numFmtId="195" fontId="20" fillId="2" borderId="16" xfId="0" applyNumberFormat="1" applyFont="1" applyFill="1" applyBorder="1" applyAlignment="1">
      <alignment horizontal="left" vertical="center" wrapText="1"/>
    </xf>
    <xf numFmtId="195" fontId="20" fillId="2" borderId="0" xfId="0" applyNumberFormat="1" applyFont="1" applyFill="1" applyBorder="1" applyAlignment="1">
      <alignment horizontal="left" vertical="center" wrapText="1"/>
    </xf>
    <xf numFmtId="195" fontId="20" fillId="2" borderId="22" xfId="0" applyNumberFormat="1" applyFont="1" applyFill="1" applyBorder="1" applyAlignment="1">
      <alignment horizontal="left" vertical="center" wrapText="1"/>
    </xf>
    <xf numFmtId="195" fontId="20" fillId="2" borderId="7" xfId="0" applyNumberFormat="1" applyFont="1" applyFill="1" applyBorder="1" applyAlignment="1">
      <alignment horizontal="left" vertical="center" wrapText="1"/>
    </xf>
    <xf numFmtId="0" fontId="20" fillId="2" borderId="14" xfId="0" applyFont="1" applyFill="1" applyBorder="1" applyAlignment="1">
      <alignment horizontal="left" vertical="center" shrinkToFit="1"/>
    </xf>
    <xf numFmtId="49" fontId="20" fillId="2" borderId="6" xfId="0" applyNumberFormat="1" applyFont="1" applyFill="1" applyBorder="1" applyAlignment="1">
      <alignment vertical="center"/>
    </xf>
    <xf numFmtId="3" fontId="20" fillId="2" borderId="30" xfId="1" applyNumberFormat="1" applyFont="1" applyFill="1" applyBorder="1" applyAlignment="1">
      <alignment vertical="center"/>
    </xf>
    <xf numFmtId="0" fontId="0" fillId="2" borderId="10" xfId="0" applyFont="1" applyFill="1" applyBorder="1" applyAlignment="1">
      <alignment vertical="center"/>
    </xf>
    <xf numFmtId="10" fontId="20" fillId="2" borderId="0" xfId="0" applyNumberFormat="1" applyFont="1" applyFill="1" applyBorder="1" applyAlignment="1">
      <alignment vertical="center"/>
    </xf>
    <xf numFmtId="3" fontId="20" fillId="2" borderId="15" xfId="0" applyNumberFormat="1" applyFont="1" applyFill="1" applyBorder="1" applyAlignment="1">
      <alignment horizontal="left" vertical="center"/>
    </xf>
    <xf numFmtId="177" fontId="20" fillId="2" borderId="3" xfId="6" applyNumberFormat="1" applyFont="1" applyFill="1" applyBorder="1" applyAlignment="1">
      <alignment vertical="center"/>
    </xf>
    <xf numFmtId="177" fontId="22" fillId="2" borderId="39" xfId="0" applyNumberFormat="1" applyFont="1" applyFill="1" applyBorder="1" applyAlignment="1">
      <alignment vertical="center"/>
    </xf>
    <xf numFmtId="177" fontId="22" fillId="2" borderId="12" xfId="0" applyNumberFormat="1" applyFont="1" applyFill="1" applyBorder="1" applyAlignment="1">
      <alignment vertical="center"/>
    </xf>
    <xf numFmtId="49" fontId="20" fillId="2" borderId="44" xfId="0" applyNumberFormat="1" applyFont="1" applyFill="1" applyBorder="1" applyAlignment="1">
      <alignment vertical="center"/>
    </xf>
    <xf numFmtId="49" fontId="20" fillId="2" borderId="45" xfId="0" applyNumberFormat="1" applyFont="1" applyFill="1" applyBorder="1" applyAlignment="1">
      <alignment vertical="center"/>
    </xf>
    <xf numFmtId="49" fontId="20" fillId="2" borderId="45" xfId="0" applyNumberFormat="1" applyFont="1" applyFill="1" applyBorder="1" applyAlignment="1">
      <alignment horizontal="left" vertical="center"/>
    </xf>
    <xf numFmtId="49" fontId="20" fillId="2" borderId="45" xfId="0" applyNumberFormat="1" applyFont="1" applyFill="1" applyBorder="1" applyAlignment="1">
      <alignment horizontal="right" vertical="center"/>
    </xf>
    <xf numFmtId="177" fontId="20" fillId="2" borderId="45" xfId="0" applyNumberFormat="1" applyFont="1" applyFill="1" applyBorder="1" applyAlignment="1">
      <alignment horizontal="center" vertical="center"/>
    </xf>
    <xf numFmtId="41" fontId="20" fillId="2" borderId="46" xfId="2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horizontal="left" vertical="center"/>
    </xf>
    <xf numFmtId="49" fontId="22" fillId="2" borderId="22" xfId="0" applyNumberFormat="1" applyFont="1" applyFill="1" applyBorder="1" applyAlignment="1">
      <alignment vertical="center"/>
    </xf>
    <xf numFmtId="49" fontId="22" fillId="2" borderId="7" xfId="0" applyNumberFormat="1" applyFont="1" applyFill="1" applyBorder="1" applyAlignment="1">
      <alignment vertical="center"/>
    </xf>
    <xf numFmtId="49" fontId="22" fillId="2" borderId="7" xfId="0" applyNumberFormat="1" applyFont="1" applyFill="1" applyBorder="1" applyAlignment="1">
      <alignment horizontal="left" vertical="center"/>
    </xf>
    <xf numFmtId="49" fontId="22" fillId="2" borderId="7" xfId="0" applyNumberFormat="1" applyFont="1" applyFill="1" applyBorder="1" applyAlignment="1">
      <alignment horizontal="right" vertical="center"/>
    </xf>
    <xf numFmtId="177" fontId="22" fillId="2" borderId="7" xfId="0" applyNumberFormat="1" applyFont="1" applyFill="1" applyBorder="1" applyAlignment="1">
      <alignment horizontal="center" vertical="center"/>
    </xf>
    <xf numFmtId="41" fontId="22" fillId="2" borderId="4" xfId="2" applyNumberFormat="1" applyFont="1" applyFill="1" applyBorder="1" applyAlignment="1">
      <alignment vertical="center"/>
    </xf>
    <xf numFmtId="41" fontId="22" fillId="2" borderId="0" xfId="2" applyFont="1" applyFill="1" applyAlignment="1">
      <alignment vertical="center"/>
    </xf>
    <xf numFmtId="0" fontId="22" fillId="2" borderId="0" xfId="0" applyFont="1" applyFill="1" applyAlignment="1">
      <alignment vertical="center"/>
    </xf>
    <xf numFmtId="41" fontId="20" fillId="2" borderId="3" xfId="2" applyNumberFormat="1" applyFont="1" applyFill="1" applyBorder="1" applyAlignment="1">
      <alignment vertical="center"/>
    </xf>
    <xf numFmtId="49" fontId="20" fillId="2" borderId="22" xfId="0" applyNumberFormat="1" applyFont="1" applyFill="1" applyBorder="1" applyAlignment="1">
      <alignment horizontal="center" vertical="center"/>
    </xf>
    <xf numFmtId="49" fontId="20" fillId="2" borderId="7" xfId="0" applyNumberFormat="1" applyFont="1" applyFill="1" applyBorder="1" applyAlignment="1">
      <alignment horizontal="center" vertical="center"/>
    </xf>
    <xf numFmtId="49" fontId="20" fillId="2" borderId="7" xfId="0" applyNumberFormat="1" applyFont="1" applyFill="1" applyBorder="1" applyAlignment="1">
      <alignment horizontal="right" vertical="center"/>
    </xf>
    <xf numFmtId="49" fontId="20" fillId="2" borderId="29" xfId="6" applyNumberFormat="1" applyFont="1" applyFill="1" applyBorder="1" applyAlignment="1">
      <alignment vertical="center"/>
    </xf>
    <xf numFmtId="49" fontId="20" fillId="2" borderId="30" xfId="6" applyNumberFormat="1" applyFont="1" applyFill="1" applyBorder="1" applyAlignment="1">
      <alignment vertical="center"/>
    </xf>
    <xf numFmtId="49" fontId="20" fillId="2" borderId="30" xfId="2" applyNumberFormat="1" applyFont="1" applyFill="1" applyBorder="1" applyAlignment="1">
      <alignment vertical="center"/>
    </xf>
    <xf numFmtId="49" fontId="20" fillId="2" borderId="30" xfId="6" applyNumberFormat="1" applyFont="1" applyFill="1" applyBorder="1" applyAlignment="1">
      <alignment horizontal="right" vertical="center"/>
    </xf>
    <xf numFmtId="49" fontId="20" fillId="2" borderId="16" xfId="6" applyNumberFormat="1" applyFont="1" applyFill="1" applyBorder="1" applyAlignment="1">
      <alignment horizontal="left" vertical="center"/>
    </xf>
    <xf numFmtId="49" fontId="20" fillId="2" borderId="0" xfId="6" applyNumberFormat="1" applyFont="1" applyFill="1" applyBorder="1" applyAlignment="1">
      <alignment horizontal="justify" vertical="center"/>
    </xf>
    <xf numFmtId="178" fontId="20" fillId="2" borderId="0" xfId="2" applyNumberFormat="1" applyFont="1" applyFill="1" applyBorder="1" applyAlignment="1">
      <alignment horizontal="right" vertical="center" shrinkToFit="1"/>
    </xf>
    <xf numFmtId="49" fontId="20" fillId="2" borderId="7" xfId="6" applyNumberFormat="1" applyFont="1" applyFill="1" applyBorder="1" applyAlignment="1">
      <alignment horizontal="justify" vertical="center"/>
    </xf>
    <xf numFmtId="181" fontId="20" fillId="2" borderId="7" xfId="2" applyNumberFormat="1" applyFont="1" applyFill="1" applyBorder="1" applyAlignment="1">
      <alignment vertical="center"/>
    </xf>
    <xf numFmtId="43" fontId="20" fillId="2" borderId="0" xfId="0" applyNumberFormat="1" applyFont="1" applyFill="1" applyAlignment="1">
      <alignment vertical="center"/>
    </xf>
    <xf numFmtId="3" fontId="66" fillId="2" borderId="10" xfId="6" applyNumberFormat="1" applyFont="1" applyFill="1" applyBorder="1" applyAlignment="1">
      <alignment vertical="center"/>
    </xf>
    <xf numFmtId="177" fontId="66" fillId="2" borderId="10" xfId="6" applyNumberFormat="1" applyFont="1" applyFill="1" applyBorder="1" applyAlignment="1">
      <alignment horizontal="right" vertical="center"/>
    </xf>
    <xf numFmtId="177" fontId="66" fillId="2" borderId="35" xfId="6" applyNumberFormat="1" applyFont="1" applyFill="1" applyBorder="1" applyAlignment="1">
      <alignment horizontal="right" vertical="center"/>
    </xf>
    <xf numFmtId="49" fontId="0" fillId="2" borderId="0" xfId="6" applyNumberFormat="1" applyFont="1" applyFill="1" applyBorder="1" applyAlignment="1">
      <alignment vertical="center"/>
    </xf>
    <xf numFmtId="0" fontId="20" fillId="2" borderId="12" xfId="0" applyFont="1" applyFill="1" applyBorder="1"/>
    <xf numFmtId="0" fontId="20" fillId="2" borderId="0" xfId="0" applyFont="1" applyFill="1" applyBorder="1" applyAlignment="1"/>
    <xf numFmtId="49" fontId="20" fillId="2" borderId="24" xfId="0" applyNumberFormat="1" applyFont="1" applyFill="1" applyBorder="1" applyAlignment="1">
      <alignment vertical="center"/>
    </xf>
    <xf numFmtId="49" fontId="20" fillId="2" borderId="6" xfId="6" applyNumberFormat="1" applyFont="1" applyFill="1" applyBorder="1" applyAlignment="1">
      <alignment horizontal="left" vertical="center"/>
    </xf>
    <xf numFmtId="49" fontId="20" fillId="2" borderId="6" xfId="0" applyNumberFormat="1" applyFont="1" applyFill="1" applyBorder="1" applyAlignment="1">
      <alignment horizontal="right" vertical="center"/>
    </xf>
    <xf numFmtId="0" fontId="20" fillId="2" borderId="32" xfId="0" applyFont="1" applyFill="1" applyBorder="1" applyAlignment="1">
      <alignment vertical="center"/>
    </xf>
    <xf numFmtId="49" fontId="20" fillId="2" borderId="20" xfId="0" applyNumberFormat="1" applyFont="1" applyFill="1" applyBorder="1" applyAlignment="1">
      <alignment vertical="center"/>
    </xf>
    <xf numFmtId="49" fontId="20" fillId="2" borderId="1" xfId="6" applyNumberFormat="1" applyFont="1" applyFill="1" applyBorder="1" applyAlignment="1">
      <alignment horizontal="left" vertical="center"/>
    </xf>
    <xf numFmtId="49" fontId="20" fillId="2" borderId="1" xfId="0" applyNumberFormat="1" applyFont="1" applyFill="1" applyBorder="1" applyAlignment="1">
      <alignment vertical="center"/>
    </xf>
    <xf numFmtId="49" fontId="20" fillId="2" borderId="1" xfId="0" applyNumberFormat="1" applyFont="1" applyFill="1" applyBorder="1" applyAlignment="1">
      <alignment horizontal="right" vertical="center"/>
    </xf>
    <xf numFmtId="41" fontId="20" fillId="2" borderId="5" xfId="2" applyNumberFormat="1" applyFont="1" applyFill="1" applyBorder="1" applyAlignment="1">
      <alignment vertical="center"/>
    </xf>
    <xf numFmtId="0" fontId="22" fillId="2" borderId="16" xfId="0" applyFont="1" applyFill="1" applyBorder="1" applyAlignment="1">
      <alignment vertical="center"/>
    </xf>
    <xf numFmtId="0" fontId="22" fillId="2" borderId="10" xfId="0" applyFont="1" applyFill="1" applyBorder="1" applyAlignment="1">
      <alignment vertical="center"/>
    </xf>
    <xf numFmtId="0" fontId="29" fillId="2" borderId="44" xfId="0" applyFont="1" applyFill="1" applyBorder="1" applyAlignment="1">
      <alignment vertical="center"/>
    </xf>
    <xf numFmtId="184" fontId="22" fillId="2" borderId="46" xfId="0" applyNumberFormat="1" applyFont="1" applyFill="1" applyBorder="1" applyAlignment="1">
      <alignment vertical="center"/>
    </xf>
    <xf numFmtId="177" fontId="20" fillId="2" borderId="23" xfId="0" applyNumberFormat="1" applyFont="1" applyFill="1" applyBorder="1" applyAlignment="1">
      <alignment vertical="center"/>
    </xf>
    <xf numFmtId="3" fontId="22" fillId="2" borderId="4" xfId="6" applyNumberFormat="1" applyFont="1" applyFill="1" applyBorder="1" applyAlignment="1">
      <alignment vertical="center"/>
    </xf>
    <xf numFmtId="177" fontId="20" fillId="2" borderId="27" xfId="0" applyNumberFormat="1" applyFont="1" applyFill="1" applyBorder="1" applyAlignment="1">
      <alignment vertical="center"/>
    </xf>
    <xf numFmtId="38" fontId="20" fillId="2" borderId="30" xfId="0" applyNumberFormat="1" applyFont="1" applyFill="1" applyBorder="1" applyAlignment="1">
      <alignment horizontal="center" vertical="center"/>
    </xf>
    <xf numFmtId="38" fontId="20" fillId="2" borderId="15" xfId="0" applyNumberFormat="1" applyFont="1" applyFill="1" applyBorder="1" applyAlignment="1">
      <alignment vertical="center"/>
    </xf>
    <xf numFmtId="49" fontId="20" fillId="2" borderId="30" xfId="6" applyNumberFormat="1" applyFont="1" applyFill="1" applyBorder="1" applyAlignment="1">
      <alignment horizontal="left" vertical="center"/>
    </xf>
    <xf numFmtId="3" fontId="22" fillId="2" borderId="2" xfId="6" applyNumberFormat="1" applyFont="1" applyFill="1" applyBorder="1" applyAlignment="1">
      <alignment vertical="center"/>
    </xf>
    <xf numFmtId="3" fontId="22" fillId="2" borderId="15" xfId="6" applyNumberFormat="1" applyFont="1" applyFill="1" applyBorder="1" applyAlignment="1">
      <alignment vertical="center"/>
    </xf>
    <xf numFmtId="49" fontId="66" fillId="2" borderId="7" xfId="6" applyNumberFormat="1" applyFont="1" applyFill="1" applyBorder="1" applyAlignment="1">
      <alignment horizontal="left" vertical="center"/>
    </xf>
    <xf numFmtId="49" fontId="66" fillId="2" borderId="7" xfId="0" applyNumberFormat="1" applyFont="1" applyFill="1" applyBorder="1" applyAlignment="1">
      <alignment vertical="center"/>
    </xf>
    <xf numFmtId="49" fontId="22" fillId="2" borderId="29" xfId="0" applyNumberFormat="1" applyFont="1" applyFill="1" applyBorder="1" applyAlignment="1">
      <alignment vertical="center"/>
    </xf>
    <xf numFmtId="49" fontId="22" fillId="2" borderId="30" xfId="6" applyNumberFormat="1" applyFont="1" applyFill="1" applyBorder="1" applyAlignment="1">
      <alignment horizontal="left" vertical="center"/>
    </xf>
    <xf numFmtId="49" fontId="22" fillId="2" borderId="30" xfId="0" applyNumberFormat="1" applyFont="1" applyFill="1" applyBorder="1" applyAlignment="1">
      <alignment vertical="center"/>
    </xf>
    <xf numFmtId="49" fontId="22" fillId="2" borderId="30" xfId="6" applyNumberFormat="1" applyFont="1" applyFill="1" applyBorder="1" applyAlignment="1">
      <alignment horizontal="right" vertical="center"/>
    </xf>
    <xf numFmtId="3" fontId="22" fillId="2" borderId="30" xfId="6" applyNumberFormat="1" applyFont="1" applyFill="1" applyBorder="1" applyAlignment="1">
      <alignment vertical="center"/>
    </xf>
    <xf numFmtId="3" fontId="22" fillId="2" borderId="30" xfId="6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center" vertical="center"/>
    </xf>
    <xf numFmtId="0" fontId="20" fillId="2" borderId="0" xfId="6" applyNumberFormat="1" applyFont="1" applyFill="1" applyBorder="1" applyAlignment="1">
      <alignment horizontal="right" vertical="center"/>
    </xf>
    <xf numFmtId="0" fontId="22" fillId="2" borderId="30" xfId="0" applyNumberFormat="1" applyFont="1" applyFill="1" applyBorder="1" applyAlignment="1">
      <alignment horizontal="right" vertical="center"/>
    </xf>
    <xf numFmtId="41" fontId="22" fillId="2" borderId="15" xfId="2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49" fontId="20" fillId="2" borderId="2" xfId="0" applyNumberFormat="1" applyFont="1" applyFill="1" applyBorder="1" applyAlignment="1">
      <alignment horizontal="right" vertical="center"/>
    </xf>
    <xf numFmtId="178" fontId="22" fillId="2" borderId="39" xfId="0" applyNumberFormat="1" applyFont="1" applyFill="1" applyBorder="1" applyAlignment="1">
      <alignment vertical="center" shrinkToFit="1"/>
    </xf>
    <xf numFmtId="0" fontId="22" fillId="2" borderId="65" xfId="0" applyFont="1" applyFill="1" applyBorder="1" applyAlignment="1">
      <alignment vertical="center"/>
    </xf>
    <xf numFmtId="177" fontId="22" fillId="2" borderId="62" xfId="0" applyNumberFormat="1" applyFont="1" applyFill="1" applyBorder="1" applyAlignment="1">
      <alignment vertical="center" shrinkToFit="1"/>
    </xf>
    <xf numFmtId="178" fontId="20" fillId="2" borderId="45" xfId="0" applyNumberFormat="1" applyFont="1" applyFill="1" applyBorder="1" applyAlignment="1">
      <alignment horizontal="right" vertical="center" wrapText="1"/>
    </xf>
    <xf numFmtId="178" fontId="20" fillId="2" borderId="45" xfId="0" applyNumberFormat="1" applyFont="1" applyFill="1" applyBorder="1" applyAlignment="1">
      <alignment vertical="center" wrapText="1"/>
    </xf>
    <xf numFmtId="0" fontId="20" fillId="2" borderId="45" xfId="0" applyFont="1" applyFill="1" applyBorder="1" applyAlignment="1">
      <alignment horizontal="center" vertical="center"/>
    </xf>
    <xf numFmtId="178" fontId="22" fillId="2" borderId="14" xfId="0" applyNumberFormat="1" applyFont="1" applyFill="1" applyBorder="1" applyAlignment="1">
      <alignment vertical="center"/>
    </xf>
    <xf numFmtId="178" fontId="22" fillId="2" borderId="7" xfId="0" applyNumberFormat="1" applyFont="1" applyFill="1" applyBorder="1" applyAlignment="1">
      <alignment horizontal="right" vertical="center"/>
    </xf>
    <xf numFmtId="178" fontId="22" fillId="2" borderId="7" xfId="0" applyNumberFormat="1" applyFont="1" applyFill="1" applyBorder="1" applyAlignment="1">
      <alignment vertical="center"/>
    </xf>
    <xf numFmtId="178" fontId="22" fillId="2" borderId="7" xfId="0" applyNumberFormat="1" applyFont="1" applyFill="1" applyBorder="1" applyAlignment="1">
      <alignment horizontal="right" vertical="center" wrapText="1"/>
    </xf>
    <xf numFmtId="178" fontId="22" fillId="2" borderId="7" xfId="0" applyNumberFormat="1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vertical="center"/>
    </xf>
    <xf numFmtId="41" fontId="22" fillId="2" borderId="4" xfId="2" applyFont="1" applyFill="1" applyBorder="1" applyAlignment="1">
      <alignment horizontal="right" vertical="center"/>
    </xf>
    <xf numFmtId="178" fontId="20" fillId="2" borderId="7" xfId="0" applyNumberFormat="1" applyFont="1" applyFill="1" applyBorder="1" applyAlignment="1">
      <alignment horizontal="right" vertical="center" wrapText="1"/>
    </xf>
    <xf numFmtId="177" fontId="20" fillId="2" borderId="34" xfId="0" applyNumberFormat="1" applyFont="1" applyFill="1" applyBorder="1" applyAlignment="1">
      <alignment vertical="center" shrinkToFit="1"/>
    </xf>
    <xf numFmtId="176" fontId="20" fillId="2" borderId="0" xfId="0" applyNumberFormat="1" applyFont="1" applyFill="1" applyBorder="1" applyAlignment="1">
      <alignment vertical="center" wrapText="1"/>
    </xf>
    <xf numFmtId="3" fontId="20" fillId="2" borderId="0" xfId="2" applyNumberFormat="1" applyFont="1" applyFill="1" applyBorder="1" applyAlignment="1">
      <alignment horizontal="right" vertical="center" wrapText="1"/>
    </xf>
    <xf numFmtId="178" fontId="20" fillId="2" borderId="0" xfId="0" applyNumberFormat="1" applyFont="1" applyFill="1" applyBorder="1" applyAlignment="1">
      <alignment horizontal="right" vertical="center" shrinkToFit="1"/>
    </xf>
    <xf numFmtId="3" fontId="20" fillId="2" borderId="0" xfId="2" applyNumberFormat="1" applyFont="1" applyFill="1" applyBorder="1" applyAlignment="1">
      <alignment horizontal="left" vertical="center" wrapText="1"/>
    </xf>
    <xf numFmtId="178" fontId="20" fillId="2" borderId="0" xfId="0" applyNumberFormat="1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center" vertical="center" wrapText="1"/>
    </xf>
    <xf numFmtId="178" fontId="20" fillId="2" borderId="6" xfId="0" applyNumberFormat="1" applyFont="1" applyFill="1" applyBorder="1" applyAlignment="1">
      <alignment horizontal="right" vertical="center" wrapText="1"/>
    </xf>
    <xf numFmtId="178" fontId="20" fillId="2" borderId="6" xfId="0" applyNumberFormat="1" applyFont="1" applyFill="1" applyBorder="1" applyAlignment="1">
      <alignment vertical="center" wrapText="1"/>
    </xf>
    <xf numFmtId="0" fontId="20" fillId="2" borderId="6" xfId="0" applyFont="1" applyFill="1" applyBorder="1" applyAlignment="1">
      <alignment horizontal="center" vertical="center"/>
    </xf>
    <xf numFmtId="41" fontId="20" fillId="2" borderId="0" xfId="2" applyFont="1" applyFill="1" applyBorder="1" applyAlignment="1">
      <alignment horizontal="center" vertical="center" wrapText="1"/>
    </xf>
    <xf numFmtId="177" fontId="20" fillId="2" borderId="40" xfId="0" applyNumberFormat="1" applyFont="1" applyFill="1" applyBorder="1" applyAlignment="1">
      <alignment vertical="center" shrinkToFit="1"/>
    </xf>
    <xf numFmtId="178" fontId="20" fillId="2" borderId="1" xfId="0" applyNumberFormat="1" applyFont="1" applyFill="1" applyBorder="1" applyAlignment="1">
      <alignment horizontal="right" vertical="center"/>
    </xf>
    <xf numFmtId="178" fontId="20" fillId="2" borderId="1" xfId="0" applyNumberFormat="1" applyFont="1" applyFill="1" applyBorder="1" applyAlignment="1">
      <alignment horizontal="right" vertical="center" wrapText="1"/>
    </xf>
    <xf numFmtId="178" fontId="20" fillId="2" borderId="1" xfId="0" applyNumberFormat="1" applyFont="1" applyFill="1" applyBorder="1" applyAlignment="1">
      <alignment vertical="center" wrapText="1"/>
    </xf>
    <xf numFmtId="0" fontId="20" fillId="2" borderId="1" xfId="0" applyFont="1" applyFill="1" applyBorder="1" applyAlignment="1">
      <alignment horizontal="center" vertical="center" wrapText="1"/>
    </xf>
    <xf numFmtId="178" fontId="22" fillId="2" borderId="25" xfId="0" applyNumberFormat="1" applyFont="1" applyFill="1" applyBorder="1" applyAlignment="1">
      <alignment vertical="center"/>
    </xf>
    <xf numFmtId="177" fontId="22" fillId="2" borderId="5" xfId="0" applyNumberFormat="1" applyFont="1" applyFill="1" applyBorder="1" applyAlignment="1">
      <alignment vertical="center" shrinkToFit="1"/>
    </xf>
    <xf numFmtId="3" fontId="22" fillId="2" borderId="20" xfId="6" applyNumberFormat="1" applyFont="1" applyFill="1" applyBorder="1" applyAlignment="1">
      <alignment vertical="center"/>
    </xf>
    <xf numFmtId="178" fontId="22" fillId="2" borderId="1" xfId="0" applyNumberFormat="1" applyFont="1" applyFill="1" applyBorder="1" applyAlignment="1">
      <alignment horizontal="right" vertical="center"/>
    </xf>
    <xf numFmtId="178" fontId="22" fillId="2" borderId="1" xfId="0" applyNumberFormat="1" applyFont="1" applyFill="1" applyBorder="1" applyAlignment="1">
      <alignment vertical="center"/>
    </xf>
    <xf numFmtId="178" fontId="22" fillId="2" borderId="1" xfId="0" applyNumberFormat="1" applyFont="1" applyFill="1" applyBorder="1" applyAlignment="1">
      <alignment horizontal="right" vertical="center" wrapText="1"/>
    </xf>
    <xf numFmtId="0" fontId="22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41" fontId="22" fillId="2" borderId="5" xfId="2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vertical="center" wrapText="1"/>
    </xf>
    <xf numFmtId="179" fontId="20" fillId="2" borderId="0" xfId="0" applyNumberFormat="1" applyFont="1" applyFill="1" applyBorder="1" applyAlignment="1">
      <alignment vertical="center" wrapText="1"/>
    </xf>
    <xf numFmtId="0" fontId="20" fillId="2" borderId="0" xfId="0" applyNumberFormat="1" applyFont="1" applyFill="1" applyBorder="1" applyAlignment="1">
      <alignment vertical="center" wrapText="1"/>
    </xf>
    <xf numFmtId="0" fontId="20" fillId="2" borderId="7" xfId="0" applyFont="1" applyFill="1" applyBorder="1" applyAlignment="1">
      <alignment horizontal="left" vertical="center" wrapText="1"/>
    </xf>
    <xf numFmtId="0" fontId="27" fillId="2" borderId="16" xfId="0" applyFont="1" applyFill="1" applyBorder="1" applyAlignment="1"/>
    <xf numFmtId="0" fontId="27" fillId="2" borderId="10" xfId="0" applyFont="1" applyFill="1" applyBorder="1" applyAlignment="1"/>
    <xf numFmtId="41" fontId="0" fillId="2" borderId="0" xfId="2" applyFont="1" applyFill="1" applyBorder="1" applyAlignment="1">
      <alignment horizontal="center"/>
    </xf>
    <xf numFmtId="0" fontId="66" fillId="2" borderId="10" xfId="0" applyFont="1" applyFill="1" applyBorder="1" applyAlignment="1">
      <alignment vertical="center"/>
    </xf>
    <xf numFmtId="177" fontId="20" fillId="2" borderId="15" xfId="0" applyNumberFormat="1" applyFont="1" applyFill="1" applyBorder="1" applyAlignment="1">
      <alignment vertical="center" shrinkToFit="1"/>
    </xf>
    <xf numFmtId="177" fontId="20" fillId="2" borderId="36" xfId="0" applyNumberFormat="1" applyFont="1" applyFill="1" applyBorder="1" applyAlignment="1">
      <alignment vertical="center" shrinkToFit="1"/>
    </xf>
    <xf numFmtId="0" fontId="20" fillId="2" borderId="22" xfId="0" applyFont="1" applyFill="1" applyBorder="1" applyAlignment="1">
      <alignment horizontal="left" vertical="center" wrapText="1"/>
    </xf>
    <xf numFmtId="0" fontId="27" fillId="2" borderId="26" xfId="0" applyFont="1" applyFill="1" applyBorder="1" applyAlignment="1"/>
    <xf numFmtId="0" fontId="27" fillId="2" borderId="31" xfId="0" applyFont="1" applyFill="1" applyBorder="1" applyAlignment="1">
      <alignment vertical="center"/>
    </xf>
    <xf numFmtId="0" fontId="20" fillId="2" borderId="52" xfId="0" applyFont="1" applyFill="1" applyBorder="1" applyAlignment="1">
      <alignment horizontal="left" vertical="center"/>
    </xf>
    <xf numFmtId="176" fontId="20" fillId="2" borderId="24" xfId="0" applyNumberFormat="1" applyFont="1" applyFill="1" applyBorder="1" applyAlignment="1">
      <alignment horizontal="left" vertical="center"/>
    </xf>
    <xf numFmtId="176" fontId="20" fillId="2" borderId="6" xfId="0" applyNumberFormat="1" applyFont="1" applyFill="1" applyBorder="1" applyAlignment="1">
      <alignment horizontal="left" vertical="center" wrapText="1"/>
    </xf>
    <xf numFmtId="176" fontId="20" fillId="2" borderId="16" xfId="0" applyNumberFormat="1" applyFont="1" applyFill="1" applyBorder="1" applyAlignment="1">
      <alignment horizontal="left" vertical="center"/>
    </xf>
    <xf numFmtId="41" fontId="0" fillId="2" borderId="16" xfId="2" applyFont="1" applyFill="1" applyBorder="1" applyAlignment="1"/>
    <xf numFmtId="178" fontId="27" fillId="2" borderId="0" xfId="0" applyNumberFormat="1" applyFont="1" applyFill="1" applyBorder="1" applyAlignment="1">
      <alignment vertical="center"/>
    </xf>
    <xf numFmtId="177" fontId="27" fillId="2" borderId="0" xfId="0" applyNumberFormat="1" applyFont="1" applyFill="1" applyBorder="1" applyAlignment="1">
      <alignment vertical="center"/>
    </xf>
    <xf numFmtId="178" fontId="0" fillId="2" borderId="0" xfId="0" applyNumberFormat="1" applyFont="1" applyFill="1" applyBorder="1" applyAlignment="1">
      <alignment horizontal="right" vertical="center"/>
    </xf>
    <xf numFmtId="178" fontId="0" fillId="2" borderId="0" xfId="0" applyNumberFormat="1" applyFont="1" applyFill="1" applyBorder="1" applyAlignment="1">
      <alignment horizontal="right" vertical="center" wrapText="1"/>
    </xf>
    <xf numFmtId="178" fontId="0" fillId="2" borderId="0" xfId="0" applyNumberFormat="1" applyFont="1" applyFill="1" applyBorder="1" applyAlignment="1">
      <alignment vertical="center" wrapText="1"/>
    </xf>
    <xf numFmtId="178" fontId="22" fillId="2" borderId="39" xfId="2" applyNumberFormat="1" applyFont="1" applyFill="1" applyBorder="1" applyAlignment="1">
      <alignment vertical="center"/>
    </xf>
    <xf numFmtId="178" fontId="22" fillId="2" borderId="33" xfId="2" applyNumberFormat="1" applyFont="1" applyFill="1" applyBorder="1" applyAlignment="1">
      <alignment vertical="center"/>
    </xf>
    <xf numFmtId="177" fontId="22" fillId="2" borderId="63" xfId="2" applyNumberFormat="1" applyFont="1" applyFill="1" applyBorder="1" applyAlignment="1">
      <alignment vertical="center"/>
    </xf>
    <xf numFmtId="49" fontId="20" fillId="2" borderId="48" xfId="0" applyNumberFormat="1" applyFont="1" applyFill="1" applyBorder="1" applyAlignment="1">
      <alignment vertical="center"/>
    </xf>
    <xf numFmtId="49" fontId="20" fillId="2" borderId="50" xfId="0" applyNumberFormat="1" applyFont="1" applyFill="1" applyBorder="1" applyAlignment="1">
      <alignment vertical="center"/>
    </xf>
    <xf numFmtId="49" fontId="20" fillId="2" borderId="50" xfId="0" applyNumberFormat="1" applyFont="1" applyFill="1" applyBorder="1" applyAlignment="1">
      <alignment horizontal="left" vertical="center"/>
    </xf>
    <xf numFmtId="49" fontId="20" fillId="2" borderId="50" xfId="0" applyNumberFormat="1" applyFont="1" applyFill="1" applyBorder="1" applyAlignment="1">
      <alignment horizontal="right" vertical="center"/>
    </xf>
    <xf numFmtId="0" fontId="20" fillId="2" borderId="50" xfId="0" applyFont="1" applyFill="1" applyBorder="1" applyAlignment="1">
      <alignment horizontal="left" vertical="center"/>
    </xf>
    <xf numFmtId="177" fontId="20" fillId="2" borderId="50" xfId="0" applyNumberFormat="1" applyFont="1" applyFill="1" applyBorder="1" applyAlignment="1">
      <alignment vertical="center"/>
    </xf>
    <xf numFmtId="41" fontId="20" fillId="2" borderId="53" xfId="2" applyNumberFormat="1" applyFont="1" applyFill="1" applyBorder="1" applyAlignment="1">
      <alignment vertical="center"/>
    </xf>
    <xf numFmtId="195" fontId="20" fillId="2" borderId="16" xfId="6" applyNumberFormat="1" applyFont="1" applyFill="1" applyBorder="1" applyAlignment="1">
      <alignment vertical="center"/>
    </xf>
    <xf numFmtId="195" fontId="20" fillId="2" borderId="0" xfId="2" applyNumberFormat="1" applyFont="1" applyFill="1" applyBorder="1" applyAlignment="1">
      <alignment vertical="center"/>
    </xf>
    <xf numFmtId="195" fontId="20" fillId="2" borderId="0" xfId="6" applyNumberFormat="1" applyFont="1" applyFill="1" applyBorder="1" applyAlignment="1">
      <alignment vertical="center"/>
    </xf>
    <xf numFmtId="195" fontId="20" fillId="2" borderId="7" xfId="6" applyNumberFormat="1" applyFont="1" applyFill="1" applyBorder="1" applyAlignment="1">
      <alignment vertical="center"/>
    </xf>
    <xf numFmtId="195" fontId="20" fillId="2" borderId="7" xfId="2" applyNumberFormat="1" applyFont="1" applyFill="1" applyBorder="1" applyAlignment="1">
      <alignment vertical="center"/>
    </xf>
    <xf numFmtId="195" fontId="20" fillId="2" borderId="22" xfId="0" applyNumberFormat="1" applyFont="1" applyFill="1" applyBorder="1" applyAlignment="1">
      <alignment horizontal="center" vertical="center"/>
    </xf>
    <xf numFmtId="195" fontId="20" fillId="2" borderId="7" xfId="0" applyNumberFormat="1" applyFont="1" applyFill="1" applyBorder="1" applyAlignment="1">
      <alignment horizontal="center" vertical="center"/>
    </xf>
    <xf numFmtId="195" fontId="20" fillId="2" borderId="24" xfId="0" applyNumberFormat="1" applyFont="1" applyFill="1" applyBorder="1" applyAlignment="1">
      <alignment vertical="center"/>
    </xf>
    <xf numFmtId="195" fontId="20" fillId="2" borderId="6" xfId="0" applyNumberFormat="1" applyFont="1" applyFill="1" applyBorder="1" applyAlignment="1">
      <alignment vertical="center"/>
    </xf>
    <xf numFmtId="177" fontId="20" fillId="2" borderId="6" xfId="0" applyNumberFormat="1" applyFont="1" applyFill="1" applyBorder="1" applyAlignment="1">
      <alignment vertical="center"/>
    </xf>
    <xf numFmtId="178" fontId="20" fillId="2" borderId="10" xfId="2" applyNumberFormat="1" applyFont="1" applyFill="1" applyBorder="1" applyAlignment="1">
      <alignment horizontal="right" vertical="center"/>
    </xf>
    <xf numFmtId="178" fontId="20" fillId="2" borderId="2" xfId="6" applyNumberFormat="1" applyFont="1" applyFill="1" applyBorder="1" applyAlignment="1">
      <alignment vertical="center"/>
    </xf>
    <xf numFmtId="195" fontId="20" fillId="2" borderId="16" xfId="6" applyNumberFormat="1" applyFont="1" applyFill="1" applyBorder="1" applyAlignment="1">
      <alignment horizontal="left" vertical="center"/>
    </xf>
    <xf numFmtId="195" fontId="20" fillId="2" borderId="0" xfId="6" applyNumberFormat="1" applyFont="1" applyFill="1" applyBorder="1" applyAlignment="1">
      <alignment horizontal="justify" vertical="center"/>
    </xf>
    <xf numFmtId="195" fontId="20" fillId="0" borderId="16" xfId="6" applyNumberFormat="1" applyFont="1" applyFill="1" applyBorder="1" applyAlignment="1">
      <alignment vertical="center"/>
    </xf>
    <xf numFmtId="195" fontId="20" fillId="0" borderId="0" xfId="6" applyNumberFormat="1" applyFont="1" applyFill="1" applyBorder="1" applyAlignment="1">
      <alignment vertical="center"/>
    </xf>
    <xf numFmtId="195" fontId="20" fillId="0" borderId="0" xfId="2" applyNumberFormat="1" applyFont="1" applyFill="1" applyBorder="1" applyAlignment="1">
      <alignment vertical="center"/>
    </xf>
    <xf numFmtId="41" fontId="20" fillId="2" borderId="1" xfId="2" applyFont="1" applyFill="1" applyBorder="1" applyAlignment="1">
      <alignment vertical="center"/>
    </xf>
    <xf numFmtId="183" fontId="20" fillId="2" borderId="0" xfId="6" applyNumberFormat="1" applyFont="1" applyFill="1" applyBorder="1" applyAlignment="1">
      <alignment vertical="center"/>
    </xf>
    <xf numFmtId="195" fontId="20" fillId="2" borderId="0" xfId="2" applyNumberFormat="1" applyFont="1" applyFill="1" applyBorder="1" applyAlignment="1">
      <alignment horizontal="right" vertical="center"/>
    </xf>
    <xf numFmtId="178" fontId="20" fillId="2" borderId="14" xfId="2" applyNumberFormat="1" applyFont="1" applyFill="1" applyBorder="1" applyAlignment="1">
      <alignment horizontal="right" vertical="center"/>
    </xf>
    <xf numFmtId="195" fontId="20" fillId="2" borderId="22" xfId="6" applyNumberFormat="1" applyFont="1" applyFill="1" applyBorder="1" applyAlignment="1">
      <alignment vertical="center"/>
    </xf>
    <xf numFmtId="178" fontId="20" fillId="2" borderId="13" xfId="2" applyNumberFormat="1" applyFont="1" applyFill="1" applyBorder="1" applyAlignment="1">
      <alignment vertical="center"/>
    </xf>
    <xf numFmtId="195" fontId="20" fillId="2" borderId="29" xfId="0" applyNumberFormat="1" applyFont="1" applyFill="1" applyBorder="1" applyAlignment="1">
      <alignment horizontal="center" vertical="center"/>
    </xf>
    <xf numFmtId="195" fontId="20" fillId="2" borderId="30" xfId="0" applyNumberFormat="1" applyFont="1" applyFill="1" applyBorder="1" applyAlignment="1">
      <alignment horizontal="center" vertical="center"/>
    </xf>
    <xf numFmtId="178" fontId="20" fillId="2" borderId="9" xfId="2" applyNumberFormat="1" applyFont="1" applyFill="1" applyBorder="1" applyAlignment="1">
      <alignment horizontal="right" vertical="center"/>
    </xf>
    <xf numFmtId="178" fontId="20" fillId="2" borderId="9" xfId="2" applyNumberFormat="1" applyFont="1" applyFill="1" applyBorder="1" applyAlignment="1">
      <alignment vertical="center"/>
    </xf>
    <xf numFmtId="178" fontId="20" fillId="2" borderId="25" xfId="2" applyNumberFormat="1" applyFont="1" applyFill="1" applyBorder="1" applyAlignment="1">
      <alignment horizontal="right" vertical="center"/>
    </xf>
    <xf numFmtId="178" fontId="20" fillId="2" borderId="25" xfId="2" applyNumberFormat="1" applyFont="1" applyFill="1" applyBorder="1" applyAlignment="1">
      <alignment vertical="center"/>
    </xf>
    <xf numFmtId="195" fontId="20" fillId="2" borderId="1" xfId="0" applyNumberFormat="1" applyFont="1" applyFill="1" applyBorder="1" applyAlignment="1">
      <alignment vertical="center"/>
    </xf>
    <xf numFmtId="3" fontId="20" fillId="2" borderId="5" xfId="6" applyNumberFormat="1" applyFont="1" applyFill="1" applyBorder="1" applyAlignment="1">
      <alignment vertical="center"/>
    </xf>
    <xf numFmtId="178" fontId="22" fillId="0" borderId="39" xfId="2" applyNumberFormat="1" applyFont="1" applyFill="1" applyBorder="1" applyAlignment="1">
      <alignment vertical="center"/>
    </xf>
    <xf numFmtId="177" fontId="22" fillId="0" borderId="62" xfId="2" applyNumberFormat="1" applyFont="1" applyFill="1" applyBorder="1" applyAlignment="1">
      <alignment vertical="center"/>
    </xf>
    <xf numFmtId="178" fontId="0" fillId="6" borderId="46" xfId="0" applyNumberFormat="1" applyFont="1" applyFill="1" applyBorder="1" applyAlignment="1">
      <alignment vertical="center"/>
    </xf>
    <xf numFmtId="41" fontId="20" fillId="6" borderId="0" xfId="2" applyFont="1" applyFill="1" applyAlignment="1">
      <alignment horizontal="center" vertical="center"/>
    </xf>
    <xf numFmtId="41" fontId="0" fillId="6" borderId="0" xfId="2" applyFont="1" applyFill="1" applyAlignment="1">
      <alignment vertical="center"/>
    </xf>
    <xf numFmtId="0" fontId="0" fillId="6" borderId="0" xfId="0" applyFont="1" applyFill="1" applyAlignment="1">
      <alignment vertical="center"/>
    </xf>
    <xf numFmtId="178" fontId="0" fillId="2" borderId="4" xfId="0" applyNumberFormat="1" applyFont="1" applyFill="1" applyBorder="1" applyAlignment="1">
      <alignment vertical="center"/>
    </xf>
    <xf numFmtId="0" fontId="20" fillId="0" borderId="31" xfId="0" applyFont="1" applyFill="1" applyBorder="1" applyAlignment="1">
      <alignment horizontal="left" vertical="center"/>
    </xf>
    <xf numFmtId="178" fontId="20" fillId="2" borderId="30" xfId="0" applyNumberFormat="1" applyFont="1" applyFill="1" applyBorder="1" applyAlignment="1">
      <alignment horizontal="left" vertical="center"/>
    </xf>
    <xf numFmtId="178" fontId="20" fillId="2" borderId="15" xfId="0" applyNumberFormat="1" applyFont="1" applyFill="1" applyBorder="1" applyAlignment="1">
      <alignment horizontal="right" vertical="center"/>
    </xf>
    <xf numFmtId="0" fontId="20" fillId="2" borderId="10" xfId="0" applyFont="1" applyFill="1" applyBorder="1" applyAlignment="1">
      <alignment horizontal="center" vertical="center"/>
    </xf>
    <xf numFmtId="195" fontId="20" fillId="2" borderId="29" xfId="0" applyNumberFormat="1" applyFont="1" applyFill="1" applyBorder="1" applyAlignment="1">
      <alignment vertical="center"/>
    </xf>
    <xf numFmtId="195" fontId="20" fillId="2" borderId="30" xfId="0" applyNumberFormat="1" applyFont="1" applyFill="1" applyBorder="1" applyAlignment="1">
      <alignment vertical="center"/>
    </xf>
    <xf numFmtId="0" fontId="20" fillId="2" borderId="15" xfId="0" applyFont="1" applyFill="1" applyBorder="1" applyAlignment="1">
      <alignment horizontal="center" vertical="center"/>
    </xf>
    <xf numFmtId="177" fontId="20" fillId="2" borderId="35" xfId="2" applyNumberFormat="1" applyFont="1" applyFill="1" applyBorder="1" applyAlignment="1">
      <alignment vertical="center" shrinkToFit="1"/>
    </xf>
    <xf numFmtId="0" fontId="20" fillId="2" borderId="7" xfId="0" applyFont="1" applyFill="1" applyBorder="1" applyAlignment="1">
      <alignment horizontal="center" vertical="center"/>
    </xf>
    <xf numFmtId="178" fontId="0" fillId="2" borderId="2" xfId="0" applyNumberFormat="1" applyFont="1" applyFill="1" applyBorder="1" applyAlignment="1">
      <alignment vertical="center"/>
    </xf>
    <xf numFmtId="0" fontId="20" fillId="2" borderId="14" xfId="0" applyFont="1" applyFill="1" applyBorder="1" applyAlignment="1">
      <alignment horizontal="center" vertical="center"/>
    </xf>
    <xf numFmtId="178" fontId="20" fillId="2" borderId="107" xfId="2" applyNumberFormat="1" applyFont="1" applyFill="1" applyBorder="1" applyAlignment="1">
      <alignment horizontal="right" vertical="center"/>
    </xf>
    <xf numFmtId="177" fontId="20" fillId="2" borderId="108" xfId="2" applyNumberFormat="1" applyFont="1" applyFill="1" applyBorder="1" applyAlignment="1">
      <alignment vertical="center"/>
    </xf>
    <xf numFmtId="195" fontId="20" fillId="2" borderId="109" xfId="0" applyNumberFormat="1" applyFont="1" applyFill="1" applyBorder="1" applyAlignment="1">
      <alignment horizontal="left" vertical="center" wrapText="1"/>
    </xf>
    <xf numFmtId="195" fontId="20" fillId="2" borderId="110" xfId="0" applyNumberFormat="1" applyFont="1" applyFill="1" applyBorder="1" applyAlignment="1">
      <alignment horizontal="left" vertical="center" wrapText="1"/>
    </xf>
    <xf numFmtId="0" fontId="20" fillId="2" borderId="110" xfId="0" applyFont="1" applyFill="1" applyBorder="1" applyAlignment="1">
      <alignment vertical="center" wrapText="1"/>
    </xf>
    <xf numFmtId="178" fontId="20" fillId="2" borderId="110" xfId="0" applyNumberFormat="1" applyFont="1" applyFill="1" applyBorder="1" applyAlignment="1">
      <alignment horizontal="left" vertical="center"/>
    </xf>
    <xf numFmtId="3" fontId="20" fillId="2" borderId="110" xfId="0" applyNumberFormat="1" applyFont="1" applyFill="1" applyBorder="1" applyAlignment="1">
      <alignment vertical="center" wrapText="1"/>
    </xf>
    <xf numFmtId="0" fontId="20" fillId="2" borderId="110" xfId="0" applyFont="1" applyFill="1" applyBorder="1" applyAlignment="1">
      <alignment vertical="center"/>
    </xf>
    <xf numFmtId="178" fontId="20" fillId="2" borderId="110" xfId="0" applyNumberFormat="1" applyFont="1" applyFill="1" applyBorder="1" applyAlignment="1">
      <alignment vertical="center" wrapText="1"/>
    </xf>
    <xf numFmtId="178" fontId="20" fillId="2" borderId="111" xfId="0" applyNumberFormat="1" applyFont="1" applyFill="1" applyBorder="1" applyAlignment="1">
      <alignment horizontal="right" vertical="center"/>
    </xf>
    <xf numFmtId="3" fontId="20" fillId="2" borderId="112" xfId="6" applyNumberFormat="1" applyFont="1" applyFill="1" applyBorder="1" applyAlignment="1">
      <alignment vertical="center"/>
    </xf>
    <xf numFmtId="0" fontId="20" fillId="2" borderId="115" xfId="0" applyFont="1" applyFill="1" applyBorder="1" applyAlignment="1">
      <alignment vertical="center"/>
    </xf>
    <xf numFmtId="3" fontId="20" fillId="2" borderId="114" xfId="6" applyNumberFormat="1" applyFont="1" applyFill="1" applyBorder="1" applyAlignment="1">
      <alignment vertical="center"/>
    </xf>
    <xf numFmtId="195" fontId="20" fillId="2" borderId="29" xfId="0" applyNumberFormat="1" applyFont="1" applyFill="1" applyBorder="1" applyAlignment="1">
      <alignment horizontal="left" vertical="center" wrapText="1"/>
    </xf>
    <xf numFmtId="195" fontId="20" fillId="2" borderId="30" xfId="0" applyNumberFormat="1" applyFont="1" applyFill="1" applyBorder="1" applyAlignment="1">
      <alignment horizontal="left" vertical="center" wrapText="1"/>
    </xf>
    <xf numFmtId="178" fontId="20" fillId="2" borderId="6" xfId="0" applyNumberFormat="1" applyFont="1" applyFill="1" applyBorder="1" applyAlignment="1">
      <alignment horizontal="left" vertical="center"/>
    </xf>
    <xf numFmtId="3" fontId="20" fillId="2" borderId="6" xfId="0" applyNumberFormat="1" applyFont="1" applyFill="1" applyBorder="1" applyAlignment="1">
      <alignment vertical="center" wrapText="1"/>
    </xf>
    <xf numFmtId="0" fontId="20" fillId="2" borderId="31" xfId="0" applyFont="1" applyFill="1" applyBorder="1" applyAlignment="1">
      <alignment horizontal="center" vertical="center"/>
    </xf>
    <xf numFmtId="178" fontId="20" fillId="2" borderId="0" xfId="0" applyNumberFormat="1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vertical="center"/>
    </xf>
    <xf numFmtId="178" fontId="20" fillId="2" borderId="26" xfId="2" applyNumberFormat="1" applyFont="1" applyFill="1" applyBorder="1" applyAlignment="1">
      <alignment horizontal="right" vertical="center"/>
    </xf>
    <xf numFmtId="0" fontId="20" fillId="0" borderId="27" xfId="0" applyFont="1" applyFill="1" applyBorder="1" applyAlignment="1">
      <alignment vertical="center"/>
    </xf>
    <xf numFmtId="195" fontId="20" fillId="2" borderId="30" xfId="6" applyNumberFormat="1" applyFont="1" applyFill="1" applyBorder="1" applyAlignment="1">
      <alignment horizontal="left" vertical="center"/>
    </xf>
    <xf numFmtId="195" fontId="0" fillId="2" borderId="30" xfId="0" applyNumberFormat="1" applyFont="1" applyFill="1" applyBorder="1" applyAlignment="1">
      <alignment vertical="center"/>
    </xf>
    <xf numFmtId="0" fontId="20" fillId="0" borderId="25" xfId="0" applyFont="1" applyFill="1" applyBorder="1" applyAlignment="1">
      <alignment vertical="center"/>
    </xf>
    <xf numFmtId="178" fontId="20" fillId="2" borderId="25" xfId="6" applyNumberFormat="1" applyFont="1" applyFill="1" applyBorder="1" applyAlignment="1">
      <alignment vertical="center"/>
    </xf>
    <xf numFmtId="0" fontId="20" fillId="2" borderId="1" xfId="0" quotePrefix="1" applyFont="1" applyFill="1" applyBorder="1" applyAlignment="1">
      <alignment horizontal="center" vertical="center"/>
    </xf>
    <xf numFmtId="177" fontId="39" fillId="2" borderId="117" xfId="0" applyNumberFormat="1" applyFont="1" applyFill="1" applyBorder="1" applyAlignment="1">
      <alignment horizontal="right" vertical="center" wrapText="1"/>
    </xf>
    <xf numFmtId="177" fontId="38" fillId="0" borderId="37" xfId="2" applyNumberFormat="1" applyFont="1" applyFill="1" applyBorder="1" applyAlignment="1">
      <alignment horizontal="right" vertical="center"/>
    </xf>
    <xf numFmtId="176" fontId="38" fillId="0" borderId="35" xfId="1" applyNumberFormat="1" applyFont="1" applyFill="1" applyBorder="1" applyAlignment="1">
      <alignment vertical="center"/>
    </xf>
    <xf numFmtId="0" fontId="23" fillId="0" borderId="27" xfId="0" applyFont="1" applyFill="1" applyBorder="1" applyAlignment="1">
      <alignment horizontal="left" vertical="center"/>
    </xf>
    <xf numFmtId="0" fontId="23" fillId="0" borderId="28" xfId="0" applyFont="1" applyFill="1" applyBorder="1" applyAlignment="1">
      <alignment horizontal="left" vertical="center"/>
    </xf>
    <xf numFmtId="177" fontId="39" fillId="2" borderId="118" xfId="0" applyNumberFormat="1" applyFont="1" applyFill="1" applyBorder="1" applyAlignment="1">
      <alignment horizontal="right" vertical="center" wrapText="1"/>
    </xf>
    <xf numFmtId="194" fontId="20" fillId="2" borderId="0" xfId="0" applyNumberFormat="1" applyFont="1" applyFill="1" applyBorder="1" applyAlignment="1">
      <alignment horizontal="center" vertical="center"/>
    </xf>
    <xf numFmtId="177" fontId="20" fillId="2" borderId="55" xfId="6" applyNumberFormat="1" applyFont="1" applyFill="1" applyBorder="1" applyAlignment="1">
      <alignment horizontal="right" vertical="center"/>
    </xf>
    <xf numFmtId="0" fontId="0" fillId="2" borderId="26" xfId="0" applyFont="1" applyFill="1" applyBorder="1" applyAlignment="1">
      <alignment vertical="center"/>
    </xf>
    <xf numFmtId="0" fontId="0" fillId="2" borderId="35" xfId="0" applyFont="1" applyFill="1" applyBorder="1" applyAlignment="1">
      <alignment vertical="center"/>
    </xf>
    <xf numFmtId="41" fontId="23" fillId="2" borderId="13" xfId="2" applyFont="1" applyFill="1" applyBorder="1" applyAlignment="1">
      <alignment horizontal="right" vertical="center"/>
    </xf>
    <xf numFmtId="41" fontId="21" fillId="2" borderId="37" xfId="2" applyFont="1" applyFill="1" applyBorder="1" applyAlignment="1">
      <alignment horizontal="right" vertical="center"/>
    </xf>
    <xf numFmtId="41" fontId="21" fillId="2" borderId="76" xfId="2" applyFont="1" applyFill="1" applyBorder="1" applyAlignment="1">
      <alignment horizontal="right" vertical="center"/>
    </xf>
    <xf numFmtId="41" fontId="21" fillId="2" borderId="75" xfId="2" applyFont="1" applyFill="1" applyBorder="1" applyAlignment="1">
      <alignment horizontal="right" vertical="center"/>
    </xf>
    <xf numFmtId="41" fontId="21" fillId="2" borderId="78" xfId="2" applyFont="1" applyFill="1" applyBorder="1" applyAlignment="1">
      <alignment horizontal="right" vertical="center"/>
    </xf>
    <xf numFmtId="41" fontId="21" fillId="2" borderId="89" xfId="2" applyFont="1" applyFill="1" applyBorder="1" applyAlignment="1">
      <alignment horizontal="right" vertical="center"/>
    </xf>
    <xf numFmtId="0" fontId="34" fillId="2" borderId="33" xfId="0" applyFont="1" applyFill="1" applyBorder="1" applyAlignment="1">
      <alignment horizontal="center" vertical="center"/>
    </xf>
    <xf numFmtId="38" fontId="34" fillId="2" borderId="13" xfId="0" applyNumberFormat="1" applyFont="1" applyFill="1" applyBorder="1" applyAlignment="1">
      <alignment horizontal="center" vertical="center"/>
    </xf>
    <xf numFmtId="38" fontId="34" fillId="2" borderId="19" xfId="0" applyNumberFormat="1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/>
    </xf>
    <xf numFmtId="0" fontId="0" fillId="2" borderId="0" xfId="0" applyFill="1" applyBorder="1"/>
    <xf numFmtId="49" fontId="21" fillId="2" borderId="11" xfId="0" applyNumberFormat="1" applyFont="1" applyFill="1" applyBorder="1" applyAlignment="1">
      <alignment vertical="center"/>
    </xf>
    <xf numFmtId="49" fontId="21" fillId="2" borderId="32" xfId="0" applyNumberFormat="1" applyFont="1" applyFill="1" applyBorder="1" applyAlignment="1">
      <alignment vertical="center"/>
    </xf>
    <xf numFmtId="49" fontId="21" fillId="2" borderId="25" xfId="0" applyNumberFormat="1" applyFont="1" applyFill="1" applyBorder="1" applyAlignment="1">
      <alignment vertical="center"/>
    </xf>
    <xf numFmtId="0" fontId="38" fillId="0" borderId="10" xfId="0" applyFont="1" applyFill="1" applyBorder="1" applyAlignment="1">
      <alignment horizontal="center" vertical="center" wrapText="1"/>
    </xf>
    <xf numFmtId="177" fontId="41" fillId="0" borderId="119" xfId="0" applyNumberFormat="1" applyFont="1" applyBorder="1" applyAlignment="1">
      <alignment horizontal="right" vertical="center" wrapText="1"/>
    </xf>
    <xf numFmtId="176" fontId="40" fillId="0" borderId="35" xfId="1" applyNumberFormat="1" applyFont="1" applyFill="1" applyBorder="1" applyAlignment="1">
      <alignment vertical="center"/>
    </xf>
    <xf numFmtId="49" fontId="40" fillId="0" borderId="78" xfId="0" applyNumberFormat="1" applyFont="1" applyFill="1" applyBorder="1" applyAlignment="1">
      <alignment vertical="center"/>
    </xf>
    <xf numFmtId="177" fontId="41" fillId="2" borderId="120" xfId="0" applyNumberFormat="1" applyFont="1" applyFill="1" applyBorder="1" applyAlignment="1">
      <alignment horizontal="right" vertical="center" wrapText="1"/>
    </xf>
    <xf numFmtId="177" fontId="40" fillId="0" borderId="79" xfId="2" applyNumberFormat="1" applyFont="1" applyFill="1" applyBorder="1" applyAlignment="1">
      <alignment horizontal="right" vertical="center"/>
    </xf>
    <xf numFmtId="176" fontId="40" fillId="0" borderId="80" xfId="1" applyNumberFormat="1" applyFont="1" applyFill="1" applyBorder="1" applyAlignment="1">
      <alignment vertical="center"/>
    </xf>
    <xf numFmtId="177" fontId="38" fillId="3" borderId="13" xfId="2" applyNumberFormat="1" applyFont="1" applyFill="1" applyBorder="1" applyAlignment="1">
      <alignment horizontal="right" vertical="center"/>
    </xf>
    <xf numFmtId="184" fontId="20" fillId="2" borderId="25" xfId="0" applyNumberFormat="1" applyFont="1" applyFill="1" applyBorder="1" applyAlignment="1">
      <alignment vertical="center"/>
    </xf>
    <xf numFmtId="177" fontId="20" fillId="2" borderId="25" xfId="0" applyNumberFormat="1" applyFont="1" applyFill="1" applyBorder="1" applyAlignment="1">
      <alignment vertical="center"/>
    </xf>
    <xf numFmtId="177" fontId="20" fillId="2" borderId="40" xfId="0" applyNumberFormat="1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177" fontId="20" fillId="2" borderId="19" xfId="6" applyNumberFormat="1" applyFont="1" applyFill="1" applyBorder="1" applyAlignment="1">
      <alignment vertical="center"/>
    </xf>
    <xf numFmtId="0" fontId="20" fillId="2" borderId="67" xfId="0" quotePrefix="1" applyFont="1" applyFill="1" applyBorder="1" applyAlignment="1">
      <alignment vertical="center"/>
    </xf>
    <xf numFmtId="41" fontId="21" fillId="0" borderId="25" xfId="2" applyFont="1" applyFill="1" applyBorder="1" applyAlignment="1">
      <alignment vertical="center"/>
    </xf>
    <xf numFmtId="0" fontId="69" fillId="0" borderId="0" xfId="57071" applyFont="1" applyAlignment="1">
      <alignment horizontal="left" vertical="center"/>
    </xf>
    <xf numFmtId="41" fontId="70" fillId="3" borderId="13" xfId="57071" applyNumberFormat="1" applyFont="1" applyFill="1" applyBorder="1" applyAlignment="1">
      <alignment vertical="center"/>
    </xf>
    <xf numFmtId="41" fontId="55" fillId="0" borderId="13" xfId="57072" applyFont="1" applyBorder="1" applyAlignment="1">
      <alignment horizontal="center" vertical="center"/>
    </xf>
    <xf numFmtId="41" fontId="55" fillId="0" borderId="13" xfId="57072" applyFont="1" applyFill="1" applyBorder="1" applyAlignment="1">
      <alignment horizontal="center" vertical="center"/>
    </xf>
    <xf numFmtId="41" fontId="55" fillId="0" borderId="13" xfId="57072" applyFont="1" applyBorder="1">
      <alignment vertical="center"/>
    </xf>
    <xf numFmtId="41" fontId="55" fillId="2" borderId="13" xfId="57072" applyFont="1" applyFill="1" applyBorder="1" applyAlignment="1">
      <alignment vertical="center"/>
    </xf>
    <xf numFmtId="38" fontId="20" fillId="2" borderId="0" xfId="0" applyNumberFormat="1" applyFont="1" applyFill="1" applyBorder="1" applyAlignment="1">
      <alignment horizontal="right" vertical="center"/>
    </xf>
    <xf numFmtId="178" fontId="22" fillId="2" borderId="25" xfId="0" applyNumberFormat="1" applyFont="1" applyFill="1" applyBorder="1" applyAlignment="1">
      <alignment horizontal="right" vertical="center"/>
    </xf>
    <xf numFmtId="0" fontId="55" fillId="0" borderId="0" xfId="57071" applyFont="1">
      <alignment vertical="center"/>
    </xf>
    <xf numFmtId="41" fontId="71" fillId="0" borderId="13" xfId="57072" applyFont="1" applyBorder="1" applyAlignment="1">
      <alignment horizontal="left" vertical="center"/>
    </xf>
    <xf numFmtId="41" fontId="71" fillId="0" borderId="13" xfId="57072" applyFont="1" applyFill="1" applyBorder="1" applyAlignment="1">
      <alignment horizontal="left" vertical="center"/>
    </xf>
    <xf numFmtId="41" fontId="71" fillId="0" borderId="13" xfId="57072" applyFont="1" applyBorder="1">
      <alignment vertical="center"/>
    </xf>
    <xf numFmtId="0" fontId="70" fillId="3" borderId="13" xfId="57071" applyFont="1" applyFill="1" applyBorder="1" applyAlignment="1">
      <alignment horizontal="center" vertical="center"/>
    </xf>
    <xf numFmtId="0" fontId="55" fillId="0" borderId="13" xfId="57071" applyFont="1" applyBorder="1" applyAlignment="1">
      <alignment horizontal="center" vertical="center" wrapText="1"/>
    </xf>
    <xf numFmtId="0" fontId="55" fillId="0" borderId="13" xfId="57071" applyFont="1" applyBorder="1" applyAlignment="1">
      <alignment horizontal="center" vertical="center"/>
    </xf>
    <xf numFmtId="0" fontId="55" fillId="0" borderId="0" xfId="57071" applyFont="1" applyAlignment="1">
      <alignment horizontal="center" vertical="center"/>
    </xf>
    <xf numFmtId="0" fontId="55" fillId="0" borderId="13" xfId="57071" applyFont="1" applyFill="1" applyBorder="1" applyAlignment="1">
      <alignment horizontal="center" vertical="center"/>
    </xf>
    <xf numFmtId="0" fontId="55" fillId="2" borderId="13" xfId="57071" applyFont="1" applyFill="1" applyBorder="1" applyAlignment="1">
      <alignment horizontal="center" vertical="center"/>
    </xf>
    <xf numFmtId="0" fontId="55" fillId="2" borderId="13" xfId="57071" applyFont="1" applyFill="1" applyBorder="1" applyAlignment="1">
      <alignment horizontal="center" vertical="center" wrapText="1"/>
    </xf>
    <xf numFmtId="0" fontId="55" fillId="0" borderId="13" xfId="57071" applyFont="1" applyBorder="1" applyAlignment="1">
      <alignment horizontal="center" vertical="center" wrapText="1"/>
    </xf>
    <xf numFmtId="0" fontId="70" fillId="3" borderId="13" xfId="57071" applyFont="1" applyFill="1" applyBorder="1" applyAlignment="1">
      <alignment horizontal="center" vertical="center"/>
    </xf>
    <xf numFmtId="0" fontId="55" fillId="0" borderId="13" xfId="57071" applyFont="1" applyBorder="1" applyAlignment="1">
      <alignment horizontal="center" vertical="center"/>
    </xf>
    <xf numFmtId="41" fontId="71" fillId="0" borderId="13" xfId="57072" applyFont="1" applyBorder="1" applyAlignment="1">
      <alignment horizontal="center" vertical="center"/>
    </xf>
    <xf numFmtId="0" fontId="55" fillId="0" borderId="13" xfId="57071" applyFont="1" applyFill="1" applyBorder="1" applyAlignment="1">
      <alignment horizontal="center" vertical="center" wrapText="1"/>
    </xf>
    <xf numFmtId="0" fontId="55" fillId="0" borderId="13" xfId="57071" applyFont="1" applyFill="1" applyBorder="1" applyAlignment="1">
      <alignment horizontal="center" vertical="center"/>
    </xf>
    <xf numFmtId="41" fontId="71" fillId="0" borderId="13" xfId="57072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41" fontId="21" fillId="2" borderId="16" xfId="2" applyFont="1" applyFill="1" applyBorder="1" applyAlignment="1">
      <alignment vertical="center"/>
    </xf>
    <xf numFmtId="41" fontId="21" fillId="2" borderId="0" xfId="2" applyFont="1" applyFill="1" applyBorder="1" applyAlignment="1">
      <alignment vertical="center"/>
    </xf>
    <xf numFmtId="0" fontId="21" fillId="2" borderId="7" xfId="0" applyFont="1" applyFill="1" applyBorder="1" applyAlignment="1">
      <alignment horizontal="right" vertical="center"/>
    </xf>
    <xf numFmtId="0" fontId="21" fillId="2" borderId="0" xfId="2" applyNumberFormat="1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 shrinkToFit="1"/>
    </xf>
    <xf numFmtId="0" fontId="20" fillId="2" borderId="28" xfId="0" applyFont="1" applyFill="1" applyBorder="1" applyAlignment="1">
      <alignment vertical="center" shrinkToFit="1"/>
    </xf>
    <xf numFmtId="49" fontId="20" fillId="2" borderId="20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20" fillId="2" borderId="5" xfId="0" applyNumberFormat="1" applyFont="1" applyFill="1" applyBorder="1" applyAlignment="1">
      <alignment horizontal="center" vertical="center"/>
    </xf>
    <xf numFmtId="3" fontId="20" fillId="2" borderId="30" xfId="6" applyNumberFormat="1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 shrinkToFit="1"/>
    </xf>
    <xf numFmtId="0" fontId="20" fillId="2" borderId="21" xfId="0" applyFont="1" applyFill="1" applyBorder="1" applyAlignment="1">
      <alignment vertical="center" shrinkToFit="1"/>
    </xf>
    <xf numFmtId="0" fontId="20" fillId="2" borderId="27" xfId="0" applyFont="1" applyFill="1" applyBorder="1" applyAlignment="1">
      <alignment horizontal="left" vertical="center"/>
    </xf>
    <xf numFmtId="3" fontId="22" fillId="2" borderId="45" xfId="6" applyNumberFormat="1" applyFont="1" applyFill="1" applyBorder="1" applyAlignment="1">
      <alignment horizontal="center" vertical="center"/>
    </xf>
    <xf numFmtId="0" fontId="22" fillId="2" borderId="45" xfId="0" applyFont="1" applyFill="1" applyBorder="1" applyAlignment="1">
      <alignment horizontal="center" vertical="center"/>
    </xf>
    <xf numFmtId="3" fontId="20" fillId="2" borderId="7" xfId="6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0" fillId="0" borderId="7" xfId="6" applyNumberFormat="1" applyFont="1" applyFill="1" applyBorder="1" applyAlignment="1">
      <alignment horizontal="left" vertical="center"/>
    </xf>
    <xf numFmtId="3" fontId="20" fillId="0" borderId="3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left" vertical="center" wrapText="1"/>
    </xf>
    <xf numFmtId="0" fontId="20" fillId="2" borderId="30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0" fontId="22" fillId="2" borderId="54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0" fontId="20" fillId="2" borderId="6" xfId="0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/>
    </xf>
    <xf numFmtId="0" fontId="20" fillId="2" borderId="28" xfId="0" applyFont="1" applyFill="1" applyBorder="1" applyAlignment="1">
      <alignment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6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20" fillId="2" borderId="23" xfId="0" applyFont="1" applyFill="1" applyBorder="1" applyAlignment="1">
      <alignment vertical="center"/>
    </xf>
    <xf numFmtId="0" fontId="20" fillId="2" borderId="21" xfId="0" applyFont="1" applyFill="1" applyBorder="1" applyAlignment="1">
      <alignment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13" xfId="0" applyFont="1" applyFill="1" applyBorder="1" applyAlignment="1">
      <alignment vertical="center" shrinkToFit="1"/>
    </xf>
    <xf numFmtId="3" fontId="20" fillId="2" borderId="22" xfId="6" applyNumberFormat="1" applyFont="1" applyFill="1" applyBorder="1" applyAlignment="1">
      <alignment horizontal="left" vertical="center"/>
    </xf>
    <xf numFmtId="0" fontId="20" fillId="2" borderId="7" xfId="0" applyFont="1" applyFill="1" applyBorder="1" applyAlignment="1">
      <alignment vertical="center"/>
    </xf>
    <xf numFmtId="0" fontId="20" fillId="2" borderId="27" xfId="0" applyFont="1" applyFill="1" applyBorder="1" applyAlignment="1">
      <alignment vertical="center" wrapText="1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20" fillId="2" borderId="7" xfId="0" applyFont="1" applyFill="1" applyBorder="1" applyAlignment="1">
      <alignment horizontal="center" vertical="center"/>
    </xf>
    <xf numFmtId="3" fontId="20" fillId="2" borderId="26" xfId="6" applyNumberFormat="1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 wrapText="1"/>
    </xf>
    <xf numFmtId="0" fontId="17" fillId="2" borderId="0" xfId="0" applyFont="1" applyFill="1" applyBorder="1" applyAlignment="1">
      <alignment vertical="center"/>
    </xf>
    <xf numFmtId="3" fontId="20" fillId="2" borderId="10" xfId="6" applyNumberFormat="1" applyFont="1" applyFill="1" applyBorder="1" applyAlignment="1">
      <alignment horizontal="center" vertical="center"/>
    </xf>
    <xf numFmtId="3" fontId="20" fillId="2" borderId="25" xfId="6" applyNumberFormat="1" applyFont="1" applyFill="1" applyBorder="1" applyAlignment="1">
      <alignment horizontal="center" vertical="center"/>
    </xf>
    <xf numFmtId="0" fontId="55" fillId="0" borderId="10" xfId="57071" applyFont="1" applyBorder="1" applyAlignment="1">
      <alignment horizontal="center" vertical="center"/>
    </xf>
    <xf numFmtId="0" fontId="55" fillId="0" borderId="9" xfId="57071" applyFont="1" applyBorder="1" applyAlignment="1">
      <alignment horizontal="center" vertical="center"/>
    </xf>
    <xf numFmtId="41" fontId="71" fillId="0" borderId="13" xfId="57072" applyFont="1" applyBorder="1" applyAlignment="1">
      <alignment vertical="center"/>
    </xf>
    <xf numFmtId="0" fontId="55" fillId="0" borderId="14" xfId="57071" applyFont="1" applyBorder="1" applyAlignment="1">
      <alignment horizontal="center" vertical="center"/>
    </xf>
    <xf numFmtId="41" fontId="70" fillId="3" borderId="13" xfId="57071" applyNumberFormat="1" applyFont="1" applyFill="1" applyBorder="1" applyAlignment="1">
      <alignment horizontal="center" vertical="center"/>
    </xf>
    <xf numFmtId="0" fontId="55" fillId="2" borderId="0" xfId="57071" applyFont="1" applyFill="1">
      <alignment vertical="center"/>
    </xf>
    <xf numFmtId="41" fontId="55" fillId="2" borderId="0" xfId="57071" applyNumberFormat="1" applyFont="1" applyFill="1">
      <alignment vertical="center"/>
    </xf>
    <xf numFmtId="3" fontId="50" fillId="2" borderId="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 shrinkToFit="1"/>
    </xf>
    <xf numFmtId="3" fontId="20" fillId="2" borderId="0" xfId="0" applyNumberFormat="1" applyFont="1" applyFill="1" applyBorder="1" applyAlignment="1">
      <alignment vertical="center"/>
    </xf>
    <xf numFmtId="41" fontId="21" fillId="2" borderId="30" xfId="2" applyFont="1" applyFill="1" applyBorder="1" applyAlignment="1">
      <alignment horizontal="right" vertical="center"/>
    </xf>
    <xf numFmtId="184" fontId="21" fillId="2" borderId="25" xfId="0" applyNumberFormat="1" applyFont="1" applyFill="1" applyBorder="1" applyAlignment="1">
      <alignment horizontal="right" vertical="center"/>
    </xf>
    <xf numFmtId="177" fontId="21" fillId="2" borderId="40" xfId="0" applyNumberFormat="1" applyFont="1" applyFill="1" applyBorder="1" applyAlignment="1">
      <alignment horizontal="right" vertical="center"/>
    </xf>
    <xf numFmtId="0" fontId="21" fillId="0" borderId="16" xfId="0" applyNumberFormat="1" applyFont="1" applyFill="1" applyBorder="1" applyAlignment="1">
      <alignment vertical="center"/>
    </xf>
    <xf numFmtId="0" fontId="21" fillId="0" borderId="38" xfId="0" applyNumberFormat="1" applyFont="1" applyFill="1" applyBorder="1" applyAlignment="1">
      <alignment vertical="center"/>
    </xf>
    <xf numFmtId="0" fontId="21" fillId="0" borderId="10" xfId="0" applyNumberFormat="1" applyFont="1" applyFill="1" applyBorder="1" applyAlignment="1">
      <alignment vertical="center"/>
    </xf>
    <xf numFmtId="41" fontId="21" fillId="0" borderId="10" xfId="2" applyFont="1" applyFill="1" applyBorder="1" applyAlignment="1">
      <alignment vertical="center"/>
    </xf>
    <xf numFmtId="177" fontId="22" fillId="2" borderId="62" xfId="2" applyNumberFormat="1" applyFont="1" applyFill="1" applyBorder="1" applyAlignment="1">
      <alignment vertical="center" shrinkToFit="1"/>
    </xf>
    <xf numFmtId="184" fontId="20" fillId="2" borderId="56" xfId="6" applyNumberFormat="1" applyFont="1" applyFill="1" applyBorder="1" applyAlignment="1">
      <alignment horizontal="right" vertical="center"/>
    </xf>
    <xf numFmtId="0" fontId="17" fillId="2" borderId="16" xfId="0" applyFont="1" applyFill="1" applyBorder="1" applyAlignment="1">
      <alignment vertical="center"/>
    </xf>
    <xf numFmtId="0" fontId="17" fillId="2" borderId="44" xfId="0" applyFont="1" applyFill="1" applyBorder="1" applyAlignment="1">
      <alignment vertical="center"/>
    </xf>
    <xf numFmtId="0" fontId="17" fillId="2" borderId="30" xfId="0" applyFont="1" applyFill="1" applyBorder="1" applyAlignment="1">
      <alignment vertical="center"/>
    </xf>
    <xf numFmtId="0" fontId="17" fillId="2" borderId="22" xfId="0" applyFont="1" applyFill="1" applyBorder="1" applyAlignment="1">
      <alignment vertical="center"/>
    </xf>
    <xf numFmtId="0" fontId="17" fillId="2" borderId="29" xfId="0" applyFont="1" applyFill="1" applyBorder="1" applyAlignment="1">
      <alignment vertical="center"/>
    </xf>
    <xf numFmtId="0" fontId="0" fillId="2" borderId="65" xfId="0" applyFont="1" applyFill="1" applyBorder="1" applyAlignment="1">
      <alignment vertical="center"/>
    </xf>
    <xf numFmtId="177" fontId="20" fillId="2" borderId="5" xfId="0" applyNumberFormat="1" applyFont="1" applyFill="1" applyBorder="1" applyAlignment="1">
      <alignment vertical="center"/>
    </xf>
    <xf numFmtId="178" fontId="20" fillId="2" borderId="15" xfId="2" applyNumberFormat="1" applyFont="1" applyFill="1" applyBorder="1" applyAlignment="1">
      <alignment horizontal="right" vertical="center"/>
    </xf>
    <xf numFmtId="38" fontId="20" fillId="2" borderId="1" xfId="0" applyNumberFormat="1" applyFont="1" applyFill="1" applyBorder="1" applyAlignment="1">
      <alignment horizontal="right" vertical="center"/>
    </xf>
    <xf numFmtId="180" fontId="20" fillId="2" borderId="1" xfId="2" applyNumberFormat="1" applyFont="1" applyFill="1" applyBorder="1" applyAlignment="1">
      <alignment horizontal="right" vertical="center"/>
    </xf>
    <xf numFmtId="41" fontId="20" fillId="2" borderId="1" xfId="0" applyNumberFormat="1" applyFont="1" applyFill="1" applyBorder="1" applyAlignment="1">
      <alignment vertical="center"/>
    </xf>
    <xf numFmtId="177" fontId="20" fillId="2" borderId="10" xfId="2" applyNumberFormat="1" applyFont="1" applyFill="1" applyBorder="1" applyAlignment="1">
      <alignment horizontal="center" vertical="center"/>
    </xf>
    <xf numFmtId="177" fontId="20" fillId="2" borderId="35" xfId="0" applyNumberFormat="1" applyFont="1" applyFill="1" applyBorder="1" applyAlignment="1">
      <alignment horizontal="center" vertical="center"/>
    </xf>
    <xf numFmtId="49" fontId="20" fillId="2" borderId="16" xfId="0" applyNumberFormat="1" applyFont="1" applyFill="1" applyBorder="1" applyAlignment="1">
      <alignment horizontal="center" vertical="center"/>
    </xf>
    <xf numFmtId="49" fontId="20" fillId="2" borderId="2" xfId="0" applyNumberFormat="1" applyFont="1" applyFill="1" applyBorder="1" applyAlignment="1">
      <alignment horizontal="center" vertical="center"/>
    </xf>
    <xf numFmtId="177" fontId="22" fillId="2" borderId="45" xfId="0" applyNumberFormat="1" applyFont="1" applyFill="1" applyBorder="1" applyAlignment="1">
      <alignment horizontal="center" vertical="center"/>
    </xf>
    <xf numFmtId="41" fontId="22" fillId="2" borderId="0" xfId="2" applyFont="1" applyFill="1" applyAlignment="1">
      <alignment horizontal="center" vertical="center"/>
    </xf>
    <xf numFmtId="0" fontId="20" fillId="2" borderId="7" xfId="0" applyFont="1" applyFill="1" applyBorder="1" applyAlignment="1">
      <alignment horizontal="right" vertical="center"/>
    </xf>
    <xf numFmtId="178" fontId="20" fillId="2" borderId="37" xfId="6" applyNumberFormat="1" applyFont="1" applyFill="1" applyBorder="1" applyAlignment="1">
      <alignment horizontal="right" vertical="center"/>
    </xf>
    <xf numFmtId="178" fontId="20" fillId="2" borderId="26" xfId="6" applyNumberFormat="1" applyFont="1" applyFill="1" applyBorder="1" applyAlignment="1">
      <alignment horizontal="right" vertical="center"/>
    </xf>
    <xf numFmtId="178" fontId="20" fillId="2" borderId="21" xfId="6" applyNumberFormat="1" applyFont="1" applyFill="1" applyBorder="1" applyAlignment="1">
      <alignment horizontal="right" vertical="center"/>
    </xf>
    <xf numFmtId="3" fontId="21" fillId="2" borderId="10" xfId="6" applyNumberFormat="1" applyFont="1" applyFill="1" applyBorder="1" applyAlignment="1">
      <alignment vertical="center"/>
    </xf>
    <xf numFmtId="178" fontId="21" fillId="2" borderId="10" xfId="6" applyNumberFormat="1" applyFont="1" applyFill="1" applyBorder="1" applyAlignment="1">
      <alignment horizontal="right" vertical="center"/>
    </xf>
    <xf numFmtId="177" fontId="21" fillId="2" borderId="35" xfId="6" applyNumberFormat="1" applyFont="1" applyFill="1" applyBorder="1" applyAlignment="1">
      <alignment horizontal="right" vertical="center"/>
    </xf>
    <xf numFmtId="178" fontId="20" fillId="2" borderId="0" xfId="6" applyNumberFormat="1" applyFont="1" applyFill="1" applyBorder="1" applyAlignment="1">
      <alignment vertical="center"/>
    </xf>
    <xf numFmtId="43" fontId="0" fillId="2" borderId="0" xfId="0" applyNumberFormat="1" applyFont="1" applyFill="1" applyAlignment="1">
      <alignment vertical="center"/>
    </xf>
    <xf numFmtId="0" fontId="0" fillId="2" borderId="0" xfId="0" applyFont="1" applyFill="1" applyAlignment="1">
      <alignment horizontal="center" vertical="center"/>
    </xf>
    <xf numFmtId="177" fontId="22" fillId="2" borderId="46" xfId="0" applyNumberFormat="1" applyFont="1" applyFill="1" applyBorder="1" applyAlignment="1">
      <alignment horizontal="right" vertical="center"/>
    </xf>
    <xf numFmtId="3" fontId="20" fillId="2" borderId="16" xfId="2" applyNumberFormat="1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left" vertical="center" wrapText="1"/>
    </xf>
    <xf numFmtId="0" fontId="20" fillId="2" borderId="45" xfId="0" applyFont="1" applyFill="1" applyBorder="1" applyAlignment="1">
      <alignment horizontal="left" vertical="center"/>
    </xf>
    <xf numFmtId="0" fontId="20" fillId="2" borderId="50" xfId="0" applyFont="1" applyFill="1" applyBorder="1" applyAlignment="1">
      <alignment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6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195" fontId="0" fillId="2" borderId="0" xfId="0" applyNumberFormat="1" applyFont="1" applyFill="1" applyBorder="1" applyAlignment="1">
      <alignment vertical="center"/>
    </xf>
    <xf numFmtId="195" fontId="20" fillId="2" borderId="29" xfId="0" applyNumberFormat="1" applyFont="1" applyFill="1" applyBorder="1" applyAlignment="1">
      <alignment horizontal="left" vertical="center" wrapText="1"/>
    </xf>
    <xf numFmtId="195" fontId="20" fillId="2" borderId="30" xfId="0" applyNumberFormat="1" applyFont="1" applyFill="1" applyBorder="1" applyAlignment="1">
      <alignment horizontal="left" vertical="center" wrapText="1"/>
    </xf>
    <xf numFmtId="0" fontId="20" fillId="0" borderId="27" xfId="0" applyFont="1" applyFill="1" applyBorder="1" applyAlignment="1">
      <alignment vertical="center"/>
    </xf>
    <xf numFmtId="0" fontId="20" fillId="0" borderId="30" xfId="0" applyFont="1" applyFill="1" applyBorder="1" applyAlignment="1">
      <alignment vertical="center"/>
    </xf>
    <xf numFmtId="3" fontId="20" fillId="2" borderId="26" xfId="6" applyNumberFormat="1" applyFont="1" applyFill="1" applyBorder="1" applyAlignment="1">
      <alignment horizontal="left" vertical="center"/>
    </xf>
    <xf numFmtId="0" fontId="20" fillId="2" borderId="14" xfId="0" applyFont="1" applyFill="1" applyBorder="1" applyAlignment="1">
      <alignment horizontal="left" vertical="center" wrapText="1"/>
    </xf>
    <xf numFmtId="177" fontId="50" fillId="2" borderId="13" xfId="2" applyNumberFormat="1" applyFont="1" applyFill="1" applyBorder="1" applyAlignment="1">
      <alignment vertical="center"/>
    </xf>
    <xf numFmtId="0" fontId="50" fillId="2" borderId="29" xfId="0" applyFont="1" applyFill="1" applyBorder="1" applyAlignment="1">
      <alignment vertical="center"/>
    </xf>
    <xf numFmtId="0" fontId="50" fillId="2" borderId="30" xfId="0" quotePrefix="1" applyFont="1" applyFill="1" applyBorder="1" applyAlignment="1">
      <alignment horizontal="center" vertical="center"/>
    </xf>
    <xf numFmtId="41" fontId="50" fillId="2" borderId="0" xfId="2" applyFont="1" applyFill="1" applyBorder="1" applyAlignment="1">
      <alignment horizontal="center" vertical="center"/>
    </xf>
    <xf numFmtId="177" fontId="50" fillId="2" borderId="2" xfId="0" applyNumberFormat="1" applyFont="1" applyFill="1" applyBorder="1" applyAlignment="1">
      <alignment vertical="center"/>
    </xf>
    <xf numFmtId="0" fontId="50" fillId="2" borderId="26" xfId="0" applyFont="1" applyFill="1" applyBorder="1" applyAlignment="1">
      <alignment vertical="center" wrapText="1"/>
    </xf>
    <xf numFmtId="3" fontId="50" fillId="2" borderId="0" xfId="0" applyNumberFormat="1" applyFont="1" applyFill="1" applyBorder="1" applyAlignment="1">
      <alignment horizontal="left" vertical="center"/>
    </xf>
    <xf numFmtId="3" fontId="50" fillId="2" borderId="71" xfId="6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177" fontId="20" fillId="2" borderId="0" xfId="2" applyNumberFormat="1" applyFont="1" applyFill="1" applyBorder="1" applyAlignment="1">
      <alignment vertical="center"/>
    </xf>
    <xf numFmtId="177" fontId="50" fillId="2" borderId="35" xfId="0" applyNumberFormat="1" applyFont="1" applyFill="1" applyBorder="1" applyAlignment="1">
      <alignment vertical="center" shrinkToFit="1"/>
    </xf>
    <xf numFmtId="0" fontId="51" fillId="2" borderId="30" xfId="0" applyFont="1" applyFill="1" applyBorder="1" applyAlignment="1">
      <alignment vertical="center"/>
    </xf>
    <xf numFmtId="0" fontId="50" fillId="2" borderId="30" xfId="0" applyFont="1" applyFill="1" applyBorder="1" applyAlignment="1">
      <alignment vertical="center"/>
    </xf>
    <xf numFmtId="0" fontId="50" fillId="2" borderId="0" xfId="0" applyFont="1" applyFill="1" applyBorder="1" applyAlignment="1">
      <alignment vertical="center" wrapText="1"/>
    </xf>
    <xf numFmtId="177" fontId="50" fillId="2" borderId="35" xfId="0" applyNumberFormat="1" applyFont="1" applyFill="1" applyBorder="1" applyAlignment="1">
      <alignment vertical="center"/>
    </xf>
    <xf numFmtId="178" fontId="50" fillId="2" borderId="2" xfId="2" applyNumberFormat="1" applyFont="1" applyFill="1" applyBorder="1" applyAlignment="1">
      <alignment vertical="center"/>
    </xf>
    <xf numFmtId="0" fontId="50" fillId="2" borderId="30" xfId="0" applyFont="1" applyFill="1" applyBorder="1" applyAlignment="1">
      <alignment horizontal="center" vertical="center"/>
    </xf>
    <xf numFmtId="0" fontId="51" fillId="2" borderId="7" xfId="0" applyFont="1" applyFill="1" applyBorder="1" applyAlignment="1">
      <alignment vertical="center"/>
    </xf>
    <xf numFmtId="3" fontId="50" fillId="2" borderId="7" xfId="0" applyNumberFormat="1" applyFont="1" applyFill="1" applyBorder="1" applyAlignment="1">
      <alignment horizontal="left" vertical="center"/>
    </xf>
    <xf numFmtId="178" fontId="50" fillId="2" borderId="4" xfId="2" applyNumberFormat="1" applyFont="1" applyFill="1" applyBorder="1" applyAlignment="1">
      <alignment vertical="center"/>
    </xf>
    <xf numFmtId="0" fontId="50" fillId="2" borderId="10" xfId="0" applyFont="1" applyFill="1" applyBorder="1" applyAlignment="1">
      <alignment vertical="center" shrinkToFit="1"/>
    </xf>
    <xf numFmtId="178" fontId="50" fillId="2" borderId="7" xfId="0" applyNumberFormat="1" applyFont="1" applyFill="1" applyBorder="1" applyAlignment="1">
      <alignment vertical="center"/>
    </xf>
    <xf numFmtId="49" fontId="50" fillId="2" borderId="16" xfId="0" applyNumberFormat="1" applyFont="1" applyFill="1" applyBorder="1" applyAlignment="1">
      <alignment vertical="center"/>
    </xf>
    <xf numFmtId="49" fontId="50" fillId="2" borderId="0" xfId="6" applyNumberFormat="1" applyFont="1" applyFill="1" applyBorder="1" applyAlignment="1">
      <alignment horizontal="left" vertical="center"/>
    </xf>
    <xf numFmtId="49" fontId="50" fillId="2" borderId="0" xfId="0" applyNumberFormat="1" applyFont="1" applyFill="1" applyBorder="1" applyAlignment="1">
      <alignment vertical="center"/>
    </xf>
    <xf numFmtId="49" fontId="50" fillId="2" borderId="0" xfId="0" applyNumberFormat="1" applyFont="1" applyFill="1" applyBorder="1" applyAlignment="1">
      <alignment horizontal="right" vertical="center"/>
    </xf>
    <xf numFmtId="41" fontId="50" fillId="2" borderId="2" xfId="2" applyNumberFormat="1" applyFont="1" applyFill="1" applyBorder="1" applyAlignment="1">
      <alignment vertical="center"/>
    </xf>
    <xf numFmtId="0" fontId="50" fillId="2" borderId="0" xfId="0" applyNumberFormat="1" applyFont="1" applyFill="1" applyBorder="1" applyAlignment="1">
      <alignment horizontal="right" vertical="center"/>
    </xf>
    <xf numFmtId="0" fontId="50" fillId="2" borderId="9" xfId="0" applyFont="1" applyFill="1" applyBorder="1" applyAlignment="1">
      <alignment horizontal="left" vertical="center"/>
    </xf>
    <xf numFmtId="0" fontId="50" fillId="2" borderId="14" xfId="0" applyFont="1" applyFill="1" applyBorder="1" applyAlignment="1">
      <alignment horizontal="left" vertical="center"/>
    </xf>
    <xf numFmtId="49" fontId="50" fillId="2" borderId="29" xfId="0" applyNumberFormat="1" applyFont="1" applyFill="1" applyBorder="1" applyAlignment="1">
      <alignment horizontal="center" vertical="center"/>
    </xf>
    <xf numFmtId="49" fontId="50" fillId="2" borderId="30" xfId="0" applyNumberFormat="1" applyFont="1" applyFill="1" applyBorder="1" applyAlignment="1">
      <alignment horizontal="center" vertical="center"/>
    </xf>
    <xf numFmtId="178" fontId="50" fillId="2" borderId="30" xfId="0" applyNumberFormat="1" applyFont="1" applyFill="1" applyBorder="1" applyAlignment="1">
      <alignment horizontal="center" vertical="center"/>
    </xf>
    <xf numFmtId="3" fontId="20" fillId="2" borderId="30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/>
    </xf>
    <xf numFmtId="0" fontId="20" fillId="2" borderId="30" xfId="0" applyFont="1" applyFill="1" applyBorder="1" applyAlignment="1">
      <alignment vertical="center"/>
    </xf>
    <xf numFmtId="3" fontId="50" fillId="2" borderId="0" xfId="0" applyNumberFormat="1" applyFont="1" applyFill="1" applyBorder="1" applyAlignment="1">
      <alignment horizontal="left" vertical="center"/>
    </xf>
    <xf numFmtId="3" fontId="50" fillId="2" borderId="7" xfId="6" applyNumberFormat="1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3" fontId="20" fillId="2" borderId="26" xfId="6" applyNumberFormat="1" applyFont="1" applyFill="1" applyBorder="1" applyAlignment="1">
      <alignment horizontal="left" vertical="center"/>
    </xf>
    <xf numFmtId="3" fontId="20" fillId="2" borderId="10" xfId="6" applyNumberFormat="1" applyFont="1" applyFill="1" applyBorder="1" applyAlignment="1">
      <alignment horizontal="center" vertical="center"/>
    </xf>
    <xf numFmtId="49" fontId="50" fillId="2" borderId="22" xfId="0" applyNumberFormat="1" applyFont="1" applyFill="1" applyBorder="1" applyAlignment="1">
      <alignment vertical="center"/>
    </xf>
    <xf numFmtId="49" fontId="50" fillId="2" borderId="7" xfId="6" applyNumberFormat="1" applyFont="1" applyFill="1" applyBorder="1" applyAlignment="1">
      <alignment horizontal="left" vertical="center"/>
    </xf>
    <xf numFmtId="49" fontId="50" fillId="2" borderId="7" xfId="0" applyNumberFormat="1" applyFont="1" applyFill="1" applyBorder="1" applyAlignment="1">
      <alignment vertical="center"/>
    </xf>
    <xf numFmtId="0" fontId="50" fillId="2" borderId="7" xfId="0" applyNumberFormat="1" applyFont="1" applyFill="1" applyBorder="1" applyAlignment="1">
      <alignment horizontal="right" vertical="center"/>
    </xf>
    <xf numFmtId="41" fontId="50" fillId="2" borderId="4" xfId="2" applyNumberFormat="1" applyFont="1" applyFill="1" applyBorder="1" applyAlignment="1">
      <alignment vertical="center"/>
    </xf>
    <xf numFmtId="49" fontId="50" fillId="2" borderId="0" xfId="6" applyNumberFormat="1" applyFont="1" applyFill="1" applyBorder="1" applyAlignment="1">
      <alignment horizontal="right" vertical="center"/>
    </xf>
    <xf numFmtId="0" fontId="50" fillId="2" borderId="26" xfId="0" applyFont="1" applyFill="1" applyBorder="1" applyAlignment="1">
      <alignment vertical="center"/>
    </xf>
    <xf numFmtId="0" fontId="50" fillId="2" borderId="14" xfId="0" applyFont="1" applyFill="1" applyBorder="1" applyAlignment="1">
      <alignment vertical="center"/>
    </xf>
    <xf numFmtId="0" fontId="50" fillId="2" borderId="10" xfId="0" applyFont="1" applyFill="1" applyBorder="1" applyAlignment="1">
      <alignment horizontal="center" vertical="center"/>
    </xf>
    <xf numFmtId="3" fontId="75" fillId="2" borderId="0" xfId="6" applyNumberFormat="1" applyFont="1" applyFill="1" applyBorder="1" applyAlignment="1">
      <alignment horizontal="left" vertical="center"/>
    </xf>
    <xf numFmtId="41" fontId="50" fillId="2" borderId="0" xfId="2" applyFont="1" applyFill="1" applyAlignment="1">
      <alignment vertical="center"/>
    </xf>
    <xf numFmtId="0" fontId="50" fillId="2" borderId="0" xfId="0" applyFont="1" applyFill="1" applyAlignment="1">
      <alignment vertical="center"/>
    </xf>
    <xf numFmtId="178" fontId="50" fillId="2" borderId="0" xfId="0" applyNumberFormat="1" applyFont="1" applyFill="1" applyBorder="1" applyAlignment="1">
      <alignment horizontal="left" vertical="center"/>
    </xf>
    <xf numFmtId="3" fontId="50" fillId="2" borderId="0" xfId="0" applyNumberFormat="1" applyFont="1" applyFill="1" applyBorder="1" applyAlignment="1">
      <alignment vertical="center" wrapText="1"/>
    </xf>
    <xf numFmtId="178" fontId="50" fillId="2" borderId="2" xfId="0" applyNumberFormat="1" applyFont="1" applyFill="1" applyBorder="1" applyAlignment="1">
      <alignment horizontal="right" vertical="center"/>
    </xf>
    <xf numFmtId="0" fontId="50" fillId="2" borderId="9" xfId="0" applyFont="1" applyFill="1" applyBorder="1" applyAlignment="1">
      <alignment horizontal="left" vertical="center" shrinkToFit="1"/>
    </xf>
    <xf numFmtId="178" fontId="50" fillId="2" borderId="10" xfId="2" applyNumberFormat="1" applyFont="1" applyFill="1" applyBorder="1" applyAlignment="1">
      <alignment vertical="center"/>
    </xf>
    <xf numFmtId="0" fontId="50" fillId="2" borderId="26" xfId="0" applyFont="1" applyFill="1" applyBorder="1" applyAlignment="1">
      <alignment horizontal="left" vertical="center" shrinkToFit="1"/>
    </xf>
    <xf numFmtId="177" fontId="50" fillId="2" borderId="35" xfId="2" applyNumberFormat="1" applyFont="1" applyFill="1" applyBorder="1" applyAlignment="1">
      <alignment vertical="center" shrinkToFit="1"/>
    </xf>
    <xf numFmtId="0" fontId="20" fillId="2" borderId="113" xfId="0" applyFont="1" applyFill="1" applyBorder="1" applyAlignment="1">
      <alignment horizontal="left" vertical="center"/>
    </xf>
    <xf numFmtId="0" fontId="20" fillId="2" borderId="115" xfId="0" applyFont="1" applyFill="1" applyBorder="1" applyAlignment="1">
      <alignment horizontal="left" vertical="center"/>
    </xf>
    <xf numFmtId="3" fontId="75" fillId="2" borderId="0" xfId="0" applyNumberFormat="1" applyFont="1" applyFill="1" applyBorder="1" applyAlignment="1">
      <alignment vertical="center"/>
    </xf>
    <xf numFmtId="3" fontId="75" fillId="2" borderId="0" xfId="0" applyNumberFormat="1" applyFont="1" applyFill="1" applyBorder="1" applyAlignment="1">
      <alignment horizontal="left" vertical="center"/>
    </xf>
    <xf numFmtId="0" fontId="76" fillId="2" borderId="0" xfId="0" applyFont="1" applyFill="1" applyBorder="1" applyAlignment="1">
      <alignment vertical="center"/>
    </xf>
    <xf numFmtId="0" fontId="75" fillId="2" borderId="10" xfId="0" applyFont="1" applyFill="1" applyBorder="1" applyAlignment="1">
      <alignment vertical="center"/>
    </xf>
    <xf numFmtId="0" fontId="75" fillId="2" borderId="10" xfId="0" applyFont="1" applyFill="1" applyBorder="1" applyAlignment="1">
      <alignment vertical="center" wrapText="1"/>
    </xf>
    <xf numFmtId="177" fontId="20" fillId="2" borderId="56" xfId="0" applyNumberFormat="1" applyFont="1" applyFill="1" applyBorder="1" applyAlignment="1">
      <alignment vertical="center" shrinkToFit="1"/>
    </xf>
    <xf numFmtId="0" fontId="76" fillId="2" borderId="30" xfId="0" applyFont="1" applyFill="1" applyBorder="1" applyAlignment="1">
      <alignment vertical="center"/>
    </xf>
    <xf numFmtId="3" fontId="75" fillId="2" borderId="30" xfId="0" applyNumberFormat="1" applyFont="1" applyFill="1" applyBorder="1" applyAlignment="1">
      <alignment vertical="center"/>
    </xf>
    <xf numFmtId="178" fontId="50" fillId="2" borderId="15" xfId="2" applyNumberFormat="1" applyFont="1" applyFill="1" applyBorder="1" applyAlignment="1">
      <alignment vertical="center"/>
    </xf>
    <xf numFmtId="0" fontId="75" fillId="2" borderId="14" xfId="0" applyFont="1" applyFill="1" applyBorder="1" applyAlignment="1">
      <alignment vertical="center"/>
    </xf>
    <xf numFmtId="0" fontId="75" fillId="2" borderId="14" xfId="0" applyFont="1" applyFill="1" applyBorder="1" applyAlignment="1">
      <alignment vertical="center" wrapText="1"/>
    </xf>
    <xf numFmtId="177" fontId="50" fillId="2" borderId="34" xfId="0" applyNumberFormat="1" applyFont="1" applyFill="1" applyBorder="1" applyAlignment="1">
      <alignment vertical="center"/>
    </xf>
    <xf numFmtId="49" fontId="50" fillId="2" borderId="0" xfId="2" applyNumberFormat="1" applyFont="1" applyFill="1" applyBorder="1" applyAlignment="1">
      <alignment vertical="center"/>
    </xf>
    <xf numFmtId="49" fontId="50" fillId="2" borderId="0" xfId="6" applyNumberFormat="1" applyFont="1" applyFill="1" applyBorder="1" applyAlignment="1">
      <alignment horizontal="center" vertical="center"/>
    </xf>
    <xf numFmtId="49" fontId="50" fillId="2" borderId="0" xfId="2" applyNumberFormat="1" applyFont="1" applyFill="1" applyBorder="1" applyAlignment="1">
      <alignment horizontal="center" vertical="center"/>
    </xf>
    <xf numFmtId="49" fontId="50" fillId="2" borderId="24" xfId="6" applyNumberFormat="1" applyFont="1" applyFill="1" applyBorder="1" applyAlignment="1">
      <alignment vertical="center"/>
    </xf>
    <xf numFmtId="49" fontId="50" fillId="2" borderId="6" xfId="6" applyNumberFormat="1" applyFont="1" applyFill="1" applyBorder="1" applyAlignment="1">
      <alignment vertical="center"/>
    </xf>
    <xf numFmtId="49" fontId="50" fillId="2" borderId="6" xfId="0" applyNumberFormat="1" applyFont="1" applyFill="1" applyBorder="1" applyAlignment="1">
      <alignment vertical="center"/>
    </xf>
    <xf numFmtId="49" fontId="50" fillId="2" borderId="6" xfId="2" applyNumberFormat="1" applyFont="1" applyFill="1" applyBorder="1" applyAlignment="1">
      <alignment vertical="center"/>
    </xf>
    <xf numFmtId="49" fontId="50" fillId="2" borderId="6" xfId="6" applyNumberFormat="1" applyFont="1" applyFill="1" applyBorder="1" applyAlignment="1">
      <alignment horizontal="right" vertical="center"/>
    </xf>
    <xf numFmtId="41" fontId="50" fillId="2" borderId="6" xfId="2" applyFont="1" applyFill="1" applyBorder="1" applyAlignment="1">
      <alignment vertical="center"/>
    </xf>
    <xf numFmtId="181" fontId="50" fillId="2" borderId="6" xfId="2" applyNumberFormat="1" applyFont="1" applyFill="1" applyBorder="1" applyAlignment="1">
      <alignment vertical="center"/>
    </xf>
    <xf numFmtId="9" fontId="50" fillId="2" borderId="0" xfId="1" applyNumberFormat="1" applyFont="1" applyFill="1" applyBorder="1" applyAlignment="1">
      <alignment vertical="center"/>
    </xf>
    <xf numFmtId="49" fontId="50" fillId="2" borderId="22" xfId="6" applyNumberFormat="1" applyFont="1" applyFill="1" applyBorder="1" applyAlignment="1">
      <alignment horizontal="left" vertical="center"/>
    </xf>
    <xf numFmtId="49" fontId="50" fillId="2" borderId="7" xfId="6" applyNumberFormat="1" applyFont="1" applyFill="1" applyBorder="1" applyAlignment="1">
      <alignment vertical="center"/>
    </xf>
    <xf numFmtId="49" fontId="50" fillId="2" borderId="7" xfId="2" applyNumberFormat="1" applyFont="1" applyFill="1" applyBorder="1" applyAlignment="1">
      <alignment vertical="center"/>
    </xf>
    <xf numFmtId="49" fontId="50" fillId="2" borderId="7" xfId="6" applyNumberFormat="1" applyFont="1" applyFill="1" applyBorder="1" applyAlignment="1">
      <alignment horizontal="right" vertical="center"/>
    </xf>
    <xf numFmtId="184" fontId="50" fillId="2" borderId="7" xfId="1" applyNumberFormat="1" applyFont="1" applyFill="1" applyBorder="1" applyAlignment="1">
      <alignment vertical="center"/>
    </xf>
    <xf numFmtId="0" fontId="50" fillId="2" borderId="0" xfId="0" applyFont="1" applyFill="1" applyBorder="1" applyAlignment="1">
      <alignment vertical="center"/>
    </xf>
    <xf numFmtId="3" fontId="50" fillId="2" borderId="26" xfId="6" applyNumberFormat="1" applyFont="1" applyFill="1" applyBorder="1" applyAlignment="1">
      <alignment horizontal="left" vertical="center"/>
    </xf>
    <xf numFmtId="3" fontId="50" fillId="2" borderId="31" xfId="0" applyNumberFormat="1" applyFont="1" applyFill="1" applyBorder="1" applyAlignment="1">
      <alignment horizontal="left" vertical="center" shrinkToFit="1"/>
    </xf>
    <xf numFmtId="3" fontId="50" fillId="2" borderId="9" xfId="0" applyNumberFormat="1" applyFont="1" applyFill="1" applyBorder="1" applyAlignment="1">
      <alignment horizontal="left" vertical="center" shrinkToFit="1"/>
    </xf>
    <xf numFmtId="3" fontId="50" fillId="2" borderId="10" xfId="0" applyNumberFormat="1" applyFont="1" applyFill="1" applyBorder="1" applyAlignment="1">
      <alignment horizontal="left" vertical="center" shrinkToFit="1"/>
    </xf>
    <xf numFmtId="0" fontId="50" fillId="2" borderId="31" xfId="0" applyFont="1" applyFill="1" applyBorder="1" applyAlignment="1">
      <alignment horizontal="left" vertical="center" wrapText="1"/>
    </xf>
    <xf numFmtId="0" fontId="50" fillId="2" borderId="10" xfId="5" applyFont="1" applyFill="1" applyBorder="1" applyAlignment="1" applyProtection="1">
      <alignment horizontal="left" vertical="center"/>
    </xf>
    <xf numFmtId="0" fontId="51" fillId="2" borderId="31" xfId="0" applyFont="1" applyFill="1" applyBorder="1" applyAlignment="1">
      <alignment vertical="center"/>
    </xf>
    <xf numFmtId="0" fontId="51" fillId="2" borderId="10" xfId="0" applyFont="1" applyFill="1" applyBorder="1" applyAlignment="1">
      <alignment vertical="center"/>
    </xf>
    <xf numFmtId="0" fontId="50" fillId="2" borderId="0" xfId="0" applyFont="1" applyFill="1" applyBorder="1" applyAlignment="1">
      <alignment horizontal="left" vertical="center"/>
    </xf>
    <xf numFmtId="178" fontId="50" fillId="2" borderId="31" xfId="0" applyNumberFormat="1" applyFont="1" applyFill="1" applyBorder="1" applyAlignment="1">
      <alignment horizontal="right" vertical="center"/>
    </xf>
    <xf numFmtId="0" fontId="50" fillId="2" borderId="14" xfId="5" applyFont="1" applyFill="1" applyBorder="1" applyAlignment="1" applyProtection="1">
      <alignment horizontal="left" vertical="center"/>
    </xf>
    <xf numFmtId="178" fontId="50" fillId="2" borderId="13" xfId="6" applyNumberFormat="1" applyFont="1" applyFill="1" applyBorder="1" applyAlignment="1">
      <alignment horizontal="right" vertical="center"/>
    </xf>
    <xf numFmtId="177" fontId="50" fillId="2" borderId="56" xfId="6" applyNumberFormat="1" applyFont="1" applyFill="1" applyBorder="1" applyAlignment="1">
      <alignment horizontal="right" vertical="center"/>
    </xf>
    <xf numFmtId="177" fontId="50" fillId="2" borderId="15" xfId="2" applyNumberFormat="1" applyFont="1" applyFill="1" applyBorder="1" applyAlignment="1">
      <alignment horizontal="right" vertical="center"/>
    </xf>
    <xf numFmtId="178" fontId="50" fillId="2" borderId="26" xfId="0" applyNumberFormat="1" applyFont="1" applyFill="1" applyBorder="1" applyAlignment="1">
      <alignment horizontal="right" vertical="center"/>
    </xf>
    <xf numFmtId="0" fontId="53" fillId="2" borderId="45" xfId="0" applyFont="1" applyFill="1" applyBorder="1" applyAlignment="1">
      <alignment horizontal="center" vertical="center"/>
    </xf>
    <xf numFmtId="0" fontId="51" fillId="2" borderId="49" xfId="0" applyFont="1" applyFill="1" applyBorder="1" applyAlignment="1">
      <alignment vertical="center"/>
    </xf>
    <xf numFmtId="178" fontId="53" fillId="2" borderId="39" xfId="0" applyNumberFormat="1" applyFont="1" applyFill="1" applyBorder="1" applyAlignment="1">
      <alignment vertical="center"/>
    </xf>
    <xf numFmtId="177" fontId="53" fillId="2" borderId="62" xfId="0" applyNumberFormat="1" applyFont="1" applyFill="1" applyBorder="1" applyAlignment="1">
      <alignment vertical="center"/>
    </xf>
    <xf numFmtId="0" fontId="50" fillId="2" borderId="44" xfId="0" applyFont="1" applyFill="1" applyBorder="1" applyAlignment="1">
      <alignment horizontal="left" vertical="center" wrapText="1"/>
    </xf>
    <xf numFmtId="0" fontId="50" fillId="2" borderId="45" xfId="0" applyFont="1" applyFill="1" applyBorder="1" applyAlignment="1">
      <alignment horizontal="left" vertical="center" wrapText="1"/>
    </xf>
    <xf numFmtId="0" fontId="51" fillId="2" borderId="45" xfId="0" applyFont="1" applyFill="1" applyBorder="1" applyAlignment="1">
      <alignment vertical="center"/>
    </xf>
    <xf numFmtId="0" fontId="51" fillId="2" borderId="45" xfId="0" applyNumberFormat="1" applyFont="1" applyFill="1" applyBorder="1" applyAlignment="1">
      <alignment vertical="center"/>
    </xf>
    <xf numFmtId="178" fontId="50" fillId="2" borderId="45" xfId="0" applyNumberFormat="1" applyFont="1" applyFill="1" applyBorder="1" applyAlignment="1">
      <alignment horizontal="right" vertical="center"/>
    </xf>
    <xf numFmtId="0" fontId="50" fillId="2" borderId="45" xfId="0" applyNumberFormat="1" applyFont="1" applyFill="1" applyBorder="1" applyAlignment="1">
      <alignment vertical="center"/>
    </xf>
    <xf numFmtId="178" fontId="50" fillId="2" borderId="45" xfId="0" applyNumberFormat="1" applyFont="1" applyFill="1" applyBorder="1" applyAlignment="1">
      <alignment vertical="center"/>
    </xf>
    <xf numFmtId="0" fontId="50" fillId="2" borderId="45" xfId="0" quotePrefix="1" applyFont="1" applyFill="1" applyBorder="1" applyAlignment="1">
      <alignment vertical="center"/>
    </xf>
    <xf numFmtId="177" fontId="50" fillId="2" borderId="56" xfId="6" applyNumberFormat="1" applyFont="1" applyFill="1" applyBorder="1" applyAlignment="1">
      <alignment vertical="center"/>
    </xf>
    <xf numFmtId="178" fontId="20" fillId="2" borderId="52" xfId="0" applyNumberFormat="1" applyFont="1" applyFill="1" applyBorder="1" applyAlignment="1">
      <alignment vertical="center"/>
    </xf>
    <xf numFmtId="178" fontId="20" fillId="2" borderId="23" xfId="0" applyNumberFormat="1" applyFont="1" applyFill="1" applyBorder="1" applyAlignment="1">
      <alignment vertical="center"/>
    </xf>
    <xf numFmtId="3" fontId="21" fillId="2" borderId="3" xfId="6" applyNumberFormat="1" applyFont="1" applyFill="1" applyBorder="1" applyAlignment="1">
      <alignment vertical="center"/>
    </xf>
    <xf numFmtId="178" fontId="20" fillId="2" borderId="35" xfId="0" applyNumberFormat="1" applyFont="1" applyFill="1" applyBorder="1" applyAlignment="1">
      <alignment vertical="center"/>
    </xf>
    <xf numFmtId="0" fontId="21" fillId="0" borderId="1" xfId="6" applyFont="1" applyFill="1" applyBorder="1" applyAlignment="1">
      <alignment vertical="center"/>
    </xf>
    <xf numFmtId="0" fontId="50" fillId="2" borderId="10" xfId="0" applyFont="1" applyFill="1" applyBorder="1" applyAlignment="1">
      <alignment horizontal="left" vertical="center" shrinkToFit="1"/>
    </xf>
    <xf numFmtId="0" fontId="20" fillId="2" borderId="26" xfId="6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0" fontId="50" fillId="2" borderId="2" xfId="0" applyFont="1" applyFill="1" applyBorder="1" applyAlignment="1">
      <alignment vertical="center"/>
    </xf>
    <xf numFmtId="178" fontId="20" fillId="2" borderId="30" xfId="2" applyNumberFormat="1" applyFont="1" applyFill="1" applyBorder="1" applyAlignment="1">
      <alignment horizontal="right" vertical="center"/>
    </xf>
    <xf numFmtId="0" fontId="51" fillId="2" borderId="2" xfId="0" applyFont="1" applyFill="1" applyBorder="1" applyAlignment="1">
      <alignment vertical="center"/>
    </xf>
    <xf numFmtId="177" fontId="50" fillId="2" borderId="31" xfId="0" applyNumberFormat="1" applyFont="1" applyFill="1" applyBorder="1" applyAlignment="1">
      <alignment horizontal="right" vertical="center"/>
    </xf>
    <xf numFmtId="178" fontId="50" fillId="2" borderId="7" xfId="0" applyNumberFormat="1" applyFont="1" applyFill="1" applyBorder="1" applyAlignment="1">
      <alignment horizontal="right" vertical="center"/>
    </xf>
    <xf numFmtId="178" fontId="50" fillId="2" borderId="7" xfId="2" applyNumberFormat="1" applyFont="1" applyFill="1" applyBorder="1" applyAlignment="1">
      <alignment horizontal="right" vertical="center"/>
    </xf>
    <xf numFmtId="0" fontId="50" fillId="2" borderId="7" xfId="0" applyNumberFormat="1" applyFont="1" applyFill="1" applyBorder="1" applyAlignment="1">
      <alignment vertical="center"/>
    </xf>
    <xf numFmtId="41" fontId="20" fillId="2" borderId="59" xfId="2" applyFont="1" applyFill="1" applyBorder="1" applyAlignment="1">
      <alignment horizontal="right" vertical="center"/>
    </xf>
    <xf numFmtId="41" fontId="50" fillId="2" borderId="59" xfId="2" applyFont="1" applyFill="1" applyBorder="1" applyAlignment="1">
      <alignment vertical="center"/>
    </xf>
    <xf numFmtId="177" fontId="50" fillId="2" borderId="34" xfId="6" applyNumberFormat="1" applyFont="1" applyFill="1" applyBorder="1" applyAlignment="1">
      <alignment vertical="center"/>
    </xf>
    <xf numFmtId="177" fontId="50" fillId="2" borderId="40" xfId="6" applyNumberFormat="1" applyFont="1" applyFill="1" applyBorder="1" applyAlignment="1">
      <alignment vertical="center"/>
    </xf>
    <xf numFmtId="3" fontId="50" fillId="2" borderId="4" xfId="6" applyNumberFormat="1" applyFont="1" applyFill="1" applyBorder="1" applyAlignment="1">
      <alignment horizontal="left" vertical="center"/>
    </xf>
    <xf numFmtId="0" fontId="20" fillId="2" borderId="31" xfId="5" applyFont="1" applyFill="1" applyBorder="1" applyAlignment="1" applyProtection="1">
      <alignment horizontal="left" vertical="center"/>
    </xf>
    <xf numFmtId="0" fontId="20" fillId="2" borderId="9" xfId="5" applyFont="1" applyFill="1" applyBorder="1" applyAlignment="1" applyProtection="1">
      <alignment horizontal="left" vertical="center"/>
    </xf>
    <xf numFmtId="198" fontId="20" fillId="2" borderId="2" xfId="2" applyNumberFormat="1" applyFont="1" applyFill="1" applyBorder="1" applyAlignment="1">
      <alignment vertical="center"/>
    </xf>
    <xf numFmtId="3" fontId="21" fillId="2" borderId="0" xfId="6" applyNumberFormat="1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right" indent="2"/>
    </xf>
    <xf numFmtId="3" fontId="59" fillId="2" borderId="0" xfId="6" applyNumberFormat="1" applyFont="1" applyFill="1" applyBorder="1" applyAlignment="1">
      <alignment horizontal="left" vertical="center"/>
    </xf>
    <xf numFmtId="41" fontId="20" fillId="2" borderId="14" xfId="2" applyFont="1" applyFill="1" applyBorder="1" applyAlignment="1">
      <alignment vertical="center"/>
    </xf>
    <xf numFmtId="198" fontId="20" fillId="2" borderId="4" xfId="2" applyNumberFormat="1" applyFont="1" applyFill="1" applyBorder="1" applyAlignment="1">
      <alignment vertical="center"/>
    </xf>
    <xf numFmtId="41" fontId="50" fillId="2" borderId="58" xfId="2" applyFont="1" applyFill="1" applyBorder="1" applyAlignment="1">
      <alignment horizontal="left" vertical="center"/>
    </xf>
    <xf numFmtId="41" fontId="50" fillId="2" borderId="12" xfId="2" applyFont="1" applyFill="1" applyBorder="1" applyAlignment="1">
      <alignment horizontal="left" vertical="center"/>
    </xf>
    <xf numFmtId="41" fontId="22" fillId="2" borderId="60" xfId="2" applyFont="1" applyFill="1" applyBorder="1" applyAlignment="1">
      <alignment horizontal="left" vertical="center"/>
    </xf>
    <xf numFmtId="3" fontId="20" fillId="2" borderId="30" xfId="6" applyNumberFormat="1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 shrinkToFit="1"/>
    </xf>
    <xf numFmtId="3" fontId="20" fillId="2" borderId="7" xfId="6" applyNumberFormat="1" applyFont="1" applyFill="1" applyBorder="1" applyAlignment="1">
      <alignment horizontal="left" vertical="center"/>
    </xf>
    <xf numFmtId="0" fontId="20" fillId="2" borderId="30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21" xfId="0" applyFont="1" applyFill="1" applyBorder="1" applyAlignment="1">
      <alignment vertical="center"/>
    </xf>
    <xf numFmtId="0" fontId="20" fillId="2" borderId="7" xfId="0" applyFont="1" applyFill="1" applyBorder="1" applyAlignment="1">
      <alignment vertical="center"/>
    </xf>
    <xf numFmtId="0" fontId="20" fillId="2" borderId="27" xfId="0" applyFont="1" applyFill="1" applyBorder="1" applyAlignment="1">
      <alignment vertical="center" wrapText="1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3" fontId="20" fillId="2" borderId="10" xfId="6" applyNumberFormat="1" applyFont="1" applyFill="1" applyBorder="1" applyAlignment="1">
      <alignment horizontal="center" vertical="center"/>
    </xf>
    <xf numFmtId="3" fontId="50" fillId="2" borderId="16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50" fillId="2" borderId="0" xfId="0" applyFont="1" applyFill="1" applyBorder="1" applyAlignment="1">
      <alignment vertical="center"/>
    </xf>
    <xf numFmtId="0" fontId="50" fillId="2" borderId="0" xfId="0" applyFont="1" applyFill="1" applyBorder="1" applyAlignment="1">
      <alignment horizontal="left" vertical="center"/>
    </xf>
    <xf numFmtId="3" fontId="20" fillId="0" borderId="8" xfId="6" applyNumberFormat="1" applyFont="1" applyFill="1" applyBorder="1" applyAlignment="1">
      <alignment horizontal="center" vertical="center"/>
    </xf>
    <xf numFmtId="3" fontId="20" fillId="0" borderId="0" xfId="6" applyNumberFormat="1" applyFont="1" applyFill="1" applyAlignment="1">
      <alignment vertical="center"/>
    </xf>
    <xf numFmtId="3" fontId="20" fillId="0" borderId="0" xfId="6" applyNumberFormat="1" applyFont="1" applyFill="1" applyBorder="1" applyAlignment="1">
      <alignment horizontal="left" vertical="center"/>
    </xf>
    <xf numFmtId="199" fontId="20" fillId="0" borderId="0" xfId="2" applyNumberFormat="1" applyFont="1" applyFill="1" applyBorder="1" applyAlignment="1">
      <alignment vertical="center"/>
    </xf>
    <xf numFmtId="3" fontId="20" fillId="0" borderId="12" xfId="6" applyNumberFormat="1" applyFont="1" applyFill="1" applyBorder="1" applyAlignment="1">
      <alignment horizontal="left" vertical="center"/>
    </xf>
    <xf numFmtId="3" fontId="20" fillId="0" borderId="0" xfId="6" applyNumberFormat="1" applyFont="1" applyFill="1" applyAlignment="1">
      <alignment vertical="center"/>
    </xf>
    <xf numFmtId="3" fontId="20" fillId="0" borderId="10" xfId="6" applyNumberFormat="1" applyFont="1" applyFill="1" applyBorder="1" applyAlignment="1">
      <alignment horizontal="center" vertical="center"/>
    </xf>
    <xf numFmtId="3" fontId="20" fillId="0" borderId="0" xfId="6" applyNumberFormat="1" applyFont="1" applyFill="1" applyBorder="1" applyAlignment="1">
      <alignment horizontal="center" vertical="center"/>
    </xf>
    <xf numFmtId="3" fontId="20" fillId="0" borderId="0" xfId="6" applyNumberFormat="1" applyFont="1" applyFill="1" applyBorder="1" applyAlignment="1">
      <alignment horizontal="left" vertical="center"/>
    </xf>
    <xf numFmtId="3" fontId="20" fillId="0" borderId="10" xfId="6" applyNumberFormat="1" applyFont="1" applyFill="1" applyBorder="1" applyAlignment="1">
      <alignment vertical="center"/>
    </xf>
    <xf numFmtId="184" fontId="22" fillId="0" borderId="39" xfId="6" applyNumberFormat="1" applyFont="1" applyFill="1" applyBorder="1" applyAlignment="1">
      <alignment horizontal="right" vertical="center"/>
    </xf>
    <xf numFmtId="3" fontId="20" fillId="0" borderId="0" xfId="6" applyNumberFormat="1" applyFont="1" applyFill="1" applyAlignment="1">
      <alignment vertical="center"/>
    </xf>
    <xf numFmtId="3" fontId="20" fillId="0" borderId="0" xfId="6" applyNumberFormat="1" applyFont="1" applyFill="1" applyBorder="1" applyAlignment="1">
      <alignment horizontal="left" vertical="center"/>
    </xf>
    <xf numFmtId="3" fontId="20" fillId="2" borderId="12" xfId="6" applyNumberFormat="1" applyFont="1" applyFill="1" applyBorder="1" applyAlignment="1">
      <alignment horizontal="left" vertical="center"/>
    </xf>
    <xf numFmtId="3" fontId="20" fillId="2" borderId="11" xfId="6" applyNumberFormat="1" applyFont="1" applyFill="1" applyBorder="1" applyAlignment="1">
      <alignment horizontal="center" vertical="center"/>
    </xf>
    <xf numFmtId="184" fontId="20" fillId="2" borderId="9" xfId="0" applyNumberFormat="1" applyFont="1" applyFill="1" applyBorder="1" applyAlignment="1">
      <alignment vertical="center"/>
    </xf>
    <xf numFmtId="3" fontId="22" fillId="0" borderId="0" xfId="6" applyNumberFormat="1" applyFont="1" applyFill="1" applyBorder="1" applyAlignment="1">
      <alignment vertical="center"/>
    </xf>
    <xf numFmtId="41" fontId="0" fillId="2" borderId="0" xfId="2" applyFont="1" applyFill="1"/>
    <xf numFmtId="41" fontId="20" fillId="2" borderId="26" xfId="2" applyFont="1" applyFill="1" applyBorder="1" applyAlignment="1">
      <alignment vertical="center" shrinkToFit="1"/>
    </xf>
    <xf numFmtId="41" fontId="20" fillId="2" borderId="0" xfId="2" applyFont="1" applyFill="1"/>
    <xf numFmtId="0" fontId="20" fillId="2" borderId="0" xfId="0" applyFont="1" applyFill="1"/>
    <xf numFmtId="0" fontId="59" fillId="2" borderId="10" xfId="0" applyFont="1" applyFill="1" applyBorder="1" applyAlignment="1"/>
    <xf numFmtId="3" fontId="20" fillId="2" borderId="15" xfId="6" applyNumberFormat="1" applyFont="1" applyFill="1" applyBorder="1" applyAlignment="1">
      <alignment horizontal="left" vertical="center"/>
    </xf>
    <xf numFmtId="0" fontId="20" fillId="2" borderId="72" xfId="0" applyFont="1" applyFill="1" applyBorder="1" applyAlignment="1">
      <alignment vertical="center"/>
    </xf>
    <xf numFmtId="0" fontId="20" fillId="2" borderId="15" xfId="0" applyFont="1" applyFill="1" applyBorder="1" applyAlignment="1">
      <alignment vertical="center"/>
    </xf>
    <xf numFmtId="0" fontId="0" fillId="2" borderId="17" xfId="0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50" fillId="2" borderId="30" xfId="6" applyNumberFormat="1" applyFont="1" applyFill="1" applyBorder="1" applyAlignment="1">
      <alignment horizontal="left" vertical="center"/>
    </xf>
    <xf numFmtId="0" fontId="20" fillId="0" borderId="13" xfId="0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/>
    </xf>
    <xf numFmtId="0" fontId="20" fillId="2" borderId="30" xfId="0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23" fillId="2" borderId="8" xfId="6" applyFont="1" applyFill="1" applyBorder="1" applyAlignment="1">
      <alignment vertical="center"/>
    </xf>
    <xf numFmtId="3" fontId="22" fillId="2" borderId="31" xfId="6" applyNumberFormat="1" applyFont="1" applyFill="1" applyBorder="1" applyAlignment="1">
      <alignment vertical="center"/>
    </xf>
    <xf numFmtId="3" fontId="22" fillId="2" borderId="30" xfId="2" applyNumberFormat="1" applyFont="1" applyFill="1" applyBorder="1" applyAlignment="1">
      <alignment horizontal="left" vertical="center"/>
    </xf>
    <xf numFmtId="177" fontId="22" fillId="2" borderId="15" xfId="2" applyNumberFormat="1" applyFont="1" applyFill="1" applyBorder="1" applyAlignment="1">
      <alignment vertical="center"/>
    </xf>
    <xf numFmtId="41" fontId="22" fillId="2" borderId="59" xfId="2" applyFont="1" applyFill="1" applyBorder="1" applyAlignment="1">
      <alignment vertical="center"/>
    </xf>
    <xf numFmtId="0" fontId="22" fillId="2" borderId="26" xfId="0" applyFont="1" applyFill="1" applyBorder="1" applyAlignment="1">
      <alignment vertical="center" wrapText="1"/>
    </xf>
    <xf numFmtId="3" fontId="22" fillId="2" borderId="26" xfId="6" applyNumberFormat="1" applyFont="1" applyFill="1" applyBorder="1" applyAlignment="1">
      <alignment vertical="center"/>
    </xf>
    <xf numFmtId="3" fontId="22" fillId="2" borderId="14" xfId="6" applyNumberFormat="1" applyFont="1" applyFill="1" applyBorder="1" applyAlignment="1">
      <alignment vertical="center"/>
    </xf>
    <xf numFmtId="3" fontId="20" fillId="2" borderId="60" xfId="6" applyNumberFormat="1" applyFont="1" applyFill="1" applyBorder="1" applyAlignment="1">
      <alignment horizontal="left" vertical="center"/>
    </xf>
    <xf numFmtId="0" fontId="50" fillId="2" borderId="121" xfId="0" applyFont="1" applyFill="1" applyBorder="1" applyAlignment="1">
      <alignment vertical="center"/>
    </xf>
    <xf numFmtId="3" fontId="20" fillId="0" borderId="22" xfId="0" applyNumberFormat="1" applyFont="1" applyFill="1" applyBorder="1" applyAlignment="1">
      <alignment vertical="center"/>
    </xf>
    <xf numFmtId="0" fontId="20" fillId="2" borderId="26" xfId="0" applyFont="1" applyFill="1" applyBorder="1" applyAlignment="1">
      <alignment horizontal="left" vertical="center" wrapText="1"/>
    </xf>
    <xf numFmtId="0" fontId="22" fillId="2" borderId="26" xfId="0" applyFont="1" applyFill="1" applyBorder="1" applyAlignment="1">
      <alignment horizontal="left" vertical="center" wrapText="1"/>
    </xf>
    <xf numFmtId="4" fontId="20" fillId="0" borderId="0" xfId="0" applyNumberFormat="1" applyFont="1" applyFill="1" applyBorder="1" applyAlignment="1">
      <alignment vertical="center"/>
    </xf>
    <xf numFmtId="0" fontId="22" fillId="2" borderId="45" xfId="0" applyFont="1" applyFill="1" applyBorder="1" applyAlignment="1">
      <alignment horizontal="left" vertical="center"/>
    </xf>
    <xf numFmtId="3" fontId="20" fillId="2" borderId="30" xfId="6" applyNumberFormat="1" applyFont="1" applyFill="1" applyBorder="1" applyAlignment="1">
      <alignment horizontal="left" vertical="center"/>
    </xf>
    <xf numFmtId="0" fontId="20" fillId="2" borderId="28" xfId="0" applyFont="1" applyFill="1" applyBorder="1" applyAlignment="1">
      <alignment vertical="center" shrinkToFit="1"/>
    </xf>
    <xf numFmtId="3" fontId="20" fillId="2" borderId="27" xfId="6" applyNumberFormat="1" applyFont="1" applyFill="1" applyBorder="1" applyAlignment="1">
      <alignment horizontal="left" vertical="center"/>
    </xf>
    <xf numFmtId="0" fontId="20" fillId="2" borderId="27" xfId="0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22" fillId="2" borderId="45" xfId="6" applyNumberFormat="1" applyFont="1" applyFill="1" applyBorder="1" applyAlignment="1">
      <alignment horizontal="center" vertical="center"/>
    </xf>
    <xf numFmtId="0" fontId="22" fillId="2" borderId="45" xfId="0" applyFont="1" applyFill="1" applyBorder="1" applyAlignment="1">
      <alignment horizontal="center" vertical="center"/>
    </xf>
    <xf numFmtId="3" fontId="50" fillId="2" borderId="30" xfId="6" applyNumberFormat="1" applyFont="1" applyFill="1" applyBorder="1" applyAlignment="1">
      <alignment horizontal="left" vertical="center"/>
    </xf>
    <xf numFmtId="49" fontId="20" fillId="2" borderId="20" xfId="6" applyNumberFormat="1" applyFont="1" applyFill="1" applyBorder="1" applyAlignment="1">
      <alignment horizontal="center" vertical="center"/>
    </xf>
    <xf numFmtId="49" fontId="20" fillId="2" borderId="1" xfId="6" applyNumberFormat="1" applyFont="1" applyFill="1" applyBorder="1" applyAlignment="1">
      <alignment horizontal="center" vertical="center"/>
    </xf>
    <xf numFmtId="49" fontId="20" fillId="2" borderId="5" xfId="6" applyNumberFormat="1" applyFont="1" applyFill="1" applyBorder="1" applyAlignment="1">
      <alignment horizontal="center" vertical="center"/>
    </xf>
    <xf numFmtId="3" fontId="20" fillId="0" borderId="27" xfId="6" applyNumberFormat="1" applyFont="1" applyFill="1" applyBorder="1" applyAlignment="1">
      <alignment horizontal="left" vertical="center"/>
    </xf>
    <xf numFmtId="3" fontId="20" fillId="0" borderId="30" xfId="6" applyNumberFormat="1" applyFont="1" applyFill="1" applyBorder="1" applyAlignment="1">
      <alignment horizontal="left" vertical="center"/>
    </xf>
    <xf numFmtId="3" fontId="20" fillId="0" borderId="28" xfId="6" applyNumberFormat="1" applyFont="1" applyFill="1" applyBorder="1" applyAlignment="1">
      <alignment horizontal="left" vertical="center"/>
    </xf>
    <xf numFmtId="0" fontId="20" fillId="2" borderId="30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0" fontId="20" fillId="2" borderId="21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horizontal="left" vertical="center" wrapText="1"/>
    </xf>
    <xf numFmtId="3" fontId="20" fillId="2" borderId="7" xfId="6" applyNumberFormat="1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 wrapText="1"/>
    </xf>
    <xf numFmtId="3" fontId="50" fillId="2" borderId="0" xfId="0" applyNumberFormat="1" applyFont="1" applyFill="1" applyBorder="1" applyAlignment="1">
      <alignment horizontal="left" vertical="center"/>
    </xf>
    <xf numFmtId="3" fontId="20" fillId="2" borderId="23" xfId="6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3" xfId="6" applyNumberFormat="1" applyFont="1" applyFill="1" applyBorder="1" applyAlignment="1">
      <alignment horizontal="left" vertical="center"/>
    </xf>
    <xf numFmtId="0" fontId="50" fillId="2" borderId="0" xfId="0" applyFont="1" applyFill="1" applyBorder="1" applyAlignment="1">
      <alignment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/>
    </xf>
    <xf numFmtId="0" fontId="20" fillId="2" borderId="28" xfId="0" applyFont="1" applyFill="1" applyBorder="1" applyAlignment="1">
      <alignment vertical="center"/>
    </xf>
    <xf numFmtId="0" fontId="50" fillId="2" borderId="16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 shrinkToFit="1"/>
    </xf>
    <xf numFmtId="0" fontId="20" fillId="2" borderId="13" xfId="0" applyFont="1" applyFill="1" applyBorder="1" applyAlignment="1">
      <alignment vertical="center" shrinkToFit="1"/>
    </xf>
    <xf numFmtId="0" fontId="20" fillId="2" borderId="23" xfId="0" applyFont="1" applyFill="1" applyBorder="1" applyAlignment="1">
      <alignment vertical="center"/>
    </xf>
    <xf numFmtId="0" fontId="20" fillId="2" borderId="7" xfId="0" applyFont="1" applyFill="1" applyBorder="1" applyAlignment="1">
      <alignment vertical="center"/>
    </xf>
    <xf numFmtId="0" fontId="50" fillId="2" borderId="30" xfId="0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 shrinkToFit="1"/>
    </xf>
    <xf numFmtId="0" fontId="20" fillId="2" borderId="23" xfId="0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20" fillId="2" borderId="9" xfId="0" applyFont="1" applyFill="1" applyBorder="1" applyAlignment="1">
      <alignment horizontal="left" vertical="center" wrapText="1"/>
    </xf>
    <xf numFmtId="0" fontId="20" fillId="2" borderId="27" xfId="0" applyFont="1" applyFill="1" applyBorder="1" applyAlignment="1">
      <alignment vertical="center" wrapText="1"/>
    </xf>
    <xf numFmtId="0" fontId="20" fillId="2" borderId="7" xfId="0" applyFont="1" applyFill="1" applyBorder="1" applyAlignment="1">
      <alignment horizontal="center" vertical="center"/>
    </xf>
    <xf numFmtId="0" fontId="37" fillId="0" borderId="0" xfId="0" applyNumberFormat="1" applyFont="1" applyFill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/>
    </xf>
    <xf numFmtId="3" fontId="20" fillId="2" borderId="31" xfId="6" applyNumberFormat="1" applyFont="1" applyFill="1" applyBorder="1" applyAlignment="1">
      <alignment horizontal="left" vertical="center"/>
    </xf>
    <xf numFmtId="3" fontId="20" fillId="2" borderId="26" xfId="6" applyNumberFormat="1" applyFont="1" applyFill="1" applyBorder="1" applyAlignment="1">
      <alignment horizontal="left" vertical="center"/>
    </xf>
    <xf numFmtId="3" fontId="20" fillId="2" borderId="10" xfId="6" applyNumberFormat="1" applyFont="1" applyFill="1" applyBorder="1" applyAlignment="1">
      <alignment horizontal="center" vertical="center"/>
    </xf>
    <xf numFmtId="3" fontId="20" fillId="2" borderId="25" xfId="6" applyNumberFormat="1" applyFont="1" applyFill="1" applyBorder="1" applyAlignment="1">
      <alignment horizontal="center" vertical="center"/>
    </xf>
    <xf numFmtId="3" fontId="20" fillId="0" borderId="7" xfId="6" applyNumberFormat="1" applyFont="1" applyFill="1" applyBorder="1" applyAlignment="1">
      <alignment horizontal="left" vertical="center"/>
    </xf>
    <xf numFmtId="0" fontId="20" fillId="2" borderId="10" xfId="0" applyNumberFormat="1" applyFont="1" applyFill="1" applyBorder="1" applyAlignment="1">
      <alignment horizontal="center" vertical="center"/>
    </xf>
    <xf numFmtId="49" fontId="20" fillId="0" borderId="1" xfId="6" applyNumberFormat="1" applyFont="1" applyFill="1" applyBorder="1" applyAlignment="1">
      <alignment horizontal="center" vertical="center"/>
    </xf>
    <xf numFmtId="49" fontId="20" fillId="0" borderId="5" xfId="6" applyNumberFormat="1" applyFont="1" applyFill="1" applyBorder="1" applyAlignment="1">
      <alignment horizontal="center" vertical="center"/>
    </xf>
    <xf numFmtId="3" fontId="20" fillId="2" borderId="3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 wrapText="1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26" xfId="6" applyNumberFormat="1" applyFont="1" applyFill="1" applyBorder="1" applyAlignment="1">
      <alignment horizontal="left" vertical="center"/>
    </xf>
    <xf numFmtId="41" fontId="50" fillId="2" borderId="0" xfId="2" applyFont="1" applyFill="1" applyBorder="1" applyAlignment="1">
      <alignment horizontal="left" vertical="center"/>
    </xf>
    <xf numFmtId="41" fontId="20" fillId="2" borderId="16" xfId="2" applyFont="1" applyFill="1" applyBorder="1" applyAlignment="1">
      <alignment horizontal="right" vertical="center"/>
    </xf>
    <xf numFmtId="41" fontId="50" fillId="2" borderId="16" xfId="2" applyFont="1" applyFill="1" applyBorder="1" applyAlignment="1">
      <alignment vertical="center"/>
    </xf>
    <xf numFmtId="41" fontId="51" fillId="0" borderId="0" xfId="2" applyFont="1" applyFill="1" applyBorder="1" applyAlignment="1">
      <alignment vertical="center"/>
    </xf>
    <xf numFmtId="41" fontId="30" fillId="2" borderId="0" xfId="2" applyFont="1" applyFill="1" applyBorder="1" applyAlignment="1">
      <alignment horizontal="center" vertical="center"/>
    </xf>
    <xf numFmtId="0" fontId="20" fillId="2" borderId="29" xfId="0" applyFont="1" applyFill="1" applyBorder="1" applyAlignment="1">
      <alignment horizontal="left" vertical="center" wrapText="1"/>
    </xf>
    <xf numFmtId="177" fontId="20" fillId="2" borderId="26" xfId="6" applyNumberFormat="1" applyFont="1" applyFill="1" applyBorder="1" applyAlignment="1">
      <alignment vertical="center"/>
    </xf>
    <xf numFmtId="3" fontId="20" fillId="2" borderId="0" xfId="6" quotePrefix="1" applyNumberFormat="1" applyFont="1" applyFill="1" applyBorder="1" applyAlignment="1">
      <alignment horizontal="center" vertical="center"/>
    </xf>
    <xf numFmtId="178" fontId="20" fillId="2" borderId="0" xfId="0" applyNumberFormat="1" applyFont="1" applyFill="1" applyAlignment="1">
      <alignment vertical="center"/>
    </xf>
    <xf numFmtId="3" fontId="20" fillId="2" borderId="65" xfId="6" applyNumberFormat="1" applyFont="1" applyFill="1" applyBorder="1" applyAlignment="1">
      <alignment vertical="center"/>
    </xf>
    <xf numFmtId="0" fontId="22" fillId="2" borderId="54" xfId="6" applyFont="1" applyFill="1" applyBorder="1" applyAlignment="1">
      <alignment vertical="center"/>
    </xf>
    <xf numFmtId="3" fontId="22" fillId="2" borderId="46" xfId="2" applyNumberFormat="1" applyFont="1" applyFill="1" applyBorder="1" applyAlignment="1">
      <alignment horizontal="left" vertical="center"/>
    </xf>
    <xf numFmtId="41" fontId="22" fillId="2" borderId="46" xfId="2" applyFont="1" applyFill="1" applyBorder="1" applyAlignment="1">
      <alignment horizontal="left" vertical="center"/>
    </xf>
    <xf numFmtId="41" fontId="20" fillId="0" borderId="0" xfId="6" applyNumberFormat="1" applyFont="1" applyFill="1" applyAlignment="1">
      <alignment vertical="center"/>
    </xf>
    <xf numFmtId="3" fontId="20" fillId="2" borderId="6" xfId="2" applyNumberFormat="1" applyFont="1" applyFill="1" applyBorder="1" applyAlignment="1">
      <alignment horizontal="left" vertical="center"/>
    </xf>
    <xf numFmtId="184" fontId="20" fillId="0" borderId="15" xfId="0" applyNumberFormat="1" applyFont="1" applyFill="1" applyBorder="1" applyAlignment="1">
      <alignment vertical="center"/>
    </xf>
    <xf numFmtId="3" fontId="20" fillId="0" borderId="20" xfId="2" applyNumberFormat="1" applyFont="1" applyFill="1" applyBorder="1" applyAlignment="1">
      <alignment vertical="center"/>
    </xf>
    <xf numFmtId="0" fontId="22" fillId="2" borderId="45" xfId="0" applyFont="1" applyFill="1" applyBorder="1" applyAlignment="1">
      <alignment vertical="center" wrapText="1"/>
    </xf>
    <xf numFmtId="3" fontId="22" fillId="2" borderId="49" xfId="0" applyNumberFormat="1" applyFont="1" applyFill="1" applyBorder="1" applyAlignment="1">
      <alignment vertical="center"/>
    </xf>
    <xf numFmtId="184" fontId="22" fillId="2" borderId="39" xfId="0" applyNumberFormat="1" applyFont="1" applyFill="1" applyBorder="1" applyAlignment="1">
      <alignment horizontal="right" vertical="center"/>
    </xf>
    <xf numFmtId="3" fontId="22" fillId="2" borderId="45" xfId="0" applyNumberFormat="1" applyFont="1" applyFill="1" applyBorder="1" applyAlignment="1">
      <alignment horizontal="right" vertical="center"/>
    </xf>
    <xf numFmtId="3" fontId="22" fillId="2" borderId="45" xfId="0" applyNumberFormat="1" applyFont="1" applyFill="1" applyBorder="1" applyAlignment="1">
      <alignment horizontal="left" vertical="center"/>
    </xf>
    <xf numFmtId="0" fontId="59" fillId="2" borderId="0" xfId="0" applyFont="1" applyFill="1" applyBorder="1" applyAlignment="1"/>
    <xf numFmtId="3" fontId="20" fillId="2" borderId="1" xfId="2" applyNumberFormat="1" applyFont="1" applyFill="1" applyBorder="1" applyAlignment="1">
      <alignment horizontal="center" vertical="center"/>
    </xf>
    <xf numFmtId="41" fontId="21" fillId="0" borderId="13" xfId="2" applyFont="1" applyFill="1" applyBorder="1" applyAlignment="1">
      <alignment horizontal="center" vertical="center"/>
    </xf>
    <xf numFmtId="41" fontId="21" fillId="0" borderId="13" xfId="2" applyFont="1" applyFill="1" applyBorder="1" applyAlignment="1">
      <alignment vertical="center"/>
    </xf>
    <xf numFmtId="41" fontId="0" fillId="0" borderId="13" xfId="2" applyFont="1" applyFill="1" applyBorder="1" applyAlignment="1">
      <alignment vertical="center"/>
    </xf>
    <xf numFmtId="41" fontId="20" fillId="0" borderId="13" xfId="2" applyFont="1" applyFill="1" applyBorder="1" applyAlignment="1">
      <alignment vertical="center"/>
    </xf>
    <xf numFmtId="41" fontId="29" fillId="0" borderId="13" xfId="2" applyFont="1" applyFill="1" applyBorder="1" applyAlignment="1">
      <alignment vertical="center"/>
    </xf>
    <xf numFmtId="41" fontId="37" fillId="0" borderId="0" xfId="2" applyFont="1" applyFill="1" applyAlignment="1">
      <alignment horizontal="center" vertical="center"/>
    </xf>
    <xf numFmtId="177" fontId="20" fillId="2" borderId="34" xfId="0" applyNumberFormat="1" applyFont="1" applyFill="1" applyBorder="1" applyAlignment="1">
      <alignment horizontal="right" vertical="center"/>
    </xf>
    <xf numFmtId="177" fontId="20" fillId="2" borderId="35" xfId="0" applyNumberFormat="1" applyFont="1" applyFill="1" applyBorder="1" applyAlignment="1">
      <alignment horizontal="right" vertical="center"/>
    </xf>
    <xf numFmtId="3" fontId="20" fillId="0" borderId="7" xfId="0" applyNumberFormat="1" applyFont="1" applyFill="1" applyBorder="1" applyAlignment="1">
      <alignment horizontal="left" vertical="center"/>
    </xf>
    <xf numFmtId="41" fontId="20" fillId="0" borderId="4" xfId="2" applyFont="1" applyFill="1" applyBorder="1" applyAlignment="1">
      <alignment vertical="center"/>
    </xf>
    <xf numFmtId="3" fontId="20" fillId="2" borderId="0" xfId="6" applyNumberFormat="1" applyFont="1" applyFill="1">
      <alignment vertical="center"/>
    </xf>
    <xf numFmtId="3" fontId="20" fillId="2" borderId="0" xfId="6" applyNumberFormat="1" applyFont="1" applyFill="1" applyBorder="1" applyAlignment="1">
      <alignment vertical="center" wrapText="1"/>
    </xf>
    <xf numFmtId="0" fontId="21" fillId="2" borderId="14" xfId="6" applyFont="1" applyFill="1" applyBorder="1" applyAlignment="1">
      <alignment vertical="center"/>
    </xf>
    <xf numFmtId="41" fontId="20" fillId="6" borderId="0" xfId="2" applyFont="1" applyFill="1" applyBorder="1" applyAlignment="1">
      <alignment vertical="center"/>
    </xf>
    <xf numFmtId="3" fontId="20" fillId="6" borderId="0" xfId="6" applyNumberFormat="1" applyFont="1" applyFill="1" applyAlignment="1">
      <alignment vertical="center"/>
    </xf>
    <xf numFmtId="0" fontId="20" fillId="6" borderId="0" xfId="6" applyFont="1" applyFill="1" applyAlignment="1">
      <alignment vertical="center"/>
    </xf>
    <xf numFmtId="184" fontId="20" fillId="2" borderId="31" xfId="6" applyNumberFormat="1" applyFont="1" applyFill="1" applyBorder="1" applyAlignment="1">
      <alignment horizontal="right" vertical="center"/>
    </xf>
    <xf numFmtId="184" fontId="20" fillId="2" borderId="31" xfId="0" applyNumberFormat="1" applyFont="1" applyFill="1" applyBorder="1" applyAlignment="1">
      <alignment horizontal="right" vertical="center"/>
    </xf>
    <xf numFmtId="3" fontId="20" fillId="2" borderId="16" xfId="6" applyNumberFormat="1" applyFont="1" applyFill="1" applyBorder="1" applyAlignment="1">
      <alignment horizontal="left" vertical="center"/>
    </xf>
    <xf numFmtId="3" fontId="50" fillId="0" borderId="14" xfId="6" applyNumberFormat="1" applyFont="1" applyFill="1" applyBorder="1" applyAlignment="1">
      <alignment vertical="center"/>
    </xf>
    <xf numFmtId="3" fontId="50" fillId="0" borderId="23" xfId="6" applyNumberFormat="1" applyFont="1" applyFill="1" applyBorder="1" applyAlignment="1">
      <alignment vertical="center"/>
    </xf>
    <xf numFmtId="3" fontId="50" fillId="0" borderId="7" xfId="6" applyNumberFormat="1" applyFont="1" applyFill="1" applyBorder="1" applyAlignment="1">
      <alignment vertical="center"/>
    </xf>
    <xf numFmtId="3" fontId="50" fillId="0" borderId="21" xfId="6" applyNumberFormat="1" applyFont="1" applyFill="1" applyBorder="1" applyAlignment="1">
      <alignment vertical="center"/>
    </xf>
    <xf numFmtId="0" fontId="40" fillId="0" borderId="9" xfId="6" applyFont="1" applyFill="1" applyBorder="1" applyAlignment="1">
      <alignment vertical="center"/>
    </xf>
    <xf numFmtId="177" fontId="50" fillId="0" borderId="13" xfId="0" applyNumberFormat="1" applyFont="1" applyFill="1" applyBorder="1" applyAlignment="1">
      <alignment horizontal="right" vertical="center"/>
    </xf>
    <xf numFmtId="0" fontId="40" fillId="0" borderId="14" xfId="6" applyFont="1" applyFill="1" applyBorder="1" applyAlignment="1">
      <alignment vertical="center"/>
    </xf>
    <xf numFmtId="177" fontId="50" fillId="0" borderId="13" xfId="6" applyNumberFormat="1" applyFont="1" applyFill="1" applyBorder="1" applyAlignment="1">
      <alignment horizontal="right" vertical="center"/>
    </xf>
    <xf numFmtId="0" fontId="50" fillId="0" borderId="30" xfId="0" applyFont="1" applyFill="1" applyBorder="1" applyAlignment="1">
      <alignment horizontal="left" vertical="center" shrinkToFit="1"/>
    </xf>
    <xf numFmtId="0" fontId="50" fillId="0" borderId="28" xfId="0" applyFont="1" applyFill="1" applyBorder="1" applyAlignment="1">
      <alignment horizontal="left" vertical="center" shrinkToFit="1"/>
    </xf>
    <xf numFmtId="0" fontId="55" fillId="0" borderId="13" xfId="57071" applyFont="1" applyBorder="1" applyAlignment="1">
      <alignment horizontal="center" vertical="center"/>
    </xf>
    <xf numFmtId="3" fontId="50" fillId="2" borderId="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3" fontId="50" fillId="2" borderId="0" xfId="0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184" fontId="50" fillId="2" borderId="10" xfId="6" applyNumberFormat="1" applyFont="1" applyFill="1" applyBorder="1" applyAlignment="1">
      <alignment horizontal="right" vertical="center"/>
    </xf>
    <xf numFmtId="0" fontId="50" fillId="2" borderId="31" xfId="0" applyFont="1" applyFill="1" applyBorder="1" applyAlignment="1">
      <alignment horizontal="left" vertical="center"/>
    </xf>
    <xf numFmtId="184" fontId="50" fillId="2" borderId="13" xfId="0" applyNumberFormat="1" applyFont="1" applyFill="1" applyBorder="1" applyAlignment="1">
      <alignment vertical="center"/>
    </xf>
    <xf numFmtId="0" fontId="50" fillId="2" borderId="29" xfId="0" applyFont="1" applyFill="1" applyBorder="1" applyAlignment="1">
      <alignment horizontal="center"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177" fontId="50" fillId="2" borderId="31" xfId="6" applyNumberFormat="1" applyFont="1" applyFill="1" applyBorder="1" applyAlignment="1">
      <alignment horizontal="right" vertical="center"/>
    </xf>
    <xf numFmtId="177" fontId="50" fillId="2" borderId="0" xfId="6" applyNumberFormat="1" applyFont="1" applyFill="1" applyBorder="1" applyAlignment="1">
      <alignment horizontal="right" vertical="center"/>
    </xf>
    <xf numFmtId="177" fontId="50" fillId="2" borderId="0" xfId="0" applyNumberFormat="1" applyFont="1" applyFill="1" applyBorder="1" applyAlignment="1">
      <alignment horizontal="right" vertical="center"/>
    </xf>
    <xf numFmtId="0" fontId="50" fillId="2" borderId="0" xfId="6" applyNumberFormat="1" applyFont="1" applyFill="1" applyBorder="1" applyAlignment="1">
      <alignment horizontal="right" vertical="center"/>
    </xf>
    <xf numFmtId="0" fontId="50" fillId="2" borderId="23" xfId="0" applyFont="1" applyFill="1" applyBorder="1" applyAlignment="1">
      <alignment horizontal="left" vertical="center"/>
    </xf>
    <xf numFmtId="0" fontId="50" fillId="2" borderId="21" xfId="0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16" xfId="0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184" fontId="50" fillId="2" borderId="26" xfId="6" applyNumberFormat="1" applyFont="1" applyFill="1" applyBorder="1" applyAlignment="1">
      <alignment horizontal="right" vertical="center"/>
    </xf>
    <xf numFmtId="178" fontId="20" fillId="2" borderId="10" xfId="6" applyNumberFormat="1" applyFont="1" applyFill="1" applyBorder="1" applyAlignment="1">
      <alignment vertical="center"/>
    </xf>
    <xf numFmtId="0" fontId="55" fillId="3" borderId="13" xfId="57071" applyFont="1" applyFill="1" applyBorder="1">
      <alignment vertical="center"/>
    </xf>
    <xf numFmtId="41" fontId="71" fillId="0" borderId="13" xfId="2" applyFont="1" applyFill="1" applyBorder="1" applyAlignment="1">
      <alignment horizontal="left" vertical="center"/>
    </xf>
    <xf numFmtId="41" fontId="55" fillId="0" borderId="13" xfId="2" applyFont="1" applyBorder="1" applyAlignment="1">
      <alignment vertical="center"/>
    </xf>
    <xf numFmtId="3" fontId="20" fillId="2" borderId="30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50" fillId="2" borderId="16" xfId="0" applyNumberFormat="1" applyFont="1" applyFill="1" applyBorder="1" applyAlignment="1">
      <alignment horizontal="left" vertical="center"/>
    </xf>
    <xf numFmtId="3" fontId="50" fillId="2" borderId="0" xfId="0" applyNumberFormat="1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3" fontId="50" fillId="2" borderId="0" xfId="6" applyNumberFormat="1" applyFont="1" applyFill="1" applyBorder="1" applyAlignment="1">
      <alignment horizontal="left" vertical="center"/>
    </xf>
    <xf numFmtId="3" fontId="20" fillId="2" borderId="50" xfId="6" applyNumberFormat="1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left" vertical="center"/>
    </xf>
    <xf numFmtId="184" fontId="20" fillId="2" borderId="13" xfId="6" applyNumberFormat="1" applyFont="1" applyFill="1" applyBorder="1" applyAlignment="1">
      <alignment vertical="center"/>
    </xf>
    <xf numFmtId="177" fontId="20" fillId="2" borderId="122" xfId="2" applyNumberFormat="1" applyFont="1" applyFill="1" applyBorder="1" applyAlignment="1">
      <alignment vertical="center"/>
    </xf>
    <xf numFmtId="3" fontId="20" fillId="2" borderId="122" xfId="6" applyNumberFormat="1" applyFont="1" applyFill="1" applyBorder="1" applyAlignment="1">
      <alignment vertical="center"/>
    </xf>
    <xf numFmtId="3" fontId="50" fillId="2" borderId="21" xfId="0" applyNumberFormat="1" applyFont="1" applyFill="1" applyBorder="1" applyAlignment="1">
      <alignment vertical="center"/>
    </xf>
    <xf numFmtId="3" fontId="50" fillId="2" borderId="7" xfId="2" applyNumberFormat="1" applyFont="1" applyFill="1" applyBorder="1" applyAlignment="1">
      <alignment horizontal="left" vertical="center"/>
    </xf>
    <xf numFmtId="177" fontId="50" fillId="2" borderId="4" xfId="2" applyNumberFormat="1" applyFont="1" applyFill="1" applyBorder="1" applyAlignment="1">
      <alignment vertical="center"/>
    </xf>
    <xf numFmtId="41" fontId="50" fillId="2" borderId="0" xfId="0" applyNumberFormat="1" applyFont="1" applyFill="1" applyBorder="1" applyAlignment="1">
      <alignment horizontal="center" vertical="center"/>
    </xf>
    <xf numFmtId="3" fontId="20" fillId="2" borderId="48" xfId="6" applyNumberFormat="1" applyFont="1" applyFill="1" applyBorder="1" applyAlignment="1">
      <alignment horizontal="left" vertical="center"/>
    </xf>
    <xf numFmtId="3" fontId="20" fillId="2" borderId="50" xfId="6" applyNumberFormat="1" applyFont="1" applyFill="1" applyBorder="1" applyAlignment="1">
      <alignment horizontal="center" vertical="center"/>
    </xf>
    <xf numFmtId="177" fontId="20" fillId="2" borderId="53" xfId="2" applyNumberFormat="1" applyFont="1" applyFill="1" applyBorder="1" applyAlignment="1">
      <alignment horizontal="left" vertical="center"/>
    </xf>
    <xf numFmtId="3" fontId="20" fillId="2" borderId="30" xfId="6" applyNumberFormat="1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3" fontId="20" fillId="2" borderId="10" xfId="6" applyNumberFormat="1" applyFont="1" applyFill="1" applyBorder="1" applyAlignment="1">
      <alignment horizontal="center" vertical="center"/>
    </xf>
    <xf numFmtId="41" fontId="21" fillId="2" borderId="16" xfId="2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horizontal="left" vertical="center"/>
    </xf>
    <xf numFmtId="3" fontId="20" fillId="2" borderId="28" xfId="6" applyNumberFormat="1" applyFont="1" applyFill="1" applyBorder="1" applyAlignment="1">
      <alignment horizontal="left" vertical="center"/>
    </xf>
    <xf numFmtId="3" fontId="20" fillId="2" borderId="27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22" fillId="2" borderId="45" xfId="6" applyNumberFormat="1" applyFont="1" applyFill="1" applyBorder="1" applyAlignment="1">
      <alignment horizontal="center" vertical="center"/>
    </xf>
    <xf numFmtId="0" fontId="22" fillId="2" borderId="45" xfId="0" applyFont="1" applyFill="1" applyBorder="1" applyAlignment="1">
      <alignment horizontal="center" vertical="center"/>
    </xf>
    <xf numFmtId="3" fontId="50" fillId="2" borderId="0" xfId="0" applyNumberFormat="1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3" fontId="20" fillId="0" borderId="27" xfId="6" applyNumberFormat="1" applyFont="1" applyFill="1" applyBorder="1" applyAlignment="1">
      <alignment horizontal="left" vertical="center"/>
    </xf>
    <xf numFmtId="3" fontId="20" fillId="0" borderId="30" xfId="6" applyNumberFormat="1" applyFont="1" applyFill="1" applyBorder="1" applyAlignment="1">
      <alignment horizontal="left" vertical="center"/>
    </xf>
    <xf numFmtId="3" fontId="20" fillId="0" borderId="28" xfId="6" applyNumberFormat="1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0" fontId="22" fillId="2" borderId="54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vertical="center"/>
    </xf>
    <xf numFmtId="0" fontId="20" fillId="2" borderId="30" xfId="0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7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50" fillId="2" borderId="21" xfId="0" applyFont="1" applyFill="1" applyBorder="1" applyAlignment="1">
      <alignment vertical="center"/>
    </xf>
    <xf numFmtId="3" fontId="20" fillId="2" borderId="26" xfId="6" applyNumberFormat="1" applyFont="1" applyFill="1" applyBorder="1" applyAlignment="1">
      <alignment horizontal="left" vertical="center"/>
    </xf>
    <xf numFmtId="3" fontId="20" fillId="2" borderId="10" xfId="6" applyNumberFormat="1" applyFont="1" applyFill="1" applyBorder="1" applyAlignment="1">
      <alignment horizontal="center" vertical="center"/>
    </xf>
    <xf numFmtId="3" fontId="20" fillId="0" borderId="7" xfId="6" applyNumberFormat="1" applyFont="1" applyFill="1" applyBorder="1" applyAlignment="1">
      <alignment horizontal="left" vertical="center"/>
    </xf>
    <xf numFmtId="0" fontId="23" fillId="0" borderId="123" xfId="4" applyNumberFormat="1" applyFont="1" applyFill="1" applyBorder="1" applyAlignment="1">
      <alignment horizontal="left" vertical="center"/>
    </xf>
    <xf numFmtId="3" fontId="22" fillId="2" borderId="45" xfId="6" applyNumberFormat="1" applyFont="1" applyFill="1" applyBorder="1" applyAlignment="1">
      <alignment horizontal="center" vertical="center"/>
    </xf>
    <xf numFmtId="3" fontId="20" fillId="2" borderId="38" xfId="6" applyNumberFormat="1" applyFont="1" applyFill="1" applyBorder="1" applyAlignment="1">
      <alignment horizontal="center" vertical="center"/>
    </xf>
    <xf numFmtId="177" fontId="22" fillId="2" borderId="55" xfId="2" applyNumberFormat="1" applyFont="1" applyFill="1" applyBorder="1" applyAlignment="1">
      <alignment horizontal="right" vertical="center"/>
    </xf>
    <xf numFmtId="177" fontId="20" fillId="2" borderId="33" xfId="6" applyNumberFormat="1" applyFont="1" applyFill="1" applyBorder="1" applyAlignment="1">
      <alignment horizontal="right" vertical="center"/>
    </xf>
    <xf numFmtId="177" fontId="20" fillId="2" borderId="63" xfId="6" applyNumberFormat="1" applyFont="1" applyFill="1" applyBorder="1" applyAlignment="1">
      <alignment horizontal="right" vertical="center"/>
    </xf>
    <xf numFmtId="0" fontId="21" fillId="2" borderId="38" xfId="6" applyFont="1" applyFill="1" applyBorder="1" applyAlignment="1">
      <alignment vertical="center"/>
    </xf>
    <xf numFmtId="3" fontId="20" fillId="2" borderId="24" xfId="6" applyNumberFormat="1" applyFont="1" applyFill="1" applyBorder="1" applyAlignment="1">
      <alignment horizontal="left" vertical="center"/>
    </xf>
    <xf numFmtId="41" fontId="20" fillId="2" borderId="3" xfId="2" applyFont="1" applyFill="1" applyBorder="1" applyAlignment="1">
      <alignment horizontal="right" vertical="center"/>
    </xf>
    <xf numFmtId="3" fontId="20" fillId="2" borderId="47" xfId="6" applyNumberFormat="1" applyFont="1" applyFill="1" applyBorder="1" applyAlignment="1">
      <alignment horizontal="left" vertical="center"/>
    </xf>
    <xf numFmtId="3" fontId="20" fillId="2" borderId="43" xfId="6" applyNumberFormat="1" applyFont="1" applyFill="1" applyBorder="1" applyAlignment="1">
      <alignment horizontal="left" vertical="center"/>
    </xf>
    <xf numFmtId="3" fontId="20" fillId="2" borderId="43" xfId="2" applyNumberFormat="1" applyFont="1" applyFill="1" applyBorder="1" applyAlignment="1">
      <alignment horizontal="left" vertical="center"/>
    </xf>
    <xf numFmtId="0" fontId="40" fillId="0" borderId="10" xfId="6" applyFont="1" applyFill="1" applyBorder="1" applyAlignment="1">
      <alignment vertical="center"/>
    </xf>
    <xf numFmtId="3" fontId="50" fillId="0" borderId="9" xfId="6" applyNumberFormat="1" applyFont="1" applyFill="1" applyBorder="1" applyAlignment="1">
      <alignment vertical="center"/>
    </xf>
    <xf numFmtId="3" fontId="50" fillId="0" borderId="13" xfId="6" applyNumberFormat="1" applyFont="1" applyFill="1" applyBorder="1" applyAlignment="1">
      <alignment vertical="center"/>
    </xf>
    <xf numFmtId="3" fontId="50" fillId="2" borderId="9" xfId="0" applyNumberFormat="1" applyFont="1" applyFill="1" applyBorder="1" applyAlignment="1">
      <alignment vertical="center"/>
    </xf>
    <xf numFmtId="3" fontId="50" fillId="2" borderId="10" xfId="6" applyNumberFormat="1" applyFont="1" applyFill="1" applyBorder="1" applyAlignment="1">
      <alignment horizontal="left" vertical="center"/>
    </xf>
    <xf numFmtId="3" fontId="50" fillId="2" borderId="14" xfId="0" applyNumberFormat="1" applyFont="1" applyFill="1" applyBorder="1" applyAlignment="1">
      <alignment vertical="center"/>
    </xf>
    <xf numFmtId="3" fontId="20" fillId="2" borderId="59" xfId="2" applyNumberFormat="1" applyFont="1" applyFill="1" applyBorder="1" applyAlignment="1">
      <alignment horizontal="right" vertical="center"/>
    </xf>
    <xf numFmtId="41" fontId="21" fillId="2" borderId="31" xfId="2" applyFont="1" applyFill="1" applyBorder="1" applyAlignment="1">
      <alignment vertical="center"/>
    </xf>
    <xf numFmtId="0" fontId="23" fillId="2" borderId="45" xfId="0" applyNumberFormat="1" applyFont="1" applyFill="1" applyBorder="1" applyAlignment="1">
      <alignment horizontal="center" vertical="center"/>
    </xf>
    <xf numFmtId="0" fontId="23" fillId="2" borderId="49" xfId="0" applyNumberFormat="1" applyFont="1" applyFill="1" applyBorder="1" applyAlignment="1">
      <alignment horizontal="center" vertical="center"/>
    </xf>
    <xf numFmtId="184" fontId="23" fillId="2" borderId="62" xfId="2" applyNumberFormat="1" applyFont="1" applyFill="1" applyBorder="1" applyAlignment="1">
      <alignment horizontal="right" vertical="center"/>
    </xf>
    <xf numFmtId="0" fontId="21" fillId="2" borderId="25" xfId="0" applyNumberFormat="1" applyFont="1" applyFill="1" applyBorder="1" applyAlignment="1">
      <alignment vertical="center"/>
    </xf>
    <xf numFmtId="0" fontId="21" fillId="2" borderId="32" xfId="0" applyNumberFormat="1" applyFont="1" applyFill="1" applyBorder="1" applyAlignment="1">
      <alignment vertical="center"/>
    </xf>
    <xf numFmtId="184" fontId="21" fillId="2" borderId="25" xfId="2" applyNumberFormat="1" applyFont="1" applyFill="1" applyBorder="1" applyAlignment="1">
      <alignment horizontal="right" vertical="center"/>
    </xf>
    <xf numFmtId="177" fontId="21" fillId="2" borderId="40" xfId="2" applyNumberFormat="1" applyFont="1" applyFill="1" applyBorder="1" applyAlignment="1">
      <alignment horizontal="right" vertical="center"/>
    </xf>
    <xf numFmtId="0" fontId="23" fillId="2" borderId="45" xfId="4" applyNumberFormat="1" applyFont="1" applyFill="1" applyBorder="1" applyAlignment="1">
      <alignment horizontal="center" vertical="center"/>
    </xf>
    <xf numFmtId="0" fontId="23" fillId="2" borderId="49" xfId="4" applyNumberFormat="1" applyFont="1" applyFill="1" applyBorder="1" applyAlignment="1">
      <alignment horizontal="center" vertical="center"/>
    </xf>
    <xf numFmtId="41" fontId="21" fillId="2" borderId="31" xfId="12707" applyFont="1" applyFill="1" applyBorder="1" applyAlignment="1">
      <alignment vertical="center"/>
    </xf>
    <xf numFmtId="0" fontId="21" fillId="2" borderId="26" xfId="4" applyNumberFormat="1" applyFont="1" applyFill="1" applyBorder="1" applyAlignment="1">
      <alignment vertical="center"/>
    </xf>
    <xf numFmtId="41" fontId="21" fillId="2" borderId="38" xfId="2" applyFont="1" applyFill="1" applyBorder="1" applyAlignment="1">
      <alignment vertical="center"/>
    </xf>
    <xf numFmtId="41" fontId="21" fillId="2" borderId="10" xfId="2" applyFont="1" applyFill="1" applyBorder="1" applyAlignment="1">
      <alignment vertical="center"/>
    </xf>
    <xf numFmtId="41" fontId="21" fillId="2" borderId="25" xfId="2" applyFont="1" applyFill="1" applyBorder="1" applyAlignment="1">
      <alignment vertical="center"/>
    </xf>
    <xf numFmtId="178" fontId="0" fillId="2" borderId="0" xfId="0" applyNumberFormat="1" applyFont="1" applyFill="1" applyAlignment="1">
      <alignment vertical="center"/>
    </xf>
    <xf numFmtId="0" fontId="50" fillId="2" borderId="31" xfId="0" applyFont="1" applyFill="1" applyBorder="1" applyAlignment="1">
      <alignment vertical="center"/>
    </xf>
    <xf numFmtId="195" fontId="20" fillId="2" borderId="44" xfId="0" applyNumberFormat="1" applyFont="1" applyFill="1" applyBorder="1" applyAlignment="1">
      <alignment horizontal="left" vertical="center" wrapText="1"/>
    </xf>
    <xf numFmtId="195" fontId="20" fillId="2" borderId="45" xfId="0" applyNumberFormat="1" applyFont="1" applyFill="1" applyBorder="1" applyAlignment="1">
      <alignment horizontal="left" vertical="center" wrapText="1"/>
    </xf>
    <xf numFmtId="3" fontId="20" fillId="2" borderId="45" xfId="0" applyNumberFormat="1" applyFont="1" applyFill="1" applyBorder="1" applyAlignment="1">
      <alignment vertical="center"/>
    </xf>
    <xf numFmtId="49" fontId="23" fillId="0" borderId="13" xfId="0" applyNumberFormat="1" applyFont="1" applyFill="1" applyBorder="1" applyAlignment="1">
      <alignment horizontal="left" vertical="center"/>
    </xf>
    <xf numFmtId="3" fontId="20" fillId="2" borderId="30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3" fontId="20" fillId="2" borderId="10" xfId="6" applyNumberFormat="1" applyFont="1" applyFill="1" applyBorder="1" applyAlignment="1">
      <alignment horizontal="center" vertical="center"/>
    </xf>
    <xf numFmtId="177" fontId="39" fillId="3" borderId="87" xfId="0" applyNumberFormat="1" applyFont="1" applyFill="1" applyBorder="1" applyAlignment="1">
      <alignment horizontal="right" vertical="center" wrapText="1"/>
    </xf>
    <xf numFmtId="176" fontId="23" fillId="7" borderId="70" xfId="1" applyNumberFormat="1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3" fontId="20" fillId="2" borderId="10" xfId="6" applyNumberFormat="1" applyFont="1" applyFill="1" applyBorder="1" applyAlignment="1">
      <alignment horizontal="center" vertical="center"/>
    </xf>
    <xf numFmtId="3" fontId="20" fillId="2" borderId="30" xfId="6" applyNumberFormat="1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 wrapText="1"/>
    </xf>
    <xf numFmtId="0" fontId="20" fillId="2" borderId="30" xfId="0" applyFont="1" applyFill="1" applyBorder="1" applyAlignment="1">
      <alignment horizontal="left" vertical="center" wrapText="1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/>
    </xf>
    <xf numFmtId="0" fontId="20" fillId="2" borderId="30" xfId="0" applyFont="1" applyFill="1" applyBorder="1" applyAlignment="1">
      <alignment vertical="center"/>
    </xf>
    <xf numFmtId="0" fontId="20" fillId="2" borderId="28" xfId="0" applyFont="1" applyFill="1" applyBorder="1" applyAlignment="1">
      <alignment vertical="center"/>
    </xf>
    <xf numFmtId="0" fontId="50" fillId="2" borderId="16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3" fontId="20" fillId="2" borderId="26" xfId="6" applyNumberFormat="1" applyFont="1" applyFill="1" applyBorder="1" applyAlignment="1">
      <alignment horizontal="left" vertical="center"/>
    </xf>
    <xf numFmtId="178" fontId="20" fillId="11" borderId="0" xfId="0" applyNumberFormat="1" applyFont="1" applyFill="1" applyBorder="1" applyAlignment="1">
      <alignment vertical="center"/>
    </xf>
    <xf numFmtId="41" fontId="27" fillId="6" borderId="0" xfId="2" applyFont="1" applyFill="1" applyAlignment="1">
      <alignment vertical="center"/>
    </xf>
    <xf numFmtId="3" fontId="20" fillId="2" borderId="30" xfId="6" applyNumberFormat="1" applyFont="1" applyFill="1" applyBorder="1" applyAlignment="1">
      <alignment horizontal="left" vertical="center"/>
    </xf>
    <xf numFmtId="3" fontId="20" fillId="2" borderId="27" xfId="6" applyNumberFormat="1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/>
    </xf>
    <xf numFmtId="3" fontId="50" fillId="2" borderId="16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22" fillId="2" borderId="45" xfId="6" applyNumberFormat="1" applyFont="1" applyFill="1" applyBorder="1" applyAlignment="1">
      <alignment horizontal="center" vertical="center"/>
    </xf>
    <xf numFmtId="0" fontId="20" fillId="2" borderId="13" xfId="0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left" vertical="center" wrapText="1"/>
    </xf>
    <xf numFmtId="3" fontId="50" fillId="2" borderId="16" xfId="0" applyNumberFormat="1" applyFont="1" applyFill="1" applyBorder="1" applyAlignment="1">
      <alignment horizontal="left" vertical="center"/>
    </xf>
    <xf numFmtId="3" fontId="50" fillId="2" borderId="0" xfId="0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50" fillId="2" borderId="16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 shrinkToFit="1"/>
    </xf>
    <xf numFmtId="0" fontId="20" fillId="2" borderId="23" xfId="0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195" fontId="0" fillId="2" borderId="0" xfId="0" applyNumberFormat="1" applyFont="1" applyFill="1" applyBorder="1" applyAlignment="1">
      <alignment vertical="center"/>
    </xf>
    <xf numFmtId="195" fontId="20" fillId="2" borderId="29" xfId="0" applyNumberFormat="1" applyFont="1" applyFill="1" applyBorder="1" applyAlignment="1">
      <alignment horizontal="left" vertical="center" wrapText="1"/>
    </xf>
    <xf numFmtId="195" fontId="20" fillId="2" borderId="30" xfId="0" applyNumberFormat="1" applyFont="1" applyFill="1" applyBorder="1" applyAlignment="1">
      <alignment horizontal="left" vertical="center" wrapText="1"/>
    </xf>
    <xf numFmtId="3" fontId="20" fillId="2" borderId="26" xfId="6" applyNumberFormat="1" applyFont="1" applyFill="1" applyBorder="1" applyAlignment="1">
      <alignment horizontal="left" vertical="center"/>
    </xf>
    <xf numFmtId="3" fontId="20" fillId="2" borderId="10" xfId="6" applyNumberFormat="1" applyFont="1" applyFill="1" applyBorder="1" applyAlignment="1">
      <alignment horizontal="center" vertical="center"/>
    </xf>
    <xf numFmtId="41" fontId="17" fillId="2" borderId="0" xfId="2" applyFont="1" applyFill="1" applyBorder="1" applyAlignment="1">
      <alignment vertical="center"/>
    </xf>
    <xf numFmtId="178" fontId="50" fillId="2" borderId="13" xfId="0" applyNumberFormat="1" applyFont="1" applyFill="1" applyBorder="1" applyAlignment="1">
      <alignment vertical="center"/>
    </xf>
    <xf numFmtId="178" fontId="50" fillId="2" borderId="30" xfId="0" applyNumberFormat="1" applyFont="1" applyFill="1" applyBorder="1" applyAlignment="1">
      <alignment horizontal="right" vertical="center" wrapText="1"/>
    </xf>
    <xf numFmtId="178" fontId="50" fillId="2" borderId="30" xfId="0" applyNumberFormat="1" applyFont="1" applyFill="1" applyBorder="1" applyAlignment="1">
      <alignment vertical="center" wrapText="1"/>
    </xf>
    <xf numFmtId="41" fontId="50" fillId="2" borderId="15" xfId="2" applyFont="1" applyFill="1" applyBorder="1" applyAlignment="1">
      <alignment horizontal="right" vertical="center"/>
    </xf>
    <xf numFmtId="178" fontId="50" fillId="2" borderId="7" xfId="6" applyNumberFormat="1" applyFont="1" applyFill="1" applyBorder="1" applyAlignment="1">
      <alignment horizontal="right" vertical="center"/>
    </xf>
    <xf numFmtId="3" fontId="50" fillId="2" borderId="30" xfId="6" applyNumberFormat="1" applyFont="1" applyFill="1" applyBorder="1" applyAlignment="1">
      <alignment horizontal="left" vertical="center"/>
    </xf>
    <xf numFmtId="0" fontId="20" fillId="2" borderId="9" xfId="5" applyFont="1" applyFill="1" applyBorder="1" applyAlignment="1" applyProtection="1">
      <alignment vertical="center"/>
    </xf>
    <xf numFmtId="0" fontId="78" fillId="2" borderId="16" xfId="0" applyFont="1" applyFill="1" applyBorder="1" applyAlignment="1"/>
    <xf numFmtId="0" fontId="78" fillId="2" borderId="10" xfId="0" applyFont="1" applyFill="1" applyBorder="1" applyAlignment="1"/>
    <xf numFmtId="41" fontId="51" fillId="2" borderId="0" xfId="2" applyFont="1" applyFill="1" applyBorder="1" applyAlignment="1"/>
    <xf numFmtId="41" fontId="40" fillId="2" borderId="0" xfId="2" applyFont="1" applyFill="1" applyBorder="1" applyAlignment="1"/>
    <xf numFmtId="178" fontId="20" fillId="2" borderId="61" xfId="0" applyNumberFormat="1" applyFont="1" applyFill="1" applyBorder="1" applyAlignment="1">
      <alignment vertical="center"/>
    </xf>
    <xf numFmtId="3" fontId="20" fillId="2" borderId="49" xfId="6" applyNumberFormat="1" applyFont="1" applyFill="1" applyBorder="1" applyAlignment="1">
      <alignment horizontal="center" vertical="center"/>
    </xf>
    <xf numFmtId="178" fontId="50" fillId="2" borderId="3" xfId="0" applyNumberFormat="1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0" fontId="20" fillId="2" borderId="13" xfId="0" applyFont="1" applyFill="1" applyBorder="1" applyAlignment="1">
      <alignment horizontal="left" vertical="center"/>
    </xf>
    <xf numFmtId="0" fontId="20" fillId="2" borderId="13" xfId="0" applyFont="1" applyFill="1" applyBorder="1" applyAlignment="1">
      <alignment horizontal="left" vertical="center" shrinkToFit="1"/>
    </xf>
    <xf numFmtId="3" fontId="20" fillId="2" borderId="7" xfId="6" applyNumberFormat="1" applyFont="1" applyFill="1" applyBorder="1" applyAlignment="1">
      <alignment horizontal="left" vertical="center"/>
    </xf>
    <xf numFmtId="3" fontId="50" fillId="2" borderId="0" xfId="0" applyNumberFormat="1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 wrapText="1"/>
    </xf>
    <xf numFmtId="0" fontId="20" fillId="2" borderId="30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45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3" fontId="20" fillId="2" borderId="10" xfId="6" applyNumberFormat="1" applyFont="1" applyFill="1" applyBorder="1" applyAlignment="1">
      <alignment horizontal="center" vertical="center"/>
    </xf>
    <xf numFmtId="178" fontId="20" fillId="2" borderId="7" xfId="6" applyNumberFormat="1" applyFont="1" applyFill="1" applyBorder="1" applyAlignment="1">
      <alignment horizontal="right" vertical="center"/>
    </xf>
    <xf numFmtId="0" fontId="20" fillId="2" borderId="7" xfId="6" applyNumberFormat="1" applyFont="1" applyFill="1" applyBorder="1" applyAlignment="1">
      <alignment horizontal="left" vertical="center"/>
    </xf>
    <xf numFmtId="3" fontId="50" fillId="2" borderId="2" xfId="2" applyNumberFormat="1" applyFont="1" applyFill="1" applyBorder="1" applyAlignment="1">
      <alignment horizontal="right" vertical="center"/>
    </xf>
    <xf numFmtId="177" fontId="50" fillId="2" borderId="2" xfId="2" applyNumberFormat="1" applyFont="1" applyFill="1" applyBorder="1" applyAlignment="1">
      <alignment horizontal="right" vertical="center"/>
    </xf>
    <xf numFmtId="10" fontId="50" fillId="2" borderId="0" xfId="1" applyNumberFormat="1" applyFont="1" applyFill="1" applyBorder="1" applyAlignment="1">
      <alignment vertical="center"/>
    </xf>
    <xf numFmtId="3" fontId="50" fillId="2" borderId="10" xfId="0" applyNumberFormat="1" applyFont="1" applyFill="1" applyBorder="1" applyAlignment="1">
      <alignment horizontal="left" vertical="center"/>
    </xf>
    <xf numFmtId="0" fontId="20" fillId="6" borderId="31" xfId="0" applyFont="1" applyFill="1" applyBorder="1" applyAlignment="1">
      <alignment vertical="center"/>
    </xf>
    <xf numFmtId="0" fontId="20" fillId="6" borderId="10" xfId="0" applyFont="1" applyFill="1" applyBorder="1" applyAlignment="1">
      <alignment vertical="center"/>
    </xf>
    <xf numFmtId="41" fontId="20" fillId="6" borderId="2" xfId="2" applyFont="1" applyFill="1" applyBorder="1" applyAlignment="1">
      <alignment vertical="center"/>
    </xf>
    <xf numFmtId="0" fontId="20" fillId="6" borderId="0" xfId="0" applyFont="1" applyFill="1" applyBorder="1" applyAlignment="1">
      <alignment vertical="center"/>
    </xf>
    <xf numFmtId="3" fontId="50" fillId="6" borderId="0" xfId="2" applyNumberFormat="1" applyFont="1" applyFill="1" applyBorder="1" applyAlignment="1">
      <alignment vertical="center"/>
    </xf>
    <xf numFmtId="0" fontId="50" fillId="6" borderId="31" xfId="0" applyFont="1" applyFill="1" applyBorder="1" applyAlignment="1">
      <alignment vertical="center"/>
    </xf>
    <xf numFmtId="0" fontId="50" fillId="6" borderId="0" xfId="0" applyFont="1" applyFill="1" applyBorder="1" applyAlignment="1">
      <alignment vertical="center"/>
    </xf>
    <xf numFmtId="3" fontId="20" fillId="6" borderId="16" xfId="0" applyNumberFormat="1" applyFont="1" applyFill="1" applyBorder="1" applyAlignment="1">
      <alignment vertical="center"/>
    </xf>
    <xf numFmtId="41" fontId="50" fillId="2" borderId="28" xfId="2" applyFont="1" applyFill="1" applyBorder="1" applyAlignment="1">
      <alignment horizontal="left" vertical="center"/>
    </xf>
    <xf numFmtId="177" fontId="50" fillId="2" borderId="4" xfId="2" applyNumberFormat="1" applyFont="1" applyFill="1" applyBorder="1" applyAlignment="1">
      <alignment horizontal="left" vertical="center"/>
    </xf>
    <xf numFmtId="41" fontId="50" fillId="2" borderId="60" xfId="2" applyFont="1" applyFill="1" applyBorder="1" applyAlignment="1">
      <alignment horizontal="left" vertical="center"/>
    </xf>
    <xf numFmtId="3" fontId="50" fillId="2" borderId="15" xfId="2" applyNumberFormat="1" applyFont="1" applyFill="1" applyBorder="1" applyAlignment="1">
      <alignment horizontal="right" vertical="center"/>
    </xf>
    <xf numFmtId="3" fontId="50" fillId="2" borderId="31" xfId="6" applyNumberFormat="1" applyFont="1" applyFill="1" applyBorder="1" applyAlignment="1">
      <alignment vertical="center"/>
    </xf>
    <xf numFmtId="3" fontId="50" fillId="2" borderId="9" xfId="6" applyNumberFormat="1" applyFont="1" applyFill="1" applyBorder="1" applyAlignment="1">
      <alignment horizontal="right" vertical="center"/>
    </xf>
    <xf numFmtId="0" fontId="20" fillId="2" borderId="25" xfId="0" applyFont="1" applyFill="1" applyBorder="1" applyAlignment="1">
      <alignment horizontal="left" vertical="center" shrinkToFit="1"/>
    </xf>
    <xf numFmtId="184" fontId="20" fillId="2" borderId="25" xfId="6" applyNumberFormat="1" applyFont="1" applyFill="1" applyBorder="1" applyAlignment="1">
      <alignment vertical="center"/>
    </xf>
    <xf numFmtId="177" fontId="20" fillId="2" borderId="40" xfId="2" applyNumberFormat="1" applyFont="1" applyFill="1" applyBorder="1" applyAlignment="1">
      <alignment vertical="center"/>
    </xf>
    <xf numFmtId="0" fontId="50" fillId="2" borderId="31" xfId="0" applyFont="1" applyFill="1" applyBorder="1" applyAlignment="1">
      <alignment horizontal="left" vertical="center" shrinkToFit="1"/>
    </xf>
    <xf numFmtId="184" fontId="50" fillId="2" borderId="13" xfId="0" applyNumberFormat="1" applyFont="1" applyFill="1" applyBorder="1" applyAlignment="1">
      <alignment horizontal="right" vertical="center"/>
    </xf>
    <xf numFmtId="3" fontId="50" fillId="2" borderId="15" xfId="2" applyNumberFormat="1" applyFont="1" applyFill="1" applyBorder="1" applyAlignment="1">
      <alignment horizontal="left" vertical="center"/>
    </xf>
    <xf numFmtId="178" fontId="50" fillId="2" borderId="9" xfId="0" applyNumberFormat="1" applyFont="1" applyFill="1" applyBorder="1" applyAlignment="1">
      <alignment vertical="center"/>
    </xf>
    <xf numFmtId="3" fontId="50" fillId="2" borderId="16" xfId="2" applyNumberFormat="1" applyFont="1" applyFill="1" applyBorder="1" applyAlignment="1">
      <alignment vertical="center"/>
    </xf>
    <xf numFmtId="178" fontId="50" fillId="2" borderId="26" xfId="0" applyNumberFormat="1" applyFont="1" applyFill="1" applyBorder="1" applyAlignment="1">
      <alignment vertical="center"/>
    </xf>
    <xf numFmtId="0" fontId="50" fillId="2" borderId="31" xfId="0" applyFont="1" applyFill="1" applyBorder="1" applyAlignment="1">
      <alignment vertical="center" wrapText="1"/>
    </xf>
    <xf numFmtId="0" fontId="50" fillId="2" borderId="14" xfId="0" applyFont="1" applyFill="1" applyBorder="1" applyAlignment="1">
      <alignment vertical="center" wrapText="1"/>
    </xf>
    <xf numFmtId="0" fontId="50" fillId="2" borderId="29" xfId="6" applyFont="1" applyFill="1" applyBorder="1" applyAlignment="1">
      <alignment vertical="center"/>
    </xf>
    <xf numFmtId="0" fontId="50" fillId="2" borderId="30" xfId="6" applyFont="1" applyFill="1" applyBorder="1" applyAlignment="1">
      <alignment vertical="center"/>
    </xf>
    <xf numFmtId="0" fontId="50" fillId="2" borderId="30" xfId="6" applyFont="1" applyFill="1" applyBorder="1" applyAlignment="1">
      <alignment horizontal="left" vertical="center"/>
    </xf>
    <xf numFmtId="0" fontId="50" fillId="2" borderId="30" xfId="6" applyFont="1" applyFill="1" applyBorder="1" applyAlignment="1">
      <alignment horizontal="center" vertical="center"/>
    </xf>
    <xf numFmtId="0" fontId="50" fillId="2" borderId="31" xfId="6" applyFont="1" applyFill="1" applyBorder="1" applyAlignment="1">
      <alignment horizontal="left" vertical="center"/>
    </xf>
    <xf numFmtId="0" fontId="50" fillId="2" borderId="10" xfId="6" applyFont="1" applyFill="1" applyBorder="1" applyAlignment="1">
      <alignment horizontal="left" vertical="center"/>
    </xf>
    <xf numFmtId="0" fontId="50" fillId="2" borderId="14" xfId="6" applyFont="1" applyFill="1" applyBorder="1" applyAlignment="1">
      <alignment horizontal="left" vertical="center"/>
    </xf>
    <xf numFmtId="3" fontId="50" fillId="2" borderId="30" xfId="0" applyNumberFormat="1" applyFont="1" applyFill="1" applyBorder="1" applyAlignment="1">
      <alignment horizontal="right" vertical="center"/>
    </xf>
    <xf numFmtId="41" fontId="50" fillId="2" borderId="60" xfId="2" applyFont="1" applyFill="1" applyBorder="1" applyAlignment="1">
      <alignment vertical="center"/>
    </xf>
    <xf numFmtId="3" fontId="20" fillId="2" borderId="0" xfId="2" applyNumberFormat="1" applyFont="1" applyFill="1" applyBorder="1" applyAlignment="1">
      <alignment horizontal="left" vertical="center"/>
    </xf>
    <xf numFmtId="0" fontId="20" fillId="2" borderId="0" xfId="6" applyFont="1" applyFill="1" applyAlignment="1">
      <alignment horizontal="center" vertical="center"/>
    </xf>
    <xf numFmtId="177" fontId="50" fillId="2" borderId="15" xfId="6" applyNumberFormat="1" applyFont="1" applyFill="1" applyBorder="1" applyAlignment="1">
      <alignment horizontal="right" vertical="center"/>
    </xf>
    <xf numFmtId="41" fontId="50" fillId="2" borderId="59" xfId="2" applyFont="1" applyFill="1" applyBorder="1" applyAlignment="1">
      <alignment horizontal="right" vertical="center"/>
    </xf>
    <xf numFmtId="0" fontId="50" fillId="2" borderId="31" xfId="0" applyFont="1" applyFill="1" applyBorder="1" applyAlignment="1">
      <alignment vertical="center" shrinkToFit="1"/>
    </xf>
    <xf numFmtId="184" fontId="50" fillId="2" borderId="56" xfId="0" applyNumberFormat="1" applyFont="1" applyFill="1" applyBorder="1" applyAlignment="1">
      <alignment vertical="center"/>
    </xf>
    <xf numFmtId="178" fontId="50" fillId="2" borderId="59" xfId="0" applyNumberFormat="1" applyFont="1" applyFill="1" applyBorder="1" applyAlignment="1">
      <alignment vertical="center"/>
    </xf>
    <xf numFmtId="3" fontId="50" fillId="2" borderId="26" xfId="0" applyNumberFormat="1" applyFont="1" applyFill="1" applyBorder="1" applyAlignment="1">
      <alignment horizontal="left" vertical="center" shrinkToFit="1"/>
    </xf>
    <xf numFmtId="3" fontId="20" fillId="2" borderId="10" xfId="0" applyNumberFormat="1" applyFont="1" applyFill="1" applyBorder="1" applyAlignment="1">
      <alignment horizontal="left" vertical="center" shrinkToFit="1"/>
    </xf>
    <xf numFmtId="3" fontId="20" fillId="2" borderId="9" xfId="0" applyNumberFormat="1" applyFont="1" applyFill="1" applyBorder="1" applyAlignment="1">
      <alignment horizontal="left" vertical="center" shrinkToFit="1"/>
    </xf>
    <xf numFmtId="0" fontId="20" fillId="2" borderId="0" xfId="0" applyFont="1" applyFill="1" applyBorder="1" applyAlignment="1">
      <alignment vertical="center"/>
    </xf>
    <xf numFmtId="178" fontId="50" fillId="2" borderId="10" xfId="6" applyNumberFormat="1" applyFont="1" applyFill="1" applyBorder="1" applyAlignment="1">
      <alignment horizontal="right" vertical="center"/>
    </xf>
    <xf numFmtId="178" fontId="50" fillId="2" borderId="31" xfId="6" applyNumberFormat="1" applyFont="1" applyFill="1" applyBorder="1" applyAlignment="1">
      <alignment horizontal="right" vertical="center"/>
    </xf>
    <xf numFmtId="0" fontId="50" fillId="2" borderId="30" xfId="0" applyNumberFormat="1" applyFont="1" applyFill="1" applyBorder="1" applyAlignment="1">
      <alignment vertical="center"/>
    </xf>
    <xf numFmtId="177" fontId="50" fillId="2" borderId="15" xfId="2" applyNumberFormat="1" applyFont="1" applyFill="1" applyBorder="1" applyAlignment="1">
      <alignment vertical="center"/>
    </xf>
    <xf numFmtId="178" fontId="50" fillId="2" borderId="26" xfId="6" applyNumberFormat="1" applyFont="1" applyFill="1" applyBorder="1" applyAlignment="1">
      <alignment horizontal="right" vertical="center"/>
    </xf>
    <xf numFmtId="0" fontId="50" fillId="2" borderId="10" xfId="0" applyFont="1" applyFill="1" applyBorder="1" applyAlignment="1">
      <alignment horizontal="left" vertical="center" wrapText="1"/>
    </xf>
    <xf numFmtId="41" fontId="50" fillId="2" borderId="22" xfId="2" applyFont="1" applyFill="1" applyBorder="1" applyAlignment="1">
      <alignment vertical="center"/>
    </xf>
    <xf numFmtId="177" fontId="51" fillId="2" borderId="0" xfId="0" applyNumberFormat="1" applyFont="1" applyFill="1" applyBorder="1" applyAlignment="1">
      <alignment vertical="center"/>
    </xf>
    <xf numFmtId="177" fontId="51" fillId="2" borderId="0" xfId="0" applyNumberFormat="1" applyFont="1" applyFill="1" applyBorder="1" applyAlignment="1">
      <alignment horizontal="right" vertical="center"/>
    </xf>
    <xf numFmtId="177" fontId="50" fillId="2" borderId="0" xfId="0" applyNumberFormat="1" applyFont="1" applyFill="1" applyBorder="1" applyAlignment="1">
      <alignment horizontal="right" vertical="center" wrapText="1"/>
    </xf>
    <xf numFmtId="0" fontId="51" fillId="2" borderId="0" xfId="0" applyFont="1" applyFill="1" applyBorder="1" applyAlignment="1">
      <alignment horizontal="center" vertical="center"/>
    </xf>
    <xf numFmtId="0" fontId="59" fillId="2" borderId="31" xfId="0" applyFont="1" applyFill="1" applyBorder="1" applyAlignment="1"/>
    <xf numFmtId="3" fontId="20" fillId="6" borderId="22" xfId="0" applyNumberFormat="1" applyFont="1" applyFill="1" applyBorder="1" applyAlignment="1">
      <alignment vertical="center"/>
    </xf>
    <xf numFmtId="3" fontId="20" fillId="6" borderId="7" xfId="0" applyNumberFormat="1" applyFont="1" applyFill="1" applyBorder="1" applyAlignment="1">
      <alignment vertical="center"/>
    </xf>
    <xf numFmtId="3" fontId="20" fillId="6" borderId="7" xfId="0" applyNumberFormat="1" applyFont="1" applyFill="1" applyBorder="1" applyAlignment="1">
      <alignment horizontal="center" vertical="center"/>
    </xf>
    <xf numFmtId="3" fontId="20" fillId="6" borderId="7" xfId="2" applyNumberFormat="1" applyFont="1" applyFill="1" applyBorder="1" applyAlignment="1">
      <alignment vertical="center"/>
    </xf>
    <xf numFmtId="0" fontId="20" fillId="6" borderId="12" xfId="0" applyFont="1" applyFill="1" applyBorder="1" applyAlignment="1">
      <alignment vertical="center"/>
    </xf>
    <xf numFmtId="0" fontId="0" fillId="2" borderId="6" xfId="0" applyFont="1" applyFill="1" applyBorder="1" applyAlignment="1">
      <alignment vertical="center"/>
    </xf>
    <xf numFmtId="0" fontId="0" fillId="2" borderId="58" xfId="0" applyFont="1" applyFill="1" applyBorder="1" applyAlignment="1">
      <alignment vertical="center"/>
    </xf>
    <xf numFmtId="178" fontId="20" fillId="2" borderId="30" xfId="6" applyNumberFormat="1" applyFont="1" applyFill="1" applyBorder="1" applyAlignment="1">
      <alignment vertical="center"/>
    </xf>
    <xf numFmtId="178" fontId="20" fillId="6" borderId="0" xfId="0" applyNumberFormat="1" applyFont="1" applyFill="1" applyBorder="1" applyAlignment="1">
      <alignment vertical="center"/>
    </xf>
    <xf numFmtId="0" fontId="20" fillId="6" borderId="0" xfId="0" applyFont="1" applyFill="1" applyBorder="1" applyAlignment="1">
      <alignment vertical="center" wrapText="1"/>
    </xf>
    <xf numFmtId="178" fontId="20" fillId="6" borderId="10" xfId="0" applyNumberFormat="1" applyFont="1" applyFill="1" applyBorder="1" applyAlignment="1">
      <alignment vertical="center"/>
    </xf>
    <xf numFmtId="178" fontId="50" fillId="2" borderId="13" xfId="6" applyNumberFormat="1" applyFont="1" applyFill="1" applyBorder="1" applyAlignment="1">
      <alignment vertical="center"/>
    </xf>
    <xf numFmtId="177" fontId="50" fillId="2" borderId="36" xfId="0" applyNumberFormat="1" applyFont="1" applyFill="1" applyBorder="1" applyAlignment="1">
      <alignment vertical="center"/>
    </xf>
    <xf numFmtId="41" fontId="50" fillId="2" borderId="0" xfId="2" applyFont="1" applyFill="1" applyBorder="1" applyAlignment="1">
      <alignment vertical="center" shrinkToFit="1"/>
    </xf>
    <xf numFmtId="38" fontId="50" fillId="2" borderId="30" xfId="0" applyNumberFormat="1" applyFont="1" applyFill="1" applyBorder="1" applyAlignment="1">
      <alignment horizontal="center" vertical="center"/>
    </xf>
    <xf numFmtId="0" fontId="50" fillId="2" borderId="7" xfId="6" applyNumberFormat="1" applyFont="1" applyFill="1" applyBorder="1" applyAlignment="1">
      <alignment horizontal="right" vertical="center"/>
    </xf>
    <xf numFmtId="0" fontId="50" fillId="2" borderId="0" xfId="0" quotePrefix="1" applyFont="1" applyFill="1" applyBorder="1" applyAlignment="1">
      <alignment vertical="center"/>
    </xf>
    <xf numFmtId="177" fontId="50" fillId="2" borderId="13" xfId="6" applyNumberFormat="1" applyFont="1" applyFill="1" applyBorder="1" applyAlignment="1">
      <alignment vertical="center"/>
    </xf>
    <xf numFmtId="0" fontId="50" fillId="2" borderId="30" xfId="0" quotePrefix="1" applyFont="1" applyFill="1" applyBorder="1" applyAlignment="1">
      <alignment vertical="center"/>
    </xf>
    <xf numFmtId="0" fontId="50" fillId="2" borderId="16" xfId="0" applyFont="1" applyFill="1" applyBorder="1" applyAlignment="1">
      <alignment horizontal="left" vertical="center" wrapText="1"/>
    </xf>
    <xf numFmtId="0" fontId="50" fillId="2" borderId="0" xfId="0" applyFont="1" applyFill="1" applyBorder="1" applyAlignment="1">
      <alignment horizontal="left" vertical="center" wrapText="1"/>
    </xf>
    <xf numFmtId="178" fontId="50" fillId="2" borderId="0" xfId="0" applyNumberFormat="1" applyFont="1" applyFill="1" applyBorder="1" applyAlignment="1">
      <alignment horizontal="right" vertical="center" wrapText="1"/>
    </xf>
    <xf numFmtId="176" fontId="50" fillId="2" borderId="0" xfId="0" applyNumberFormat="1" applyFont="1" applyFill="1" applyBorder="1" applyAlignment="1">
      <alignment vertical="center" wrapText="1"/>
    </xf>
    <xf numFmtId="0" fontId="50" fillId="2" borderId="16" xfId="0" applyFont="1" applyFill="1" applyBorder="1" applyAlignment="1">
      <alignment vertical="center"/>
    </xf>
    <xf numFmtId="177" fontId="50" fillId="2" borderId="15" xfId="0" applyNumberFormat="1" applyFont="1" applyFill="1" applyBorder="1" applyAlignment="1">
      <alignment vertical="center" shrinkToFit="1"/>
    </xf>
    <xf numFmtId="0" fontId="50" fillId="2" borderId="29" xfId="0" applyFont="1" applyFill="1" applyBorder="1" applyAlignment="1">
      <alignment horizontal="left" vertical="center"/>
    </xf>
    <xf numFmtId="0" fontId="50" fillId="2" borderId="30" xfId="0" applyFont="1" applyFill="1" applyBorder="1" applyAlignment="1">
      <alignment horizontal="left" vertical="center" wrapText="1"/>
    </xf>
    <xf numFmtId="0" fontId="50" fillId="2" borderId="30" xfId="0" applyFont="1" applyFill="1" applyBorder="1" applyAlignment="1">
      <alignment vertical="center" wrapText="1"/>
    </xf>
    <xf numFmtId="41" fontId="51" fillId="2" borderId="0" xfId="2" applyFont="1" applyFill="1" applyBorder="1" applyAlignment="1">
      <alignment vertical="center"/>
    </xf>
    <xf numFmtId="177" fontId="50" fillId="2" borderId="2" xfId="0" applyNumberFormat="1" applyFont="1" applyFill="1" applyBorder="1" applyAlignment="1">
      <alignment vertical="center" shrinkToFit="1"/>
    </xf>
    <xf numFmtId="178" fontId="20" fillId="2" borderId="21" xfId="2" applyNumberFormat="1" applyFont="1" applyFill="1" applyBorder="1" applyAlignment="1">
      <alignment vertical="center"/>
    </xf>
    <xf numFmtId="3" fontId="53" fillId="2" borderId="16" xfId="6" applyNumberFormat="1" applyFont="1" applyFill="1" applyBorder="1" applyAlignment="1">
      <alignment vertical="center"/>
    </xf>
    <xf numFmtId="178" fontId="50" fillId="2" borderId="9" xfId="6" applyNumberFormat="1" applyFont="1" applyFill="1" applyBorder="1" applyAlignment="1">
      <alignment horizontal="right" vertical="center"/>
    </xf>
    <xf numFmtId="178" fontId="50" fillId="2" borderId="59" xfId="2" applyNumberFormat="1" applyFont="1" applyFill="1" applyBorder="1" applyAlignment="1">
      <alignment horizontal="left" vertical="center"/>
    </xf>
    <xf numFmtId="178" fontId="50" fillId="2" borderId="0" xfId="2" applyNumberFormat="1" applyFont="1" applyFill="1" applyBorder="1" applyAlignment="1">
      <alignment horizontal="right" vertical="center"/>
    </xf>
    <xf numFmtId="178" fontId="50" fillId="2" borderId="14" xfId="0" applyNumberFormat="1" applyFont="1" applyFill="1" applyBorder="1" applyAlignment="1">
      <alignment vertical="center"/>
    </xf>
    <xf numFmtId="177" fontId="50" fillId="2" borderId="36" xfId="6" applyNumberFormat="1" applyFont="1" applyFill="1" applyBorder="1" applyAlignment="1">
      <alignment vertical="center"/>
    </xf>
    <xf numFmtId="0" fontId="51" fillId="2" borderId="60" xfId="0" applyFont="1" applyFill="1" applyBorder="1" applyAlignment="1">
      <alignment vertical="center"/>
    </xf>
    <xf numFmtId="0" fontId="50" fillId="2" borderId="7" xfId="6" applyNumberFormat="1" applyFont="1" applyFill="1" applyBorder="1" applyAlignment="1">
      <alignment horizontal="left" vertical="center"/>
    </xf>
    <xf numFmtId="177" fontId="50" fillId="2" borderId="34" xfId="0" applyNumberFormat="1" applyFont="1" applyFill="1" applyBorder="1" applyAlignment="1">
      <alignment horizontal="right" vertical="center"/>
    </xf>
    <xf numFmtId="3" fontId="20" fillId="6" borderId="2" xfId="6" applyNumberFormat="1" applyFont="1" applyFill="1" applyBorder="1" applyAlignment="1">
      <alignment horizontal="left" vertical="center"/>
    </xf>
    <xf numFmtId="177" fontId="20" fillId="6" borderId="14" xfId="0" applyNumberFormat="1" applyFont="1" applyFill="1" applyBorder="1" applyAlignment="1">
      <alignment horizontal="right" vertical="center"/>
    </xf>
    <xf numFmtId="177" fontId="20" fillId="6" borderId="36" xfId="0" applyNumberFormat="1" applyFont="1" applyFill="1" applyBorder="1" applyAlignment="1">
      <alignment horizontal="right" vertical="center"/>
    </xf>
    <xf numFmtId="3" fontId="20" fillId="6" borderId="7" xfId="6" applyNumberFormat="1" applyFont="1" applyFill="1" applyBorder="1" applyAlignment="1">
      <alignment horizontal="left" vertical="center"/>
    </xf>
    <xf numFmtId="3" fontId="20" fillId="6" borderId="7" xfId="6" applyNumberFormat="1" applyFont="1" applyFill="1" applyBorder="1" applyAlignment="1">
      <alignment vertical="center"/>
    </xf>
    <xf numFmtId="3" fontId="20" fillId="6" borderId="7" xfId="2" applyNumberFormat="1" applyFont="1" applyFill="1" applyBorder="1" applyAlignment="1">
      <alignment horizontal="left" vertical="center"/>
    </xf>
    <xf numFmtId="177" fontId="20" fillId="6" borderId="4" xfId="2" applyNumberFormat="1" applyFont="1" applyFill="1" applyBorder="1" applyAlignment="1">
      <alignment vertical="center"/>
    </xf>
    <xf numFmtId="178" fontId="50" fillId="6" borderId="13" xfId="0" applyNumberFormat="1" applyFont="1" applyFill="1" applyBorder="1" applyAlignment="1">
      <alignment vertical="center"/>
    </xf>
    <xf numFmtId="177" fontId="50" fillId="6" borderId="56" xfId="0" applyNumberFormat="1" applyFont="1" applyFill="1" applyBorder="1" applyAlignment="1">
      <alignment vertical="center"/>
    </xf>
    <xf numFmtId="0" fontId="50" fillId="6" borderId="12" xfId="0" applyFont="1" applyFill="1" applyBorder="1" applyAlignment="1">
      <alignment vertical="center"/>
    </xf>
    <xf numFmtId="0" fontId="50" fillId="6" borderId="29" xfId="0" applyFont="1" applyFill="1" applyBorder="1" applyAlignment="1">
      <alignment vertical="center"/>
    </xf>
    <xf numFmtId="0" fontId="50" fillId="6" borderId="30" xfId="0" applyFont="1" applyFill="1" applyBorder="1" applyAlignment="1">
      <alignment vertical="center"/>
    </xf>
    <xf numFmtId="178" fontId="50" fillId="6" borderId="30" xfId="0" applyNumberFormat="1" applyFont="1" applyFill="1" applyBorder="1" applyAlignment="1">
      <alignment horizontal="right" vertical="center"/>
    </xf>
    <xf numFmtId="178" fontId="50" fillId="6" borderId="30" xfId="0" applyNumberFormat="1" applyFont="1" applyFill="1" applyBorder="1" applyAlignment="1">
      <alignment vertical="center"/>
    </xf>
    <xf numFmtId="178" fontId="50" fillId="6" borderId="30" xfId="0" applyNumberFormat="1" applyFont="1" applyFill="1" applyBorder="1" applyAlignment="1">
      <alignment horizontal="right" vertical="center" wrapText="1"/>
    </xf>
    <xf numFmtId="178" fontId="50" fillId="6" borderId="30" xfId="0" applyNumberFormat="1" applyFont="1" applyFill="1" applyBorder="1" applyAlignment="1">
      <alignment vertical="center" wrapText="1"/>
    </xf>
    <xf numFmtId="0" fontId="50" fillId="6" borderId="30" xfId="0" applyFont="1" applyFill="1" applyBorder="1" applyAlignment="1">
      <alignment horizontal="center" vertical="center"/>
    </xf>
    <xf numFmtId="41" fontId="50" fillId="6" borderId="15" xfId="2" applyFont="1" applyFill="1" applyBorder="1" applyAlignment="1">
      <alignment horizontal="right" vertical="center"/>
    </xf>
    <xf numFmtId="41" fontId="51" fillId="6" borderId="0" xfId="2" applyFont="1" applyFill="1" applyBorder="1" applyAlignment="1"/>
    <xf numFmtId="177" fontId="20" fillId="6" borderId="2" xfId="0" applyNumberFormat="1" applyFont="1" applyFill="1" applyBorder="1" applyAlignment="1">
      <alignment vertical="center"/>
    </xf>
    <xf numFmtId="3" fontId="50" fillId="6" borderId="0" xfId="6" applyNumberFormat="1" applyFont="1" applyFill="1" applyBorder="1" applyAlignment="1">
      <alignment vertical="center"/>
    </xf>
    <xf numFmtId="0" fontId="20" fillId="6" borderId="0" xfId="0" applyFont="1" applyFill="1" applyBorder="1" applyAlignment="1">
      <alignment horizontal="left" vertical="center" wrapText="1"/>
    </xf>
    <xf numFmtId="178" fontId="20" fillId="6" borderId="0" xfId="0" applyNumberFormat="1" applyFont="1" applyFill="1" applyBorder="1" applyAlignment="1">
      <alignment horizontal="right" vertical="center"/>
    </xf>
    <xf numFmtId="178" fontId="20" fillId="6" borderId="0" xfId="0" applyNumberFormat="1" applyFont="1" applyFill="1" applyBorder="1" applyAlignment="1">
      <alignment horizontal="right" vertical="center" wrapText="1"/>
    </xf>
    <xf numFmtId="178" fontId="20" fillId="6" borderId="0" xfId="0" applyNumberFormat="1" applyFont="1" applyFill="1" applyBorder="1" applyAlignment="1">
      <alignment vertical="center" wrapText="1"/>
    </xf>
    <xf numFmtId="0" fontId="20" fillId="6" borderId="0" xfId="0" applyFont="1" applyFill="1" applyBorder="1" applyAlignment="1">
      <alignment horizontal="center" vertical="center"/>
    </xf>
    <xf numFmtId="3" fontId="50" fillId="6" borderId="16" xfId="6" applyNumberFormat="1" applyFont="1" applyFill="1" applyBorder="1" applyAlignment="1">
      <alignment vertical="center"/>
    </xf>
    <xf numFmtId="177" fontId="20" fillId="6" borderId="2" xfId="0" applyNumberFormat="1" applyFont="1" applyFill="1" applyBorder="1" applyAlignment="1">
      <alignment vertical="center" shrinkToFit="1"/>
    </xf>
    <xf numFmtId="186" fontId="50" fillId="2" borderId="0" xfId="0" applyNumberFormat="1" applyFont="1" applyFill="1" applyBorder="1" applyAlignment="1">
      <alignment vertical="center"/>
    </xf>
    <xf numFmtId="41" fontId="50" fillId="2" borderId="15" xfId="2" applyFont="1" applyFill="1" applyBorder="1" applyAlignment="1">
      <alignment vertical="center"/>
    </xf>
    <xf numFmtId="194" fontId="20" fillId="2" borderId="0" xfId="1" applyNumberFormat="1" applyFont="1" applyFill="1" applyBorder="1" applyAlignment="1">
      <alignment vertical="center"/>
    </xf>
    <xf numFmtId="3" fontId="20" fillId="2" borderId="28" xfId="6" applyNumberFormat="1" applyFont="1" applyFill="1" applyBorder="1" applyAlignment="1">
      <alignment horizontal="center" vertical="center"/>
    </xf>
    <xf numFmtId="3" fontId="20" fillId="2" borderId="30" xfId="6" applyNumberFormat="1" applyFont="1" applyFill="1" applyBorder="1" applyAlignment="1">
      <alignment horizontal="centerContinuous" vertical="center"/>
    </xf>
    <xf numFmtId="3" fontId="20" fillId="2" borderId="30" xfId="2" applyNumberFormat="1" applyFont="1" applyFill="1" applyBorder="1" applyAlignment="1">
      <alignment horizontal="centerContinuous" vertical="center"/>
    </xf>
    <xf numFmtId="3" fontId="22" fillId="2" borderId="7" xfId="6" applyNumberFormat="1" applyFont="1" applyFill="1" applyBorder="1" applyAlignment="1">
      <alignment vertical="center"/>
    </xf>
    <xf numFmtId="194" fontId="20" fillId="2" borderId="7" xfId="1" applyNumberFormat="1" applyFont="1" applyFill="1" applyBorder="1" applyAlignment="1">
      <alignment vertical="center"/>
    </xf>
    <xf numFmtId="0" fontId="51" fillId="2" borderId="16" xfId="6" applyFont="1" applyFill="1" applyBorder="1" applyAlignment="1">
      <alignment vertical="center"/>
    </xf>
    <xf numFmtId="0" fontId="51" fillId="2" borderId="10" xfId="6" applyFont="1" applyFill="1" applyBorder="1" applyAlignment="1">
      <alignment vertical="center"/>
    </xf>
    <xf numFmtId="177" fontId="20" fillId="2" borderId="35" xfId="2" applyNumberFormat="1" applyFont="1" applyFill="1" applyBorder="1" applyAlignment="1">
      <alignment horizontal="center" vertical="center"/>
    </xf>
    <xf numFmtId="3" fontId="20" fillId="2" borderId="15" xfId="36" applyNumberFormat="1" applyFont="1" applyFill="1" applyBorder="1" applyAlignment="1">
      <alignment vertical="center"/>
    </xf>
    <xf numFmtId="0" fontId="51" fillId="2" borderId="20" xfId="6" applyFont="1" applyFill="1" applyBorder="1" applyAlignment="1">
      <alignment vertical="center"/>
    </xf>
    <xf numFmtId="0" fontId="51" fillId="2" borderId="25" xfId="6" applyFont="1" applyFill="1" applyBorder="1" applyAlignment="1">
      <alignment vertical="center"/>
    </xf>
    <xf numFmtId="0" fontId="21" fillId="2" borderId="22" xfId="6" applyFont="1" applyFill="1" applyBorder="1" applyAlignment="1">
      <alignment vertical="center"/>
    </xf>
    <xf numFmtId="3" fontId="20" fillId="2" borderId="4" xfId="6" applyNumberFormat="1" applyFont="1" applyFill="1" applyBorder="1" applyAlignment="1">
      <alignment horizontal="left" vertical="center"/>
    </xf>
    <xf numFmtId="3" fontId="20" fillId="2" borderId="30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178" fontId="20" fillId="0" borderId="13" xfId="0" applyNumberFormat="1" applyFont="1" applyFill="1" applyBorder="1" applyAlignment="1">
      <alignment vertical="center"/>
    </xf>
    <xf numFmtId="0" fontId="20" fillId="2" borderId="60" xfId="0" applyFont="1" applyFill="1" applyBorder="1" applyAlignment="1">
      <alignment vertical="center"/>
    </xf>
    <xf numFmtId="41" fontId="0" fillId="0" borderId="0" xfId="0" applyNumberFormat="1" applyFont="1" applyFill="1" applyAlignment="1">
      <alignment vertical="center"/>
    </xf>
    <xf numFmtId="0" fontId="20" fillId="2" borderId="16" xfId="2" applyNumberFormat="1" applyFont="1" applyFill="1" applyBorder="1" applyAlignment="1">
      <alignment vertical="center"/>
    </xf>
    <xf numFmtId="41" fontId="20" fillId="2" borderId="0" xfId="2" applyFont="1" applyFill="1" applyBorder="1" applyAlignment="1">
      <alignment vertical="center" wrapText="1"/>
    </xf>
    <xf numFmtId="0" fontId="20" fillId="2" borderId="0" xfId="2" applyNumberFormat="1" applyFont="1" applyFill="1" applyBorder="1" applyAlignment="1">
      <alignment vertical="center"/>
    </xf>
    <xf numFmtId="41" fontId="20" fillId="2" borderId="0" xfId="2" applyFont="1" applyFill="1" applyBorder="1" applyAlignment="1">
      <alignment horizontal="right" vertical="center" wrapText="1"/>
    </xf>
    <xf numFmtId="0" fontId="20" fillId="2" borderId="0" xfId="0" applyFont="1" applyFill="1" applyBorder="1" applyAlignment="1">
      <alignment horizontal="right" vertical="center"/>
    </xf>
    <xf numFmtId="185" fontId="20" fillId="2" borderId="0" xfId="0" applyNumberFormat="1" applyFont="1" applyFill="1" applyBorder="1" applyAlignment="1">
      <alignment vertical="center"/>
    </xf>
    <xf numFmtId="41" fontId="20" fillId="2" borderId="35" xfId="2" applyFont="1" applyFill="1" applyBorder="1" applyAlignment="1">
      <alignment vertical="center"/>
    </xf>
    <xf numFmtId="185" fontId="0" fillId="2" borderId="0" xfId="2" applyNumberFormat="1" applyFont="1" applyFill="1" applyBorder="1" applyAlignment="1">
      <alignment vertical="center"/>
    </xf>
    <xf numFmtId="3" fontId="0" fillId="2" borderId="0" xfId="0" applyNumberFormat="1" applyFont="1" applyFill="1" applyBorder="1" applyAlignment="1">
      <alignment vertical="center"/>
    </xf>
    <xf numFmtId="177" fontId="20" fillId="2" borderId="12" xfId="2" applyNumberFormat="1" applyFont="1" applyFill="1" applyBorder="1" applyAlignment="1">
      <alignment horizontal="right" vertical="center"/>
    </xf>
    <xf numFmtId="177" fontId="20" fillId="2" borderId="12" xfId="6" applyNumberFormat="1" applyFont="1" applyFill="1" applyBorder="1" applyAlignment="1">
      <alignment horizontal="right" vertical="center"/>
    </xf>
    <xf numFmtId="3" fontId="20" fillId="2" borderId="0" xfId="57073" applyNumberFormat="1" applyFont="1" applyFill="1" applyBorder="1" applyAlignment="1">
      <alignment horizontal="right" vertical="center"/>
    </xf>
    <xf numFmtId="3" fontId="20" fillId="2" borderId="0" xfId="57073" applyNumberFormat="1" applyFont="1" applyFill="1" applyBorder="1" applyAlignment="1">
      <alignment horizontal="left" vertical="center"/>
    </xf>
    <xf numFmtId="3" fontId="20" fillId="2" borderId="0" xfId="57074" applyNumberFormat="1" applyFont="1" applyFill="1" applyBorder="1" applyAlignment="1">
      <alignment vertical="center"/>
    </xf>
    <xf numFmtId="3" fontId="20" fillId="2" borderId="0" xfId="57073" applyNumberFormat="1" applyFont="1" applyFill="1" applyBorder="1" applyAlignment="1">
      <alignment vertical="center"/>
    </xf>
    <xf numFmtId="3" fontId="20" fillId="2" borderId="16" xfId="57077" applyNumberFormat="1" applyFont="1" applyFill="1" applyBorder="1" applyAlignment="1">
      <alignment vertical="center"/>
    </xf>
    <xf numFmtId="3" fontId="20" fillId="2" borderId="0" xfId="57077" applyNumberFormat="1" applyFont="1" applyFill="1" applyBorder="1" applyAlignment="1">
      <alignment vertical="center"/>
    </xf>
    <xf numFmtId="3" fontId="20" fillId="2" borderId="0" xfId="57077" applyNumberFormat="1" applyFont="1" applyFill="1" applyBorder="1" applyAlignment="1">
      <alignment horizontal="right" vertical="center"/>
    </xf>
    <xf numFmtId="3" fontId="20" fillId="2" borderId="0" xfId="57077" applyNumberFormat="1" applyFont="1" applyFill="1" applyBorder="1" applyAlignment="1">
      <alignment horizontal="left" vertical="center"/>
    </xf>
    <xf numFmtId="3" fontId="20" fillId="2" borderId="0" xfId="57078" applyNumberFormat="1" applyFont="1" applyFill="1" applyBorder="1" applyAlignment="1">
      <alignment vertical="center"/>
    </xf>
    <xf numFmtId="3" fontId="20" fillId="2" borderId="16" xfId="57075" applyNumberFormat="1" applyFont="1" applyFill="1" applyBorder="1" applyAlignment="1">
      <alignment vertical="center"/>
    </xf>
    <xf numFmtId="3" fontId="20" fillId="2" borderId="0" xfId="57075" applyNumberFormat="1" applyFont="1" applyFill="1" applyBorder="1" applyAlignment="1">
      <alignment vertical="center"/>
    </xf>
    <xf numFmtId="3" fontId="20" fillId="2" borderId="0" xfId="57075" applyNumberFormat="1" applyFont="1" applyFill="1" applyBorder="1" applyAlignment="1">
      <alignment horizontal="right" vertical="center"/>
    </xf>
    <xf numFmtId="3" fontId="20" fillId="2" borderId="0" xfId="57075" applyNumberFormat="1" applyFont="1" applyFill="1" applyBorder="1" applyAlignment="1">
      <alignment horizontal="left" vertical="center"/>
    </xf>
    <xf numFmtId="3" fontId="20" fillId="2" borderId="0" xfId="57076" applyNumberFormat="1" applyFont="1" applyFill="1" applyBorder="1" applyAlignment="1">
      <alignment vertical="center"/>
    </xf>
    <xf numFmtId="3" fontId="20" fillId="2" borderId="16" xfId="57079" applyNumberFormat="1" applyFont="1" applyFill="1" applyBorder="1" applyAlignment="1">
      <alignment vertical="center"/>
    </xf>
    <xf numFmtId="3" fontId="20" fillId="2" borderId="0" xfId="57079" applyNumberFormat="1" applyFont="1" applyFill="1" applyBorder="1" applyAlignment="1">
      <alignment vertical="center"/>
    </xf>
    <xf numFmtId="3" fontId="20" fillId="2" borderId="0" xfId="57079" applyNumberFormat="1" applyFont="1" applyFill="1" applyBorder="1" applyAlignment="1">
      <alignment horizontal="right" vertical="center"/>
    </xf>
    <xf numFmtId="3" fontId="20" fillId="2" borderId="0" xfId="57079" applyNumberFormat="1" applyFont="1" applyFill="1" applyBorder="1" applyAlignment="1">
      <alignment horizontal="left" vertical="center"/>
    </xf>
    <xf numFmtId="3" fontId="20" fillId="2" borderId="0" xfId="57080" applyNumberFormat="1" applyFont="1" applyFill="1" applyBorder="1" applyAlignment="1">
      <alignment vertical="center"/>
    </xf>
    <xf numFmtId="3" fontId="20" fillId="2" borderId="16" xfId="57081" applyNumberFormat="1" applyFont="1" applyFill="1" applyBorder="1" applyAlignment="1">
      <alignment vertical="center"/>
    </xf>
    <xf numFmtId="3" fontId="20" fillId="2" borderId="0" xfId="57081" applyNumberFormat="1" applyFont="1" applyFill="1" applyBorder="1" applyAlignment="1">
      <alignment vertical="center"/>
    </xf>
    <xf numFmtId="3" fontId="20" fillId="2" borderId="0" xfId="57081" applyNumberFormat="1" applyFont="1" applyFill="1" applyBorder="1" applyAlignment="1">
      <alignment horizontal="right" vertical="center"/>
    </xf>
    <xf numFmtId="3" fontId="20" fillId="2" borderId="0" xfId="57081" applyNumberFormat="1" applyFont="1" applyFill="1" applyBorder="1" applyAlignment="1">
      <alignment horizontal="left" vertical="center"/>
    </xf>
    <xf numFmtId="3" fontId="20" fillId="2" borderId="0" xfId="57082" applyNumberFormat="1" applyFont="1" applyFill="1" applyBorder="1" applyAlignment="1">
      <alignment vertical="center"/>
    </xf>
    <xf numFmtId="3" fontId="20" fillId="2" borderId="16" xfId="57083" applyNumberFormat="1" applyFont="1" applyFill="1" applyBorder="1" applyAlignment="1">
      <alignment vertical="center"/>
    </xf>
    <xf numFmtId="3" fontId="20" fillId="2" borderId="0" xfId="57083" applyNumberFormat="1" applyFont="1" applyFill="1" applyBorder="1" applyAlignment="1">
      <alignment vertical="center"/>
    </xf>
    <xf numFmtId="3" fontId="20" fillId="2" borderId="0" xfId="57083" applyNumberFormat="1" applyFont="1" applyFill="1" applyBorder="1" applyAlignment="1">
      <alignment horizontal="right" vertical="center"/>
    </xf>
    <xf numFmtId="3" fontId="20" fillId="2" borderId="0" xfId="57083" applyNumberFormat="1" applyFont="1" applyFill="1" applyBorder="1" applyAlignment="1">
      <alignment horizontal="left" vertical="center"/>
    </xf>
    <xf numFmtId="3" fontId="20" fillId="2" borderId="0" xfId="57084" applyNumberFormat="1" applyFont="1" applyFill="1" applyBorder="1" applyAlignment="1">
      <alignment vertical="center"/>
    </xf>
    <xf numFmtId="41" fontId="20" fillId="2" borderId="12" xfId="57084" applyFont="1" applyFill="1" applyBorder="1" applyAlignment="1">
      <alignment vertical="center"/>
    </xf>
    <xf numFmtId="3" fontId="20" fillId="2" borderId="2" xfId="57084" applyNumberFormat="1" applyFont="1" applyFill="1" applyBorder="1" applyAlignment="1">
      <alignment vertical="center"/>
    </xf>
    <xf numFmtId="3" fontId="20" fillId="2" borderId="22" xfId="57083" applyNumberFormat="1" applyFont="1" applyFill="1" applyBorder="1" applyAlignment="1">
      <alignment vertical="center"/>
    </xf>
    <xf numFmtId="3" fontId="20" fillId="2" borderId="7" xfId="57083" applyNumberFormat="1" applyFont="1" applyFill="1" applyBorder="1" applyAlignment="1">
      <alignment vertical="center"/>
    </xf>
    <xf numFmtId="3" fontId="20" fillId="2" borderId="7" xfId="57083" applyNumberFormat="1" applyFont="1" applyFill="1" applyBorder="1" applyAlignment="1">
      <alignment horizontal="right" vertical="center"/>
    </xf>
    <xf numFmtId="3" fontId="20" fillId="2" borderId="7" xfId="57083" applyNumberFormat="1" applyFont="1" applyFill="1" applyBorder="1" applyAlignment="1">
      <alignment horizontal="left" vertical="center"/>
    </xf>
    <xf numFmtId="3" fontId="20" fillId="2" borderId="7" xfId="57084" applyNumberFormat="1" applyFont="1" applyFill="1" applyBorder="1" applyAlignment="1">
      <alignment vertical="center"/>
    </xf>
    <xf numFmtId="3" fontId="20" fillId="2" borderId="4" xfId="57084" applyNumberFormat="1" applyFont="1" applyFill="1" applyBorder="1" applyAlignment="1">
      <alignment vertical="center"/>
    </xf>
    <xf numFmtId="3" fontId="20" fillId="2" borderId="31" xfId="6" applyNumberFormat="1" applyFont="1" applyFill="1" applyBorder="1" applyAlignment="1">
      <alignment horizontal="center" vertical="center"/>
    </xf>
    <xf numFmtId="181" fontId="20" fillId="2" borderId="30" xfId="2" applyNumberFormat="1" applyFont="1" applyFill="1" applyBorder="1" applyAlignment="1">
      <alignment vertical="center"/>
    </xf>
    <xf numFmtId="3" fontId="20" fillId="2" borderId="10" xfId="6" applyNumberFormat="1" applyFont="1" applyFill="1" applyBorder="1" applyAlignment="1">
      <alignment vertical="center" shrinkToFit="1"/>
    </xf>
    <xf numFmtId="0" fontId="55" fillId="0" borderId="13" xfId="57071" applyFont="1" applyBorder="1" applyAlignment="1">
      <alignment horizontal="center" vertical="center"/>
    </xf>
    <xf numFmtId="0" fontId="20" fillId="6" borderId="24" xfId="0" applyFont="1" applyFill="1" applyBorder="1" applyAlignment="1">
      <alignment vertical="center"/>
    </xf>
    <xf numFmtId="0" fontId="20" fillId="6" borderId="6" xfId="0" applyFont="1" applyFill="1" applyBorder="1" applyAlignment="1">
      <alignment vertical="center"/>
    </xf>
    <xf numFmtId="0" fontId="0" fillId="6" borderId="0" xfId="0" applyFont="1" applyFill="1" applyBorder="1" applyAlignment="1">
      <alignment vertical="center"/>
    </xf>
    <xf numFmtId="0" fontId="0" fillId="6" borderId="0" xfId="0" applyNumberFormat="1" applyFont="1" applyFill="1" applyBorder="1" applyAlignment="1">
      <alignment vertical="center"/>
    </xf>
    <xf numFmtId="41" fontId="20" fillId="6" borderId="0" xfId="0" applyNumberFormat="1" applyFont="1" applyFill="1" applyBorder="1" applyAlignment="1">
      <alignment horizontal="right" vertical="center"/>
    </xf>
    <xf numFmtId="0" fontId="20" fillId="6" borderId="0" xfId="0" applyNumberFormat="1" applyFont="1" applyFill="1" applyBorder="1" applyAlignment="1">
      <alignment vertical="center"/>
    </xf>
    <xf numFmtId="0" fontId="20" fillId="6" borderId="0" xfId="0" quotePrefix="1" applyFont="1" applyFill="1" applyBorder="1" applyAlignment="1">
      <alignment vertical="center"/>
    </xf>
    <xf numFmtId="3" fontId="20" fillId="6" borderId="2" xfId="2" applyNumberFormat="1" applyFont="1" applyFill="1" applyBorder="1" applyAlignment="1">
      <alignment vertical="center"/>
    </xf>
    <xf numFmtId="0" fontId="20" fillId="6" borderId="16" xfId="0" applyFont="1" applyFill="1" applyBorder="1" applyAlignment="1">
      <alignment vertical="center"/>
    </xf>
    <xf numFmtId="0" fontId="20" fillId="6" borderId="1" xfId="0" applyFont="1" applyFill="1" applyBorder="1" applyAlignment="1">
      <alignment vertical="center"/>
    </xf>
    <xf numFmtId="0" fontId="0" fillId="6" borderId="1" xfId="0" applyFont="1" applyFill="1" applyBorder="1" applyAlignment="1">
      <alignment vertical="center"/>
    </xf>
    <xf numFmtId="0" fontId="0" fillId="6" borderId="1" xfId="0" applyNumberFormat="1" applyFont="1" applyFill="1" applyBorder="1" applyAlignment="1">
      <alignment vertical="center"/>
    </xf>
    <xf numFmtId="41" fontId="20" fillId="6" borderId="1" xfId="0" applyNumberFormat="1" applyFont="1" applyFill="1" applyBorder="1" applyAlignment="1">
      <alignment horizontal="right" vertical="center"/>
    </xf>
    <xf numFmtId="0" fontId="20" fillId="6" borderId="1" xfId="0" applyNumberFormat="1" applyFont="1" applyFill="1" applyBorder="1" applyAlignment="1">
      <alignment vertical="center"/>
    </xf>
    <xf numFmtId="178" fontId="20" fillId="6" borderId="1" xfId="0" applyNumberFormat="1" applyFont="1" applyFill="1" applyBorder="1" applyAlignment="1">
      <alignment vertical="center"/>
    </xf>
    <xf numFmtId="0" fontId="20" fillId="6" borderId="1" xfId="0" quotePrefix="1" applyFont="1" applyFill="1" applyBorder="1" applyAlignment="1">
      <alignment vertical="center"/>
    </xf>
    <xf numFmtId="3" fontId="20" fillId="6" borderId="5" xfId="2" applyNumberFormat="1" applyFont="1" applyFill="1" applyBorder="1" applyAlignment="1">
      <alignment vertical="center"/>
    </xf>
    <xf numFmtId="3" fontId="50" fillId="2" borderId="0" xfId="6" applyNumberFormat="1" applyFont="1" applyFill="1" applyBorder="1" applyAlignment="1">
      <alignment horizontal="left" vertical="center"/>
    </xf>
    <xf numFmtId="0" fontId="69" fillId="0" borderId="0" xfId="57071" applyFont="1" applyAlignment="1">
      <alignment vertical="center"/>
    </xf>
    <xf numFmtId="0" fontId="32" fillId="0" borderId="0" xfId="0" applyFont="1" applyFill="1" applyAlignment="1">
      <alignment horizontal="center"/>
    </xf>
    <xf numFmtId="0" fontId="33" fillId="0" borderId="0" xfId="0" applyFont="1" applyFill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49" fontId="23" fillId="0" borderId="8" xfId="0" applyNumberFormat="1" applyFont="1" applyFill="1" applyBorder="1" applyAlignment="1">
      <alignment horizontal="center" vertical="center"/>
    </xf>
    <xf numFmtId="49" fontId="23" fillId="7" borderId="66" xfId="0" applyNumberFormat="1" applyFont="1" applyFill="1" applyBorder="1" applyAlignment="1">
      <alignment horizontal="center" vertical="center"/>
    </xf>
    <xf numFmtId="49" fontId="23" fillId="7" borderId="51" xfId="0" applyNumberFormat="1" applyFont="1" applyFill="1" applyBorder="1" applyAlignment="1">
      <alignment horizontal="center" vertical="center"/>
    </xf>
    <xf numFmtId="38" fontId="18" fillId="0" borderId="0" xfId="0" applyNumberFormat="1" applyFont="1" applyFill="1" applyBorder="1" applyAlignment="1">
      <alignment horizontal="center" vertical="center"/>
    </xf>
    <xf numFmtId="49" fontId="23" fillId="8" borderId="44" xfId="0" applyNumberFormat="1" applyFont="1" applyFill="1" applyBorder="1" applyAlignment="1">
      <alignment horizontal="center" vertical="center"/>
    </xf>
    <xf numFmtId="49" fontId="23" fillId="8" borderId="45" xfId="0" applyNumberFormat="1" applyFont="1" applyFill="1" applyBorder="1" applyAlignment="1">
      <alignment horizontal="center" vertical="center"/>
    </xf>
    <xf numFmtId="49" fontId="23" fillId="3" borderId="48" xfId="0" applyNumberFormat="1" applyFont="1" applyFill="1" applyBorder="1" applyAlignment="1">
      <alignment horizontal="center" vertical="center"/>
    </xf>
    <xf numFmtId="49" fontId="23" fillId="3" borderId="50" xfId="0" applyNumberFormat="1" applyFont="1" applyFill="1" applyBorder="1" applyAlignment="1">
      <alignment horizontal="center" vertical="center"/>
    </xf>
    <xf numFmtId="49" fontId="23" fillId="0" borderId="24" xfId="0" applyNumberFormat="1" applyFont="1" applyFill="1" applyBorder="1" applyAlignment="1">
      <alignment horizontal="center" vertical="center"/>
    </xf>
    <xf numFmtId="49" fontId="23" fillId="0" borderId="16" xfId="0" applyNumberFormat="1" applyFont="1" applyFill="1" applyBorder="1" applyAlignment="1">
      <alignment horizontal="center" vertical="center"/>
    </xf>
    <xf numFmtId="49" fontId="23" fillId="0" borderId="22" xfId="0" applyNumberFormat="1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 wrapText="1"/>
    </xf>
    <xf numFmtId="49" fontId="23" fillId="8" borderId="13" xfId="0" applyNumberFormat="1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 wrapText="1"/>
    </xf>
    <xf numFmtId="49" fontId="21" fillId="2" borderId="23" xfId="0" applyNumberFormat="1" applyFont="1" applyFill="1" applyBorder="1" applyAlignment="1">
      <alignment horizontal="left" vertical="center"/>
    </xf>
    <xf numFmtId="49" fontId="21" fillId="2" borderId="21" xfId="0" applyNumberFormat="1" applyFont="1" applyFill="1" applyBorder="1" applyAlignment="1">
      <alignment horizontal="left" vertical="center"/>
    </xf>
    <xf numFmtId="0" fontId="21" fillId="2" borderId="22" xfId="0" applyFont="1" applyFill="1" applyBorder="1" applyAlignment="1">
      <alignment horizontal="right" vertical="center"/>
    </xf>
    <xf numFmtId="0" fontId="21" fillId="2" borderId="7" xfId="0" applyFont="1" applyFill="1" applyBorder="1" applyAlignment="1">
      <alignment horizontal="right" vertical="center"/>
    </xf>
    <xf numFmtId="49" fontId="21" fillId="2" borderId="24" xfId="0" applyNumberFormat="1" applyFont="1" applyFill="1" applyBorder="1" applyAlignment="1">
      <alignment horizontal="left" vertical="center" wrapText="1"/>
    </xf>
    <xf numFmtId="49" fontId="21" fillId="2" borderId="6" xfId="0" applyNumberFormat="1" applyFont="1" applyFill="1" applyBorder="1" applyAlignment="1">
      <alignment horizontal="left" vertical="center" wrapText="1"/>
    </xf>
    <xf numFmtId="41" fontId="20" fillId="2" borderId="0" xfId="2" applyFont="1" applyFill="1" applyBorder="1" applyAlignment="1">
      <alignment horizontal="left" vertical="center" wrapText="1"/>
    </xf>
    <xf numFmtId="41" fontId="21" fillId="2" borderId="16" xfId="2" applyFont="1" applyFill="1" applyBorder="1" applyAlignment="1">
      <alignment horizontal="left" vertical="center" shrinkToFit="1"/>
    </xf>
    <xf numFmtId="41" fontId="21" fillId="2" borderId="0" xfId="2" applyFont="1" applyFill="1" applyBorder="1" applyAlignment="1">
      <alignment horizontal="left" vertical="center" shrinkToFit="1"/>
    </xf>
    <xf numFmtId="0" fontId="36" fillId="2" borderId="0" xfId="0" applyNumberFormat="1" applyFont="1" applyFill="1" applyAlignment="1">
      <alignment horizontal="center" vertical="center"/>
    </xf>
    <xf numFmtId="0" fontId="37" fillId="2" borderId="0" xfId="0" applyNumberFormat="1" applyFont="1" applyFill="1" applyAlignment="1">
      <alignment horizontal="center" vertical="center"/>
    </xf>
    <xf numFmtId="0" fontId="21" fillId="2" borderId="48" xfId="0" applyNumberFormat="1" applyFont="1" applyFill="1" applyBorder="1" applyAlignment="1">
      <alignment horizontal="center" vertical="center"/>
    </xf>
    <xf numFmtId="0" fontId="21" fillId="2" borderId="50" xfId="0" applyNumberFormat="1" applyFont="1" applyFill="1" applyBorder="1" applyAlignment="1">
      <alignment horizontal="center" vertical="center"/>
    </xf>
    <xf numFmtId="0" fontId="21" fillId="2" borderId="42" xfId="0" applyNumberFormat="1" applyFont="1" applyFill="1" applyBorder="1" applyAlignment="1">
      <alignment horizontal="center" vertical="center"/>
    </xf>
    <xf numFmtId="0" fontId="21" fillId="2" borderId="38" xfId="0" applyNumberFormat="1" applyFont="1" applyFill="1" applyBorder="1" applyAlignment="1">
      <alignment horizontal="center" vertical="center" wrapText="1"/>
    </xf>
    <xf numFmtId="0" fontId="21" fillId="2" borderId="10" xfId="0" applyNumberFormat="1" applyFont="1" applyFill="1" applyBorder="1" applyAlignment="1">
      <alignment horizontal="center" vertical="center"/>
    </xf>
    <xf numFmtId="177" fontId="21" fillId="2" borderId="38" xfId="2" applyNumberFormat="1" applyFont="1" applyFill="1" applyBorder="1" applyAlignment="1">
      <alignment horizontal="center" vertical="center" wrapText="1"/>
    </xf>
    <xf numFmtId="177" fontId="21" fillId="2" borderId="10" xfId="2" applyNumberFormat="1" applyFont="1" applyFill="1" applyBorder="1" applyAlignment="1">
      <alignment horizontal="center" vertical="center"/>
    </xf>
    <xf numFmtId="177" fontId="21" fillId="2" borderId="55" xfId="0" applyNumberFormat="1" applyFont="1" applyFill="1" applyBorder="1" applyAlignment="1">
      <alignment horizontal="center" vertical="center"/>
    </xf>
    <xf numFmtId="177" fontId="21" fillId="2" borderId="35" xfId="0" applyNumberFormat="1" applyFont="1" applyFill="1" applyBorder="1" applyAlignment="1">
      <alignment horizontal="center" vertical="center"/>
    </xf>
    <xf numFmtId="0" fontId="21" fillId="2" borderId="47" xfId="0" applyNumberFormat="1" applyFont="1" applyFill="1" applyBorder="1" applyAlignment="1">
      <alignment horizontal="center" vertical="center"/>
    </xf>
    <xf numFmtId="0" fontId="21" fillId="2" borderId="43" xfId="0" applyNumberFormat="1" applyFont="1" applyFill="1" applyBorder="1" applyAlignment="1">
      <alignment horizontal="center" vertical="center"/>
    </xf>
    <xf numFmtId="0" fontId="21" fillId="2" borderId="17" xfId="0" applyNumberFormat="1" applyFont="1" applyFill="1" applyBorder="1" applyAlignment="1">
      <alignment horizontal="center" vertical="center"/>
    </xf>
    <xf numFmtId="0" fontId="21" fillId="2" borderId="16" xfId="0" applyNumberFormat="1" applyFont="1" applyFill="1" applyBorder="1" applyAlignment="1">
      <alignment horizontal="center" vertical="center"/>
    </xf>
    <xf numFmtId="0" fontId="21" fillId="2" borderId="0" xfId="0" applyNumberFormat="1" applyFont="1" applyFill="1" applyBorder="1" applyAlignment="1">
      <alignment horizontal="center" vertical="center"/>
    </xf>
    <xf numFmtId="0" fontId="21" fillId="2" borderId="2" xfId="0" applyNumberFormat="1" applyFont="1" applyFill="1" applyBorder="1" applyAlignment="1">
      <alignment horizontal="center" vertical="center"/>
    </xf>
    <xf numFmtId="41" fontId="21" fillId="2" borderId="6" xfId="2" applyFont="1" applyFill="1" applyBorder="1" applyAlignment="1">
      <alignment horizontal="center" vertical="center" wrapText="1"/>
    </xf>
    <xf numFmtId="41" fontId="21" fillId="2" borderId="6" xfId="2" applyFont="1" applyFill="1" applyBorder="1" applyAlignment="1">
      <alignment horizontal="left" vertical="center" shrinkToFit="1"/>
    </xf>
    <xf numFmtId="41" fontId="21" fillId="2" borderId="16" xfId="2" applyFont="1" applyFill="1" applyBorder="1" applyAlignment="1">
      <alignment vertical="center"/>
    </xf>
    <xf numFmtId="41" fontId="21" fillId="2" borderId="0" xfId="2" applyFont="1" applyFill="1" applyBorder="1" applyAlignment="1">
      <alignment vertical="center"/>
    </xf>
    <xf numFmtId="0" fontId="23" fillId="2" borderId="44" xfId="0" applyFont="1" applyFill="1" applyBorder="1" applyAlignment="1">
      <alignment horizontal="left" vertical="center"/>
    </xf>
    <xf numFmtId="0" fontId="23" fillId="2" borderId="45" xfId="0" applyFont="1" applyFill="1" applyBorder="1" applyAlignment="1">
      <alignment horizontal="left" vertical="center"/>
    </xf>
    <xf numFmtId="0" fontId="40" fillId="0" borderId="37" xfId="0" applyFont="1" applyFill="1" applyBorder="1" applyAlignment="1">
      <alignment horizontal="center" vertical="center" wrapText="1"/>
    </xf>
    <xf numFmtId="0" fontId="40" fillId="0" borderId="26" xfId="0" applyFont="1" applyFill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left" vertical="center" wrapText="1"/>
    </xf>
    <xf numFmtId="0" fontId="38" fillId="0" borderId="28" xfId="0" applyFont="1" applyFill="1" applyBorder="1" applyAlignment="1">
      <alignment horizontal="left" vertical="center" wrapText="1"/>
    </xf>
    <xf numFmtId="0" fontId="38" fillId="3" borderId="13" xfId="0" applyFont="1" applyFill="1" applyBorder="1" applyAlignment="1">
      <alignment horizontal="center" vertical="center" wrapText="1"/>
    </xf>
    <xf numFmtId="0" fontId="23" fillId="0" borderId="82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3" fillId="0" borderId="85" xfId="0" applyFont="1" applyFill="1" applyBorder="1" applyAlignment="1">
      <alignment horizontal="center" vertical="center" wrapText="1"/>
    </xf>
    <xf numFmtId="0" fontId="38" fillId="0" borderId="100" xfId="0" applyFont="1" applyFill="1" applyBorder="1" applyAlignment="1">
      <alignment horizontal="left" vertical="center" wrapText="1"/>
    </xf>
    <xf numFmtId="0" fontId="40" fillId="0" borderId="9" xfId="0" applyFont="1" applyFill="1" applyBorder="1" applyAlignment="1">
      <alignment horizontal="center" vertical="center" wrapText="1"/>
    </xf>
    <xf numFmtId="0" fontId="40" fillId="0" borderId="14" xfId="0" applyFont="1" applyFill="1" applyBorder="1" applyAlignment="1">
      <alignment horizontal="center" vertical="center" wrapText="1"/>
    </xf>
    <xf numFmtId="49" fontId="23" fillId="0" borderId="13" xfId="0" applyNumberFormat="1" applyFont="1" applyFill="1" applyBorder="1" applyAlignment="1">
      <alignment horizontal="left" vertical="center"/>
    </xf>
    <xf numFmtId="0" fontId="38" fillId="0" borderId="27" xfId="0" applyFont="1" applyFill="1" applyBorder="1" applyAlignment="1">
      <alignment horizontal="left" vertical="center"/>
    </xf>
    <xf numFmtId="0" fontId="38" fillId="0" borderId="28" xfId="0" applyFont="1" applyFill="1" applyBorder="1" applyAlignment="1">
      <alignment horizontal="left" vertical="center"/>
    </xf>
    <xf numFmtId="0" fontId="38" fillId="0" borderId="52" xfId="0" applyFont="1" applyFill="1" applyBorder="1" applyAlignment="1">
      <alignment horizontal="left" vertical="center" wrapText="1"/>
    </xf>
    <xf numFmtId="0" fontId="38" fillId="0" borderId="37" xfId="0" applyFont="1" applyFill="1" applyBorder="1" applyAlignment="1">
      <alignment horizontal="left" vertical="center" wrapText="1"/>
    </xf>
    <xf numFmtId="0" fontId="23" fillId="3" borderId="18" xfId="0" applyFont="1" applyFill="1" applyBorder="1" applyAlignment="1">
      <alignment horizontal="center" vertical="center"/>
    </xf>
    <xf numFmtId="0" fontId="23" fillId="3" borderId="19" xfId="0" applyFont="1" applyFill="1" applyBorder="1" applyAlignment="1">
      <alignment horizontal="center" vertical="center"/>
    </xf>
    <xf numFmtId="0" fontId="23" fillId="0" borderId="72" xfId="0" applyFont="1" applyFill="1" applyBorder="1" applyAlignment="1">
      <alignment horizontal="center" vertical="center" wrapText="1"/>
    </xf>
    <xf numFmtId="38" fontId="32" fillId="0" borderId="0" xfId="0" applyNumberFormat="1" applyFont="1" applyFill="1" applyBorder="1" applyAlignment="1">
      <alignment horizontal="center" vertical="center"/>
    </xf>
    <xf numFmtId="0" fontId="23" fillId="3" borderId="65" xfId="0" applyFont="1" applyFill="1" applyBorder="1" applyAlignment="1">
      <alignment horizontal="center" vertical="center"/>
    </xf>
    <xf numFmtId="0" fontId="23" fillId="3" borderId="85" xfId="0" applyFont="1" applyFill="1" applyBorder="1" applyAlignment="1">
      <alignment horizontal="center" vertical="center"/>
    </xf>
    <xf numFmtId="49" fontId="23" fillId="3" borderId="69" xfId="0" applyNumberFormat="1" applyFont="1" applyFill="1" applyBorder="1" applyAlignment="1">
      <alignment horizontal="center" vertical="center"/>
    </xf>
    <xf numFmtId="49" fontId="23" fillId="3" borderId="42" xfId="0" applyNumberFormat="1" applyFont="1" applyFill="1" applyBorder="1" applyAlignment="1">
      <alignment horizontal="center" vertical="center"/>
    </xf>
    <xf numFmtId="49" fontId="23" fillId="3" borderId="27" xfId="0" applyNumberFormat="1" applyFont="1" applyFill="1" applyBorder="1" applyAlignment="1">
      <alignment horizontal="center" vertical="center"/>
    </xf>
    <xf numFmtId="49" fontId="23" fillId="3" borderId="28" xfId="0" applyNumberFormat="1" applyFont="1" applyFill="1" applyBorder="1" applyAlignment="1">
      <alignment horizontal="center" vertical="center"/>
    </xf>
    <xf numFmtId="0" fontId="23" fillId="0" borderId="72" xfId="0" applyFont="1" applyFill="1" applyBorder="1" applyAlignment="1">
      <alignment horizontal="center" vertical="center"/>
    </xf>
    <xf numFmtId="49" fontId="23" fillId="0" borderId="27" xfId="0" applyNumberFormat="1" applyFont="1" applyFill="1" applyBorder="1" applyAlignment="1">
      <alignment horizontal="left" vertical="center"/>
    </xf>
    <xf numFmtId="49" fontId="23" fillId="0" borderId="28" xfId="0" applyNumberFormat="1" applyFont="1" applyFill="1" applyBorder="1" applyAlignment="1">
      <alignment horizontal="left" vertical="center"/>
    </xf>
    <xf numFmtId="0" fontId="23" fillId="2" borderId="82" xfId="0" applyFont="1" applyFill="1" applyBorder="1" applyAlignment="1">
      <alignment horizontal="center" vertical="center"/>
    </xf>
    <xf numFmtId="0" fontId="23" fillId="2" borderId="85" xfId="0" applyFont="1" applyFill="1" applyBorder="1" applyAlignment="1">
      <alignment horizontal="center" vertical="center"/>
    </xf>
    <xf numFmtId="0" fontId="40" fillId="0" borderId="21" xfId="0" applyFont="1" applyFill="1" applyBorder="1" applyAlignment="1">
      <alignment horizontal="center" vertical="center" wrapText="1"/>
    </xf>
    <xf numFmtId="38" fontId="18" fillId="2" borderId="0" xfId="0" applyNumberFormat="1" applyFont="1" applyFill="1" applyBorder="1" applyAlignment="1">
      <alignment horizontal="center" vertical="center"/>
    </xf>
    <xf numFmtId="49" fontId="20" fillId="2" borderId="48" xfId="0" applyNumberFormat="1" applyFont="1" applyFill="1" applyBorder="1" applyAlignment="1">
      <alignment horizontal="center" vertical="center"/>
    </xf>
    <xf numFmtId="49" fontId="20" fillId="2" borderId="50" xfId="0" applyNumberFormat="1" applyFont="1" applyFill="1" applyBorder="1" applyAlignment="1">
      <alignment horizontal="center" vertical="center"/>
    </xf>
    <xf numFmtId="49" fontId="20" fillId="2" borderId="42" xfId="0" applyNumberFormat="1" applyFont="1" applyFill="1" applyBorder="1" applyAlignment="1">
      <alignment horizontal="center" vertical="center"/>
    </xf>
    <xf numFmtId="0" fontId="20" fillId="2" borderId="38" xfId="0" applyNumberFormat="1" applyFont="1" applyFill="1" applyBorder="1" applyAlignment="1">
      <alignment horizontal="center" vertical="center" wrapText="1"/>
    </xf>
    <xf numFmtId="0" fontId="20" fillId="2" borderId="25" xfId="0" applyNumberFormat="1" applyFont="1" applyFill="1" applyBorder="1" applyAlignment="1">
      <alignment horizontal="center" vertical="center"/>
    </xf>
    <xf numFmtId="177" fontId="20" fillId="2" borderId="38" xfId="2" applyNumberFormat="1" applyFont="1" applyFill="1" applyBorder="1" applyAlignment="1">
      <alignment horizontal="center" vertical="center" wrapText="1"/>
    </xf>
    <xf numFmtId="177" fontId="20" fillId="2" borderId="25" xfId="2" applyNumberFormat="1" applyFont="1" applyFill="1" applyBorder="1" applyAlignment="1">
      <alignment horizontal="center" vertical="center"/>
    </xf>
    <xf numFmtId="177" fontId="20" fillId="2" borderId="55" xfId="2" applyNumberFormat="1" applyFont="1" applyFill="1" applyBorder="1" applyAlignment="1">
      <alignment horizontal="center" vertical="center"/>
    </xf>
    <xf numFmtId="177" fontId="20" fillId="2" borderId="40" xfId="2" applyNumberFormat="1" applyFont="1" applyFill="1" applyBorder="1" applyAlignment="1">
      <alignment horizontal="center" vertical="center"/>
    </xf>
    <xf numFmtId="49" fontId="20" fillId="2" borderId="47" xfId="0" applyNumberFormat="1" applyFont="1" applyFill="1" applyBorder="1" applyAlignment="1">
      <alignment horizontal="center" vertical="center"/>
    </xf>
    <xf numFmtId="49" fontId="20" fillId="2" borderId="43" xfId="0" applyNumberFormat="1" applyFont="1" applyFill="1" applyBorder="1" applyAlignment="1">
      <alignment horizontal="center" vertical="center"/>
    </xf>
    <xf numFmtId="49" fontId="20" fillId="2" borderId="17" xfId="0" applyNumberFormat="1" applyFont="1" applyFill="1" applyBorder="1" applyAlignment="1">
      <alignment horizontal="center" vertical="center"/>
    </xf>
    <xf numFmtId="49" fontId="20" fillId="2" borderId="20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20" fillId="2" borderId="5" xfId="0" applyNumberFormat="1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horizontal="left" vertical="center" shrinkToFit="1"/>
    </xf>
    <xf numFmtId="0" fontId="20" fillId="2" borderId="28" xfId="0" applyFont="1" applyFill="1" applyBorder="1" applyAlignment="1">
      <alignment horizontal="left" vertical="center" shrinkToFit="1"/>
    </xf>
    <xf numFmtId="0" fontId="22" fillId="2" borderId="44" xfId="0" applyFont="1" applyFill="1" applyBorder="1" applyAlignment="1">
      <alignment horizontal="left" vertical="center"/>
    </xf>
    <xf numFmtId="0" fontId="22" fillId="2" borderId="45" xfId="0" applyFont="1" applyFill="1" applyBorder="1" applyAlignment="1">
      <alignment horizontal="left" vertical="center"/>
    </xf>
    <xf numFmtId="0" fontId="22" fillId="2" borderId="49" xfId="0" applyFont="1" applyFill="1" applyBorder="1" applyAlignment="1">
      <alignment horizontal="left" vertical="center"/>
    </xf>
    <xf numFmtId="3" fontId="20" fillId="2" borderId="30" xfId="6" applyNumberFormat="1" applyFont="1" applyFill="1" applyBorder="1" applyAlignment="1">
      <alignment horizontal="left" vertical="center"/>
    </xf>
    <xf numFmtId="3" fontId="20" fillId="2" borderId="28" xfId="6" applyNumberFormat="1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 shrinkToFit="1"/>
    </xf>
    <xf numFmtId="0" fontId="20" fillId="2" borderId="21" xfId="0" applyFont="1" applyFill="1" applyBorder="1" applyAlignment="1">
      <alignment vertical="center" shrinkToFit="1"/>
    </xf>
    <xf numFmtId="0" fontId="20" fillId="2" borderId="27" xfId="0" applyFont="1" applyFill="1" applyBorder="1" applyAlignment="1">
      <alignment vertical="center" shrinkToFit="1"/>
    </xf>
    <xf numFmtId="0" fontId="20" fillId="2" borderId="28" xfId="0" applyFont="1" applyFill="1" applyBorder="1" applyAlignment="1">
      <alignment vertical="center" shrinkToFit="1"/>
    </xf>
    <xf numFmtId="3" fontId="20" fillId="2" borderId="27" xfId="6" applyNumberFormat="1" applyFont="1" applyFill="1" applyBorder="1" applyAlignment="1">
      <alignment horizontal="left" vertical="center"/>
    </xf>
    <xf numFmtId="3" fontId="20" fillId="2" borderId="27" xfId="0" applyNumberFormat="1" applyFont="1" applyFill="1" applyBorder="1" applyAlignment="1">
      <alignment vertical="center" shrinkToFit="1"/>
    </xf>
    <xf numFmtId="3" fontId="20" fillId="2" borderId="28" xfId="0" applyNumberFormat="1" applyFont="1" applyFill="1" applyBorder="1" applyAlignment="1">
      <alignment vertical="center" shrinkToFit="1"/>
    </xf>
    <xf numFmtId="0" fontId="50" fillId="2" borderId="27" xfId="0" applyFont="1" applyFill="1" applyBorder="1" applyAlignment="1">
      <alignment horizontal="left" vertical="center" shrinkToFit="1"/>
    </xf>
    <xf numFmtId="0" fontId="50" fillId="2" borderId="21" xfId="0" applyFont="1" applyFill="1" applyBorder="1" applyAlignment="1">
      <alignment horizontal="left" vertical="center" shrinkToFit="1"/>
    </xf>
    <xf numFmtId="0" fontId="50" fillId="2" borderId="28" xfId="0" applyFont="1" applyFill="1" applyBorder="1" applyAlignment="1">
      <alignment horizontal="left" vertical="center" shrinkToFit="1"/>
    </xf>
    <xf numFmtId="0" fontId="20" fillId="2" borderId="14" xfId="0" applyFont="1" applyFill="1" applyBorder="1" applyAlignment="1">
      <alignment vertical="center" shrinkToFit="1"/>
    </xf>
    <xf numFmtId="0" fontId="20" fillId="2" borderId="27" xfId="0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left" vertical="center"/>
    </xf>
    <xf numFmtId="38" fontId="56" fillId="2" borderId="0" xfId="6" applyNumberFormat="1" applyFont="1" applyFill="1" applyBorder="1" applyAlignment="1">
      <alignment horizontal="center" vertical="center"/>
    </xf>
    <xf numFmtId="49" fontId="50" fillId="2" borderId="48" xfId="6" applyNumberFormat="1" applyFont="1" applyFill="1" applyBorder="1" applyAlignment="1">
      <alignment horizontal="center" vertical="center"/>
    </xf>
    <xf numFmtId="49" fontId="50" fillId="2" borderId="50" xfId="6" applyNumberFormat="1" applyFont="1" applyFill="1" applyBorder="1" applyAlignment="1">
      <alignment horizontal="center" vertical="center"/>
    </xf>
    <xf numFmtId="49" fontId="50" fillId="2" borderId="42" xfId="6" applyNumberFormat="1" applyFont="1" applyFill="1" applyBorder="1" applyAlignment="1">
      <alignment horizontal="center" vertical="center"/>
    </xf>
    <xf numFmtId="0" fontId="50" fillId="2" borderId="38" xfId="0" applyNumberFormat="1" applyFont="1" applyFill="1" applyBorder="1" applyAlignment="1">
      <alignment horizontal="center" vertical="center" wrapText="1"/>
    </xf>
    <xf numFmtId="0" fontId="50" fillId="2" borderId="25" xfId="0" applyNumberFormat="1" applyFont="1" applyFill="1" applyBorder="1" applyAlignment="1">
      <alignment horizontal="center" vertical="center"/>
    </xf>
    <xf numFmtId="177" fontId="50" fillId="2" borderId="55" xfId="2" applyNumberFormat="1" applyFont="1" applyFill="1" applyBorder="1" applyAlignment="1">
      <alignment horizontal="center" vertical="center"/>
    </xf>
    <xf numFmtId="177" fontId="50" fillId="2" borderId="40" xfId="2" applyNumberFormat="1" applyFont="1" applyFill="1" applyBorder="1" applyAlignment="1">
      <alignment horizontal="center" vertical="center"/>
    </xf>
    <xf numFmtId="49" fontId="50" fillId="2" borderId="47" xfId="6" applyNumberFormat="1" applyFont="1" applyFill="1" applyBorder="1" applyAlignment="1">
      <alignment horizontal="center" vertical="center"/>
    </xf>
    <xf numFmtId="49" fontId="50" fillId="2" borderId="43" xfId="6" applyNumberFormat="1" applyFont="1" applyFill="1" applyBorder="1" applyAlignment="1">
      <alignment horizontal="center" vertical="center"/>
    </xf>
    <xf numFmtId="49" fontId="50" fillId="2" borderId="17" xfId="6" applyNumberFormat="1" applyFont="1" applyFill="1" applyBorder="1" applyAlignment="1">
      <alignment horizontal="center" vertical="center"/>
    </xf>
    <xf numFmtId="49" fontId="50" fillId="2" borderId="20" xfId="6" applyNumberFormat="1" applyFont="1" applyFill="1" applyBorder="1" applyAlignment="1">
      <alignment horizontal="center" vertical="center"/>
    </xf>
    <xf numFmtId="49" fontId="50" fillId="2" borderId="1" xfId="6" applyNumberFormat="1" applyFont="1" applyFill="1" applyBorder="1" applyAlignment="1">
      <alignment horizontal="center" vertical="center"/>
    </xf>
    <xf numFmtId="49" fontId="50" fillId="2" borderId="5" xfId="6" applyNumberFormat="1" applyFont="1" applyFill="1" applyBorder="1" applyAlignment="1">
      <alignment horizontal="center" vertical="center"/>
    </xf>
    <xf numFmtId="3" fontId="53" fillId="2" borderId="44" xfId="6" applyNumberFormat="1" applyFont="1" applyFill="1" applyBorder="1" applyAlignment="1">
      <alignment horizontal="left" vertical="center"/>
    </xf>
    <xf numFmtId="3" fontId="53" fillId="2" borderId="45" xfId="6" applyNumberFormat="1" applyFont="1" applyFill="1" applyBorder="1" applyAlignment="1">
      <alignment horizontal="left" vertical="center"/>
    </xf>
    <xf numFmtId="3" fontId="53" fillId="2" borderId="49" xfId="6" applyNumberFormat="1" applyFont="1" applyFill="1" applyBorder="1" applyAlignment="1">
      <alignment horizontal="left" vertical="center"/>
    </xf>
    <xf numFmtId="3" fontId="50" fillId="2" borderId="16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22" fillId="2" borderId="44" xfId="6" applyNumberFormat="1" applyFont="1" applyFill="1" applyBorder="1" applyAlignment="1">
      <alignment horizontal="center" vertical="center"/>
    </xf>
    <xf numFmtId="3" fontId="22" fillId="2" borderId="45" xfId="6" applyNumberFormat="1" applyFont="1" applyFill="1" applyBorder="1" applyAlignment="1">
      <alignment horizontal="center" vertical="center"/>
    </xf>
    <xf numFmtId="3" fontId="22" fillId="2" borderId="49" xfId="6" applyNumberFormat="1" applyFont="1" applyFill="1" applyBorder="1" applyAlignment="1">
      <alignment horizontal="center" vertical="center"/>
    </xf>
    <xf numFmtId="0" fontId="22" fillId="2" borderId="44" xfId="0" applyFont="1" applyFill="1" applyBorder="1" applyAlignment="1">
      <alignment horizontal="center" vertical="center"/>
    </xf>
    <xf numFmtId="0" fontId="22" fillId="2" borderId="45" xfId="0" applyFont="1" applyFill="1" applyBorder="1" applyAlignment="1">
      <alignment horizontal="center" vertical="center"/>
    </xf>
    <xf numFmtId="0" fontId="22" fillId="2" borderId="49" xfId="0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vertical="center" wrapText="1"/>
    </xf>
    <xf numFmtId="0" fontId="20" fillId="2" borderId="28" xfId="0" applyFont="1" applyFill="1" applyBorder="1" applyAlignment="1">
      <alignment vertical="center" wrapText="1"/>
    </xf>
    <xf numFmtId="0" fontId="20" fillId="2" borderId="13" xfId="0" applyFont="1" applyFill="1" applyBorder="1" applyAlignment="1">
      <alignment horizontal="left" vertical="center" shrinkToFit="1"/>
    </xf>
    <xf numFmtId="38" fontId="18" fillId="2" borderId="0" xfId="6" applyNumberFormat="1" applyFont="1" applyFill="1" applyBorder="1" applyAlignment="1">
      <alignment horizontal="center" vertical="center"/>
    </xf>
    <xf numFmtId="49" fontId="20" fillId="2" borderId="48" xfId="6" applyNumberFormat="1" applyFont="1" applyFill="1" applyBorder="1" applyAlignment="1">
      <alignment horizontal="center" vertical="center"/>
    </xf>
    <xf numFmtId="49" fontId="20" fillId="2" borderId="50" xfId="6" applyNumberFormat="1" applyFont="1" applyFill="1" applyBorder="1" applyAlignment="1">
      <alignment horizontal="center" vertical="center"/>
    </xf>
    <xf numFmtId="49" fontId="20" fillId="2" borderId="42" xfId="6" applyNumberFormat="1" applyFont="1" applyFill="1" applyBorder="1" applyAlignment="1">
      <alignment horizontal="center" vertical="center"/>
    </xf>
    <xf numFmtId="41" fontId="20" fillId="2" borderId="55" xfId="2" applyFont="1" applyFill="1" applyBorder="1" applyAlignment="1">
      <alignment horizontal="center" vertical="center"/>
    </xf>
    <xf numFmtId="41" fontId="20" fillId="2" borderId="40" xfId="2" applyFont="1" applyFill="1" applyBorder="1" applyAlignment="1">
      <alignment horizontal="center" vertical="center"/>
    </xf>
    <xf numFmtId="49" fontId="20" fillId="2" borderId="47" xfId="6" applyNumberFormat="1" applyFont="1" applyFill="1" applyBorder="1" applyAlignment="1">
      <alignment horizontal="center" vertical="center"/>
    </xf>
    <xf numFmtId="49" fontId="20" fillId="2" borderId="43" xfId="6" applyNumberFormat="1" applyFont="1" applyFill="1" applyBorder="1" applyAlignment="1">
      <alignment horizontal="center" vertical="center"/>
    </xf>
    <xf numFmtId="49" fontId="20" fillId="2" borderId="17" xfId="6" applyNumberFormat="1" applyFont="1" applyFill="1" applyBorder="1" applyAlignment="1">
      <alignment horizontal="center" vertical="center"/>
    </xf>
    <xf numFmtId="49" fontId="20" fillId="2" borderId="20" xfId="6" applyNumberFormat="1" applyFont="1" applyFill="1" applyBorder="1" applyAlignment="1">
      <alignment horizontal="center" vertical="center"/>
    </xf>
    <xf numFmtId="49" fontId="20" fillId="2" borderId="1" xfId="6" applyNumberFormat="1" applyFont="1" applyFill="1" applyBorder="1" applyAlignment="1">
      <alignment horizontal="center" vertical="center"/>
    </xf>
    <xf numFmtId="49" fontId="20" fillId="2" borderId="5" xfId="6" applyNumberFormat="1" applyFont="1" applyFill="1" applyBorder="1" applyAlignment="1">
      <alignment horizontal="center" vertical="center"/>
    </xf>
    <xf numFmtId="0" fontId="20" fillId="2" borderId="27" xfId="6" applyFont="1" applyFill="1" applyBorder="1" applyAlignment="1">
      <alignment horizontal="left" vertical="center"/>
    </xf>
    <xf numFmtId="0" fontId="20" fillId="2" borderId="28" xfId="6" applyFont="1" applyFill="1" applyBorder="1" applyAlignment="1">
      <alignment horizontal="left" vertical="center"/>
    </xf>
    <xf numFmtId="0" fontId="20" fillId="2" borderId="94" xfId="0" applyFont="1" applyFill="1" applyBorder="1" applyAlignment="1">
      <alignment vertical="center" shrinkToFit="1"/>
    </xf>
    <xf numFmtId="0" fontId="20" fillId="2" borderId="95" xfId="0" applyFont="1" applyFill="1" applyBorder="1" applyAlignment="1">
      <alignment vertical="center" shrinkToFit="1"/>
    </xf>
    <xf numFmtId="0" fontId="20" fillId="2" borderId="30" xfId="6" applyFont="1" applyFill="1" applyBorder="1" applyAlignment="1">
      <alignment horizontal="left" vertical="center"/>
    </xf>
    <xf numFmtId="0" fontId="0" fillId="2" borderId="27" xfId="0" applyFill="1" applyBorder="1" applyAlignment="1">
      <alignment vertical="center" wrapText="1"/>
    </xf>
    <xf numFmtId="3" fontId="20" fillId="2" borderId="69" xfId="6" applyNumberFormat="1" applyFont="1" applyFill="1" applyBorder="1" applyAlignment="1">
      <alignment horizontal="left" vertical="center"/>
    </xf>
    <xf numFmtId="3" fontId="20" fillId="2" borderId="50" xfId="6" applyNumberFormat="1" applyFont="1" applyFill="1" applyBorder="1" applyAlignment="1">
      <alignment horizontal="left" vertical="center"/>
    </xf>
    <xf numFmtId="3" fontId="20" fillId="2" borderId="42" xfId="6" applyNumberFormat="1" applyFont="1" applyFill="1" applyBorder="1" applyAlignment="1">
      <alignment horizontal="left" vertical="center"/>
    </xf>
    <xf numFmtId="0" fontId="50" fillId="2" borderId="27" xfId="6" applyFont="1" applyFill="1" applyBorder="1" applyAlignment="1">
      <alignment horizontal="left" vertical="center"/>
    </xf>
    <xf numFmtId="0" fontId="50" fillId="2" borderId="28" xfId="6" applyFont="1" applyFill="1" applyBorder="1" applyAlignment="1">
      <alignment horizontal="left" vertical="center"/>
    </xf>
    <xf numFmtId="3" fontId="20" fillId="2" borderId="33" xfId="6" applyNumberFormat="1" applyFont="1" applyFill="1" applyBorder="1" applyAlignment="1">
      <alignment horizontal="left" vertical="center"/>
    </xf>
    <xf numFmtId="0" fontId="20" fillId="2" borderId="21" xfId="0" applyFont="1" applyFill="1" applyBorder="1" applyAlignment="1">
      <alignment horizontal="left" vertical="center" shrinkToFit="1"/>
    </xf>
    <xf numFmtId="0" fontId="20" fillId="2" borderId="13" xfId="0" applyFont="1" applyFill="1" applyBorder="1" applyAlignment="1">
      <alignment horizontal="left" vertical="center"/>
    </xf>
    <xf numFmtId="0" fontId="20" fillId="0" borderId="13" xfId="0" applyFont="1" applyFill="1" applyBorder="1" applyAlignment="1">
      <alignment horizontal="left" vertical="center"/>
    </xf>
    <xf numFmtId="0" fontId="20" fillId="2" borderId="27" xfId="0" applyFont="1" applyFill="1" applyBorder="1" applyAlignment="1">
      <alignment horizontal="left" vertical="center" wrapText="1"/>
    </xf>
    <xf numFmtId="0" fontId="20" fillId="2" borderId="28" xfId="0" applyFont="1" applyFill="1" applyBorder="1" applyAlignment="1">
      <alignment horizontal="left" vertical="center" wrapText="1"/>
    </xf>
    <xf numFmtId="0" fontId="20" fillId="0" borderId="23" xfId="0" applyFont="1" applyFill="1" applyBorder="1" applyAlignment="1">
      <alignment horizontal="left" vertical="center" wrapText="1"/>
    </xf>
    <xf numFmtId="0" fontId="20" fillId="0" borderId="7" xfId="0" applyFont="1" applyFill="1" applyBorder="1" applyAlignment="1">
      <alignment horizontal="left" vertical="center" wrapText="1"/>
    </xf>
    <xf numFmtId="0" fontId="20" fillId="0" borderId="21" xfId="0" applyFont="1" applyFill="1" applyBorder="1" applyAlignment="1">
      <alignment horizontal="left" vertical="center" wrapText="1"/>
    </xf>
    <xf numFmtId="0" fontId="20" fillId="2" borderId="30" xfId="0" applyFont="1" applyFill="1" applyBorder="1" applyAlignment="1">
      <alignment horizontal="left" vertical="center" shrinkToFit="1"/>
    </xf>
    <xf numFmtId="3" fontId="20" fillId="2" borderId="16" xfId="2" applyNumberFormat="1" applyFont="1" applyFill="1" applyBorder="1" applyAlignment="1">
      <alignment horizontal="left" vertical="center"/>
    </xf>
    <xf numFmtId="3" fontId="20" fillId="2" borderId="0" xfId="2" applyNumberFormat="1" applyFont="1" applyFill="1" applyBorder="1" applyAlignment="1">
      <alignment horizontal="left" vertical="center"/>
    </xf>
    <xf numFmtId="3" fontId="50" fillId="2" borderId="16" xfId="0" applyNumberFormat="1" applyFont="1" applyFill="1" applyBorder="1" applyAlignment="1">
      <alignment horizontal="left" vertical="center"/>
    </xf>
    <xf numFmtId="3" fontId="50" fillId="2" borderId="0" xfId="0" applyNumberFormat="1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left" vertical="center" shrinkToFit="1"/>
    </xf>
    <xf numFmtId="0" fontId="20" fillId="2" borderId="30" xfId="0" applyFont="1" applyFill="1" applyBorder="1" applyAlignment="1">
      <alignment horizontal="left" vertical="center" wrapText="1"/>
    </xf>
    <xf numFmtId="0" fontId="20" fillId="2" borderId="30" xfId="0" applyFont="1" applyFill="1" applyBorder="1" applyAlignment="1">
      <alignment horizontal="left" vertical="center"/>
    </xf>
    <xf numFmtId="0" fontId="22" fillId="2" borderId="54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left" vertical="center"/>
    </xf>
    <xf numFmtId="0" fontId="20" fillId="2" borderId="21" xfId="0" applyFont="1" applyFill="1" applyBorder="1" applyAlignment="1">
      <alignment horizontal="left" vertical="center"/>
    </xf>
    <xf numFmtId="0" fontId="50" fillId="2" borderId="27" xfId="0" applyFont="1" applyFill="1" applyBorder="1" applyAlignment="1">
      <alignment horizontal="left" vertical="center"/>
    </xf>
    <xf numFmtId="0" fontId="50" fillId="2" borderId="28" xfId="0" applyFont="1" applyFill="1" applyBorder="1" applyAlignment="1">
      <alignment horizontal="left" vertical="center"/>
    </xf>
    <xf numFmtId="0" fontId="22" fillId="2" borderId="54" xfId="0" applyFont="1" applyFill="1" applyBorder="1" applyAlignment="1">
      <alignment horizontal="left" vertical="center"/>
    </xf>
    <xf numFmtId="0" fontId="22" fillId="2" borderId="23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0" fontId="22" fillId="2" borderId="21" xfId="0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/>
    </xf>
    <xf numFmtId="0" fontId="20" fillId="2" borderId="21" xfId="0" applyFont="1" applyFill="1" applyBorder="1" applyAlignment="1">
      <alignment vertical="center"/>
    </xf>
    <xf numFmtId="0" fontId="20" fillId="2" borderId="27" xfId="0" applyFont="1" applyFill="1" applyBorder="1" applyAlignment="1">
      <alignment vertical="center" wrapText="1" shrinkToFit="1"/>
    </xf>
    <xf numFmtId="0" fontId="20" fillId="2" borderId="30" xfId="0" applyFont="1" applyFill="1" applyBorder="1" applyAlignment="1">
      <alignment vertical="center" shrinkToFit="1"/>
    </xf>
    <xf numFmtId="3" fontId="20" fillId="0" borderId="27" xfId="6" applyNumberFormat="1" applyFont="1" applyFill="1" applyBorder="1" applyAlignment="1">
      <alignment horizontal="left" vertical="center" shrinkToFit="1"/>
    </xf>
    <xf numFmtId="3" fontId="20" fillId="0" borderId="30" xfId="6" applyNumberFormat="1" applyFont="1" applyFill="1" applyBorder="1" applyAlignment="1">
      <alignment horizontal="left" vertical="center" shrinkToFit="1"/>
    </xf>
    <xf numFmtId="3" fontId="20" fillId="0" borderId="28" xfId="6" applyNumberFormat="1" applyFont="1" applyFill="1" applyBorder="1" applyAlignment="1">
      <alignment horizontal="left" vertical="center" shrinkToFit="1"/>
    </xf>
    <xf numFmtId="0" fontId="50" fillId="2" borderId="27" xfId="0" applyFont="1" applyFill="1" applyBorder="1" applyAlignment="1">
      <alignment vertical="center" shrinkToFit="1"/>
    </xf>
    <xf numFmtId="0" fontId="50" fillId="2" borderId="28" xfId="0" applyFont="1" applyFill="1" applyBorder="1" applyAlignment="1">
      <alignment vertical="center" shrinkToFit="1"/>
    </xf>
    <xf numFmtId="0" fontId="20" fillId="2" borderId="16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left" vertical="center" wrapText="1"/>
    </xf>
    <xf numFmtId="3" fontId="20" fillId="2" borderId="7" xfId="6" applyNumberFormat="1" applyFont="1" applyFill="1" applyBorder="1" applyAlignment="1">
      <alignment horizontal="left" vertical="center"/>
    </xf>
    <xf numFmtId="3" fontId="20" fillId="2" borderId="21" xfId="6" applyNumberFormat="1" applyFont="1" applyFill="1" applyBorder="1" applyAlignment="1">
      <alignment horizontal="left" vertical="center"/>
    </xf>
    <xf numFmtId="177" fontId="20" fillId="2" borderId="55" xfId="6" applyNumberFormat="1" applyFont="1" applyFill="1" applyBorder="1" applyAlignment="1">
      <alignment horizontal="center" vertical="center"/>
    </xf>
    <xf numFmtId="177" fontId="20" fillId="2" borderId="40" xfId="6" applyNumberFormat="1" applyFont="1" applyFill="1" applyBorder="1" applyAlignment="1">
      <alignment horizontal="center" vertical="center"/>
    </xf>
    <xf numFmtId="0" fontId="20" fillId="2" borderId="27" xfId="6" applyNumberFormat="1" applyFont="1" applyFill="1" applyBorder="1" applyAlignment="1">
      <alignment vertical="center"/>
    </xf>
    <xf numFmtId="0" fontId="20" fillId="2" borderId="28" xfId="6" applyNumberFormat="1" applyFont="1" applyFill="1" applyBorder="1" applyAlignment="1">
      <alignment vertical="center"/>
    </xf>
    <xf numFmtId="3" fontId="20" fillId="2" borderId="23" xfId="6" applyNumberFormat="1" applyFont="1" applyFill="1" applyBorder="1" applyAlignment="1">
      <alignment horizontal="left" vertical="center"/>
    </xf>
    <xf numFmtId="0" fontId="50" fillId="2" borderId="27" xfId="6" applyNumberFormat="1" applyFont="1" applyFill="1" applyBorder="1" applyAlignment="1">
      <alignment vertical="center"/>
    </xf>
    <xf numFmtId="0" fontId="50" fillId="2" borderId="28" xfId="6" applyNumberFormat="1" applyFont="1" applyFill="1" applyBorder="1" applyAlignment="1">
      <alignment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3" xfId="6" applyNumberFormat="1" applyFont="1" applyFill="1" applyBorder="1" applyAlignment="1">
      <alignment horizontal="left" vertical="center"/>
    </xf>
    <xf numFmtId="3" fontId="20" fillId="2" borderId="27" xfId="0" applyNumberFormat="1" applyFont="1" applyFill="1" applyBorder="1" applyAlignment="1">
      <alignment horizontal="left" vertical="center" shrinkToFit="1"/>
    </xf>
    <xf numFmtId="3" fontId="20" fillId="2" borderId="28" xfId="0" applyNumberFormat="1" applyFont="1" applyFill="1" applyBorder="1" applyAlignment="1">
      <alignment horizontal="left" vertical="center" shrinkToFit="1"/>
    </xf>
    <xf numFmtId="0" fontId="20" fillId="2" borderId="69" xfId="0" applyFont="1" applyFill="1" applyBorder="1" applyAlignment="1">
      <alignment vertical="center"/>
    </xf>
    <xf numFmtId="0" fontId="20" fillId="2" borderId="50" xfId="0" applyFont="1" applyFill="1" applyBorder="1" applyAlignment="1">
      <alignment vertical="center"/>
    </xf>
    <xf numFmtId="0" fontId="20" fillId="2" borderId="42" xfId="0" applyFont="1" applyFill="1" applyBorder="1" applyAlignment="1">
      <alignment vertical="center"/>
    </xf>
    <xf numFmtId="3" fontId="50" fillId="2" borderId="30" xfId="0" applyNumberFormat="1" applyFont="1" applyFill="1" applyBorder="1" applyAlignment="1">
      <alignment horizontal="left" vertical="center" shrinkToFit="1"/>
    </xf>
    <xf numFmtId="3" fontId="50" fillId="2" borderId="28" xfId="0" applyNumberFormat="1" applyFont="1" applyFill="1" applyBorder="1" applyAlignment="1">
      <alignment horizontal="left" vertical="center" shrinkToFit="1"/>
    </xf>
    <xf numFmtId="3" fontId="50" fillId="2" borderId="27" xfId="0" applyNumberFormat="1" applyFont="1" applyFill="1" applyBorder="1" applyAlignment="1">
      <alignment horizontal="left" vertical="center" shrinkToFit="1"/>
    </xf>
    <xf numFmtId="3" fontId="50" fillId="2" borderId="13" xfId="6" applyNumberFormat="1" applyFont="1" applyFill="1" applyBorder="1" applyAlignment="1">
      <alignment horizontal="left" vertical="center"/>
    </xf>
    <xf numFmtId="3" fontId="20" fillId="2" borderId="55" xfId="0" applyNumberFormat="1" applyFont="1" applyFill="1" applyBorder="1" applyAlignment="1">
      <alignment horizontal="center" vertical="center"/>
    </xf>
    <xf numFmtId="3" fontId="20" fillId="2" borderId="40" xfId="0" applyNumberFormat="1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left" vertical="center"/>
    </xf>
    <xf numFmtId="0" fontId="20" fillId="2" borderId="6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27" xfId="0" applyFont="1" applyFill="1" applyBorder="1" applyAlignment="1">
      <alignment horizontal="center" vertical="center" shrinkToFit="1"/>
    </xf>
    <xf numFmtId="0" fontId="20" fillId="2" borderId="28" xfId="0" applyFont="1" applyFill="1" applyBorder="1" applyAlignment="1">
      <alignment horizontal="center" vertical="center" shrinkToFit="1"/>
    </xf>
    <xf numFmtId="0" fontId="50" fillId="2" borderId="16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left" vertical="center"/>
    </xf>
    <xf numFmtId="3" fontId="22" fillId="2" borderId="20" xfId="6" applyNumberFormat="1" applyFont="1" applyFill="1" applyBorder="1" applyAlignment="1">
      <alignment vertical="center"/>
    </xf>
    <xf numFmtId="3" fontId="22" fillId="2" borderId="1" xfId="6" applyNumberFormat="1" applyFont="1" applyFill="1" applyBorder="1" applyAlignment="1">
      <alignment vertical="center"/>
    </xf>
    <xf numFmtId="3" fontId="22" fillId="2" borderId="32" xfId="6" applyNumberFormat="1" applyFont="1" applyFill="1" applyBorder="1" applyAlignment="1">
      <alignment vertical="center"/>
    </xf>
    <xf numFmtId="0" fontId="20" fillId="2" borderId="45" xfId="0" applyFont="1" applyFill="1" applyBorder="1" applyAlignment="1">
      <alignment horizontal="left" vertical="center"/>
    </xf>
    <xf numFmtId="0" fontId="20" fillId="2" borderId="49" xfId="0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/>
    </xf>
    <xf numFmtId="0" fontId="20" fillId="2" borderId="28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16" xfId="0" applyFont="1" applyFill="1" applyBorder="1" applyAlignment="1">
      <alignment vertical="center" shrinkToFit="1"/>
    </xf>
    <xf numFmtId="0" fontId="20" fillId="2" borderId="0" xfId="0" applyFont="1" applyFill="1" applyBorder="1" applyAlignment="1">
      <alignment vertical="center" shrinkToFit="1"/>
    </xf>
    <xf numFmtId="0" fontId="50" fillId="2" borderId="24" xfId="0" applyFont="1" applyFill="1" applyBorder="1" applyAlignment="1">
      <alignment horizontal="left" vertical="center"/>
    </xf>
    <xf numFmtId="0" fontId="50" fillId="2" borderId="6" xfId="0" applyFont="1" applyFill="1" applyBorder="1" applyAlignment="1">
      <alignment horizontal="left" vertical="center"/>
    </xf>
    <xf numFmtId="0" fontId="20" fillId="2" borderId="13" xfId="0" applyFont="1" applyFill="1" applyBorder="1" applyAlignment="1">
      <alignment vertical="center" shrinkToFit="1"/>
    </xf>
    <xf numFmtId="0" fontId="20" fillId="2" borderId="7" xfId="0" applyFont="1" applyFill="1" applyBorder="1" applyAlignment="1">
      <alignment vertical="center" shrinkToFit="1"/>
    </xf>
    <xf numFmtId="0" fontId="50" fillId="2" borderId="30" xfId="0" applyFont="1" applyFill="1" applyBorder="1" applyAlignment="1">
      <alignment vertical="center" shrinkToFit="1"/>
    </xf>
    <xf numFmtId="0" fontId="22" fillId="2" borderId="48" xfId="0" applyFont="1" applyFill="1" applyBorder="1" applyAlignment="1">
      <alignment horizontal="left" vertical="center"/>
    </xf>
    <xf numFmtId="0" fontId="22" fillId="2" borderId="50" xfId="0" applyFont="1" applyFill="1" applyBorder="1" applyAlignment="1">
      <alignment horizontal="left" vertical="center"/>
    </xf>
    <xf numFmtId="0" fontId="22" fillId="2" borderId="42" xfId="0" applyFont="1" applyFill="1" applyBorder="1" applyAlignment="1">
      <alignment horizontal="left" vertical="center"/>
    </xf>
    <xf numFmtId="0" fontId="50" fillId="2" borderId="27" xfId="0" applyFont="1" applyFill="1" applyBorder="1" applyAlignment="1">
      <alignment vertical="center"/>
    </xf>
    <xf numFmtId="0" fontId="50" fillId="2" borderId="30" xfId="0" applyFont="1" applyFill="1" applyBorder="1" applyAlignment="1">
      <alignment vertical="center"/>
    </xf>
    <xf numFmtId="0" fontId="50" fillId="2" borderId="28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vertical="center" shrinkToFit="1"/>
    </xf>
    <xf numFmtId="3" fontId="20" fillId="2" borderId="0" xfId="0" applyNumberFormat="1" applyFont="1" applyFill="1" applyBorder="1" applyAlignment="1">
      <alignment vertical="center" shrinkToFit="1"/>
    </xf>
    <xf numFmtId="177" fontId="20" fillId="2" borderId="55" xfId="0" applyNumberFormat="1" applyFont="1" applyFill="1" applyBorder="1" applyAlignment="1">
      <alignment horizontal="center" vertical="center"/>
    </xf>
    <xf numFmtId="177" fontId="20" fillId="2" borderId="40" xfId="0" applyNumberFormat="1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left" vertical="center"/>
    </xf>
    <xf numFmtId="0" fontId="0" fillId="2" borderId="42" xfId="0" applyFont="1" applyFill="1" applyBorder="1" applyAlignment="1">
      <alignment horizontal="center" vertical="center"/>
    </xf>
    <xf numFmtId="0" fontId="20" fillId="2" borderId="101" xfId="0" applyFont="1" applyFill="1" applyBorder="1" applyAlignment="1">
      <alignment horizontal="left" vertical="center" shrinkToFit="1"/>
    </xf>
    <xf numFmtId="0" fontId="20" fillId="2" borderId="51" xfId="0" applyFont="1" applyFill="1" applyBorder="1" applyAlignment="1">
      <alignment horizontal="left" vertical="center" shrinkToFit="1"/>
    </xf>
    <xf numFmtId="3" fontId="20" fillId="2" borderId="16" xfId="0" applyNumberFormat="1" applyFont="1" applyFill="1" applyBorder="1" applyAlignment="1">
      <alignment horizontal="left" vertical="center" wrapText="1"/>
    </xf>
    <xf numFmtId="3" fontId="20" fillId="2" borderId="0" xfId="0" applyNumberFormat="1" applyFont="1" applyFill="1" applyBorder="1" applyAlignment="1">
      <alignment horizontal="left" vertical="center" wrapText="1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20" fillId="2" borderId="9" xfId="0" applyFont="1" applyFill="1" applyBorder="1" applyAlignment="1">
      <alignment horizontal="left" vertical="center" wrapText="1"/>
    </xf>
    <xf numFmtId="0" fontId="0" fillId="2" borderId="21" xfId="0" applyFont="1" applyFill="1" applyBorder="1" applyAlignment="1">
      <alignment vertical="center" shrinkToFit="1"/>
    </xf>
    <xf numFmtId="0" fontId="0" fillId="2" borderId="28" xfId="0" applyFont="1" applyFill="1" applyBorder="1" applyAlignment="1">
      <alignment vertical="center"/>
    </xf>
    <xf numFmtId="49" fontId="21" fillId="2" borderId="47" xfId="0" applyNumberFormat="1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left" vertical="center" shrinkToFit="1"/>
    </xf>
    <xf numFmtId="177" fontId="20" fillId="2" borderId="17" xfId="0" applyNumberFormat="1" applyFont="1" applyFill="1" applyBorder="1" applyAlignment="1">
      <alignment horizontal="center" vertical="center"/>
    </xf>
    <xf numFmtId="177" fontId="20" fillId="2" borderId="5" xfId="0" applyNumberFormat="1" applyFont="1" applyFill="1" applyBorder="1" applyAlignment="1">
      <alignment horizontal="center" vertical="center"/>
    </xf>
    <xf numFmtId="49" fontId="21" fillId="2" borderId="43" xfId="0" applyNumberFormat="1" applyFont="1" applyFill="1" applyBorder="1" applyAlignment="1">
      <alignment horizontal="center" vertical="center"/>
    </xf>
    <xf numFmtId="49" fontId="21" fillId="2" borderId="17" xfId="0" applyNumberFormat="1" applyFont="1" applyFill="1" applyBorder="1" applyAlignment="1">
      <alignment horizontal="center" vertical="center"/>
    </xf>
    <xf numFmtId="49" fontId="21" fillId="2" borderId="20" xfId="0" applyNumberFormat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49" fontId="21" fillId="2" borderId="5" xfId="0" applyNumberFormat="1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left" vertical="center" shrinkToFit="1"/>
    </xf>
    <xf numFmtId="0" fontId="20" fillId="2" borderId="7" xfId="0" applyFont="1" applyFill="1" applyBorder="1" applyAlignment="1">
      <alignment horizontal="left" vertical="center" shrinkToFit="1"/>
    </xf>
    <xf numFmtId="195" fontId="20" fillId="2" borderId="16" xfId="0" applyNumberFormat="1" applyFont="1" applyFill="1" applyBorder="1" applyAlignment="1">
      <alignment horizontal="left" vertical="center" wrapText="1"/>
    </xf>
    <xf numFmtId="195" fontId="20" fillId="2" borderId="0" xfId="0" applyNumberFormat="1" applyFont="1" applyFill="1" applyBorder="1" applyAlignment="1">
      <alignment horizontal="left" vertical="center" wrapText="1"/>
    </xf>
    <xf numFmtId="195" fontId="50" fillId="2" borderId="16" xfId="0" applyNumberFormat="1" applyFont="1" applyFill="1" applyBorder="1" applyAlignment="1">
      <alignment horizontal="left" vertical="center" wrapText="1"/>
    </xf>
    <xf numFmtId="195" fontId="50" fillId="2" borderId="0" xfId="0" applyNumberFormat="1" applyFont="1" applyFill="1" applyBorder="1" applyAlignment="1">
      <alignment horizontal="left" vertical="center" wrapText="1"/>
    </xf>
    <xf numFmtId="0" fontId="20" fillId="0" borderId="101" xfId="0" applyFont="1" applyFill="1" applyBorder="1" applyAlignment="1">
      <alignment vertical="center" shrinkToFit="1"/>
    </xf>
    <xf numFmtId="0" fontId="20" fillId="0" borderId="51" xfId="0" applyFont="1" applyFill="1" applyBorder="1" applyAlignment="1">
      <alignment vertical="center" shrinkToFit="1"/>
    </xf>
    <xf numFmtId="0" fontId="50" fillId="2" borderId="23" xfId="0" applyFont="1" applyFill="1" applyBorder="1" applyAlignment="1">
      <alignment vertical="center"/>
    </xf>
    <xf numFmtId="0" fontId="50" fillId="2" borderId="21" xfId="0" applyFont="1" applyFill="1" applyBorder="1" applyAlignment="1">
      <alignment vertical="center"/>
    </xf>
    <xf numFmtId="0" fontId="20" fillId="0" borderId="27" xfId="0" applyFont="1" applyFill="1" applyBorder="1" applyAlignment="1">
      <alignment vertical="center"/>
    </xf>
    <xf numFmtId="0" fontId="20" fillId="0" borderId="7" xfId="0" applyFont="1" applyFill="1" applyBorder="1" applyAlignment="1">
      <alignment vertical="center"/>
    </xf>
    <xf numFmtId="0" fontId="20" fillId="0" borderId="21" xfId="0" applyFont="1" applyFill="1" applyBorder="1" applyAlignment="1">
      <alignment vertical="center"/>
    </xf>
    <xf numFmtId="0" fontId="20" fillId="0" borderId="23" xfId="0" applyFont="1" applyFill="1" applyBorder="1" applyAlignment="1">
      <alignment vertical="center" shrinkToFit="1"/>
    </xf>
    <xf numFmtId="0" fontId="20" fillId="0" borderId="21" xfId="0" applyFont="1" applyFill="1" applyBorder="1" applyAlignment="1">
      <alignment vertical="center" shrinkToFit="1"/>
    </xf>
    <xf numFmtId="0" fontId="20" fillId="0" borderId="30" xfId="0" applyFont="1" applyFill="1" applyBorder="1" applyAlignment="1">
      <alignment vertical="center"/>
    </xf>
    <xf numFmtId="0" fontId="20" fillId="0" borderId="28" xfId="0" applyFont="1" applyFill="1" applyBorder="1" applyAlignment="1">
      <alignment vertical="center"/>
    </xf>
    <xf numFmtId="0" fontId="20" fillId="0" borderId="106" xfId="0" applyFont="1" applyFill="1" applyBorder="1" applyAlignment="1">
      <alignment horizontal="left" vertical="center"/>
    </xf>
    <xf numFmtId="0" fontId="20" fillId="0" borderId="95" xfId="0" applyFont="1" applyFill="1" applyBorder="1" applyAlignment="1">
      <alignment horizontal="left" vertical="center"/>
    </xf>
    <xf numFmtId="0" fontId="20" fillId="0" borderId="27" xfId="0" applyFont="1" applyFill="1" applyBorder="1" applyAlignment="1">
      <alignment horizontal="left" vertical="center"/>
    </xf>
    <xf numFmtId="0" fontId="20" fillId="0" borderId="28" xfId="0" applyFont="1" applyFill="1" applyBorder="1" applyAlignment="1">
      <alignment horizontal="left" vertical="center"/>
    </xf>
    <xf numFmtId="195" fontId="20" fillId="2" borderId="24" xfId="0" applyNumberFormat="1" applyFont="1" applyFill="1" applyBorder="1" applyAlignment="1">
      <alignment horizontal="left" vertical="center" wrapText="1"/>
    </xf>
    <xf numFmtId="195" fontId="20" fillId="2" borderId="6" xfId="0" applyNumberFormat="1" applyFont="1" applyFill="1" applyBorder="1" applyAlignment="1">
      <alignment horizontal="left" vertical="center" wrapText="1"/>
    </xf>
    <xf numFmtId="195" fontId="20" fillId="2" borderId="22" xfId="0" applyNumberFormat="1" applyFont="1" applyFill="1" applyBorder="1" applyAlignment="1">
      <alignment horizontal="left" vertical="center" wrapText="1"/>
    </xf>
    <xf numFmtId="195" fontId="20" fillId="2" borderId="7" xfId="0" applyNumberFormat="1" applyFont="1" applyFill="1" applyBorder="1" applyAlignment="1">
      <alignment horizontal="left" vertical="center" wrapText="1"/>
    </xf>
    <xf numFmtId="0" fontId="20" fillId="0" borderId="30" xfId="0" applyFont="1" applyFill="1" applyBorder="1" applyAlignment="1">
      <alignment horizontal="left" vertical="center"/>
    </xf>
    <xf numFmtId="195" fontId="0" fillId="2" borderId="6" xfId="0" applyNumberFormat="1" applyFont="1" applyFill="1" applyBorder="1" applyAlignment="1">
      <alignment vertical="center"/>
    </xf>
    <xf numFmtId="195" fontId="0" fillId="2" borderId="0" xfId="0" applyNumberFormat="1" applyFont="1" applyFill="1" applyBorder="1" applyAlignment="1">
      <alignment vertical="center"/>
    </xf>
    <xf numFmtId="195" fontId="0" fillId="2" borderId="7" xfId="0" applyNumberFormat="1" applyFont="1" applyFill="1" applyBorder="1" applyAlignment="1">
      <alignment vertical="center"/>
    </xf>
    <xf numFmtId="0" fontId="20" fillId="2" borderId="7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0" fillId="0" borderId="27" xfId="0" applyFont="1" applyFill="1" applyBorder="1" applyAlignment="1">
      <alignment horizontal="left" vertical="center" shrinkToFit="1"/>
    </xf>
    <xf numFmtId="0" fontId="20" fillId="0" borderId="28" xfId="0" applyFont="1" applyFill="1" applyBorder="1" applyAlignment="1">
      <alignment horizontal="left" vertical="center" shrinkToFit="1"/>
    </xf>
    <xf numFmtId="0" fontId="20" fillId="0" borderId="7" xfId="0" applyFont="1" applyFill="1" applyBorder="1" applyAlignment="1">
      <alignment horizontal="left" vertical="center"/>
    </xf>
    <xf numFmtId="0" fontId="20" fillId="0" borderId="21" xfId="0" applyFont="1" applyFill="1" applyBorder="1" applyAlignment="1">
      <alignment horizontal="left" vertical="center"/>
    </xf>
    <xf numFmtId="195" fontId="20" fillId="2" borderId="16" xfId="0" applyNumberFormat="1" applyFont="1" applyFill="1" applyBorder="1" applyAlignment="1">
      <alignment horizontal="left" vertical="center" shrinkToFit="1"/>
    </xf>
    <xf numFmtId="195" fontId="20" fillId="2" borderId="0" xfId="0" applyNumberFormat="1" applyFont="1" applyFill="1" applyBorder="1" applyAlignment="1">
      <alignment horizontal="left" vertical="center" shrinkToFit="1"/>
    </xf>
    <xf numFmtId="0" fontId="22" fillId="0" borderId="54" xfId="0" applyFont="1" applyFill="1" applyBorder="1" applyAlignment="1">
      <alignment horizontal="center" vertical="center"/>
    </xf>
    <xf numFmtId="0" fontId="22" fillId="0" borderId="45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50" fillId="0" borderId="27" xfId="0" applyFont="1" applyFill="1" applyBorder="1" applyAlignment="1">
      <alignment horizontal="left" vertical="center"/>
    </xf>
    <xf numFmtId="0" fontId="50" fillId="0" borderId="28" xfId="0" applyFont="1" applyFill="1" applyBorder="1" applyAlignment="1">
      <alignment horizontal="left" vertical="center"/>
    </xf>
    <xf numFmtId="195" fontId="20" fillId="2" borderId="29" xfId="0" applyNumberFormat="1" applyFont="1" applyFill="1" applyBorder="1" applyAlignment="1">
      <alignment horizontal="left" vertical="center" wrapText="1"/>
    </xf>
    <xf numFmtId="195" fontId="20" fillId="2" borderId="30" xfId="0" applyNumberFormat="1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/>
    </xf>
    <xf numFmtId="0" fontId="53" fillId="2" borderId="7" xfId="0" applyFont="1" applyFill="1" applyBorder="1" applyAlignment="1">
      <alignment horizontal="left" vertical="center"/>
    </xf>
    <xf numFmtId="0" fontId="53" fillId="2" borderId="21" xfId="0" applyFont="1" applyFill="1" applyBorder="1" applyAlignment="1">
      <alignment horizontal="left" vertical="center"/>
    </xf>
    <xf numFmtId="0" fontId="36" fillId="0" borderId="0" xfId="0" applyNumberFormat="1" applyFont="1" applyFill="1" applyAlignment="1">
      <alignment horizontal="center" vertical="center"/>
    </xf>
    <xf numFmtId="0" fontId="37" fillId="0" borderId="0" xfId="0" applyNumberFormat="1" applyFont="1" applyFill="1" applyAlignment="1">
      <alignment horizontal="center" vertical="center"/>
    </xf>
    <xf numFmtId="0" fontId="60" fillId="0" borderId="0" xfId="0" applyNumberFormat="1" applyFont="1" applyFill="1" applyAlignment="1">
      <alignment horizontal="center" vertical="center"/>
    </xf>
    <xf numFmtId="0" fontId="21" fillId="0" borderId="48" xfId="0" applyNumberFormat="1" applyFont="1" applyFill="1" applyBorder="1" applyAlignment="1">
      <alignment horizontal="center" vertical="center"/>
    </xf>
    <xf numFmtId="0" fontId="21" fillId="0" borderId="50" xfId="0" applyNumberFormat="1" applyFont="1" applyFill="1" applyBorder="1" applyAlignment="1">
      <alignment horizontal="center" vertical="center"/>
    </xf>
    <xf numFmtId="0" fontId="21" fillId="0" borderId="42" xfId="0" applyNumberFormat="1" applyFont="1" applyFill="1" applyBorder="1" applyAlignment="1">
      <alignment horizontal="center" vertical="center"/>
    </xf>
    <xf numFmtId="0" fontId="21" fillId="0" borderId="38" xfId="0" applyNumberFormat="1" applyFont="1" applyFill="1" applyBorder="1" applyAlignment="1">
      <alignment horizontal="center" vertical="center" wrapText="1"/>
    </xf>
    <xf numFmtId="0" fontId="21" fillId="0" borderId="10" xfId="0" applyNumberFormat="1" applyFont="1" applyFill="1" applyBorder="1" applyAlignment="1">
      <alignment horizontal="center" vertical="center"/>
    </xf>
    <xf numFmtId="177" fontId="21" fillId="0" borderId="38" xfId="2" applyNumberFormat="1" applyFont="1" applyFill="1" applyBorder="1" applyAlignment="1">
      <alignment horizontal="center" vertical="center" wrapText="1"/>
    </xf>
    <xf numFmtId="177" fontId="21" fillId="0" borderId="10" xfId="2" applyNumberFormat="1" applyFont="1" applyFill="1" applyBorder="1" applyAlignment="1">
      <alignment horizontal="center" vertical="center"/>
    </xf>
    <xf numFmtId="177" fontId="21" fillId="0" borderId="55" xfId="0" applyNumberFormat="1" applyFont="1" applyFill="1" applyBorder="1" applyAlignment="1">
      <alignment horizontal="center" vertical="center"/>
    </xf>
    <xf numFmtId="177" fontId="21" fillId="0" borderId="35" xfId="0" applyNumberFormat="1" applyFont="1" applyFill="1" applyBorder="1" applyAlignment="1">
      <alignment horizontal="center" vertical="center"/>
    </xf>
    <xf numFmtId="0" fontId="21" fillId="0" borderId="47" xfId="0" applyNumberFormat="1" applyFont="1" applyFill="1" applyBorder="1" applyAlignment="1">
      <alignment horizontal="center" vertical="center"/>
    </xf>
    <xf numFmtId="0" fontId="21" fillId="0" borderId="43" xfId="0" applyNumberFormat="1" applyFont="1" applyFill="1" applyBorder="1" applyAlignment="1">
      <alignment horizontal="center" vertical="center"/>
    </xf>
    <xf numFmtId="0" fontId="21" fillId="0" borderId="17" xfId="0" applyNumberFormat="1" applyFont="1" applyFill="1" applyBorder="1" applyAlignment="1">
      <alignment horizontal="center" vertical="center"/>
    </xf>
    <xf numFmtId="0" fontId="21" fillId="0" borderId="16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vertical="center" wrapText="1"/>
    </xf>
    <xf numFmtId="0" fontId="20" fillId="2" borderId="37" xfId="0" applyFont="1" applyFill="1" applyBorder="1" applyAlignment="1">
      <alignment vertical="center" wrapText="1"/>
    </xf>
    <xf numFmtId="3" fontId="20" fillId="6" borderId="27" xfId="6" applyNumberFormat="1" applyFont="1" applyFill="1" applyBorder="1" applyAlignment="1">
      <alignment horizontal="left" vertical="center"/>
    </xf>
    <xf numFmtId="3" fontId="20" fillId="6" borderId="30" xfId="6" applyNumberFormat="1" applyFont="1" applyFill="1" applyBorder="1" applyAlignment="1">
      <alignment horizontal="left" vertical="center"/>
    </xf>
    <xf numFmtId="3" fontId="20" fillId="6" borderId="28" xfId="6" applyNumberFormat="1" applyFont="1" applyFill="1" applyBorder="1" applyAlignment="1">
      <alignment horizontal="left" vertical="center"/>
    </xf>
    <xf numFmtId="0" fontId="20" fillId="6" borderId="27" xfId="0" applyFont="1" applyFill="1" applyBorder="1" applyAlignment="1">
      <alignment horizontal="left" vertical="center" shrinkToFit="1"/>
    </xf>
    <xf numFmtId="0" fontId="20" fillId="6" borderId="28" xfId="0" applyFont="1" applyFill="1" applyBorder="1" applyAlignment="1">
      <alignment horizontal="left" vertical="center" shrinkToFit="1"/>
    </xf>
    <xf numFmtId="3" fontId="20" fillId="2" borderId="31" xfId="6" applyNumberFormat="1" applyFont="1" applyFill="1" applyBorder="1" applyAlignment="1">
      <alignment horizontal="left" vertical="center"/>
    </xf>
    <xf numFmtId="3" fontId="20" fillId="2" borderId="26" xfId="6" applyNumberFormat="1" applyFont="1" applyFill="1" applyBorder="1" applyAlignment="1">
      <alignment horizontal="left" vertical="center"/>
    </xf>
    <xf numFmtId="0" fontId="20" fillId="6" borderId="52" xfId="0" applyFont="1" applyFill="1" applyBorder="1" applyAlignment="1">
      <alignment horizontal="left" vertical="center" shrinkToFit="1"/>
    </xf>
    <xf numFmtId="0" fontId="20" fillId="6" borderId="37" xfId="0" applyFont="1" applyFill="1" applyBorder="1" applyAlignment="1">
      <alignment horizontal="left" vertical="center" shrinkToFit="1"/>
    </xf>
    <xf numFmtId="3" fontId="50" fillId="2" borderId="27" xfId="6" applyNumberFormat="1" applyFont="1" applyFill="1" applyBorder="1" applyAlignment="1">
      <alignment horizontal="left" vertical="center"/>
    </xf>
    <xf numFmtId="3" fontId="50" fillId="2" borderId="30" xfId="6" applyNumberFormat="1" applyFont="1" applyFill="1" applyBorder="1" applyAlignment="1">
      <alignment horizontal="left" vertical="center"/>
    </xf>
    <xf numFmtId="3" fontId="50" fillId="2" borderId="28" xfId="6" applyNumberFormat="1" applyFont="1" applyFill="1" applyBorder="1" applyAlignment="1">
      <alignment horizontal="left" vertical="center"/>
    </xf>
    <xf numFmtId="3" fontId="20" fillId="2" borderId="37" xfId="0" applyNumberFormat="1" applyFont="1" applyFill="1" applyBorder="1" applyAlignment="1">
      <alignment horizontal="left" vertical="center" shrinkToFit="1"/>
    </xf>
    <xf numFmtId="0" fontId="50" fillId="6" borderId="23" xfId="0" applyFont="1" applyFill="1" applyBorder="1" applyAlignment="1">
      <alignment horizontal="left" vertical="center"/>
    </xf>
    <xf numFmtId="0" fontId="50" fillId="6" borderId="7" xfId="0" applyFont="1" applyFill="1" applyBorder="1" applyAlignment="1">
      <alignment horizontal="left" vertical="center"/>
    </xf>
    <xf numFmtId="0" fontId="20" fillId="6" borderId="7" xfId="0" applyFont="1" applyFill="1" applyBorder="1" applyAlignment="1">
      <alignment horizontal="left" vertical="center" shrinkToFit="1"/>
    </xf>
    <xf numFmtId="0" fontId="20" fillId="6" borderId="21" xfId="0" applyFont="1" applyFill="1" applyBorder="1" applyAlignment="1">
      <alignment horizontal="left" vertical="center" shrinkToFit="1"/>
    </xf>
    <xf numFmtId="3" fontId="22" fillId="2" borderId="39" xfId="6" applyNumberFormat="1" applyFont="1" applyFill="1" applyBorder="1" applyAlignment="1">
      <alignment horizontal="left" vertical="center"/>
    </xf>
    <xf numFmtId="0" fontId="20" fillId="2" borderId="13" xfId="0" applyFont="1" applyFill="1" applyBorder="1" applyAlignment="1">
      <alignment horizontal="left" vertical="center" wrapText="1"/>
    </xf>
    <xf numFmtId="0" fontId="20" fillId="2" borderId="13" xfId="0" applyFont="1" applyFill="1" applyBorder="1"/>
    <xf numFmtId="0" fontId="50" fillId="2" borderId="13" xfId="0" applyFont="1" applyFill="1" applyBorder="1" applyAlignment="1">
      <alignment horizontal="left" vertical="center" wrapText="1"/>
    </xf>
    <xf numFmtId="3" fontId="20" fillId="2" borderId="14" xfId="6" applyNumberFormat="1" applyFont="1" applyFill="1" applyBorder="1" applyAlignment="1">
      <alignment horizontal="left" vertical="center"/>
    </xf>
    <xf numFmtId="0" fontId="20" fillId="2" borderId="14" xfId="0" applyFont="1" applyFill="1" applyBorder="1" applyAlignment="1">
      <alignment horizontal="left" vertical="center" shrinkToFit="1"/>
    </xf>
    <xf numFmtId="3" fontId="20" fillId="2" borderId="10" xfId="6" applyNumberFormat="1" applyFont="1" applyFill="1" applyBorder="1" applyAlignment="1">
      <alignment horizontal="center" vertical="center"/>
    </xf>
    <xf numFmtId="3" fontId="20" fillId="2" borderId="25" xfId="6" applyNumberFormat="1" applyFont="1" applyFill="1" applyBorder="1" applyAlignment="1">
      <alignment horizontal="center" vertical="center"/>
    </xf>
    <xf numFmtId="0" fontId="50" fillId="0" borderId="27" xfId="0" applyFont="1" applyFill="1" applyBorder="1" applyAlignment="1">
      <alignment horizontal="left" vertical="center" shrinkToFit="1"/>
    </xf>
    <xf numFmtId="0" fontId="50" fillId="0" borderId="28" xfId="0" applyFont="1" applyFill="1" applyBorder="1" applyAlignment="1">
      <alignment horizontal="left" vertical="center" shrinkToFit="1"/>
    </xf>
    <xf numFmtId="0" fontId="50" fillId="0" borderId="30" xfId="0" applyFont="1" applyFill="1" applyBorder="1" applyAlignment="1">
      <alignment horizontal="left" vertical="center" shrinkToFit="1"/>
    </xf>
    <xf numFmtId="0" fontId="20" fillId="0" borderId="23" xfId="0" applyFont="1" applyFill="1" applyBorder="1" applyAlignment="1">
      <alignment horizontal="left" vertical="center" shrinkToFit="1"/>
    </xf>
    <xf numFmtId="0" fontId="20" fillId="0" borderId="21" xfId="0" applyFont="1" applyFill="1" applyBorder="1" applyAlignment="1">
      <alignment horizontal="left" vertical="center" shrinkToFit="1"/>
    </xf>
    <xf numFmtId="3" fontId="20" fillId="0" borderId="30" xfId="6" applyNumberFormat="1" applyFont="1" applyFill="1" applyBorder="1" applyAlignment="1">
      <alignment horizontal="left" vertical="center"/>
    </xf>
    <xf numFmtId="3" fontId="20" fillId="0" borderId="28" xfId="6" applyNumberFormat="1" applyFont="1" applyFill="1" applyBorder="1" applyAlignment="1">
      <alignment horizontal="left" vertical="center"/>
    </xf>
    <xf numFmtId="0" fontId="20" fillId="0" borderId="52" xfId="0" applyFont="1" applyFill="1" applyBorder="1" applyAlignment="1">
      <alignment vertical="center" wrapText="1"/>
    </xf>
    <xf numFmtId="0" fontId="20" fillId="0" borderId="37" xfId="0" applyFont="1" applyFill="1" applyBorder="1" applyAlignment="1">
      <alignment vertical="center" wrapText="1"/>
    </xf>
    <xf numFmtId="3" fontId="20" fillId="0" borderId="23" xfId="6" applyNumberFormat="1" applyFont="1" applyFill="1" applyBorder="1" applyAlignment="1">
      <alignment horizontal="left" vertical="center"/>
    </xf>
    <xf numFmtId="3" fontId="20" fillId="0" borderId="7" xfId="6" applyNumberFormat="1" applyFont="1" applyFill="1" applyBorder="1" applyAlignment="1">
      <alignment horizontal="left" vertical="center"/>
    </xf>
    <xf numFmtId="3" fontId="20" fillId="0" borderId="21" xfId="6" applyNumberFormat="1" applyFont="1" applyFill="1" applyBorder="1" applyAlignment="1">
      <alignment horizontal="left" vertical="center"/>
    </xf>
    <xf numFmtId="0" fontId="20" fillId="0" borderId="27" xfId="0" applyFont="1" applyFill="1" applyBorder="1" applyAlignment="1">
      <alignment vertical="center" wrapText="1"/>
    </xf>
    <xf numFmtId="0" fontId="20" fillId="0" borderId="28" xfId="0" applyFont="1" applyFill="1" applyBorder="1" applyAlignment="1">
      <alignment vertical="center" wrapText="1"/>
    </xf>
    <xf numFmtId="3" fontId="20" fillId="0" borderId="13" xfId="6" applyNumberFormat="1" applyFont="1" applyFill="1" applyBorder="1" applyAlignment="1">
      <alignment horizontal="left" vertical="center"/>
    </xf>
    <xf numFmtId="3" fontId="20" fillId="0" borderId="27" xfId="6" applyNumberFormat="1" applyFont="1" applyFill="1" applyBorder="1" applyAlignment="1">
      <alignment horizontal="left" vertical="center"/>
    </xf>
    <xf numFmtId="38" fontId="18" fillId="0" borderId="0" xfId="6" applyNumberFormat="1" applyFont="1" applyFill="1" applyBorder="1" applyAlignment="1">
      <alignment horizontal="center" vertical="center"/>
    </xf>
    <xf numFmtId="49" fontId="20" fillId="0" borderId="48" xfId="6" applyNumberFormat="1" applyFont="1" applyFill="1" applyBorder="1" applyAlignment="1">
      <alignment horizontal="center" vertical="center"/>
    </xf>
    <xf numFmtId="49" fontId="20" fillId="0" borderId="50" xfId="6" applyNumberFormat="1" applyFont="1" applyFill="1" applyBorder="1" applyAlignment="1">
      <alignment horizontal="center" vertical="center"/>
    </xf>
    <xf numFmtId="49" fontId="20" fillId="0" borderId="42" xfId="6" applyNumberFormat="1" applyFont="1" applyFill="1" applyBorder="1" applyAlignment="1">
      <alignment horizontal="center" vertical="center"/>
    </xf>
    <xf numFmtId="0" fontId="20" fillId="2" borderId="10" xfId="0" applyNumberFormat="1" applyFont="1" applyFill="1" applyBorder="1" applyAlignment="1">
      <alignment horizontal="center" vertical="center"/>
    </xf>
    <xf numFmtId="177" fontId="20" fillId="0" borderId="38" xfId="2" applyNumberFormat="1" applyFont="1" applyFill="1" applyBorder="1" applyAlignment="1">
      <alignment horizontal="center" vertical="center" wrapText="1"/>
    </xf>
    <xf numFmtId="177" fontId="20" fillId="0" borderId="10" xfId="2" applyNumberFormat="1" applyFont="1" applyFill="1" applyBorder="1" applyAlignment="1">
      <alignment horizontal="center" vertical="center"/>
    </xf>
    <xf numFmtId="177" fontId="20" fillId="0" borderId="55" xfId="6" applyNumberFormat="1" applyFont="1" applyFill="1" applyBorder="1" applyAlignment="1">
      <alignment horizontal="center" vertical="center"/>
    </xf>
    <xf numFmtId="177" fontId="20" fillId="0" borderId="35" xfId="6" applyNumberFormat="1" applyFont="1" applyFill="1" applyBorder="1" applyAlignment="1">
      <alignment horizontal="center" vertical="center"/>
    </xf>
    <xf numFmtId="49" fontId="20" fillId="0" borderId="43" xfId="6" applyNumberFormat="1" applyFont="1" applyFill="1" applyBorder="1" applyAlignment="1">
      <alignment horizontal="center" vertical="center"/>
    </xf>
    <xf numFmtId="49" fontId="20" fillId="0" borderId="17" xfId="6" applyNumberFormat="1" applyFont="1" applyFill="1" applyBorder="1" applyAlignment="1">
      <alignment horizontal="center" vertical="center"/>
    </xf>
    <xf numFmtId="49" fontId="20" fillId="0" borderId="1" xfId="6" applyNumberFormat="1" applyFont="1" applyFill="1" applyBorder="1" applyAlignment="1">
      <alignment horizontal="center" vertical="center"/>
    </xf>
    <xf numFmtId="49" fontId="20" fillId="0" borderId="5" xfId="6" applyNumberFormat="1" applyFont="1" applyFill="1" applyBorder="1" applyAlignment="1">
      <alignment horizontal="center" vertical="center"/>
    </xf>
    <xf numFmtId="177" fontId="20" fillId="2" borderId="35" xfId="2" applyNumberFormat="1" applyFont="1" applyFill="1" applyBorder="1" applyAlignment="1">
      <alignment horizontal="center" vertical="center"/>
    </xf>
    <xf numFmtId="177" fontId="50" fillId="2" borderId="38" xfId="2" applyNumberFormat="1" applyFont="1" applyFill="1" applyBorder="1" applyAlignment="1">
      <alignment horizontal="center" vertical="center" wrapText="1"/>
    </xf>
    <xf numFmtId="177" fontId="50" fillId="2" borderId="10" xfId="2" applyNumberFormat="1" applyFont="1" applyFill="1" applyBorder="1" applyAlignment="1">
      <alignment horizontal="center" vertical="center"/>
    </xf>
    <xf numFmtId="177" fontId="20" fillId="2" borderId="35" xfId="6" applyNumberFormat="1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left" vertical="center"/>
    </xf>
    <xf numFmtId="0" fontId="22" fillId="0" borderId="45" xfId="0" applyFont="1" applyFill="1" applyBorder="1" applyAlignment="1">
      <alignment horizontal="left" vertical="center"/>
    </xf>
    <xf numFmtId="0" fontId="22" fillId="0" borderId="49" xfId="0" applyFont="1" applyFill="1" applyBorder="1" applyAlignment="1">
      <alignment horizontal="left" vertical="center"/>
    </xf>
    <xf numFmtId="0" fontId="50" fillId="0" borderId="23" xfId="0" applyFont="1" applyFill="1" applyBorder="1" applyAlignment="1">
      <alignment horizontal="left" vertical="center"/>
    </xf>
    <xf numFmtId="0" fontId="50" fillId="0" borderId="7" xfId="0" applyFont="1" applyFill="1" applyBorder="1" applyAlignment="1">
      <alignment horizontal="left" vertical="center"/>
    </xf>
    <xf numFmtId="0" fontId="50" fillId="0" borderId="21" xfId="0" applyFont="1" applyFill="1" applyBorder="1" applyAlignment="1">
      <alignment horizontal="left" vertical="center"/>
    </xf>
    <xf numFmtId="0" fontId="50" fillId="0" borderId="23" xfId="0" applyFont="1" applyFill="1" applyBorder="1" applyAlignment="1">
      <alignment vertical="center"/>
    </xf>
    <xf numFmtId="0" fontId="50" fillId="0" borderId="21" xfId="0" applyFont="1" applyFill="1" applyBorder="1" applyAlignment="1">
      <alignment vertical="center"/>
    </xf>
    <xf numFmtId="49" fontId="20" fillId="0" borderId="48" xfId="0" applyNumberFormat="1" applyFont="1" applyFill="1" applyBorder="1" applyAlignment="1">
      <alignment horizontal="center" vertical="center"/>
    </xf>
    <xf numFmtId="49" fontId="20" fillId="0" borderId="50" xfId="0" applyNumberFormat="1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20" fillId="0" borderId="38" xfId="0" applyNumberFormat="1" applyFont="1" applyFill="1" applyBorder="1" applyAlignment="1">
      <alignment horizontal="center" vertical="center" wrapText="1"/>
    </xf>
    <xf numFmtId="0" fontId="20" fillId="0" borderId="25" xfId="0" applyNumberFormat="1" applyFont="1" applyFill="1" applyBorder="1" applyAlignment="1">
      <alignment horizontal="center" vertical="center"/>
    </xf>
    <xf numFmtId="177" fontId="20" fillId="0" borderId="25" xfId="2" applyNumberFormat="1" applyFont="1" applyFill="1" applyBorder="1" applyAlignment="1">
      <alignment horizontal="center" vertical="center"/>
    </xf>
    <xf numFmtId="177" fontId="20" fillId="0" borderId="55" xfId="2" applyNumberFormat="1" applyFont="1" applyFill="1" applyBorder="1" applyAlignment="1">
      <alignment horizontal="center" vertical="center"/>
    </xf>
    <xf numFmtId="177" fontId="20" fillId="0" borderId="40" xfId="2" applyNumberFormat="1" applyFont="1" applyFill="1" applyBorder="1" applyAlignment="1">
      <alignment horizontal="center" vertical="center"/>
    </xf>
    <xf numFmtId="49" fontId="21" fillId="0" borderId="47" xfId="0" applyNumberFormat="1" applyFont="1" applyFill="1" applyBorder="1" applyAlignment="1">
      <alignment horizontal="center" vertical="center"/>
    </xf>
    <xf numFmtId="49" fontId="21" fillId="0" borderId="43" xfId="0" applyNumberFormat="1" applyFont="1" applyFill="1" applyBorder="1" applyAlignment="1">
      <alignment horizontal="center" vertical="center"/>
    </xf>
    <xf numFmtId="49" fontId="21" fillId="0" borderId="17" xfId="0" applyNumberFormat="1" applyFont="1" applyFill="1" applyBorder="1" applyAlignment="1">
      <alignment horizontal="center" vertical="center"/>
    </xf>
    <xf numFmtId="49" fontId="21" fillId="0" borderId="20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1" fillId="0" borderId="5" xfId="0" applyNumberFormat="1" applyFont="1" applyFill="1" applyBorder="1" applyAlignment="1">
      <alignment horizontal="center" vertical="center"/>
    </xf>
    <xf numFmtId="0" fontId="70" fillId="3" borderId="13" xfId="57071" applyFont="1" applyFill="1" applyBorder="1" applyAlignment="1">
      <alignment horizontal="center" vertical="center"/>
    </xf>
    <xf numFmtId="0" fontId="55" fillId="3" borderId="13" xfId="57071" applyFont="1" applyFill="1" applyBorder="1" applyAlignment="1">
      <alignment horizontal="center" vertical="center"/>
    </xf>
    <xf numFmtId="0" fontId="55" fillId="0" borderId="13" xfId="57071" applyFont="1" applyBorder="1" applyAlignment="1">
      <alignment horizontal="center" vertical="center" wrapText="1"/>
    </xf>
    <xf numFmtId="0" fontId="55" fillId="0" borderId="27" xfId="57071" applyFont="1" applyBorder="1" applyAlignment="1">
      <alignment horizontal="center" vertical="center" wrapText="1"/>
    </xf>
    <xf numFmtId="0" fontId="55" fillId="0" borderId="30" xfId="57071" applyFont="1" applyBorder="1" applyAlignment="1">
      <alignment horizontal="center" vertical="center" wrapText="1"/>
    </xf>
    <xf numFmtId="0" fontId="55" fillId="0" borderId="28" xfId="57071" applyFont="1" applyBorder="1" applyAlignment="1">
      <alignment horizontal="center" vertical="center" wrapText="1"/>
    </xf>
    <xf numFmtId="0" fontId="55" fillId="0" borderId="9" xfId="57071" applyFont="1" applyBorder="1" applyAlignment="1">
      <alignment horizontal="center" vertical="center" wrapText="1"/>
    </xf>
    <xf numFmtId="0" fontId="55" fillId="0" borderId="14" xfId="57071" applyFont="1" applyBorder="1" applyAlignment="1">
      <alignment horizontal="center" vertical="center" wrapText="1"/>
    </xf>
    <xf numFmtId="0" fontId="55" fillId="0" borderId="13" xfId="57071" applyFont="1" applyBorder="1" applyAlignment="1">
      <alignment horizontal="left" vertical="center" wrapText="1"/>
    </xf>
    <xf numFmtId="0" fontId="55" fillId="0" borderId="13" xfId="57071" applyFont="1" applyBorder="1" applyAlignment="1">
      <alignment horizontal="left" vertical="center"/>
    </xf>
    <xf numFmtId="0" fontId="55" fillId="0" borderId="13" xfId="57071" applyFont="1" applyBorder="1" applyAlignment="1">
      <alignment horizontal="center" vertical="center"/>
    </xf>
    <xf numFmtId="0" fontId="55" fillId="0" borderId="52" xfId="57071" applyFont="1" applyBorder="1" applyAlignment="1">
      <alignment horizontal="left" vertical="center" wrapText="1"/>
    </xf>
    <xf numFmtId="0" fontId="55" fillId="0" borderId="6" xfId="57071" applyFont="1" applyBorder="1" applyAlignment="1">
      <alignment horizontal="left" vertical="center" wrapText="1"/>
    </xf>
    <xf numFmtId="0" fontId="55" fillId="0" borderId="37" xfId="57071" applyFont="1" applyBorder="1" applyAlignment="1">
      <alignment horizontal="left" vertical="center" wrapText="1"/>
    </xf>
    <xf numFmtId="0" fontId="55" fillId="0" borderId="31" xfId="57071" applyFont="1" applyBorder="1" applyAlignment="1">
      <alignment horizontal="left" vertical="center" wrapText="1"/>
    </xf>
    <xf numFmtId="0" fontId="55" fillId="0" borderId="0" xfId="57071" applyFont="1" applyBorder="1" applyAlignment="1">
      <alignment horizontal="left" vertical="center" wrapText="1"/>
    </xf>
    <xf numFmtId="0" fontId="55" fillId="0" borderId="26" xfId="57071" applyFont="1" applyBorder="1" applyAlignment="1">
      <alignment horizontal="left" vertical="center" wrapText="1"/>
    </xf>
    <xf numFmtId="0" fontId="55" fillId="0" borderId="23" xfId="57071" applyFont="1" applyBorder="1" applyAlignment="1">
      <alignment horizontal="left" vertical="center" wrapText="1"/>
    </xf>
    <xf numFmtId="0" fontId="55" fillId="0" borderId="7" xfId="57071" applyFont="1" applyBorder="1" applyAlignment="1">
      <alignment horizontal="left" vertical="center" wrapText="1"/>
    </xf>
    <xf numFmtId="0" fontId="55" fillId="0" borderId="21" xfId="57071" applyFont="1" applyBorder="1" applyAlignment="1">
      <alignment horizontal="left" vertical="center" wrapText="1"/>
    </xf>
    <xf numFmtId="0" fontId="55" fillId="0" borderId="9" xfId="57071" applyFont="1" applyBorder="1" applyAlignment="1">
      <alignment horizontal="center" vertical="center"/>
    </xf>
    <xf numFmtId="0" fontId="55" fillId="0" borderId="10" xfId="57071" applyFont="1" applyBorder="1" applyAlignment="1">
      <alignment horizontal="center" vertical="center"/>
    </xf>
    <xf numFmtId="0" fontId="55" fillId="0" borderId="14" xfId="57071" applyFont="1" applyBorder="1" applyAlignment="1">
      <alignment horizontal="center" vertical="center"/>
    </xf>
    <xf numFmtId="0" fontId="70" fillId="3" borderId="27" xfId="57071" applyFont="1" applyFill="1" applyBorder="1" applyAlignment="1">
      <alignment horizontal="center" vertical="center"/>
    </xf>
    <xf numFmtId="0" fontId="70" fillId="3" borderId="30" xfId="57071" applyFont="1" applyFill="1" applyBorder="1" applyAlignment="1">
      <alignment horizontal="center" vertical="center"/>
    </xf>
    <xf numFmtId="0" fontId="70" fillId="3" borderId="28" xfId="57071" applyFont="1" applyFill="1" applyBorder="1" applyAlignment="1">
      <alignment horizontal="center" vertical="center"/>
    </xf>
    <xf numFmtId="0" fontId="55" fillId="0" borderId="27" xfId="57071" applyFont="1" applyBorder="1" applyAlignment="1">
      <alignment horizontal="left" vertical="center" wrapText="1"/>
    </xf>
    <xf numFmtId="0" fontId="55" fillId="0" borderId="30" xfId="57071" applyFont="1" applyBorder="1" applyAlignment="1">
      <alignment horizontal="left" vertical="center" wrapText="1"/>
    </xf>
    <xf numFmtId="0" fontId="55" fillId="0" borderId="28" xfId="57071" applyFont="1" applyBorder="1" applyAlignment="1">
      <alignment horizontal="left" vertical="center" wrapText="1"/>
    </xf>
    <xf numFmtId="41" fontId="71" fillId="0" borderId="9" xfId="57072" applyFont="1" applyBorder="1" applyAlignment="1">
      <alignment horizontal="center" vertical="center"/>
    </xf>
    <xf numFmtId="41" fontId="71" fillId="0" borderId="10" xfId="57072" applyFont="1" applyBorder="1" applyAlignment="1">
      <alignment horizontal="center" vertical="center"/>
    </xf>
    <xf numFmtId="41" fontId="71" fillId="0" borderId="14" xfId="57072" applyFont="1" applyBorder="1" applyAlignment="1">
      <alignment horizontal="center" vertical="center"/>
    </xf>
    <xf numFmtId="0" fontId="55" fillId="0" borderId="10" xfId="57071" applyFont="1" applyBorder="1" applyAlignment="1">
      <alignment horizontal="center" vertical="center" wrapText="1"/>
    </xf>
    <xf numFmtId="41" fontId="71" fillId="0" borderId="13" xfId="57072" applyFont="1" applyBorder="1" applyAlignment="1">
      <alignment horizontal="center" vertical="center"/>
    </xf>
    <xf numFmtId="0" fontId="55" fillId="0" borderId="13" xfId="57071" applyFont="1" applyBorder="1" applyAlignment="1">
      <alignment vertical="center" wrapText="1"/>
    </xf>
    <xf numFmtId="0" fontId="55" fillId="0" borderId="13" xfId="57071" applyFont="1" applyBorder="1" applyAlignment="1">
      <alignment vertical="center"/>
    </xf>
    <xf numFmtId="0" fontId="68" fillId="10" borderId="0" xfId="57071" applyFont="1" applyFill="1" applyAlignment="1">
      <alignment horizontal="center" vertical="center"/>
    </xf>
    <xf numFmtId="0" fontId="55" fillId="0" borderId="9" xfId="57071" applyFont="1" applyBorder="1" applyAlignment="1">
      <alignment horizontal="left" vertical="center" wrapText="1"/>
    </xf>
    <xf numFmtId="49" fontId="55" fillId="0" borderId="10" xfId="57071" applyNumberFormat="1" applyFont="1" applyBorder="1" applyAlignment="1">
      <alignment horizontal="left" vertical="center"/>
    </xf>
    <xf numFmtId="49" fontId="55" fillId="0" borderId="14" xfId="57071" applyNumberFormat="1" applyFont="1" applyBorder="1" applyAlignment="1">
      <alignment horizontal="left" vertical="center"/>
    </xf>
    <xf numFmtId="0" fontId="70" fillId="3" borderId="37" xfId="57071" applyFont="1" applyFill="1" applyBorder="1" applyAlignment="1">
      <alignment horizontal="center" vertical="center"/>
    </xf>
    <xf numFmtId="0" fontId="70" fillId="3" borderId="21" xfId="57071" applyFont="1" applyFill="1" applyBorder="1" applyAlignment="1">
      <alignment horizontal="center" vertical="center"/>
    </xf>
    <xf numFmtId="0" fontId="55" fillId="0" borderId="52" xfId="57071" applyFont="1" applyBorder="1" applyAlignment="1">
      <alignment horizontal="left" vertical="center"/>
    </xf>
    <xf numFmtId="0" fontId="55" fillId="0" borderId="6" xfId="57071" applyFont="1" applyBorder="1" applyAlignment="1">
      <alignment horizontal="left" vertical="center"/>
    </xf>
    <xf numFmtId="0" fontId="55" fillId="0" borderId="37" xfId="57071" applyFont="1" applyBorder="1" applyAlignment="1">
      <alignment horizontal="left" vertical="center"/>
    </xf>
    <xf numFmtId="0" fontId="55" fillId="0" borderId="23" xfId="57071" applyFont="1" applyBorder="1" applyAlignment="1">
      <alignment horizontal="left" vertical="center"/>
    </xf>
    <xf numFmtId="0" fontId="55" fillId="0" borderId="7" xfId="57071" applyFont="1" applyBorder="1" applyAlignment="1">
      <alignment horizontal="left" vertical="center"/>
    </xf>
    <xf numFmtId="0" fontId="55" fillId="0" borderId="21" xfId="57071" applyFont="1" applyBorder="1" applyAlignment="1">
      <alignment horizontal="left" vertical="center"/>
    </xf>
  </cellXfs>
  <cellStyles count="57086">
    <cellStyle name="Comma [0]_ SG&amp;A Bridge " xfId="38"/>
    <cellStyle name="Comma_ SG&amp;A Bridge " xfId="39"/>
    <cellStyle name="Currency [0]_ SG&amp;A Bridge " xfId="40"/>
    <cellStyle name="Currency_ SG&amp;A Bridge " xfId="41"/>
    <cellStyle name="Grey" xfId="42"/>
    <cellStyle name="Header1" xfId="43"/>
    <cellStyle name="Header2" xfId="44"/>
    <cellStyle name="Input [yellow]" xfId="45"/>
    <cellStyle name="Normal - Style1" xfId="46"/>
    <cellStyle name="Normal_ SG&amp;A Bridge " xfId="47"/>
    <cellStyle name="Percent [2]" xfId="48"/>
    <cellStyle name="김덕호" xfId="49"/>
    <cellStyle name="똿뗦먛귟 [0.00]_PRODUCT DETAIL Q1" xfId="50"/>
    <cellStyle name="똿뗦먛귟_PRODUCT DETAIL Q1" xfId="51"/>
    <cellStyle name="믅됞 [0.00]_PRODUCT DETAIL Q1" xfId="52"/>
    <cellStyle name="믅됞_PRODUCT DETAIL Q1" xfId="53"/>
    <cellStyle name="백분율" xfId="13" builtinId="5"/>
    <cellStyle name="백분율 2" xfId="1"/>
    <cellStyle name="백분율 3" xfId="10"/>
    <cellStyle name="뷭?_BOOKSHIP" xfId="54"/>
    <cellStyle name="쉼표 [0]" xfId="2" builtinId="6"/>
    <cellStyle name="쉼표 [0] 10" xfId="12707"/>
    <cellStyle name="쉼표 [0] 11" xfId="50733"/>
    <cellStyle name="쉼표 [0] 12" xfId="50734"/>
    <cellStyle name="쉼표 [0] 13" xfId="57074"/>
    <cellStyle name="쉼표 [0] 14" xfId="57076"/>
    <cellStyle name="쉼표 [0] 15" xfId="57078"/>
    <cellStyle name="쉼표 [0] 16" xfId="57080"/>
    <cellStyle name="쉼표 [0] 17" xfId="57082"/>
    <cellStyle name="쉼표 [0] 18" xfId="57084"/>
    <cellStyle name="쉼표 [0] 2" xfId="3"/>
    <cellStyle name="쉼표 [0] 2 2" xfId="36"/>
    <cellStyle name="쉼표 [0] 2 2 2" xfId="25380"/>
    <cellStyle name="쉼표 [0] 2 2 3" xfId="25381"/>
    <cellStyle name="쉼표 [0] 2 2 4" xfId="25382"/>
    <cellStyle name="쉼표 [0] 2 2 5" xfId="25383"/>
    <cellStyle name="쉼표 [0] 2 2 6" xfId="25384"/>
    <cellStyle name="쉼표 [0] 2 2 7" xfId="25385"/>
    <cellStyle name="쉼표 [0] 3" xfId="9"/>
    <cellStyle name="쉼표 [0] 4" xfId="12"/>
    <cellStyle name="쉼표 [0] 4 10" xfId="106"/>
    <cellStyle name="쉼표 [0] 4 10 2" xfId="107"/>
    <cellStyle name="쉼표 [0] 4 10 2 2" xfId="3203"/>
    <cellStyle name="쉼표 [0] 4 10 2 2 2" xfId="9539"/>
    <cellStyle name="쉼표 [0] 4 10 2 2 2 2" xfId="22212"/>
    <cellStyle name="쉼표 [0] 4 10 2 2 2 2 2" xfId="47564"/>
    <cellStyle name="쉼표 [0] 4 10 2 2 2 3" xfId="34892"/>
    <cellStyle name="쉼표 [0] 4 10 2 2 3" xfId="15876"/>
    <cellStyle name="쉼표 [0] 4 10 2 2 3 2" xfId="41228"/>
    <cellStyle name="쉼표 [0] 4 10 2 2 4" xfId="28556"/>
    <cellStyle name="쉼표 [0] 4 10 2 2 5" xfId="50735"/>
    <cellStyle name="쉼표 [0] 4 10 2 3" xfId="6444"/>
    <cellStyle name="쉼표 [0] 4 10 2 3 2" xfId="19117"/>
    <cellStyle name="쉼표 [0] 4 10 2 3 2 2" xfId="44469"/>
    <cellStyle name="쉼표 [0] 4 10 2 3 3" xfId="31797"/>
    <cellStyle name="쉼표 [0] 4 10 2 4" xfId="12781"/>
    <cellStyle name="쉼표 [0] 4 10 2 4 2" xfId="38133"/>
    <cellStyle name="쉼표 [0] 4 10 2 5" xfId="25461"/>
    <cellStyle name="쉼표 [0] 4 10 2 6" xfId="50736"/>
    <cellStyle name="쉼표 [0] 4 10 3" xfId="3204"/>
    <cellStyle name="쉼표 [0] 4 10 3 2" xfId="9540"/>
    <cellStyle name="쉼표 [0] 4 10 3 2 2" xfId="22213"/>
    <cellStyle name="쉼표 [0] 4 10 3 2 2 2" xfId="47565"/>
    <cellStyle name="쉼표 [0] 4 10 3 2 3" xfId="34893"/>
    <cellStyle name="쉼표 [0] 4 10 3 3" xfId="15877"/>
    <cellStyle name="쉼표 [0] 4 10 3 3 2" xfId="41229"/>
    <cellStyle name="쉼표 [0] 4 10 3 4" xfId="28557"/>
    <cellStyle name="쉼표 [0] 4 10 3 5" xfId="50737"/>
    <cellStyle name="쉼표 [0] 4 10 4" xfId="6443"/>
    <cellStyle name="쉼표 [0] 4 10 4 2" xfId="19116"/>
    <cellStyle name="쉼표 [0] 4 10 4 2 2" xfId="44468"/>
    <cellStyle name="쉼표 [0] 4 10 4 3" xfId="31796"/>
    <cellStyle name="쉼표 [0] 4 10 5" xfId="12780"/>
    <cellStyle name="쉼표 [0] 4 10 5 2" xfId="38132"/>
    <cellStyle name="쉼표 [0] 4 10 6" xfId="25460"/>
    <cellStyle name="쉼표 [0] 4 10 7" xfId="50738"/>
    <cellStyle name="쉼표 [0] 4 11" xfId="108"/>
    <cellStyle name="쉼표 [0] 4 11 2" xfId="109"/>
    <cellStyle name="쉼표 [0] 4 11 2 2" xfId="3205"/>
    <cellStyle name="쉼표 [0] 4 11 2 2 2" xfId="9541"/>
    <cellStyle name="쉼표 [0] 4 11 2 2 2 2" xfId="22214"/>
    <cellStyle name="쉼표 [0] 4 11 2 2 2 2 2" xfId="47566"/>
    <cellStyle name="쉼표 [0] 4 11 2 2 2 3" xfId="34894"/>
    <cellStyle name="쉼표 [0] 4 11 2 2 3" xfId="15878"/>
    <cellStyle name="쉼표 [0] 4 11 2 2 3 2" xfId="41230"/>
    <cellStyle name="쉼표 [0] 4 11 2 2 4" xfId="28558"/>
    <cellStyle name="쉼표 [0] 4 11 2 2 5" xfId="50739"/>
    <cellStyle name="쉼표 [0] 4 11 2 3" xfId="6446"/>
    <cellStyle name="쉼표 [0] 4 11 2 3 2" xfId="19119"/>
    <cellStyle name="쉼표 [0] 4 11 2 3 2 2" xfId="44471"/>
    <cellStyle name="쉼표 [0] 4 11 2 3 3" xfId="31799"/>
    <cellStyle name="쉼표 [0] 4 11 2 4" xfId="12783"/>
    <cellStyle name="쉼표 [0] 4 11 2 4 2" xfId="38135"/>
    <cellStyle name="쉼표 [0] 4 11 2 5" xfId="25463"/>
    <cellStyle name="쉼표 [0] 4 11 2 6" xfId="50740"/>
    <cellStyle name="쉼표 [0] 4 11 3" xfId="3206"/>
    <cellStyle name="쉼표 [0] 4 11 3 2" xfId="9542"/>
    <cellStyle name="쉼표 [0] 4 11 3 2 2" xfId="22215"/>
    <cellStyle name="쉼표 [0] 4 11 3 2 2 2" xfId="47567"/>
    <cellStyle name="쉼표 [0] 4 11 3 2 3" xfId="34895"/>
    <cellStyle name="쉼표 [0] 4 11 3 3" xfId="15879"/>
    <cellStyle name="쉼표 [0] 4 11 3 3 2" xfId="41231"/>
    <cellStyle name="쉼표 [0] 4 11 3 4" xfId="28559"/>
    <cellStyle name="쉼표 [0] 4 11 3 5" xfId="50741"/>
    <cellStyle name="쉼표 [0] 4 11 4" xfId="6445"/>
    <cellStyle name="쉼표 [0] 4 11 4 2" xfId="19118"/>
    <cellStyle name="쉼표 [0] 4 11 4 2 2" xfId="44470"/>
    <cellStyle name="쉼표 [0] 4 11 4 3" xfId="31798"/>
    <cellStyle name="쉼표 [0] 4 11 5" xfId="12782"/>
    <cellStyle name="쉼표 [0] 4 11 5 2" xfId="38134"/>
    <cellStyle name="쉼표 [0] 4 11 6" xfId="25462"/>
    <cellStyle name="쉼표 [0] 4 11 7" xfId="50742"/>
    <cellStyle name="쉼표 [0] 4 12" xfId="110"/>
    <cellStyle name="쉼표 [0] 4 12 2" xfId="111"/>
    <cellStyle name="쉼표 [0] 4 12 2 2" xfId="3207"/>
    <cellStyle name="쉼표 [0] 4 12 2 2 2" xfId="9543"/>
    <cellStyle name="쉼표 [0] 4 12 2 2 2 2" xfId="22216"/>
    <cellStyle name="쉼표 [0] 4 12 2 2 2 2 2" xfId="47568"/>
    <cellStyle name="쉼표 [0] 4 12 2 2 2 3" xfId="34896"/>
    <cellStyle name="쉼표 [0] 4 12 2 2 3" xfId="15880"/>
    <cellStyle name="쉼표 [0] 4 12 2 2 3 2" xfId="41232"/>
    <cellStyle name="쉼표 [0] 4 12 2 2 4" xfId="28560"/>
    <cellStyle name="쉼표 [0] 4 12 2 2 5" xfId="50743"/>
    <cellStyle name="쉼표 [0] 4 12 2 3" xfId="6448"/>
    <cellStyle name="쉼표 [0] 4 12 2 3 2" xfId="19121"/>
    <cellStyle name="쉼표 [0] 4 12 2 3 2 2" xfId="44473"/>
    <cellStyle name="쉼표 [0] 4 12 2 3 3" xfId="31801"/>
    <cellStyle name="쉼표 [0] 4 12 2 4" xfId="12785"/>
    <cellStyle name="쉼표 [0] 4 12 2 4 2" xfId="38137"/>
    <cellStyle name="쉼표 [0] 4 12 2 5" xfId="25465"/>
    <cellStyle name="쉼표 [0] 4 12 2 6" xfId="50744"/>
    <cellStyle name="쉼표 [0] 4 12 3" xfId="3208"/>
    <cellStyle name="쉼표 [0] 4 12 3 2" xfId="9544"/>
    <cellStyle name="쉼표 [0] 4 12 3 2 2" xfId="22217"/>
    <cellStyle name="쉼표 [0] 4 12 3 2 2 2" xfId="47569"/>
    <cellStyle name="쉼표 [0] 4 12 3 2 3" xfId="34897"/>
    <cellStyle name="쉼표 [0] 4 12 3 3" xfId="15881"/>
    <cellStyle name="쉼표 [0] 4 12 3 3 2" xfId="41233"/>
    <cellStyle name="쉼표 [0] 4 12 3 4" xfId="28561"/>
    <cellStyle name="쉼표 [0] 4 12 3 5" xfId="50745"/>
    <cellStyle name="쉼표 [0] 4 12 4" xfId="6447"/>
    <cellStyle name="쉼표 [0] 4 12 4 2" xfId="19120"/>
    <cellStyle name="쉼표 [0] 4 12 4 2 2" xfId="44472"/>
    <cellStyle name="쉼표 [0] 4 12 4 3" xfId="31800"/>
    <cellStyle name="쉼표 [0] 4 12 5" xfId="12784"/>
    <cellStyle name="쉼표 [0] 4 12 5 2" xfId="38136"/>
    <cellStyle name="쉼표 [0] 4 12 6" xfId="25464"/>
    <cellStyle name="쉼표 [0] 4 12 7" xfId="50746"/>
    <cellStyle name="쉼표 [0] 4 13" xfId="112"/>
    <cellStyle name="쉼표 [0] 4 13 2" xfId="113"/>
    <cellStyle name="쉼표 [0] 4 13 2 2" xfId="3209"/>
    <cellStyle name="쉼표 [0] 4 13 2 2 2" xfId="9545"/>
    <cellStyle name="쉼표 [0] 4 13 2 2 2 2" xfId="22218"/>
    <cellStyle name="쉼표 [0] 4 13 2 2 2 2 2" xfId="47570"/>
    <cellStyle name="쉼표 [0] 4 13 2 2 2 3" xfId="34898"/>
    <cellStyle name="쉼표 [0] 4 13 2 2 3" xfId="15882"/>
    <cellStyle name="쉼표 [0] 4 13 2 2 3 2" xfId="41234"/>
    <cellStyle name="쉼표 [0] 4 13 2 2 4" xfId="28562"/>
    <cellStyle name="쉼표 [0] 4 13 2 2 5" xfId="50747"/>
    <cellStyle name="쉼표 [0] 4 13 2 3" xfId="6450"/>
    <cellStyle name="쉼표 [0] 4 13 2 3 2" xfId="19123"/>
    <cellStyle name="쉼표 [0] 4 13 2 3 2 2" xfId="44475"/>
    <cellStyle name="쉼표 [0] 4 13 2 3 3" xfId="31803"/>
    <cellStyle name="쉼표 [0] 4 13 2 4" xfId="12787"/>
    <cellStyle name="쉼표 [0] 4 13 2 4 2" xfId="38139"/>
    <cellStyle name="쉼표 [0] 4 13 2 5" xfId="25467"/>
    <cellStyle name="쉼표 [0] 4 13 2 6" xfId="50748"/>
    <cellStyle name="쉼표 [0] 4 13 3" xfId="3210"/>
    <cellStyle name="쉼표 [0] 4 13 3 2" xfId="9546"/>
    <cellStyle name="쉼표 [0] 4 13 3 2 2" xfId="22219"/>
    <cellStyle name="쉼표 [0] 4 13 3 2 2 2" xfId="47571"/>
    <cellStyle name="쉼표 [0] 4 13 3 2 3" xfId="34899"/>
    <cellStyle name="쉼표 [0] 4 13 3 3" xfId="15883"/>
    <cellStyle name="쉼표 [0] 4 13 3 3 2" xfId="41235"/>
    <cellStyle name="쉼표 [0] 4 13 3 4" xfId="28563"/>
    <cellStyle name="쉼표 [0] 4 13 3 5" xfId="50749"/>
    <cellStyle name="쉼표 [0] 4 13 4" xfId="6449"/>
    <cellStyle name="쉼표 [0] 4 13 4 2" xfId="19122"/>
    <cellStyle name="쉼표 [0] 4 13 4 2 2" xfId="44474"/>
    <cellStyle name="쉼표 [0] 4 13 4 3" xfId="31802"/>
    <cellStyle name="쉼표 [0] 4 13 5" xfId="12786"/>
    <cellStyle name="쉼표 [0] 4 13 5 2" xfId="38138"/>
    <cellStyle name="쉼표 [0] 4 13 6" xfId="25466"/>
    <cellStyle name="쉼표 [0] 4 13 7" xfId="50750"/>
    <cellStyle name="쉼표 [0] 4 14" xfId="114"/>
    <cellStyle name="쉼표 [0] 4 14 2" xfId="115"/>
    <cellStyle name="쉼표 [0] 4 14 2 2" xfId="3211"/>
    <cellStyle name="쉼표 [0] 4 14 2 2 2" xfId="9547"/>
    <cellStyle name="쉼표 [0] 4 14 2 2 2 2" xfId="22220"/>
    <cellStyle name="쉼표 [0] 4 14 2 2 2 2 2" xfId="47572"/>
    <cellStyle name="쉼표 [0] 4 14 2 2 2 3" xfId="34900"/>
    <cellStyle name="쉼표 [0] 4 14 2 2 3" xfId="15884"/>
    <cellStyle name="쉼표 [0] 4 14 2 2 3 2" xfId="41236"/>
    <cellStyle name="쉼표 [0] 4 14 2 2 4" xfId="28564"/>
    <cellStyle name="쉼표 [0] 4 14 2 2 5" xfId="50751"/>
    <cellStyle name="쉼표 [0] 4 14 2 3" xfId="6452"/>
    <cellStyle name="쉼표 [0] 4 14 2 3 2" xfId="19125"/>
    <cellStyle name="쉼표 [0] 4 14 2 3 2 2" xfId="44477"/>
    <cellStyle name="쉼표 [0] 4 14 2 3 3" xfId="31805"/>
    <cellStyle name="쉼표 [0] 4 14 2 4" xfId="12789"/>
    <cellStyle name="쉼표 [0] 4 14 2 4 2" xfId="38141"/>
    <cellStyle name="쉼표 [0] 4 14 2 5" xfId="25469"/>
    <cellStyle name="쉼표 [0] 4 14 2 6" xfId="50752"/>
    <cellStyle name="쉼표 [0] 4 14 3" xfId="3212"/>
    <cellStyle name="쉼표 [0] 4 14 3 2" xfId="9548"/>
    <cellStyle name="쉼표 [0] 4 14 3 2 2" xfId="22221"/>
    <cellStyle name="쉼표 [0] 4 14 3 2 2 2" xfId="47573"/>
    <cellStyle name="쉼표 [0] 4 14 3 2 3" xfId="34901"/>
    <cellStyle name="쉼표 [0] 4 14 3 3" xfId="15885"/>
    <cellStyle name="쉼표 [0] 4 14 3 3 2" xfId="41237"/>
    <cellStyle name="쉼표 [0] 4 14 3 4" xfId="28565"/>
    <cellStyle name="쉼표 [0] 4 14 3 5" xfId="50753"/>
    <cellStyle name="쉼표 [0] 4 14 4" xfId="6451"/>
    <cellStyle name="쉼표 [0] 4 14 4 2" xfId="19124"/>
    <cellStyle name="쉼표 [0] 4 14 4 2 2" xfId="44476"/>
    <cellStyle name="쉼표 [0] 4 14 4 3" xfId="31804"/>
    <cellStyle name="쉼표 [0] 4 14 5" xfId="12788"/>
    <cellStyle name="쉼표 [0] 4 14 5 2" xfId="38140"/>
    <cellStyle name="쉼표 [0] 4 14 6" xfId="25468"/>
    <cellStyle name="쉼표 [0] 4 14 7" xfId="50754"/>
    <cellStyle name="쉼표 [0] 4 15" xfId="116"/>
    <cellStyle name="쉼표 [0] 4 15 2" xfId="117"/>
    <cellStyle name="쉼표 [0] 4 15 2 2" xfId="3213"/>
    <cellStyle name="쉼표 [0] 4 15 2 2 2" xfId="9549"/>
    <cellStyle name="쉼표 [0] 4 15 2 2 2 2" xfId="22222"/>
    <cellStyle name="쉼표 [0] 4 15 2 2 2 2 2" xfId="47574"/>
    <cellStyle name="쉼표 [0] 4 15 2 2 2 3" xfId="34902"/>
    <cellStyle name="쉼표 [0] 4 15 2 2 3" xfId="15886"/>
    <cellStyle name="쉼표 [0] 4 15 2 2 3 2" xfId="41238"/>
    <cellStyle name="쉼표 [0] 4 15 2 2 4" xfId="28566"/>
    <cellStyle name="쉼표 [0] 4 15 2 2 5" xfId="50755"/>
    <cellStyle name="쉼표 [0] 4 15 2 3" xfId="6454"/>
    <cellStyle name="쉼표 [0] 4 15 2 3 2" xfId="19127"/>
    <cellStyle name="쉼표 [0] 4 15 2 3 2 2" xfId="44479"/>
    <cellStyle name="쉼표 [0] 4 15 2 3 3" xfId="31807"/>
    <cellStyle name="쉼표 [0] 4 15 2 4" xfId="12791"/>
    <cellStyle name="쉼표 [0] 4 15 2 4 2" xfId="38143"/>
    <cellStyle name="쉼표 [0] 4 15 2 5" xfId="25471"/>
    <cellStyle name="쉼표 [0] 4 15 2 6" xfId="50756"/>
    <cellStyle name="쉼표 [0] 4 15 3" xfId="3214"/>
    <cellStyle name="쉼표 [0] 4 15 3 2" xfId="9550"/>
    <cellStyle name="쉼표 [0] 4 15 3 2 2" xfId="22223"/>
    <cellStyle name="쉼표 [0] 4 15 3 2 2 2" xfId="47575"/>
    <cellStyle name="쉼표 [0] 4 15 3 2 3" xfId="34903"/>
    <cellStyle name="쉼표 [0] 4 15 3 3" xfId="15887"/>
    <cellStyle name="쉼표 [0] 4 15 3 3 2" xfId="41239"/>
    <cellStyle name="쉼표 [0] 4 15 3 4" xfId="28567"/>
    <cellStyle name="쉼표 [0] 4 15 3 5" xfId="50757"/>
    <cellStyle name="쉼표 [0] 4 15 4" xfId="6453"/>
    <cellStyle name="쉼표 [0] 4 15 4 2" xfId="19126"/>
    <cellStyle name="쉼표 [0] 4 15 4 2 2" xfId="44478"/>
    <cellStyle name="쉼표 [0] 4 15 4 3" xfId="31806"/>
    <cellStyle name="쉼표 [0] 4 15 5" xfId="12790"/>
    <cellStyle name="쉼표 [0] 4 15 5 2" xfId="38142"/>
    <cellStyle name="쉼표 [0] 4 15 6" xfId="25470"/>
    <cellStyle name="쉼표 [0] 4 15 7" xfId="50758"/>
    <cellStyle name="쉼표 [0] 4 16" xfId="118"/>
    <cellStyle name="쉼표 [0] 4 16 2" xfId="119"/>
    <cellStyle name="쉼표 [0] 4 16 2 2" xfId="3215"/>
    <cellStyle name="쉼표 [0] 4 16 2 2 2" xfId="9551"/>
    <cellStyle name="쉼표 [0] 4 16 2 2 2 2" xfId="22224"/>
    <cellStyle name="쉼표 [0] 4 16 2 2 2 2 2" xfId="47576"/>
    <cellStyle name="쉼표 [0] 4 16 2 2 2 3" xfId="34904"/>
    <cellStyle name="쉼표 [0] 4 16 2 2 3" xfId="15888"/>
    <cellStyle name="쉼표 [0] 4 16 2 2 3 2" xfId="41240"/>
    <cellStyle name="쉼표 [0] 4 16 2 2 4" xfId="28568"/>
    <cellStyle name="쉼표 [0] 4 16 2 2 5" xfId="50759"/>
    <cellStyle name="쉼표 [0] 4 16 2 3" xfId="6456"/>
    <cellStyle name="쉼표 [0] 4 16 2 3 2" xfId="19129"/>
    <cellStyle name="쉼표 [0] 4 16 2 3 2 2" xfId="44481"/>
    <cellStyle name="쉼표 [0] 4 16 2 3 3" xfId="31809"/>
    <cellStyle name="쉼표 [0] 4 16 2 4" xfId="12793"/>
    <cellStyle name="쉼표 [0] 4 16 2 4 2" xfId="38145"/>
    <cellStyle name="쉼표 [0] 4 16 2 5" xfId="25473"/>
    <cellStyle name="쉼표 [0] 4 16 2 6" xfId="50760"/>
    <cellStyle name="쉼표 [0] 4 16 3" xfId="3216"/>
    <cellStyle name="쉼표 [0] 4 16 3 2" xfId="9552"/>
    <cellStyle name="쉼표 [0] 4 16 3 2 2" xfId="22225"/>
    <cellStyle name="쉼표 [0] 4 16 3 2 2 2" xfId="47577"/>
    <cellStyle name="쉼표 [0] 4 16 3 2 3" xfId="34905"/>
    <cellStyle name="쉼표 [0] 4 16 3 3" xfId="15889"/>
    <cellStyle name="쉼표 [0] 4 16 3 3 2" xfId="41241"/>
    <cellStyle name="쉼표 [0] 4 16 3 4" xfId="28569"/>
    <cellStyle name="쉼표 [0] 4 16 3 5" xfId="50761"/>
    <cellStyle name="쉼표 [0] 4 16 4" xfId="6455"/>
    <cellStyle name="쉼표 [0] 4 16 4 2" xfId="19128"/>
    <cellStyle name="쉼표 [0] 4 16 4 2 2" xfId="44480"/>
    <cellStyle name="쉼표 [0] 4 16 4 3" xfId="31808"/>
    <cellStyle name="쉼표 [0] 4 16 5" xfId="12792"/>
    <cellStyle name="쉼표 [0] 4 16 5 2" xfId="38144"/>
    <cellStyle name="쉼표 [0] 4 16 6" xfId="25472"/>
    <cellStyle name="쉼표 [0] 4 16 7" xfId="50762"/>
    <cellStyle name="쉼표 [0] 4 17" xfId="120"/>
    <cellStyle name="쉼표 [0] 4 17 2" xfId="121"/>
    <cellStyle name="쉼표 [0] 4 17 2 2" xfId="3217"/>
    <cellStyle name="쉼표 [0] 4 17 2 2 2" xfId="9553"/>
    <cellStyle name="쉼표 [0] 4 17 2 2 2 2" xfId="22226"/>
    <cellStyle name="쉼표 [0] 4 17 2 2 2 2 2" xfId="47578"/>
    <cellStyle name="쉼표 [0] 4 17 2 2 2 3" xfId="34906"/>
    <cellStyle name="쉼표 [0] 4 17 2 2 3" xfId="15890"/>
    <cellStyle name="쉼표 [0] 4 17 2 2 3 2" xfId="41242"/>
    <cellStyle name="쉼표 [0] 4 17 2 2 4" xfId="28570"/>
    <cellStyle name="쉼표 [0] 4 17 2 2 5" xfId="50763"/>
    <cellStyle name="쉼표 [0] 4 17 2 3" xfId="6458"/>
    <cellStyle name="쉼표 [0] 4 17 2 3 2" xfId="19131"/>
    <cellStyle name="쉼표 [0] 4 17 2 3 2 2" xfId="44483"/>
    <cellStyle name="쉼표 [0] 4 17 2 3 3" xfId="31811"/>
    <cellStyle name="쉼표 [0] 4 17 2 4" xfId="12795"/>
    <cellStyle name="쉼표 [0] 4 17 2 4 2" xfId="38147"/>
    <cellStyle name="쉼표 [0] 4 17 2 5" xfId="25475"/>
    <cellStyle name="쉼표 [0] 4 17 2 6" xfId="50764"/>
    <cellStyle name="쉼표 [0] 4 17 3" xfId="3218"/>
    <cellStyle name="쉼표 [0] 4 17 3 2" xfId="9554"/>
    <cellStyle name="쉼표 [0] 4 17 3 2 2" xfId="22227"/>
    <cellStyle name="쉼표 [0] 4 17 3 2 2 2" xfId="47579"/>
    <cellStyle name="쉼표 [0] 4 17 3 2 3" xfId="34907"/>
    <cellStyle name="쉼표 [0] 4 17 3 3" xfId="15891"/>
    <cellStyle name="쉼표 [0] 4 17 3 3 2" xfId="41243"/>
    <cellStyle name="쉼표 [0] 4 17 3 4" xfId="28571"/>
    <cellStyle name="쉼표 [0] 4 17 3 5" xfId="50765"/>
    <cellStyle name="쉼표 [0] 4 17 4" xfId="6457"/>
    <cellStyle name="쉼표 [0] 4 17 4 2" xfId="19130"/>
    <cellStyle name="쉼표 [0] 4 17 4 2 2" xfId="44482"/>
    <cellStyle name="쉼표 [0] 4 17 4 3" xfId="31810"/>
    <cellStyle name="쉼표 [0] 4 17 5" xfId="12794"/>
    <cellStyle name="쉼표 [0] 4 17 5 2" xfId="38146"/>
    <cellStyle name="쉼표 [0] 4 17 6" xfId="25474"/>
    <cellStyle name="쉼표 [0] 4 17 7" xfId="50766"/>
    <cellStyle name="쉼표 [0] 4 18" xfId="122"/>
    <cellStyle name="쉼표 [0] 4 18 2" xfId="123"/>
    <cellStyle name="쉼표 [0] 4 18 2 2" xfId="3219"/>
    <cellStyle name="쉼표 [0] 4 18 2 2 2" xfId="9555"/>
    <cellStyle name="쉼표 [0] 4 18 2 2 2 2" xfId="22228"/>
    <cellStyle name="쉼표 [0] 4 18 2 2 2 2 2" xfId="47580"/>
    <cellStyle name="쉼표 [0] 4 18 2 2 2 3" xfId="34908"/>
    <cellStyle name="쉼표 [0] 4 18 2 2 3" xfId="15892"/>
    <cellStyle name="쉼표 [0] 4 18 2 2 3 2" xfId="41244"/>
    <cellStyle name="쉼표 [0] 4 18 2 2 4" xfId="28572"/>
    <cellStyle name="쉼표 [0] 4 18 2 2 5" xfId="50767"/>
    <cellStyle name="쉼표 [0] 4 18 2 3" xfId="6460"/>
    <cellStyle name="쉼표 [0] 4 18 2 3 2" xfId="19133"/>
    <cellStyle name="쉼표 [0] 4 18 2 3 2 2" xfId="44485"/>
    <cellStyle name="쉼표 [0] 4 18 2 3 3" xfId="31813"/>
    <cellStyle name="쉼표 [0] 4 18 2 4" xfId="12797"/>
    <cellStyle name="쉼표 [0] 4 18 2 4 2" xfId="38149"/>
    <cellStyle name="쉼표 [0] 4 18 2 5" xfId="25477"/>
    <cellStyle name="쉼표 [0] 4 18 2 6" xfId="50768"/>
    <cellStyle name="쉼표 [0] 4 18 3" xfId="3220"/>
    <cellStyle name="쉼표 [0] 4 18 3 2" xfId="9556"/>
    <cellStyle name="쉼표 [0] 4 18 3 2 2" xfId="22229"/>
    <cellStyle name="쉼표 [0] 4 18 3 2 2 2" xfId="47581"/>
    <cellStyle name="쉼표 [0] 4 18 3 2 3" xfId="34909"/>
    <cellStyle name="쉼표 [0] 4 18 3 3" xfId="15893"/>
    <cellStyle name="쉼표 [0] 4 18 3 3 2" xfId="41245"/>
    <cellStyle name="쉼표 [0] 4 18 3 4" xfId="28573"/>
    <cellStyle name="쉼표 [0] 4 18 3 5" xfId="50769"/>
    <cellStyle name="쉼표 [0] 4 18 4" xfId="6459"/>
    <cellStyle name="쉼표 [0] 4 18 4 2" xfId="19132"/>
    <cellStyle name="쉼표 [0] 4 18 4 2 2" xfId="44484"/>
    <cellStyle name="쉼표 [0] 4 18 4 3" xfId="31812"/>
    <cellStyle name="쉼표 [0] 4 18 5" xfId="12796"/>
    <cellStyle name="쉼표 [0] 4 18 5 2" xfId="38148"/>
    <cellStyle name="쉼표 [0] 4 18 6" xfId="25476"/>
    <cellStyle name="쉼표 [0] 4 18 7" xfId="50770"/>
    <cellStyle name="쉼표 [0] 4 19" xfId="124"/>
    <cellStyle name="쉼표 [0] 4 19 2" xfId="125"/>
    <cellStyle name="쉼표 [0] 4 19 2 2" xfId="3221"/>
    <cellStyle name="쉼표 [0] 4 19 2 2 2" xfId="9557"/>
    <cellStyle name="쉼표 [0] 4 19 2 2 2 2" xfId="22230"/>
    <cellStyle name="쉼표 [0] 4 19 2 2 2 2 2" xfId="47582"/>
    <cellStyle name="쉼표 [0] 4 19 2 2 2 3" xfId="34910"/>
    <cellStyle name="쉼표 [0] 4 19 2 2 3" xfId="15894"/>
    <cellStyle name="쉼표 [0] 4 19 2 2 3 2" xfId="41246"/>
    <cellStyle name="쉼표 [0] 4 19 2 2 4" xfId="28574"/>
    <cellStyle name="쉼표 [0] 4 19 2 2 5" xfId="50771"/>
    <cellStyle name="쉼표 [0] 4 19 2 3" xfId="6462"/>
    <cellStyle name="쉼표 [0] 4 19 2 3 2" xfId="19135"/>
    <cellStyle name="쉼표 [0] 4 19 2 3 2 2" xfId="44487"/>
    <cellStyle name="쉼표 [0] 4 19 2 3 3" xfId="31815"/>
    <cellStyle name="쉼표 [0] 4 19 2 4" xfId="12799"/>
    <cellStyle name="쉼표 [0] 4 19 2 4 2" xfId="38151"/>
    <cellStyle name="쉼표 [0] 4 19 2 5" xfId="25479"/>
    <cellStyle name="쉼표 [0] 4 19 2 6" xfId="50772"/>
    <cellStyle name="쉼표 [0] 4 19 3" xfId="3222"/>
    <cellStyle name="쉼표 [0] 4 19 3 2" xfId="9558"/>
    <cellStyle name="쉼표 [0] 4 19 3 2 2" xfId="22231"/>
    <cellStyle name="쉼표 [0] 4 19 3 2 2 2" xfId="47583"/>
    <cellStyle name="쉼표 [0] 4 19 3 2 3" xfId="34911"/>
    <cellStyle name="쉼표 [0] 4 19 3 3" xfId="15895"/>
    <cellStyle name="쉼표 [0] 4 19 3 3 2" xfId="41247"/>
    <cellStyle name="쉼표 [0] 4 19 3 4" xfId="28575"/>
    <cellStyle name="쉼표 [0] 4 19 3 5" xfId="50773"/>
    <cellStyle name="쉼표 [0] 4 19 4" xfId="6461"/>
    <cellStyle name="쉼표 [0] 4 19 4 2" xfId="19134"/>
    <cellStyle name="쉼표 [0] 4 19 4 2 2" xfId="44486"/>
    <cellStyle name="쉼표 [0] 4 19 4 3" xfId="31814"/>
    <cellStyle name="쉼표 [0] 4 19 5" xfId="12798"/>
    <cellStyle name="쉼표 [0] 4 19 5 2" xfId="38150"/>
    <cellStyle name="쉼표 [0] 4 19 6" xfId="25478"/>
    <cellStyle name="쉼표 [0] 4 19 7" xfId="50774"/>
    <cellStyle name="쉼표 [0] 4 2" xfId="14"/>
    <cellStyle name="쉼표 [0] 4 2 10" xfId="126"/>
    <cellStyle name="쉼표 [0] 4 2 10 2" xfId="127"/>
    <cellStyle name="쉼표 [0] 4 2 10 2 2" xfId="3223"/>
    <cellStyle name="쉼표 [0] 4 2 10 2 2 2" xfId="9559"/>
    <cellStyle name="쉼표 [0] 4 2 10 2 2 2 2" xfId="22232"/>
    <cellStyle name="쉼표 [0] 4 2 10 2 2 2 2 2" xfId="47584"/>
    <cellStyle name="쉼표 [0] 4 2 10 2 2 2 3" xfId="34912"/>
    <cellStyle name="쉼표 [0] 4 2 10 2 2 3" xfId="15896"/>
    <cellStyle name="쉼표 [0] 4 2 10 2 2 3 2" xfId="41248"/>
    <cellStyle name="쉼표 [0] 4 2 10 2 2 4" xfId="28576"/>
    <cellStyle name="쉼표 [0] 4 2 10 2 2 5" xfId="50775"/>
    <cellStyle name="쉼표 [0] 4 2 10 2 3" xfId="6464"/>
    <cellStyle name="쉼표 [0] 4 2 10 2 3 2" xfId="19137"/>
    <cellStyle name="쉼표 [0] 4 2 10 2 3 2 2" xfId="44489"/>
    <cellStyle name="쉼표 [0] 4 2 10 2 3 3" xfId="31817"/>
    <cellStyle name="쉼표 [0] 4 2 10 2 4" xfId="12801"/>
    <cellStyle name="쉼표 [0] 4 2 10 2 4 2" xfId="38153"/>
    <cellStyle name="쉼표 [0] 4 2 10 2 5" xfId="25481"/>
    <cellStyle name="쉼표 [0] 4 2 10 2 6" xfId="50776"/>
    <cellStyle name="쉼표 [0] 4 2 10 3" xfId="3224"/>
    <cellStyle name="쉼표 [0] 4 2 10 3 2" xfId="9560"/>
    <cellStyle name="쉼표 [0] 4 2 10 3 2 2" xfId="22233"/>
    <cellStyle name="쉼표 [0] 4 2 10 3 2 2 2" xfId="47585"/>
    <cellStyle name="쉼표 [0] 4 2 10 3 2 3" xfId="34913"/>
    <cellStyle name="쉼표 [0] 4 2 10 3 3" xfId="15897"/>
    <cellStyle name="쉼표 [0] 4 2 10 3 3 2" xfId="41249"/>
    <cellStyle name="쉼표 [0] 4 2 10 3 4" xfId="28577"/>
    <cellStyle name="쉼표 [0] 4 2 10 3 5" xfId="50777"/>
    <cellStyle name="쉼표 [0] 4 2 10 4" xfId="6463"/>
    <cellStyle name="쉼표 [0] 4 2 10 4 2" xfId="19136"/>
    <cellStyle name="쉼표 [0] 4 2 10 4 2 2" xfId="44488"/>
    <cellStyle name="쉼표 [0] 4 2 10 4 3" xfId="31816"/>
    <cellStyle name="쉼표 [0] 4 2 10 5" xfId="12800"/>
    <cellStyle name="쉼표 [0] 4 2 10 5 2" xfId="38152"/>
    <cellStyle name="쉼표 [0] 4 2 10 6" xfId="25480"/>
    <cellStyle name="쉼표 [0] 4 2 10 7" xfId="50778"/>
    <cellStyle name="쉼표 [0] 4 2 11" xfId="128"/>
    <cellStyle name="쉼표 [0] 4 2 11 2" xfId="129"/>
    <cellStyle name="쉼표 [0] 4 2 11 2 2" xfId="3225"/>
    <cellStyle name="쉼표 [0] 4 2 11 2 2 2" xfId="9561"/>
    <cellStyle name="쉼표 [0] 4 2 11 2 2 2 2" xfId="22234"/>
    <cellStyle name="쉼표 [0] 4 2 11 2 2 2 2 2" xfId="47586"/>
    <cellStyle name="쉼표 [0] 4 2 11 2 2 2 3" xfId="34914"/>
    <cellStyle name="쉼표 [0] 4 2 11 2 2 3" xfId="15898"/>
    <cellStyle name="쉼표 [0] 4 2 11 2 2 3 2" xfId="41250"/>
    <cellStyle name="쉼표 [0] 4 2 11 2 2 4" xfId="28578"/>
    <cellStyle name="쉼표 [0] 4 2 11 2 2 5" xfId="50779"/>
    <cellStyle name="쉼표 [0] 4 2 11 2 3" xfId="6466"/>
    <cellStyle name="쉼표 [0] 4 2 11 2 3 2" xfId="19139"/>
    <cellStyle name="쉼표 [0] 4 2 11 2 3 2 2" xfId="44491"/>
    <cellStyle name="쉼표 [0] 4 2 11 2 3 3" xfId="31819"/>
    <cellStyle name="쉼표 [0] 4 2 11 2 4" xfId="12803"/>
    <cellStyle name="쉼표 [0] 4 2 11 2 4 2" xfId="38155"/>
    <cellStyle name="쉼표 [0] 4 2 11 2 5" xfId="25483"/>
    <cellStyle name="쉼표 [0] 4 2 11 2 6" xfId="50780"/>
    <cellStyle name="쉼표 [0] 4 2 11 3" xfId="3226"/>
    <cellStyle name="쉼표 [0] 4 2 11 3 2" xfId="9562"/>
    <cellStyle name="쉼표 [0] 4 2 11 3 2 2" xfId="22235"/>
    <cellStyle name="쉼표 [0] 4 2 11 3 2 2 2" xfId="47587"/>
    <cellStyle name="쉼표 [0] 4 2 11 3 2 3" xfId="34915"/>
    <cellStyle name="쉼표 [0] 4 2 11 3 3" xfId="15899"/>
    <cellStyle name="쉼표 [0] 4 2 11 3 3 2" xfId="41251"/>
    <cellStyle name="쉼표 [0] 4 2 11 3 4" xfId="28579"/>
    <cellStyle name="쉼표 [0] 4 2 11 3 5" xfId="50781"/>
    <cellStyle name="쉼표 [0] 4 2 11 4" xfId="6465"/>
    <cellStyle name="쉼표 [0] 4 2 11 4 2" xfId="19138"/>
    <cellStyle name="쉼표 [0] 4 2 11 4 2 2" xfId="44490"/>
    <cellStyle name="쉼표 [0] 4 2 11 4 3" xfId="31818"/>
    <cellStyle name="쉼표 [0] 4 2 11 5" xfId="12802"/>
    <cellStyle name="쉼표 [0] 4 2 11 5 2" xfId="38154"/>
    <cellStyle name="쉼표 [0] 4 2 11 6" xfId="25482"/>
    <cellStyle name="쉼표 [0] 4 2 11 7" xfId="50782"/>
    <cellStyle name="쉼표 [0] 4 2 12" xfId="130"/>
    <cellStyle name="쉼표 [0] 4 2 12 2" xfId="131"/>
    <cellStyle name="쉼표 [0] 4 2 12 2 2" xfId="3227"/>
    <cellStyle name="쉼표 [0] 4 2 12 2 2 2" xfId="9563"/>
    <cellStyle name="쉼표 [0] 4 2 12 2 2 2 2" xfId="22236"/>
    <cellStyle name="쉼표 [0] 4 2 12 2 2 2 2 2" xfId="47588"/>
    <cellStyle name="쉼표 [0] 4 2 12 2 2 2 3" xfId="34916"/>
    <cellStyle name="쉼표 [0] 4 2 12 2 2 3" xfId="15900"/>
    <cellStyle name="쉼표 [0] 4 2 12 2 2 3 2" xfId="41252"/>
    <cellStyle name="쉼표 [0] 4 2 12 2 2 4" xfId="28580"/>
    <cellStyle name="쉼표 [0] 4 2 12 2 2 5" xfId="50783"/>
    <cellStyle name="쉼표 [0] 4 2 12 2 3" xfId="6468"/>
    <cellStyle name="쉼표 [0] 4 2 12 2 3 2" xfId="19141"/>
    <cellStyle name="쉼표 [0] 4 2 12 2 3 2 2" xfId="44493"/>
    <cellStyle name="쉼표 [0] 4 2 12 2 3 3" xfId="31821"/>
    <cellStyle name="쉼표 [0] 4 2 12 2 4" xfId="12805"/>
    <cellStyle name="쉼표 [0] 4 2 12 2 4 2" xfId="38157"/>
    <cellStyle name="쉼표 [0] 4 2 12 2 5" xfId="25485"/>
    <cellStyle name="쉼표 [0] 4 2 12 2 6" xfId="50784"/>
    <cellStyle name="쉼표 [0] 4 2 12 3" xfId="3228"/>
    <cellStyle name="쉼표 [0] 4 2 12 3 2" xfId="9564"/>
    <cellStyle name="쉼표 [0] 4 2 12 3 2 2" xfId="22237"/>
    <cellStyle name="쉼표 [0] 4 2 12 3 2 2 2" xfId="47589"/>
    <cellStyle name="쉼표 [0] 4 2 12 3 2 3" xfId="34917"/>
    <cellStyle name="쉼표 [0] 4 2 12 3 3" xfId="15901"/>
    <cellStyle name="쉼표 [0] 4 2 12 3 3 2" xfId="41253"/>
    <cellStyle name="쉼표 [0] 4 2 12 3 4" xfId="28581"/>
    <cellStyle name="쉼표 [0] 4 2 12 3 5" xfId="50785"/>
    <cellStyle name="쉼표 [0] 4 2 12 4" xfId="6467"/>
    <cellStyle name="쉼표 [0] 4 2 12 4 2" xfId="19140"/>
    <cellStyle name="쉼표 [0] 4 2 12 4 2 2" xfId="44492"/>
    <cellStyle name="쉼표 [0] 4 2 12 4 3" xfId="31820"/>
    <cellStyle name="쉼표 [0] 4 2 12 5" xfId="12804"/>
    <cellStyle name="쉼표 [0] 4 2 12 5 2" xfId="38156"/>
    <cellStyle name="쉼표 [0] 4 2 12 6" xfId="25484"/>
    <cellStyle name="쉼표 [0] 4 2 12 7" xfId="50786"/>
    <cellStyle name="쉼표 [0] 4 2 13" xfId="132"/>
    <cellStyle name="쉼표 [0] 4 2 13 2" xfId="133"/>
    <cellStyle name="쉼표 [0] 4 2 13 2 2" xfId="3229"/>
    <cellStyle name="쉼표 [0] 4 2 13 2 2 2" xfId="9565"/>
    <cellStyle name="쉼표 [0] 4 2 13 2 2 2 2" xfId="22238"/>
    <cellStyle name="쉼표 [0] 4 2 13 2 2 2 2 2" xfId="47590"/>
    <cellStyle name="쉼표 [0] 4 2 13 2 2 2 3" xfId="34918"/>
    <cellStyle name="쉼표 [0] 4 2 13 2 2 3" xfId="15902"/>
    <cellStyle name="쉼표 [0] 4 2 13 2 2 3 2" xfId="41254"/>
    <cellStyle name="쉼표 [0] 4 2 13 2 2 4" xfId="28582"/>
    <cellStyle name="쉼표 [0] 4 2 13 2 2 5" xfId="50787"/>
    <cellStyle name="쉼표 [0] 4 2 13 2 3" xfId="6470"/>
    <cellStyle name="쉼표 [0] 4 2 13 2 3 2" xfId="19143"/>
    <cellStyle name="쉼표 [0] 4 2 13 2 3 2 2" xfId="44495"/>
    <cellStyle name="쉼표 [0] 4 2 13 2 3 3" xfId="31823"/>
    <cellStyle name="쉼표 [0] 4 2 13 2 4" xfId="12807"/>
    <cellStyle name="쉼표 [0] 4 2 13 2 4 2" xfId="38159"/>
    <cellStyle name="쉼표 [0] 4 2 13 2 5" xfId="25487"/>
    <cellStyle name="쉼표 [0] 4 2 13 2 6" xfId="50788"/>
    <cellStyle name="쉼표 [0] 4 2 13 3" xfId="3230"/>
    <cellStyle name="쉼표 [0] 4 2 13 3 2" xfId="9566"/>
    <cellStyle name="쉼표 [0] 4 2 13 3 2 2" xfId="22239"/>
    <cellStyle name="쉼표 [0] 4 2 13 3 2 2 2" xfId="47591"/>
    <cellStyle name="쉼표 [0] 4 2 13 3 2 3" xfId="34919"/>
    <cellStyle name="쉼표 [0] 4 2 13 3 3" xfId="15903"/>
    <cellStyle name="쉼표 [0] 4 2 13 3 3 2" xfId="41255"/>
    <cellStyle name="쉼표 [0] 4 2 13 3 4" xfId="28583"/>
    <cellStyle name="쉼표 [0] 4 2 13 3 5" xfId="50789"/>
    <cellStyle name="쉼표 [0] 4 2 13 4" xfId="6469"/>
    <cellStyle name="쉼표 [0] 4 2 13 4 2" xfId="19142"/>
    <cellStyle name="쉼표 [0] 4 2 13 4 2 2" xfId="44494"/>
    <cellStyle name="쉼표 [0] 4 2 13 4 3" xfId="31822"/>
    <cellStyle name="쉼표 [0] 4 2 13 5" xfId="12806"/>
    <cellStyle name="쉼표 [0] 4 2 13 5 2" xfId="38158"/>
    <cellStyle name="쉼표 [0] 4 2 13 6" xfId="25486"/>
    <cellStyle name="쉼표 [0] 4 2 13 7" xfId="50790"/>
    <cellStyle name="쉼표 [0] 4 2 14" xfId="134"/>
    <cellStyle name="쉼표 [0] 4 2 14 2" xfId="135"/>
    <cellStyle name="쉼표 [0] 4 2 14 2 2" xfId="3231"/>
    <cellStyle name="쉼표 [0] 4 2 14 2 2 2" xfId="9567"/>
    <cellStyle name="쉼표 [0] 4 2 14 2 2 2 2" xfId="22240"/>
    <cellStyle name="쉼표 [0] 4 2 14 2 2 2 2 2" xfId="47592"/>
    <cellStyle name="쉼표 [0] 4 2 14 2 2 2 3" xfId="34920"/>
    <cellStyle name="쉼표 [0] 4 2 14 2 2 3" xfId="15904"/>
    <cellStyle name="쉼표 [0] 4 2 14 2 2 3 2" xfId="41256"/>
    <cellStyle name="쉼표 [0] 4 2 14 2 2 4" xfId="28584"/>
    <cellStyle name="쉼표 [0] 4 2 14 2 2 5" xfId="50791"/>
    <cellStyle name="쉼표 [0] 4 2 14 2 3" xfId="6472"/>
    <cellStyle name="쉼표 [0] 4 2 14 2 3 2" xfId="19145"/>
    <cellStyle name="쉼표 [0] 4 2 14 2 3 2 2" xfId="44497"/>
    <cellStyle name="쉼표 [0] 4 2 14 2 3 3" xfId="31825"/>
    <cellStyle name="쉼표 [0] 4 2 14 2 4" xfId="12809"/>
    <cellStyle name="쉼표 [0] 4 2 14 2 4 2" xfId="38161"/>
    <cellStyle name="쉼표 [0] 4 2 14 2 5" xfId="25489"/>
    <cellStyle name="쉼표 [0] 4 2 14 2 6" xfId="50792"/>
    <cellStyle name="쉼표 [0] 4 2 14 3" xfId="3232"/>
    <cellStyle name="쉼표 [0] 4 2 14 3 2" xfId="9568"/>
    <cellStyle name="쉼표 [0] 4 2 14 3 2 2" xfId="22241"/>
    <cellStyle name="쉼표 [0] 4 2 14 3 2 2 2" xfId="47593"/>
    <cellStyle name="쉼표 [0] 4 2 14 3 2 3" xfId="34921"/>
    <cellStyle name="쉼표 [0] 4 2 14 3 3" xfId="15905"/>
    <cellStyle name="쉼표 [0] 4 2 14 3 3 2" xfId="41257"/>
    <cellStyle name="쉼표 [0] 4 2 14 3 4" xfId="28585"/>
    <cellStyle name="쉼표 [0] 4 2 14 3 5" xfId="50793"/>
    <cellStyle name="쉼표 [0] 4 2 14 4" xfId="6471"/>
    <cellStyle name="쉼표 [0] 4 2 14 4 2" xfId="19144"/>
    <cellStyle name="쉼표 [0] 4 2 14 4 2 2" xfId="44496"/>
    <cellStyle name="쉼표 [0] 4 2 14 4 3" xfId="31824"/>
    <cellStyle name="쉼표 [0] 4 2 14 5" xfId="12808"/>
    <cellStyle name="쉼표 [0] 4 2 14 5 2" xfId="38160"/>
    <cellStyle name="쉼표 [0] 4 2 14 6" xfId="25488"/>
    <cellStyle name="쉼표 [0] 4 2 14 7" xfId="50794"/>
    <cellStyle name="쉼표 [0] 4 2 15" xfId="136"/>
    <cellStyle name="쉼표 [0] 4 2 15 2" xfId="137"/>
    <cellStyle name="쉼표 [0] 4 2 15 2 2" xfId="3233"/>
    <cellStyle name="쉼표 [0] 4 2 15 2 2 2" xfId="9569"/>
    <cellStyle name="쉼표 [0] 4 2 15 2 2 2 2" xfId="22242"/>
    <cellStyle name="쉼표 [0] 4 2 15 2 2 2 2 2" xfId="47594"/>
    <cellStyle name="쉼표 [0] 4 2 15 2 2 2 3" xfId="34922"/>
    <cellStyle name="쉼표 [0] 4 2 15 2 2 3" xfId="15906"/>
    <cellStyle name="쉼표 [0] 4 2 15 2 2 3 2" xfId="41258"/>
    <cellStyle name="쉼표 [0] 4 2 15 2 2 4" xfId="28586"/>
    <cellStyle name="쉼표 [0] 4 2 15 2 2 5" xfId="50795"/>
    <cellStyle name="쉼표 [0] 4 2 15 2 3" xfId="6474"/>
    <cellStyle name="쉼표 [0] 4 2 15 2 3 2" xfId="19147"/>
    <cellStyle name="쉼표 [0] 4 2 15 2 3 2 2" xfId="44499"/>
    <cellStyle name="쉼표 [0] 4 2 15 2 3 3" xfId="31827"/>
    <cellStyle name="쉼표 [0] 4 2 15 2 4" xfId="12811"/>
    <cellStyle name="쉼표 [0] 4 2 15 2 4 2" xfId="38163"/>
    <cellStyle name="쉼표 [0] 4 2 15 2 5" xfId="25491"/>
    <cellStyle name="쉼표 [0] 4 2 15 2 6" xfId="50796"/>
    <cellStyle name="쉼표 [0] 4 2 15 3" xfId="3234"/>
    <cellStyle name="쉼표 [0] 4 2 15 3 2" xfId="9570"/>
    <cellStyle name="쉼표 [0] 4 2 15 3 2 2" xfId="22243"/>
    <cellStyle name="쉼표 [0] 4 2 15 3 2 2 2" xfId="47595"/>
    <cellStyle name="쉼표 [0] 4 2 15 3 2 3" xfId="34923"/>
    <cellStyle name="쉼표 [0] 4 2 15 3 3" xfId="15907"/>
    <cellStyle name="쉼표 [0] 4 2 15 3 3 2" xfId="41259"/>
    <cellStyle name="쉼표 [0] 4 2 15 3 4" xfId="28587"/>
    <cellStyle name="쉼표 [0] 4 2 15 3 5" xfId="50797"/>
    <cellStyle name="쉼표 [0] 4 2 15 4" xfId="6473"/>
    <cellStyle name="쉼표 [0] 4 2 15 4 2" xfId="19146"/>
    <cellStyle name="쉼표 [0] 4 2 15 4 2 2" xfId="44498"/>
    <cellStyle name="쉼표 [0] 4 2 15 4 3" xfId="31826"/>
    <cellStyle name="쉼표 [0] 4 2 15 5" xfId="12810"/>
    <cellStyle name="쉼표 [0] 4 2 15 5 2" xfId="38162"/>
    <cellStyle name="쉼표 [0] 4 2 15 6" xfId="25490"/>
    <cellStyle name="쉼표 [0] 4 2 15 7" xfId="50798"/>
    <cellStyle name="쉼표 [0] 4 2 16" xfId="138"/>
    <cellStyle name="쉼표 [0] 4 2 16 2" xfId="139"/>
    <cellStyle name="쉼표 [0] 4 2 16 2 2" xfId="3235"/>
    <cellStyle name="쉼표 [0] 4 2 16 2 2 2" xfId="9571"/>
    <cellStyle name="쉼표 [0] 4 2 16 2 2 2 2" xfId="22244"/>
    <cellStyle name="쉼표 [0] 4 2 16 2 2 2 2 2" xfId="47596"/>
    <cellStyle name="쉼표 [0] 4 2 16 2 2 2 3" xfId="34924"/>
    <cellStyle name="쉼표 [0] 4 2 16 2 2 3" xfId="15908"/>
    <cellStyle name="쉼표 [0] 4 2 16 2 2 3 2" xfId="41260"/>
    <cellStyle name="쉼표 [0] 4 2 16 2 2 4" xfId="28588"/>
    <cellStyle name="쉼표 [0] 4 2 16 2 2 5" xfId="50799"/>
    <cellStyle name="쉼표 [0] 4 2 16 2 3" xfId="6476"/>
    <cellStyle name="쉼표 [0] 4 2 16 2 3 2" xfId="19149"/>
    <cellStyle name="쉼표 [0] 4 2 16 2 3 2 2" xfId="44501"/>
    <cellStyle name="쉼표 [0] 4 2 16 2 3 3" xfId="31829"/>
    <cellStyle name="쉼표 [0] 4 2 16 2 4" xfId="12813"/>
    <cellStyle name="쉼표 [0] 4 2 16 2 4 2" xfId="38165"/>
    <cellStyle name="쉼표 [0] 4 2 16 2 5" xfId="25493"/>
    <cellStyle name="쉼표 [0] 4 2 16 2 6" xfId="50800"/>
    <cellStyle name="쉼표 [0] 4 2 16 3" xfId="3236"/>
    <cellStyle name="쉼표 [0] 4 2 16 3 2" xfId="9572"/>
    <cellStyle name="쉼표 [0] 4 2 16 3 2 2" xfId="22245"/>
    <cellStyle name="쉼표 [0] 4 2 16 3 2 2 2" xfId="47597"/>
    <cellStyle name="쉼표 [0] 4 2 16 3 2 3" xfId="34925"/>
    <cellStyle name="쉼표 [0] 4 2 16 3 3" xfId="15909"/>
    <cellStyle name="쉼표 [0] 4 2 16 3 3 2" xfId="41261"/>
    <cellStyle name="쉼표 [0] 4 2 16 3 4" xfId="28589"/>
    <cellStyle name="쉼표 [0] 4 2 16 3 5" xfId="50801"/>
    <cellStyle name="쉼표 [0] 4 2 16 4" xfId="6475"/>
    <cellStyle name="쉼표 [0] 4 2 16 4 2" xfId="19148"/>
    <cellStyle name="쉼표 [0] 4 2 16 4 2 2" xfId="44500"/>
    <cellStyle name="쉼표 [0] 4 2 16 4 3" xfId="31828"/>
    <cellStyle name="쉼표 [0] 4 2 16 5" xfId="12812"/>
    <cellStyle name="쉼표 [0] 4 2 16 5 2" xfId="38164"/>
    <cellStyle name="쉼표 [0] 4 2 16 6" xfId="25492"/>
    <cellStyle name="쉼표 [0] 4 2 16 7" xfId="50802"/>
    <cellStyle name="쉼표 [0] 4 2 17" xfId="140"/>
    <cellStyle name="쉼표 [0] 4 2 17 2" xfId="141"/>
    <cellStyle name="쉼표 [0] 4 2 17 2 2" xfId="3237"/>
    <cellStyle name="쉼표 [0] 4 2 17 2 2 2" xfId="9573"/>
    <cellStyle name="쉼표 [0] 4 2 17 2 2 2 2" xfId="22246"/>
    <cellStyle name="쉼표 [0] 4 2 17 2 2 2 2 2" xfId="47598"/>
    <cellStyle name="쉼표 [0] 4 2 17 2 2 2 3" xfId="34926"/>
    <cellStyle name="쉼표 [0] 4 2 17 2 2 3" xfId="15910"/>
    <cellStyle name="쉼표 [0] 4 2 17 2 2 3 2" xfId="41262"/>
    <cellStyle name="쉼표 [0] 4 2 17 2 2 4" xfId="28590"/>
    <cellStyle name="쉼표 [0] 4 2 17 2 2 5" xfId="50803"/>
    <cellStyle name="쉼표 [0] 4 2 17 2 3" xfId="6478"/>
    <cellStyle name="쉼표 [0] 4 2 17 2 3 2" xfId="19151"/>
    <cellStyle name="쉼표 [0] 4 2 17 2 3 2 2" xfId="44503"/>
    <cellStyle name="쉼표 [0] 4 2 17 2 3 3" xfId="31831"/>
    <cellStyle name="쉼표 [0] 4 2 17 2 4" xfId="12815"/>
    <cellStyle name="쉼표 [0] 4 2 17 2 4 2" xfId="38167"/>
    <cellStyle name="쉼표 [0] 4 2 17 2 5" xfId="25495"/>
    <cellStyle name="쉼표 [0] 4 2 17 2 6" xfId="50804"/>
    <cellStyle name="쉼표 [0] 4 2 17 3" xfId="3238"/>
    <cellStyle name="쉼표 [0] 4 2 17 3 2" xfId="9574"/>
    <cellStyle name="쉼표 [0] 4 2 17 3 2 2" xfId="22247"/>
    <cellStyle name="쉼표 [0] 4 2 17 3 2 2 2" xfId="47599"/>
    <cellStyle name="쉼표 [0] 4 2 17 3 2 3" xfId="34927"/>
    <cellStyle name="쉼표 [0] 4 2 17 3 3" xfId="15911"/>
    <cellStyle name="쉼표 [0] 4 2 17 3 3 2" xfId="41263"/>
    <cellStyle name="쉼표 [0] 4 2 17 3 4" xfId="28591"/>
    <cellStyle name="쉼표 [0] 4 2 17 3 5" xfId="50805"/>
    <cellStyle name="쉼표 [0] 4 2 17 4" xfId="6477"/>
    <cellStyle name="쉼표 [0] 4 2 17 4 2" xfId="19150"/>
    <cellStyle name="쉼표 [0] 4 2 17 4 2 2" xfId="44502"/>
    <cellStyle name="쉼표 [0] 4 2 17 4 3" xfId="31830"/>
    <cellStyle name="쉼표 [0] 4 2 17 5" xfId="12814"/>
    <cellStyle name="쉼표 [0] 4 2 17 5 2" xfId="38166"/>
    <cellStyle name="쉼표 [0] 4 2 17 6" xfId="25494"/>
    <cellStyle name="쉼표 [0] 4 2 17 7" xfId="50806"/>
    <cellStyle name="쉼표 [0] 4 2 18" xfId="142"/>
    <cellStyle name="쉼표 [0] 4 2 18 2" xfId="143"/>
    <cellStyle name="쉼표 [0] 4 2 18 2 2" xfId="3239"/>
    <cellStyle name="쉼표 [0] 4 2 18 2 2 2" xfId="9575"/>
    <cellStyle name="쉼표 [0] 4 2 18 2 2 2 2" xfId="22248"/>
    <cellStyle name="쉼표 [0] 4 2 18 2 2 2 2 2" xfId="47600"/>
    <cellStyle name="쉼표 [0] 4 2 18 2 2 2 3" xfId="34928"/>
    <cellStyle name="쉼표 [0] 4 2 18 2 2 3" xfId="15912"/>
    <cellStyle name="쉼표 [0] 4 2 18 2 2 3 2" xfId="41264"/>
    <cellStyle name="쉼표 [0] 4 2 18 2 2 4" xfId="28592"/>
    <cellStyle name="쉼표 [0] 4 2 18 2 2 5" xfId="50807"/>
    <cellStyle name="쉼표 [0] 4 2 18 2 3" xfId="6480"/>
    <cellStyle name="쉼표 [0] 4 2 18 2 3 2" xfId="19153"/>
    <cellStyle name="쉼표 [0] 4 2 18 2 3 2 2" xfId="44505"/>
    <cellStyle name="쉼표 [0] 4 2 18 2 3 3" xfId="31833"/>
    <cellStyle name="쉼표 [0] 4 2 18 2 4" xfId="12817"/>
    <cellStyle name="쉼표 [0] 4 2 18 2 4 2" xfId="38169"/>
    <cellStyle name="쉼표 [0] 4 2 18 2 5" xfId="25497"/>
    <cellStyle name="쉼표 [0] 4 2 18 2 6" xfId="50808"/>
    <cellStyle name="쉼표 [0] 4 2 18 3" xfId="3240"/>
    <cellStyle name="쉼표 [0] 4 2 18 3 2" xfId="9576"/>
    <cellStyle name="쉼표 [0] 4 2 18 3 2 2" xfId="22249"/>
    <cellStyle name="쉼표 [0] 4 2 18 3 2 2 2" xfId="47601"/>
    <cellStyle name="쉼표 [0] 4 2 18 3 2 3" xfId="34929"/>
    <cellStyle name="쉼표 [0] 4 2 18 3 3" xfId="15913"/>
    <cellStyle name="쉼표 [0] 4 2 18 3 3 2" xfId="41265"/>
    <cellStyle name="쉼표 [0] 4 2 18 3 4" xfId="28593"/>
    <cellStyle name="쉼표 [0] 4 2 18 3 5" xfId="50809"/>
    <cellStyle name="쉼표 [0] 4 2 18 4" xfId="6479"/>
    <cellStyle name="쉼표 [0] 4 2 18 4 2" xfId="19152"/>
    <cellStyle name="쉼표 [0] 4 2 18 4 2 2" xfId="44504"/>
    <cellStyle name="쉼표 [0] 4 2 18 4 3" xfId="31832"/>
    <cellStyle name="쉼표 [0] 4 2 18 5" xfId="12816"/>
    <cellStyle name="쉼표 [0] 4 2 18 5 2" xfId="38168"/>
    <cellStyle name="쉼표 [0] 4 2 18 6" xfId="25496"/>
    <cellStyle name="쉼표 [0] 4 2 18 7" xfId="50810"/>
    <cellStyle name="쉼표 [0] 4 2 19" xfId="144"/>
    <cellStyle name="쉼표 [0] 4 2 19 2" xfId="145"/>
    <cellStyle name="쉼표 [0] 4 2 19 2 2" xfId="3241"/>
    <cellStyle name="쉼표 [0] 4 2 19 2 2 2" xfId="9577"/>
    <cellStyle name="쉼표 [0] 4 2 19 2 2 2 2" xfId="22250"/>
    <cellStyle name="쉼표 [0] 4 2 19 2 2 2 2 2" xfId="47602"/>
    <cellStyle name="쉼표 [0] 4 2 19 2 2 2 3" xfId="34930"/>
    <cellStyle name="쉼표 [0] 4 2 19 2 2 3" xfId="15914"/>
    <cellStyle name="쉼표 [0] 4 2 19 2 2 3 2" xfId="41266"/>
    <cellStyle name="쉼표 [0] 4 2 19 2 2 4" xfId="28594"/>
    <cellStyle name="쉼표 [0] 4 2 19 2 2 5" xfId="50811"/>
    <cellStyle name="쉼표 [0] 4 2 19 2 3" xfId="6482"/>
    <cellStyle name="쉼표 [0] 4 2 19 2 3 2" xfId="19155"/>
    <cellStyle name="쉼표 [0] 4 2 19 2 3 2 2" xfId="44507"/>
    <cellStyle name="쉼표 [0] 4 2 19 2 3 3" xfId="31835"/>
    <cellStyle name="쉼표 [0] 4 2 19 2 4" xfId="12819"/>
    <cellStyle name="쉼표 [0] 4 2 19 2 4 2" xfId="38171"/>
    <cellStyle name="쉼표 [0] 4 2 19 2 5" xfId="25499"/>
    <cellStyle name="쉼표 [0] 4 2 19 2 6" xfId="50812"/>
    <cellStyle name="쉼표 [0] 4 2 19 3" xfId="3242"/>
    <cellStyle name="쉼표 [0] 4 2 19 3 2" xfId="9578"/>
    <cellStyle name="쉼표 [0] 4 2 19 3 2 2" xfId="22251"/>
    <cellStyle name="쉼표 [0] 4 2 19 3 2 2 2" xfId="47603"/>
    <cellStyle name="쉼표 [0] 4 2 19 3 2 3" xfId="34931"/>
    <cellStyle name="쉼표 [0] 4 2 19 3 3" xfId="15915"/>
    <cellStyle name="쉼표 [0] 4 2 19 3 3 2" xfId="41267"/>
    <cellStyle name="쉼표 [0] 4 2 19 3 4" xfId="28595"/>
    <cellStyle name="쉼표 [0] 4 2 19 3 5" xfId="50813"/>
    <cellStyle name="쉼표 [0] 4 2 19 4" xfId="6481"/>
    <cellStyle name="쉼표 [0] 4 2 19 4 2" xfId="19154"/>
    <cellStyle name="쉼표 [0] 4 2 19 4 2 2" xfId="44506"/>
    <cellStyle name="쉼표 [0] 4 2 19 4 3" xfId="31834"/>
    <cellStyle name="쉼표 [0] 4 2 19 5" xfId="12818"/>
    <cellStyle name="쉼표 [0] 4 2 19 5 2" xfId="38170"/>
    <cellStyle name="쉼표 [0] 4 2 19 6" xfId="25498"/>
    <cellStyle name="쉼표 [0] 4 2 19 7" xfId="50814"/>
    <cellStyle name="쉼표 [0] 4 2 2" xfId="20"/>
    <cellStyle name="쉼표 [0] 4 2 2 10" xfId="146"/>
    <cellStyle name="쉼표 [0] 4 2 2 10 2" xfId="147"/>
    <cellStyle name="쉼표 [0] 4 2 2 10 2 2" xfId="3243"/>
    <cellStyle name="쉼표 [0] 4 2 2 10 2 2 2" xfId="9579"/>
    <cellStyle name="쉼표 [0] 4 2 2 10 2 2 2 2" xfId="22252"/>
    <cellStyle name="쉼표 [0] 4 2 2 10 2 2 2 2 2" xfId="47604"/>
    <cellStyle name="쉼표 [0] 4 2 2 10 2 2 2 3" xfId="34932"/>
    <cellStyle name="쉼표 [0] 4 2 2 10 2 2 3" xfId="15916"/>
    <cellStyle name="쉼표 [0] 4 2 2 10 2 2 3 2" xfId="41268"/>
    <cellStyle name="쉼표 [0] 4 2 2 10 2 2 4" xfId="28596"/>
    <cellStyle name="쉼표 [0] 4 2 2 10 2 2 5" xfId="50815"/>
    <cellStyle name="쉼표 [0] 4 2 2 10 2 3" xfId="6484"/>
    <cellStyle name="쉼표 [0] 4 2 2 10 2 3 2" xfId="19157"/>
    <cellStyle name="쉼표 [0] 4 2 2 10 2 3 2 2" xfId="44509"/>
    <cellStyle name="쉼표 [0] 4 2 2 10 2 3 3" xfId="31837"/>
    <cellStyle name="쉼표 [0] 4 2 2 10 2 4" xfId="12821"/>
    <cellStyle name="쉼표 [0] 4 2 2 10 2 4 2" xfId="38173"/>
    <cellStyle name="쉼표 [0] 4 2 2 10 2 5" xfId="25501"/>
    <cellStyle name="쉼표 [0] 4 2 2 10 2 6" xfId="50816"/>
    <cellStyle name="쉼표 [0] 4 2 2 10 3" xfId="3244"/>
    <cellStyle name="쉼표 [0] 4 2 2 10 3 2" xfId="9580"/>
    <cellStyle name="쉼표 [0] 4 2 2 10 3 2 2" xfId="22253"/>
    <cellStyle name="쉼표 [0] 4 2 2 10 3 2 2 2" xfId="47605"/>
    <cellStyle name="쉼표 [0] 4 2 2 10 3 2 3" xfId="34933"/>
    <cellStyle name="쉼표 [0] 4 2 2 10 3 3" xfId="15917"/>
    <cellStyle name="쉼표 [0] 4 2 2 10 3 3 2" xfId="41269"/>
    <cellStyle name="쉼표 [0] 4 2 2 10 3 4" xfId="28597"/>
    <cellStyle name="쉼표 [0] 4 2 2 10 3 5" xfId="50817"/>
    <cellStyle name="쉼표 [0] 4 2 2 10 4" xfId="6483"/>
    <cellStyle name="쉼표 [0] 4 2 2 10 4 2" xfId="19156"/>
    <cellStyle name="쉼표 [0] 4 2 2 10 4 2 2" xfId="44508"/>
    <cellStyle name="쉼표 [0] 4 2 2 10 4 3" xfId="31836"/>
    <cellStyle name="쉼표 [0] 4 2 2 10 5" xfId="12820"/>
    <cellStyle name="쉼표 [0] 4 2 2 10 5 2" xfId="38172"/>
    <cellStyle name="쉼표 [0] 4 2 2 10 6" xfId="25500"/>
    <cellStyle name="쉼표 [0] 4 2 2 10 7" xfId="50818"/>
    <cellStyle name="쉼표 [0] 4 2 2 11" xfId="148"/>
    <cellStyle name="쉼표 [0] 4 2 2 11 2" xfId="149"/>
    <cellStyle name="쉼표 [0] 4 2 2 11 2 2" xfId="3245"/>
    <cellStyle name="쉼표 [0] 4 2 2 11 2 2 2" xfId="9581"/>
    <cellStyle name="쉼표 [0] 4 2 2 11 2 2 2 2" xfId="22254"/>
    <cellStyle name="쉼표 [0] 4 2 2 11 2 2 2 2 2" xfId="47606"/>
    <cellStyle name="쉼표 [0] 4 2 2 11 2 2 2 3" xfId="34934"/>
    <cellStyle name="쉼표 [0] 4 2 2 11 2 2 3" xfId="15918"/>
    <cellStyle name="쉼표 [0] 4 2 2 11 2 2 3 2" xfId="41270"/>
    <cellStyle name="쉼표 [0] 4 2 2 11 2 2 4" xfId="28598"/>
    <cellStyle name="쉼표 [0] 4 2 2 11 2 2 5" xfId="50819"/>
    <cellStyle name="쉼표 [0] 4 2 2 11 2 3" xfId="6486"/>
    <cellStyle name="쉼표 [0] 4 2 2 11 2 3 2" xfId="19159"/>
    <cellStyle name="쉼표 [0] 4 2 2 11 2 3 2 2" xfId="44511"/>
    <cellStyle name="쉼표 [0] 4 2 2 11 2 3 3" xfId="31839"/>
    <cellStyle name="쉼표 [0] 4 2 2 11 2 4" xfId="12823"/>
    <cellStyle name="쉼표 [0] 4 2 2 11 2 4 2" xfId="38175"/>
    <cellStyle name="쉼표 [0] 4 2 2 11 2 5" xfId="25503"/>
    <cellStyle name="쉼표 [0] 4 2 2 11 2 6" xfId="50820"/>
    <cellStyle name="쉼표 [0] 4 2 2 11 3" xfId="3246"/>
    <cellStyle name="쉼표 [0] 4 2 2 11 3 2" xfId="9582"/>
    <cellStyle name="쉼표 [0] 4 2 2 11 3 2 2" xfId="22255"/>
    <cellStyle name="쉼표 [0] 4 2 2 11 3 2 2 2" xfId="47607"/>
    <cellStyle name="쉼표 [0] 4 2 2 11 3 2 3" xfId="34935"/>
    <cellStyle name="쉼표 [0] 4 2 2 11 3 3" xfId="15919"/>
    <cellStyle name="쉼표 [0] 4 2 2 11 3 3 2" xfId="41271"/>
    <cellStyle name="쉼표 [0] 4 2 2 11 3 4" xfId="28599"/>
    <cellStyle name="쉼표 [0] 4 2 2 11 3 5" xfId="50821"/>
    <cellStyle name="쉼표 [0] 4 2 2 11 4" xfId="6485"/>
    <cellStyle name="쉼표 [0] 4 2 2 11 4 2" xfId="19158"/>
    <cellStyle name="쉼표 [0] 4 2 2 11 4 2 2" xfId="44510"/>
    <cellStyle name="쉼표 [0] 4 2 2 11 4 3" xfId="31838"/>
    <cellStyle name="쉼표 [0] 4 2 2 11 5" xfId="12822"/>
    <cellStyle name="쉼표 [0] 4 2 2 11 5 2" xfId="38174"/>
    <cellStyle name="쉼표 [0] 4 2 2 11 6" xfId="25502"/>
    <cellStyle name="쉼표 [0] 4 2 2 11 7" xfId="50822"/>
    <cellStyle name="쉼표 [0] 4 2 2 12" xfId="150"/>
    <cellStyle name="쉼표 [0] 4 2 2 12 2" xfId="151"/>
    <cellStyle name="쉼표 [0] 4 2 2 12 2 2" xfId="3247"/>
    <cellStyle name="쉼표 [0] 4 2 2 12 2 2 2" xfId="9583"/>
    <cellStyle name="쉼표 [0] 4 2 2 12 2 2 2 2" xfId="22256"/>
    <cellStyle name="쉼표 [0] 4 2 2 12 2 2 2 2 2" xfId="47608"/>
    <cellStyle name="쉼표 [0] 4 2 2 12 2 2 2 3" xfId="34936"/>
    <cellStyle name="쉼표 [0] 4 2 2 12 2 2 3" xfId="15920"/>
    <cellStyle name="쉼표 [0] 4 2 2 12 2 2 3 2" xfId="41272"/>
    <cellStyle name="쉼표 [0] 4 2 2 12 2 2 4" xfId="28600"/>
    <cellStyle name="쉼표 [0] 4 2 2 12 2 2 5" xfId="50823"/>
    <cellStyle name="쉼표 [0] 4 2 2 12 2 3" xfId="6488"/>
    <cellStyle name="쉼표 [0] 4 2 2 12 2 3 2" xfId="19161"/>
    <cellStyle name="쉼표 [0] 4 2 2 12 2 3 2 2" xfId="44513"/>
    <cellStyle name="쉼표 [0] 4 2 2 12 2 3 3" xfId="31841"/>
    <cellStyle name="쉼표 [0] 4 2 2 12 2 4" xfId="12825"/>
    <cellStyle name="쉼표 [0] 4 2 2 12 2 4 2" xfId="38177"/>
    <cellStyle name="쉼표 [0] 4 2 2 12 2 5" xfId="25505"/>
    <cellStyle name="쉼표 [0] 4 2 2 12 2 6" xfId="50824"/>
    <cellStyle name="쉼표 [0] 4 2 2 12 3" xfId="3248"/>
    <cellStyle name="쉼표 [0] 4 2 2 12 3 2" xfId="9584"/>
    <cellStyle name="쉼표 [0] 4 2 2 12 3 2 2" xfId="22257"/>
    <cellStyle name="쉼표 [0] 4 2 2 12 3 2 2 2" xfId="47609"/>
    <cellStyle name="쉼표 [0] 4 2 2 12 3 2 3" xfId="34937"/>
    <cellStyle name="쉼표 [0] 4 2 2 12 3 3" xfId="15921"/>
    <cellStyle name="쉼표 [0] 4 2 2 12 3 3 2" xfId="41273"/>
    <cellStyle name="쉼표 [0] 4 2 2 12 3 4" xfId="28601"/>
    <cellStyle name="쉼표 [0] 4 2 2 12 3 5" xfId="50825"/>
    <cellStyle name="쉼표 [0] 4 2 2 12 4" xfId="6487"/>
    <cellStyle name="쉼표 [0] 4 2 2 12 4 2" xfId="19160"/>
    <cellStyle name="쉼표 [0] 4 2 2 12 4 2 2" xfId="44512"/>
    <cellStyle name="쉼표 [0] 4 2 2 12 4 3" xfId="31840"/>
    <cellStyle name="쉼표 [0] 4 2 2 12 5" xfId="12824"/>
    <cellStyle name="쉼표 [0] 4 2 2 12 5 2" xfId="38176"/>
    <cellStyle name="쉼표 [0] 4 2 2 12 6" xfId="25504"/>
    <cellStyle name="쉼표 [0] 4 2 2 12 7" xfId="50826"/>
    <cellStyle name="쉼표 [0] 4 2 2 13" xfId="152"/>
    <cellStyle name="쉼표 [0] 4 2 2 13 2" xfId="153"/>
    <cellStyle name="쉼표 [0] 4 2 2 13 2 2" xfId="3249"/>
    <cellStyle name="쉼표 [0] 4 2 2 13 2 2 2" xfId="9585"/>
    <cellStyle name="쉼표 [0] 4 2 2 13 2 2 2 2" xfId="22258"/>
    <cellStyle name="쉼표 [0] 4 2 2 13 2 2 2 2 2" xfId="47610"/>
    <cellStyle name="쉼표 [0] 4 2 2 13 2 2 2 3" xfId="34938"/>
    <cellStyle name="쉼표 [0] 4 2 2 13 2 2 3" xfId="15922"/>
    <cellStyle name="쉼표 [0] 4 2 2 13 2 2 3 2" xfId="41274"/>
    <cellStyle name="쉼표 [0] 4 2 2 13 2 2 4" xfId="28602"/>
    <cellStyle name="쉼표 [0] 4 2 2 13 2 2 5" xfId="50827"/>
    <cellStyle name="쉼표 [0] 4 2 2 13 2 3" xfId="6490"/>
    <cellStyle name="쉼표 [0] 4 2 2 13 2 3 2" xfId="19163"/>
    <cellStyle name="쉼표 [0] 4 2 2 13 2 3 2 2" xfId="44515"/>
    <cellStyle name="쉼표 [0] 4 2 2 13 2 3 3" xfId="31843"/>
    <cellStyle name="쉼표 [0] 4 2 2 13 2 4" xfId="12827"/>
    <cellStyle name="쉼표 [0] 4 2 2 13 2 4 2" xfId="38179"/>
    <cellStyle name="쉼표 [0] 4 2 2 13 2 5" xfId="25507"/>
    <cellStyle name="쉼표 [0] 4 2 2 13 2 6" xfId="50828"/>
    <cellStyle name="쉼표 [0] 4 2 2 13 3" xfId="3250"/>
    <cellStyle name="쉼표 [0] 4 2 2 13 3 2" xfId="9586"/>
    <cellStyle name="쉼표 [0] 4 2 2 13 3 2 2" xfId="22259"/>
    <cellStyle name="쉼표 [0] 4 2 2 13 3 2 2 2" xfId="47611"/>
    <cellStyle name="쉼표 [0] 4 2 2 13 3 2 3" xfId="34939"/>
    <cellStyle name="쉼표 [0] 4 2 2 13 3 3" xfId="15923"/>
    <cellStyle name="쉼표 [0] 4 2 2 13 3 3 2" xfId="41275"/>
    <cellStyle name="쉼표 [0] 4 2 2 13 3 4" xfId="28603"/>
    <cellStyle name="쉼표 [0] 4 2 2 13 3 5" xfId="50829"/>
    <cellStyle name="쉼표 [0] 4 2 2 13 4" xfId="6489"/>
    <cellStyle name="쉼표 [0] 4 2 2 13 4 2" xfId="19162"/>
    <cellStyle name="쉼표 [0] 4 2 2 13 4 2 2" xfId="44514"/>
    <cellStyle name="쉼표 [0] 4 2 2 13 4 3" xfId="31842"/>
    <cellStyle name="쉼표 [0] 4 2 2 13 5" xfId="12826"/>
    <cellStyle name="쉼표 [0] 4 2 2 13 5 2" xfId="38178"/>
    <cellStyle name="쉼표 [0] 4 2 2 13 6" xfId="25506"/>
    <cellStyle name="쉼표 [0] 4 2 2 13 7" xfId="50830"/>
    <cellStyle name="쉼표 [0] 4 2 2 14" xfId="154"/>
    <cellStyle name="쉼표 [0] 4 2 2 14 2" xfId="155"/>
    <cellStyle name="쉼표 [0] 4 2 2 14 2 2" xfId="3251"/>
    <cellStyle name="쉼표 [0] 4 2 2 14 2 2 2" xfId="9587"/>
    <cellStyle name="쉼표 [0] 4 2 2 14 2 2 2 2" xfId="22260"/>
    <cellStyle name="쉼표 [0] 4 2 2 14 2 2 2 2 2" xfId="47612"/>
    <cellStyle name="쉼표 [0] 4 2 2 14 2 2 2 3" xfId="34940"/>
    <cellStyle name="쉼표 [0] 4 2 2 14 2 2 3" xfId="15924"/>
    <cellStyle name="쉼표 [0] 4 2 2 14 2 2 3 2" xfId="41276"/>
    <cellStyle name="쉼표 [0] 4 2 2 14 2 2 4" xfId="28604"/>
    <cellStyle name="쉼표 [0] 4 2 2 14 2 2 5" xfId="50831"/>
    <cellStyle name="쉼표 [0] 4 2 2 14 2 3" xfId="6492"/>
    <cellStyle name="쉼표 [0] 4 2 2 14 2 3 2" xfId="19165"/>
    <cellStyle name="쉼표 [0] 4 2 2 14 2 3 2 2" xfId="44517"/>
    <cellStyle name="쉼표 [0] 4 2 2 14 2 3 3" xfId="31845"/>
    <cellStyle name="쉼표 [0] 4 2 2 14 2 4" xfId="12829"/>
    <cellStyle name="쉼표 [0] 4 2 2 14 2 4 2" xfId="38181"/>
    <cellStyle name="쉼표 [0] 4 2 2 14 2 5" xfId="25509"/>
    <cellStyle name="쉼표 [0] 4 2 2 14 2 6" xfId="50832"/>
    <cellStyle name="쉼표 [0] 4 2 2 14 3" xfId="3252"/>
    <cellStyle name="쉼표 [0] 4 2 2 14 3 2" xfId="9588"/>
    <cellStyle name="쉼표 [0] 4 2 2 14 3 2 2" xfId="22261"/>
    <cellStyle name="쉼표 [0] 4 2 2 14 3 2 2 2" xfId="47613"/>
    <cellStyle name="쉼표 [0] 4 2 2 14 3 2 3" xfId="34941"/>
    <cellStyle name="쉼표 [0] 4 2 2 14 3 3" xfId="15925"/>
    <cellStyle name="쉼표 [0] 4 2 2 14 3 3 2" xfId="41277"/>
    <cellStyle name="쉼표 [0] 4 2 2 14 3 4" xfId="28605"/>
    <cellStyle name="쉼표 [0] 4 2 2 14 3 5" xfId="50833"/>
    <cellStyle name="쉼표 [0] 4 2 2 14 4" xfId="6491"/>
    <cellStyle name="쉼표 [0] 4 2 2 14 4 2" xfId="19164"/>
    <cellStyle name="쉼표 [0] 4 2 2 14 4 2 2" xfId="44516"/>
    <cellStyle name="쉼표 [0] 4 2 2 14 4 3" xfId="31844"/>
    <cellStyle name="쉼표 [0] 4 2 2 14 5" xfId="12828"/>
    <cellStyle name="쉼표 [0] 4 2 2 14 5 2" xfId="38180"/>
    <cellStyle name="쉼표 [0] 4 2 2 14 6" xfId="25508"/>
    <cellStyle name="쉼표 [0] 4 2 2 14 7" xfId="50834"/>
    <cellStyle name="쉼표 [0] 4 2 2 15" xfId="156"/>
    <cellStyle name="쉼표 [0] 4 2 2 15 2" xfId="157"/>
    <cellStyle name="쉼표 [0] 4 2 2 15 2 2" xfId="3253"/>
    <cellStyle name="쉼표 [0] 4 2 2 15 2 2 2" xfId="9589"/>
    <cellStyle name="쉼표 [0] 4 2 2 15 2 2 2 2" xfId="22262"/>
    <cellStyle name="쉼표 [0] 4 2 2 15 2 2 2 2 2" xfId="47614"/>
    <cellStyle name="쉼표 [0] 4 2 2 15 2 2 2 3" xfId="34942"/>
    <cellStyle name="쉼표 [0] 4 2 2 15 2 2 3" xfId="15926"/>
    <cellStyle name="쉼표 [0] 4 2 2 15 2 2 3 2" xfId="41278"/>
    <cellStyle name="쉼표 [0] 4 2 2 15 2 2 4" xfId="28606"/>
    <cellStyle name="쉼표 [0] 4 2 2 15 2 2 5" xfId="50835"/>
    <cellStyle name="쉼표 [0] 4 2 2 15 2 3" xfId="6494"/>
    <cellStyle name="쉼표 [0] 4 2 2 15 2 3 2" xfId="19167"/>
    <cellStyle name="쉼표 [0] 4 2 2 15 2 3 2 2" xfId="44519"/>
    <cellStyle name="쉼표 [0] 4 2 2 15 2 3 3" xfId="31847"/>
    <cellStyle name="쉼표 [0] 4 2 2 15 2 4" xfId="12831"/>
    <cellStyle name="쉼표 [0] 4 2 2 15 2 4 2" xfId="38183"/>
    <cellStyle name="쉼표 [0] 4 2 2 15 2 5" xfId="25511"/>
    <cellStyle name="쉼표 [0] 4 2 2 15 2 6" xfId="50836"/>
    <cellStyle name="쉼표 [0] 4 2 2 15 3" xfId="3254"/>
    <cellStyle name="쉼표 [0] 4 2 2 15 3 2" xfId="9590"/>
    <cellStyle name="쉼표 [0] 4 2 2 15 3 2 2" xfId="22263"/>
    <cellStyle name="쉼표 [0] 4 2 2 15 3 2 2 2" xfId="47615"/>
    <cellStyle name="쉼표 [0] 4 2 2 15 3 2 3" xfId="34943"/>
    <cellStyle name="쉼표 [0] 4 2 2 15 3 3" xfId="15927"/>
    <cellStyle name="쉼표 [0] 4 2 2 15 3 3 2" xfId="41279"/>
    <cellStyle name="쉼표 [0] 4 2 2 15 3 4" xfId="28607"/>
    <cellStyle name="쉼표 [0] 4 2 2 15 3 5" xfId="50837"/>
    <cellStyle name="쉼표 [0] 4 2 2 15 4" xfId="6493"/>
    <cellStyle name="쉼표 [0] 4 2 2 15 4 2" xfId="19166"/>
    <cellStyle name="쉼표 [0] 4 2 2 15 4 2 2" xfId="44518"/>
    <cellStyle name="쉼표 [0] 4 2 2 15 4 3" xfId="31846"/>
    <cellStyle name="쉼표 [0] 4 2 2 15 5" xfId="12830"/>
    <cellStyle name="쉼표 [0] 4 2 2 15 5 2" xfId="38182"/>
    <cellStyle name="쉼표 [0] 4 2 2 15 6" xfId="25510"/>
    <cellStyle name="쉼표 [0] 4 2 2 15 7" xfId="50838"/>
    <cellStyle name="쉼표 [0] 4 2 2 16" xfId="158"/>
    <cellStyle name="쉼표 [0] 4 2 2 16 2" xfId="159"/>
    <cellStyle name="쉼표 [0] 4 2 2 16 2 2" xfId="3255"/>
    <cellStyle name="쉼표 [0] 4 2 2 16 2 2 2" xfId="9591"/>
    <cellStyle name="쉼표 [0] 4 2 2 16 2 2 2 2" xfId="22264"/>
    <cellStyle name="쉼표 [0] 4 2 2 16 2 2 2 2 2" xfId="47616"/>
    <cellStyle name="쉼표 [0] 4 2 2 16 2 2 2 3" xfId="34944"/>
    <cellStyle name="쉼표 [0] 4 2 2 16 2 2 3" xfId="15928"/>
    <cellStyle name="쉼표 [0] 4 2 2 16 2 2 3 2" xfId="41280"/>
    <cellStyle name="쉼표 [0] 4 2 2 16 2 2 4" xfId="28608"/>
    <cellStyle name="쉼표 [0] 4 2 2 16 2 2 5" xfId="50839"/>
    <cellStyle name="쉼표 [0] 4 2 2 16 2 3" xfId="6496"/>
    <cellStyle name="쉼표 [0] 4 2 2 16 2 3 2" xfId="19169"/>
    <cellStyle name="쉼표 [0] 4 2 2 16 2 3 2 2" xfId="44521"/>
    <cellStyle name="쉼표 [0] 4 2 2 16 2 3 3" xfId="31849"/>
    <cellStyle name="쉼표 [0] 4 2 2 16 2 4" xfId="12833"/>
    <cellStyle name="쉼표 [0] 4 2 2 16 2 4 2" xfId="38185"/>
    <cellStyle name="쉼표 [0] 4 2 2 16 2 5" xfId="25513"/>
    <cellStyle name="쉼표 [0] 4 2 2 16 2 6" xfId="50840"/>
    <cellStyle name="쉼표 [0] 4 2 2 16 3" xfId="3256"/>
    <cellStyle name="쉼표 [0] 4 2 2 16 3 2" xfId="9592"/>
    <cellStyle name="쉼표 [0] 4 2 2 16 3 2 2" xfId="22265"/>
    <cellStyle name="쉼표 [0] 4 2 2 16 3 2 2 2" xfId="47617"/>
    <cellStyle name="쉼표 [0] 4 2 2 16 3 2 3" xfId="34945"/>
    <cellStyle name="쉼표 [0] 4 2 2 16 3 3" xfId="15929"/>
    <cellStyle name="쉼표 [0] 4 2 2 16 3 3 2" xfId="41281"/>
    <cellStyle name="쉼표 [0] 4 2 2 16 3 4" xfId="28609"/>
    <cellStyle name="쉼표 [0] 4 2 2 16 3 5" xfId="50841"/>
    <cellStyle name="쉼표 [0] 4 2 2 16 4" xfId="6495"/>
    <cellStyle name="쉼표 [0] 4 2 2 16 4 2" xfId="19168"/>
    <cellStyle name="쉼표 [0] 4 2 2 16 4 2 2" xfId="44520"/>
    <cellStyle name="쉼표 [0] 4 2 2 16 4 3" xfId="31848"/>
    <cellStyle name="쉼표 [0] 4 2 2 16 5" xfId="12832"/>
    <cellStyle name="쉼표 [0] 4 2 2 16 5 2" xfId="38184"/>
    <cellStyle name="쉼표 [0] 4 2 2 16 6" xfId="25512"/>
    <cellStyle name="쉼표 [0] 4 2 2 16 7" xfId="50842"/>
    <cellStyle name="쉼표 [0] 4 2 2 17" xfId="160"/>
    <cellStyle name="쉼표 [0] 4 2 2 17 2" xfId="161"/>
    <cellStyle name="쉼표 [0] 4 2 2 17 2 2" xfId="3257"/>
    <cellStyle name="쉼표 [0] 4 2 2 17 2 2 2" xfId="9593"/>
    <cellStyle name="쉼표 [0] 4 2 2 17 2 2 2 2" xfId="22266"/>
    <cellStyle name="쉼표 [0] 4 2 2 17 2 2 2 2 2" xfId="47618"/>
    <cellStyle name="쉼표 [0] 4 2 2 17 2 2 2 3" xfId="34946"/>
    <cellStyle name="쉼표 [0] 4 2 2 17 2 2 3" xfId="15930"/>
    <cellStyle name="쉼표 [0] 4 2 2 17 2 2 3 2" xfId="41282"/>
    <cellStyle name="쉼표 [0] 4 2 2 17 2 2 4" xfId="28610"/>
    <cellStyle name="쉼표 [0] 4 2 2 17 2 2 5" xfId="50843"/>
    <cellStyle name="쉼표 [0] 4 2 2 17 2 3" xfId="6498"/>
    <cellStyle name="쉼표 [0] 4 2 2 17 2 3 2" xfId="19171"/>
    <cellStyle name="쉼표 [0] 4 2 2 17 2 3 2 2" xfId="44523"/>
    <cellStyle name="쉼표 [0] 4 2 2 17 2 3 3" xfId="31851"/>
    <cellStyle name="쉼표 [0] 4 2 2 17 2 4" xfId="12835"/>
    <cellStyle name="쉼표 [0] 4 2 2 17 2 4 2" xfId="38187"/>
    <cellStyle name="쉼표 [0] 4 2 2 17 2 5" xfId="25515"/>
    <cellStyle name="쉼표 [0] 4 2 2 17 2 6" xfId="50844"/>
    <cellStyle name="쉼표 [0] 4 2 2 17 3" xfId="3258"/>
    <cellStyle name="쉼표 [0] 4 2 2 17 3 2" xfId="9594"/>
    <cellStyle name="쉼표 [0] 4 2 2 17 3 2 2" xfId="22267"/>
    <cellStyle name="쉼표 [0] 4 2 2 17 3 2 2 2" xfId="47619"/>
    <cellStyle name="쉼표 [0] 4 2 2 17 3 2 3" xfId="34947"/>
    <cellStyle name="쉼표 [0] 4 2 2 17 3 3" xfId="15931"/>
    <cellStyle name="쉼표 [0] 4 2 2 17 3 3 2" xfId="41283"/>
    <cellStyle name="쉼표 [0] 4 2 2 17 3 4" xfId="28611"/>
    <cellStyle name="쉼표 [0] 4 2 2 17 3 5" xfId="50845"/>
    <cellStyle name="쉼표 [0] 4 2 2 17 4" xfId="6497"/>
    <cellStyle name="쉼표 [0] 4 2 2 17 4 2" xfId="19170"/>
    <cellStyle name="쉼표 [0] 4 2 2 17 4 2 2" xfId="44522"/>
    <cellStyle name="쉼표 [0] 4 2 2 17 4 3" xfId="31850"/>
    <cellStyle name="쉼표 [0] 4 2 2 17 5" xfId="12834"/>
    <cellStyle name="쉼표 [0] 4 2 2 17 5 2" xfId="38186"/>
    <cellStyle name="쉼표 [0] 4 2 2 17 6" xfId="25514"/>
    <cellStyle name="쉼표 [0] 4 2 2 17 7" xfId="50846"/>
    <cellStyle name="쉼표 [0] 4 2 2 18" xfId="162"/>
    <cellStyle name="쉼표 [0] 4 2 2 18 2" xfId="163"/>
    <cellStyle name="쉼표 [0] 4 2 2 18 2 2" xfId="3259"/>
    <cellStyle name="쉼표 [0] 4 2 2 18 2 2 2" xfId="9595"/>
    <cellStyle name="쉼표 [0] 4 2 2 18 2 2 2 2" xfId="22268"/>
    <cellStyle name="쉼표 [0] 4 2 2 18 2 2 2 2 2" xfId="47620"/>
    <cellStyle name="쉼표 [0] 4 2 2 18 2 2 2 3" xfId="34948"/>
    <cellStyle name="쉼표 [0] 4 2 2 18 2 2 3" xfId="15932"/>
    <cellStyle name="쉼표 [0] 4 2 2 18 2 2 3 2" xfId="41284"/>
    <cellStyle name="쉼표 [0] 4 2 2 18 2 2 4" xfId="28612"/>
    <cellStyle name="쉼표 [0] 4 2 2 18 2 2 5" xfId="50847"/>
    <cellStyle name="쉼표 [0] 4 2 2 18 2 3" xfId="6500"/>
    <cellStyle name="쉼표 [0] 4 2 2 18 2 3 2" xfId="19173"/>
    <cellStyle name="쉼표 [0] 4 2 2 18 2 3 2 2" xfId="44525"/>
    <cellStyle name="쉼표 [0] 4 2 2 18 2 3 3" xfId="31853"/>
    <cellStyle name="쉼표 [0] 4 2 2 18 2 4" xfId="12837"/>
    <cellStyle name="쉼표 [0] 4 2 2 18 2 4 2" xfId="38189"/>
    <cellStyle name="쉼표 [0] 4 2 2 18 2 5" xfId="25517"/>
    <cellStyle name="쉼표 [0] 4 2 2 18 2 6" xfId="50848"/>
    <cellStyle name="쉼표 [0] 4 2 2 18 3" xfId="3260"/>
    <cellStyle name="쉼표 [0] 4 2 2 18 3 2" xfId="9596"/>
    <cellStyle name="쉼표 [0] 4 2 2 18 3 2 2" xfId="22269"/>
    <cellStyle name="쉼표 [0] 4 2 2 18 3 2 2 2" xfId="47621"/>
    <cellStyle name="쉼표 [0] 4 2 2 18 3 2 3" xfId="34949"/>
    <cellStyle name="쉼표 [0] 4 2 2 18 3 3" xfId="15933"/>
    <cellStyle name="쉼표 [0] 4 2 2 18 3 3 2" xfId="41285"/>
    <cellStyle name="쉼표 [0] 4 2 2 18 3 4" xfId="28613"/>
    <cellStyle name="쉼표 [0] 4 2 2 18 3 5" xfId="50849"/>
    <cellStyle name="쉼표 [0] 4 2 2 18 4" xfId="6499"/>
    <cellStyle name="쉼표 [0] 4 2 2 18 4 2" xfId="19172"/>
    <cellStyle name="쉼표 [0] 4 2 2 18 4 2 2" xfId="44524"/>
    <cellStyle name="쉼표 [0] 4 2 2 18 4 3" xfId="31852"/>
    <cellStyle name="쉼표 [0] 4 2 2 18 5" xfId="12836"/>
    <cellStyle name="쉼표 [0] 4 2 2 18 5 2" xfId="38188"/>
    <cellStyle name="쉼표 [0] 4 2 2 18 6" xfId="25516"/>
    <cellStyle name="쉼표 [0] 4 2 2 18 7" xfId="50850"/>
    <cellStyle name="쉼표 [0] 4 2 2 19" xfId="164"/>
    <cellStyle name="쉼표 [0] 4 2 2 19 2" xfId="165"/>
    <cellStyle name="쉼표 [0] 4 2 2 19 2 2" xfId="3261"/>
    <cellStyle name="쉼표 [0] 4 2 2 19 2 2 2" xfId="9597"/>
    <cellStyle name="쉼표 [0] 4 2 2 19 2 2 2 2" xfId="22270"/>
    <cellStyle name="쉼표 [0] 4 2 2 19 2 2 2 2 2" xfId="47622"/>
    <cellStyle name="쉼표 [0] 4 2 2 19 2 2 2 3" xfId="34950"/>
    <cellStyle name="쉼표 [0] 4 2 2 19 2 2 3" xfId="15934"/>
    <cellStyle name="쉼표 [0] 4 2 2 19 2 2 3 2" xfId="41286"/>
    <cellStyle name="쉼표 [0] 4 2 2 19 2 2 4" xfId="28614"/>
    <cellStyle name="쉼표 [0] 4 2 2 19 2 2 5" xfId="50851"/>
    <cellStyle name="쉼표 [0] 4 2 2 19 2 3" xfId="6502"/>
    <cellStyle name="쉼표 [0] 4 2 2 19 2 3 2" xfId="19175"/>
    <cellStyle name="쉼표 [0] 4 2 2 19 2 3 2 2" xfId="44527"/>
    <cellStyle name="쉼표 [0] 4 2 2 19 2 3 3" xfId="31855"/>
    <cellStyle name="쉼표 [0] 4 2 2 19 2 4" xfId="12839"/>
    <cellStyle name="쉼표 [0] 4 2 2 19 2 4 2" xfId="38191"/>
    <cellStyle name="쉼표 [0] 4 2 2 19 2 5" xfId="25519"/>
    <cellStyle name="쉼표 [0] 4 2 2 19 2 6" xfId="50852"/>
    <cellStyle name="쉼표 [0] 4 2 2 19 3" xfId="3262"/>
    <cellStyle name="쉼표 [0] 4 2 2 19 3 2" xfId="9598"/>
    <cellStyle name="쉼표 [0] 4 2 2 19 3 2 2" xfId="22271"/>
    <cellStyle name="쉼표 [0] 4 2 2 19 3 2 2 2" xfId="47623"/>
    <cellStyle name="쉼표 [0] 4 2 2 19 3 2 3" xfId="34951"/>
    <cellStyle name="쉼표 [0] 4 2 2 19 3 3" xfId="15935"/>
    <cellStyle name="쉼표 [0] 4 2 2 19 3 3 2" xfId="41287"/>
    <cellStyle name="쉼표 [0] 4 2 2 19 3 4" xfId="28615"/>
    <cellStyle name="쉼표 [0] 4 2 2 19 3 5" xfId="50853"/>
    <cellStyle name="쉼표 [0] 4 2 2 19 4" xfId="6501"/>
    <cellStyle name="쉼표 [0] 4 2 2 19 4 2" xfId="19174"/>
    <cellStyle name="쉼표 [0] 4 2 2 19 4 2 2" xfId="44526"/>
    <cellStyle name="쉼표 [0] 4 2 2 19 4 3" xfId="31854"/>
    <cellStyle name="쉼표 [0] 4 2 2 19 5" xfId="12838"/>
    <cellStyle name="쉼표 [0] 4 2 2 19 5 2" xfId="38190"/>
    <cellStyle name="쉼표 [0] 4 2 2 19 6" xfId="25518"/>
    <cellStyle name="쉼표 [0] 4 2 2 19 7" xfId="50854"/>
    <cellStyle name="쉼표 [0] 4 2 2 2" xfId="32"/>
    <cellStyle name="쉼표 [0] 4 2 2 2 10" xfId="166"/>
    <cellStyle name="쉼표 [0] 4 2 2 2 10 2" xfId="167"/>
    <cellStyle name="쉼표 [0] 4 2 2 2 10 2 2" xfId="3263"/>
    <cellStyle name="쉼표 [0] 4 2 2 2 10 2 2 2" xfId="9599"/>
    <cellStyle name="쉼표 [0] 4 2 2 2 10 2 2 2 2" xfId="22272"/>
    <cellStyle name="쉼표 [0] 4 2 2 2 10 2 2 2 2 2" xfId="47624"/>
    <cellStyle name="쉼표 [0] 4 2 2 2 10 2 2 2 3" xfId="34952"/>
    <cellStyle name="쉼표 [0] 4 2 2 2 10 2 2 3" xfId="15936"/>
    <cellStyle name="쉼표 [0] 4 2 2 2 10 2 2 3 2" xfId="41288"/>
    <cellStyle name="쉼표 [0] 4 2 2 2 10 2 2 4" xfId="28616"/>
    <cellStyle name="쉼표 [0] 4 2 2 2 10 2 2 5" xfId="50855"/>
    <cellStyle name="쉼표 [0] 4 2 2 2 10 2 3" xfId="6504"/>
    <cellStyle name="쉼표 [0] 4 2 2 2 10 2 3 2" xfId="19177"/>
    <cellStyle name="쉼표 [0] 4 2 2 2 10 2 3 2 2" xfId="44529"/>
    <cellStyle name="쉼표 [0] 4 2 2 2 10 2 3 3" xfId="31857"/>
    <cellStyle name="쉼표 [0] 4 2 2 2 10 2 4" xfId="12841"/>
    <cellStyle name="쉼표 [0] 4 2 2 2 10 2 4 2" xfId="38193"/>
    <cellStyle name="쉼표 [0] 4 2 2 2 10 2 5" xfId="25521"/>
    <cellStyle name="쉼표 [0] 4 2 2 2 10 2 6" xfId="50856"/>
    <cellStyle name="쉼표 [0] 4 2 2 2 10 3" xfId="3264"/>
    <cellStyle name="쉼표 [0] 4 2 2 2 10 3 2" xfId="9600"/>
    <cellStyle name="쉼표 [0] 4 2 2 2 10 3 2 2" xfId="22273"/>
    <cellStyle name="쉼표 [0] 4 2 2 2 10 3 2 2 2" xfId="47625"/>
    <cellStyle name="쉼표 [0] 4 2 2 2 10 3 2 3" xfId="34953"/>
    <cellStyle name="쉼표 [0] 4 2 2 2 10 3 3" xfId="15937"/>
    <cellStyle name="쉼표 [0] 4 2 2 2 10 3 3 2" xfId="41289"/>
    <cellStyle name="쉼표 [0] 4 2 2 2 10 3 4" xfId="28617"/>
    <cellStyle name="쉼표 [0] 4 2 2 2 10 3 5" xfId="50857"/>
    <cellStyle name="쉼표 [0] 4 2 2 2 10 4" xfId="6503"/>
    <cellStyle name="쉼표 [0] 4 2 2 2 10 4 2" xfId="19176"/>
    <cellStyle name="쉼표 [0] 4 2 2 2 10 4 2 2" xfId="44528"/>
    <cellStyle name="쉼표 [0] 4 2 2 2 10 4 3" xfId="31856"/>
    <cellStyle name="쉼표 [0] 4 2 2 2 10 5" xfId="12840"/>
    <cellStyle name="쉼표 [0] 4 2 2 2 10 5 2" xfId="38192"/>
    <cellStyle name="쉼표 [0] 4 2 2 2 10 6" xfId="25520"/>
    <cellStyle name="쉼표 [0] 4 2 2 2 10 7" xfId="50858"/>
    <cellStyle name="쉼표 [0] 4 2 2 2 11" xfId="168"/>
    <cellStyle name="쉼표 [0] 4 2 2 2 11 2" xfId="169"/>
    <cellStyle name="쉼표 [0] 4 2 2 2 11 2 2" xfId="3265"/>
    <cellStyle name="쉼표 [0] 4 2 2 2 11 2 2 2" xfId="9601"/>
    <cellStyle name="쉼표 [0] 4 2 2 2 11 2 2 2 2" xfId="22274"/>
    <cellStyle name="쉼표 [0] 4 2 2 2 11 2 2 2 2 2" xfId="47626"/>
    <cellStyle name="쉼표 [0] 4 2 2 2 11 2 2 2 3" xfId="34954"/>
    <cellStyle name="쉼표 [0] 4 2 2 2 11 2 2 3" xfId="15938"/>
    <cellStyle name="쉼표 [0] 4 2 2 2 11 2 2 3 2" xfId="41290"/>
    <cellStyle name="쉼표 [0] 4 2 2 2 11 2 2 4" xfId="28618"/>
    <cellStyle name="쉼표 [0] 4 2 2 2 11 2 2 5" xfId="50859"/>
    <cellStyle name="쉼표 [0] 4 2 2 2 11 2 3" xfId="6506"/>
    <cellStyle name="쉼표 [0] 4 2 2 2 11 2 3 2" xfId="19179"/>
    <cellStyle name="쉼표 [0] 4 2 2 2 11 2 3 2 2" xfId="44531"/>
    <cellStyle name="쉼표 [0] 4 2 2 2 11 2 3 3" xfId="31859"/>
    <cellStyle name="쉼표 [0] 4 2 2 2 11 2 4" xfId="12843"/>
    <cellStyle name="쉼표 [0] 4 2 2 2 11 2 4 2" xfId="38195"/>
    <cellStyle name="쉼표 [0] 4 2 2 2 11 2 5" xfId="25523"/>
    <cellStyle name="쉼표 [0] 4 2 2 2 11 2 6" xfId="50860"/>
    <cellStyle name="쉼표 [0] 4 2 2 2 11 3" xfId="3266"/>
    <cellStyle name="쉼표 [0] 4 2 2 2 11 3 2" xfId="9602"/>
    <cellStyle name="쉼표 [0] 4 2 2 2 11 3 2 2" xfId="22275"/>
    <cellStyle name="쉼표 [0] 4 2 2 2 11 3 2 2 2" xfId="47627"/>
    <cellStyle name="쉼표 [0] 4 2 2 2 11 3 2 3" xfId="34955"/>
    <cellStyle name="쉼표 [0] 4 2 2 2 11 3 3" xfId="15939"/>
    <cellStyle name="쉼표 [0] 4 2 2 2 11 3 3 2" xfId="41291"/>
    <cellStyle name="쉼표 [0] 4 2 2 2 11 3 4" xfId="28619"/>
    <cellStyle name="쉼표 [0] 4 2 2 2 11 3 5" xfId="50861"/>
    <cellStyle name="쉼표 [0] 4 2 2 2 11 4" xfId="6505"/>
    <cellStyle name="쉼표 [0] 4 2 2 2 11 4 2" xfId="19178"/>
    <cellStyle name="쉼표 [0] 4 2 2 2 11 4 2 2" xfId="44530"/>
    <cellStyle name="쉼표 [0] 4 2 2 2 11 4 3" xfId="31858"/>
    <cellStyle name="쉼표 [0] 4 2 2 2 11 5" xfId="12842"/>
    <cellStyle name="쉼표 [0] 4 2 2 2 11 5 2" xfId="38194"/>
    <cellStyle name="쉼표 [0] 4 2 2 2 11 6" xfId="25522"/>
    <cellStyle name="쉼표 [0] 4 2 2 2 11 7" xfId="50862"/>
    <cellStyle name="쉼표 [0] 4 2 2 2 12" xfId="170"/>
    <cellStyle name="쉼표 [0] 4 2 2 2 12 2" xfId="171"/>
    <cellStyle name="쉼표 [0] 4 2 2 2 12 2 2" xfId="3267"/>
    <cellStyle name="쉼표 [0] 4 2 2 2 12 2 2 2" xfId="9603"/>
    <cellStyle name="쉼표 [0] 4 2 2 2 12 2 2 2 2" xfId="22276"/>
    <cellStyle name="쉼표 [0] 4 2 2 2 12 2 2 2 2 2" xfId="47628"/>
    <cellStyle name="쉼표 [0] 4 2 2 2 12 2 2 2 3" xfId="34956"/>
    <cellStyle name="쉼표 [0] 4 2 2 2 12 2 2 3" xfId="15940"/>
    <cellStyle name="쉼표 [0] 4 2 2 2 12 2 2 3 2" xfId="41292"/>
    <cellStyle name="쉼표 [0] 4 2 2 2 12 2 2 4" xfId="28620"/>
    <cellStyle name="쉼표 [0] 4 2 2 2 12 2 2 5" xfId="50863"/>
    <cellStyle name="쉼표 [0] 4 2 2 2 12 2 3" xfId="6508"/>
    <cellStyle name="쉼표 [0] 4 2 2 2 12 2 3 2" xfId="19181"/>
    <cellStyle name="쉼표 [0] 4 2 2 2 12 2 3 2 2" xfId="44533"/>
    <cellStyle name="쉼표 [0] 4 2 2 2 12 2 3 3" xfId="31861"/>
    <cellStyle name="쉼표 [0] 4 2 2 2 12 2 4" xfId="12845"/>
    <cellStyle name="쉼표 [0] 4 2 2 2 12 2 4 2" xfId="38197"/>
    <cellStyle name="쉼표 [0] 4 2 2 2 12 2 5" xfId="25525"/>
    <cellStyle name="쉼표 [0] 4 2 2 2 12 2 6" xfId="50864"/>
    <cellStyle name="쉼표 [0] 4 2 2 2 12 3" xfId="3268"/>
    <cellStyle name="쉼표 [0] 4 2 2 2 12 3 2" xfId="9604"/>
    <cellStyle name="쉼표 [0] 4 2 2 2 12 3 2 2" xfId="22277"/>
    <cellStyle name="쉼표 [0] 4 2 2 2 12 3 2 2 2" xfId="47629"/>
    <cellStyle name="쉼표 [0] 4 2 2 2 12 3 2 3" xfId="34957"/>
    <cellStyle name="쉼표 [0] 4 2 2 2 12 3 3" xfId="15941"/>
    <cellStyle name="쉼표 [0] 4 2 2 2 12 3 3 2" xfId="41293"/>
    <cellStyle name="쉼표 [0] 4 2 2 2 12 3 4" xfId="28621"/>
    <cellStyle name="쉼표 [0] 4 2 2 2 12 3 5" xfId="50865"/>
    <cellStyle name="쉼표 [0] 4 2 2 2 12 4" xfId="6507"/>
    <cellStyle name="쉼표 [0] 4 2 2 2 12 4 2" xfId="19180"/>
    <cellStyle name="쉼표 [0] 4 2 2 2 12 4 2 2" xfId="44532"/>
    <cellStyle name="쉼표 [0] 4 2 2 2 12 4 3" xfId="31860"/>
    <cellStyle name="쉼표 [0] 4 2 2 2 12 5" xfId="12844"/>
    <cellStyle name="쉼표 [0] 4 2 2 2 12 5 2" xfId="38196"/>
    <cellStyle name="쉼표 [0] 4 2 2 2 12 6" xfId="25524"/>
    <cellStyle name="쉼표 [0] 4 2 2 2 12 7" xfId="50866"/>
    <cellStyle name="쉼표 [0] 4 2 2 2 13" xfId="172"/>
    <cellStyle name="쉼표 [0] 4 2 2 2 13 2" xfId="173"/>
    <cellStyle name="쉼표 [0] 4 2 2 2 13 2 2" xfId="3269"/>
    <cellStyle name="쉼표 [0] 4 2 2 2 13 2 2 2" xfId="9605"/>
    <cellStyle name="쉼표 [0] 4 2 2 2 13 2 2 2 2" xfId="22278"/>
    <cellStyle name="쉼표 [0] 4 2 2 2 13 2 2 2 2 2" xfId="47630"/>
    <cellStyle name="쉼표 [0] 4 2 2 2 13 2 2 2 3" xfId="34958"/>
    <cellStyle name="쉼표 [0] 4 2 2 2 13 2 2 3" xfId="15942"/>
    <cellStyle name="쉼표 [0] 4 2 2 2 13 2 2 3 2" xfId="41294"/>
    <cellStyle name="쉼표 [0] 4 2 2 2 13 2 2 4" xfId="28622"/>
    <cellStyle name="쉼표 [0] 4 2 2 2 13 2 2 5" xfId="50867"/>
    <cellStyle name="쉼표 [0] 4 2 2 2 13 2 3" xfId="6510"/>
    <cellStyle name="쉼표 [0] 4 2 2 2 13 2 3 2" xfId="19183"/>
    <cellStyle name="쉼표 [0] 4 2 2 2 13 2 3 2 2" xfId="44535"/>
    <cellStyle name="쉼표 [0] 4 2 2 2 13 2 3 3" xfId="31863"/>
    <cellStyle name="쉼표 [0] 4 2 2 2 13 2 4" xfId="12847"/>
    <cellStyle name="쉼표 [0] 4 2 2 2 13 2 4 2" xfId="38199"/>
    <cellStyle name="쉼표 [0] 4 2 2 2 13 2 5" xfId="25527"/>
    <cellStyle name="쉼표 [0] 4 2 2 2 13 2 6" xfId="50868"/>
    <cellStyle name="쉼표 [0] 4 2 2 2 13 3" xfId="3270"/>
    <cellStyle name="쉼표 [0] 4 2 2 2 13 3 2" xfId="9606"/>
    <cellStyle name="쉼표 [0] 4 2 2 2 13 3 2 2" xfId="22279"/>
    <cellStyle name="쉼표 [0] 4 2 2 2 13 3 2 2 2" xfId="47631"/>
    <cellStyle name="쉼표 [0] 4 2 2 2 13 3 2 3" xfId="34959"/>
    <cellStyle name="쉼표 [0] 4 2 2 2 13 3 3" xfId="15943"/>
    <cellStyle name="쉼표 [0] 4 2 2 2 13 3 3 2" xfId="41295"/>
    <cellStyle name="쉼표 [0] 4 2 2 2 13 3 4" xfId="28623"/>
    <cellStyle name="쉼표 [0] 4 2 2 2 13 3 5" xfId="50869"/>
    <cellStyle name="쉼표 [0] 4 2 2 2 13 4" xfId="6509"/>
    <cellStyle name="쉼표 [0] 4 2 2 2 13 4 2" xfId="19182"/>
    <cellStyle name="쉼표 [0] 4 2 2 2 13 4 2 2" xfId="44534"/>
    <cellStyle name="쉼표 [0] 4 2 2 2 13 4 3" xfId="31862"/>
    <cellStyle name="쉼표 [0] 4 2 2 2 13 5" xfId="12846"/>
    <cellStyle name="쉼표 [0] 4 2 2 2 13 5 2" xfId="38198"/>
    <cellStyle name="쉼표 [0] 4 2 2 2 13 6" xfId="25526"/>
    <cellStyle name="쉼표 [0] 4 2 2 2 13 7" xfId="50870"/>
    <cellStyle name="쉼표 [0] 4 2 2 2 14" xfId="174"/>
    <cellStyle name="쉼표 [0] 4 2 2 2 14 2" xfId="175"/>
    <cellStyle name="쉼표 [0] 4 2 2 2 14 2 2" xfId="3271"/>
    <cellStyle name="쉼표 [0] 4 2 2 2 14 2 2 2" xfId="9607"/>
    <cellStyle name="쉼표 [0] 4 2 2 2 14 2 2 2 2" xfId="22280"/>
    <cellStyle name="쉼표 [0] 4 2 2 2 14 2 2 2 2 2" xfId="47632"/>
    <cellStyle name="쉼표 [0] 4 2 2 2 14 2 2 2 3" xfId="34960"/>
    <cellStyle name="쉼표 [0] 4 2 2 2 14 2 2 3" xfId="15944"/>
    <cellStyle name="쉼표 [0] 4 2 2 2 14 2 2 3 2" xfId="41296"/>
    <cellStyle name="쉼표 [0] 4 2 2 2 14 2 2 4" xfId="28624"/>
    <cellStyle name="쉼표 [0] 4 2 2 2 14 2 2 5" xfId="50871"/>
    <cellStyle name="쉼표 [0] 4 2 2 2 14 2 3" xfId="6512"/>
    <cellStyle name="쉼표 [0] 4 2 2 2 14 2 3 2" xfId="19185"/>
    <cellStyle name="쉼표 [0] 4 2 2 2 14 2 3 2 2" xfId="44537"/>
    <cellStyle name="쉼표 [0] 4 2 2 2 14 2 3 3" xfId="31865"/>
    <cellStyle name="쉼표 [0] 4 2 2 2 14 2 4" xfId="12849"/>
    <cellStyle name="쉼표 [0] 4 2 2 2 14 2 4 2" xfId="38201"/>
    <cellStyle name="쉼표 [0] 4 2 2 2 14 2 5" xfId="25529"/>
    <cellStyle name="쉼표 [0] 4 2 2 2 14 2 6" xfId="50872"/>
    <cellStyle name="쉼표 [0] 4 2 2 2 14 3" xfId="3272"/>
    <cellStyle name="쉼표 [0] 4 2 2 2 14 3 2" xfId="9608"/>
    <cellStyle name="쉼표 [0] 4 2 2 2 14 3 2 2" xfId="22281"/>
    <cellStyle name="쉼표 [0] 4 2 2 2 14 3 2 2 2" xfId="47633"/>
    <cellStyle name="쉼표 [0] 4 2 2 2 14 3 2 3" xfId="34961"/>
    <cellStyle name="쉼표 [0] 4 2 2 2 14 3 3" xfId="15945"/>
    <cellStyle name="쉼표 [0] 4 2 2 2 14 3 3 2" xfId="41297"/>
    <cellStyle name="쉼표 [0] 4 2 2 2 14 3 4" xfId="28625"/>
    <cellStyle name="쉼표 [0] 4 2 2 2 14 3 5" xfId="50873"/>
    <cellStyle name="쉼표 [0] 4 2 2 2 14 4" xfId="6511"/>
    <cellStyle name="쉼표 [0] 4 2 2 2 14 4 2" xfId="19184"/>
    <cellStyle name="쉼표 [0] 4 2 2 2 14 4 2 2" xfId="44536"/>
    <cellStyle name="쉼표 [0] 4 2 2 2 14 4 3" xfId="31864"/>
    <cellStyle name="쉼표 [0] 4 2 2 2 14 5" xfId="12848"/>
    <cellStyle name="쉼표 [0] 4 2 2 2 14 5 2" xfId="38200"/>
    <cellStyle name="쉼표 [0] 4 2 2 2 14 6" xfId="25528"/>
    <cellStyle name="쉼표 [0] 4 2 2 2 14 7" xfId="50874"/>
    <cellStyle name="쉼표 [0] 4 2 2 2 15" xfId="176"/>
    <cellStyle name="쉼표 [0] 4 2 2 2 15 2" xfId="177"/>
    <cellStyle name="쉼표 [0] 4 2 2 2 15 2 2" xfId="3273"/>
    <cellStyle name="쉼표 [0] 4 2 2 2 15 2 2 2" xfId="9609"/>
    <cellStyle name="쉼표 [0] 4 2 2 2 15 2 2 2 2" xfId="22282"/>
    <cellStyle name="쉼표 [0] 4 2 2 2 15 2 2 2 2 2" xfId="47634"/>
    <cellStyle name="쉼표 [0] 4 2 2 2 15 2 2 2 3" xfId="34962"/>
    <cellStyle name="쉼표 [0] 4 2 2 2 15 2 2 3" xfId="15946"/>
    <cellStyle name="쉼표 [0] 4 2 2 2 15 2 2 3 2" xfId="41298"/>
    <cellStyle name="쉼표 [0] 4 2 2 2 15 2 2 4" xfId="28626"/>
    <cellStyle name="쉼표 [0] 4 2 2 2 15 2 2 5" xfId="50875"/>
    <cellStyle name="쉼표 [0] 4 2 2 2 15 2 3" xfId="6514"/>
    <cellStyle name="쉼표 [0] 4 2 2 2 15 2 3 2" xfId="19187"/>
    <cellStyle name="쉼표 [0] 4 2 2 2 15 2 3 2 2" xfId="44539"/>
    <cellStyle name="쉼표 [0] 4 2 2 2 15 2 3 3" xfId="31867"/>
    <cellStyle name="쉼표 [0] 4 2 2 2 15 2 4" xfId="12851"/>
    <cellStyle name="쉼표 [0] 4 2 2 2 15 2 4 2" xfId="38203"/>
    <cellStyle name="쉼표 [0] 4 2 2 2 15 2 5" xfId="25531"/>
    <cellStyle name="쉼표 [0] 4 2 2 2 15 2 6" xfId="50876"/>
    <cellStyle name="쉼표 [0] 4 2 2 2 15 3" xfId="3274"/>
    <cellStyle name="쉼표 [0] 4 2 2 2 15 3 2" xfId="9610"/>
    <cellStyle name="쉼표 [0] 4 2 2 2 15 3 2 2" xfId="22283"/>
    <cellStyle name="쉼표 [0] 4 2 2 2 15 3 2 2 2" xfId="47635"/>
    <cellStyle name="쉼표 [0] 4 2 2 2 15 3 2 3" xfId="34963"/>
    <cellStyle name="쉼표 [0] 4 2 2 2 15 3 3" xfId="15947"/>
    <cellStyle name="쉼표 [0] 4 2 2 2 15 3 3 2" xfId="41299"/>
    <cellStyle name="쉼표 [0] 4 2 2 2 15 3 4" xfId="28627"/>
    <cellStyle name="쉼표 [0] 4 2 2 2 15 3 5" xfId="50877"/>
    <cellStyle name="쉼표 [0] 4 2 2 2 15 4" xfId="6513"/>
    <cellStyle name="쉼표 [0] 4 2 2 2 15 4 2" xfId="19186"/>
    <cellStyle name="쉼표 [0] 4 2 2 2 15 4 2 2" xfId="44538"/>
    <cellStyle name="쉼표 [0] 4 2 2 2 15 4 3" xfId="31866"/>
    <cellStyle name="쉼표 [0] 4 2 2 2 15 5" xfId="12850"/>
    <cellStyle name="쉼표 [0] 4 2 2 2 15 5 2" xfId="38202"/>
    <cellStyle name="쉼표 [0] 4 2 2 2 15 6" xfId="25530"/>
    <cellStyle name="쉼표 [0] 4 2 2 2 15 7" xfId="50878"/>
    <cellStyle name="쉼표 [0] 4 2 2 2 16" xfId="178"/>
    <cellStyle name="쉼표 [0] 4 2 2 2 16 2" xfId="179"/>
    <cellStyle name="쉼표 [0] 4 2 2 2 16 2 2" xfId="3275"/>
    <cellStyle name="쉼표 [0] 4 2 2 2 16 2 2 2" xfId="9611"/>
    <cellStyle name="쉼표 [0] 4 2 2 2 16 2 2 2 2" xfId="22284"/>
    <cellStyle name="쉼표 [0] 4 2 2 2 16 2 2 2 2 2" xfId="47636"/>
    <cellStyle name="쉼표 [0] 4 2 2 2 16 2 2 2 3" xfId="34964"/>
    <cellStyle name="쉼표 [0] 4 2 2 2 16 2 2 3" xfId="15948"/>
    <cellStyle name="쉼표 [0] 4 2 2 2 16 2 2 3 2" xfId="41300"/>
    <cellStyle name="쉼표 [0] 4 2 2 2 16 2 2 4" xfId="28628"/>
    <cellStyle name="쉼표 [0] 4 2 2 2 16 2 2 5" xfId="50879"/>
    <cellStyle name="쉼표 [0] 4 2 2 2 16 2 3" xfId="6516"/>
    <cellStyle name="쉼표 [0] 4 2 2 2 16 2 3 2" xfId="19189"/>
    <cellStyle name="쉼표 [0] 4 2 2 2 16 2 3 2 2" xfId="44541"/>
    <cellStyle name="쉼표 [0] 4 2 2 2 16 2 3 3" xfId="31869"/>
    <cellStyle name="쉼표 [0] 4 2 2 2 16 2 4" xfId="12853"/>
    <cellStyle name="쉼표 [0] 4 2 2 2 16 2 4 2" xfId="38205"/>
    <cellStyle name="쉼표 [0] 4 2 2 2 16 2 5" xfId="25533"/>
    <cellStyle name="쉼표 [0] 4 2 2 2 16 2 6" xfId="50880"/>
    <cellStyle name="쉼표 [0] 4 2 2 2 16 3" xfId="3276"/>
    <cellStyle name="쉼표 [0] 4 2 2 2 16 3 2" xfId="9612"/>
    <cellStyle name="쉼표 [0] 4 2 2 2 16 3 2 2" xfId="22285"/>
    <cellStyle name="쉼표 [0] 4 2 2 2 16 3 2 2 2" xfId="47637"/>
    <cellStyle name="쉼표 [0] 4 2 2 2 16 3 2 3" xfId="34965"/>
    <cellStyle name="쉼표 [0] 4 2 2 2 16 3 3" xfId="15949"/>
    <cellStyle name="쉼표 [0] 4 2 2 2 16 3 3 2" xfId="41301"/>
    <cellStyle name="쉼표 [0] 4 2 2 2 16 3 4" xfId="28629"/>
    <cellStyle name="쉼표 [0] 4 2 2 2 16 3 5" xfId="50881"/>
    <cellStyle name="쉼표 [0] 4 2 2 2 16 4" xfId="6515"/>
    <cellStyle name="쉼표 [0] 4 2 2 2 16 4 2" xfId="19188"/>
    <cellStyle name="쉼표 [0] 4 2 2 2 16 4 2 2" xfId="44540"/>
    <cellStyle name="쉼표 [0] 4 2 2 2 16 4 3" xfId="31868"/>
    <cellStyle name="쉼표 [0] 4 2 2 2 16 5" xfId="12852"/>
    <cellStyle name="쉼표 [0] 4 2 2 2 16 5 2" xfId="38204"/>
    <cellStyle name="쉼표 [0] 4 2 2 2 16 6" xfId="25532"/>
    <cellStyle name="쉼표 [0] 4 2 2 2 16 7" xfId="50882"/>
    <cellStyle name="쉼표 [0] 4 2 2 2 17" xfId="180"/>
    <cellStyle name="쉼표 [0] 4 2 2 2 17 2" xfId="181"/>
    <cellStyle name="쉼표 [0] 4 2 2 2 17 2 2" xfId="3277"/>
    <cellStyle name="쉼표 [0] 4 2 2 2 17 2 2 2" xfId="9613"/>
    <cellStyle name="쉼표 [0] 4 2 2 2 17 2 2 2 2" xfId="22286"/>
    <cellStyle name="쉼표 [0] 4 2 2 2 17 2 2 2 2 2" xfId="47638"/>
    <cellStyle name="쉼표 [0] 4 2 2 2 17 2 2 2 3" xfId="34966"/>
    <cellStyle name="쉼표 [0] 4 2 2 2 17 2 2 3" xfId="15950"/>
    <cellStyle name="쉼표 [0] 4 2 2 2 17 2 2 3 2" xfId="41302"/>
    <cellStyle name="쉼표 [0] 4 2 2 2 17 2 2 4" xfId="28630"/>
    <cellStyle name="쉼표 [0] 4 2 2 2 17 2 2 5" xfId="50883"/>
    <cellStyle name="쉼표 [0] 4 2 2 2 17 2 3" xfId="6518"/>
    <cellStyle name="쉼표 [0] 4 2 2 2 17 2 3 2" xfId="19191"/>
    <cellStyle name="쉼표 [0] 4 2 2 2 17 2 3 2 2" xfId="44543"/>
    <cellStyle name="쉼표 [0] 4 2 2 2 17 2 3 3" xfId="31871"/>
    <cellStyle name="쉼표 [0] 4 2 2 2 17 2 4" xfId="12855"/>
    <cellStyle name="쉼표 [0] 4 2 2 2 17 2 4 2" xfId="38207"/>
    <cellStyle name="쉼표 [0] 4 2 2 2 17 2 5" xfId="25535"/>
    <cellStyle name="쉼표 [0] 4 2 2 2 17 2 6" xfId="50884"/>
    <cellStyle name="쉼표 [0] 4 2 2 2 17 3" xfId="3278"/>
    <cellStyle name="쉼표 [0] 4 2 2 2 17 3 2" xfId="9614"/>
    <cellStyle name="쉼표 [0] 4 2 2 2 17 3 2 2" xfId="22287"/>
    <cellStyle name="쉼표 [0] 4 2 2 2 17 3 2 2 2" xfId="47639"/>
    <cellStyle name="쉼표 [0] 4 2 2 2 17 3 2 3" xfId="34967"/>
    <cellStyle name="쉼표 [0] 4 2 2 2 17 3 3" xfId="15951"/>
    <cellStyle name="쉼표 [0] 4 2 2 2 17 3 3 2" xfId="41303"/>
    <cellStyle name="쉼표 [0] 4 2 2 2 17 3 4" xfId="28631"/>
    <cellStyle name="쉼표 [0] 4 2 2 2 17 3 5" xfId="50885"/>
    <cellStyle name="쉼표 [0] 4 2 2 2 17 4" xfId="6517"/>
    <cellStyle name="쉼표 [0] 4 2 2 2 17 4 2" xfId="19190"/>
    <cellStyle name="쉼표 [0] 4 2 2 2 17 4 2 2" xfId="44542"/>
    <cellStyle name="쉼표 [0] 4 2 2 2 17 4 3" xfId="31870"/>
    <cellStyle name="쉼표 [0] 4 2 2 2 17 5" xfId="12854"/>
    <cellStyle name="쉼표 [0] 4 2 2 2 17 5 2" xfId="38206"/>
    <cellStyle name="쉼표 [0] 4 2 2 2 17 6" xfId="25534"/>
    <cellStyle name="쉼표 [0] 4 2 2 2 17 7" xfId="50886"/>
    <cellStyle name="쉼표 [0] 4 2 2 2 18" xfId="182"/>
    <cellStyle name="쉼표 [0] 4 2 2 2 18 2" xfId="183"/>
    <cellStyle name="쉼표 [0] 4 2 2 2 18 2 2" xfId="3279"/>
    <cellStyle name="쉼표 [0] 4 2 2 2 18 2 2 2" xfId="9615"/>
    <cellStyle name="쉼표 [0] 4 2 2 2 18 2 2 2 2" xfId="22288"/>
    <cellStyle name="쉼표 [0] 4 2 2 2 18 2 2 2 2 2" xfId="47640"/>
    <cellStyle name="쉼표 [0] 4 2 2 2 18 2 2 2 3" xfId="34968"/>
    <cellStyle name="쉼표 [0] 4 2 2 2 18 2 2 3" xfId="15952"/>
    <cellStyle name="쉼표 [0] 4 2 2 2 18 2 2 3 2" xfId="41304"/>
    <cellStyle name="쉼표 [0] 4 2 2 2 18 2 2 4" xfId="28632"/>
    <cellStyle name="쉼표 [0] 4 2 2 2 18 2 2 5" xfId="50887"/>
    <cellStyle name="쉼표 [0] 4 2 2 2 18 2 3" xfId="6520"/>
    <cellStyle name="쉼표 [0] 4 2 2 2 18 2 3 2" xfId="19193"/>
    <cellStyle name="쉼표 [0] 4 2 2 2 18 2 3 2 2" xfId="44545"/>
    <cellStyle name="쉼표 [0] 4 2 2 2 18 2 3 3" xfId="31873"/>
    <cellStyle name="쉼표 [0] 4 2 2 2 18 2 4" xfId="12857"/>
    <cellStyle name="쉼표 [0] 4 2 2 2 18 2 4 2" xfId="38209"/>
    <cellStyle name="쉼표 [0] 4 2 2 2 18 2 5" xfId="25537"/>
    <cellStyle name="쉼표 [0] 4 2 2 2 18 2 6" xfId="50888"/>
    <cellStyle name="쉼표 [0] 4 2 2 2 18 3" xfId="3280"/>
    <cellStyle name="쉼표 [0] 4 2 2 2 18 3 2" xfId="9616"/>
    <cellStyle name="쉼표 [0] 4 2 2 2 18 3 2 2" xfId="22289"/>
    <cellStyle name="쉼표 [0] 4 2 2 2 18 3 2 2 2" xfId="47641"/>
    <cellStyle name="쉼표 [0] 4 2 2 2 18 3 2 3" xfId="34969"/>
    <cellStyle name="쉼표 [0] 4 2 2 2 18 3 3" xfId="15953"/>
    <cellStyle name="쉼표 [0] 4 2 2 2 18 3 3 2" xfId="41305"/>
    <cellStyle name="쉼표 [0] 4 2 2 2 18 3 4" xfId="28633"/>
    <cellStyle name="쉼표 [0] 4 2 2 2 18 3 5" xfId="50889"/>
    <cellStyle name="쉼표 [0] 4 2 2 2 18 4" xfId="6519"/>
    <cellStyle name="쉼표 [0] 4 2 2 2 18 4 2" xfId="19192"/>
    <cellStyle name="쉼표 [0] 4 2 2 2 18 4 2 2" xfId="44544"/>
    <cellStyle name="쉼표 [0] 4 2 2 2 18 4 3" xfId="31872"/>
    <cellStyle name="쉼표 [0] 4 2 2 2 18 5" xfId="12856"/>
    <cellStyle name="쉼표 [0] 4 2 2 2 18 5 2" xfId="38208"/>
    <cellStyle name="쉼표 [0] 4 2 2 2 18 6" xfId="25536"/>
    <cellStyle name="쉼표 [0] 4 2 2 2 18 7" xfId="50890"/>
    <cellStyle name="쉼표 [0] 4 2 2 2 19" xfId="184"/>
    <cellStyle name="쉼표 [0] 4 2 2 2 19 2" xfId="185"/>
    <cellStyle name="쉼표 [0] 4 2 2 2 19 2 2" xfId="3281"/>
    <cellStyle name="쉼표 [0] 4 2 2 2 19 2 2 2" xfId="9617"/>
    <cellStyle name="쉼표 [0] 4 2 2 2 19 2 2 2 2" xfId="22290"/>
    <cellStyle name="쉼표 [0] 4 2 2 2 19 2 2 2 2 2" xfId="47642"/>
    <cellStyle name="쉼표 [0] 4 2 2 2 19 2 2 2 3" xfId="34970"/>
    <cellStyle name="쉼표 [0] 4 2 2 2 19 2 2 3" xfId="15954"/>
    <cellStyle name="쉼표 [0] 4 2 2 2 19 2 2 3 2" xfId="41306"/>
    <cellStyle name="쉼표 [0] 4 2 2 2 19 2 2 4" xfId="28634"/>
    <cellStyle name="쉼표 [0] 4 2 2 2 19 2 2 5" xfId="50891"/>
    <cellStyle name="쉼표 [0] 4 2 2 2 19 2 3" xfId="6522"/>
    <cellStyle name="쉼표 [0] 4 2 2 2 19 2 3 2" xfId="19195"/>
    <cellStyle name="쉼표 [0] 4 2 2 2 19 2 3 2 2" xfId="44547"/>
    <cellStyle name="쉼표 [0] 4 2 2 2 19 2 3 3" xfId="31875"/>
    <cellStyle name="쉼표 [0] 4 2 2 2 19 2 4" xfId="12859"/>
    <cellStyle name="쉼표 [0] 4 2 2 2 19 2 4 2" xfId="38211"/>
    <cellStyle name="쉼표 [0] 4 2 2 2 19 2 5" xfId="25539"/>
    <cellStyle name="쉼표 [0] 4 2 2 2 19 2 6" xfId="50892"/>
    <cellStyle name="쉼표 [0] 4 2 2 2 19 3" xfId="3282"/>
    <cellStyle name="쉼표 [0] 4 2 2 2 19 3 2" xfId="9618"/>
    <cellStyle name="쉼표 [0] 4 2 2 2 19 3 2 2" xfId="22291"/>
    <cellStyle name="쉼표 [0] 4 2 2 2 19 3 2 2 2" xfId="47643"/>
    <cellStyle name="쉼표 [0] 4 2 2 2 19 3 2 3" xfId="34971"/>
    <cellStyle name="쉼표 [0] 4 2 2 2 19 3 3" xfId="15955"/>
    <cellStyle name="쉼표 [0] 4 2 2 2 19 3 3 2" xfId="41307"/>
    <cellStyle name="쉼표 [0] 4 2 2 2 19 3 4" xfId="28635"/>
    <cellStyle name="쉼표 [0] 4 2 2 2 19 3 5" xfId="50893"/>
    <cellStyle name="쉼표 [0] 4 2 2 2 19 4" xfId="6521"/>
    <cellStyle name="쉼표 [0] 4 2 2 2 19 4 2" xfId="19194"/>
    <cellStyle name="쉼표 [0] 4 2 2 2 19 4 2 2" xfId="44546"/>
    <cellStyle name="쉼표 [0] 4 2 2 2 19 4 3" xfId="31874"/>
    <cellStyle name="쉼표 [0] 4 2 2 2 19 5" xfId="12858"/>
    <cellStyle name="쉼표 [0] 4 2 2 2 19 5 2" xfId="38210"/>
    <cellStyle name="쉼표 [0] 4 2 2 2 19 6" xfId="25538"/>
    <cellStyle name="쉼표 [0] 4 2 2 2 19 7" xfId="50894"/>
    <cellStyle name="쉼표 [0] 4 2 2 2 2" xfId="57"/>
    <cellStyle name="쉼표 [0] 4 2 2 2 2 10" xfId="186"/>
    <cellStyle name="쉼표 [0] 4 2 2 2 2 10 2" xfId="187"/>
    <cellStyle name="쉼표 [0] 4 2 2 2 2 10 2 2" xfId="3283"/>
    <cellStyle name="쉼표 [0] 4 2 2 2 2 10 2 2 2" xfId="9619"/>
    <cellStyle name="쉼표 [0] 4 2 2 2 2 10 2 2 2 2" xfId="22292"/>
    <cellStyle name="쉼표 [0] 4 2 2 2 2 10 2 2 2 2 2" xfId="47644"/>
    <cellStyle name="쉼표 [0] 4 2 2 2 2 10 2 2 2 3" xfId="34972"/>
    <cellStyle name="쉼표 [0] 4 2 2 2 2 10 2 2 3" xfId="15956"/>
    <cellStyle name="쉼표 [0] 4 2 2 2 2 10 2 2 3 2" xfId="41308"/>
    <cellStyle name="쉼표 [0] 4 2 2 2 2 10 2 2 4" xfId="28636"/>
    <cellStyle name="쉼표 [0] 4 2 2 2 2 10 2 2 5" xfId="50895"/>
    <cellStyle name="쉼표 [0] 4 2 2 2 2 10 2 3" xfId="6524"/>
    <cellStyle name="쉼표 [0] 4 2 2 2 2 10 2 3 2" xfId="19197"/>
    <cellStyle name="쉼표 [0] 4 2 2 2 2 10 2 3 2 2" xfId="44549"/>
    <cellStyle name="쉼표 [0] 4 2 2 2 2 10 2 3 3" xfId="31877"/>
    <cellStyle name="쉼표 [0] 4 2 2 2 2 10 2 4" xfId="12861"/>
    <cellStyle name="쉼표 [0] 4 2 2 2 2 10 2 4 2" xfId="38213"/>
    <cellStyle name="쉼표 [0] 4 2 2 2 2 10 2 5" xfId="25541"/>
    <cellStyle name="쉼표 [0] 4 2 2 2 2 10 2 6" xfId="50896"/>
    <cellStyle name="쉼표 [0] 4 2 2 2 2 10 3" xfId="3284"/>
    <cellStyle name="쉼표 [0] 4 2 2 2 2 10 3 2" xfId="9620"/>
    <cellStyle name="쉼표 [0] 4 2 2 2 2 10 3 2 2" xfId="22293"/>
    <cellStyle name="쉼표 [0] 4 2 2 2 2 10 3 2 2 2" xfId="47645"/>
    <cellStyle name="쉼표 [0] 4 2 2 2 2 10 3 2 3" xfId="34973"/>
    <cellStyle name="쉼표 [0] 4 2 2 2 2 10 3 3" xfId="15957"/>
    <cellStyle name="쉼표 [0] 4 2 2 2 2 10 3 3 2" xfId="41309"/>
    <cellStyle name="쉼표 [0] 4 2 2 2 2 10 3 4" xfId="28637"/>
    <cellStyle name="쉼표 [0] 4 2 2 2 2 10 3 5" xfId="50897"/>
    <cellStyle name="쉼표 [0] 4 2 2 2 2 10 4" xfId="6523"/>
    <cellStyle name="쉼표 [0] 4 2 2 2 2 10 4 2" xfId="19196"/>
    <cellStyle name="쉼표 [0] 4 2 2 2 2 10 4 2 2" xfId="44548"/>
    <cellStyle name="쉼표 [0] 4 2 2 2 2 10 4 3" xfId="31876"/>
    <cellStyle name="쉼표 [0] 4 2 2 2 2 10 5" xfId="12860"/>
    <cellStyle name="쉼표 [0] 4 2 2 2 2 10 5 2" xfId="38212"/>
    <cellStyle name="쉼표 [0] 4 2 2 2 2 10 6" xfId="25540"/>
    <cellStyle name="쉼표 [0] 4 2 2 2 2 10 7" xfId="50898"/>
    <cellStyle name="쉼표 [0] 4 2 2 2 2 11" xfId="188"/>
    <cellStyle name="쉼표 [0] 4 2 2 2 2 11 2" xfId="189"/>
    <cellStyle name="쉼표 [0] 4 2 2 2 2 11 2 2" xfId="3285"/>
    <cellStyle name="쉼표 [0] 4 2 2 2 2 11 2 2 2" xfId="9621"/>
    <cellStyle name="쉼표 [0] 4 2 2 2 2 11 2 2 2 2" xfId="22294"/>
    <cellStyle name="쉼표 [0] 4 2 2 2 2 11 2 2 2 2 2" xfId="47646"/>
    <cellStyle name="쉼표 [0] 4 2 2 2 2 11 2 2 2 3" xfId="34974"/>
    <cellStyle name="쉼표 [0] 4 2 2 2 2 11 2 2 3" xfId="15958"/>
    <cellStyle name="쉼표 [0] 4 2 2 2 2 11 2 2 3 2" xfId="41310"/>
    <cellStyle name="쉼표 [0] 4 2 2 2 2 11 2 2 4" xfId="28638"/>
    <cellStyle name="쉼표 [0] 4 2 2 2 2 11 2 2 5" xfId="50899"/>
    <cellStyle name="쉼표 [0] 4 2 2 2 2 11 2 3" xfId="6526"/>
    <cellStyle name="쉼표 [0] 4 2 2 2 2 11 2 3 2" xfId="19199"/>
    <cellStyle name="쉼표 [0] 4 2 2 2 2 11 2 3 2 2" xfId="44551"/>
    <cellStyle name="쉼표 [0] 4 2 2 2 2 11 2 3 3" xfId="31879"/>
    <cellStyle name="쉼표 [0] 4 2 2 2 2 11 2 4" xfId="12863"/>
    <cellStyle name="쉼표 [0] 4 2 2 2 2 11 2 4 2" xfId="38215"/>
    <cellStyle name="쉼표 [0] 4 2 2 2 2 11 2 5" xfId="25543"/>
    <cellStyle name="쉼표 [0] 4 2 2 2 2 11 2 6" xfId="50900"/>
    <cellStyle name="쉼표 [0] 4 2 2 2 2 11 3" xfId="3286"/>
    <cellStyle name="쉼표 [0] 4 2 2 2 2 11 3 2" xfId="9622"/>
    <cellStyle name="쉼표 [0] 4 2 2 2 2 11 3 2 2" xfId="22295"/>
    <cellStyle name="쉼표 [0] 4 2 2 2 2 11 3 2 2 2" xfId="47647"/>
    <cellStyle name="쉼표 [0] 4 2 2 2 2 11 3 2 3" xfId="34975"/>
    <cellStyle name="쉼표 [0] 4 2 2 2 2 11 3 3" xfId="15959"/>
    <cellStyle name="쉼표 [0] 4 2 2 2 2 11 3 3 2" xfId="41311"/>
    <cellStyle name="쉼표 [0] 4 2 2 2 2 11 3 4" xfId="28639"/>
    <cellStyle name="쉼표 [0] 4 2 2 2 2 11 3 5" xfId="50901"/>
    <cellStyle name="쉼표 [0] 4 2 2 2 2 11 4" xfId="6525"/>
    <cellStyle name="쉼표 [0] 4 2 2 2 2 11 4 2" xfId="19198"/>
    <cellStyle name="쉼표 [0] 4 2 2 2 2 11 4 2 2" xfId="44550"/>
    <cellStyle name="쉼표 [0] 4 2 2 2 2 11 4 3" xfId="31878"/>
    <cellStyle name="쉼표 [0] 4 2 2 2 2 11 5" xfId="12862"/>
    <cellStyle name="쉼표 [0] 4 2 2 2 2 11 5 2" xfId="38214"/>
    <cellStyle name="쉼표 [0] 4 2 2 2 2 11 6" xfId="25542"/>
    <cellStyle name="쉼표 [0] 4 2 2 2 2 11 7" xfId="50902"/>
    <cellStyle name="쉼표 [0] 4 2 2 2 2 12" xfId="190"/>
    <cellStyle name="쉼표 [0] 4 2 2 2 2 12 2" xfId="191"/>
    <cellStyle name="쉼표 [0] 4 2 2 2 2 12 2 2" xfId="3287"/>
    <cellStyle name="쉼표 [0] 4 2 2 2 2 12 2 2 2" xfId="9623"/>
    <cellStyle name="쉼표 [0] 4 2 2 2 2 12 2 2 2 2" xfId="22296"/>
    <cellStyle name="쉼표 [0] 4 2 2 2 2 12 2 2 2 2 2" xfId="47648"/>
    <cellStyle name="쉼표 [0] 4 2 2 2 2 12 2 2 2 3" xfId="34976"/>
    <cellStyle name="쉼표 [0] 4 2 2 2 2 12 2 2 3" xfId="15960"/>
    <cellStyle name="쉼표 [0] 4 2 2 2 2 12 2 2 3 2" xfId="41312"/>
    <cellStyle name="쉼표 [0] 4 2 2 2 2 12 2 2 4" xfId="28640"/>
    <cellStyle name="쉼표 [0] 4 2 2 2 2 12 2 2 5" xfId="50903"/>
    <cellStyle name="쉼표 [0] 4 2 2 2 2 12 2 3" xfId="6528"/>
    <cellStyle name="쉼표 [0] 4 2 2 2 2 12 2 3 2" xfId="19201"/>
    <cellStyle name="쉼표 [0] 4 2 2 2 2 12 2 3 2 2" xfId="44553"/>
    <cellStyle name="쉼표 [0] 4 2 2 2 2 12 2 3 3" xfId="31881"/>
    <cellStyle name="쉼표 [0] 4 2 2 2 2 12 2 4" xfId="12865"/>
    <cellStyle name="쉼표 [0] 4 2 2 2 2 12 2 4 2" xfId="38217"/>
    <cellStyle name="쉼표 [0] 4 2 2 2 2 12 2 5" xfId="25545"/>
    <cellStyle name="쉼표 [0] 4 2 2 2 2 12 2 6" xfId="50904"/>
    <cellStyle name="쉼표 [0] 4 2 2 2 2 12 3" xfId="3288"/>
    <cellStyle name="쉼표 [0] 4 2 2 2 2 12 3 2" xfId="9624"/>
    <cellStyle name="쉼표 [0] 4 2 2 2 2 12 3 2 2" xfId="22297"/>
    <cellStyle name="쉼표 [0] 4 2 2 2 2 12 3 2 2 2" xfId="47649"/>
    <cellStyle name="쉼표 [0] 4 2 2 2 2 12 3 2 3" xfId="34977"/>
    <cellStyle name="쉼표 [0] 4 2 2 2 2 12 3 3" xfId="15961"/>
    <cellStyle name="쉼표 [0] 4 2 2 2 2 12 3 3 2" xfId="41313"/>
    <cellStyle name="쉼표 [0] 4 2 2 2 2 12 3 4" xfId="28641"/>
    <cellStyle name="쉼표 [0] 4 2 2 2 2 12 3 5" xfId="50905"/>
    <cellStyle name="쉼표 [0] 4 2 2 2 2 12 4" xfId="6527"/>
    <cellStyle name="쉼표 [0] 4 2 2 2 2 12 4 2" xfId="19200"/>
    <cellStyle name="쉼표 [0] 4 2 2 2 2 12 4 2 2" xfId="44552"/>
    <cellStyle name="쉼표 [0] 4 2 2 2 2 12 4 3" xfId="31880"/>
    <cellStyle name="쉼표 [0] 4 2 2 2 2 12 5" xfId="12864"/>
    <cellStyle name="쉼표 [0] 4 2 2 2 2 12 5 2" xfId="38216"/>
    <cellStyle name="쉼표 [0] 4 2 2 2 2 12 6" xfId="25544"/>
    <cellStyle name="쉼표 [0] 4 2 2 2 2 12 7" xfId="50906"/>
    <cellStyle name="쉼표 [0] 4 2 2 2 2 13" xfId="192"/>
    <cellStyle name="쉼표 [0] 4 2 2 2 2 13 2" xfId="193"/>
    <cellStyle name="쉼표 [0] 4 2 2 2 2 13 2 2" xfId="3289"/>
    <cellStyle name="쉼표 [0] 4 2 2 2 2 13 2 2 2" xfId="9625"/>
    <cellStyle name="쉼표 [0] 4 2 2 2 2 13 2 2 2 2" xfId="22298"/>
    <cellStyle name="쉼표 [0] 4 2 2 2 2 13 2 2 2 2 2" xfId="47650"/>
    <cellStyle name="쉼표 [0] 4 2 2 2 2 13 2 2 2 3" xfId="34978"/>
    <cellStyle name="쉼표 [0] 4 2 2 2 2 13 2 2 3" xfId="15962"/>
    <cellStyle name="쉼표 [0] 4 2 2 2 2 13 2 2 3 2" xfId="41314"/>
    <cellStyle name="쉼표 [0] 4 2 2 2 2 13 2 2 4" xfId="28642"/>
    <cellStyle name="쉼표 [0] 4 2 2 2 2 13 2 2 5" xfId="50907"/>
    <cellStyle name="쉼표 [0] 4 2 2 2 2 13 2 3" xfId="6530"/>
    <cellStyle name="쉼표 [0] 4 2 2 2 2 13 2 3 2" xfId="19203"/>
    <cellStyle name="쉼표 [0] 4 2 2 2 2 13 2 3 2 2" xfId="44555"/>
    <cellStyle name="쉼표 [0] 4 2 2 2 2 13 2 3 3" xfId="31883"/>
    <cellStyle name="쉼표 [0] 4 2 2 2 2 13 2 4" xfId="12867"/>
    <cellStyle name="쉼표 [0] 4 2 2 2 2 13 2 4 2" xfId="38219"/>
    <cellStyle name="쉼표 [0] 4 2 2 2 2 13 2 5" xfId="25547"/>
    <cellStyle name="쉼표 [0] 4 2 2 2 2 13 2 6" xfId="50908"/>
    <cellStyle name="쉼표 [0] 4 2 2 2 2 13 3" xfId="3290"/>
    <cellStyle name="쉼표 [0] 4 2 2 2 2 13 3 2" xfId="9626"/>
    <cellStyle name="쉼표 [0] 4 2 2 2 2 13 3 2 2" xfId="22299"/>
    <cellStyle name="쉼표 [0] 4 2 2 2 2 13 3 2 2 2" xfId="47651"/>
    <cellStyle name="쉼표 [0] 4 2 2 2 2 13 3 2 3" xfId="34979"/>
    <cellStyle name="쉼표 [0] 4 2 2 2 2 13 3 3" xfId="15963"/>
    <cellStyle name="쉼표 [0] 4 2 2 2 2 13 3 3 2" xfId="41315"/>
    <cellStyle name="쉼표 [0] 4 2 2 2 2 13 3 4" xfId="28643"/>
    <cellStyle name="쉼표 [0] 4 2 2 2 2 13 3 5" xfId="50909"/>
    <cellStyle name="쉼표 [0] 4 2 2 2 2 13 4" xfId="6529"/>
    <cellStyle name="쉼표 [0] 4 2 2 2 2 13 4 2" xfId="19202"/>
    <cellStyle name="쉼표 [0] 4 2 2 2 2 13 4 2 2" xfId="44554"/>
    <cellStyle name="쉼표 [0] 4 2 2 2 2 13 4 3" xfId="31882"/>
    <cellStyle name="쉼표 [0] 4 2 2 2 2 13 5" xfId="12866"/>
    <cellStyle name="쉼표 [0] 4 2 2 2 2 13 5 2" xfId="38218"/>
    <cellStyle name="쉼표 [0] 4 2 2 2 2 13 6" xfId="25546"/>
    <cellStyle name="쉼표 [0] 4 2 2 2 2 13 7" xfId="50910"/>
    <cellStyle name="쉼표 [0] 4 2 2 2 2 14" xfId="194"/>
    <cellStyle name="쉼표 [0] 4 2 2 2 2 14 2" xfId="195"/>
    <cellStyle name="쉼표 [0] 4 2 2 2 2 14 2 2" xfId="3291"/>
    <cellStyle name="쉼표 [0] 4 2 2 2 2 14 2 2 2" xfId="9627"/>
    <cellStyle name="쉼표 [0] 4 2 2 2 2 14 2 2 2 2" xfId="22300"/>
    <cellStyle name="쉼표 [0] 4 2 2 2 2 14 2 2 2 2 2" xfId="47652"/>
    <cellStyle name="쉼표 [0] 4 2 2 2 2 14 2 2 2 3" xfId="34980"/>
    <cellStyle name="쉼표 [0] 4 2 2 2 2 14 2 2 3" xfId="15964"/>
    <cellStyle name="쉼표 [0] 4 2 2 2 2 14 2 2 3 2" xfId="41316"/>
    <cellStyle name="쉼표 [0] 4 2 2 2 2 14 2 2 4" xfId="28644"/>
    <cellStyle name="쉼표 [0] 4 2 2 2 2 14 2 2 5" xfId="50911"/>
    <cellStyle name="쉼표 [0] 4 2 2 2 2 14 2 3" xfId="6532"/>
    <cellStyle name="쉼표 [0] 4 2 2 2 2 14 2 3 2" xfId="19205"/>
    <cellStyle name="쉼표 [0] 4 2 2 2 2 14 2 3 2 2" xfId="44557"/>
    <cellStyle name="쉼표 [0] 4 2 2 2 2 14 2 3 3" xfId="31885"/>
    <cellStyle name="쉼표 [0] 4 2 2 2 2 14 2 4" xfId="12869"/>
    <cellStyle name="쉼표 [0] 4 2 2 2 2 14 2 4 2" xfId="38221"/>
    <cellStyle name="쉼표 [0] 4 2 2 2 2 14 2 5" xfId="25549"/>
    <cellStyle name="쉼표 [0] 4 2 2 2 2 14 2 6" xfId="50912"/>
    <cellStyle name="쉼표 [0] 4 2 2 2 2 14 3" xfId="3292"/>
    <cellStyle name="쉼표 [0] 4 2 2 2 2 14 3 2" xfId="9628"/>
    <cellStyle name="쉼표 [0] 4 2 2 2 2 14 3 2 2" xfId="22301"/>
    <cellStyle name="쉼표 [0] 4 2 2 2 2 14 3 2 2 2" xfId="47653"/>
    <cellStyle name="쉼표 [0] 4 2 2 2 2 14 3 2 3" xfId="34981"/>
    <cellStyle name="쉼표 [0] 4 2 2 2 2 14 3 3" xfId="15965"/>
    <cellStyle name="쉼표 [0] 4 2 2 2 2 14 3 3 2" xfId="41317"/>
    <cellStyle name="쉼표 [0] 4 2 2 2 2 14 3 4" xfId="28645"/>
    <cellStyle name="쉼표 [0] 4 2 2 2 2 14 3 5" xfId="50913"/>
    <cellStyle name="쉼표 [0] 4 2 2 2 2 14 4" xfId="6531"/>
    <cellStyle name="쉼표 [0] 4 2 2 2 2 14 4 2" xfId="19204"/>
    <cellStyle name="쉼표 [0] 4 2 2 2 2 14 4 2 2" xfId="44556"/>
    <cellStyle name="쉼표 [0] 4 2 2 2 2 14 4 3" xfId="31884"/>
    <cellStyle name="쉼표 [0] 4 2 2 2 2 14 5" xfId="12868"/>
    <cellStyle name="쉼표 [0] 4 2 2 2 2 14 5 2" xfId="38220"/>
    <cellStyle name="쉼표 [0] 4 2 2 2 2 14 6" xfId="25548"/>
    <cellStyle name="쉼표 [0] 4 2 2 2 2 14 7" xfId="50914"/>
    <cellStyle name="쉼표 [0] 4 2 2 2 2 15" xfId="196"/>
    <cellStyle name="쉼표 [0] 4 2 2 2 2 15 2" xfId="197"/>
    <cellStyle name="쉼표 [0] 4 2 2 2 2 15 2 2" xfId="3293"/>
    <cellStyle name="쉼표 [0] 4 2 2 2 2 15 2 2 2" xfId="9629"/>
    <cellStyle name="쉼표 [0] 4 2 2 2 2 15 2 2 2 2" xfId="22302"/>
    <cellStyle name="쉼표 [0] 4 2 2 2 2 15 2 2 2 2 2" xfId="47654"/>
    <cellStyle name="쉼표 [0] 4 2 2 2 2 15 2 2 2 3" xfId="34982"/>
    <cellStyle name="쉼표 [0] 4 2 2 2 2 15 2 2 3" xfId="15966"/>
    <cellStyle name="쉼표 [0] 4 2 2 2 2 15 2 2 3 2" xfId="41318"/>
    <cellStyle name="쉼표 [0] 4 2 2 2 2 15 2 2 4" xfId="28646"/>
    <cellStyle name="쉼표 [0] 4 2 2 2 2 15 2 2 5" xfId="50915"/>
    <cellStyle name="쉼표 [0] 4 2 2 2 2 15 2 3" xfId="6534"/>
    <cellStyle name="쉼표 [0] 4 2 2 2 2 15 2 3 2" xfId="19207"/>
    <cellStyle name="쉼표 [0] 4 2 2 2 2 15 2 3 2 2" xfId="44559"/>
    <cellStyle name="쉼표 [0] 4 2 2 2 2 15 2 3 3" xfId="31887"/>
    <cellStyle name="쉼표 [0] 4 2 2 2 2 15 2 4" xfId="12871"/>
    <cellStyle name="쉼표 [0] 4 2 2 2 2 15 2 4 2" xfId="38223"/>
    <cellStyle name="쉼표 [0] 4 2 2 2 2 15 2 5" xfId="25551"/>
    <cellStyle name="쉼표 [0] 4 2 2 2 2 15 2 6" xfId="50916"/>
    <cellStyle name="쉼표 [0] 4 2 2 2 2 15 3" xfId="3294"/>
    <cellStyle name="쉼표 [0] 4 2 2 2 2 15 3 2" xfId="9630"/>
    <cellStyle name="쉼표 [0] 4 2 2 2 2 15 3 2 2" xfId="22303"/>
    <cellStyle name="쉼표 [0] 4 2 2 2 2 15 3 2 2 2" xfId="47655"/>
    <cellStyle name="쉼표 [0] 4 2 2 2 2 15 3 2 3" xfId="34983"/>
    <cellStyle name="쉼표 [0] 4 2 2 2 2 15 3 3" xfId="15967"/>
    <cellStyle name="쉼표 [0] 4 2 2 2 2 15 3 3 2" xfId="41319"/>
    <cellStyle name="쉼표 [0] 4 2 2 2 2 15 3 4" xfId="28647"/>
    <cellStyle name="쉼표 [0] 4 2 2 2 2 15 3 5" xfId="50917"/>
    <cellStyle name="쉼표 [0] 4 2 2 2 2 15 4" xfId="6533"/>
    <cellStyle name="쉼표 [0] 4 2 2 2 2 15 4 2" xfId="19206"/>
    <cellStyle name="쉼표 [0] 4 2 2 2 2 15 4 2 2" xfId="44558"/>
    <cellStyle name="쉼표 [0] 4 2 2 2 2 15 4 3" xfId="31886"/>
    <cellStyle name="쉼표 [0] 4 2 2 2 2 15 5" xfId="12870"/>
    <cellStyle name="쉼표 [0] 4 2 2 2 2 15 5 2" xfId="38222"/>
    <cellStyle name="쉼표 [0] 4 2 2 2 2 15 6" xfId="25550"/>
    <cellStyle name="쉼표 [0] 4 2 2 2 2 15 7" xfId="50918"/>
    <cellStyle name="쉼표 [0] 4 2 2 2 2 16" xfId="198"/>
    <cellStyle name="쉼표 [0] 4 2 2 2 2 16 2" xfId="199"/>
    <cellStyle name="쉼표 [0] 4 2 2 2 2 16 2 2" xfId="3295"/>
    <cellStyle name="쉼표 [0] 4 2 2 2 2 16 2 2 2" xfId="9631"/>
    <cellStyle name="쉼표 [0] 4 2 2 2 2 16 2 2 2 2" xfId="22304"/>
    <cellStyle name="쉼표 [0] 4 2 2 2 2 16 2 2 2 2 2" xfId="47656"/>
    <cellStyle name="쉼표 [0] 4 2 2 2 2 16 2 2 2 3" xfId="34984"/>
    <cellStyle name="쉼표 [0] 4 2 2 2 2 16 2 2 3" xfId="15968"/>
    <cellStyle name="쉼표 [0] 4 2 2 2 2 16 2 2 3 2" xfId="41320"/>
    <cellStyle name="쉼표 [0] 4 2 2 2 2 16 2 2 4" xfId="28648"/>
    <cellStyle name="쉼표 [0] 4 2 2 2 2 16 2 2 5" xfId="50919"/>
    <cellStyle name="쉼표 [0] 4 2 2 2 2 16 2 3" xfId="6536"/>
    <cellStyle name="쉼표 [0] 4 2 2 2 2 16 2 3 2" xfId="19209"/>
    <cellStyle name="쉼표 [0] 4 2 2 2 2 16 2 3 2 2" xfId="44561"/>
    <cellStyle name="쉼표 [0] 4 2 2 2 2 16 2 3 3" xfId="31889"/>
    <cellStyle name="쉼표 [0] 4 2 2 2 2 16 2 4" xfId="12873"/>
    <cellStyle name="쉼표 [0] 4 2 2 2 2 16 2 4 2" xfId="38225"/>
    <cellStyle name="쉼표 [0] 4 2 2 2 2 16 2 5" xfId="25553"/>
    <cellStyle name="쉼표 [0] 4 2 2 2 2 16 2 6" xfId="50920"/>
    <cellStyle name="쉼표 [0] 4 2 2 2 2 16 3" xfId="3296"/>
    <cellStyle name="쉼표 [0] 4 2 2 2 2 16 3 2" xfId="9632"/>
    <cellStyle name="쉼표 [0] 4 2 2 2 2 16 3 2 2" xfId="22305"/>
    <cellStyle name="쉼표 [0] 4 2 2 2 2 16 3 2 2 2" xfId="47657"/>
    <cellStyle name="쉼표 [0] 4 2 2 2 2 16 3 2 3" xfId="34985"/>
    <cellStyle name="쉼표 [0] 4 2 2 2 2 16 3 3" xfId="15969"/>
    <cellStyle name="쉼표 [0] 4 2 2 2 2 16 3 3 2" xfId="41321"/>
    <cellStyle name="쉼표 [0] 4 2 2 2 2 16 3 4" xfId="28649"/>
    <cellStyle name="쉼표 [0] 4 2 2 2 2 16 3 5" xfId="50921"/>
    <cellStyle name="쉼표 [0] 4 2 2 2 2 16 4" xfId="6535"/>
    <cellStyle name="쉼표 [0] 4 2 2 2 2 16 4 2" xfId="19208"/>
    <cellStyle name="쉼표 [0] 4 2 2 2 2 16 4 2 2" xfId="44560"/>
    <cellStyle name="쉼표 [0] 4 2 2 2 2 16 4 3" xfId="31888"/>
    <cellStyle name="쉼표 [0] 4 2 2 2 2 16 5" xfId="12872"/>
    <cellStyle name="쉼표 [0] 4 2 2 2 2 16 5 2" xfId="38224"/>
    <cellStyle name="쉼표 [0] 4 2 2 2 2 16 6" xfId="25552"/>
    <cellStyle name="쉼표 [0] 4 2 2 2 2 16 7" xfId="50922"/>
    <cellStyle name="쉼표 [0] 4 2 2 2 2 17" xfId="200"/>
    <cellStyle name="쉼표 [0] 4 2 2 2 2 17 2" xfId="201"/>
    <cellStyle name="쉼표 [0] 4 2 2 2 2 17 2 2" xfId="3297"/>
    <cellStyle name="쉼표 [0] 4 2 2 2 2 17 2 2 2" xfId="9633"/>
    <cellStyle name="쉼표 [0] 4 2 2 2 2 17 2 2 2 2" xfId="22306"/>
    <cellStyle name="쉼표 [0] 4 2 2 2 2 17 2 2 2 2 2" xfId="47658"/>
    <cellStyle name="쉼표 [0] 4 2 2 2 2 17 2 2 2 3" xfId="34986"/>
    <cellStyle name="쉼표 [0] 4 2 2 2 2 17 2 2 3" xfId="15970"/>
    <cellStyle name="쉼표 [0] 4 2 2 2 2 17 2 2 3 2" xfId="41322"/>
    <cellStyle name="쉼표 [0] 4 2 2 2 2 17 2 2 4" xfId="28650"/>
    <cellStyle name="쉼표 [0] 4 2 2 2 2 17 2 2 5" xfId="50923"/>
    <cellStyle name="쉼표 [0] 4 2 2 2 2 17 2 3" xfId="6538"/>
    <cellStyle name="쉼표 [0] 4 2 2 2 2 17 2 3 2" xfId="19211"/>
    <cellStyle name="쉼표 [0] 4 2 2 2 2 17 2 3 2 2" xfId="44563"/>
    <cellStyle name="쉼표 [0] 4 2 2 2 2 17 2 3 3" xfId="31891"/>
    <cellStyle name="쉼표 [0] 4 2 2 2 2 17 2 4" xfId="12875"/>
    <cellStyle name="쉼표 [0] 4 2 2 2 2 17 2 4 2" xfId="38227"/>
    <cellStyle name="쉼표 [0] 4 2 2 2 2 17 2 5" xfId="25555"/>
    <cellStyle name="쉼표 [0] 4 2 2 2 2 17 2 6" xfId="50924"/>
    <cellStyle name="쉼표 [0] 4 2 2 2 2 17 3" xfId="3298"/>
    <cellStyle name="쉼표 [0] 4 2 2 2 2 17 3 2" xfId="9634"/>
    <cellStyle name="쉼표 [0] 4 2 2 2 2 17 3 2 2" xfId="22307"/>
    <cellStyle name="쉼표 [0] 4 2 2 2 2 17 3 2 2 2" xfId="47659"/>
    <cellStyle name="쉼표 [0] 4 2 2 2 2 17 3 2 3" xfId="34987"/>
    <cellStyle name="쉼표 [0] 4 2 2 2 2 17 3 3" xfId="15971"/>
    <cellStyle name="쉼표 [0] 4 2 2 2 2 17 3 3 2" xfId="41323"/>
    <cellStyle name="쉼표 [0] 4 2 2 2 2 17 3 4" xfId="28651"/>
    <cellStyle name="쉼표 [0] 4 2 2 2 2 17 3 5" xfId="50925"/>
    <cellStyle name="쉼표 [0] 4 2 2 2 2 17 4" xfId="6537"/>
    <cellStyle name="쉼표 [0] 4 2 2 2 2 17 4 2" xfId="19210"/>
    <cellStyle name="쉼표 [0] 4 2 2 2 2 17 4 2 2" xfId="44562"/>
    <cellStyle name="쉼표 [0] 4 2 2 2 2 17 4 3" xfId="31890"/>
    <cellStyle name="쉼표 [0] 4 2 2 2 2 17 5" xfId="12874"/>
    <cellStyle name="쉼표 [0] 4 2 2 2 2 17 5 2" xfId="38226"/>
    <cellStyle name="쉼표 [0] 4 2 2 2 2 17 6" xfId="25554"/>
    <cellStyle name="쉼표 [0] 4 2 2 2 2 17 7" xfId="50926"/>
    <cellStyle name="쉼표 [0] 4 2 2 2 2 18" xfId="202"/>
    <cellStyle name="쉼표 [0] 4 2 2 2 2 18 2" xfId="203"/>
    <cellStyle name="쉼표 [0] 4 2 2 2 2 18 2 2" xfId="3299"/>
    <cellStyle name="쉼표 [0] 4 2 2 2 2 18 2 2 2" xfId="9635"/>
    <cellStyle name="쉼표 [0] 4 2 2 2 2 18 2 2 2 2" xfId="22308"/>
    <cellStyle name="쉼표 [0] 4 2 2 2 2 18 2 2 2 2 2" xfId="47660"/>
    <cellStyle name="쉼표 [0] 4 2 2 2 2 18 2 2 2 3" xfId="34988"/>
    <cellStyle name="쉼표 [0] 4 2 2 2 2 18 2 2 3" xfId="15972"/>
    <cellStyle name="쉼표 [0] 4 2 2 2 2 18 2 2 3 2" xfId="41324"/>
    <cellStyle name="쉼표 [0] 4 2 2 2 2 18 2 2 4" xfId="28652"/>
    <cellStyle name="쉼표 [0] 4 2 2 2 2 18 2 2 5" xfId="50927"/>
    <cellStyle name="쉼표 [0] 4 2 2 2 2 18 2 3" xfId="6540"/>
    <cellStyle name="쉼표 [0] 4 2 2 2 2 18 2 3 2" xfId="19213"/>
    <cellStyle name="쉼표 [0] 4 2 2 2 2 18 2 3 2 2" xfId="44565"/>
    <cellStyle name="쉼표 [0] 4 2 2 2 2 18 2 3 3" xfId="31893"/>
    <cellStyle name="쉼표 [0] 4 2 2 2 2 18 2 4" xfId="12877"/>
    <cellStyle name="쉼표 [0] 4 2 2 2 2 18 2 4 2" xfId="38229"/>
    <cellStyle name="쉼표 [0] 4 2 2 2 2 18 2 5" xfId="25557"/>
    <cellStyle name="쉼표 [0] 4 2 2 2 2 18 2 6" xfId="50928"/>
    <cellStyle name="쉼표 [0] 4 2 2 2 2 18 3" xfId="3300"/>
    <cellStyle name="쉼표 [0] 4 2 2 2 2 18 3 2" xfId="9636"/>
    <cellStyle name="쉼표 [0] 4 2 2 2 2 18 3 2 2" xfId="22309"/>
    <cellStyle name="쉼표 [0] 4 2 2 2 2 18 3 2 2 2" xfId="47661"/>
    <cellStyle name="쉼표 [0] 4 2 2 2 2 18 3 2 3" xfId="34989"/>
    <cellStyle name="쉼표 [0] 4 2 2 2 2 18 3 3" xfId="15973"/>
    <cellStyle name="쉼표 [0] 4 2 2 2 2 18 3 3 2" xfId="41325"/>
    <cellStyle name="쉼표 [0] 4 2 2 2 2 18 3 4" xfId="28653"/>
    <cellStyle name="쉼표 [0] 4 2 2 2 2 18 3 5" xfId="50929"/>
    <cellStyle name="쉼표 [0] 4 2 2 2 2 18 4" xfId="6539"/>
    <cellStyle name="쉼표 [0] 4 2 2 2 2 18 4 2" xfId="19212"/>
    <cellStyle name="쉼표 [0] 4 2 2 2 2 18 4 2 2" xfId="44564"/>
    <cellStyle name="쉼표 [0] 4 2 2 2 2 18 4 3" xfId="31892"/>
    <cellStyle name="쉼표 [0] 4 2 2 2 2 18 5" xfId="12876"/>
    <cellStyle name="쉼표 [0] 4 2 2 2 2 18 5 2" xfId="38228"/>
    <cellStyle name="쉼표 [0] 4 2 2 2 2 18 6" xfId="25556"/>
    <cellStyle name="쉼표 [0] 4 2 2 2 2 18 7" xfId="50930"/>
    <cellStyle name="쉼표 [0] 4 2 2 2 2 19" xfId="204"/>
    <cellStyle name="쉼표 [0] 4 2 2 2 2 19 2" xfId="205"/>
    <cellStyle name="쉼표 [0] 4 2 2 2 2 19 2 2" xfId="3301"/>
    <cellStyle name="쉼표 [0] 4 2 2 2 2 19 2 2 2" xfId="9637"/>
    <cellStyle name="쉼표 [0] 4 2 2 2 2 19 2 2 2 2" xfId="22310"/>
    <cellStyle name="쉼표 [0] 4 2 2 2 2 19 2 2 2 2 2" xfId="47662"/>
    <cellStyle name="쉼표 [0] 4 2 2 2 2 19 2 2 2 3" xfId="34990"/>
    <cellStyle name="쉼표 [0] 4 2 2 2 2 19 2 2 3" xfId="15974"/>
    <cellStyle name="쉼표 [0] 4 2 2 2 2 19 2 2 3 2" xfId="41326"/>
    <cellStyle name="쉼표 [0] 4 2 2 2 2 19 2 2 4" xfId="28654"/>
    <cellStyle name="쉼표 [0] 4 2 2 2 2 19 2 2 5" xfId="50931"/>
    <cellStyle name="쉼표 [0] 4 2 2 2 2 19 2 3" xfId="6542"/>
    <cellStyle name="쉼표 [0] 4 2 2 2 2 19 2 3 2" xfId="19215"/>
    <cellStyle name="쉼표 [0] 4 2 2 2 2 19 2 3 2 2" xfId="44567"/>
    <cellStyle name="쉼표 [0] 4 2 2 2 2 19 2 3 3" xfId="31895"/>
    <cellStyle name="쉼표 [0] 4 2 2 2 2 19 2 4" xfId="12879"/>
    <cellStyle name="쉼표 [0] 4 2 2 2 2 19 2 4 2" xfId="38231"/>
    <cellStyle name="쉼표 [0] 4 2 2 2 2 19 2 5" xfId="25559"/>
    <cellStyle name="쉼표 [0] 4 2 2 2 2 19 2 6" xfId="50932"/>
    <cellStyle name="쉼표 [0] 4 2 2 2 2 19 3" xfId="3302"/>
    <cellStyle name="쉼표 [0] 4 2 2 2 2 19 3 2" xfId="9638"/>
    <cellStyle name="쉼표 [0] 4 2 2 2 2 19 3 2 2" xfId="22311"/>
    <cellStyle name="쉼표 [0] 4 2 2 2 2 19 3 2 2 2" xfId="47663"/>
    <cellStyle name="쉼표 [0] 4 2 2 2 2 19 3 2 3" xfId="34991"/>
    <cellStyle name="쉼표 [0] 4 2 2 2 2 19 3 3" xfId="15975"/>
    <cellStyle name="쉼표 [0] 4 2 2 2 2 19 3 3 2" xfId="41327"/>
    <cellStyle name="쉼표 [0] 4 2 2 2 2 19 3 4" xfId="28655"/>
    <cellStyle name="쉼표 [0] 4 2 2 2 2 19 3 5" xfId="50933"/>
    <cellStyle name="쉼표 [0] 4 2 2 2 2 19 4" xfId="6541"/>
    <cellStyle name="쉼표 [0] 4 2 2 2 2 19 4 2" xfId="19214"/>
    <cellStyle name="쉼표 [0] 4 2 2 2 2 19 4 2 2" xfId="44566"/>
    <cellStyle name="쉼표 [0] 4 2 2 2 2 19 4 3" xfId="31894"/>
    <cellStyle name="쉼표 [0] 4 2 2 2 2 19 5" xfId="12878"/>
    <cellStyle name="쉼표 [0] 4 2 2 2 2 19 5 2" xfId="38230"/>
    <cellStyle name="쉼표 [0] 4 2 2 2 2 19 6" xfId="25558"/>
    <cellStyle name="쉼표 [0] 4 2 2 2 2 19 7" xfId="50934"/>
    <cellStyle name="쉼표 [0] 4 2 2 2 2 2" xfId="206"/>
    <cellStyle name="쉼표 [0] 4 2 2 2 2 2 2" xfId="207"/>
    <cellStyle name="쉼표 [0] 4 2 2 2 2 2 2 2" xfId="3303"/>
    <cellStyle name="쉼표 [0] 4 2 2 2 2 2 2 2 2" xfId="9639"/>
    <cellStyle name="쉼표 [0] 4 2 2 2 2 2 2 2 2 2" xfId="22312"/>
    <cellStyle name="쉼표 [0] 4 2 2 2 2 2 2 2 2 2 2" xfId="47664"/>
    <cellStyle name="쉼표 [0] 4 2 2 2 2 2 2 2 2 3" xfId="34992"/>
    <cellStyle name="쉼표 [0] 4 2 2 2 2 2 2 2 3" xfId="15976"/>
    <cellStyle name="쉼표 [0] 4 2 2 2 2 2 2 2 3 2" xfId="41328"/>
    <cellStyle name="쉼표 [0] 4 2 2 2 2 2 2 2 4" xfId="28656"/>
    <cellStyle name="쉼표 [0] 4 2 2 2 2 2 2 2 5" xfId="50935"/>
    <cellStyle name="쉼표 [0] 4 2 2 2 2 2 2 3" xfId="6544"/>
    <cellStyle name="쉼표 [0] 4 2 2 2 2 2 2 3 2" xfId="19217"/>
    <cellStyle name="쉼표 [0] 4 2 2 2 2 2 2 3 2 2" xfId="44569"/>
    <cellStyle name="쉼표 [0] 4 2 2 2 2 2 2 3 3" xfId="31897"/>
    <cellStyle name="쉼표 [0] 4 2 2 2 2 2 2 4" xfId="12881"/>
    <cellStyle name="쉼표 [0] 4 2 2 2 2 2 2 4 2" xfId="38233"/>
    <cellStyle name="쉼표 [0] 4 2 2 2 2 2 2 5" xfId="25561"/>
    <cellStyle name="쉼표 [0] 4 2 2 2 2 2 2 6" xfId="50936"/>
    <cellStyle name="쉼표 [0] 4 2 2 2 2 2 3" xfId="3304"/>
    <cellStyle name="쉼표 [0] 4 2 2 2 2 2 3 2" xfId="9640"/>
    <cellStyle name="쉼표 [0] 4 2 2 2 2 2 3 2 2" xfId="22313"/>
    <cellStyle name="쉼표 [0] 4 2 2 2 2 2 3 2 2 2" xfId="47665"/>
    <cellStyle name="쉼표 [0] 4 2 2 2 2 2 3 2 3" xfId="34993"/>
    <cellStyle name="쉼표 [0] 4 2 2 2 2 2 3 3" xfId="15977"/>
    <cellStyle name="쉼표 [0] 4 2 2 2 2 2 3 3 2" xfId="41329"/>
    <cellStyle name="쉼표 [0] 4 2 2 2 2 2 3 4" xfId="28657"/>
    <cellStyle name="쉼표 [0] 4 2 2 2 2 2 3 5" xfId="50937"/>
    <cellStyle name="쉼표 [0] 4 2 2 2 2 2 4" xfId="6543"/>
    <cellStyle name="쉼표 [0] 4 2 2 2 2 2 4 2" xfId="19216"/>
    <cellStyle name="쉼표 [0] 4 2 2 2 2 2 4 2 2" xfId="44568"/>
    <cellStyle name="쉼표 [0] 4 2 2 2 2 2 4 3" xfId="31896"/>
    <cellStyle name="쉼표 [0] 4 2 2 2 2 2 5" xfId="12880"/>
    <cellStyle name="쉼표 [0] 4 2 2 2 2 2 5 2" xfId="38232"/>
    <cellStyle name="쉼표 [0] 4 2 2 2 2 2 6" xfId="25560"/>
    <cellStyle name="쉼표 [0] 4 2 2 2 2 2 7" xfId="50938"/>
    <cellStyle name="쉼표 [0] 4 2 2 2 2 20" xfId="208"/>
    <cellStyle name="쉼표 [0] 4 2 2 2 2 20 2" xfId="209"/>
    <cellStyle name="쉼표 [0] 4 2 2 2 2 20 2 2" xfId="3305"/>
    <cellStyle name="쉼표 [0] 4 2 2 2 2 20 2 2 2" xfId="9641"/>
    <cellStyle name="쉼표 [0] 4 2 2 2 2 20 2 2 2 2" xfId="22314"/>
    <cellStyle name="쉼표 [0] 4 2 2 2 2 20 2 2 2 2 2" xfId="47666"/>
    <cellStyle name="쉼표 [0] 4 2 2 2 2 20 2 2 2 3" xfId="34994"/>
    <cellStyle name="쉼표 [0] 4 2 2 2 2 20 2 2 3" xfId="15978"/>
    <cellStyle name="쉼표 [0] 4 2 2 2 2 20 2 2 3 2" xfId="41330"/>
    <cellStyle name="쉼표 [0] 4 2 2 2 2 20 2 2 4" xfId="28658"/>
    <cellStyle name="쉼표 [0] 4 2 2 2 2 20 2 2 5" xfId="50939"/>
    <cellStyle name="쉼표 [0] 4 2 2 2 2 20 2 3" xfId="6546"/>
    <cellStyle name="쉼표 [0] 4 2 2 2 2 20 2 3 2" xfId="19219"/>
    <cellStyle name="쉼표 [0] 4 2 2 2 2 20 2 3 2 2" xfId="44571"/>
    <cellStyle name="쉼표 [0] 4 2 2 2 2 20 2 3 3" xfId="31899"/>
    <cellStyle name="쉼표 [0] 4 2 2 2 2 20 2 4" xfId="12883"/>
    <cellStyle name="쉼표 [0] 4 2 2 2 2 20 2 4 2" xfId="38235"/>
    <cellStyle name="쉼표 [0] 4 2 2 2 2 20 2 5" xfId="25563"/>
    <cellStyle name="쉼표 [0] 4 2 2 2 2 20 2 6" xfId="50940"/>
    <cellStyle name="쉼표 [0] 4 2 2 2 2 20 3" xfId="3306"/>
    <cellStyle name="쉼표 [0] 4 2 2 2 2 20 3 2" xfId="9642"/>
    <cellStyle name="쉼표 [0] 4 2 2 2 2 20 3 2 2" xfId="22315"/>
    <cellStyle name="쉼표 [0] 4 2 2 2 2 20 3 2 2 2" xfId="47667"/>
    <cellStyle name="쉼표 [0] 4 2 2 2 2 20 3 2 3" xfId="34995"/>
    <cellStyle name="쉼표 [0] 4 2 2 2 2 20 3 3" xfId="15979"/>
    <cellStyle name="쉼표 [0] 4 2 2 2 2 20 3 3 2" xfId="41331"/>
    <cellStyle name="쉼표 [0] 4 2 2 2 2 20 3 4" xfId="28659"/>
    <cellStyle name="쉼표 [0] 4 2 2 2 2 20 3 5" xfId="50941"/>
    <cellStyle name="쉼표 [0] 4 2 2 2 2 20 4" xfId="6545"/>
    <cellStyle name="쉼표 [0] 4 2 2 2 2 20 4 2" xfId="19218"/>
    <cellStyle name="쉼표 [0] 4 2 2 2 2 20 4 2 2" xfId="44570"/>
    <cellStyle name="쉼표 [0] 4 2 2 2 2 20 4 3" xfId="31898"/>
    <cellStyle name="쉼표 [0] 4 2 2 2 2 20 5" xfId="12882"/>
    <cellStyle name="쉼표 [0] 4 2 2 2 2 20 5 2" xfId="38234"/>
    <cellStyle name="쉼표 [0] 4 2 2 2 2 20 6" xfId="25562"/>
    <cellStyle name="쉼표 [0] 4 2 2 2 2 20 7" xfId="50942"/>
    <cellStyle name="쉼표 [0] 4 2 2 2 2 21" xfId="210"/>
    <cellStyle name="쉼표 [0] 4 2 2 2 2 21 2" xfId="211"/>
    <cellStyle name="쉼표 [0] 4 2 2 2 2 21 2 2" xfId="3307"/>
    <cellStyle name="쉼표 [0] 4 2 2 2 2 21 2 2 2" xfId="9643"/>
    <cellStyle name="쉼표 [0] 4 2 2 2 2 21 2 2 2 2" xfId="22316"/>
    <cellStyle name="쉼표 [0] 4 2 2 2 2 21 2 2 2 2 2" xfId="47668"/>
    <cellStyle name="쉼표 [0] 4 2 2 2 2 21 2 2 2 3" xfId="34996"/>
    <cellStyle name="쉼표 [0] 4 2 2 2 2 21 2 2 3" xfId="15980"/>
    <cellStyle name="쉼표 [0] 4 2 2 2 2 21 2 2 3 2" xfId="41332"/>
    <cellStyle name="쉼표 [0] 4 2 2 2 2 21 2 2 4" xfId="28660"/>
    <cellStyle name="쉼표 [0] 4 2 2 2 2 21 2 2 5" xfId="50943"/>
    <cellStyle name="쉼표 [0] 4 2 2 2 2 21 2 3" xfId="6548"/>
    <cellStyle name="쉼표 [0] 4 2 2 2 2 21 2 3 2" xfId="19221"/>
    <cellStyle name="쉼표 [0] 4 2 2 2 2 21 2 3 2 2" xfId="44573"/>
    <cellStyle name="쉼표 [0] 4 2 2 2 2 21 2 3 3" xfId="31901"/>
    <cellStyle name="쉼표 [0] 4 2 2 2 2 21 2 4" xfId="12885"/>
    <cellStyle name="쉼표 [0] 4 2 2 2 2 21 2 4 2" xfId="38237"/>
    <cellStyle name="쉼표 [0] 4 2 2 2 2 21 2 5" xfId="25565"/>
    <cellStyle name="쉼표 [0] 4 2 2 2 2 21 2 6" xfId="50944"/>
    <cellStyle name="쉼표 [0] 4 2 2 2 2 21 3" xfId="3308"/>
    <cellStyle name="쉼표 [0] 4 2 2 2 2 21 3 2" xfId="9644"/>
    <cellStyle name="쉼표 [0] 4 2 2 2 2 21 3 2 2" xfId="22317"/>
    <cellStyle name="쉼표 [0] 4 2 2 2 2 21 3 2 2 2" xfId="47669"/>
    <cellStyle name="쉼표 [0] 4 2 2 2 2 21 3 2 3" xfId="34997"/>
    <cellStyle name="쉼표 [0] 4 2 2 2 2 21 3 3" xfId="15981"/>
    <cellStyle name="쉼표 [0] 4 2 2 2 2 21 3 3 2" xfId="41333"/>
    <cellStyle name="쉼표 [0] 4 2 2 2 2 21 3 4" xfId="28661"/>
    <cellStyle name="쉼표 [0] 4 2 2 2 2 21 3 5" xfId="50945"/>
    <cellStyle name="쉼표 [0] 4 2 2 2 2 21 4" xfId="6547"/>
    <cellStyle name="쉼표 [0] 4 2 2 2 2 21 4 2" xfId="19220"/>
    <cellStyle name="쉼표 [0] 4 2 2 2 2 21 4 2 2" xfId="44572"/>
    <cellStyle name="쉼표 [0] 4 2 2 2 2 21 4 3" xfId="31900"/>
    <cellStyle name="쉼표 [0] 4 2 2 2 2 21 5" xfId="12884"/>
    <cellStyle name="쉼표 [0] 4 2 2 2 2 21 5 2" xfId="38236"/>
    <cellStyle name="쉼표 [0] 4 2 2 2 2 21 6" xfId="25564"/>
    <cellStyle name="쉼표 [0] 4 2 2 2 2 21 7" xfId="50946"/>
    <cellStyle name="쉼표 [0] 4 2 2 2 2 22" xfId="212"/>
    <cellStyle name="쉼표 [0] 4 2 2 2 2 22 2" xfId="213"/>
    <cellStyle name="쉼표 [0] 4 2 2 2 2 22 2 2" xfId="3309"/>
    <cellStyle name="쉼표 [0] 4 2 2 2 2 22 2 2 2" xfId="9645"/>
    <cellStyle name="쉼표 [0] 4 2 2 2 2 22 2 2 2 2" xfId="22318"/>
    <cellStyle name="쉼표 [0] 4 2 2 2 2 22 2 2 2 2 2" xfId="47670"/>
    <cellStyle name="쉼표 [0] 4 2 2 2 2 22 2 2 2 3" xfId="34998"/>
    <cellStyle name="쉼표 [0] 4 2 2 2 2 22 2 2 3" xfId="15982"/>
    <cellStyle name="쉼표 [0] 4 2 2 2 2 22 2 2 3 2" xfId="41334"/>
    <cellStyle name="쉼표 [0] 4 2 2 2 2 22 2 2 4" xfId="28662"/>
    <cellStyle name="쉼표 [0] 4 2 2 2 2 22 2 2 5" xfId="50947"/>
    <cellStyle name="쉼표 [0] 4 2 2 2 2 22 2 3" xfId="6550"/>
    <cellStyle name="쉼표 [0] 4 2 2 2 2 22 2 3 2" xfId="19223"/>
    <cellStyle name="쉼표 [0] 4 2 2 2 2 22 2 3 2 2" xfId="44575"/>
    <cellStyle name="쉼표 [0] 4 2 2 2 2 22 2 3 3" xfId="31903"/>
    <cellStyle name="쉼표 [0] 4 2 2 2 2 22 2 4" xfId="12887"/>
    <cellStyle name="쉼표 [0] 4 2 2 2 2 22 2 4 2" xfId="38239"/>
    <cellStyle name="쉼표 [0] 4 2 2 2 2 22 2 5" xfId="25567"/>
    <cellStyle name="쉼표 [0] 4 2 2 2 2 22 2 6" xfId="50948"/>
    <cellStyle name="쉼표 [0] 4 2 2 2 2 22 3" xfId="3310"/>
    <cellStyle name="쉼표 [0] 4 2 2 2 2 22 3 2" xfId="9646"/>
    <cellStyle name="쉼표 [0] 4 2 2 2 2 22 3 2 2" xfId="22319"/>
    <cellStyle name="쉼표 [0] 4 2 2 2 2 22 3 2 2 2" xfId="47671"/>
    <cellStyle name="쉼표 [0] 4 2 2 2 2 22 3 2 3" xfId="34999"/>
    <cellStyle name="쉼표 [0] 4 2 2 2 2 22 3 3" xfId="15983"/>
    <cellStyle name="쉼표 [0] 4 2 2 2 2 22 3 3 2" xfId="41335"/>
    <cellStyle name="쉼표 [0] 4 2 2 2 2 22 3 4" xfId="28663"/>
    <cellStyle name="쉼표 [0] 4 2 2 2 2 22 3 5" xfId="50949"/>
    <cellStyle name="쉼표 [0] 4 2 2 2 2 22 4" xfId="6549"/>
    <cellStyle name="쉼표 [0] 4 2 2 2 2 22 4 2" xfId="19222"/>
    <cellStyle name="쉼표 [0] 4 2 2 2 2 22 4 2 2" xfId="44574"/>
    <cellStyle name="쉼표 [0] 4 2 2 2 2 22 4 3" xfId="31902"/>
    <cellStyle name="쉼표 [0] 4 2 2 2 2 22 5" xfId="12886"/>
    <cellStyle name="쉼표 [0] 4 2 2 2 2 22 5 2" xfId="38238"/>
    <cellStyle name="쉼표 [0] 4 2 2 2 2 22 6" xfId="25566"/>
    <cellStyle name="쉼표 [0] 4 2 2 2 2 22 7" xfId="50950"/>
    <cellStyle name="쉼표 [0] 4 2 2 2 2 23" xfId="214"/>
    <cellStyle name="쉼표 [0] 4 2 2 2 2 23 2" xfId="215"/>
    <cellStyle name="쉼표 [0] 4 2 2 2 2 23 2 2" xfId="3311"/>
    <cellStyle name="쉼표 [0] 4 2 2 2 2 23 2 2 2" xfId="9647"/>
    <cellStyle name="쉼표 [0] 4 2 2 2 2 23 2 2 2 2" xfId="22320"/>
    <cellStyle name="쉼표 [0] 4 2 2 2 2 23 2 2 2 2 2" xfId="47672"/>
    <cellStyle name="쉼표 [0] 4 2 2 2 2 23 2 2 2 3" xfId="35000"/>
    <cellStyle name="쉼표 [0] 4 2 2 2 2 23 2 2 3" xfId="15984"/>
    <cellStyle name="쉼표 [0] 4 2 2 2 2 23 2 2 3 2" xfId="41336"/>
    <cellStyle name="쉼표 [0] 4 2 2 2 2 23 2 2 4" xfId="28664"/>
    <cellStyle name="쉼표 [0] 4 2 2 2 2 23 2 2 5" xfId="50951"/>
    <cellStyle name="쉼표 [0] 4 2 2 2 2 23 2 3" xfId="6552"/>
    <cellStyle name="쉼표 [0] 4 2 2 2 2 23 2 3 2" xfId="19225"/>
    <cellStyle name="쉼표 [0] 4 2 2 2 2 23 2 3 2 2" xfId="44577"/>
    <cellStyle name="쉼표 [0] 4 2 2 2 2 23 2 3 3" xfId="31905"/>
    <cellStyle name="쉼표 [0] 4 2 2 2 2 23 2 4" xfId="12889"/>
    <cellStyle name="쉼표 [0] 4 2 2 2 2 23 2 4 2" xfId="38241"/>
    <cellStyle name="쉼표 [0] 4 2 2 2 2 23 2 5" xfId="25569"/>
    <cellStyle name="쉼표 [0] 4 2 2 2 2 23 2 6" xfId="50952"/>
    <cellStyle name="쉼표 [0] 4 2 2 2 2 23 3" xfId="3312"/>
    <cellStyle name="쉼표 [0] 4 2 2 2 2 23 3 2" xfId="9648"/>
    <cellStyle name="쉼표 [0] 4 2 2 2 2 23 3 2 2" xfId="22321"/>
    <cellStyle name="쉼표 [0] 4 2 2 2 2 23 3 2 2 2" xfId="47673"/>
    <cellStyle name="쉼표 [0] 4 2 2 2 2 23 3 2 3" xfId="35001"/>
    <cellStyle name="쉼표 [0] 4 2 2 2 2 23 3 3" xfId="15985"/>
    <cellStyle name="쉼표 [0] 4 2 2 2 2 23 3 3 2" xfId="41337"/>
    <cellStyle name="쉼표 [0] 4 2 2 2 2 23 3 4" xfId="28665"/>
    <cellStyle name="쉼표 [0] 4 2 2 2 2 23 3 5" xfId="50953"/>
    <cellStyle name="쉼표 [0] 4 2 2 2 2 23 4" xfId="6551"/>
    <cellStyle name="쉼표 [0] 4 2 2 2 2 23 4 2" xfId="19224"/>
    <cellStyle name="쉼표 [0] 4 2 2 2 2 23 4 2 2" xfId="44576"/>
    <cellStyle name="쉼표 [0] 4 2 2 2 2 23 4 3" xfId="31904"/>
    <cellStyle name="쉼표 [0] 4 2 2 2 2 23 5" xfId="12888"/>
    <cellStyle name="쉼표 [0] 4 2 2 2 2 23 5 2" xfId="38240"/>
    <cellStyle name="쉼표 [0] 4 2 2 2 2 23 6" xfId="25568"/>
    <cellStyle name="쉼표 [0] 4 2 2 2 2 23 7" xfId="50954"/>
    <cellStyle name="쉼표 [0] 4 2 2 2 2 24" xfId="216"/>
    <cellStyle name="쉼표 [0] 4 2 2 2 2 24 2" xfId="217"/>
    <cellStyle name="쉼표 [0] 4 2 2 2 2 24 2 2" xfId="3313"/>
    <cellStyle name="쉼표 [0] 4 2 2 2 2 24 2 2 2" xfId="9649"/>
    <cellStyle name="쉼표 [0] 4 2 2 2 2 24 2 2 2 2" xfId="22322"/>
    <cellStyle name="쉼표 [0] 4 2 2 2 2 24 2 2 2 2 2" xfId="47674"/>
    <cellStyle name="쉼표 [0] 4 2 2 2 2 24 2 2 2 3" xfId="35002"/>
    <cellStyle name="쉼표 [0] 4 2 2 2 2 24 2 2 3" xfId="15986"/>
    <cellStyle name="쉼표 [0] 4 2 2 2 2 24 2 2 3 2" xfId="41338"/>
    <cellStyle name="쉼표 [0] 4 2 2 2 2 24 2 2 4" xfId="28666"/>
    <cellStyle name="쉼표 [0] 4 2 2 2 2 24 2 2 5" xfId="50955"/>
    <cellStyle name="쉼표 [0] 4 2 2 2 2 24 2 3" xfId="6554"/>
    <cellStyle name="쉼표 [0] 4 2 2 2 2 24 2 3 2" xfId="19227"/>
    <cellStyle name="쉼표 [0] 4 2 2 2 2 24 2 3 2 2" xfId="44579"/>
    <cellStyle name="쉼표 [0] 4 2 2 2 2 24 2 3 3" xfId="31907"/>
    <cellStyle name="쉼표 [0] 4 2 2 2 2 24 2 4" xfId="12891"/>
    <cellStyle name="쉼표 [0] 4 2 2 2 2 24 2 4 2" xfId="38243"/>
    <cellStyle name="쉼표 [0] 4 2 2 2 2 24 2 5" xfId="25571"/>
    <cellStyle name="쉼표 [0] 4 2 2 2 2 24 2 6" xfId="50956"/>
    <cellStyle name="쉼표 [0] 4 2 2 2 2 24 3" xfId="3314"/>
    <cellStyle name="쉼표 [0] 4 2 2 2 2 24 3 2" xfId="9650"/>
    <cellStyle name="쉼표 [0] 4 2 2 2 2 24 3 2 2" xfId="22323"/>
    <cellStyle name="쉼표 [0] 4 2 2 2 2 24 3 2 2 2" xfId="47675"/>
    <cellStyle name="쉼표 [0] 4 2 2 2 2 24 3 2 3" xfId="35003"/>
    <cellStyle name="쉼표 [0] 4 2 2 2 2 24 3 3" xfId="15987"/>
    <cellStyle name="쉼표 [0] 4 2 2 2 2 24 3 3 2" xfId="41339"/>
    <cellStyle name="쉼표 [0] 4 2 2 2 2 24 3 4" xfId="28667"/>
    <cellStyle name="쉼표 [0] 4 2 2 2 2 24 3 5" xfId="50957"/>
    <cellStyle name="쉼표 [0] 4 2 2 2 2 24 4" xfId="6553"/>
    <cellStyle name="쉼표 [0] 4 2 2 2 2 24 4 2" xfId="19226"/>
    <cellStyle name="쉼표 [0] 4 2 2 2 2 24 4 2 2" xfId="44578"/>
    <cellStyle name="쉼표 [0] 4 2 2 2 2 24 4 3" xfId="31906"/>
    <cellStyle name="쉼표 [0] 4 2 2 2 2 24 5" xfId="12890"/>
    <cellStyle name="쉼표 [0] 4 2 2 2 2 24 5 2" xfId="38242"/>
    <cellStyle name="쉼표 [0] 4 2 2 2 2 24 6" xfId="25570"/>
    <cellStyle name="쉼표 [0] 4 2 2 2 2 24 7" xfId="50958"/>
    <cellStyle name="쉼표 [0] 4 2 2 2 2 25" xfId="218"/>
    <cellStyle name="쉼표 [0] 4 2 2 2 2 25 2" xfId="219"/>
    <cellStyle name="쉼표 [0] 4 2 2 2 2 25 2 2" xfId="3315"/>
    <cellStyle name="쉼표 [0] 4 2 2 2 2 25 2 2 2" xfId="9651"/>
    <cellStyle name="쉼표 [0] 4 2 2 2 2 25 2 2 2 2" xfId="22324"/>
    <cellStyle name="쉼표 [0] 4 2 2 2 2 25 2 2 2 2 2" xfId="47676"/>
    <cellStyle name="쉼표 [0] 4 2 2 2 2 25 2 2 2 3" xfId="35004"/>
    <cellStyle name="쉼표 [0] 4 2 2 2 2 25 2 2 3" xfId="15988"/>
    <cellStyle name="쉼표 [0] 4 2 2 2 2 25 2 2 3 2" xfId="41340"/>
    <cellStyle name="쉼표 [0] 4 2 2 2 2 25 2 2 4" xfId="28668"/>
    <cellStyle name="쉼표 [0] 4 2 2 2 2 25 2 2 5" xfId="50959"/>
    <cellStyle name="쉼표 [0] 4 2 2 2 2 25 2 3" xfId="6556"/>
    <cellStyle name="쉼표 [0] 4 2 2 2 2 25 2 3 2" xfId="19229"/>
    <cellStyle name="쉼표 [0] 4 2 2 2 2 25 2 3 2 2" xfId="44581"/>
    <cellStyle name="쉼표 [0] 4 2 2 2 2 25 2 3 3" xfId="31909"/>
    <cellStyle name="쉼표 [0] 4 2 2 2 2 25 2 4" xfId="12893"/>
    <cellStyle name="쉼표 [0] 4 2 2 2 2 25 2 4 2" xfId="38245"/>
    <cellStyle name="쉼표 [0] 4 2 2 2 2 25 2 5" xfId="25573"/>
    <cellStyle name="쉼표 [0] 4 2 2 2 2 25 2 6" xfId="50960"/>
    <cellStyle name="쉼표 [0] 4 2 2 2 2 25 3" xfId="3316"/>
    <cellStyle name="쉼표 [0] 4 2 2 2 2 25 3 2" xfId="9652"/>
    <cellStyle name="쉼표 [0] 4 2 2 2 2 25 3 2 2" xfId="22325"/>
    <cellStyle name="쉼표 [0] 4 2 2 2 2 25 3 2 2 2" xfId="47677"/>
    <cellStyle name="쉼표 [0] 4 2 2 2 2 25 3 2 3" xfId="35005"/>
    <cellStyle name="쉼표 [0] 4 2 2 2 2 25 3 3" xfId="15989"/>
    <cellStyle name="쉼표 [0] 4 2 2 2 2 25 3 3 2" xfId="41341"/>
    <cellStyle name="쉼표 [0] 4 2 2 2 2 25 3 4" xfId="28669"/>
    <cellStyle name="쉼표 [0] 4 2 2 2 2 25 3 5" xfId="50961"/>
    <cellStyle name="쉼표 [0] 4 2 2 2 2 25 4" xfId="6555"/>
    <cellStyle name="쉼표 [0] 4 2 2 2 2 25 4 2" xfId="19228"/>
    <cellStyle name="쉼표 [0] 4 2 2 2 2 25 4 2 2" xfId="44580"/>
    <cellStyle name="쉼표 [0] 4 2 2 2 2 25 4 3" xfId="31908"/>
    <cellStyle name="쉼표 [0] 4 2 2 2 2 25 5" xfId="12892"/>
    <cellStyle name="쉼표 [0] 4 2 2 2 2 25 5 2" xfId="38244"/>
    <cellStyle name="쉼표 [0] 4 2 2 2 2 25 6" xfId="25572"/>
    <cellStyle name="쉼표 [0] 4 2 2 2 2 25 7" xfId="50962"/>
    <cellStyle name="쉼표 [0] 4 2 2 2 2 26" xfId="220"/>
    <cellStyle name="쉼표 [0] 4 2 2 2 2 26 2" xfId="221"/>
    <cellStyle name="쉼표 [0] 4 2 2 2 2 26 2 2" xfId="3317"/>
    <cellStyle name="쉼표 [0] 4 2 2 2 2 26 2 2 2" xfId="9653"/>
    <cellStyle name="쉼표 [0] 4 2 2 2 2 26 2 2 2 2" xfId="22326"/>
    <cellStyle name="쉼표 [0] 4 2 2 2 2 26 2 2 2 2 2" xfId="47678"/>
    <cellStyle name="쉼표 [0] 4 2 2 2 2 26 2 2 2 3" xfId="35006"/>
    <cellStyle name="쉼표 [0] 4 2 2 2 2 26 2 2 3" xfId="15990"/>
    <cellStyle name="쉼표 [0] 4 2 2 2 2 26 2 2 3 2" xfId="41342"/>
    <cellStyle name="쉼표 [0] 4 2 2 2 2 26 2 2 4" xfId="28670"/>
    <cellStyle name="쉼표 [0] 4 2 2 2 2 26 2 2 5" xfId="50963"/>
    <cellStyle name="쉼표 [0] 4 2 2 2 2 26 2 3" xfId="6558"/>
    <cellStyle name="쉼표 [0] 4 2 2 2 2 26 2 3 2" xfId="19231"/>
    <cellStyle name="쉼표 [0] 4 2 2 2 2 26 2 3 2 2" xfId="44583"/>
    <cellStyle name="쉼표 [0] 4 2 2 2 2 26 2 3 3" xfId="31911"/>
    <cellStyle name="쉼표 [0] 4 2 2 2 2 26 2 4" xfId="12895"/>
    <cellStyle name="쉼표 [0] 4 2 2 2 2 26 2 4 2" xfId="38247"/>
    <cellStyle name="쉼표 [0] 4 2 2 2 2 26 2 5" xfId="25575"/>
    <cellStyle name="쉼표 [0] 4 2 2 2 2 26 2 6" xfId="50964"/>
    <cellStyle name="쉼표 [0] 4 2 2 2 2 26 3" xfId="3318"/>
    <cellStyle name="쉼표 [0] 4 2 2 2 2 26 3 2" xfId="9654"/>
    <cellStyle name="쉼표 [0] 4 2 2 2 2 26 3 2 2" xfId="22327"/>
    <cellStyle name="쉼표 [0] 4 2 2 2 2 26 3 2 2 2" xfId="47679"/>
    <cellStyle name="쉼표 [0] 4 2 2 2 2 26 3 2 3" xfId="35007"/>
    <cellStyle name="쉼표 [0] 4 2 2 2 2 26 3 3" xfId="15991"/>
    <cellStyle name="쉼표 [0] 4 2 2 2 2 26 3 3 2" xfId="41343"/>
    <cellStyle name="쉼표 [0] 4 2 2 2 2 26 3 4" xfId="28671"/>
    <cellStyle name="쉼표 [0] 4 2 2 2 2 26 3 5" xfId="50965"/>
    <cellStyle name="쉼표 [0] 4 2 2 2 2 26 4" xfId="6557"/>
    <cellStyle name="쉼표 [0] 4 2 2 2 2 26 4 2" xfId="19230"/>
    <cellStyle name="쉼표 [0] 4 2 2 2 2 26 4 2 2" xfId="44582"/>
    <cellStyle name="쉼표 [0] 4 2 2 2 2 26 4 3" xfId="31910"/>
    <cellStyle name="쉼표 [0] 4 2 2 2 2 26 5" xfId="12894"/>
    <cellStyle name="쉼표 [0] 4 2 2 2 2 26 5 2" xfId="38246"/>
    <cellStyle name="쉼표 [0] 4 2 2 2 2 26 6" xfId="25574"/>
    <cellStyle name="쉼표 [0] 4 2 2 2 2 26 7" xfId="50966"/>
    <cellStyle name="쉼표 [0] 4 2 2 2 2 27" xfId="222"/>
    <cellStyle name="쉼표 [0] 4 2 2 2 2 27 2" xfId="223"/>
    <cellStyle name="쉼표 [0] 4 2 2 2 2 27 2 2" xfId="3319"/>
    <cellStyle name="쉼표 [0] 4 2 2 2 2 27 2 2 2" xfId="9655"/>
    <cellStyle name="쉼표 [0] 4 2 2 2 2 27 2 2 2 2" xfId="22328"/>
    <cellStyle name="쉼표 [0] 4 2 2 2 2 27 2 2 2 2 2" xfId="47680"/>
    <cellStyle name="쉼표 [0] 4 2 2 2 2 27 2 2 2 3" xfId="35008"/>
    <cellStyle name="쉼표 [0] 4 2 2 2 2 27 2 2 3" xfId="15992"/>
    <cellStyle name="쉼표 [0] 4 2 2 2 2 27 2 2 3 2" xfId="41344"/>
    <cellStyle name="쉼표 [0] 4 2 2 2 2 27 2 2 4" xfId="28672"/>
    <cellStyle name="쉼표 [0] 4 2 2 2 2 27 2 2 5" xfId="50967"/>
    <cellStyle name="쉼표 [0] 4 2 2 2 2 27 2 3" xfId="6560"/>
    <cellStyle name="쉼표 [0] 4 2 2 2 2 27 2 3 2" xfId="19233"/>
    <cellStyle name="쉼표 [0] 4 2 2 2 2 27 2 3 2 2" xfId="44585"/>
    <cellStyle name="쉼표 [0] 4 2 2 2 2 27 2 3 3" xfId="31913"/>
    <cellStyle name="쉼표 [0] 4 2 2 2 2 27 2 4" xfId="12897"/>
    <cellStyle name="쉼표 [0] 4 2 2 2 2 27 2 4 2" xfId="38249"/>
    <cellStyle name="쉼표 [0] 4 2 2 2 2 27 2 5" xfId="25577"/>
    <cellStyle name="쉼표 [0] 4 2 2 2 2 27 2 6" xfId="50968"/>
    <cellStyle name="쉼표 [0] 4 2 2 2 2 27 3" xfId="3320"/>
    <cellStyle name="쉼표 [0] 4 2 2 2 2 27 3 2" xfId="9656"/>
    <cellStyle name="쉼표 [0] 4 2 2 2 2 27 3 2 2" xfId="22329"/>
    <cellStyle name="쉼표 [0] 4 2 2 2 2 27 3 2 2 2" xfId="47681"/>
    <cellStyle name="쉼표 [0] 4 2 2 2 2 27 3 2 3" xfId="35009"/>
    <cellStyle name="쉼표 [0] 4 2 2 2 2 27 3 3" xfId="15993"/>
    <cellStyle name="쉼표 [0] 4 2 2 2 2 27 3 3 2" xfId="41345"/>
    <cellStyle name="쉼표 [0] 4 2 2 2 2 27 3 4" xfId="28673"/>
    <cellStyle name="쉼표 [0] 4 2 2 2 2 27 3 5" xfId="50969"/>
    <cellStyle name="쉼표 [0] 4 2 2 2 2 27 4" xfId="6559"/>
    <cellStyle name="쉼표 [0] 4 2 2 2 2 27 4 2" xfId="19232"/>
    <cellStyle name="쉼표 [0] 4 2 2 2 2 27 4 2 2" xfId="44584"/>
    <cellStyle name="쉼표 [0] 4 2 2 2 2 27 4 3" xfId="31912"/>
    <cellStyle name="쉼표 [0] 4 2 2 2 2 27 5" xfId="12896"/>
    <cellStyle name="쉼표 [0] 4 2 2 2 2 27 5 2" xfId="38248"/>
    <cellStyle name="쉼표 [0] 4 2 2 2 2 27 6" xfId="25576"/>
    <cellStyle name="쉼표 [0] 4 2 2 2 2 27 7" xfId="50970"/>
    <cellStyle name="쉼표 [0] 4 2 2 2 2 28" xfId="224"/>
    <cellStyle name="쉼표 [0] 4 2 2 2 2 28 2" xfId="225"/>
    <cellStyle name="쉼표 [0] 4 2 2 2 2 28 2 2" xfId="3321"/>
    <cellStyle name="쉼표 [0] 4 2 2 2 2 28 2 2 2" xfId="9657"/>
    <cellStyle name="쉼표 [0] 4 2 2 2 2 28 2 2 2 2" xfId="22330"/>
    <cellStyle name="쉼표 [0] 4 2 2 2 2 28 2 2 2 2 2" xfId="47682"/>
    <cellStyle name="쉼표 [0] 4 2 2 2 2 28 2 2 2 3" xfId="35010"/>
    <cellStyle name="쉼표 [0] 4 2 2 2 2 28 2 2 3" xfId="15994"/>
    <cellStyle name="쉼표 [0] 4 2 2 2 2 28 2 2 3 2" xfId="41346"/>
    <cellStyle name="쉼표 [0] 4 2 2 2 2 28 2 2 4" xfId="28674"/>
    <cellStyle name="쉼표 [0] 4 2 2 2 2 28 2 2 5" xfId="50971"/>
    <cellStyle name="쉼표 [0] 4 2 2 2 2 28 2 3" xfId="6562"/>
    <cellStyle name="쉼표 [0] 4 2 2 2 2 28 2 3 2" xfId="19235"/>
    <cellStyle name="쉼표 [0] 4 2 2 2 2 28 2 3 2 2" xfId="44587"/>
    <cellStyle name="쉼표 [0] 4 2 2 2 2 28 2 3 3" xfId="31915"/>
    <cellStyle name="쉼표 [0] 4 2 2 2 2 28 2 4" xfId="12899"/>
    <cellStyle name="쉼표 [0] 4 2 2 2 2 28 2 4 2" xfId="38251"/>
    <cellStyle name="쉼표 [0] 4 2 2 2 2 28 2 5" xfId="25579"/>
    <cellStyle name="쉼표 [0] 4 2 2 2 2 28 2 6" xfId="50972"/>
    <cellStyle name="쉼표 [0] 4 2 2 2 2 28 3" xfId="3322"/>
    <cellStyle name="쉼표 [0] 4 2 2 2 2 28 3 2" xfId="9658"/>
    <cellStyle name="쉼표 [0] 4 2 2 2 2 28 3 2 2" xfId="22331"/>
    <cellStyle name="쉼표 [0] 4 2 2 2 2 28 3 2 2 2" xfId="47683"/>
    <cellStyle name="쉼표 [0] 4 2 2 2 2 28 3 2 3" xfId="35011"/>
    <cellStyle name="쉼표 [0] 4 2 2 2 2 28 3 3" xfId="15995"/>
    <cellStyle name="쉼표 [0] 4 2 2 2 2 28 3 3 2" xfId="41347"/>
    <cellStyle name="쉼표 [0] 4 2 2 2 2 28 3 4" xfId="28675"/>
    <cellStyle name="쉼표 [0] 4 2 2 2 2 28 3 5" xfId="50973"/>
    <cellStyle name="쉼표 [0] 4 2 2 2 2 28 4" xfId="6561"/>
    <cellStyle name="쉼표 [0] 4 2 2 2 2 28 4 2" xfId="19234"/>
    <cellStyle name="쉼표 [0] 4 2 2 2 2 28 4 2 2" xfId="44586"/>
    <cellStyle name="쉼표 [0] 4 2 2 2 2 28 4 3" xfId="31914"/>
    <cellStyle name="쉼표 [0] 4 2 2 2 2 28 5" xfId="12898"/>
    <cellStyle name="쉼표 [0] 4 2 2 2 2 28 5 2" xfId="38250"/>
    <cellStyle name="쉼표 [0] 4 2 2 2 2 28 6" xfId="25578"/>
    <cellStyle name="쉼표 [0] 4 2 2 2 2 28 7" xfId="50974"/>
    <cellStyle name="쉼표 [0] 4 2 2 2 2 29" xfId="226"/>
    <cellStyle name="쉼표 [0] 4 2 2 2 2 29 2" xfId="227"/>
    <cellStyle name="쉼표 [0] 4 2 2 2 2 29 2 2" xfId="3323"/>
    <cellStyle name="쉼표 [0] 4 2 2 2 2 29 2 2 2" xfId="9659"/>
    <cellStyle name="쉼표 [0] 4 2 2 2 2 29 2 2 2 2" xfId="22332"/>
    <cellStyle name="쉼표 [0] 4 2 2 2 2 29 2 2 2 2 2" xfId="47684"/>
    <cellStyle name="쉼표 [0] 4 2 2 2 2 29 2 2 2 3" xfId="35012"/>
    <cellStyle name="쉼표 [0] 4 2 2 2 2 29 2 2 3" xfId="15996"/>
    <cellStyle name="쉼표 [0] 4 2 2 2 2 29 2 2 3 2" xfId="41348"/>
    <cellStyle name="쉼표 [0] 4 2 2 2 2 29 2 2 4" xfId="28676"/>
    <cellStyle name="쉼표 [0] 4 2 2 2 2 29 2 2 5" xfId="50975"/>
    <cellStyle name="쉼표 [0] 4 2 2 2 2 29 2 3" xfId="6564"/>
    <cellStyle name="쉼표 [0] 4 2 2 2 2 29 2 3 2" xfId="19237"/>
    <cellStyle name="쉼표 [0] 4 2 2 2 2 29 2 3 2 2" xfId="44589"/>
    <cellStyle name="쉼표 [0] 4 2 2 2 2 29 2 3 3" xfId="31917"/>
    <cellStyle name="쉼표 [0] 4 2 2 2 2 29 2 4" xfId="12901"/>
    <cellStyle name="쉼표 [0] 4 2 2 2 2 29 2 4 2" xfId="38253"/>
    <cellStyle name="쉼표 [0] 4 2 2 2 2 29 2 5" xfId="25581"/>
    <cellStyle name="쉼표 [0] 4 2 2 2 2 29 2 6" xfId="50976"/>
    <cellStyle name="쉼표 [0] 4 2 2 2 2 29 3" xfId="3324"/>
    <cellStyle name="쉼표 [0] 4 2 2 2 2 29 3 2" xfId="9660"/>
    <cellStyle name="쉼표 [0] 4 2 2 2 2 29 3 2 2" xfId="22333"/>
    <cellStyle name="쉼표 [0] 4 2 2 2 2 29 3 2 2 2" xfId="47685"/>
    <cellStyle name="쉼표 [0] 4 2 2 2 2 29 3 2 3" xfId="35013"/>
    <cellStyle name="쉼표 [0] 4 2 2 2 2 29 3 3" xfId="15997"/>
    <cellStyle name="쉼표 [0] 4 2 2 2 2 29 3 3 2" xfId="41349"/>
    <cellStyle name="쉼표 [0] 4 2 2 2 2 29 3 4" xfId="28677"/>
    <cellStyle name="쉼표 [0] 4 2 2 2 2 29 3 5" xfId="50977"/>
    <cellStyle name="쉼표 [0] 4 2 2 2 2 29 4" xfId="6563"/>
    <cellStyle name="쉼표 [0] 4 2 2 2 2 29 4 2" xfId="19236"/>
    <cellStyle name="쉼표 [0] 4 2 2 2 2 29 4 2 2" xfId="44588"/>
    <cellStyle name="쉼표 [0] 4 2 2 2 2 29 4 3" xfId="31916"/>
    <cellStyle name="쉼표 [0] 4 2 2 2 2 29 5" xfId="12900"/>
    <cellStyle name="쉼표 [0] 4 2 2 2 2 29 5 2" xfId="38252"/>
    <cellStyle name="쉼표 [0] 4 2 2 2 2 29 6" xfId="25580"/>
    <cellStyle name="쉼표 [0] 4 2 2 2 2 29 7" xfId="50978"/>
    <cellStyle name="쉼표 [0] 4 2 2 2 2 3" xfId="228"/>
    <cellStyle name="쉼표 [0] 4 2 2 2 2 3 2" xfId="229"/>
    <cellStyle name="쉼표 [0] 4 2 2 2 2 3 2 2" xfId="3325"/>
    <cellStyle name="쉼표 [0] 4 2 2 2 2 3 2 2 2" xfId="9661"/>
    <cellStyle name="쉼표 [0] 4 2 2 2 2 3 2 2 2 2" xfId="22334"/>
    <cellStyle name="쉼표 [0] 4 2 2 2 2 3 2 2 2 2 2" xfId="47686"/>
    <cellStyle name="쉼표 [0] 4 2 2 2 2 3 2 2 2 3" xfId="35014"/>
    <cellStyle name="쉼표 [0] 4 2 2 2 2 3 2 2 3" xfId="15998"/>
    <cellStyle name="쉼표 [0] 4 2 2 2 2 3 2 2 3 2" xfId="41350"/>
    <cellStyle name="쉼표 [0] 4 2 2 2 2 3 2 2 4" xfId="28678"/>
    <cellStyle name="쉼표 [0] 4 2 2 2 2 3 2 2 5" xfId="50979"/>
    <cellStyle name="쉼표 [0] 4 2 2 2 2 3 2 3" xfId="6566"/>
    <cellStyle name="쉼표 [0] 4 2 2 2 2 3 2 3 2" xfId="19239"/>
    <cellStyle name="쉼표 [0] 4 2 2 2 2 3 2 3 2 2" xfId="44591"/>
    <cellStyle name="쉼표 [0] 4 2 2 2 2 3 2 3 3" xfId="31919"/>
    <cellStyle name="쉼표 [0] 4 2 2 2 2 3 2 4" xfId="12903"/>
    <cellStyle name="쉼표 [0] 4 2 2 2 2 3 2 4 2" xfId="38255"/>
    <cellStyle name="쉼표 [0] 4 2 2 2 2 3 2 5" xfId="25583"/>
    <cellStyle name="쉼표 [0] 4 2 2 2 2 3 2 6" xfId="50980"/>
    <cellStyle name="쉼표 [0] 4 2 2 2 2 3 3" xfId="3326"/>
    <cellStyle name="쉼표 [0] 4 2 2 2 2 3 3 2" xfId="9662"/>
    <cellStyle name="쉼표 [0] 4 2 2 2 2 3 3 2 2" xfId="22335"/>
    <cellStyle name="쉼표 [0] 4 2 2 2 2 3 3 2 2 2" xfId="47687"/>
    <cellStyle name="쉼표 [0] 4 2 2 2 2 3 3 2 3" xfId="35015"/>
    <cellStyle name="쉼표 [0] 4 2 2 2 2 3 3 3" xfId="15999"/>
    <cellStyle name="쉼표 [0] 4 2 2 2 2 3 3 3 2" xfId="41351"/>
    <cellStyle name="쉼표 [0] 4 2 2 2 2 3 3 4" xfId="28679"/>
    <cellStyle name="쉼표 [0] 4 2 2 2 2 3 3 5" xfId="50981"/>
    <cellStyle name="쉼표 [0] 4 2 2 2 2 3 4" xfId="6565"/>
    <cellStyle name="쉼표 [0] 4 2 2 2 2 3 4 2" xfId="19238"/>
    <cellStyle name="쉼표 [0] 4 2 2 2 2 3 4 2 2" xfId="44590"/>
    <cellStyle name="쉼표 [0] 4 2 2 2 2 3 4 3" xfId="31918"/>
    <cellStyle name="쉼표 [0] 4 2 2 2 2 3 5" xfId="12902"/>
    <cellStyle name="쉼표 [0] 4 2 2 2 2 3 5 2" xfId="38254"/>
    <cellStyle name="쉼표 [0] 4 2 2 2 2 3 6" xfId="25582"/>
    <cellStyle name="쉼표 [0] 4 2 2 2 2 3 7" xfId="50982"/>
    <cellStyle name="쉼표 [0] 4 2 2 2 2 30" xfId="230"/>
    <cellStyle name="쉼표 [0] 4 2 2 2 2 30 2" xfId="231"/>
    <cellStyle name="쉼표 [0] 4 2 2 2 2 30 2 2" xfId="3327"/>
    <cellStyle name="쉼표 [0] 4 2 2 2 2 30 2 2 2" xfId="9663"/>
    <cellStyle name="쉼표 [0] 4 2 2 2 2 30 2 2 2 2" xfId="22336"/>
    <cellStyle name="쉼표 [0] 4 2 2 2 2 30 2 2 2 2 2" xfId="47688"/>
    <cellStyle name="쉼표 [0] 4 2 2 2 2 30 2 2 2 3" xfId="35016"/>
    <cellStyle name="쉼표 [0] 4 2 2 2 2 30 2 2 3" xfId="16000"/>
    <cellStyle name="쉼표 [0] 4 2 2 2 2 30 2 2 3 2" xfId="41352"/>
    <cellStyle name="쉼표 [0] 4 2 2 2 2 30 2 2 4" xfId="28680"/>
    <cellStyle name="쉼표 [0] 4 2 2 2 2 30 2 2 5" xfId="50983"/>
    <cellStyle name="쉼표 [0] 4 2 2 2 2 30 2 3" xfId="6568"/>
    <cellStyle name="쉼표 [0] 4 2 2 2 2 30 2 3 2" xfId="19241"/>
    <cellStyle name="쉼표 [0] 4 2 2 2 2 30 2 3 2 2" xfId="44593"/>
    <cellStyle name="쉼표 [0] 4 2 2 2 2 30 2 3 3" xfId="31921"/>
    <cellStyle name="쉼표 [0] 4 2 2 2 2 30 2 4" xfId="12905"/>
    <cellStyle name="쉼표 [0] 4 2 2 2 2 30 2 4 2" xfId="38257"/>
    <cellStyle name="쉼표 [0] 4 2 2 2 2 30 2 5" xfId="25585"/>
    <cellStyle name="쉼표 [0] 4 2 2 2 2 30 2 6" xfId="50984"/>
    <cellStyle name="쉼표 [0] 4 2 2 2 2 30 3" xfId="3328"/>
    <cellStyle name="쉼표 [0] 4 2 2 2 2 30 3 2" xfId="9664"/>
    <cellStyle name="쉼표 [0] 4 2 2 2 2 30 3 2 2" xfId="22337"/>
    <cellStyle name="쉼표 [0] 4 2 2 2 2 30 3 2 2 2" xfId="47689"/>
    <cellStyle name="쉼표 [0] 4 2 2 2 2 30 3 2 3" xfId="35017"/>
    <cellStyle name="쉼표 [0] 4 2 2 2 2 30 3 3" xfId="16001"/>
    <cellStyle name="쉼표 [0] 4 2 2 2 2 30 3 3 2" xfId="41353"/>
    <cellStyle name="쉼표 [0] 4 2 2 2 2 30 3 4" xfId="28681"/>
    <cellStyle name="쉼표 [0] 4 2 2 2 2 30 3 5" xfId="50985"/>
    <cellStyle name="쉼표 [0] 4 2 2 2 2 30 4" xfId="6567"/>
    <cellStyle name="쉼표 [0] 4 2 2 2 2 30 4 2" xfId="19240"/>
    <cellStyle name="쉼표 [0] 4 2 2 2 2 30 4 2 2" xfId="44592"/>
    <cellStyle name="쉼표 [0] 4 2 2 2 2 30 4 3" xfId="31920"/>
    <cellStyle name="쉼표 [0] 4 2 2 2 2 30 5" xfId="12904"/>
    <cellStyle name="쉼표 [0] 4 2 2 2 2 30 5 2" xfId="38256"/>
    <cellStyle name="쉼표 [0] 4 2 2 2 2 30 6" xfId="25584"/>
    <cellStyle name="쉼표 [0] 4 2 2 2 2 30 7" xfId="50986"/>
    <cellStyle name="쉼표 [0] 4 2 2 2 2 31" xfId="232"/>
    <cellStyle name="쉼표 [0] 4 2 2 2 2 31 2" xfId="233"/>
    <cellStyle name="쉼표 [0] 4 2 2 2 2 31 2 2" xfId="3329"/>
    <cellStyle name="쉼표 [0] 4 2 2 2 2 31 2 2 2" xfId="9665"/>
    <cellStyle name="쉼표 [0] 4 2 2 2 2 31 2 2 2 2" xfId="22338"/>
    <cellStyle name="쉼표 [0] 4 2 2 2 2 31 2 2 2 2 2" xfId="47690"/>
    <cellStyle name="쉼표 [0] 4 2 2 2 2 31 2 2 2 3" xfId="35018"/>
    <cellStyle name="쉼표 [0] 4 2 2 2 2 31 2 2 3" xfId="16002"/>
    <cellStyle name="쉼표 [0] 4 2 2 2 2 31 2 2 3 2" xfId="41354"/>
    <cellStyle name="쉼표 [0] 4 2 2 2 2 31 2 2 4" xfId="28682"/>
    <cellStyle name="쉼표 [0] 4 2 2 2 2 31 2 2 5" xfId="50987"/>
    <cellStyle name="쉼표 [0] 4 2 2 2 2 31 2 3" xfId="6570"/>
    <cellStyle name="쉼표 [0] 4 2 2 2 2 31 2 3 2" xfId="19243"/>
    <cellStyle name="쉼표 [0] 4 2 2 2 2 31 2 3 2 2" xfId="44595"/>
    <cellStyle name="쉼표 [0] 4 2 2 2 2 31 2 3 3" xfId="31923"/>
    <cellStyle name="쉼표 [0] 4 2 2 2 2 31 2 4" xfId="12907"/>
    <cellStyle name="쉼표 [0] 4 2 2 2 2 31 2 4 2" xfId="38259"/>
    <cellStyle name="쉼표 [0] 4 2 2 2 2 31 2 5" xfId="25587"/>
    <cellStyle name="쉼표 [0] 4 2 2 2 2 31 2 6" xfId="50988"/>
    <cellStyle name="쉼표 [0] 4 2 2 2 2 31 3" xfId="3330"/>
    <cellStyle name="쉼표 [0] 4 2 2 2 2 31 3 2" xfId="9666"/>
    <cellStyle name="쉼표 [0] 4 2 2 2 2 31 3 2 2" xfId="22339"/>
    <cellStyle name="쉼표 [0] 4 2 2 2 2 31 3 2 2 2" xfId="47691"/>
    <cellStyle name="쉼표 [0] 4 2 2 2 2 31 3 2 3" xfId="35019"/>
    <cellStyle name="쉼표 [0] 4 2 2 2 2 31 3 3" xfId="16003"/>
    <cellStyle name="쉼표 [0] 4 2 2 2 2 31 3 3 2" xfId="41355"/>
    <cellStyle name="쉼표 [0] 4 2 2 2 2 31 3 4" xfId="28683"/>
    <cellStyle name="쉼표 [0] 4 2 2 2 2 31 3 5" xfId="50989"/>
    <cellStyle name="쉼표 [0] 4 2 2 2 2 31 4" xfId="6569"/>
    <cellStyle name="쉼표 [0] 4 2 2 2 2 31 4 2" xfId="19242"/>
    <cellStyle name="쉼표 [0] 4 2 2 2 2 31 4 2 2" xfId="44594"/>
    <cellStyle name="쉼표 [0] 4 2 2 2 2 31 4 3" xfId="31922"/>
    <cellStyle name="쉼표 [0] 4 2 2 2 2 31 5" xfId="12906"/>
    <cellStyle name="쉼표 [0] 4 2 2 2 2 31 5 2" xfId="38258"/>
    <cellStyle name="쉼표 [0] 4 2 2 2 2 31 6" xfId="25586"/>
    <cellStyle name="쉼표 [0] 4 2 2 2 2 31 7" xfId="50990"/>
    <cellStyle name="쉼표 [0] 4 2 2 2 2 32" xfId="234"/>
    <cellStyle name="쉼표 [0] 4 2 2 2 2 32 2" xfId="235"/>
    <cellStyle name="쉼표 [0] 4 2 2 2 2 32 2 2" xfId="3331"/>
    <cellStyle name="쉼표 [0] 4 2 2 2 2 32 2 2 2" xfId="9667"/>
    <cellStyle name="쉼표 [0] 4 2 2 2 2 32 2 2 2 2" xfId="22340"/>
    <cellStyle name="쉼표 [0] 4 2 2 2 2 32 2 2 2 2 2" xfId="47692"/>
    <cellStyle name="쉼표 [0] 4 2 2 2 2 32 2 2 2 3" xfId="35020"/>
    <cellStyle name="쉼표 [0] 4 2 2 2 2 32 2 2 3" xfId="16004"/>
    <cellStyle name="쉼표 [0] 4 2 2 2 2 32 2 2 3 2" xfId="41356"/>
    <cellStyle name="쉼표 [0] 4 2 2 2 2 32 2 2 4" xfId="28684"/>
    <cellStyle name="쉼표 [0] 4 2 2 2 2 32 2 2 5" xfId="50991"/>
    <cellStyle name="쉼표 [0] 4 2 2 2 2 32 2 3" xfId="6572"/>
    <cellStyle name="쉼표 [0] 4 2 2 2 2 32 2 3 2" xfId="19245"/>
    <cellStyle name="쉼표 [0] 4 2 2 2 2 32 2 3 2 2" xfId="44597"/>
    <cellStyle name="쉼표 [0] 4 2 2 2 2 32 2 3 3" xfId="31925"/>
    <cellStyle name="쉼표 [0] 4 2 2 2 2 32 2 4" xfId="12909"/>
    <cellStyle name="쉼표 [0] 4 2 2 2 2 32 2 4 2" xfId="38261"/>
    <cellStyle name="쉼표 [0] 4 2 2 2 2 32 2 5" xfId="25589"/>
    <cellStyle name="쉼표 [0] 4 2 2 2 2 32 2 6" xfId="50992"/>
    <cellStyle name="쉼표 [0] 4 2 2 2 2 32 3" xfId="3332"/>
    <cellStyle name="쉼표 [0] 4 2 2 2 2 32 3 2" xfId="9668"/>
    <cellStyle name="쉼표 [0] 4 2 2 2 2 32 3 2 2" xfId="22341"/>
    <cellStyle name="쉼표 [0] 4 2 2 2 2 32 3 2 2 2" xfId="47693"/>
    <cellStyle name="쉼표 [0] 4 2 2 2 2 32 3 2 3" xfId="35021"/>
    <cellStyle name="쉼표 [0] 4 2 2 2 2 32 3 3" xfId="16005"/>
    <cellStyle name="쉼표 [0] 4 2 2 2 2 32 3 3 2" xfId="41357"/>
    <cellStyle name="쉼표 [0] 4 2 2 2 2 32 3 4" xfId="28685"/>
    <cellStyle name="쉼표 [0] 4 2 2 2 2 32 3 5" xfId="50993"/>
    <cellStyle name="쉼표 [0] 4 2 2 2 2 32 4" xfId="6571"/>
    <cellStyle name="쉼표 [0] 4 2 2 2 2 32 4 2" xfId="19244"/>
    <cellStyle name="쉼표 [0] 4 2 2 2 2 32 4 2 2" xfId="44596"/>
    <cellStyle name="쉼표 [0] 4 2 2 2 2 32 4 3" xfId="31924"/>
    <cellStyle name="쉼표 [0] 4 2 2 2 2 32 5" xfId="12908"/>
    <cellStyle name="쉼표 [0] 4 2 2 2 2 32 5 2" xfId="38260"/>
    <cellStyle name="쉼표 [0] 4 2 2 2 2 32 6" xfId="25588"/>
    <cellStyle name="쉼표 [0] 4 2 2 2 2 32 7" xfId="50994"/>
    <cellStyle name="쉼표 [0] 4 2 2 2 2 33" xfId="236"/>
    <cellStyle name="쉼표 [0] 4 2 2 2 2 33 2" xfId="237"/>
    <cellStyle name="쉼표 [0] 4 2 2 2 2 33 2 2" xfId="3333"/>
    <cellStyle name="쉼표 [0] 4 2 2 2 2 33 2 2 2" xfId="9669"/>
    <cellStyle name="쉼표 [0] 4 2 2 2 2 33 2 2 2 2" xfId="22342"/>
    <cellStyle name="쉼표 [0] 4 2 2 2 2 33 2 2 2 2 2" xfId="47694"/>
    <cellStyle name="쉼표 [0] 4 2 2 2 2 33 2 2 2 3" xfId="35022"/>
    <cellStyle name="쉼표 [0] 4 2 2 2 2 33 2 2 3" xfId="16006"/>
    <cellStyle name="쉼표 [0] 4 2 2 2 2 33 2 2 3 2" xfId="41358"/>
    <cellStyle name="쉼표 [0] 4 2 2 2 2 33 2 2 4" xfId="28686"/>
    <cellStyle name="쉼표 [0] 4 2 2 2 2 33 2 2 5" xfId="50995"/>
    <cellStyle name="쉼표 [0] 4 2 2 2 2 33 2 3" xfId="6574"/>
    <cellStyle name="쉼표 [0] 4 2 2 2 2 33 2 3 2" xfId="19247"/>
    <cellStyle name="쉼표 [0] 4 2 2 2 2 33 2 3 2 2" xfId="44599"/>
    <cellStyle name="쉼표 [0] 4 2 2 2 2 33 2 3 3" xfId="31927"/>
    <cellStyle name="쉼표 [0] 4 2 2 2 2 33 2 4" xfId="12911"/>
    <cellStyle name="쉼표 [0] 4 2 2 2 2 33 2 4 2" xfId="38263"/>
    <cellStyle name="쉼표 [0] 4 2 2 2 2 33 2 5" xfId="25591"/>
    <cellStyle name="쉼표 [0] 4 2 2 2 2 33 2 6" xfId="50996"/>
    <cellStyle name="쉼표 [0] 4 2 2 2 2 33 3" xfId="3334"/>
    <cellStyle name="쉼표 [0] 4 2 2 2 2 33 3 2" xfId="9670"/>
    <cellStyle name="쉼표 [0] 4 2 2 2 2 33 3 2 2" xfId="22343"/>
    <cellStyle name="쉼표 [0] 4 2 2 2 2 33 3 2 2 2" xfId="47695"/>
    <cellStyle name="쉼표 [0] 4 2 2 2 2 33 3 2 3" xfId="35023"/>
    <cellStyle name="쉼표 [0] 4 2 2 2 2 33 3 3" xfId="16007"/>
    <cellStyle name="쉼표 [0] 4 2 2 2 2 33 3 3 2" xfId="41359"/>
    <cellStyle name="쉼표 [0] 4 2 2 2 2 33 3 4" xfId="28687"/>
    <cellStyle name="쉼표 [0] 4 2 2 2 2 33 3 5" xfId="50997"/>
    <cellStyle name="쉼표 [0] 4 2 2 2 2 33 4" xfId="6573"/>
    <cellStyle name="쉼표 [0] 4 2 2 2 2 33 4 2" xfId="19246"/>
    <cellStyle name="쉼표 [0] 4 2 2 2 2 33 4 2 2" xfId="44598"/>
    <cellStyle name="쉼표 [0] 4 2 2 2 2 33 4 3" xfId="31926"/>
    <cellStyle name="쉼표 [0] 4 2 2 2 2 33 5" xfId="12910"/>
    <cellStyle name="쉼표 [0] 4 2 2 2 2 33 5 2" xfId="38262"/>
    <cellStyle name="쉼표 [0] 4 2 2 2 2 33 6" xfId="25590"/>
    <cellStyle name="쉼표 [0] 4 2 2 2 2 33 7" xfId="50998"/>
    <cellStyle name="쉼표 [0] 4 2 2 2 2 34" xfId="238"/>
    <cellStyle name="쉼표 [0] 4 2 2 2 2 34 2" xfId="3335"/>
    <cellStyle name="쉼표 [0] 4 2 2 2 2 34 2 2" xfId="9671"/>
    <cellStyle name="쉼표 [0] 4 2 2 2 2 34 2 2 2" xfId="22344"/>
    <cellStyle name="쉼표 [0] 4 2 2 2 2 34 2 2 2 2" xfId="47696"/>
    <cellStyle name="쉼표 [0] 4 2 2 2 2 34 2 2 3" xfId="35024"/>
    <cellStyle name="쉼표 [0] 4 2 2 2 2 34 2 3" xfId="16008"/>
    <cellStyle name="쉼표 [0] 4 2 2 2 2 34 2 3 2" xfId="41360"/>
    <cellStyle name="쉼표 [0] 4 2 2 2 2 34 2 4" xfId="28688"/>
    <cellStyle name="쉼표 [0] 4 2 2 2 2 34 2 5" xfId="50999"/>
    <cellStyle name="쉼표 [0] 4 2 2 2 2 34 3" xfId="6575"/>
    <cellStyle name="쉼표 [0] 4 2 2 2 2 34 3 2" xfId="19248"/>
    <cellStyle name="쉼표 [0] 4 2 2 2 2 34 3 2 2" xfId="44600"/>
    <cellStyle name="쉼표 [0] 4 2 2 2 2 34 3 3" xfId="31928"/>
    <cellStyle name="쉼표 [0] 4 2 2 2 2 34 4" xfId="12912"/>
    <cellStyle name="쉼표 [0] 4 2 2 2 2 34 4 2" xfId="38264"/>
    <cellStyle name="쉼표 [0] 4 2 2 2 2 34 5" xfId="25592"/>
    <cellStyle name="쉼표 [0] 4 2 2 2 2 34 6" xfId="51000"/>
    <cellStyle name="쉼표 [0] 4 2 2 2 2 35" xfId="3336"/>
    <cellStyle name="쉼표 [0] 4 2 2 2 2 35 2" xfId="9672"/>
    <cellStyle name="쉼표 [0] 4 2 2 2 2 35 2 2" xfId="22345"/>
    <cellStyle name="쉼표 [0] 4 2 2 2 2 35 2 2 2" xfId="47697"/>
    <cellStyle name="쉼표 [0] 4 2 2 2 2 35 2 3" xfId="35025"/>
    <cellStyle name="쉼표 [0] 4 2 2 2 2 35 3" xfId="16009"/>
    <cellStyle name="쉼표 [0] 4 2 2 2 2 35 3 2" xfId="41361"/>
    <cellStyle name="쉼표 [0] 4 2 2 2 2 35 4" xfId="28689"/>
    <cellStyle name="쉼표 [0] 4 2 2 2 2 35 5" xfId="51001"/>
    <cellStyle name="쉼표 [0] 4 2 2 2 2 36" xfId="6395"/>
    <cellStyle name="쉼표 [0] 4 2 2 2 2 36 2" xfId="19068"/>
    <cellStyle name="쉼표 [0] 4 2 2 2 2 36 2 2" xfId="44420"/>
    <cellStyle name="쉼표 [0] 4 2 2 2 2 36 3" xfId="31748"/>
    <cellStyle name="쉼표 [0] 4 2 2 2 2 37" xfId="12732"/>
    <cellStyle name="쉼표 [0] 4 2 2 2 2 37 2" xfId="38084"/>
    <cellStyle name="쉼표 [0] 4 2 2 2 2 38" xfId="25412"/>
    <cellStyle name="쉼표 [0] 4 2 2 2 2 39" xfId="51002"/>
    <cellStyle name="쉼표 [0] 4 2 2 2 2 4" xfId="239"/>
    <cellStyle name="쉼표 [0] 4 2 2 2 2 4 2" xfId="240"/>
    <cellStyle name="쉼표 [0] 4 2 2 2 2 4 2 2" xfId="3337"/>
    <cellStyle name="쉼표 [0] 4 2 2 2 2 4 2 2 2" xfId="9673"/>
    <cellStyle name="쉼표 [0] 4 2 2 2 2 4 2 2 2 2" xfId="22346"/>
    <cellStyle name="쉼표 [0] 4 2 2 2 2 4 2 2 2 2 2" xfId="47698"/>
    <cellStyle name="쉼표 [0] 4 2 2 2 2 4 2 2 2 3" xfId="35026"/>
    <cellStyle name="쉼표 [0] 4 2 2 2 2 4 2 2 3" xfId="16010"/>
    <cellStyle name="쉼표 [0] 4 2 2 2 2 4 2 2 3 2" xfId="41362"/>
    <cellStyle name="쉼표 [0] 4 2 2 2 2 4 2 2 4" xfId="28690"/>
    <cellStyle name="쉼표 [0] 4 2 2 2 2 4 2 2 5" xfId="51003"/>
    <cellStyle name="쉼표 [0] 4 2 2 2 2 4 2 3" xfId="6577"/>
    <cellStyle name="쉼표 [0] 4 2 2 2 2 4 2 3 2" xfId="19250"/>
    <cellStyle name="쉼표 [0] 4 2 2 2 2 4 2 3 2 2" xfId="44602"/>
    <cellStyle name="쉼표 [0] 4 2 2 2 2 4 2 3 3" xfId="31930"/>
    <cellStyle name="쉼표 [0] 4 2 2 2 2 4 2 4" xfId="12914"/>
    <cellStyle name="쉼표 [0] 4 2 2 2 2 4 2 4 2" xfId="38266"/>
    <cellStyle name="쉼표 [0] 4 2 2 2 2 4 2 5" xfId="25594"/>
    <cellStyle name="쉼표 [0] 4 2 2 2 2 4 2 6" xfId="51004"/>
    <cellStyle name="쉼표 [0] 4 2 2 2 2 4 3" xfId="3338"/>
    <cellStyle name="쉼표 [0] 4 2 2 2 2 4 3 2" xfId="9674"/>
    <cellStyle name="쉼표 [0] 4 2 2 2 2 4 3 2 2" xfId="22347"/>
    <cellStyle name="쉼표 [0] 4 2 2 2 2 4 3 2 2 2" xfId="47699"/>
    <cellStyle name="쉼표 [0] 4 2 2 2 2 4 3 2 3" xfId="35027"/>
    <cellStyle name="쉼표 [0] 4 2 2 2 2 4 3 3" xfId="16011"/>
    <cellStyle name="쉼표 [0] 4 2 2 2 2 4 3 3 2" xfId="41363"/>
    <cellStyle name="쉼표 [0] 4 2 2 2 2 4 3 4" xfId="28691"/>
    <cellStyle name="쉼표 [0] 4 2 2 2 2 4 3 5" xfId="51005"/>
    <cellStyle name="쉼표 [0] 4 2 2 2 2 4 4" xfId="6576"/>
    <cellStyle name="쉼표 [0] 4 2 2 2 2 4 4 2" xfId="19249"/>
    <cellStyle name="쉼표 [0] 4 2 2 2 2 4 4 2 2" xfId="44601"/>
    <cellStyle name="쉼표 [0] 4 2 2 2 2 4 4 3" xfId="31929"/>
    <cellStyle name="쉼표 [0] 4 2 2 2 2 4 5" xfId="12913"/>
    <cellStyle name="쉼표 [0] 4 2 2 2 2 4 5 2" xfId="38265"/>
    <cellStyle name="쉼표 [0] 4 2 2 2 2 4 6" xfId="25593"/>
    <cellStyle name="쉼표 [0] 4 2 2 2 2 4 7" xfId="51006"/>
    <cellStyle name="쉼표 [0] 4 2 2 2 2 5" xfId="241"/>
    <cellStyle name="쉼표 [0] 4 2 2 2 2 5 2" xfId="242"/>
    <cellStyle name="쉼표 [0] 4 2 2 2 2 5 2 2" xfId="3339"/>
    <cellStyle name="쉼표 [0] 4 2 2 2 2 5 2 2 2" xfId="9675"/>
    <cellStyle name="쉼표 [0] 4 2 2 2 2 5 2 2 2 2" xfId="22348"/>
    <cellStyle name="쉼표 [0] 4 2 2 2 2 5 2 2 2 2 2" xfId="47700"/>
    <cellStyle name="쉼표 [0] 4 2 2 2 2 5 2 2 2 3" xfId="35028"/>
    <cellStyle name="쉼표 [0] 4 2 2 2 2 5 2 2 3" xfId="16012"/>
    <cellStyle name="쉼표 [0] 4 2 2 2 2 5 2 2 3 2" xfId="41364"/>
    <cellStyle name="쉼표 [0] 4 2 2 2 2 5 2 2 4" xfId="28692"/>
    <cellStyle name="쉼표 [0] 4 2 2 2 2 5 2 2 5" xfId="51007"/>
    <cellStyle name="쉼표 [0] 4 2 2 2 2 5 2 3" xfId="6579"/>
    <cellStyle name="쉼표 [0] 4 2 2 2 2 5 2 3 2" xfId="19252"/>
    <cellStyle name="쉼표 [0] 4 2 2 2 2 5 2 3 2 2" xfId="44604"/>
    <cellStyle name="쉼표 [0] 4 2 2 2 2 5 2 3 3" xfId="31932"/>
    <cellStyle name="쉼표 [0] 4 2 2 2 2 5 2 4" xfId="12916"/>
    <cellStyle name="쉼표 [0] 4 2 2 2 2 5 2 4 2" xfId="38268"/>
    <cellStyle name="쉼표 [0] 4 2 2 2 2 5 2 5" xfId="25596"/>
    <cellStyle name="쉼표 [0] 4 2 2 2 2 5 2 6" xfId="51008"/>
    <cellStyle name="쉼표 [0] 4 2 2 2 2 5 3" xfId="3340"/>
    <cellStyle name="쉼표 [0] 4 2 2 2 2 5 3 2" xfId="9676"/>
    <cellStyle name="쉼표 [0] 4 2 2 2 2 5 3 2 2" xfId="22349"/>
    <cellStyle name="쉼표 [0] 4 2 2 2 2 5 3 2 2 2" xfId="47701"/>
    <cellStyle name="쉼표 [0] 4 2 2 2 2 5 3 2 3" xfId="35029"/>
    <cellStyle name="쉼표 [0] 4 2 2 2 2 5 3 3" xfId="16013"/>
    <cellStyle name="쉼표 [0] 4 2 2 2 2 5 3 3 2" xfId="41365"/>
    <cellStyle name="쉼표 [0] 4 2 2 2 2 5 3 4" xfId="28693"/>
    <cellStyle name="쉼표 [0] 4 2 2 2 2 5 3 5" xfId="51009"/>
    <cellStyle name="쉼표 [0] 4 2 2 2 2 5 4" xfId="6578"/>
    <cellStyle name="쉼표 [0] 4 2 2 2 2 5 4 2" xfId="19251"/>
    <cellStyle name="쉼표 [0] 4 2 2 2 2 5 4 2 2" xfId="44603"/>
    <cellStyle name="쉼표 [0] 4 2 2 2 2 5 4 3" xfId="31931"/>
    <cellStyle name="쉼표 [0] 4 2 2 2 2 5 5" xfId="12915"/>
    <cellStyle name="쉼표 [0] 4 2 2 2 2 5 5 2" xfId="38267"/>
    <cellStyle name="쉼표 [0] 4 2 2 2 2 5 6" xfId="25595"/>
    <cellStyle name="쉼표 [0] 4 2 2 2 2 5 7" xfId="51010"/>
    <cellStyle name="쉼표 [0] 4 2 2 2 2 6" xfId="243"/>
    <cellStyle name="쉼표 [0] 4 2 2 2 2 6 2" xfId="244"/>
    <cellStyle name="쉼표 [0] 4 2 2 2 2 6 2 2" xfId="3341"/>
    <cellStyle name="쉼표 [0] 4 2 2 2 2 6 2 2 2" xfId="9677"/>
    <cellStyle name="쉼표 [0] 4 2 2 2 2 6 2 2 2 2" xfId="22350"/>
    <cellStyle name="쉼표 [0] 4 2 2 2 2 6 2 2 2 2 2" xfId="47702"/>
    <cellStyle name="쉼표 [0] 4 2 2 2 2 6 2 2 2 3" xfId="35030"/>
    <cellStyle name="쉼표 [0] 4 2 2 2 2 6 2 2 3" xfId="16014"/>
    <cellStyle name="쉼표 [0] 4 2 2 2 2 6 2 2 3 2" xfId="41366"/>
    <cellStyle name="쉼표 [0] 4 2 2 2 2 6 2 2 4" xfId="28694"/>
    <cellStyle name="쉼표 [0] 4 2 2 2 2 6 2 2 5" xfId="51011"/>
    <cellStyle name="쉼표 [0] 4 2 2 2 2 6 2 3" xfId="6581"/>
    <cellStyle name="쉼표 [0] 4 2 2 2 2 6 2 3 2" xfId="19254"/>
    <cellStyle name="쉼표 [0] 4 2 2 2 2 6 2 3 2 2" xfId="44606"/>
    <cellStyle name="쉼표 [0] 4 2 2 2 2 6 2 3 3" xfId="31934"/>
    <cellStyle name="쉼표 [0] 4 2 2 2 2 6 2 4" xfId="12918"/>
    <cellStyle name="쉼표 [0] 4 2 2 2 2 6 2 4 2" xfId="38270"/>
    <cellStyle name="쉼표 [0] 4 2 2 2 2 6 2 5" xfId="25598"/>
    <cellStyle name="쉼표 [0] 4 2 2 2 2 6 2 6" xfId="51012"/>
    <cellStyle name="쉼표 [0] 4 2 2 2 2 6 3" xfId="3342"/>
    <cellStyle name="쉼표 [0] 4 2 2 2 2 6 3 2" xfId="9678"/>
    <cellStyle name="쉼표 [0] 4 2 2 2 2 6 3 2 2" xfId="22351"/>
    <cellStyle name="쉼표 [0] 4 2 2 2 2 6 3 2 2 2" xfId="47703"/>
    <cellStyle name="쉼표 [0] 4 2 2 2 2 6 3 2 3" xfId="35031"/>
    <cellStyle name="쉼표 [0] 4 2 2 2 2 6 3 3" xfId="16015"/>
    <cellStyle name="쉼표 [0] 4 2 2 2 2 6 3 3 2" xfId="41367"/>
    <cellStyle name="쉼표 [0] 4 2 2 2 2 6 3 4" xfId="28695"/>
    <cellStyle name="쉼표 [0] 4 2 2 2 2 6 3 5" xfId="51013"/>
    <cellStyle name="쉼표 [0] 4 2 2 2 2 6 4" xfId="6580"/>
    <cellStyle name="쉼표 [0] 4 2 2 2 2 6 4 2" xfId="19253"/>
    <cellStyle name="쉼표 [0] 4 2 2 2 2 6 4 2 2" xfId="44605"/>
    <cellStyle name="쉼표 [0] 4 2 2 2 2 6 4 3" xfId="31933"/>
    <cellStyle name="쉼표 [0] 4 2 2 2 2 6 5" xfId="12917"/>
    <cellStyle name="쉼표 [0] 4 2 2 2 2 6 5 2" xfId="38269"/>
    <cellStyle name="쉼표 [0] 4 2 2 2 2 6 6" xfId="25597"/>
    <cellStyle name="쉼표 [0] 4 2 2 2 2 6 7" xfId="51014"/>
    <cellStyle name="쉼표 [0] 4 2 2 2 2 7" xfId="245"/>
    <cellStyle name="쉼표 [0] 4 2 2 2 2 7 2" xfId="246"/>
    <cellStyle name="쉼표 [0] 4 2 2 2 2 7 2 2" xfId="3343"/>
    <cellStyle name="쉼표 [0] 4 2 2 2 2 7 2 2 2" xfId="9679"/>
    <cellStyle name="쉼표 [0] 4 2 2 2 2 7 2 2 2 2" xfId="22352"/>
    <cellStyle name="쉼표 [0] 4 2 2 2 2 7 2 2 2 2 2" xfId="47704"/>
    <cellStyle name="쉼표 [0] 4 2 2 2 2 7 2 2 2 3" xfId="35032"/>
    <cellStyle name="쉼표 [0] 4 2 2 2 2 7 2 2 3" xfId="16016"/>
    <cellStyle name="쉼표 [0] 4 2 2 2 2 7 2 2 3 2" xfId="41368"/>
    <cellStyle name="쉼표 [0] 4 2 2 2 2 7 2 2 4" xfId="28696"/>
    <cellStyle name="쉼표 [0] 4 2 2 2 2 7 2 2 5" xfId="51015"/>
    <cellStyle name="쉼표 [0] 4 2 2 2 2 7 2 3" xfId="6583"/>
    <cellStyle name="쉼표 [0] 4 2 2 2 2 7 2 3 2" xfId="19256"/>
    <cellStyle name="쉼표 [0] 4 2 2 2 2 7 2 3 2 2" xfId="44608"/>
    <cellStyle name="쉼표 [0] 4 2 2 2 2 7 2 3 3" xfId="31936"/>
    <cellStyle name="쉼표 [0] 4 2 2 2 2 7 2 4" xfId="12920"/>
    <cellStyle name="쉼표 [0] 4 2 2 2 2 7 2 4 2" xfId="38272"/>
    <cellStyle name="쉼표 [0] 4 2 2 2 2 7 2 5" xfId="25600"/>
    <cellStyle name="쉼표 [0] 4 2 2 2 2 7 2 6" xfId="51016"/>
    <cellStyle name="쉼표 [0] 4 2 2 2 2 7 3" xfId="3344"/>
    <cellStyle name="쉼표 [0] 4 2 2 2 2 7 3 2" xfId="9680"/>
    <cellStyle name="쉼표 [0] 4 2 2 2 2 7 3 2 2" xfId="22353"/>
    <cellStyle name="쉼표 [0] 4 2 2 2 2 7 3 2 2 2" xfId="47705"/>
    <cellStyle name="쉼표 [0] 4 2 2 2 2 7 3 2 3" xfId="35033"/>
    <cellStyle name="쉼표 [0] 4 2 2 2 2 7 3 3" xfId="16017"/>
    <cellStyle name="쉼표 [0] 4 2 2 2 2 7 3 3 2" xfId="41369"/>
    <cellStyle name="쉼표 [0] 4 2 2 2 2 7 3 4" xfId="28697"/>
    <cellStyle name="쉼표 [0] 4 2 2 2 2 7 3 5" xfId="51017"/>
    <cellStyle name="쉼표 [0] 4 2 2 2 2 7 4" xfId="6582"/>
    <cellStyle name="쉼표 [0] 4 2 2 2 2 7 4 2" xfId="19255"/>
    <cellStyle name="쉼표 [0] 4 2 2 2 2 7 4 2 2" xfId="44607"/>
    <cellStyle name="쉼표 [0] 4 2 2 2 2 7 4 3" xfId="31935"/>
    <cellStyle name="쉼표 [0] 4 2 2 2 2 7 5" xfId="12919"/>
    <cellStyle name="쉼표 [0] 4 2 2 2 2 7 5 2" xfId="38271"/>
    <cellStyle name="쉼표 [0] 4 2 2 2 2 7 6" xfId="25599"/>
    <cellStyle name="쉼표 [0] 4 2 2 2 2 7 7" xfId="51018"/>
    <cellStyle name="쉼표 [0] 4 2 2 2 2 8" xfId="247"/>
    <cellStyle name="쉼표 [0] 4 2 2 2 2 8 2" xfId="248"/>
    <cellStyle name="쉼표 [0] 4 2 2 2 2 8 2 2" xfId="3345"/>
    <cellStyle name="쉼표 [0] 4 2 2 2 2 8 2 2 2" xfId="9681"/>
    <cellStyle name="쉼표 [0] 4 2 2 2 2 8 2 2 2 2" xfId="22354"/>
    <cellStyle name="쉼표 [0] 4 2 2 2 2 8 2 2 2 2 2" xfId="47706"/>
    <cellStyle name="쉼표 [0] 4 2 2 2 2 8 2 2 2 3" xfId="35034"/>
    <cellStyle name="쉼표 [0] 4 2 2 2 2 8 2 2 3" xfId="16018"/>
    <cellStyle name="쉼표 [0] 4 2 2 2 2 8 2 2 3 2" xfId="41370"/>
    <cellStyle name="쉼표 [0] 4 2 2 2 2 8 2 2 4" xfId="28698"/>
    <cellStyle name="쉼표 [0] 4 2 2 2 2 8 2 2 5" xfId="51019"/>
    <cellStyle name="쉼표 [0] 4 2 2 2 2 8 2 3" xfId="6585"/>
    <cellStyle name="쉼표 [0] 4 2 2 2 2 8 2 3 2" xfId="19258"/>
    <cellStyle name="쉼표 [0] 4 2 2 2 2 8 2 3 2 2" xfId="44610"/>
    <cellStyle name="쉼표 [0] 4 2 2 2 2 8 2 3 3" xfId="31938"/>
    <cellStyle name="쉼표 [0] 4 2 2 2 2 8 2 4" xfId="12922"/>
    <cellStyle name="쉼표 [0] 4 2 2 2 2 8 2 4 2" xfId="38274"/>
    <cellStyle name="쉼표 [0] 4 2 2 2 2 8 2 5" xfId="25602"/>
    <cellStyle name="쉼표 [0] 4 2 2 2 2 8 2 6" xfId="51020"/>
    <cellStyle name="쉼표 [0] 4 2 2 2 2 8 3" xfId="3346"/>
    <cellStyle name="쉼표 [0] 4 2 2 2 2 8 3 2" xfId="9682"/>
    <cellStyle name="쉼표 [0] 4 2 2 2 2 8 3 2 2" xfId="22355"/>
    <cellStyle name="쉼표 [0] 4 2 2 2 2 8 3 2 2 2" xfId="47707"/>
    <cellStyle name="쉼표 [0] 4 2 2 2 2 8 3 2 3" xfId="35035"/>
    <cellStyle name="쉼표 [0] 4 2 2 2 2 8 3 3" xfId="16019"/>
    <cellStyle name="쉼표 [0] 4 2 2 2 2 8 3 3 2" xfId="41371"/>
    <cellStyle name="쉼표 [0] 4 2 2 2 2 8 3 4" xfId="28699"/>
    <cellStyle name="쉼표 [0] 4 2 2 2 2 8 3 5" xfId="51021"/>
    <cellStyle name="쉼표 [0] 4 2 2 2 2 8 4" xfId="6584"/>
    <cellStyle name="쉼표 [0] 4 2 2 2 2 8 4 2" xfId="19257"/>
    <cellStyle name="쉼표 [0] 4 2 2 2 2 8 4 2 2" xfId="44609"/>
    <cellStyle name="쉼표 [0] 4 2 2 2 2 8 4 3" xfId="31937"/>
    <cellStyle name="쉼표 [0] 4 2 2 2 2 8 5" xfId="12921"/>
    <cellStyle name="쉼표 [0] 4 2 2 2 2 8 5 2" xfId="38273"/>
    <cellStyle name="쉼표 [0] 4 2 2 2 2 8 6" xfId="25601"/>
    <cellStyle name="쉼표 [0] 4 2 2 2 2 8 7" xfId="51022"/>
    <cellStyle name="쉼표 [0] 4 2 2 2 2 9" xfId="249"/>
    <cellStyle name="쉼표 [0] 4 2 2 2 2 9 2" xfId="250"/>
    <cellStyle name="쉼표 [0] 4 2 2 2 2 9 2 2" xfId="3347"/>
    <cellStyle name="쉼표 [0] 4 2 2 2 2 9 2 2 2" xfId="9683"/>
    <cellStyle name="쉼표 [0] 4 2 2 2 2 9 2 2 2 2" xfId="22356"/>
    <cellStyle name="쉼표 [0] 4 2 2 2 2 9 2 2 2 2 2" xfId="47708"/>
    <cellStyle name="쉼표 [0] 4 2 2 2 2 9 2 2 2 3" xfId="35036"/>
    <cellStyle name="쉼표 [0] 4 2 2 2 2 9 2 2 3" xfId="16020"/>
    <cellStyle name="쉼표 [0] 4 2 2 2 2 9 2 2 3 2" xfId="41372"/>
    <cellStyle name="쉼표 [0] 4 2 2 2 2 9 2 2 4" xfId="28700"/>
    <cellStyle name="쉼표 [0] 4 2 2 2 2 9 2 2 5" xfId="51023"/>
    <cellStyle name="쉼표 [0] 4 2 2 2 2 9 2 3" xfId="6587"/>
    <cellStyle name="쉼표 [0] 4 2 2 2 2 9 2 3 2" xfId="19260"/>
    <cellStyle name="쉼표 [0] 4 2 2 2 2 9 2 3 2 2" xfId="44612"/>
    <cellStyle name="쉼표 [0] 4 2 2 2 2 9 2 3 3" xfId="31940"/>
    <cellStyle name="쉼표 [0] 4 2 2 2 2 9 2 4" xfId="12924"/>
    <cellStyle name="쉼표 [0] 4 2 2 2 2 9 2 4 2" xfId="38276"/>
    <cellStyle name="쉼표 [0] 4 2 2 2 2 9 2 5" xfId="25604"/>
    <cellStyle name="쉼표 [0] 4 2 2 2 2 9 2 6" xfId="51024"/>
    <cellStyle name="쉼표 [0] 4 2 2 2 2 9 3" xfId="3348"/>
    <cellStyle name="쉼표 [0] 4 2 2 2 2 9 3 2" xfId="9684"/>
    <cellStyle name="쉼표 [0] 4 2 2 2 2 9 3 2 2" xfId="22357"/>
    <cellStyle name="쉼표 [0] 4 2 2 2 2 9 3 2 2 2" xfId="47709"/>
    <cellStyle name="쉼표 [0] 4 2 2 2 2 9 3 2 3" xfId="35037"/>
    <cellStyle name="쉼표 [0] 4 2 2 2 2 9 3 3" xfId="16021"/>
    <cellStyle name="쉼표 [0] 4 2 2 2 2 9 3 3 2" xfId="41373"/>
    <cellStyle name="쉼표 [0] 4 2 2 2 2 9 3 4" xfId="28701"/>
    <cellStyle name="쉼표 [0] 4 2 2 2 2 9 3 5" xfId="51025"/>
    <cellStyle name="쉼표 [0] 4 2 2 2 2 9 4" xfId="6586"/>
    <cellStyle name="쉼표 [0] 4 2 2 2 2 9 4 2" xfId="19259"/>
    <cellStyle name="쉼표 [0] 4 2 2 2 2 9 4 2 2" xfId="44611"/>
    <cellStyle name="쉼표 [0] 4 2 2 2 2 9 4 3" xfId="31939"/>
    <cellStyle name="쉼표 [0] 4 2 2 2 2 9 5" xfId="12923"/>
    <cellStyle name="쉼표 [0] 4 2 2 2 2 9 5 2" xfId="38275"/>
    <cellStyle name="쉼표 [0] 4 2 2 2 2 9 6" xfId="25603"/>
    <cellStyle name="쉼표 [0] 4 2 2 2 2 9 7" xfId="51026"/>
    <cellStyle name="쉼표 [0] 4 2 2 2 20" xfId="251"/>
    <cellStyle name="쉼표 [0] 4 2 2 2 20 2" xfId="252"/>
    <cellStyle name="쉼표 [0] 4 2 2 2 20 2 2" xfId="3349"/>
    <cellStyle name="쉼표 [0] 4 2 2 2 20 2 2 2" xfId="9685"/>
    <cellStyle name="쉼표 [0] 4 2 2 2 20 2 2 2 2" xfId="22358"/>
    <cellStyle name="쉼표 [0] 4 2 2 2 20 2 2 2 2 2" xfId="47710"/>
    <cellStyle name="쉼표 [0] 4 2 2 2 20 2 2 2 3" xfId="35038"/>
    <cellStyle name="쉼표 [0] 4 2 2 2 20 2 2 3" xfId="16022"/>
    <cellStyle name="쉼표 [0] 4 2 2 2 20 2 2 3 2" xfId="41374"/>
    <cellStyle name="쉼표 [0] 4 2 2 2 20 2 2 4" xfId="28702"/>
    <cellStyle name="쉼표 [0] 4 2 2 2 20 2 2 5" xfId="51027"/>
    <cellStyle name="쉼표 [0] 4 2 2 2 20 2 3" xfId="6589"/>
    <cellStyle name="쉼표 [0] 4 2 2 2 20 2 3 2" xfId="19262"/>
    <cellStyle name="쉼표 [0] 4 2 2 2 20 2 3 2 2" xfId="44614"/>
    <cellStyle name="쉼표 [0] 4 2 2 2 20 2 3 3" xfId="31942"/>
    <cellStyle name="쉼표 [0] 4 2 2 2 20 2 4" xfId="12926"/>
    <cellStyle name="쉼표 [0] 4 2 2 2 20 2 4 2" xfId="38278"/>
    <cellStyle name="쉼표 [0] 4 2 2 2 20 2 5" xfId="25606"/>
    <cellStyle name="쉼표 [0] 4 2 2 2 20 2 6" xfId="51028"/>
    <cellStyle name="쉼표 [0] 4 2 2 2 20 3" xfId="3350"/>
    <cellStyle name="쉼표 [0] 4 2 2 2 20 3 2" xfId="9686"/>
    <cellStyle name="쉼표 [0] 4 2 2 2 20 3 2 2" xfId="22359"/>
    <cellStyle name="쉼표 [0] 4 2 2 2 20 3 2 2 2" xfId="47711"/>
    <cellStyle name="쉼표 [0] 4 2 2 2 20 3 2 3" xfId="35039"/>
    <cellStyle name="쉼표 [0] 4 2 2 2 20 3 3" xfId="16023"/>
    <cellStyle name="쉼표 [0] 4 2 2 2 20 3 3 2" xfId="41375"/>
    <cellStyle name="쉼표 [0] 4 2 2 2 20 3 4" xfId="28703"/>
    <cellStyle name="쉼표 [0] 4 2 2 2 20 3 5" xfId="51029"/>
    <cellStyle name="쉼표 [0] 4 2 2 2 20 4" xfId="6588"/>
    <cellStyle name="쉼표 [0] 4 2 2 2 20 4 2" xfId="19261"/>
    <cellStyle name="쉼표 [0] 4 2 2 2 20 4 2 2" xfId="44613"/>
    <cellStyle name="쉼표 [0] 4 2 2 2 20 4 3" xfId="31941"/>
    <cellStyle name="쉼표 [0] 4 2 2 2 20 5" xfId="12925"/>
    <cellStyle name="쉼표 [0] 4 2 2 2 20 5 2" xfId="38277"/>
    <cellStyle name="쉼표 [0] 4 2 2 2 20 6" xfId="25605"/>
    <cellStyle name="쉼표 [0] 4 2 2 2 20 7" xfId="51030"/>
    <cellStyle name="쉼표 [0] 4 2 2 2 21" xfId="253"/>
    <cellStyle name="쉼표 [0] 4 2 2 2 21 2" xfId="254"/>
    <cellStyle name="쉼표 [0] 4 2 2 2 21 2 2" xfId="3351"/>
    <cellStyle name="쉼표 [0] 4 2 2 2 21 2 2 2" xfId="9687"/>
    <cellStyle name="쉼표 [0] 4 2 2 2 21 2 2 2 2" xfId="22360"/>
    <cellStyle name="쉼표 [0] 4 2 2 2 21 2 2 2 2 2" xfId="47712"/>
    <cellStyle name="쉼표 [0] 4 2 2 2 21 2 2 2 3" xfId="35040"/>
    <cellStyle name="쉼표 [0] 4 2 2 2 21 2 2 3" xfId="16024"/>
    <cellStyle name="쉼표 [0] 4 2 2 2 21 2 2 3 2" xfId="41376"/>
    <cellStyle name="쉼표 [0] 4 2 2 2 21 2 2 4" xfId="28704"/>
    <cellStyle name="쉼표 [0] 4 2 2 2 21 2 2 5" xfId="51031"/>
    <cellStyle name="쉼표 [0] 4 2 2 2 21 2 3" xfId="6591"/>
    <cellStyle name="쉼표 [0] 4 2 2 2 21 2 3 2" xfId="19264"/>
    <cellStyle name="쉼표 [0] 4 2 2 2 21 2 3 2 2" xfId="44616"/>
    <cellStyle name="쉼표 [0] 4 2 2 2 21 2 3 3" xfId="31944"/>
    <cellStyle name="쉼표 [0] 4 2 2 2 21 2 4" xfId="12928"/>
    <cellStyle name="쉼표 [0] 4 2 2 2 21 2 4 2" xfId="38280"/>
    <cellStyle name="쉼표 [0] 4 2 2 2 21 2 5" xfId="25608"/>
    <cellStyle name="쉼표 [0] 4 2 2 2 21 2 6" xfId="51032"/>
    <cellStyle name="쉼표 [0] 4 2 2 2 21 3" xfId="3352"/>
    <cellStyle name="쉼표 [0] 4 2 2 2 21 3 2" xfId="9688"/>
    <cellStyle name="쉼표 [0] 4 2 2 2 21 3 2 2" xfId="22361"/>
    <cellStyle name="쉼표 [0] 4 2 2 2 21 3 2 2 2" xfId="47713"/>
    <cellStyle name="쉼표 [0] 4 2 2 2 21 3 2 3" xfId="35041"/>
    <cellStyle name="쉼표 [0] 4 2 2 2 21 3 3" xfId="16025"/>
    <cellStyle name="쉼표 [0] 4 2 2 2 21 3 3 2" xfId="41377"/>
    <cellStyle name="쉼표 [0] 4 2 2 2 21 3 4" xfId="28705"/>
    <cellStyle name="쉼표 [0] 4 2 2 2 21 3 5" xfId="51033"/>
    <cellStyle name="쉼표 [0] 4 2 2 2 21 4" xfId="6590"/>
    <cellStyle name="쉼표 [0] 4 2 2 2 21 4 2" xfId="19263"/>
    <cellStyle name="쉼표 [0] 4 2 2 2 21 4 2 2" xfId="44615"/>
    <cellStyle name="쉼표 [0] 4 2 2 2 21 4 3" xfId="31943"/>
    <cellStyle name="쉼표 [0] 4 2 2 2 21 5" xfId="12927"/>
    <cellStyle name="쉼표 [0] 4 2 2 2 21 5 2" xfId="38279"/>
    <cellStyle name="쉼표 [0] 4 2 2 2 21 6" xfId="25607"/>
    <cellStyle name="쉼표 [0] 4 2 2 2 21 7" xfId="51034"/>
    <cellStyle name="쉼표 [0] 4 2 2 2 22" xfId="255"/>
    <cellStyle name="쉼표 [0] 4 2 2 2 22 2" xfId="256"/>
    <cellStyle name="쉼표 [0] 4 2 2 2 22 2 2" xfId="3353"/>
    <cellStyle name="쉼표 [0] 4 2 2 2 22 2 2 2" xfId="9689"/>
    <cellStyle name="쉼표 [0] 4 2 2 2 22 2 2 2 2" xfId="22362"/>
    <cellStyle name="쉼표 [0] 4 2 2 2 22 2 2 2 2 2" xfId="47714"/>
    <cellStyle name="쉼표 [0] 4 2 2 2 22 2 2 2 3" xfId="35042"/>
    <cellStyle name="쉼표 [0] 4 2 2 2 22 2 2 3" xfId="16026"/>
    <cellStyle name="쉼표 [0] 4 2 2 2 22 2 2 3 2" xfId="41378"/>
    <cellStyle name="쉼표 [0] 4 2 2 2 22 2 2 4" xfId="28706"/>
    <cellStyle name="쉼표 [0] 4 2 2 2 22 2 2 5" xfId="51035"/>
    <cellStyle name="쉼표 [0] 4 2 2 2 22 2 3" xfId="6593"/>
    <cellStyle name="쉼표 [0] 4 2 2 2 22 2 3 2" xfId="19266"/>
    <cellStyle name="쉼표 [0] 4 2 2 2 22 2 3 2 2" xfId="44618"/>
    <cellStyle name="쉼표 [0] 4 2 2 2 22 2 3 3" xfId="31946"/>
    <cellStyle name="쉼표 [0] 4 2 2 2 22 2 4" xfId="12930"/>
    <cellStyle name="쉼표 [0] 4 2 2 2 22 2 4 2" xfId="38282"/>
    <cellStyle name="쉼표 [0] 4 2 2 2 22 2 5" xfId="25610"/>
    <cellStyle name="쉼표 [0] 4 2 2 2 22 2 6" xfId="51036"/>
    <cellStyle name="쉼표 [0] 4 2 2 2 22 3" xfId="3354"/>
    <cellStyle name="쉼표 [0] 4 2 2 2 22 3 2" xfId="9690"/>
    <cellStyle name="쉼표 [0] 4 2 2 2 22 3 2 2" xfId="22363"/>
    <cellStyle name="쉼표 [0] 4 2 2 2 22 3 2 2 2" xfId="47715"/>
    <cellStyle name="쉼표 [0] 4 2 2 2 22 3 2 3" xfId="35043"/>
    <cellStyle name="쉼표 [0] 4 2 2 2 22 3 3" xfId="16027"/>
    <cellStyle name="쉼표 [0] 4 2 2 2 22 3 3 2" xfId="41379"/>
    <cellStyle name="쉼표 [0] 4 2 2 2 22 3 4" xfId="28707"/>
    <cellStyle name="쉼표 [0] 4 2 2 2 22 3 5" xfId="51037"/>
    <cellStyle name="쉼표 [0] 4 2 2 2 22 4" xfId="6592"/>
    <cellStyle name="쉼표 [0] 4 2 2 2 22 4 2" xfId="19265"/>
    <cellStyle name="쉼표 [0] 4 2 2 2 22 4 2 2" xfId="44617"/>
    <cellStyle name="쉼표 [0] 4 2 2 2 22 4 3" xfId="31945"/>
    <cellStyle name="쉼표 [0] 4 2 2 2 22 5" xfId="12929"/>
    <cellStyle name="쉼표 [0] 4 2 2 2 22 5 2" xfId="38281"/>
    <cellStyle name="쉼표 [0] 4 2 2 2 22 6" xfId="25609"/>
    <cellStyle name="쉼표 [0] 4 2 2 2 22 7" xfId="51038"/>
    <cellStyle name="쉼표 [0] 4 2 2 2 23" xfId="257"/>
    <cellStyle name="쉼표 [0] 4 2 2 2 23 2" xfId="258"/>
    <cellStyle name="쉼표 [0] 4 2 2 2 23 2 2" xfId="3355"/>
    <cellStyle name="쉼표 [0] 4 2 2 2 23 2 2 2" xfId="9691"/>
    <cellStyle name="쉼표 [0] 4 2 2 2 23 2 2 2 2" xfId="22364"/>
    <cellStyle name="쉼표 [0] 4 2 2 2 23 2 2 2 2 2" xfId="47716"/>
    <cellStyle name="쉼표 [0] 4 2 2 2 23 2 2 2 3" xfId="35044"/>
    <cellStyle name="쉼표 [0] 4 2 2 2 23 2 2 3" xfId="16028"/>
    <cellStyle name="쉼표 [0] 4 2 2 2 23 2 2 3 2" xfId="41380"/>
    <cellStyle name="쉼표 [0] 4 2 2 2 23 2 2 4" xfId="28708"/>
    <cellStyle name="쉼표 [0] 4 2 2 2 23 2 2 5" xfId="51039"/>
    <cellStyle name="쉼표 [0] 4 2 2 2 23 2 3" xfId="6595"/>
    <cellStyle name="쉼표 [0] 4 2 2 2 23 2 3 2" xfId="19268"/>
    <cellStyle name="쉼표 [0] 4 2 2 2 23 2 3 2 2" xfId="44620"/>
    <cellStyle name="쉼표 [0] 4 2 2 2 23 2 3 3" xfId="31948"/>
    <cellStyle name="쉼표 [0] 4 2 2 2 23 2 4" xfId="12932"/>
    <cellStyle name="쉼표 [0] 4 2 2 2 23 2 4 2" xfId="38284"/>
    <cellStyle name="쉼표 [0] 4 2 2 2 23 2 5" xfId="25612"/>
    <cellStyle name="쉼표 [0] 4 2 2 2 23 2 6" xfId="51040"/>
    <cellStyle name="쉼표 [0] 4 2 2 2 23 3" xfId="3356"/>
    <cellStyle name="쉼표 [0] 4 2 2 2 23 3 2" xfId="9692"/>
    <cellStyle name="쉼표 [0] 4 2 2 2 23 3 2 2" xfId="22365"/>
    <cellStyle name="쉼표 [0] 4 2 2 2 23 3 2 2 2" xfId="47717"/>
    <cellStyle name="쉼표 [0] 4 2 2 2 23 3 2 3" xfId="35045"/>
    <cellStyle name="쉼표 [0] 4 2 2 2 23 3 3" xfId="16029"/>
    <cellStyle name="쉼표 [0] 4 2 2 2 23 3 3 2" xfId="41381"/>
    <cellStyle name="쉼표 [0] 4 2 2 2 23 3 4" xfId="28709"/>
    <cellStyle name="쉼표 [0] 4 2 2 2 23 3 5" xfId="51041"/>
    <cellStyle name="쉼표 [0] 4 2 2 2 23 4" xfId="6594"/>
    <cellStyle name="쉼표 [0] 4 2 2 2 23 4 2" xfId="19267"/>
    <cellStyle name="쉼표 [0] 4 2 2 2 23 4 2 2" xfId="44619"/>
    <cellStyle name="쉼표 [0] 4 2 2 2 23 4 3" xfId="31947"/>
    <cellStyle name="쉼표 [0] 4 2 2 2 23 5" xfId="12931"/>
    <cellStyle name="쉼표 [0] 4 2 2 2 23 5 2" xfId="38283"/>
    <cellStyle name="쉼표 [0] 4 2 2 2 23 6" xfId="25611"/>
    <cellStyle name="쉼표 [0] 4 2 2 2 23 7" xfId="51042"/>
    <cellStyle name="쉼표 [0] 4 2 2 2 24" xfId="259"/>
    <cellStyle name="쉼표 [0] 4 2 2 2 24 2" xfId="260"/>
    <cellStyle name="쉼표 [0] 4 2 2 2 24 2 2" xfId="3357"/>
    <cellStyle name="쉼표 [0] 4 2 2 2 24 2 2 2" xfId="9693"/>
    <cellStyle name="쉼표 [0] 4 2 2 2 24 2 2 2 2" xfId="22366"/>
    <cellStyle name="쉼표 [0] 4 2 2 2 24 2 2 2 2 2" xfId="47718"/>
    <cellStyle name="쉼표 [0] 4 2 2 2 24 2 2 2 3" xfId="35046"/>
    <cellStyle name="쉼표 [0] 4 2 2 2 24 2 2 3" xfId="16030"/>
    <cellStyle name="쉼표 [0] 4 2 2 2 24 2 2 3 2" xfId="41382"/>
    <cellStyle name="쉼표 [0] 4 2 2 2 24 2 2 4" xfId="28710"/>
    <cellStyle name="쉼표 [0] 4 2 2 2 24 2 2 5" xfId="51043"/>
    <cellStyle name="쉼표 [0] 4 2 2 2 24 2 3" xfId="6597"/>
    <cellStyle name="쉼표 [0] 4 2 2 2 24 2 3 2" xfId="19270"/>
    <cellStyle name="쉼표 [0] 4 2 2 2 24 2 3 2 2" xfId="44622"/>
    <cellStyle name="쉼표 [0] 4 2 2 2 24 2 3 3" xfId="31950"/>
    <cellStyle name="쉼표 [0] 4 2 2 2 24 2 4" xfId="12934"/>
    <cellStyle name="쉼표 [0] 4 2 2 2 24 2 4 2" xfId="38286"/>
    <cellStyle name="쉼표 [0] 4 2 2 2 24 2 5" xfId="25614"/>
    <cellStyle name="쉼표 [0] 4 2 2 2 24 2 6" xfId="51044"/>
    <cellStyle name="쉼표 [0] 4 2 2 2 24 3" xfId="3358"/>
    <cellStyle name="쉼표 [0] 4 2 2 2 24 3 2" xfId="9694"/>
    <cellStyle name="쉼표 [0] 4 2 2 2 24 3 2 2" xfId="22367"/>
    <cellStyle name="쉼표 [0] 4 2 2 2 24 3 2 2 2" xfId="47719"/>
    <cellStyle name="쉼표 [0] 4 2 2 2 24 3 2 3" xfId="35047"/>
    <cellStyle name="쉼표 [0] 4 2 2 2 24 3 3" xfId="16031"/>
    <cellStyle name="쉼표 [0] 4 2 2 2 24 3 3 2" xfId="41383"/>
    <cellStyle name="쉼표 [0] 4 2 2 2 24 3 4" xfId="28711"/>
    <cellStyle name="쉼표 [0] 4 2 2 2 24 3 5" xfId="51045"/>
    <cellStyle name="쉼표 [0] 4 2 2 2 24 4" xfId="6596"/>
    <cellStyle name="쉼표 [0] 4 2 2 2 24 4 2" xfId="19269"/>
    <cellStyle name="쉼표 [0] 4 2 2 2 24 4 2 2" xfId="44621"/>
    <cellStyle name="쉼표 [0] 4 2 2 2 24 4 3" xfId="31949"/>
    <cellStyle name="쉼표 [0] 4 2 2 2 24 5" xfId="12933"/>
    <cellStyle name="쉼표 [0] 4 2 2 2 24 5 2" xfId="38285"/>
    <cellStyle name="쉼표 [0] 4 2 2 2 24 6" xfId="25613"/>
    <cellStyle name="쉼표 [0] 4 2 2 2 24 7" xfId="51046"/>
    <cellStyle name="쉼표 [0] 4 2 2 2 25" xfId="261"/>
    <cellStyle name="쉼표 [0] 4 2 2 2 25 2" xfId="262"/>
    <cellStyle name="쉼표 [0] 4 2 2 2 25 2 2" xfId="3359"/>
    <cellStyle name="쉼표 [0] 4 2 2 2 25 2 2 2" xfId="9695"/>
    <cellStyle name="쉼표 [0] 4 2 2 2 25 2 2 2 2" xfId="22368"/>
    <cellStyle name="쉼표 [0] 4 2 2 2 25 2 2 2 2 2" xfId="47720"/>
    <cellStyle name="쉼표 [0] 4 2 2 2 25 2 2 2 3" xfId="35048"/>
    <cellStyle name="쉼표 [0] 4 2 2 2 25 2 2 3" xfId="16032"/>
    <cellStyle name="쉼표 [0] 4 2 2 2 25 2 2 3 2" xfId="41384"/>
    <cellStyle name="쉼표 [0] 4 2 2 2 25 2 2 4" xfId="28712"/>
    <cellStyle name="쉼표 [0] 4 2 2 2 25 2 2 5" xfId="51047"/>
    <cellStyle name="쉼표 [0] 4 2 2 2 25 2 3" xfId="6599"/>
    <cellStyle name="쉼표 [0] 4 2 2 2 25 2 3 2" xfId="19272"/>
    <cellStyle name="쉼표 [0] 4 2 2 2 25 2 3 2 2" xfId="44624"/>
    <cellStyle name="쉼표 [0] 4 2 2 2 25 2 3 3" xfId="31952"/>
    <cellStyle name="쉼표 [0] 4 2 2 2 25 2 4" xfId="12936"/>
    <cellStyle name="쉼표 [0] 4 2 2 2 25 2 4 2" xfId="38288"/>
    <cellStyle name="쉼표 [0] 4 2 2 2 25 2 5" xfId="25616"/>
    <cellStyle name="쉼표 [0] 4 2 2 2 25 2 6" xfId="51048"/>
    <cellStyle name="쉼표 [0] 4 2 2 2 25 3" xfId="3360"/>
    <cellStyle name="쉼표 [0] 4 2 2 2 25 3 2" xfId="9696"/>
    <cellStyle name="쉼표 [0] 4 2 2 2 25 3 2 2" xfId="22369"/>
    <cellStyle name="쉼표 [0] 4 2 2 2 25 3 2 2 2" xfId="47721"/>
    <cellStyle name="쉼표 [0] 4 2 2 2 25 3 2 3" xfId="35049"/>
    <cellStyle name="쉼표 [0] 4 2 2 2 25 3 3" xfId="16033"/>
    <cellStyle name="쉼표 [0] 4 2 2 2 25 3 3 2" xfId="41385"/>
    <cellStyle name="쉼표 [0] 4 2 2 2 25 3 4" xfId="28713"/>
    <cellStyle name="쉼표 [0] 4 2 2 2 25 3 5" xfId="51049"/>
    <cellStyle name="쉼표 [0] 4 2 2 2 25 4" xfId="6598"/>
    <cellStyle name="쉼표 [0] 4 2 2 2 25 4 2" xfId="19271"/>
    <cellStyle name="쉼표 [0] 4 2 2 2 25 4 2 2" xfId="44623"/>
    <cellStyle name="쉼표 [0] 4 2 2 2 25 4 3" xfId="31951"/>
    <cellStyle name="쉼표 [0] 4 2 2 2 25 5" xfId="12935"/>
    <cellStyle name="쉼표 [0] 4 2 2 2 25 5 2" xfId="38287"/>
    <cellStyle name="쉼표 [0] 4 2 2 2 25 6" xfId="25615"/>
    <cellStyle name="쉼표 [0] 4 2 2 2 25 7" xfId="51050"/>
    <cellStyle name="쉼표 [0] 4 2 2 2 26" xfId="263"/>
    <cellStyle name="쉼표 [0] 4 2 2 2 26 2" xfId="264"/>
    <cellStyle name="쉼표 [0] 4 2 2 2 26 2 2" xfId="3361"/>
    <cellStyle name="쉼표 [0] 4 2 2 2 26 2 2 2" xfId="9697"/>
    <cellStyle name="쉼표 [0] 4 2 2 2 26 2 2 2 2" xfId="22370"/>
    <cellStyle name="쉼표 [0] 4 2 2 2 26 2 2 2 2 2" xfId="47722"/>
    <cellStyle name="쉼표 [0] 4 2 2 2 26 2 2 2 3" xfId="35050"/>
    <cellStyle name="쉼표 [0] 4 2 2 2 26 2 2 3" xfId="16034"/>
    <cellStyle name="쉼표 [0] 4 2 2 2 26 2 2 3 2" xfId="41386"/>
    <cellStyle name="쉼표 [0] 4 2 2 2 26 2 2 4" xfId="28714"/>
    <cellStyle name="쉼표 [0] 4 2 2 2 26 2 2 5" xfId="51051"/>
    <cellStyle name="쉼표 [0] 4 2 2 2 26 2 3" xfId="6601"/>
    <cellStyle name="쉼표 [0] 4 2 2 2 26 2 3 2" xfId="19274"/>
    <cellStyle name="쉼표 [0] 4 2 2 2 26 2 3 2 2" xfId="44626"/>
    <cellStyle name="쉼표 [0] 4 2 2 2 26 2 3 3" xfId="31954"/>
    <cellStyle name="쉼표 [0] 4 2 2 2 26 2 4" xfId="12938"/>
    <cellStyle name="쉼표 [0] 4 2 2 2 26 2 4 2" xfId="38290"/>
    <cellStyle name="쉼표 [0] 4 2 2 2 26 2 5" xfId="25618"/>
    <cellStyle name="쉼표 [0] 4 2 2 2 26 2 6" xfId="51052"/>
    <cellStyle name="쉼표 [0] 4 2 2 2 26 3" xfId="3362"/>
    <cellStyle name="쉼표 [0] 4 2 2 2 26 3 2" xfId="9698"/>
    <cellStyle name="쉼표 [0] 4 2 2 2 26 3 2 2" xfId="22371"/>
    <cellStyle name="쉼표 [0] 4 2 2 2 26 3 2 2 2" xfId="47723"/>
    <cellStyle name="쉼표 [0] 4 2 2 2 26 3 2 3" xfId="35051"/>
    <cellStyle name="쉼표 [0] 4 2 2 2 26 3 3" xfId="16035"/>
    <cellStyle name="쉼표 [0] 4 2 2 2 26 3 3 2" xfId="41387"/>
    <cellStyle name="쉼표 [0] 4 2 2 2 26 3 4" xfId="28715"/>
    <cellStyle name="쉼표 [0] 4 2 2 2 26 3 5" xfId="51053"/>
    <cellStyle name="쉼표 [0] 4 2 2 2 26 4" xfId="6600"/>
    <cellStyle name="쉼표 [0] 4 2 2 2 26 4 2" xfId="19273"/>
    <cellStyle name="쉼표 [0] 4 2 2 2 26 4 2 2" xfId="44625"/>
    <cellStyle name="쉼표 [0] 4 2 2 2 26 4 3" xfId="31953"/>
    <cellStyle name="쉼표 [0] 4 2 2 2 26 5" xfId="12937"/>
    <cellStyle name="쉼표 [0] 4 2 2 2 26 5 2" xfId="38289"/>
    <cellStyle name="쉼표 [0] 4 2 2 2 26 6" xfId="25617"/>
    <cellStyle name="쉼표 [0] 4 2 2 2 26 7" xfId="51054"/>
    <cellStyle name="쉼표 [0] 4 2 2 2 27" xfId="265"/>
    <cellStyle name="쉼표 [0] 4 2 2 2 27 2" xfId="266"/>
    <cellStyle name="쉼표 [0] 4 2 2 2 27 2 2" xfId="3363"/>
    <cellStyle name="쉼표 [0] 4 2 2 2 27 2 2 2" xfId="9699"/>
    <cellStyle name="쉼표 [0] 4 2 2 2 27 2 2 2 2" xfId="22372"/>
    <cellStyle name="쉼표 [0] 4 2 2 2 27 2 2 2 2 2" xfId="47724"/>
    <cellStyle name="쉼표 [0] 4 2 2 2 27 2 2 2 3" xfId="35052"/>
    <cellStyle name="쉼표 [0] 4 2 2 2 27 2 2 3" xfId="16036"/>
    <cellStyle name="쉼표 [0] 4 2 2 2 27 2 2 3 2" xfId="41388"/>
    <cellStyle name="쉼표 [0] 4 2 2 2 27 2 2 4" xfId="28716"/>
    <cellStyle name="쉼표 [0] 4 2 2 2 27 2 2 5" xfId="51055"/>
    <cellStyle name="쉼표 [0] 4 2 2 2 27 2 3" xfId="6603"/>
    <cellStyle name="쉼표 [0] 4 2 2 2 27 2 3 2" xfId="19276"/>
    <cellStyle name="쉼표 [0] 4 2 2 2 27 2 3 2 2" xfId="44628"/>
    <cellStyle name="쉼표 [0] 4 2 2 2 27 2 3 3" xfId="31956"/>
    <cellStyle name="쉼표 [0] 4 2 2 2 27 2 4" xfId="12940"/>
    <cellStyle name="쉼표 [0] 4 2 2 2 27 2 4 2" xfId="38292"/>
    <cellStyle name="쉼표 [0] 4 2 2 2 27 2 5" xfId="25620"/>
    <cellStyle name="쉼표 [0] 4 2 2 2 27 2 6" xfId="51056"/>
    <cellStyle name="쉼표 [0] 4 2 2 2 27 3" xfId="3364"/>
    <cellStyle name="쉼표 [0] 4 2 2 2 27 3 2" xfId="9700"/>
    <cellStyle name="쉼표 [0] 4 2 2 2 27 3 2 2" xfId="22373"/>
    <cellStyle name="쉼표 [0] 4 2 2 2 27 3 2 2 2" xfId="47725"/>
    <cellStyle name="쉼표 [0] 4 2 2 2 27 3 2 3" xfId="35053"/>
    <cellStyle name="쉼표 [0] 4 2 2 2 27 3 3" xfId="16037"/>
    <cellStyle name="쉼표 [0] 4 2 2 2 27 3 3 2" xfId="41389"/>
    <cellStyle name="쉼표 [0] 4 2 2 2 27 3 4" xfId="28717"/>
    <cellStyle name="쉼표 [0] 4 2 2 2 27 3 5" xfId="51057"/>
    <cellStyle name="쉼표 [0] 4 2 2 2 27 4" xfId="6602"/>
    <cellStyle name="쉼표 [0] 4 2 2 2 27 4 2" xfId="19275"/>
    <cellStyle name="쉼표 [0] 4 2 2 2 27 4 2 2" xfId="44627"/>
    <cellStyle name="쉼표 [0] 4 2 2 2 27 4 3" xfId="31955"/>
    <cellStyle name="쉼표 [0] 4 2 2 2 27 5" xfId="12939"/>
    <cellStyle name="쉼표 [0] 4 2 2 2 27 5 2" xfId="38291"/>
    <cellStyle name="쉼표 [0] 4 2 2 2 27 6" xfId="25619"/>
    <cellStyle name="쉼표 [0] 4 2 2 2 27 7" xfId="51058"/>
    <cellStyle name="쉼표 [0] 4 2 2 2 28" xfId="267"/>
    <cellStyle name="쉼표 [0] 4 2 2 2 28 2" xfId="268"/>
    <cellStyle name="쉼표 [0] 4 2 2 2 28 2 2" xfId="3365"/>
    <cellStyle name="쉼표 [0] 4 2 2 2 28 2 2 2" xfId="9701"/>
    <cellStyle name="쉼표 [0] 4 2 2 2 28 2 2 2 2" xfId="22374"/>
    <cellStyle name="쉼표 [0] 4 2 2 2 28 2 2 2 2 2" xfId="47726"/>
    <cellStyle name="쉼표 [0] 4 2 2 2 28 2 2 2 3" xfId="35054"/>
    <cellStyle name="쉼표 [0] 4 2 2 2 28 2 2 3" xfId="16038"/>
    <cellStyle name="쉼표 [0] 4 2 2 2 28 2 2 3 2" xfId="41390"/>
    <cellStyle name="쉼표 [0] 4 2 2 2 28 2 2 4" xfId="28718"/>
    <cellStyle name="쉼표 [0] 4 2 2 2 28 2 2 5" xfId="51059"/>
    <cellStyle name="쉼표 [0] 4 2 2 2 28 2 3" xfId="6605"/>
    <cellStyle name="쉼표 [0] 4 2 2 2 28 2 3 2" xfId="19278"/>
    <cellStyle name="쉼표 [0] 4 2 2 2 28 2 3 2 2" xfId="44630"/>
    <cellStyle name="쉼표 [0] 4 2 2 2 28 2 3 3" xfId="31958"/>
    <cellStyle name="쉼표 [0] 4 2 2 2 28 2 4" xfId="12942"/>
    <cellStyle name="쉼표 [0] 4 2 2 2 28 2 4 2" xfId="38294"/>
    <cellStyle name="쉼표 [0] 4 2 2 2 28 2 5" xfId="25622"/>
    <cellStyle name="쉼표 [0] 4 2 2 2 28 2 6" xfId="51060"/>
    <cellStyle name="쉼표 [0] 4 2 2 2 28 3" xfId="3366"/>
    <cellStyle name="쉼표 [0] 4 2 2 2 28 3 2" xfId="9702"/>
    <cellStyle name="쉼표 [0] 4 2 2 2 28 3 2 2" xfId="22375"/>
    <cellStyle name="쉼표 [0] 4 2 2 2 28 3 2 2 2" xfId="47727"/>
    <cellStyle name="쉼표 [0] 4 2 2 2 28 3 2 3" xfId="35055"/>
    <cellStyle name="쉼표 [0] 4 2 2 2 28 3 3" xfId="16039"/>
    <cellStyle name="쉼표 [0] 4 2 2 2 28 3 3 2" xfId="41391"/>
    <cellStyle name="쉼표 [0] 4 2 2 2 28 3 4" xfId="28719"/>
    <cellStyle name="쉼표 [0] 4 2 2 2 28 3 5" xfId="51061"/>
    <cellStyle name="쉼표 [0] 4 2 2 2 28 4" xfId="6604"/>
    <cellStyle name="쉼표 [0] 4 2 2 2 28 4 2" xfId="19277"/>
    <cellStyle name="쉼표 [0] 4 2 2 2 28 4 2 2" xfId="44629"/>
    <cellStyle name="쉼표 [0] 4 2 2 2 28 4 3" xfId="31957"/>
    <cellStyle name="쉼표 [0] 4 2 2 2 28 5" xfId="12941"/>
    <cellStyle name="쉼표 [0] 4 2 2 2 28 5 2" xfId="38293"/>
    <cellStyle name="쉼표 [0] 4 2 2 2 28 6" xfId="25621"/>
    <cellStyle name="쉼표 [0] 4 2 2 2 28 7" xfId="51062"/>
    <cellStyle name="쉼표 [0] 4 2 2 2 29" xfId="269"/>
    <cellStyle name="쉼표 [0] 4 2 2 2 29 2" xfId="270"/>
    <cellStyle name="쉼표 [0] 4 2 2 2 29 2 2" xfId="3367"/>
    <cellStyle name="쉼표 [0] 4 2 2 2 29 2 2 2" xfId="9703"/>
    <cellStyle name="쉼표 [0] 4 2 2 2 29 2 2 2 2" xfId="22376"/>
    <cellStyle name="쉼표 [0] 4 2 2 2 29 2 2 2 2 2" xfId="47728"/>
    <cellStyle name="쉼표 [0] 4 2 2 2 29 2 2 2 3" xfId="35056"/>
    <cellStyle name="쉼표 [0] 4 2 2 2 29 2 2 3" xfId="16040"/>
    <cellStyle name="쉼표 [0] 4 2 2 2 29 2 2 3 2" xfId="41392"/>
    <cellStyle name="쉼표 [0] 4 2 2 2 29 2 2 4" xfId="28720"/>
    <cellStyle name="쉼표 [0] 4 2 2 2 29 2 2 5" xfId="51063"/>
    <cellStyle name="쉼표 [0] 4 2 2 2 29 2 3" xfId="6607"/>
    <cellStyle name="쉼표 [0] 4 2 2 2 29 2 3 2" xfId="19280"/>
    <cellStyle name="쉼표 [0] 4 2 2 2 29 2 3 2 2" xfId="44632"/>
    <cellStyle name="쉼표 [0] 4 2 2 2 29 2 3 3" xfId="31960"/>
    <cellStyle name="쉼표 [0] 4 2 2 2 29 2 4" xfId="12944"/>
    <cellStyle name="쉼표 [0] 4 2 2 2 29 2 4 2" xfId="38296"/>
    <cellStyle name="쉼표 [0] 4 2 2 2 29 2 5" xfId="25624"/>
    <cellStyle name="쉼표 [0] 4 2 2 2 29 2 6" xfId="51064"/>
    <cellStyle name="쉼표 [0] 4 2 2 2 29 3" xfId="3368"/>
    <cellStyle name="쉼표 [0] 4 2 2 2 29 3 2" xfId="9704"/>
    <cellStyle name="쉼표 [0] 4 2 2 2 29 3 2 2" xfId="22377"/>
    <cellStyle name="쉼표 [0] 4 2 2 2 29 3 2 2 2" xfId="47729"/>
    <cellStyle name="쉼표 [0] 4 2 2 2 29 3 2 3" xfId="35057"/>
    <cellStyle name="쉼표 [0] 4 2 2 2 29 3 3" xfId="16041"/>
    <cellStyle name="쉼표 [0] 4 2 2 2 29 3 3 2" xfId="41393"/>
    <cellStyle name="쉼표 [0] 4 2 2 2 29 3 4" xfId="28721"/>
    <cellStyle name="쉼표 [0] 4 2 2 2 29 3 5" xfId="51065"/>
    <cellStyle name="쉼표 [0] 4 2 2 2 29 4" xfId="6606"/>
    <cellStyle name="쉼표 [0] 4 2 2 2 29 4 2" xfId="19279"/>
    <cellStyle name="쉼표 [0] 4 2 2 2 29 4 2 2" xfId="44631"/>
    <cellStyle name="쉼표 [0] 4 2 2 2 29 4 3" xfId="31959"/>
    <cellStyle name="쉼표 [0] 4 2 2 2 29 5" xfId="12943"/>
    <cellStyle name="쉼표 [0] 4 2 2 2 29 5 2" xfId="38295"/>
    <cellStyle name="쉼표 [0] 4 2 2 2 29 6" xfId="25623"/>
    <cellStyle name="쉼표 [0] 4 2 2 2 29 7" xfId="51066"/>
    <cellStyle name="쉼표 [0] 4 2 2 2 3" xfId="58"/>
    <cellStyle name="쉼표 [0] 4 2 2 2 3 2" xfId="271"/>
    <cellStyle name="쉼표 [0] 4 2 2 2 3 2 2" xfId="3369"/>
    <cellStyle name="쉼표 [0] 4 2 2 2 3 2 2 2" xfId="9705"/>
    <cellStyle name="쉼표 [0] 4 2 2 2 3 2 2 2 2" xfId="22378"/>
    <cellStyle name="쉼표 [0] 4 2 2 2 3 2 2 2 2 2" xfId="47730"/>
    <cellStyle name="쉼표 [0] 4 2 2 2 3 2 2 2 3" xfId="35058"/>
    <cellStyle name="쉼표 [0] 4 2 2 2 3 2 2 3" xfId="16042"/>
    <cellStyle name="쉼표 [0] 4 2 2 2 3 2 2 3 2" xfId="41394"/>
    <cellStyle name="쉼표 [0] 4 2 2 2 3 2 2 4" xfId="28722"/>
    <cellStyle name="쉼표 [0] 4 2 2 2 3 2 2 5" xfId="51067"/>
    <cellStyle name="쉼표 [0] 4 2 2 2 3 2 3" xfId="6608"/>
    <cellStyle name="쉼표 [0] 4 2 2 2 3 2 3 2" xfId="19281"/>
    <cellStyle name="쉼표 [0] 4 2 2 2 3 2 3 2 2" xfId="44633"/>
    <cellStyle name="쉼표 [0] 4 2 2 2 3 2 3 3" xfId="31961"/>
    <cellStyle name="쉼표 [0] 4 2 2 2 3 2 4" xfId="12945"/>
    <cellStyle name="쉼표 [0] 4 2 2 2 3 2 4 2" xfId="38297"/>
    <cellStyle name="쉼표 [0] 4 2 2 2 3 2 5" xfId="25625"/>
    <cellStyle name="쉼표 [0] 4 2 2 2 3 2 6" xfId="51068"/>
    <cellStyle name="쉼표 [0] 4 2 2 2 3 3" xfId="3370"/>
    <cellStyle name="쉼표 [0] 4 2 2 2 3 3 2" xfId="9706"/>
    <cellStyle name="쉼표 [0] 4 2 2 2 3 3 2 2" xfId="22379"/>
    <cellStyle name="쉼표 [0] 4 2 2 2 3 3 2 2 2" xfId="47731"/>
    <cellStyle name="쉼표 [0] 4 2 2 2 3 3 2 3" xfId="35059"/>
    <cellStyle name="쉼표 [0] 4 2 2 2 3 3 3" xfId="16043"/>
    <cellStyle name="쉼표 [0] 4 2 2 2 3 3 3 2" xfId="41395"/>
    <cellStyle name="쉼표 [0] 4 2 2 2 3 3 4" xfId="28723"/>
    <cellStyle name="쉼표 [0] 4 2 2 2 3 3 5" xfId="51069"/>
    <cellStyle name="쉼표 [0] 4 2 2 2 3 4" xfId="6396"/>
    <cellStyle name="쉼표 [0] 4 2 2 2 3 4 2" xfId="19069"/>
    <cellStyle name="쉼표 [0] 4 2 2 2 3 4 2 2" xfId="44421"/>
    <cellStyle name="쉼표 [0] 4 2 2 2 3 4 3" xfId="31749"/>
    <cellStyle name="쉼표 [0] 4 2 2 2 3 5" xfId="12733"/>
    <cellStyle name="쉼표 [0] 4 2 2 2 3 5 2" xfId="38085"/>
    <cellStyle name="쉼표 [0] 4 2 2 2 3 6" xfId="25413"/>
    <cellStyle name="쉼표 [0] 4 2 2 2 3 7" xfId="51070"/>
    <cellStyle name="쉼표 [0] 4 2 2 2 30" xfId="272"/>
    <cellStyle name="쉼표 [0] 4 2 2 2 30 2" xfId="273"/>
    <cellStyle name="쉼표 [0] 4 2 2 2 30 2 2" xfId="3371"/>
    <cellStyle name="쉼표 [0] 4 2 2 2 30 2 2 2" xfId="9707"/>
    <cellStyle name="쉼표 [0] 4 2 2 2 30 2 2 2 2" xfId="22380"/>
    <cellStyle name="쉼표 [0] 4 2 2 2 30 2 2 2 2 2" xfId="47732"/>
    <cellStyle name="쉼표 [0] 4 2 2 2 30 2 2 2 3" xfId="35060"/>
    <cellStyle name="쉼표 [0] 4 2 2 2 30 2 2 3" xfId="16044"/>
    <cellStyle name="쉼표 [0] 4 2 2 2 30 2 2 3 2" xfId="41396"/>
    <cellStyle name="쉼표 [0] 4 2 2 2 30 2 2 4" xfId="28724"/>
    <cellStyle name="쉼표 [0] 4 2 2 2 30 2 2 5" xfId="51071"/>
    <cellStyle name="쉼표 [0] 4 2 2 2 30 2 3" xfId="6610"/>
    <cellStyle name="쉼표 [0] 4 2 2 2 30 2 3 2" xfId="19283"/>
    <cellStyle name="쉼표 [0] 4 2 2 2 30 2 3 2 2" xfId="44635"/>
    <cellStyle name="쉼표 [0] 4 2 2 2 30 2 3 3" xfId="31963"/>
    <cellStyle name="쉼표 [0] 4 2 2 2 30 2 4" xfId="12947"/>
    <cellStyle name="쉼표 [0] 4 2 2 2 30 2 4 2" xfId="38299"/>
    <cellStyle name="쉼표 [0] 4 2 2 2 30 2 5" xfId="25627"/>
    <cellStyle name="쉼표 [0] 4 2 2 2 30 2 6" xfId="51072"/>
    <cellStyle name="쉼표 [0] 4 2 2 2 30 3" xfId="3372"/>
    <cellStyle name="쉼표 [0] 4 2 2 2 30 3 2" xfId="9708"/>
    <cellStyle name="쉼표 [0] 4 2 2 2 30 3 2 2" xfId="22381"/>
    <cellStyle name="쉼표 [0] 4 2 2 2 30 3 2 2 2" xfId="47733"/>
    <cellStyle name="쉼표 [0] 4 2 2 2 30 3 2 3" xfId="35061"/>
    <cellStyle name="쉼표 [0] 4 2 2 2 30 3 3" xfId="16045"/>
    <cellStyle name="쉼표 [0] 4 2 2 2 30 3 3 2" xfId="41397"/>
    <cellStyle name="쉼표 [0] 4 2 2 2 30 3 4" xfId="28725"/>
    <cellStyle name="쉼표 [0] 4 2 2 2 30 3 5" xfId="51073"/>
    <cellStyle name="쉼표 [0] 4 2 2 2 30 4" xfId="6609"/>
    <cellStyle name="쉼표 [0] 4 2 2 2 30 4 2" xfId="19282"/>
    <cellStyle name="쉼표 [0] 4 2 2 2 30 4 2 2" xfId="44634"/>
    <cellStyle name="쉼표 [0] 4 2 2 2 30 4 3" xfId="31962"/>
    <cellStyle name="쉼표 [0] 4 2 2 2 30 5" xfId="12946"/>
    <cellStyle name="쉼표 [0] 4 2 2 2 30 5 2" xfId="38298"/>
    <cellStyle name="쉼표 [0] 4 2 2 2 30 6" xfId="25626"/>
    <cellStyle name="쉼표 [0] 4 2 2 2 30 7" xfId="51074"/>
    <cellStyle name="쉼표 [0] 4 2 2 2 31" xfId="274"/>
    <cellStyle name="쉼표 [0] 4 2 2 2 31 2" xfId="275"/>
    <cellStyle name="쉼표 [0] 4 2 2 2 31 2 2" xfId="3373"/>
    <cellStyle name="쉼표 [0] 4 2 2 2 31 2 2 2" xfId="9709"/>
    <cellStyle name="쉼표 [0] 4 2 2 2 31 2 2 2 2" xfId="22382"/>
    <cellStyle name="쉼표 [0] 4 2 2 2 31 2 2 2 2 2" xfId="47734"/>
    <cellStyle name="쉼표 [0] 4 2 2 2 31 2 2 2 3" xfId="35062"/>
    <cellStyle name="쉼표 [0] 4 2 2 2 31 2 2 3" xfId="16046"/>
    <cellStyle name="쉼표 [0] 4 2 2 2 31 2 2 3 2" xfId="41398"/>
    <cellStyle name="쉼표 [0] 4 2 2 2 31 2 2 4" xfId="28726"/>
    <cellStyle name="쉼표 [0] 4 2 2 2 31 2 2 5" xfId="51075"/>
    <cellStyle name="쉼표 [0] 4 2 2 2 31 2 3" xfId="6612"/>
    <cellStyle name="쉼표 [0] 4 2 2 2 31 2 3 2" xfId="19285"/>
    <cellStyle name="쉼표 [0] 4 2 2 2 31 2 3 2 2" xfId="44637"/>
    <cellStyle name="쉼표 [0] 4 2 2 2 31 2 3 3" xfId="31965"/>
    <cellStyle name="쉼표 [0] 4 2 2 2 31 2 4" xfId="12949"/>
    <cellStyle name="쉼표 [0] 4 2 2 2 31 2 4 2" xfId="38301"/>
    <cellStyle name="쉼표 [0] 4 2 2 2 31 2 5" xfId="25629"/>
    <cellStyle name="쉼표 [0] 4 2 2 2 31 2 6" xfId="51076"/>
    <cellStyle name="쉼표 [0] 4 2 2 2 31 3" xfId="3374"/>
    <cellStyle name="쉼표 [0] 4 2 2 2 31 3 2" xfId="9710"/>
    <cellStyle name="쉼표 [0] 4 2 2 2 31 3 2 2" xfId="22383"/>
    <cellStyle name="쉼표 [0] 4 2 2 2 31 3 2 2 2" xfId="47735"/>
    <cellStyle name="쉼표 [0] 4 2 2 2 31 3 2 3" xfId="35063"/>
    <cellStyle name="쉼표 [0] 4 2 2 2 31 3 3" xfId="16047"/>
    <cellStyle name="쉼표 [0] 4 2 2 2 31 3 3 2" xfId="41399"/>
    <cellStyle name="쉼표 [0] 4 2 2 2 31 3 4" xfId="28727"/>
    <cellStyle name="쉼표 [0] 4 2 2 2 31 3 5" xfId="51077"/>
    <cellStyle name="쉼표 [0] 4 2 2 2 31 4" xfId="6611"/>
    <cellStyle name="쉼표 [0] 4 2 2 2 31 4 2" xfId="19284"/>
    <cellStyle name="쉼표 [0] 4 2 2 2 31 4 2 2" xfId="44636"/>
    <cellStyle name="쉼표 [0] 4 2 2 2 31 4 3" xfId="31964"/>
    <cellStyle name="쉼표 [0] 4 2 2 2 31 5" xfId="12948"/>
    <cellStyle name="쉼표 [0] 4 2 2 2 31 5 2" xfId="38300"/>
    <cellStyle name="쉼표 [0] 4 2 2 2 31 6" xfId="25628"/>
    <cellStyle name="쉼표 [0] 4 2 2 2 31 7" xfId="51078"/>
    <cellStyle name="쉼표 [0] 4 2 2 2 32" xfId="276"/>
    <cellStyle name="쉼표 [0] 4 2 2 2 32 2" xfId="277"/>
    <cellStyle name="쉼표 [0] 4 2 2 2 32 2 2" xfId="3375"/>
    <cellStyle name="쉼표 [0] 4 2 2 2 32 2 2 2" xfId="9711"/>
    <cellStyle name="쉼표 [0] 4 2 2 2 32 2 2 2 2" xfId="22384"/>
    <cellStyle name="쉼표 [0] 4 2 2 2 32 2 2 2 2 2" xfId="47736"/>
    <cellStyle name="쉼표 [0] 4 2 2 2 32 2 2 2 3" xfId="35064"/>
    <cellStyle name="쉼표 [0] 4 2 2 2 32 2 2 3" xfId="16048"/>
    <cellStyle name="쉼표 [0] 4 2 2 2 32 2 2 3 2" xfId="41400"/>
    <cellStyle name="쉼표 [0] 4 2 2 2 32 2 2 4" xfId="28728"/>
    <cellStyle name="쉼표 [0] 4 2 2 2 32 2 2 5" xfId="51079"/>
    <cellStyle name="쉼표 [0] 4 2 2 2 32 2 3" xfId="6614"/>
    <cellStyle name="쉼표 [0] 4 2 2 2 32 2 3 2" xfId="19287"/>
    <cellStyle name="쉼표 [0] 4 2 2 2 32 2 3 2 2" xfId="44639"/>
    <cellStyle name="쉼표 [0] 4 2 2 2 32 2 3 3" xfId="31967"/>
    <cellStyle name="쉼표 [0] 4 2 2 2 32 2 4" xfId="12951"/>
    <cellStyle name="쉼표 [0] 4 2 2 2 32 2 4 2" xfId="38303"/>
    <cellStyle name="쉼표 [0] 4 2 2 2 32 2 5" xfId="25631"/>
    <cellStyle name="쉼표 [0] 4 2 2 2 32 2 6" xfId="51080"/>
    <cellStyle name="쉼표 [0] 4 2 2 2 32 3" xfId="3376"/>
    <cellStyle name="쉼표 [0] 4 2 2 2 32 3 2" xfId="9712"/>
    <cellStyle name="쉼표 [0] 4 2 2 2 32 3 2 2" xfId="22385"/>
    <cellStyle name="쉼표 [0] 4 2 2 2 32 3 2 2 2" xfId="47737"/>
    <cellStyle name="쉼표 [0] 4 2 2 2 32 3 2 3" xfId="35065"/>
    <cellStyle name="쉼표 [0] 4 2 2 2 32 3 3" xfId="16049"/>
    <cellStyle name="쉼표 [0] 4 2 2 2 32 3 3 2" xfId="41401"/>
    <cellStyle name="쉼표 [0] 4 2 2 2 32 3 4" xfId="28729"/>
    <cellStyle name="쉼표 [0] 4 2 2 2 32 3 5" xfId="51081"/>
    <cellStyle name="쉼표 [0] 4 2 2 2 32 4" xfId="6613"/>
    <cellStyle name="쉼표 [0] 4 2 2 2 32 4 2" xfId="19286"/>
    <cellStyle name="쉼표 [0] 4 2 2 2 32 4 2 2" xfId="44638"/>
    <cellStyle name="쉼표 [0] 4 2 2 2 32 4 3" xfId="31966"/>
    <cellStyle name="쉼표 [0] 4 2 2 2 32 5" xfId="12950"/>
    <cellStyle name="쉼표 [0] 4 2 2 2 32 5 2" xfId="38302"/>
    <cellStyle name="쉼표 [0] 4 2 2 2 32 6" xfId="25630"/>
    <cellStyle name="쉼표 [0] 4 2 2 2 32 7" xfId="51082"/>
    <cellStyle name="쉼표 [0] 4 2 2 2 33" xfId="278"/>
    <cellStyle name="쉼표 [0] 4 2 2 2 33 2" xfId="279"/>
    <cellStyle name="쉼표 [0] 4 2 2 2 33 2 2" xfId="3377"/>
    <cellStyle name="쉼표 [0] 4 2 2 2 33 2 2 2" xfId="9713"/>
    <cellStyle name="쉼표 [0] 4 2 2 2 33 2 2 2 2" xfId="22386"/>
    <cellStyle name="쉼표 [0] 4 2 2 2 33 2 2 2 2 2" xfId="47738"/>
    <cellStyle name="쉼표 [0] 4 2 2 2 33 2 2 2 3" xfId="35066"/>
    <cellStyle name="쉼표 [0] 4 2 2 2 33 2 2 3" xfId="16050"/>
    <cellStyle name="쉼표 [0] 4 2 2 2 33 2 2 3 2" xfId="41402"/>
    <cellStyle name="쉼표 [0] 4 2 2 2 33 2 2 4" xfId="28730"/>
    <cellStyle name="쉼표 [0] 4 2 2 2 33 2 2 5" xfId="51083"/>
    <cellStyle name="쉼표 [0] 4 2 2 2 33 2 3" xfId="6616"/>
    <cellStyle name="쉼표 [0] 4 2 2 2 33 2 3 2" xfId="19289"/>
    <cellStyle name="쉼표 [0] 4 2 2 2 33 2 3 2 2" xfId="44641"/>
    <cellStyle name="쉼표 [0] 4 2 2 2 33 2 3 3" xfId="31969"/>
    <cellStyle name="쉼표 [0] 4 2 2 2 33 2 4" xfId="12953"/>
    <cellStyle name="쉼표 [0] 4 2 2 2 33 2 4 2" xfId="38305"/>
    <cellStyle name="쉼표 [0] 4 2 2 2 33 2 5" xfId="25633"/>
    <cellStyle name="쉼표 [0] 4 2 2 2 33 2 6" xfId="51084"/>
    <cellStyle name="쉼표 [0] 4 2 2 2 33 3" xfId="3378"/>
    <cellStyle name="쉼표 [0] 4 2 2 2 33 3 2" xfId="9714"/>
    <cellStyle name="쉼표 [0] 4 2 2 2 33 3 2 2" xfId="22387"/>
    <cellStyle name="쉼표 [0] 4 2 2 2 33 3 2 2 2" xfId="47739"/>
    <cellStyle name="쉼표 [0] 4 2 2 2 33 3 2 3" xfId="35067"/>
    <cellStyle name="쉼표 [0] 4 2 2 2 33 3 3" xfId="16051"/>
    <cellStyle name="쉼표 [0] 4 2 2 2 33 3 3 2" xfId="41403"/>
    <cellStyle name="쉼표 [0] 4 2 2 2 33 3 4" xfId="28731"/>
    <cellStyle name="쉼표 [0] 4 2 2 2 33 3 5" xfId="51085"/>
    <cellStyle name="쉼표 [0] 4 2 2 2 33 4" xfId="6615"/>
    <cellStyle name="쉼표 [0] 4 2 2 2 33 4 2" xfId="19288"/>
    <cellStyle name="쉼표 [0] 4 2 2 2 33 4 2 2" xfId="44640"/>
    <cellStyle name="쉼표 [0] 4 2 2 2 33 4 3" xfId="31968"/>
    <cellStyle name="쉼표 [0] 4 2 2 2 33 5" xfId="12952"/>
    <cellStyle name="쉼표 [0] 4 2 2 2 33 5 2" xfId="38304"/>
    <cellStyle name="쉼표 [0] 4 2 2 2 33 6" xfId="25632"/>
    <cellStyle name="쉼표 [0] 4 2 2 2 33 7" xfId="51086"/>
    <cellStyle name="쉼표 [0] 4 2 2 2 34" xfId="280"/>
    <cellStyle name="쉼표 [0] 4 2 2 2 34 2" xfId="281"/>
    <cellStyle name="쉼표 [0] 4 2 2 2 34 2 2" xfId="3379"/>
    <cellStyle name="쉼표 [0] 4 2 2 2 34 2 2 2" xfId="9715"/>
    <cellStyle name="쉼표 [0] 4 2 2 2 34 2 2 2 2" xfId="22388"/>
    <cellStyle name="쉼표 [0] 4 2 2 2 34 2 2 2 2 2" xfId="47740"/>
    <cellStyle name="쉼표 [0] 4 2 2 2 34 2 2 2 3" xfId="35068"/>
    <cellStyle name="쉼표 [0] 4 2 2 2 34 2 2 3" xfId="16052"/>
    <cellStyle name="쉼표 [0] 4 2 2 2 34 2 2 3 2" xfId="41404"/>
    <cellStyle name="쉼표 [0] 4 2 2 2 34 2 2 4" xfId="28732"/>
    <cellStyle name="쉼표 [0] 4 2 2 2 34 2 2 5" xfId="51087"/>
    <cellStyle name="쉼표 [0] 4 2 2 2 34 2 3" xfId="6618"/>
    <cellStyle name="쉼표 [0] 4 2 2 2 34 2 3 2" xfId="19291"/>
    <cellStyle name="쉼표 [0] 4 2 2 2 34 2 3 2 2" xfId="44643"/>
    <cellStyle name="쉼표 [0] 4 2 2 2 34 2 3 3" xfId="31971"/>
    <cellStyle name="쉼표 [0] 4 2 2 2 34 2 4" xfId="12955"/>
    <cellStyle name="쉼표 [0] 4 2 2 2 34 2 4 2" xfId="38307"/>
    <cellStyle name="쉼표 [0] 4 2 2 2 34 2 5" xfId="25635"/>
    <cellStyle name="쉼표 [0] 4 2 2 2 34 2 6" xfId="51088"/>
    <cellStyle name="쉼표 [0] 4 2 2 2 34 3" xfId="3380"/>
    <cellStyle name="쉼표 [0] 4 2 2 2 34 3 2" xfId="9716"/>
    <cellStyle name="쉼표 [0] 4 2 2 2 34 3 2 2" xfId="22389"/>
    <cellStyle name="쉼표 [0] 4 2 2 2 34 3 2 2 2" xfId="47741"/>
    <cellStyle name="쉼표 [0] 4 2 2 2 34 3 2 3" xfId="35069"/>
    <cellStyle name="쉼표 [0] 4 2 2 2 34 3 3" xfId="16053"/>
    <cellStyle name="쉼표 [0] 4 2 2 2 34 3 3 2" xfId="41405"/>
    <cellStyle name="쉼표 [0] 4 2 2 2 34 3 4" xfId="28733"/>
    <cellStyle name="쉼표 [0] 4 2 2 2 34 3 5" xfId="51089"/>
    <cellStyle name="쉼표 [0] 4 2 2 2 34 4" xfId="6617"/>
    <cellStyle name="쉼표 [0] 4 2 2 2 34 4 2" xfId="19290"/>
    <cellStyle name="쉼표 [0] 4 2 2 2 34 4 2 2" xfId="44642"/>
    <cellStyle name="쉼표 [0] 4 2 2 2 34 4 3" xfId="31970"/>
    <cellStyle name="쉼표 [0] 4 2 2 2 34 5" xfId="12954"/>
    <cellStyle name="쉼표 [0] 4 2 2 2 34 5 2" xfId="38306"/>
    <cellStyle name="쉼표 [0] 4 2 2 2 34 6" xfId="25634"/>
    <cellStyle name="쉼표 [0] 4 2 2 2 34 7" xfId="51090"/>
    <cellStyle name="쉼표 [0] 4 2 2 2 35" xfId="282"/>
    <cellStyle name="쉼표 [0] 4 2 2 2 35 2" xfId="3381"/>
    <cellStyle name="쉼표 [0] 4 2 2 2 35 2 2" xfId="9717"/>
    <cellStyle name="쉼표 [0] 4 2 2 2 35 2 2 2" xfId="22390"/>
    <cellStyle name="쉼표 [0] 4 2 2 2 35 2 2 2 2" xfId="47742"/>
    <cellStyle name="쉼표 [0] 4 2 2 2 35 2 2 3" xfId="35070"/>
    <cellStyle name="쉼표 [0] 4 2 2 2 35 2 3" xfId="16054"/>
    <cellStyle name="쉼표 [0] 4 2 2 2 35 2 3 2" xfId="41406"/>
    <cellStyle name="쉼표 [0] 4 2 2 2 35 2 4" xfId="28734"/>
    <cellStyle name="쉼표 [0] 4 2 2 2 35 2 5" xfId="51091"/>
    <cellStyle name="쉼표 [0] 4 2 2 2 35 3" xfId="6619"/>
    <cellStyle name="쉼표 [0] 4 2 2 2 35 3 2" xfId="19292"/>
    <cellStyle name="쉼표 [0] 4 2 2 2 35 3 2 2" xfId="44644"/>
    <cellStyle name="쉼표 [0] 4 2 2 2 35 3 3" xfId="31972"/>
    <cellStyle name="쉼표 [0] 4 2 2 2 35 4" xfId="12956"/>
    <cellStyle name="쉼표 [0] 4 2 2 2 35 4 2" xfId="38308"/>
    <cellStyle name="쉼표 [0] 4 2 2 2 35 5" xfId="25636"/>
    <cellStyle name="쉼표 [0] 4 2 2 2 35 6" xfId="51092"/>
    <cellStyle name="쉼표 [0] 4 2 2 2 36" xfId="3382"/>
    <cellStyle name="쉼표 [0] 4 2 2 2 36 2" xfId="9718"/>
    <cellStyle name="쉼표 [0] 4 2 2 2 36 2 2" xfId="22391"/>
    <cellStyle name="쉼표 [0] 4 2 2 2 36 2 2 2" xfId="47743"/>
    <cellStyle name="쉼표 [0] 4 2 2 2 36 2 3" xfId="35071"/>
    <cellStyle name="쉼표 [0] 4 2 2 2 36 3" xfId="16055"/>
    <cellStyle name="쉼표 [0] 4 2 2 2 36 3 2" xfId="41407"/>
    <cellStyle name="쉼표 [0] 4 2 2 2 36 4" xfId="28735"/>
    <cellStyle name="쉼표 [0] 4 2 2 2 36 5" xfId="51093"/>
    <cellStyle name="쉼표 [0] 4 2 2 2 37" xfId="6392"/>
    <cellStyle name="쉼표 [0] 4 2 2 2 37 2" xfId="19065"/>
    <cellStyle name="쉼표 [0] 4 2 2 2 37 2 2" xfId="44417"/>
    <cellStyle name="쉼표 [0] 4 2 2 2 37 3" xfId="31745"/>
    <cellStyle name="쉼표 [0] 4 2 2 2 38" xfId="12729"/>
    <cellStyle name="쉼표 [0] 4 2 2 2 38 2" xfId="38081"/>
    <cellStyle name="쉼표 [0] 4 2 2 2 39" xfId="25409"/>
    <cellStyle name="쉼표 [0] 4 2 2 2 4" xfId="283"/>
    <cellStyle name="쉼표 [0] 4 2 2 2 4 2" xfId="284"/>
    <cellStyle name="쉼표 [0] 4 2 2 2 4 2 2" xfId="3383"/>
    <cellStyle name="쉼표 [0] 4 2 2 2 4 2 2 2" xfId="9719"/>
    <cellStyle name="쉼표 [0] 4 2 2 2 4 2 2 2 2" xfId="22392"/>
    <cellStyle name="쉼표 [0] 4 2 2 2 4 2 2 2 2 2" xfId="47744"/>
    <cellStyle name="쉼표 [0] 4 2 2 2 4 2 2 2 3" xfId="35072"/>
    <cellStyle name="쉼표 [0] 4 2 2 2 4 2 2 3" xfId="16056"/>
    <cellStyle name="쉼표 [0] 4 2 2 2 4 2 2 3 2" xfId="41408"/>
    <cellStyle name="쉼표 [0] 4 2 2 2 4 2 2 4" xfId="28736"/>
    <cellStyle name="쉼표 [0] 4 2 2 2 4 2 2 5" xfId="51094"/>
    <cellStyle name="쉼표 [0] 4 2 2 2 4 2 3" xfId="6621"/>
    <cellStyle name="쉼표 [0] 4 2 2 2 4 2 3 2" xfId="19294"/>
    <cellStyle name="쉼표 [0] 4 2 2 2 4 2 3 2 2" xfId="44646"/>
    <cellStyle name="쉼표 [0] 4 2 2 2 4 2 3 3" xfId="31974"/>
    <cellStyle name="쉼표 [0] 4 2 2 2 4 2 4" xfId="12958"/>
    <cellStyle name="쉼표 [0] 4 2 2 2 4 2 4 2" xfId="38310"/>
    <cellStyle name="쉼표 [0] 4 2 2 2 4 2 5" xfId="25638"/>
    <cellStyle name="쉼표 [0] 4 2 2 2 4 2 6" xfId="51095"/>
    <cellStyle name="쉼표 [0] 4 2 2 2 4 3" xfId="3384"/>
    <cellStyle name="쉼표 [0] 4 2 2 2 4 3 2" xfId="9720"/>
    <cellStyle name="쉼표 [0] 4 2 2 2 4 3 2 2" xfId="22393"/>
    <cellStyle name="쉼표 [0] 4 2 2 2 4 3 2 2 2" xfId="47745"/>
    <cellStyle name="쉼표 [0] 4 2 2 2 4 3 2 3" xfId="35073"/>
    <cellStyle name="쉼표 [0] 4 2 2 2 4 3 3" xfId="16057"/>
    <cellStyle name="쉼표 [0] 4 2 2 2 4 3 3 2" xfId="41409"/>
    <cellStyle name="쉼표 [0] 4 2 2 2 4 3 4" xfId="28737"/>
    <cellStyle name="쉼표 [0] 4 2 2 2 4 3 5" xfId="51096"/>
    <cellStyle name="쉼표 [0] 4 2 2 2 4 4" xfId="6620"/>
    <cellStyle name="쉼표 [0] 4 2 2 2 4 4 2" xfId="19293"/>
    <cellStyle name="쉼표 [0] 4 2 2 2 4 4 2 2" xfId="44645"/>
    <cellStyle name="쉼표 [0] 4 2 2 2 4 4 3" xfId="31973"/>
    <cellStyle name="쉼표 [0] 4 2 2 2 4 5" xfId="12957"/>
    <cellStyle name="쉼표 [0] 4 2 2 2 4 5 2" xfId="38309"/>
    <cellStyle name="쉼표 [0] 4 2 2 2 4 6" xfId="25637"/>
    <cellStyle name="쉼표 [0] 4 2 2 2 4 7" xfId="51097"/>
    <cellStyle name="쉼표 [0] 4 2 2 2 40" xfId="51098"/>
    <cellStyle name="쉼표 [0] 4 2 2 2 5" xfId="285"/>
    <cellStyle name="쉼표 [0] 4 2 2 2 5 2" xfId="286"/>
    <cellStyle name="쉼표 [0] 4 2 2 2 5 2 2" xfId="3385"/>
    <cellStyle name="쉼표 [0] 4 2 2 2 5 2 2 2" xfId="9721"/>
    <cellStyle name="쉼표 [0] 4 2 2 2 5 2 2 2 2" xfId="22394"/>
    <cellStyle name="쉼표 [0] 4 2 2 2 5 2 2 2 2 2" xfId="47746"/>
    <cellStyle name="쉼표 [0] 4 2 2 2 5 2 2 2 3" xfId="35074"/>
    <cellStyle name="쉼표 [0] 4 2 2 2 5 2 2 3" xfId="16058"/>
    <cellStyle name="쉼표 [0] 4 2 2 2 5 2 2 3 2" xfId="41410"/>
    <cellStyle name="쉼표 [0] 4 2 2 2 5 2 2 4" xfId="28738"/>
    <cellStyle name="쉼표 [0] 4 2 2 2 5 2 2 5" xfId="51099"/>
    <cellStyle name="쉼표 [0] 4 2 2 2 5 2 3" xfId="6623"/>
    <cellStyle name="쉼표 [0] 4 2 2 2 5 2 3 2" xfId="19296"/>
    <cellStyle name="쉼표 [0] 4 2 2 2 5 2 3 2 2" xfId="44648"/>
    <cellStyle name="쉼표 [0] 4 2 2 2 5 2 3 3" xfId="31976"/>
    <cellStyle name="쉼표 [0] 4 2 2 2 5 2 4" xfId="12960"/>
    <cellStyle name="쉼표 [0] 4 2 2 2 5 2 4 2" xfId="38312"/>
    <cellStyle name="쉼표 [0] 4 2 2 2 5 2 5" xfId="25640"/>
    <cellStyle name="쉼표 [0] 4 2 2 2 5 2 6" xfId="51100"/>
    <cellStyle name="쉼표 [0] 4 2 2 2 5 3" xfId="3386"/>
    <cellStyle name="쉼표 [0] 4 2 2 2 5 3 2" xfId="9722"/>
    <cellStyle name="쉼표 [0] 4 2 2 2 5 3 2 2" xfId="22395"/>
    <cellStyle name="쉼표 [0] 4 2 2 2 5 3 2 2 2" xfId="47747"/>
    <cellStyle name="쉼표 [0] 4 2 2 2 5 3 2 3" xfId="35075"/>
    <cellStyle name="쉼표 [0] 4 2 2 2 5 3 3" xfId="16059"/>
    <cellStyle name="쉼표 [0] 4 2 2 2 5 3 3 2" xfId="41411"/>
    <cellStyle name="쉼표 [0] 4 2 2 2 5 3 4" xfId="28739"/>
    <cellStyle name="쉼표 [0] 4 2 2 2 5 3 5" xfId="51101"/>
    <cellStyle name="쉼표 [0] 4 2 2 2 5 4" xfId="6622"/>
    <cellStyle name="쉼표 [0] 4 2 2 2 5 4 2" xfId="19295"/>
    <cellStyle name="쉼표 [0] 4 2 2 2 5 4 2 2" xfId="44647"/>
    <cellStyle name="쉼표 [0] 4 2 2 2 5 4 3" xfId="31975"/>
    <cellStyle name="쉼표 [0] 4 2 2 2 5 5" xfId="12959"/>
    <cellStyle name="쉼표 [0] 4 2 2 2 5 5 2" xfId="38311"/>
    <cellStyle name="쉼표 [0] 4 2 2 2 5 6" xfId="25639"/>
    <cellStyle name="쉼표 [0] 4 2 2 2 5 7" xfId="51102"/>
    <cellStyle name="쉼표 [0] 4 2 2 2 6" xfId="287"/>
    <cellStyle name="쉼표 [0] 4 2 2 2 6 2" xfId="288"/>
    <cellStyle name="쉼표 [0] 4 2 2 2 6 2 2" xfId="3387"/>
    <cellStyle name="쉼표 [0] 4 2 2 2 6 2 2 2" xfId="9723"/>
    <cellStyle name="쉼표 [0] 4 2 2 2 6 2 2 2 2" xfId="22396"/>
    <cellStyle name="쉼표 [0] 4 2 2 2 6 2 2 2 2 2" xfId="47748"/>
    <cellStyle name="쉼표 [0] 4 2 2 2 6 2 2 2 3" xfId="35076"/>
    <cellStyle name="쉼표 [0] 4 2 2 2 6 2 2 3" xfId="16060"/>
    <cellStyle name="쉼표 [0] 4 2 2 2 6 2 2 3 2" xfId="41412"/>
    <cellStyle name="쉼표 [0] 4 2 2 2 6 2 2 4" xfId="28740"/>
    <cellStyle name="쉼표 [0] 4 2 2 2 6 2 2 5" xfId="51103"/>
    <cellStyle name="쉼표 [0] 4 2 2 2 6 2 3" xfId="6625"/>
    <cellStyle name="쉼표 [0] 4 2 2 2 6 2 3 2" xfId="19298"/>
    <cellStyle name="쉼표 [0] 4 2 2 2 6 2 3 2 2" xfId="44650"/>
    <cellStyle name="쉼표 [0] 4 2 2 2 6 2 3 3" xfId="31978"/>
    <cellStyle name="쉼표 [0] 4 2 2 2 6 2 4" xfId="12962"/>
    <cellStyle name="쉼표 [0] 4 2 2 2 6 2 4 2" xfId="38314"/>
    <cellStyle name="쉼표 [0] 4 2 2 2 6 2 5" xfId="25642"/>
    <cellStyle name="쉼표 [0] 4 2 2 2 6 2 6" xfId="51104"/>
    <cellStyle name="쉼표 [0] 4 2 2 2 6 3" xfId="3388"/>
    <cellStyle name="쉼표 [0] 4 2 2 2 6 3 2" xfId="9724"/>
    <cellStyle name="쉼표 [0] 4 2 2 2 6 3 2 2" xfId="22397"/>
    <cellStyle name="쉼표 [0] 4 2 2 2 6 3 2 2 2" xfId="47749"/>
    <cellStyle name="쉼표 [0] 4 2 2 2 6 3 2 3" xfId="35077"/>
    <cellStyle name="쉼표 [0] 4 2 2 2 6 3 3" xfId="16061"/>
    <cellStyle name="쉼표 [0] 4 2 2 2 6 3 3 2" xfId="41413"/>
    <cellStyle name="쉼표 [0] 4 2 2 2 6 3 4" xfId="28741"/>
    <cellStyle name="쉼표 [0] 4 2 2 2 6 3 5" xfId="51105"/>
    <cellStyle name="쉼표 [0] 4 2 2 2 6 4" xfId="6624"/>
    <cellStyle name="쉼표 [0] 4 2 2 2 6 4 2" xfId="19297"/>
    <cellStyle name="쉼표 [0] 4 2 2 2 6 4 2 2" xfId="44649"/>
    <cellStyle name="쉼표 [0] 4 2 2 2 6 4 3" xfId="31977"/>
    <cellStyle name="쉼표 [0] 4 2 2 2 6 5" xfId="12961"/>
    <cellStyle name="쉼표 [0] 4 2 2 2 6 5 2" xfId="38313"/>
    <cellStyle name="쉼표 [0] 4 2 2 2 6 6" xfId="25641"/>
    <cellStyle name="쉼표 [0] 4 2 2 2 6 7" xfId="51106"/>
    <cellStyle name="쉼표 [0] 4 2 2 2 7" xfId="289"/>
    <cellStyle name="쉼표 [0] 4 2 2 2 7 2" xfId="290"/>
    <cellStyle name="쉼표 [0] 4 2 2 2 7 2 2" xfId="3389"/>
    <cellStyle name="쉼표 [0] 4 2 2 2 7 2 2 2" xfId="9725"/>
    <cellStyle name="쉼표 [0] 4 2 2 2 7 2 2 2 2" xfId="22398"/>
    <cellStyle name="쉼표 [0] 4 2 2 2 7 2 2 2 2 2" xfId="47750"/>
    <cellStyle name="쉼표 [0] 4 2 2 2 7 2 2 2 3" xfId="35078"/>
    <cellStyle name="쉼표 [0] 4 2 2 2 7 2 2 3" xfId="16062"/>
    <cellStyle name="쉼표 [0] 4 2 2 2 7 2 2 3 2" xfId="41414"/>
    <cellStyle name="쉼표 [0] 4 2 2 2 7 2 2 4" xfId="28742"/>
    <cellStyle name="쉼표 [0] 4 2 2 2 7 2 2 5" xfId="51107"/>
    <cellStyle name="쉼표 [0] 4 2 2 2 7 2 3" xfId="6627"/>
    <cellStyle name="쉼표 [0] 4 2 2 2 7 2 3 2" xfId="19300"/>
    <cellStyle name="쉼표 [0] 4 2 2 2 7 2 3 2 2" xfId="44652"/>
    <cellStyle name="쉼표 [0] 4 2 2 2 7 2 3 3" xfId="31980"/>
    <cellStyle name="쉼표 [0] 4 2 2 2 7 2 4" xfId="12964"/>
    <cellStyle name="쉼표 [0] 4 2 2 2 7 2 4 2" xfId="38316"/>
    <cellStyle name="쉼표 [0] 4 2 2 2 7 2 5" xfId="25644"/>
    <cellStyle name="쉼표 [0] 4 2 2 2 7 2 6" xfId="51108"/>
    <cellStyle name="쉼표 [0] 4 2 2 2 7 3" xfId="3390"/>
    <cellStyle name="쉼표 [0] 4 2 2 2 7 3 2" xfId="9726"/>
    <cellStyle name="쉼표 [0] 4 2 2 2 7 3 2 2" xfId="22399"/>
    <cellStyle name="쉼표 [0] 4 2 2 2 7 3 2 2 2" xfId="47751"/>
    <cellStyle name="쉼표 [0] 4 2 2 2 7 3 2 3" xfId="35079"/>
    <cellStyle name="쉼표 [0] 4 2 2 2 7 3 3" xfId="16063"/>
    <cellStyle name="쉼표 [0] 4 2 2 2 7 3 3 2" xfId="41415"/>
    <cellStyle name="쉼표 [0] 4 2 2 2 7 3 4" xfId="28743"/>
    <cellStyle name="쉼표 [0] 4 2 2 2 7 3 5" xfId="51109"/>
    <cellStyle name="쉼표 [0] 4 2 2 2 7 4" xfId="6626"/>
    <cellStyle name="쉼표 [0] 4 2 2 2 7 4 2" xfId="19299"/>
    <cellStyle name="쉼표 [0] 4 2 2 2 7 4 2 2" xfId="44651"/>
    <cellStyle name="쉼표 [0] 4 2 2 2 7 4 3" xfId="31979"/>
    <cellStyle name="쉼표 [0] 4 2 2 2 7 5" xfId="12963"/>
    <cellStyle name="쉼표 [0] 4 2 2 2 7 5 2" xfId="38315"/>
    <cellStyle name="쉼표 [0] 4 2 2 2 7 6" xfId="25643"/>
    <cellStyle name="쉼표 [0] 4 2 2 2 7 7" xfId="51110"/>
    <cellStyle name="쉼표 [0] 4 2 2 2 8" xfId="291"/>
    <cellStyle name="쉼표 [0] 4 2 2 2 8 2" xfId="292"/>
    <cellStyle name="쉼표 [0] 4 2 2 2 8 2 2" xfId="3391"/>
    <cellStyle name="쉼표 [0] 4 2 2 2 8 2 2 2" xfId="9727"/>
    <cellStyle name="쉼표 [0] 4 2 2 2 8 2 2 2 2" xfId="22400"/>
    <cellStyle name="쉼표 [0] 4 2 2 2 8 2 2 2 2 2" xfId="47752"/>
    <cellStyle name="쉼표 [0] 4 2 2 2 8 2 2 2 3" xfId="35080"/>
    <cellStyle name="쉼표 [0] 4 2 2 2 8 2 2 3" xfId="16064"/>
    <cellStyle name="쉼표 [0] 4 2 2 2 8 2 2 3 2" xfId="41416"/>
    <cellStyle name="쉼표 [0] 4 2 2 2 8 2 2 4" xfId="28744"/>
    <cellStyle name="쉼표 [0] 4 2 2 2 8 2 2 5" xfId="51111"/>
    <cellStyle name="쉼표 [0] 4 2 2 2 8 2 3" xfId="6629"/>
    <cellStyle name="쉼표 [0] 4 2 2 2 8 2 3 2" xfId="19302"/>
    <cellStyle name="쉼표 [0] 4 2 2 2 8 2 3 2 2" xfId="44654"/>
    <cellStyle name="쉼표 [0] 4 2 2 2 8 2 3 3" xfId="31982"/>
    <cellStyle name="쉼표 [0] 4 2 2 2 8 2 4" xfId="12966"/>
    <cellStyle name="쉼표 [0] 4 2 2 2 8 2 4 2" xfId="38318"/>
    <cellStyle name="쉼표 [0] 4 2 2 2 8 2 5" xfId="25646"/>
    <cellStyle name="쉼표 [0] 4 2 2 2 8 2 6" xfId="51112"/>
    <cellStyle name="쉼표 [0] 4 2 2 2 8 3" xfId="3392"/>
    <cellStyle name="쉼표 [0] 4 2 2 2 8 3 2" xfId="9728"/>
    <cellStyle name="쉼표 [0] 4 2 2 2 8 3 2 2" xfId="22401"/>
    <cellStyle name="쉼표 [0] 4 2 2 2 8 3 2 2 2" xfId="47753"/>
    <cellStyle name="쉼표 [0] 4 2 2 2 8 3 2 3" xfId="35081"/>
    <cellStyle name="쉼표 [0] 4 2 2 2 8 3 3" xfId="16065"/>
    <cellStyle name="쉼표 [0] 4 2 2 2 8 3 3 2" xfId="41417"/>
    <cellStyle name="쉼표 [0] 4 2 2 2 8 3 4" xfId="28745"/>
    <cellStyle name="쉼표 [0] 4 2 2 2 8 3 5" xfId="51113"/>
    <cellStyle name="쉼표 [0] 4 2 2 2 8 4" xfId="6628"/>
    <cellStyle name="쉼표 [0] 4 2 2 2 8 4 2" xfId="19301"/>
    <cellStyle name="쉼표 [0] 4 2 2 2 8 4 2 2" xfId="44653"/>
    <cellStyle name="쉼표 [0] 4 2 2 2 8 4 3" xfId="31981"/>
    <cellStyle name="쉼표 [0] 4 2 2 2 8 5" xfId="12965"/>
    <cellStyle name="쉼표 [0] 4 2 2 2 8 5 2" xfId="38317"/>
    <cellStyle name="쉼표 [0] 4 2 2 2 8 6" xfId="25645"/>
    <cellStyle name="쉼표 [0] 4 2 2 2 8 7" xfId="51114"/>
    <cellStyle name="쉼표 [0] 4 2 2 2 9" xfId="293"/>
    <cellStyle name="쉼표 [0] 4 2 2 2 9 2" xfId="294"/>
    <cellStyle name="쉼표 [0] 4 2 2 2 9 2 2" xfId="3393"/>
    <cellStyle name="쉼표 [0] 4 2 2 2 9 2 2 2" xfId="9729"/>
    <cellStyle name="쉼표 [0] 4 2 2 2 9 2 2 2 2" xfId="22402"/>
    <cellStyle name="쉼표 [0] 4 2 2 2 9 2 2 2 2 2" xfId="47754"/>
    <cellStyle name="쉼표 [0] 4 2 2 2 9 2 2 2 3" xfId="35082"/>
    <cellStyle name="쉼표 [0] 4 2 2 2 9 2 2 3" xfId="16066"/>
    <cellStyle name="쉼표 [0] 4 2 2 2 9 2 2 3 2" xfId="41418"/>
    <cellStyle name="쉼표 [0] 4 2 2 2 9 2 2 4" xfId="28746"/>
    <cellStyle name="쉼표 [0] 4 2 2 2 9 2 2 5" xfId="51115"/>
    <cellStyle name="쉼표 [0] 4 2 2 2 9 2 3" xfId="6631"/>
    <cellStyle name="쉼표 [0] 4 2 2 2 9 2 3 2" xfId="19304"/>
    <cellStyle name="쉼표 [0] 4 2 2 2 9 2 3 2 2" xfId="44656"/>
    <cellStyle name="쉼표 [0] 4 2 2 2 9 2 3 3" xfId="31984"/>
    <cellStyle name="쉼표 [0] 4 2 2 2 9 2 4" xfId="12968"/>
    <cellStyle name="쉼표 [0] 4 2 2 2 9 2 4 2" xfId="38320"/>
    <cellStyle name="쉼표 [0] 4 2 2 2 9 2 5" xfId="25648"/>
    <cellStyle name="쉼표 [0] 4 2 2 2 9 2 6" xfId="51116"/>
    <cellStyle name="쉼표 [0] 4 2 2 2 9 3" xfId="3394"/>
    <cellStyle name="쉼표 [0] 4 2 2 2 9 3 2" xfId="9730"/>
    <cellStyle name="쉼표 [0] 4 2 2 2 9 3 2 2" xfId="22403"/>
    <cellStyle name="쉼표 [0] 4 2 2 2 9 3 2 2 2" xfId="47755"/>
    <cellStyle name="쉼표 [0] 4 2 2 2 9 3 2 3" xfId="35083"/>
    <cellStyle name="쉼표 [0] 4 2 2 2 9 3 3" xfId="16067"/>
    <cellStyle name="쉼표 [0] 4 2 2 2 9 3 3 2" xfId="41419"/>
    <cellStyle name="쉼표 [0] 4 2 2 2 9 3 4" xfId="28747"/>
    <cellStyle name="쉼표 [0] 4 2 2 2 9 3 5" xfId="51117"/>
    <cellStyle name="쉼표 [0] 4 2 2 2 9 4" xfId="6630"/>
    <cellStyle name="쉼표 [0] 4 2 2 2 9 4 2" xfId="19303"/>
    <cellStyle name="쉼표 [0] 4 2 2 2 9 4 2 2" xfId="44655"/>
    <cellStyle name="쉼표 [0] 4 2 2 2 9 4 3" xfId="31983"/>
    <cellStyle name="쉼표 [0] 4 2 2 2 9 5" xfId="12967"/>
    <cellStyle name="쉼표 [0] 4 2 2 2 9 5 2" xfId="38319"/>
    <cellStyle name="쉼표 [0] 4 2 2 2 9 6" xfId="25647"/>
    <cellStyle name="쉼표 [0] 4 2 2 2 9 7" xfId="51118"/>
    <cellStyle name="쉼표 [0] 4 2 2 20" xfId="295"/>
    <cellStyle name="쉼표 [0] 4 2 2 20 2" xfId="296"/>
    <cellStyle name="쉼표 [0] 4 2 2 20 2 2" xfId="3395"/>
    <cellStyle name="쉼표 [0] 4 2 2 20 2 2 2" xfId="9731"/>
    <cellStyle name="쉼표 [0] 4 2 2 20 2 2 2 2" xfId="22404"/>
    <cellStyle name="쉼표 [0] 4 2 2 20 2 2 2 2 2" xfId="47756"/>
    <cellStyle name="쉼표 [0] 4 2 2 20 2 2 2 3" xfId="35084"/>
    <cellStyle name="쉼표 [0] 4 2 2 20 2 2 3" xfId="16068"/>
    <cellStyle name="쉼표 [0] 4 2 2 20 2 2 3 2" xfId="41420"/>
    <cellStyle name="쉼표 [0] 4 2 2 20 2 2 4" xfId="28748"/>
    <cellStyle name="쉼표 [0] 4 2 2 20 2 2 5" xfId="51119"/>
    <cellStyle name="쉼표 [0] 4 2 2 20 2 3" xfId="6633"/>
    <cellStyle name="쉼표 [0] 4 2 2 20 2 3 2" xfId="19306"/>
    <cellStyle name="쉼표 [0] 4 2 2 20 2 3 2 2" xfId="44658"/>
    <cellStyle name="쉼표 [0] 4 2 2 20 2 3 3" xfId="31986"/>
    <cellStyle name="쉼표 [0] 4 2 2 20 2 4" xfId="12970"/>
    <cellStyle name="쉼표 [0] 4 2 2 20 2 4 2" xfId="38322"/>
    <cellStyle name="쉼표 [0] 4 2 2 20 2 5" xfId="25650"/>
    <cellStyle name="쉼표 [0] 4 2 2 20 2 6" xfId="51120"/>
    <cellStyle name="쉼표 [0] 4 2 2 20 3" xfId="3396"/>
    <cellStyle name="쉼표 [0] 4 2 2 20 3 2" xfId="9732"/>
    <cellStyle name="쉼표 [0] 4 2 2 20 3 2 2" xfId="22405"/>
    <cellStyle name="쉼표 [0] 4 2 2 20 3 2 2 2" xfId="47757"/>
    <cellStyle name="쉼표 [0] 4 2 2 20 3 2 3" xfId="35085"/>
    <cellStyle name="쉼표 [0] 4 2 2 20 3 3" xfId="16069"/>
    <cellStyle name="쉼표 [0] 4 2 2 20 3 3 2" xfId="41421"/>
    <cellStyle name="쉼표 [0] 4 2 2 20 3 4" xfId="28749"/>
    <cellStyle name="쉼표 [0] 4 2 2 20 3 5" xfId="51121"/>
    <cellStyle name="쉼표 [0] 4 2 2 20 4" xfId="6632"/>
    <cellStyle name="쉼표 [0] 4 2 2 20 4 2" xfId="19305"/>
    <cellStyle name="쉼표 [0] 4 2 2 20 4 2 2" xfId="44657"/>
    <cellStyle name="쉼표 [0] 4 2 2 20 4 3" xfId="31985"/>
    <cellStyle name="쉼표 [0] 4 2 2 20 5" xfId="12969"/>
    <cellStyle name="쉼표 [0] 4 2 2 20 5 2" xfId="38321"/>
    <cellStyle name="쉼표 [0] 4 2 2 20 6" xfId="25649"/>
    <cellStyle name="쉼표 [0] 4 2 2 20 7" xfId="51122"/>
    <cellStyle name="쉼표 [0] 4 2 2 21" xfId="297"/>
    <cellStyle name="쉼표 [0] 4 2 2 21 2" xfId="298"/>
    <cellStyle name="쉼표 [0] 4 2 2 21 2 2" xfId="3397"/>
    <cellStyle name="쉼표 [0] 4 2 2 21 2 2 2" xfId="9733"/>
    <cellStyle name="쉼표 [0] 4 2 2 21 2 2 2 2" xfId="22406"/>
    <cellStyle name="쉼표 [0] 4 2 2 21 2 2 2 2 2" xfId="47758"/>
    <cellStyle name="쉼표 [0] 4 2 2 21 2 2 2 3" xfId="35086"/>
    <cellStyle name="쉼표 [0] 4 2 2 21 2 2 3" xfId="16070"/>
    <cellStyle name="쉼표 [0] 4 2 2 21 2 2 3 2" xfId="41422"/>
    <cellStyle name="쉼표 [0] 4 2 2 21 2 2 4" xfId="28750"/>
    <cellStyle name="쉼표 [0] 4 2 2 21 2 2 5" xfId="51123"/>
    <cellStyle name="쉼표 [0] 4 2 2 21 2 3" xfId="6635"/>
    <cellStyle name="쉼표 [0] 4 2 2 21 2 3 2" xfId="19308"/>
    <cellStyle name="쉼표 [0] 4 2 2 21 2 3 2 2" xfId="44660"/>
    <cellStyle name="쉼표 [0] 4 2 2 21 2 3 3" xfId="31988"/>
    <cellStyle name="쉼표 [0] 4 2 2 21 2 4" xfId="12972"/>
    <cellStyle name="쉼표 [0] 4 2 2 21 2 4 2" xfId="38324"/>
    <cellStyle name="쉼표 [0] 4 2 2 21 2 5" xfId="25652"/>
    <cellStyle name="쉼표 [0] 4 2 2 21 2 6" xfId="51124"/>
    <cellStyle name="쉼표 [0] 4 2 2 21 3" xfId="3398"/>
    <cellStyle name="쉼표 [0] 4 2 2 21 3 2" xfId="9734"/>
    <cellStyle name="쉼표 [0] 4 2 2 21 3 2 2" xfId="22407"/>
    <cellStyle name="쉼표 [0] 4 2 2 21 3 2 2 2" xfId="47759"/>
    <cellStyle name="쉼표 [0] 4 2 2 21 3 2 3" xfId="35087"/>
    <cellStyle name="쉼표 [0] 4 2 2 21 3 3" xfId="16071"/>
    <cellStyle name="쉼표 [0] 4 2 2 21 3 3 2" xfId="41423"/>
    <cellStyle name="쉼표 [0] 4 2 2 21 3 4" xfId="28751"/>
    <cellStyle name="쉼표 [0] 4 2 2 21 3 5" xfId="51125"/>
    <cellStyle name="쉼표 [0] 4 2 2 21 4" xfId="6634"/>
    <cellStyle name="쉼표 [0] 4 2 2 21 4 2" xfId="19307"/>
    <cellStyle name="쉼표 [0] 4 2 2 21 4 2 2" xfId="44659"/>
    <cellStyle name="쉼표 [0] 4 2 2 21 4 3" xfId="31987"/>
    <cellStyle name="쉼표 [0] 4 2 2 21 5" xfId="12971"/>
    <cellStyle name="쉼표 [0] 4 2 2 21 5 2" xfId="38323"/>
    <cellStyle name="쉼표 [0] 4 2 2 21 6" xfId="25651"/>
    <cellStyle name="쉼표 [0] 4 2 2 21 7" xfId="51126"/>
    <cellStyle name="쉼표 [0] 4 2 2 22" xfId="299"/>
    <cellStyle name="쉼표 [0] 4 2 2 22 2" xfId="300"/>
    <cellStyle name="쉼표 [0] 4 2 2 22 2 2" xfId="3399"/>
    <cellStyle name="쉼표 [0] 4 2 2 22 2 2 2" xfId="9735"/>
    <cellStyle name="쉼표 [0] 4 2 2 22 2 2 2 2" xfId="22408"/>
    <cellStyle name="쉼표 [0] 4 2 2 22 2 2 2 2 2" xfId="47760"/>
    <cellStyle name="쉼표 [0] 4 2 2 22 2 2 2 3" xfId="35088"/>
    <cellStyle name="쉼표 [0] 4 2 2 22 2 2 3" xfId="16072"/>
    <cellStyle name="쉼표 [0] 4 2 2 22 2 2 3 2" xfId="41424"/>
    <cellStyle name="쉼표 [0] 4 2 2 22 2 2 4" xfId="28752"/>
    <cellStyle name="쉼표 [0] 4 2 2 22 2 2 5" xfId="51127"/>
    <cellStyle name="쉼표 [0] 4 2 2 22 2 3" xfId="6637"/>
    <cellStyle name="쉼표 [0] 4 2 2 22 2 3 2" xfId="19310"/>
    <cellStyle name="쉼표 [0] 4 2 2 22 2 3 2 2" xfId="44662"/>
    <cellStyle name="쉼표 [0] 4 2 2 22 2 3 3" xfId="31990"/>
    <cellStyle name="쉼표 [0] 4 2 2 22 2 4" xfId="12974"/>
    <cellStyle name="쉼표 [0] 4 2 2 22 2 4 2" xfId="38326"/>
    <cellStyle name="쉼표 [0] 4 2 2 22 2 5" xfId="25654"/>
    <cellStyle name="쉼표 [0] 4 2 2 22 2 6" xfId="51128"/>
    <cellStyle name="쉼표 [0] 4 2 2 22 3" xfId="3400"/>
    <cellStyle name="쉼표 [0] 4 2 2 22 3 2" xfId="9736"/>
    <cellStyle name="쉼표 [0] 4 2 2 22 3 2 2" xfId="22409"/>
    <cellStyle name="쉼표 [0] 4 2 2 22 3 2 2 2" xfId="47761"/>
    <cellStyle name="쉼표 [0] 4 2 2 22 3 2 3" xfId="35089"/>
    <cellStyle name="쉼표 [0] 4 2 2 22 3 3" xfId="16073"/>
    <cellStyle name="쉼표 [0] 4 2 2 22 3 3 2" xfId="41425"/>
    <cellStyle name="쉼표 [0] 4 2 2 22 3 4" xfId="28753"/>
    <cellStyle name="쉼표 [0] 4 2 2 22 3 5" xfId="51129"/>
    <cellStyle name="쉼표 [0] 4 2 2 22 4" xfId="6636"/>
    <cellStyle name="쉼표 [0] 4 2 2 22 4 2" xfId="19309"/>
    <cellStyle name="쉼표 [0] 4 2 2 22 4 2 2" xfId="44661"/>
    <cellStyle name="쉼표 [0] 4 2 2 22 4 3" xfId="31989"/>
    <cellStyle name="쉼표 [0] 4 2 2 22 5" xfId="12973"/>
    <cellStyle name="쉼표 [0] 4 2 2 22 5 2" xfId="38325"/>
    <cellStyle name="쉼표 [0] 4 2 2 22 6" xfId="25653"/>
    <cellStyle name="쉼표 [0] 4 2 2 22 7" xfId="51130"/>
    <cellStyle name="쉼표 [0] 4 2 2 23" xfId="301"/>
    <cellStyle name="쉼표 [0] 4 2 2 23 2" xfId="302"/>
    <cellStyle name="쉼표 [0] 4 2 2 23 2 2" xfId="3401"/>
    <cellStyle name="쉼표 [0] 4 2 2 23 2 2 2" xfId="9737"/>
    <cellStyle name="쉼표 [0] 4 2 2 23 2 2 2 2" xfId="22410"/>
    <cellStyle name="쉼표 [0] 4 2 2 23 2 2 2 2 2" xfId="47762"/>
    <cellStyle name="쉼표 [0] 4 2 2 23 2 2 2 3" xfId="35090"/>
    <cellStyle name="쉼표 [0] 4 2 2 23 2 2 3" xfId="16074"/>
    <cellStyle name="쉼표 [0] 4 2 2 23 2 2 3 2" xfId="41426"/>
    <cellStyle name="쉼표 [0] 4 2 2 23 2 2 4" xfId="28754"/>
    <cellStyle name="쉼표 [0] 4 2 2 23 2 2 5" xfId="51131"/>
    <cellStyle name="쉼표 [0] 4 2 2 23 2 3" xfId="6639"/>
    <cellStyle name="쉼표 [0] 4 2 2 23 2 3 2" xfId="19312"/>
    <cellStyle name="쉼표 [0] 4 2 2 23 2 3 2 2" xfId="44664"/>
    <cellStyle name="쉼표 [0] 4 2 2 23 2 3 3" xfId="31992"/>
    <cellStyle name="쉼표 [0] 4 2 2 23 2 4" xfId="12976"/>
    <cellStyle name="쉼표 [0] 4 2 2 23 2 4 2" xfId="38328"/>
    <cellStyle name="쉼표 [0] 4 2 2 23 2 5" xfId="25656"/>
    <cellStyle name="쉼표 [0] 4 2 2 23 2 6" xfId="51132"/>
    <cellStyle name="쉼표 [0] 4 2 2 23 3" xfId="3402"/>
    <cellStyle name="쉼표 [0] 4 2 2 23 3 2" xfId="9738"/>
    <cellStyle name="쉼표 [0] 4 2 2 23 3 2 2" xfId="22411"/>
    <cellStyle name="쉼표 [0] 4 2 2 23 3 2 2 2" xfId="47763"/>
    <cellStyle name="쉼표 [0] 4 2 2 23 3 2 3" xfId="35091"/>
    <cellStyle name="쉼표 [0] 4 2 2 23 3 3" xfId="16075"/>
    <cellStyle name="쉼표 [0] 4 2 2 23 3 3 2" xfId="41427"/>
    <cellStyle name="쉼표 [0] 4 2 2 23 3 4" xfId="28755"/>
    <cellStyle name="쉼표 [0] 4 2 2 23 3 5" xfId="51133"/>
    <cellStyle name="쉼표 [0] 4 2 2 23 4" xfId="6638"/>
    <cellStyle name="쉼표 [0] 4 2 2 23 4 2" xfId="19311"/>
    <cellStyle name="쉼표 [0] 4 2 2 23 4 2 2" xfId="44663"/>
    <cellStyle name="쉼표 [0] 4 2 2 23 4 3" xfId="31991"/>
    <cellStyle name="쉼표 [0] 4 2 2 23 5" xfId="12975"/>
    <cellStyle name="쉼표 [0] 4 2 2 23 5 2" xfId="38327"/>
    <cellStyle name="쉼표 [0] 4 2 2 23 6" xfId="25655"/>
    <cellStyle name="쉼표 [0] 4 2 2 23 7" xfId="51134"/>
    <cellStyle name="쉼표 [0] 4 2 2 24" xfId="303"/>
    <cellStyle name="쉼표 [0] 4 2 2 24 2" xfId="304"/>
    <cellStyle name="쉼표 [0] 4 2 2 24 2 2" xfId="3403"/>
    <cellStyle name="쉼표 [0] 4 2 2 24 2 2 2" xfId="9739"/>
    <cellStyle name="쉼표 [0] 4 2 2 24 2 2 2 2" xfId="22412"/>
    <cellStyle name="쉼표 [0] 4 2 2 24 2 2 2 2 2" xfId="47764"/>
    <cellStyle name="쉼표 [0] 4 2 2 24 2 2 2 3" xfId="35092"/>
    <cellStyle name="쉼표 [0] 4 2 2 24 2 2 3" xfId="16076"/>
    <cellStyle name="쉼표 [0] 4 2 2 24 2 2 3 2" xfId="41428"/>
    <cellStyle name="쉼표 [0] 4 2 2 24 2 2 4" xfId="28756"/>
    <cellStyle name="쉼표 [0] 4 2 2 24 2 2 5" xfId="51135"/>
    <cellStyle name="쉼표 [0] 4 2 2 24 2 3" xfId="6641"/>
    <cellStyle name="쉼표 [0] 4 2 2 24 2 3 2" xfId="19314"/>
    <cellStyle name="쉼표 [0] 4 2 2 24 2 3 2 2" xfId="44666"/>
    <cellStyle name="쉼표 [0] 4 2 2 24 2 3 3" xfId="31994"/>
    <cellStyle name="쉼표 [0] 4 2 2 24 2 4" xfId="12978"/>
    <cellStyle name="쉼표 [0] 4 2 2 24 2 4 2" xfId="38330"/>
    <cellStyle name="쉼표 [0] 4 2 2 24 2 5" xfId="25658"/>
    <cellStyle name="쉼표 [0] 4 2 2 24 2 6" xfId="51136"/>
    <cellStyle name="쉼표 [0] 4 2 2 24 3" xfId="3404"/>
    <cellStyle name="쉼표 [0] 4 2 2 24 3 2" xfId="9740"/>
    <cellStyle name="쉼표 [0] 4 2 2 24 3 2 2" xfId="22413"/>
    <cellStyle name="쉼표 [0] 4 2 2 24 3 2 2 2" xfId="47765"/>
    <cellStyle name="쉼표 [0] 4 2 2 24 3 2 3" xfId="35093"/>
    <cellStyle name="쉼표 [0] 4 2 2 24 3 3" xfId="16077"/>
    <cellStyle name="쉼표 [0] 4 2 2 24 3 3 2" xfId="41429"/>
    <cellStyle name="쉼표 [0] 4 2 2 24 3 4" xfId="28757"/>
    <cellStyle name="쉼표 [0] 4 2 2 24 3 5" xfId="51137"/>
    <cellStyle name="쉼표 [0] 4 2 2 24 4" xfId="6640"/>
    <cellStyle name="쉼표 [0] 4 2 2 24 4 2" xfId="19313"/>
    <cellStyle name="쉼표 [0] 4 2 2 24 4 2 2" xfId="44665"/>
    <cellStyle name="쉼표 [0] 4 2 2 24 4 3" xfId="31993"/>
    <cellStyle name="쉼표 [0] 4 2 2 24 5" xfId="12977"/>
    <cellStyle name="쉼표 [0] 4 2 2 24 5 2" xfId="38329"/>
    <cellStyle name="쉼표 [0] 4 2 2 24 6" xfId="25657"/>
    <cellStyle name="쉼표 [0] 4 2 2 24 7" xfId="51138"/>
    <cellStyle name="쉼표 [0] 4 2 2 25" xfId="305"/>
    <cellStyle name="쉼표 [0] 4 2 2 25 2" xfId="306"/>
    <cellStyle name="쉼표 [0] 4 2 2 25 2 2" xfId="3405"/>
    <cellStyle name="쉼표 [0] 4 2 2 25 2 2 2" xfId="9741"/>
    <cellStyle name="쉼표 [0] 4 2 2 25 2 2 2 2" xfId="22414"/>
    <cellStyle name="쉼표 [0] 4 2 2 25 2 2 2 2 2" xfId="47766"/>
    <cellStyle name="쉼표 [0] 4 2 2 25 2 2 2 3" xfId="35094"/>
    <cellStyle name="쉼표 [0] 4 2 2 25 2 2 3" xfId="16078"/>
    <cellStyle name="쉼표 [0] 4 2 2 25 2 2 3 2" xfId="41430"/>
    <cellStyle name="쉼표 [0] 4 2 2 25 2 2 4" xfId="28758"/>
    <cellStyle name="쉼표 [0] 4 2 2 25 2 2 5" xfId="51139"/>
    <cellStyle name="쉼표 [0] 4 2 2 25 2 3" xfId="6643"/>
    <cellStyle name="쉼표 [0] 4 2 2 25 2 3 2" xfId="19316"/>
    <cellStyle name="쉼표 [0] 4 2 2 25 2 3 2 2" xfId="44668"/>
    <cellStyle name="쉼표 [0] 4 2 2 25 2 3 3" xfId="31996"/>
    <cellStyle name="쉼표 [0] 4 2 2 25 2 4" xfId="12980"/>
    <cellStyle name="쉼표 [0] 4 2 2 25 2 4 2" xfId="38332"/>
    <cellStyle name="쉼표 [0] 4 2 2 25 2 5" xfId="25660"/>
    <cellStyle name="쉼표 [0] 4 2 2 25 2 6" xfId="51140"/>
    <cellStyle name="쉼표 [0] 4 2 2 25 3" xfId="3406"/>
    <cellStyle name="쉼표 [0] 4 2 2 25 3 2" xfId="9742"/>
    <cellStyle name="쉼표 [0] 4 2 2 25 3 2 2" xfId="22415"/>
    <cellStyle name="쉼표 [0] 4 2 2 25 3 2 2 2" xfId="47767"/>
    <cellStyle name="쉼표 [0] 4 2 2 25 3 2 3" xfId="35095"/>
    <cellStyle name="쉼표 [0] 4 2 2 25 3 3" xfId="16079"/>
    <cellStyle name="쉼표 [0] 4 2 2 25 3 3 2" xfId="41431"/>
    <cellStyle name="쉼표 [0] 4 2 2 25 3 4" xfId="28759"/>
    <cellStyle name="쉼표 [0] 4 2 2 25 3 5" xfId="51141"/>
    <cellStyle name="쉼표 [0] 4 2 2 25 4" xfId="6642"/>
    <cellStyle name="쉼표 [0] 4 2 2 25 4 2" xfId="19315"/>
    <cellStyle name="쉼표 [0] 4 2 2 25 4 2 2" xfId="44667"/>
    <cellStyle name="쉼표 [0] 4 2 2 25 4 3" xfId="31995"/>
    <cellStyle name="쉼표 [0] 4 2 2 25 5" xfId="12979"/>
    <cellStyle name="쉼표 [0] 4 2 2 25 5 2" xfId="38331"/>
    <cellStyle name="쉼표 [0] 4 2 2 25 6" xfId="25659"/>
    <cellStyle name="쉼표 [0] 4 2 2 25 7" xfId="51142"/>
    <cellStyle name="쉼표 [0] 4 2 2 26" xfId="307"/>
    <cellStyle name="쉼표 [0] 4 2 2 26 2" xfId="308"/>
    <cellStyle name="쉼표 [0] 4 2 2 26 2 2" xfId="3407"/>
    <cellStyle name="쉼표 [0] 4 2 2 26 2 2 2" xfId="9743"/>
    <cellStyle name="쉼표 [0] 4 2 2 26 2 2 2 2" xfId="22416"/>
    <cellStyle name="쉼표 [0] 4 2 2 26 2 2 2 2 2" xfId="47768"/>
    <cellStyle name="쉼표 [0] 4 2 2 26 2 2 2 3" xfId="35096"/>
    <cellStyle name="쉼표 [0] 4 2 2 26 2 2 3" xfId="16080"/>
    <cellStyle name="쉼표 [0] 4 2 2 26 2 2 3 2" xfId="41432"/>
    <cellStyle name="쉼표 [0] 4 2 2 26 2 2 4" xfId="28760"/>
    <cellStyle name="쉼표 [0] 4 2 2 26 2 2 5" xfId="51143"/>
    <cellStyle name="쉼표 [0] 4 2 2 26 2 3" xfId="6645"/>
    <cellStyle name="쉼표 [0] 4 2 2 26 2 3 2" xfId="19318"/>
    <cellStyle name="쉼표 [0] 4 2 2 26 2 3 2 2" xfId="44670"/>
    <cellStyle name="쉼표 [0] 4 2 2 26 2 3 3" xfId="31998"/>
    <cellStyle name="쉼표 [0] 4 2 2 26 2 4" xfId="12982"/>
    <cellStyle name="쉼표 [0] 4 2 2 26 2 4 2" xfId="38334"/>
    <cellStyle name="쉼표 [0] 4 2 2 26 2 5" xfId="25662"/>
    <cellStyle name="쉼표 [0] 4 2 2 26 2 6" xfId="51144"/>
    <cellStyle name="쉼표 [0] 4 2 2 26 3" xfId="3408"/>
    <cellStyle name="쉼표 [0] 4 2 2 26 3 2" xfId="9744"/>
    <cellStyle name="쉼표 [0] 4 2 2 26 3 2 2" xfId="22417"/>
    <cellStyle name="쉼표 [0] 4 2 2 26 3 2 2 2" xfId="47769"/>
    <cellStyle name="쉼표 [0] 4 2 2 26 3 2 3" xfId="35097"/>
    <cellStyle name="쉼표 [0] 4 2 2 26 3 3" xfId="16081"/>
    <cellStyle name="쉼표 [0] 4 2 2 26 3 3 2" xfId="41433"/>
    <cellStyle name="쉼표 [0] 4 2 2 26 3 4" xfId="28761"/>
    <cellStyle name="쉼표 [0] 4 2 2 26 3 5" xfId="51145"/>
    <cellStyle name="쉼표 [0] 4 2 2 26 4" xfId="6644"/>
    <cellStyle name="쉼표 [0] 4 2 2 26 4 2" xfId="19317"/>
    <cellStyle name="쉼표 [0] 4 2 2 26 4 2 2" xfId="44669"/>
    <cellStyle name="쉼표 [0] 4 2 2 26 4 3" xfId="31997"/>
    <cellStyle name="쉼표 [0] 4 2 2 26 5" xfId="12981"/>
    <cellStyle name="쉼표 [0] 4 2 2 26 5 2" xfId="38333"/>
    <cellStyle name="쉼표 [0] 4 2 2 26 6" xfId="25661"/>
    <cellStyle name="쉼표 [0] 4 2 2 26 7" xfId="51146"/>
    <cellStyle name="쉼표 [0] 4 2 2 27" xfId="309"/>
    <cellStyle name="쉼표 [0] 4 2 2 27 2" xfId="310"/>
    <cellStyle name="쉼표 [0] 4 2 2 27 2 2" xfId="3409"/>
    <cellStyle name="쉼표 [0] 4 2 2 27 2 2 2" xfId="9745"/>
    <cellStyle name="쉼표 [0] 4 2 2 27 2 2 2 2" xfId="22418"/>
    <cellStyle name="쉼표 [0] 4 2 2 27 2 2 2 2 2" xfId="47770"/>
    <cellStyle name="쉼표 [0] 4 2 2 27 2 2 2 3" xfId="35098"/>
    <cellStyle name="쉼표 [0] 4 2 2 27 2 2 3" xfId="16082"/>
    <cellStyle name="쉼표 [0] 4 2 2 27 2 2 3 2" xfId="41434"/>
    <cellStyle name="쉼표 [0] 4 2 2 27 2 2 4" xfId="28762"/>
    <cellStyle name="쉼표 [0] 4 2 2 27 2 2 5" xfId="51147"/>
    <cellStyle name="쉼표 [0] 4 2 2 27 2 3" xfId="6647"/>
    <cellStyle name="쉼표 [0] 4 2 2 27 2 3 2" xfId="19320"/>
    <cellStyle name="쉼표 [0] 4 2 2 27 2 3 2 2" xfId="44672"/>
    <cellStyle name="쉼표 [0] 4 2 2 27 2 3 3" xfId="32000"/>
    <cellStyle name="쉼표 [0] 4 2 2 27 2 4" xfId="12984"/>
    <cellStyle name="쉼표 [0] 4 2 2 27 2 4 2" xfId="38336"/>
    <cellStyle name="쉼표 [0] 4 2 2 27 2 5" xfId="25664"/>
    <cellStyle name="쉼표 [0] 4 2 2 27 2 6" xfId="51148"/>
    <cellStyle name="쉼표 [0] 4 2 2 27 3" xfId="3410"/>
    <cellStyle name="쉼표 [0] 4 2 2 27 3 2" xfId="9746"/>
    <cellStyle name="쉼표 [0] 4 2 2 27 3 2 2" xfId="22419"/>
    <cellStyle name="쉼표 [0] 4 2 2 27 3 2 2 2" xfId="47771"/>
    <cellStyle name="쉼표 [0] 4 2 2 27 3 2 3" xfId="35099"/>
    <cellStyle name="쉼표 [0] 4 2 2 27 3 3" xfId="16083"/>
    <cellStyle name="쉼표 [0] 4 2 2 27 3 3 2" xfId="41435"/>
    <cellStyle name="쉼표 [0] 4 2 2 27 3 4" xfId="28763"/>
    <cellStyle name="쉼표 [0] 4 2 2 27 3 5" xfId="51149"/>
    <cellStyle name="쉼표 [0] 4 2 2 27 4" xfId="6646"/>
    <cellStyle name="쉼표 [0] 4 2 2 27 4 2" xfId="19319"/>
    <cellStyle name="쉼표 [0] 4 2 2 27 4 2 2" xfId="44671"/>
    <cellStyle name="쉼표 [0] 4 2 2 27 4 3" xfId="31999"/>
    <cellStyle name="쉼표 [0] 4 2 2 27 5" xfId="12983"/>
    <cellStyle name="쉼표 [0] 4 2 2 27 5 2" xfId="38335"/>
    <cellStyle name="쉼표 [0] 4 2 2 27 6" xfId="25663"/>
    <cellStyle name="쉼표 [0] 4 2 2 27 7" xfId="51150"/>
    <cellStyle name="쉼표 [0] 4 2 2 28" xfId="311"/>
    <cellStyle name="쉼표 [0] 4 2 2 28 2" xfId="312"/>
    <cellStyle name="쉼표 [0] 4 2 2 28 2 2" xfId="3411"/>
    <cellStyle name="쉼표 [0] 4 2 2 28 2 2 2" xfId="9747"/>
    <cellStyle name="쉼표 [0] 4 2 2 28 2 2 2 2" xfId="22420"/>
    <cellStyle name="쉼표 [0] 4 2 2 28 2 2 2 2 2" xfId="47772"/>
    <cellStyle name="쉼표 [0] 4 2 2 28 2 2 2 3" xfId="35100"/>
    <cellStyle name="쉼표 [0] 4 2 2 28 2 2 3" xfId="16084"/>
    <cellStyle name="쉼표 [0] 4 2 2 28 2 2 3 2" xfId="41436"/>
    <cellStyle name="쉼표 [0] 4 2 2 28 2 2 4" xfId="28764"/>
    <cellStyle name="쉼표 [0] 4 2 2 28 2 2 5" xfId="51151"/>
    <cellStyle name="쉼표 [0] 4 2 2 28 2 3" xfId="6649"/>
    <cellStyle name="쉼표 [0] 4 2 2 28 2 3 2" xfId="19322"/>
    <cellStyle name="쉼표 [0] 4 2 2 28 2 3 2 2" xfId="44674"/>
    <cellStyle name="쉼표 [0] 4 2 2 28 2 3 3" xfId="32002"/>
    <cellStyle name="쉼표 [0] 4 2 2 28 2 4" xfId="12986"/>
    <cellStyle name="쉼표 [0] 4 2 2 28 2 4 2" xfId="38338"/>
    <cellStyle name="쉼표 [0] 4 2 2 28 2 5" xfId="25666"/>
    <cellStyle name="쉼표 [0] 4 2 2 28 2 6" xfId="51152"/>
    <cellStyle name="쉼표 [0] 4 2 2 28 3" xfId="3412"/>
    <cellStyle name="쉼표 [0] 4 2 2 28 3 2" xfId="9748"/>
    <cellStyle name="쉼표 [0] 4 2 2 28 3 2 2" xfId="22421"/>
    <cellStyle name="쉼표 [0] 4 2 2 28 3 2 2 2" xfId="47773"/>
    <cellStyle name="쉼표 [0] 4 2 2 28 3 2 3" xfId="35101"/>
    <cellStyle name="쉼표 [0] 4 2 2 28 3 3" xfId="16085"/>
    <cellStyle name="쉼표 [0] 4 2 2 28 3 3 2" xfId="41437"/>
    <cellStyle name="쉼표 [0] 4 2 2 28 3 4" xfId="28765"/>
    <cellStyle name="쉼표 [0] 4 2 2 28 3 5" xfId="51153"/>
    <cellStyle name="쉼표 [0] 4 2 2 28 4" xfId="6648"/>
    <cellStyle name="쉼표 [0] 4 2 2 28 4 2" xfId="19321"/>
    <cellStyle name="쉼표 [0] 4 2 2 28 4 2 2" xfId="44673"/>
    <cellStyle name="쉼표 [0] 4 2 2 28 4 3" xfId="32001"/>
    <cellStyle name="쉼표 [0] 4 2 2 28 5" xfId="12985"/>
    <cellStyle name="쉼표 [0] 4 2 2 28 5 2" xfId="38337"/>
    <cellStyle name="쉼표 [0] 4 2 2 28 6" xfId="25665"/>
    <cellStyle name="쉼표 [0] 4 2 2 28 7" xfId="51154"/>
    <cellStyle name="쉼표 [0] 4 2 2 29" xfId="313"/>
    <cellStyle name="쉼표 [0] 4 2 2 29 2" xfId="314"/>
    <cellStyle name="쉼표 [0] 4 2 2 29 2 2" xfId="3413"/>
    <cellStyle name="쉼표 [0] 4 2 2 29 2 2 2" xfId="9749"/>
    <cellStyle name="쉼표 [0] 4 2 2 29 2 2 2 2" xfId="22422"/>
    <cellStyle name="쉼표 [0] 4 2 2 29 2 2 2 2 2" xfId="47774"/>
    <cellStyle name="쉼표 [0] 4 2 2 29 2 2 2 3" xfId="35102"/>
    <cellStyle name="쉼표 [0] 4 2 2 29 2 2 3" xfId="16086"/>
    <cellStyle name="쉼표 [0] 4 2 2 29 2 2 3 2" xfId="41438"/>
    <cellStyle name="쉼표 [0] 4 2 2 29 2 2 4" xfId="28766"/>
    <cellStyle name="쉼표 [0] 4 2 2 29 2 2 5" xfId="51155"/>
    <cellStyle name="쉼표 [0] 4 2 2 29 2 3" xfId="6651"/>
    <cellStyle name="쉼표 [0] 4 2 2 29 2 3 2" xfId="19324"/>
    <cellStyle name="쉼표 [0] 4 2 2 29 2 3 2 2" xfId="44676"/>
    <cellStyle name="쉼표 [0] 4 2 2 29 2 3 3" xfId="32004"/>
    <cellStyle name="쉼표 [0] 4 2 2 29 2 4" xfId="12988"/>
    <cellStyle name="쉼표 [0] 4 2 2 29 2 4 2" xfId="38340"/>
    <cellStyle name="쉼표 [0] 4 2 2 29 2 5" xfId="25668"/>
    <cellStyle name="쉼표 [0] 4 2 2 29 2 6" xfId="51156"/>
    <cellStyle name="쉼표 [0] 4 2 2 29 3" xfId="3414"/>
    <cellStyle name="쉼표 [0] 4 2 2 29 3 2" xfId="9750"/>
    <cellStyle name="쉼표 [0] 4 2 2 29 3 2 2" xfId="22423"/>
    <cellStyle name="쉼표 [0] 4 2 2 29 3 2 2 2" xfId="47775"/>
    <cellStyle name="쉼표 [0] 4 2 2 29 3 2 3" xfId="35103"/>
    <cellStyle name="쉼표 [0] 4 2 2 29 3 3" xfId="16087"/>
    <cellStyle name="쉼표 [0] 4 2 2 29 3 3 2" xfId="41439"/>
    <cellStyle name="쉼표 [0] 4 2 2 29 3 4" xfId="28767"/>
    <cellStyle name="쉼표 [0] 4 2 2 29 3 5" xfId="51157"/>
    <cellStyle name="쉼표 [0] 4 2 2 29 4" xfId="6650"/>
    <cellStyle name="쉼표 [0] 4 2 2 29 4 2" xfId="19323"/>
    <cellStyle name="쉼표 [0] 4 2 2 29 4 2 2" xfId="44675"/>
    <cellStyle name="쉼표 [0] 4 2 2 29 4 3" xfId="32003"/>
    <cellStyle name="쉼표 [0] 4 2 2 29 5" xfId="12987"/>
    <cellStyle name="쉼표 [0] 4 2 2 29 5 2" xfId="38339"/>
    <cellStyle name="쉼표 [0] 4 2 2 29 6" xfId="25667"/>
    <cellStyle name="쉼표 [0] 4 2 2 29 7" xfId="51158"/>
    <cellStyle name="쉼표 [0] 4 2 2 3" xfId="59"/>
    <cellStyle name="쉼표 [0] 4 2 2 3 10" xfId="315"/>
    <cellStyle name="쉼표 [0] 4 2 2 3 10 2" xfId="316"/>
    <cellStyle name="쉼표 [0] 4 2 2 3 10 2 2" xfId="3415"/>
    <cellStyle name="쉼표 [0] 4 2 2 3 10 2 2 2" xfId="9751"/>
    <cellStyle name="쉼표 [0] 4 2 2 3 10 2 2 2 2" xfId="22424"/>
    <cellStyle name="쉼표 [0] 4 2 2 3 10 2 2 2 2 2" xfId="47776"/>
    <cellStyle name="쉼표 [0] 4 2 2 3 10 2 2 2 3" xfId="35104"/>
    <cellStyle name="쉼표 [0] 4 2 2 3 10 2 2 3" xfId="16088"/>
    <cellStyle name="쉼표 [0] 4 2 2 3 10 2 2 3 2" xfId="41440"/>
    <cellStyle name="쉼표 [0] 4 2 2 3 10 2 2 4" xfId="28768"/>
    <cellStyle name="쉼표 [0] 4 2 2 3 10 2 2 5" xfId="51159"/>
    <cellStyle name="쉼표 [0] 4 2 2 3 10 2 3" xfId="6653"/>
    <cellStyle name="쉼표 [0] 4 2 2 3 10 2 3 2" xfId="19326"/>
    <cellStyle name="쉼표 [0] 4 2 2 3 10 2 3 2 2" xfId="44678"/>
    <cellStyle name="쉼표 [0] 4 2 2 3 10 2 3 3" xfId="32006"/>
    <cellStyle name="쉼표 [0] 4 2 2 3 10 2 4" xfId="12990"/>
    <cellStyle name="쉼표 [0] 4 2 2 3 10 2 4 2" xfId="38342"/>
    <cellStyle name="쉼표 [0] 4 2 2 3 10 2 5" xfId="25670"/>
    <cellStyle name="쉼표 [0] 4 2 2 3 10 2 6" xfId="51160"/>
    <cellStyle name="쉼표 [0] 4 2 2 3 10 3" xfId="3416"/>
    <cellStyle name="쉼표 [0] 4 2 2 3 10 3 2" xfId="9752"/>
    <cellStyle name="쉼표 [0] 4 2 2 3 10 3 2 2" xfId="22425"/>
    <cellStyle name="쉼표 [0] 4 2 2 3 10 3 2 2 2" xfId="47777"/>
    <cellStyle name="쉼표 [0] 4 2 2 3 10 3 2 3" xfId="35105"/>
    <cellStyle name="쉼표 [0] 4 2 2 3 10 3 3" xfId="16089"/>
    <cellStyle name="쉼표 [0] 4 2 2 3 10 3 3 2" xfId="41441"/>
    <cellStyle name="쉼표 [0] 4 2 2 3 10 3 4" xfId="28769"/>
    <cellStyle name="쉼표 [0] 4 2 2 3 10 3 5" xfId="51161"/>
    <cellStyle name="쉼표 [0] 4 2 2 3 10 4" xfId="6652"/>
    <cellStyle name="쉼표 [0] 4 2 2 3 10 4 2" xfId="19325"/>
    <cellStyle name="쉼표 [0] 4 2 2 3 10 4 2 2" xfId="44677"/>
    <cellStyle name="쉼표 [0] 4 2 2 3 10 4 3" xfId="32005"/>
    <cellStyle name="쉼표 [0] 4 2 2 3 10 5" xfId="12989"/>
    <cellStyle name="쉼표 [0] 4 2 2 3 10 5 2" xfId="38341"/>
    <cellStyle name="쉼표 [0] 4 2 2 3 10 6" xfId="25669"/>
    <cellStyle name="쉼표 [0] 4 2 2 3 10 7" xfId="51162"/>
    <cellStyle name="쉼표 [0] 4 2 2 3 11" xfId="317"/>
    <cellStyle name="쉼표 [0] 4 2 2 3 11 2" xfId="318"/>
    <cellStyle name="쉼표 [0] 4 2 2 3 11 2 2" xfId="3417"/>
    <cellStyle name="쉼표 [0] 4 2 2 3 11 2 2 2" xfId="9753"/>
    <cellStyle name="쉼표 [0] 4 2 2 3 11 2 2 2 2" xfId="22426"/>
    <cellStyle name="쉼표 [0] 4 2 2 3 11 2 2 2 2 2" xfId="47778"/>
    <cellStyle name="쉼표 [0] 4 2 2 3 11 2 2 2 3" xfId="35106"/>
    <cellStyle name="쉼표 [0] 4 2 2 3 11 2 2 3" xfId="16090"/>
    <cellStyle name="쉼표 [0] 4 2 2 3 11 2 2 3 2" xfId="41442"/>
    <cellStyle name="쉼표 [0] 4 2 2 3 11 2 2 4" xfId="28770"/>
    <cellStyle name="쉼표 [0] 4 2 2 3 11 2 2 5" xfId="51163"/>
    <cellStyle name="쉼표 [0] 4 2 2 3 11 2 3" xfId="6655"/>
    <cellStyle name="쉼표 [0] 4 2 2 3 11 2 3 2" xfId="19328"/>
    <cellStyle name="쉼표 [0] 4 2 2 3 11 2 3 2 2" xfId="44680"/>
    <cellStyle name="쉼표 [0] 4 2 2 3 11 2 3 3" xfId="32008"/>
    <cellStyle name="쉼표 [0] 4 2 2 3 11 2 4" xfId="12992"/>
    <cellStyle name="쉼표 [0] 4 2 2 3 11 2 4 2" xfId="38344"/>
    <cellStyle name="쉼표 [0] 4 2 2 3 11 2 5" xfId="25672"/>
    <cellStyle name="쉼표 [0] 4 2 2 3 11 2 6" xfId="51164"/>
    <cellStyle name="쉼표 [0] 4 2 2 3 11 3" xfId="3418"/>
    <cellStyle name="쉼표 [0] 4 2 2 3 11 3 2" xfId="9754"/>
    <cellStyle name="쉼표 [0] 4 2 2 3 11 3 2 2" xfId="22427"/>
    <cellStyle name="쉼표 [0] 4 2 2 3 11 3 2 2 2" xfId="47779"/>
    <cellStyle name="쉼표 [0] 4 2 2 3 11 3 2 3" xfId="35107"/>
    <cellStyle name="쉼표 [0] 4 2 2 3 11 3 3" xfId="16091"/>
    <cellStyle name="쉼표 [0] 4 2 2 3 11 3 3 2" xfId="41443"/>
    <cellStyle name="쉼표 [0] 4 2 2 3 11 3 4" xfId="28771"/>
    <cellStyle name="쉼표 [0] 4 2 2 3 11 3 5" xfId="51165"/>
    <cellStyle name="쉼표 [0] 4 2 2 3 11 4" xfId="6654"/>
    <cellStyle name="쉼표 [0] 4 2 2 3 11 4 2" xfId="19327"/>
    <cellStyle name="쉼표 [0] 4 2 2 3 11 4 2 2" xfId="44679"/>
    <cellStyle name="쉼표 [0] 4 2 2 3 11 4 3" xfId="32007"/>
    <cellStyle name="쉼표 [0] 4 2 2 3 11 5" xfId="12991"/>
    <cellStyle name="쉼표 [0] 4 2 2 3 11 5 2" xfId="38343"/>
    <cellStyle name="쉼표 [0] 4 2 2 3 11 6" xfId="25671"/>
    <cellStyle name="쉼표 [0] 4 2 2 3 11 7" xfId="51166"/>
    <cellStyle name="쉼표 [0] 4 2 2 3 12" xfId="319"/>
    <cellStyle name="쉼표 [0] 4 2 2 3 12 2" xfId="320"/>
    <cellStyle name="쉼표 [0] 4 2 2 3 12 2 2" xfId="3419"/>
    <cellStyle name="쉼표 [0] 4 2 2 3 12 2 2 2" xfId="9755"/>
    <cellStyle name="쉼표 [0] 4 2 2 3 12 2 2 2 2" xfId="22428"/>
    <cellStyle name="쉼표 [0] 4 2 2 3 12 2 2 2 2 2" xfId="47780"/>
    <cellStyle name="쉼표 [0] 4 2 2 3 12 2 2 2 3" xfId="35108"/>
    <cellStyle name="쉼표 [0] 4 2 2 3 12 2 2 3" xfId="16092"/>
    <cellStyle name="쉼표 [0] 4 2 2 3 12 2 2 3 2" xfId="41444"/>
    <cellStyle name="쉼표 [0] 4 2 2 3 12 2 2 4" xfId="28772"/>
    <cellStyle name="쉼표 [0] 4 2 2 3 12 2 2 5" xfId="51167"/>
    <cellStyle name="쉼표 [0] 4 2 2 3 12 2 3" xfId="6657"/>
    <cellStyle name="쉼표 [0] 4 2 2 3 12 2 3 2" xfId="19330"/>
    <cellStyle name="쉼표 [0] 4 2 2 3 12 2 3 2 2" xfId="44682"/>
    <cellStyle name="쉼표 [0] 4 2 2 3 12 2 3 3" xfId="32010"/>
    <cellStyle name="쉼표 [0] 4 2 2 3 12 2 4" xfId="12994"/>
    <cellStyle name="쉼표 [0] 4 2 2 3 12 2 4 2" xfId="38346"/>
    <cellStyle name="쉼표 [0] 4 2 2 3 12 2 5" xfId="25674"/>
    <cellStyle name="쉼표 [0] 4 2 2 3 12 2 6" xfId="51168"/>
    <cellStyle name="쉼표 [0] 4 2 2 3 12 3" xfId="3420"/>
    <cellStyle name="쉼표 [0] 4 2 2 3 12 3 2" xfId="9756"/>
    <cellStyle name="쉼표 [0] 4 2 2 3 12 3 2 2" xfId="22429"/>
    <cellStyle name="쉼표 [0] 4 2 2 3 12 3 2 2 2" xfId="47781"/>
    <cellStyle name="쉼표 [0] 4 2 2 3 12 3 2 3" xfId="35109"/>
    <cellStyle name="쉼표 [0] 4 2 2 3 12 3 3" xfId="16093"/>
    <cellStyle name="쉼표 [0] 4 2 2 3 12 3 3 2" xfId="41445"/>
    <cellStyle name="쉼표 [0] 4 2 2 3 12 3 4" xfId="28773"/>
    <cellStyle name="쉼표 [0] 4 2 2 3 12 3 5" xfId="51169"/>
    <cellStyle name="쉼표 [0] 4 2 2 3 12 4" xfId="6656"/>
    <cellStyle name="쉼표 [0] 4 2 2 3 12 4 2" xfId="19329"/>
    <cellStyle name="쉼표 [0] 4 2 2 3 12 4 2 2" xfId="44681"/>
    <cellStyle name="쉼표 [0] 4 2 2 3 12 4 3" xfId="32009"/>
    <cellStyle name="쉼표 [0] 4 2 2 3 12 5" xfId="12993"/>
    <cellStyle name="쉼표 [0] 4 2 2 3 12 5 2" xfId="38345"/>
    <cellStyle name="쉼표 [0] 4 2 2 3 12 6" xfId="25673"/>
    <cellStyle name="쉼표 [0] 4 2 2 3 12 7" xfId="51170"/>
    <cellStyle name="쉼표 [0] 4 2 2 3 13" xfId="321"/>
    <cellStyle name="쉼표 [0] 4 2 2 3 13 2" xfId="322"/>
    <cellStyle name="쉼표 [0] 4 2 2 3 13 2 2" xfId="3421"/>
    <cellStyle name="쉼표 [0] 4 2 2 3 13 2 2 2" xfId="9757"/>
    <cellStyle name="쉼표 [0] 4 2 2 3 13 2 2 2 2" xfId="22430"/>
    <cellStyle name="쉼표 [0] 4 2 2 3 13 2 2 2 2 2" xfId="47782"/>
    <cellStyle name="쉼표 [0] 4 2 2 3 13 2 2 2 3" xfId="35110"/>
    <cellStyle name="쉼표 [0] 4 2 2 3 13 2 2 3" xfId="16094"/>
    <cellStyle name="쉼표 [0] 4 2 2 3 13 2 2 3 2" xfId="41446"/>
    <cellStyle name="쉼표 [0] 4 2 2 3 13 2 2 4" xfId="28774"/>
    <cellStyle name="쉼표 [0] 4 2 2 3 13 2 2 5" xfId="51171"/>
    <cellStyle name="쉼표 [0] 4 2 2 3 13 2 3" xfId="6659"/>
    <cellStyle name="쉼표 [0] 4 2 2 3 13 2 3 2" xfId="19332"/>
    <cellStyle name="쉼표 [0] 4 2 2 3 13 2 3 2 2" xfId="44684"/>
    <cellStyle name="쉼표 [0] 4 2 2 3 13 2 3 3" xfId="32012"/>
    <cellStyle name="쉼표 [0] 4 2 2 3 13 2 4" xfId="12996"/>
    <cellStyle name="쉼표 [0] 4 2 2 3 13 2 4 2" xfId="38348"/>
    <cellStyle name="쉼표 [0] 4 2 2 3 13 2 5" xfId="25676"/>
    <cellStyle name="쉼표 [0] 4 2 2 3 13 2 6" xfId="51172"/>
    <cellStyle name="쉼표 [0] 4 2 2 3 13 3" xfId="3422"/>
    <cellStyle name="쉼표 [0] 4 2 2 3 13 3 2" xfId="9758"/>
    <cellStyle name="쉼표 [0] 4 2 2 3 13 3 2 2" xfId="22431"/>
    <cellStyle name="쉼표 [0] 4 2 2 3 13 3 2 2 2" xfId="47783"/>
    <cellStyle name="쉼표 [0] 4 2 2 3 13 3 2 3" xfId="35111"/>
    <cellStyle name="쉼표 [0] 4 2 2 3 13 3 3" xfId="16095"/>
    <cellStyle name="쉼표 [0] 4 2 2 3 13 3 3 2" xfId="41447"/>
    <cellStyle name="쉼표 [0] 4 2 2 3 13 3 4" xfId="28775"/>
    <cellStyle name="쉼표 [0] 4 2 2 3 13 3 5" xfId="51173"/>
    <cellStyle name="쉼표 [0] 4 2 2 3 13 4" xfId="6658"/>
    <cellStyle name="쉼표 [0] 4 2 2 3 13 4 2" xfId="19331"/>
    <cellStyle name="쉼표 [0] 4 2 2 3 13 4 2 2" xfId="44683"/>
    <cellStyle name="쉼표 [0] 4 2 2 3 13 4 3" xfId="32011"/>
    <cellStyle name="쉼표 [0] 4 2 2 3 13 5" xfId="12995"/>
    <cellStyle name="쉼표 [0] 4 2 2 3 13 5 2" xfId="38347"/>
    <cellStyle name="쉼표 [0] 4 2 2 3 13 6" xfId="25675"/>
    <cellStyle name="쉼표 [0] 4 2 2 3 13 7" xfId="51174"/>
    <cellStyle name="쉼표 [0] 4 2 2 3 14" xfId="323"/>
    <cellStyle name="쉼표 [0] 4 2 2 3 14 2" xfId="324"/>
    <cellStyle name="쉼표 [0] 4 2 2 3 14 2 2" xfId="3423"/>
    <cellStyle name="쉼표 [0] 4 2 2 3 14 2 2 2" xfId="9759"/>
    <cellStyle name="쉼표 [0] 4 2 2 3 14 2 2 2 2" xfId="22432"/>
    <cellStyle name="쉼표 [0] 4 2 2 3 14 2 2 2 2 2" xfId="47784"/>
    <cellStyle name="쉼표 [0] 4 2 2 3 14 2 2 2 3" xfId="35112"/>
    <cellStyle name="쉼표 [0] 4 2 2 3 14 2 2 3" xfId="16096"/>
    <cellStyle name="쉼표 [0] 4 2 2 3 14 2 2 3 2" xfId="41448"/>
    <cellStyle name="쉼표 [0] 4 2 2 3 14 2 2 4" xfId="28776"/>
    <cellStyle name="쉼표 [0] 4 2 2 3 14 2 2 5" xfId="51175"/>
    <cellStyle name="쉼표 [0] 4 2 2 3 14 2 3" xfId="6661"/>
    <cellStyle name="쉼표 [0] 4 2 2 3 14 2 3 2" xfId="19334"/>
    <cellStyle name="쉼표 [0] 4 2 2 3 14 2 3 2 2" xfId="44686"/>
    <cellStyle name="쉼표 [0] 4 2 2 3 14 2 3 3" xfId="32014"/>
    <cellStyle name="쉼표 [0] 4 2 2 3 14 2 4" xfId="12998"/>
    <cellStyle name="쉼표 [0] 4 2 2 3 14 2 4 2" xfId="38350"/>
    <cellStyle name="쉼표 [0] 4 2 2 3 14 2 5" xfId="25678"/>
    <cellStyle name="쉼표 [0] 4 2 2 3 14 2 6" xfId="51176"/>
    <cellStyle name="쉼표 [0] 4 2 2 3 14 3" xfId="3424"/>
    <cellStyle name="쉼표 [0] 4 2 2 3 14 3 2" xfId="9760"/>
    <cellStyle name="쉼표 [0] 4 2 2 3 14 3 2 2" xfId="22433"/>
    <cellStyle name="쉼표 [0] 4 2 2 3 14 3 2 2 2" xfId="47785"/>
    <cellStyle name="쉼표 [0] 4 2 2 3 14 3 2 3" xfId="35113"/>
    <cellStyle name="쉼표 [0] 4 2 2 3 14 3 3" xfId="16097"/>
    <cellStyle name="쉼표 [0] 4 2 2 3 14 3 3 2" xfId="41449"/>
    <cellStyle name="쉼표 [0] 4 2 2 3 14 3 4" xfId="28777"/>
    <cellStyle name="쉼표 [0] 4 2 2 3 14 3 5" xfId="51177"/>
    <cellStyle name="쉼표 [0] 4 2 2 3 14 4" xfId="6660"/>
    <cellStyle name="쉼표 [0] 4 2 2 3 14 4 2" xfId="19333"/>
    <cellStyle name="쉼표 [0] 4 2 2 3 14 4 2 2" xfId="44685"/>
    <cellStyle name="쉼표 [0] 4 2 2 3 14 4 3" xfId="32013"/>
    <cellStyle name="쉼표 [0] 4 2 2 3 14 5" xfId="12997"/>
    <cellStyle name="쉼표 [0] 4 2 2 3 14 5 2" xfId="38349"/>
    <cellStyle name="쉼표 [0] 4 2 2 3 14 6" xfId="25677"/>
    <cellStyle name="쉼표 [0] 4 2 2 3 14 7" xfId="51178"/>
    <cellStyle name="쉼표 [0] 4 2 2 3 15" xfId="325"/>
    <cellStyle name="쉼표 [0] 4 2 2 3 15 2" xfId="326"/>
    <cellStyle name="쉼표 [0] 4 2 2 3 15 2 2" xfId="3425"/>
    <cellStyle name="쉼표 [0] 4 2 2 3 15 2 2 2" xfId="9761"/>
    <cellStyle name="쉼표 [0] 4 2 2 3 15 2 2 2 2" xfId="22434"/>
    <cellStyle name="쉼표 [0] 4 2 2 3 15 2 2 2 2 2" xfId="47786"/>
    <cellStyle name="쉼표 [0] 4 2 2 3 15 2 2 2 3" xfId="35114"/>
    <cellStyle name="쉼표 [0] 4 2 2 3 15 2 2 3" xfId="16098"/>
    <cellStyle name="쉼표 [0] 4 2 2 3 15 2 2 3 2" xfId="41450"/>
    <cellStyle name="쉼표 [0] 4 2 2 3 15 2 2 4" xfId="28778"/>
    <cellStyle name="쉼표 [0] 4 2 2 3 15 2 2 5" xfId="51179"/>
    <cellStyle name="쉼표 [0] 4 2 2 3 15 2 3" xfId="6663"/>
    <cellStyle name="쉼표 [0] 4 2 2 3 15 2 3 2" xfId="19336"/>
    <cellStyle name="쉼표 [0] 4 2 2 3 15 2 3 2 2" xfId="44688"/>
    <cellStyle name="쉼표 [0] 4 2 2 3 15 2 3 3" xfId="32016"/>
    <cellStyle name="쉼표 [0] 4 2 2 3 15 2 4" xfId="13000"/>
    <cellStyle name="쉼표 [0] 4 2 2 3 15 2 4 2" xfId="38352"/>
    <cellStyle name="쉼표 [0] 4 2 2 3 15 2 5" xfId="25680"/>
    <cellStyle name="쉼표 [0] 4 2 2 3 15 2 6" xfId="51180"/>
    <cellStyle name="쉼표 [0] 4 2 2 3 15 3" xfId="3426"/>
    <cellStyle name="쉼표 [0] 4 2 2 3 15 3 2" xfId="9762"/>
    <cellStyle name="쉼표 [0] 4 2 2 3 15 3 2 2" xfId="22435"/>
    <cellStyle name="쉼표 [0] 4 2 2 3 15 3 2 2 2" xfId="47787"/>
    <cellStyle name="쉼표 [0] 4 2 2 3 15 3 2 3" xfId="35115"/>
    <cellStyle name="쉼표 [0] 4 2 2 3 15 3 3" xfId="16099"/>
    <cellStyle name="쉼표 [0] 4 2 2 3 15 3 3 2" xfId="41451"/>
    <cellStyle name="쉼표 [0] 4 2 2 3 15 3 4" xfId="28779"/>
    <cellStyle name="쉼표 [0] 4 2 2 3 15 3 5" xfId="51181"/>
    <cellStyle name="쉼표 [0] 4 2 2 3 15 4" xfId="6662"/>
    <cellStyle name="쉼표 [0] 4 2 2 3 15 4 2" xfId="19335"/>
    <cellStyle name="쉼표 [0] 4 2 2 3 15 4 2 2" xfId="44687"/>
    <cellStyle name="쉼표 [0] 4 2 2 3 15 4 3" xfId="32015"/>
    <cellStyle name="쉼표 [0] 4 2 2 3 15 5" xfId="12999"/>
    <cellStyle name="쉼표 [0] 4 2 2 3 15 5 2" xfId="38351"/>
    <cellStyle name="쉼표 [0] 4 2 2 3 15 6" xfId="25679"/>
    <cellStyle name="쉼표 [0] 4 2 2 3 15 7" xfId="51182"/>
    <cellStyle name="쉼표 [0] 4 2 2 3 16" xfId="327"/>
    <cellStyle name="쉼표 [0] 4 2 2 3 16 2" xfId="328"/>
    <cellStyle name="쉼표 [0] 4 2 2 3 16 2 2" xfId="3427"/>
    <cellStyle name="쉼표 [0] 4 2 2 3 16 2 2 2" xfId="9763"/>
    <cellStyle name="쉼표 [0] 4 2 2 3 16 2 2 2 2" xfId="22436"/>
    <cellStyle name="쉼표 [0] 4 2 2 3 16 2 2 2 2 2" xfId="47788"/>
    <cellStyle name="쉼표 [0] 4 2 2 3 16 2 2 2 3" xfId="35116"/>
    <cellStyle name="쉼표 [0] 4 2 2 3 16 2 2 3" xfId="16100"/>
    <cellStyle name="쉼표 [0] 4 2 2 3 16 2 2 3 2" xfId="41452"/>
    <cellStyle name="쉼표 [0] 4 2 2 3 16 2 2 4" xfId="28780"/>
    <cellStyle name="쉼표 [0] 4 2 2 3 16 2 2 5" xfId="51183"/>
    <cellStyle name="쉼표 [0] 4 2 2 3 16 2 3" xfId="6665"/>
    <cellStyle name="쉼표 [0] 4 2 2 3 16 2 3 2" xfId="19338"/>
    <cellStyle name="쉼표 [0] 4 2 2 3 16 2 3 2 2" xfId="44690"/>
    <cellStyle name="쉼표 [0] 4 2 2 3 16 2 3 3" xfId="32018"/>
    <cellStyle name="쉼표 [0] 4 2 2 3 16 2 4" xfId="13002"/>
    <cellStyle name="쉼표 [0] 4 2 2 3 16 2 4 2" xfId="38354"/>
    <cellStyle name="쉼표 [0] 4 2 2 3 16 2 5" xfId="25682"/>
    <cellStyle name="쉼표 [0] 4 2 2 3 16 2 6" xfId="51184"/>
    <cellStyle name="쉼표 [0] 4 2 2 3 16 3" xfId="3428"/>
    <cellStyle name="쉼표 [0] 4 2 2 3 16 3 2" xfId="9764"/>
    <cellStyle name="쉼표 [0] 4 2 2 3 16 3 2 2" xfId="22437"/>
    <cellStyle name="쉼표 [0] 4 2 2 3 16 3 2 2 2" xfId="47789"/>
    <cellStyle name="쉼표 [0] 4 2 2 3 16 3 2 3" xfId="35117"/>
    <cellStyle name="쉼표 [0] 4 2 2 3 16 3 3" xfId="16101"/>
    <cellStyle name="쉼표 [0] 4 2 2 3 16 3 3 2" xfId="41453"/>
    <cellStyle name="쉼표 [0] 4 2 2 3 16 3 4" xfId="28781"/>
    <cellStyle name="쉼표 [0] 4 2 2 3 16 3 5" xfId="51185"/>
    <cellStyle name="쉼표 [0] 4 2 2 3 16 4" xfId="6664"/>
    <cellStyle name="쉼표 [0] 4 2 2 3 16 4 2" xfId="19337"/>
    <cellStyle name="쉼표 [0] 4 2 2 3 16 4 2 2" xfId="44689"/>
    <cellStyle name="쉼표 [0] 4 2 2 3 16 4 3" xfId="32017"/>
    <cellStyle name="쉼표 [0] 4 2 2 3 16 5" xfId="13001"/>
    <cellStyle name="쉼표 [0] 4 2 2 3 16 5 2" xfId="38353"/>
    <cellStyle name="쉼표 [0] 4 2 2 3 16 6" xfId="25681"/>
    <cellStyle name="쉼표 [0] 4 2 2 3 16 7" xfId="51186"/>
    <cellStyle name="쉼표 [0] 4 2 2 3 17" xfId="329"/>
    <cellStyle name="쉼표 [0] 4 2 2 3 17 2" xfId="330"/>
    <cellStyle name="쉼표 [0] 4 2 2 3 17 2 2" xfId="3429"/>
    <cellStyle name="쉼표 [0] 4 2 2 3 17 2 2 2" xfId="9765"/>
    <cellStyle name="쉼표 [0] 4 2 2 3 17 2 2 2 2" xfId="22438"/>
    <cellStyle name="쉼표 [0] 4 2 2 3 17 2 2 2 2 2" xfId="47790"/>
    <cellStyle name="쉼표 [0] 4 2 2 3 17 2 2 2 3" xfId="35118"/>
    <cellStyle name="쉼표 [0] 4 2 2 3 17 2 2 3" xfId="16102"/>
    <cellStyle name="쉼표 [0] 4 2 2 3 17 2 2 3 2" xfId="41454"/>
    <cellStyle name="쉼표 [0] 4 2 2 3 17 2 2 4" xfId="28782"/>
    <cellStyle name="쉼표 [0] 4 2 2 3 17 2 2 5" xfId="51187"/>
    <cellStyle name="쉼표 [0] 4 2 2 3 17 2 3" xfId="6667"/>
    <cellStyle name="쉼표 [0] 4 2 2 3 17 2 3 2" xfId="19340"/>
    <cellStyle name="쉼표 [0] 4 2 2 3 17 2 3 2 2" xfId="44692"/>
    <cellStyle name="쉼표 [0] 4 2 2 3 17 2 3 3" xfId="32020"/>
    <cellStyle name="쉼표 [0] 4 2 2 3 17 2 4" xfId="13004"/>
    <cellStyle name="쉼표 [0] 4 2 2 3 17 2 4 2" xfId="38356"/>
    <cellStyle name="쉼표 [0] 4 2 2 3 17 2 5" xfId="25684"/>
    <cellStyle name="쉼표 [0] 4 2 2 3 17 2 6" xfId="51188"/>
    <cellStyle name="쉼표 [0] 4 2 2 3 17 3" xfId="3430"/>
    <cellStyle name="쉼표 [0] 4 2 2 3 17 3 2" xfId="9766"/>
    <cellStyle name="쉼표 [0] 4 2 2 3 17 3 2 2" xfId="22439"/>
    <cellStyle name="쉼표 [0] 4 2 2 3 17 3 2 2 2" xfId="47791"/>
    <cellStyle name="쉼표 [0] 4 2 2 3 17 3 2 3" xfId="35119"/>
    <cellStyle name="쉼표 [0] 4 2 2 3 17 3 3" xfId="16103"/>
    <cellStyle name="쉼표 [0] 4 2 2 3 17 3 3 2" xfId="41455"/>
    <cellStyle name="쉼표 [0] 4 2 2 3 17 3 4" xfId="28783"/>
    <cellStyle name="쉼표 [0] 4 2 2 3 17 3 5" xfId="51189"/>
    <cellStyle name="쉼표 [0] 4 2 2 3 17 4" xfId="6666"/>
    <cellStyle name="쉼표 [0] 4 2 2 3 17 4 2" xfId="19339"/>
    <cellStyle name="쉼표 [0] 4 2 2 3 17 4 2 2" xfId="44691"/>
    <cellStyle name="쉼표 [0] 4 2 2 3 17 4 3" xfId="32019"/>
    <cellStyle name="쉼표 [0] 4 2 2 3 17 5" xfId="13003"/>
    <cellStyle name="쉼표 [0] 4 2 2 3 17 5 2" xfId="38355"/>
    <cellStyle name="쉼표 [0] 4 2 2 3 17 6" xfId="25683"/>
    <cellStyle name="쉼표 [0] 4 2 2 3 17 7" xfId="51190"/>
    <cellStyle name="쉼표 [0] 4 2 2 3 18" xfId="331"/>
    <cellStyle name="쉼표 [0] 4 2 2 3 18 2" xfId="332"/>
    <cellStyle name="쉼표 [0] 4 2 2 3 18 2 2" xfId="3431"/>
    <cellStyle name="쉼표 [0] 4 2 2 3 18 2 2 2" xfId="9767"/>
    <cellStyle name="쉼표 [0] 4 2 2 3 18 2 2 2 2" xfId="22440"/>
    <cellStyle name="쉼표 [0] 4 2 2 3 18 2 2 2 2 2" xfId="47792"/>
    <cellStyle name="쉼표 [0] 4 2 2 3 18 2 2 2 3" xfId="35120"/>
    <cellStyle name="쉼표 [0] 4 2 2 3 18 2 2 3" xfId="16104"/>
    <cellStyle name="쉼표 [0] 4 2 2 3 18 2 2 3 2" xfId="41456"/>
    <cellStyle name="쉼표 [0] 4 2 2 3 18 2 2 4" xfId="28784"/>
    <cellStyle name="쉼표 [0] 4 2 2 3 18 2 2 5" xfId="51191"/>
    <cellStyle name="쉼표 [0] 4 2 2 3 18 2 3" xfId="6669"/>
    <cellStyle name="쉼표 [0] 4 2 2 3 18 2 3 2" xfId="19342"/>
    <cellStyle name="쉼표 [0] 4 2 2 3 18 2 3 2 2" xfId="44694"/>
    <cellStyle name="쉼표 [0] 4 2 2 3 18 2 3 3" xfId="32022"/>
    <cellStyle name="쉼표 [0] 4 2 2 3 18 2 4" xfId="13006"/>
    <cellStyle name="쉼표 [0] 4 2 2 3 18 2 4 2" xfId="38358"/>
    <cellStyle name="쉼표 [0] 4 2 2 3 18 2 5" xfId="25686"/>
    <cellStyle name="쉼표 [0] 4 2 2 3 18 2 6" xfId="51192"/>
    <cellStyle name="쉼표 [0] 4 2 2 3 18 3" xfId="3432"/>
    <cellStyle name="쉼표 [0] 4 2 2 3 18 3 2" xfId="9768"/>
    <cellStyle name="쉼표 [0] 4 2 2 3 18 3 2 2" xfId="22441"/>
    <cellStyle name="쉼표 [0] 4 2 2 3 18 3 2 2 2" xfId="47793"/>
    <cellStyle name="쉼표 [0] 4 2 2 3 18 3 2 3" xfId="35121"/>
    <cellStyle name="쉼표 [0] 4 2 2 3 18 3 3" xfId="16105"/>
    <cellStyle name="쉼표 [0] 4 2 2 3 18 3 3 2" xfId="41457"/>
    <cellStyle name="쉼표 [0] 4 2 2 3 18 3 4" xfId="28785"/>
    <cellStyle name="쉼표 [0] 4 2 2 3 18 3 5" xfId="51193"/>
    <cellStyle name="쉼표 [0] 4 2 2 3 18 4" xfId="6668"/>
    <cellStyle name="쉼표 [0] 4 2 2 3 18 4 2" xfId="19341"/>
    <cellStyle name="쉼표 [0] 4 2 2 3 18 4 2 2" xfId="44693"/>
    <cellStyle name="쉼표 [0] 4 2 2 3 18 4 3" xfId="32021"/>
    <cellStyle name="쉼표 [0] 4 2 2 3 18 5" xfId="13005"/>
    <cellStyle name="쉼표 [0] 4 2 2 3 18 5 2" xfId="38357"/>
    <cellStyle name="쉼표 [0] 4 2 2 3 18 6" xfId="25685"/>
    <cellStyle name="쉼표 [0] 4 2 2 3 18 7" xfId="51194"/>
    <cellStyle name="쉼표 [0] 4 2 2 3 19" xfId="333"/>
    <cellStyle name="쉼표 [0] 4 2 2 3 19 2" xfId="334"/>
    <cellStyle name="쉼표 [0] 4 2 2 3 19 2 2" xfId="3433"/>
    <cellStyle name="쉼표 [0] 4 2 2 3 19 2 2 2" xfId="9769"/>
    <cellStyle name="쉼표 [0] 4 2 2 3 19 2 2 2 2" xfId="22442"/>
    <cellStyle name="쉼표 [0] 4 2 2 3 19 2 2 2 2 2" xfId="47794"/>
    <cellStyle name="쉼표 [0] 4 2 2 3 19 2 2 2 3" xfId="35122"/>
    <cellStyle name="쉼표 [0] 4 2 2 3 19 2 2 3" xfId="16106"/>
    <cellStyle name="쉼표 [0] 4 2 2 3 19 2 2 3 2" xfId="41458"/>
    <cellStyle name="쉼표 [0] 4 2 2 3 19 2 2 4" xfId="28786"/>
    <cellStyle name="쉼표 [0] 4 2 2 3 19 2 2 5" xfId="51195"/>
    <cellStyle name="쉼표 [0] 4 2 2 3 19 2 3" xfId="6671"/>
    <cellStyle name="쉼표 [0] 4 2 2 3 19 2 3 2" xfId="19344"/>
    <cellStyle name="쉼표 [0] 4 2 2 3 19 2 3 2 2" xfId="44696"/>
    <cellStyle name="쉼표 [0] 4 2 2 3 19 2 3 3" xfId="32024"/>
    <cellStyle name="쉼표 [0] 4 2 2 3 19 2 4" xfId="13008"/>
    <cellStyle name="쉼표 [0] 4 2 2 3 19 2 4 2" xfId="38360"/>
    <cellStyle name="쉼표 [0] 4 2 2 3 19 2 5" xfId="25688"/>
    <cellStyle name="쉼표 [0] 4 2 2 3 19 2 6" xfId="51196"/>
    <cellStyle name="쉼표 [0] 4 2 2 3 19 3" xfId="3434"/>
    <cellStyle name="쉼표 [0] 4 2 2 3 19 3 2" xfId="9770"/>
    <cellStyle name="쉼표 [0] 4 2 2 3 19 3 2 2" xfId="22443"/>
    <cellStyle name="쉼표 [0] 4 2 2 3 19 3 2 2 2" xfId="47795"/>
    <cellStyle name="쉼표 [0] 4 2 2 3 19 3 2 3" xfId="35123"/>
    <cellStyle name="쉼표 [0] 4 2 2 3 19 3 3" xfId="16107"/>
    <cellStyle name="쉼표 [0] 4 2 2 3 19 3 3 2" xfId="41459"/>
    <cellStyle name="쉼표 [0] 4 2 2 3 19 3 4" xfId="28787"/>
    <cellStyle name="쉼표 [0] 4 2 2 3 19 3 5" xfId="51197"/>
    <cellStyle name="쉼표 [0] 4 2 2 3 19 4" xfId="6670"/>
    <cellStyle name="쉼표 [0] 4 2 2 3 19 4 2" xfId="19343"/>
    <cellStyle name="쉼표 [0] 4 2 2 3 19 4 2 2" xfId="44695"/>
    <cellStyle name="쉼표 [0] 4 2 2 3 19 4 3" xfId="32023"/>
    <cellStyle name="쉼표 [0] 4 2 2 3 19 5" xfId="13007"/>
    <cellStyle name="쉼표 [0] 4 2 2 3 19 5 2" xfId="38359"/>
    <cellStyle name="쉼표 [0] 4 2 2 3 19 6" xfId="25687"/>
    <cellStyle name="쉼표 [0] 4 2 2 3 19 7" xfId="51198"/>
    <cellStyle name="쉼표 [0] 4 2 2 3 2" xfId="335"/>
    <cellStyle name="쉼표 [0] 4 2 2 3 2 2" xfId="336"/>
    <cellStyle name="쉼표 [0] 4 2 2 3 2 2 2" xfId="3435"/>
    <cellStyle name="쉼표 [0] 4 2 2 3 2 2 2 2" xfId="9771"/>
    <cellStyle name="쉼표 [0] 4 2 2 3 2 2 2 2 2" xfId="22444"/>
    <cellStyle name="쉼표 [0] 4 2 2 3 2 2 2 2 2 2" xfId="47796"/>
    <cellStyle name="쉼표 [0] 4 2 2 3 2 2 2 2 3" xfId="35124"/>
    <cellStyle name="쉼표 [0] 4 2 2 3 2 2 2 3" xfId="16108"/>
    <cellStyle name="쉼표 [0] 4 2 2 3 2 2 2 3 2" xfId="41460"/>
    <cellStyle name="쉼표 [0] 4 2 2 3 2 2 2 4" xfId="28788"/>
    <cellStyle name="쉼표 [0] 4 2 2 3 2 2 2 5" xfId="51199"/>
    <cellStyle name="쉼표 [0] 4 2 2 3 2 2 3" xfId="6673"/>
    <cellStyle name="쉼표 [0] 4 2 2 3 2 2 3 2" xfId="19346"/>
    <cellStyle name="쉼표 [0] 4 2 2 3 2 2 3 2 2" xfId="44698"/>
    <cellStyle name="쉼표 [0] 4 2 2 3 2 2 3 3" xfId="32026"/>
    <cellStyle name="쉼표 [0] 4 2 2 3 2 2 4" xfId="13010"/>
    <cellStyle name="쉼표 [0] 4 2 2 3 2 2 4 2" xfId="38362"/>
    <cellStyle name="쉼표 [0] 4 2 2 3 2 2 5" xfId="25690"/>
    <cellStyle name="쉼표 [0] 4 2 2 3 2 2 6" xfId="51200"/>
    <cellStyle name="쉼표 [0] 4 2 2 3 2 3" xfId="3436"/>
    <cellStyle name="쉼표 [0] 4 2 2 3 2 3 2" xfId="9772"/>
    <cellStyle name="쉼표 [0] 4 2 2 3 2 3 2 2" xfId="22445"/>
    <cellStyle name="쉼표 [0] 4 2 2 3 2 3 2 2 2" xfId="47797"/>
    <cellStyle name="쉼표 [0] 4 2 2 3 2 3 2 3" xfId="35125"/>
    <cellStyle name="쉼표 [0] 4 2 2 3 2 3 3" xfId="16109"/>
    <cellStyle name="쉼표 [0] 4 2 2 3 2 3 3 2" xfId="41461"/>
    <cellStyle name="쉼표 [0] 4 2 2 3 2 3 4" xfId="28789"/>
    <cellStyle name="쉼표 [0] 4 2 2 3 2 3 5" xfId="51201"/>
    <cellStyle name="쉼표 [0] 4 2 2 3 2 4" xfId="6672"/>
    <cellStyle name="쉼표 [0] 4 2 2 3 2 4 2" xfId="19345"/>
    <cellStyle name="쉼표 [0] 4 2 2 3 2 4 2 2" xfId="44697"/>
    <cellStyle name="쉼표 [0] 4 2 2 3 2 4 3" xfId="32025"/>
    <cellStyle name="쉼표 [0] 4 2 2 3 2 5" xfId="13009"/>
    <cellStyle name="쉼표 [0] 4 2 2 3 2 5 2" xfId="38361"/>
    <cellStyle name="쉼표 [0] 4 2 2 3 2 6" xfId="25689"/>
    <cellStyle name="쉼표 [0] 4 2 2 3 2 7" xfId="51202"/>
    <cellStyle name="쉼표 [0] 4 2 2 3 20" xfId="337"/>
    <cellStyle name="쉼표 [0] 4 2 2 3 20 2" xfId="338"/>
    <cellStyle name="쉼표 [0] 4 2 2 3 20 2 2" xfId="3437"/>
    <cellStyle name="쉼표 [0] 4 2 2 3 20 2 2 2" xfId="9773"/>
    <cellStyle name="쉼표 [0] 4 2 2 3 20 2 2 2 2" xfId="22446"/>
    <cellStyle name="쉼표 [0] 4 2 2 3 20 2 2 2 2 2" xfId="47798"/>
    <cellStyle name="쉼표 [0] 4 2 2 3 20 2 2 2 3" xfId="35126"/>
    <cellStyle name="쉼표 [0] 4 2 2 3 20 2 2 3" xfId="16110"/>
    <cellStyle name="쉼표 [0] 4 2 2 3 20 2 2 3 2" xfId="41462"/>
    <cellStyle name="쉼표 [0] 4 2 2 3 20 2 2 4" xfId="28790"/>
    <cellStyle name="쉼표 [0] 4 2 2 3 20 2 2 5" xfId="51203"/>
    <cellStyle name="쉼표 [0] 4 2 2 3 20 2 3" xfId="6675"/>
    <cellStyle name="쉼표 [0] 4 2 2 3 20 2 3 2" xfId="19348"/>
    <cellStyle name="쉼표 [0] 4 2 2 3 20 2 3 2 2" xfId="44700"/>
    <cellStyle name="쉼표 [0] 4 2 2 3 20 2 3 3" xfId="32028"/>
    <cellStyle name="쉼표 [0] 4 2 2 3 20 2 4" xfId="13012"/>
    <cellStyle name="쉼표 [0] 4 2 2 3 20 2 4 2" xfId="38364"/>
    <cellStyle name="쉼표 [0] 4 2 2 3 20 2 5" xfId="25692"/>
    <cellStyle name="쉼표 [0] 4 2 2 3 20 2 6" xfId="51204"/>
    <cellStyle name="쉼표 [0] 4 2 2 3 20 3" xfId="3438"/>
    <cellStyle name="쉼표 [0] 4 2 2 3 20 3 2" xfId="9774"/>
    <cellStyle name="쉼표 [0] 4 2 2 3 20 3 2 2" xfId="22447"/>
    <cellStyle name="쉼표 [0] 4 2 2 3 20 3 2 2 2" xfId="47799"/>
    <cellStyle name="쉼표 [0] 4 2 2 3 20 3 2 3" xfId="35127"/>
    <cellStyle name="쉼표 [0] 4 2 2 3 20 3 3" xfId="16111"/>
    <cellStyle name="쉼표 [0] 4 2 2 3 20 3 3 2" xfId="41463"/>
    <cellStyle name="쉼표 [0] 4 2 2 3 20 3 4" xfId="28791"/>
    <cellStyle name="쉼표 [0] 4 2 2 3 20 3 5" xfId="51205"/>
    <cellStyle name="쉼표 [0] 4 2 2 3 20 4" xfId="6674"/>
    <cellStyle name="쉼표 [0] 4 2 2 3 20 4 2" xfId="19347"/>
    <cellStyle name="쉼표 [0] 4 2 2 3 20 4 2 2" xfId="44699"/>
    <cellStyle name="쉼표 [0] 4 2 2 3 20 4 3" xfId="32027"/>
    <cellStyle name="쉼표 [0] 4 2 2 3 20 5" xfId="13011"/>
    <cellStyle name="쉼표 [0] 4 2 2 3 20 5 2" xfId="38363"/>
    <cellStyle name="쉼표 [0] 4 2 2 3 20 6" xfId="25691"/>
    <cellStyle name="쉼표 [0] 4 2 2 3 20 7" xfId="51206"/>
    <cellStyle name="쉼표 [0] 4 2 2 3 21" xfId="339"/>
    <cellStyle name="쉼표 [0] 4 2 2 3 21 2" xfId="340"/>
    <cellStyle name="쉼표 [0] 4 2 2 3 21 2 2" xfId="3439"/>
    <cellStyle name="쉼표 [0] 4 2 2 3 21 2 2 2" xfId="9775"/>
    <cellStyle name="쉼표 [0] 4 2 2 3 21 2 2 2 2" xfId="22448"/>
    <cellStyle name="쉼표 [0] 4 2 2 3 21 2 2 2 2 2" xfId="47800"/>
    <cellStyle name="쉼표 [0] 4 2 2 3 21 2 2 2 3" xfId="35128"/>
    <cellStyle name="쉼표 [0] 4 2 2 3 21 2 2 3" xfId="16112"/>
    <cellStyle name="쉼표 [0] 4 2 2 3 21 2 2 3 2" xfId="41464"/>
    <cellStyle name="쉼표 [0] 4 2 2 3 21 2 2 4" xfId="28792"/>
    <cellStyle name="쉼표 [0] 4 2 2 3 21 2 2 5" xfId="51207"/>
    <cellStyle name="쉼표 [0] 4 2 2 3 21 2 3" xfId="6677"/>
    <cellStyle name="쉼표 [0] 4 2 2 3 21 2 3 2" xfId="19350"/>
    <cellStyle name="쉼표 [0] 4 2 2 3 21 2 3 2 2" xfId="44702"/>
    <cellStyle name="쉼표 [0] 4 2 2 3 21 2 3 3" xfId="32030"/>
    <cellStyle name="쉼표 [0] 4 2 2 3 21 2 4" xfId="13014"/>
    <cellStyle name="쉼표 [0] 4 2 2 3 21 2 4 2" xfId="38366"/>
    <cellStyle name="쉼표 [0] 4 2 2 3 21 2 5" xfId="25694"/>
    <cellStyle name="쉼표 [0] 4 2 2 3 21 2 6" xfId="51208"/>
    <cellStyle name="쉼표 [0] 4 2 2 3 21 3" xfId="3440"/>
    <cellStyle name="쉼표 [0] 4 2 2 3 21 3 2" xfId="9776"/>
    <cellStyle name="쉼표 [0] 4 2 2 3 21 3 2 2" xfId="22449"/>
    <cellStyle name="쉼표 [0] 4 2 2 3 21 3 2 2 2" xfId="47801"/>
    <cellStyle name="쉼표 [0] 4 2 2 3 21 3 2 3" xfId="35129"/>
    <cellStyle name="쉼표 [0] 4 2 2 3 21 3 3" xfId="16113"/>
    <cellStyle name="쉼표 [0] 4 2 2 3 21 3 3 2" xfId="41465"/>
    <cellStyle name="쉼표 [0] 4 2 2 3 21 3 4" xfId="28793"/>
    <cellStyle name="쉼표 [0] 4 2 2 3 21 3 5" xfId="51209"/>
    <cellStyle name="쉼표 [0] 4 2 2 3 21 4" xfId="6676"/>
    <cellStyle name="쉼표 [0] 4 2 2 3 21 4 2" xfId="19349"/>
    <cellStyle name="쉼표 [0] 4 2 2 3 21 4 2 2" xfId="44701"/>
    <cellStyle name="쉼표 [0] 4 2 2 3 21 4 3" xfId="32029"/>
    <cellStyle name="쉼표 [0] 4 2 2 3 21 5" xfId="13013"/>
    <cellStyle name="쉼표 [0] 4 2 2 3 21 5 2" xfId="38365"/>
    <cellStyle name="쉼표 [0] 4 2 2 3 21 6" xfId="25693"/>
    <cellStyle name="쉼표 [0] 4 2 2 3 21 7" xfId="51210"/>
    <cellStyle name="쉼표 [0] 4 2 2 3 22" xfId="341"/>
    <cellStyle name="쉼표 [0] 4 2 2 3 22 2" xfId="342"/>
    <cellStyle name="쉼표 [0] 4 2 2 3 22 2 2" xfId="3441"/>
    <cellStyle name="쉼표 [0] 4 2 2 3 22 2 2 2" xfId="9777"/>
    <cellStyle name="쉼표 [0] 4 2 2 3 22 2 2 2 2" xfId="22450"/>
    <cellStyle name="쉼표 [0] 4 2 2 3 22 2 2 2 2 2" xfId="47802"/>
    <cellStyle name="쉼표 [0] 4 2 2 3 22 2 2 2 3" xfId="35130"/>
    <cellStyle name="쉼표 [0] 4 2 2 3 22 2 2 3" xfId="16114"/>
    <cellStyle name="쉼표 [0] 4 2 2 3 22 2 2 3 2" xfId="41466"/>
    <cellStyle name="쉼표 [0] 4 2 2 3 22 2 2 4" xfId="28794"/>
    <cellStyle name="쉼표 [0] 4 2 2 3 22 2 2 5" xfId="51211"/>
    <cellStyle name="쉼표 [0] 4 2 2 3 22 2 3" xfId="6679"/>
    <cellStyle name="쉼표 [0] 4 2 2 3 22 2 3 2" xfId="19352"/>
    <cellStyle name="쉼표 [0] 4 2 2 3 22 2 3 2 2" xfId="44704"/>
    <cellStyle name="쉼표 [0] 4 2 2 3 22 2 3 3" xfId="32032"/>
    <cellStyle name="쉼표 [0] 4 2 2 3 22 2 4" xfId="13016"/>
    <cellStyle name="쉼표 [0] 4 2 2 3 22 2 4 2" xfId="38368"/>
    <cellStyle name="쉼표 [0] 4 2 2 3 22 2 5" xfId="25696"/>
    <cellStyle name="쉼표 [0] 4 2 2 3 22 2 6" xfId="51212"/>
    <cellStyle name="쉼표 [0] 4 2 2 3 22 3" xfId="3442"/>
    <cellStyle name="쉼표 [0] 4 2 2 3 22 3 2" xfId="9778"/>
    <cellStyle name="쉼표 [0] 4 2 2 3 22 3 2 2" xfId="22451"/>
    <cellStyle name="쉼표 [0] 4 2 2 3 22 3 2 2 2" xfId="47803"/>
    <cellStyle name="쉼표 [0] 4 2 2 3 22 3 2 3" xfId="35131"/>
    <cellStyle name="쉼표 [0] 4 2 2 3 22 3 3" xfId="16115"/>
    <cellStyle name="쉼표 [0] 4 2 2 3 22 3 3 2" xfId="41467"/>
    <cellStyle name="쉼표 [0] 4 2 2 3 22 3 4" xfId="28795"/>
    <cellStyle name="쉼표 [0] 4 2 2 3 22 3 5" xfId="51213"/>
    <cellStyle name="쉼표 [0] 4 2 2 3 22 4" xfId="6678"/>
    <cellStyle name="쉼표 [0] 4 2 2 3 22 4 2" xfId="19351"/>
    <cellStyle name="쉼표 [0] 4 2 2 3 22 4 2 2" xfId="44703"/>
    <cellStyle name="쉼표 [0] 4 2 2 3 22 4 3" xfId="32031"/>
    <cellStyle name="쉼표 [0] 4 2 2 3 22 5" xfId="13015"/>
    <cellStyle name="쉼표 [0] 4 2 2 3 22 5 2" xfId="38367"/>
    <cellStyle name="쉼표 [0] 4 2 2 3 22 6" xfId="25695"/>
    <cellStyle name="쉼표 [0] 4 2 2 3 22 7" xfId="51214"/>
    <cellStyle name="쉼표 [0] 4 2 2 3 23" xfId="343"/>
    <cellStyle name="쉼표 [0] 4 2 2 3 23 2" xfId="344"/>
    <cellStyle name="쉼표 [0] 4 2 2 3 23 2 2" xfId="3443"/>
    <cellStyle name="쉼표 [0] 4 2 2 3 23 2 2 2" xfId="9779"/>
    <cellStyle name="쉼표 [0] 4 2 2 3 23 2 2 2 2" xfId="22452"/>
    <cellStyle name="쉼표 [0] 4 2 2 3 23 2 2 2 2 2" xfId="47804"/>
    <cellStyle name="쉼표 [0] 4 2 2 3 23 2 2 2 3" xfId="35132"/>
    <cellStyle name="쉼표 [0] 4 2 2 3 23 2 2 3" xfId="16116"/>
    <cellStyle name="쉼표 [0] 4 2 2 3 23 2 2 3 2" xfId="41468"/>
    <cellStyle name="쉼표 [0] 4 2 2 3 23 2 2 4" xfId="28796"/>
    <cellStyle name="쉼표 [0] 4 2 2 3 23 2 2 5" xfId="51215"/>
    <cellStyle name="쉼표 [0] 4 2 2 3 23 2 3" xfId="6681"/>
    <cellStyle name="쉼표 [0] 4 2 2 3 23 2 3 2" xfId="19354"/>
    <cellStyle name="쉼표 [0] 4 2 2 3 23 2 3 2 2" xfId="44706"/>
    <cellStyle name="쉼표 [0] 4 2 2 3 23 2 3 3" xfId="32034"/>
    <cellStyle name="쉼표 [0] 4 2 2 3 23 2 4" xfId="13018"/>
    <cellStyle name="쉼표 [0] 4 2 2 3 23 2 4 2" xfId="38370"/>
    <cellStyle name="쉼표 [0] 4 2 2 3 23 2 5" xfId="25698"/>
    <cellStyle name="쉼표 [0] 4 2 2 3 23 2 6" xfId="51216"/>
    <cellStyle name="쉼표 [0] 4 2 2 3 23 3" xfId="3444"/>
    <cellStyle name="쉼표 [0] 4 2 2 3 23 3 2" xfId="9780"/>
    <cellStyle name="쉼표 [0] 4 2 2 3 23 3 2 2" xfId="22453"/>
    <cellStyle name="쉼표 [0] 4 2 2 3 23 3 2 2 2" xfId="47805"/>
    <cellStyle name="쉼표 [0] 4 2 2 3 23 3 2 3" xfId="35133"/>
    <cellStyle name="쉼표 [0] 4 2 2 3 23 3 3" xfId="16117"/>
    <cellStyle name="쉼표 [0] 4 2 2 3 23 3 3 2" xfId="41469"/>
    <cellStyle name="쉼표 [0] 4 2 2 3 23 3 4" xfId="28797"/>
    <cellStyle name="쉼표 [0] 4 2 2 3 23 3 5" xfId="51217"/>
    <cellStyle name="쉼표 [0] 4 2 2 3 23 4" xfId="6680"/>
    <cellStyle name="쉼표 [0] 4 2 2 3 23 4 2" xfId="19353"/>
    <cellStyle name="쉼표 [0] 4 2 2 3 23 4 2 2" xfId="44705"/>
    <cellStyle name="쉼표 [0] 4 2 2 3 23 4 3" xfId="32033"/>
    <cellStyle name="쉼표 [0] 4 2 2 3 23 5" xfId="13017"/>
    <cellStyle name="쉼표 [0] 4 2 2 3 23 5 2" xfId="38369"/>
    <cellStyle name="쉼표 [0] 4 2 2 3 23 6" xfId="25697"/>
    <cellStyle name="쉼표 [0] 4 2 2 3 23 7" xfId="51218"/>
    <cellStyle name="쉼표 [0] 4 2 2 3 24" xfId="345"/>
    <cellStyle name="쉼표 [0] 4 2 2 3 24 2" xfId="346"/>
    <cellStyle name="쉼표 [0] 4 2 2 3 24 2 2" xfId="3445"/>
    <cellStyle name="쉼표 [0] 4 2 2 3 24 2 2 2" xfId="9781"/>
    <cellStyle name="쉼표 [0] 4 2 2 3 24 2 2 2 2" xfId="22454"/>
    <cellStyle name="쉼표 [0] 4 2 2 3 24 2 2 2 2 2" xfId="47806"/>
    <cellStyle name="쉼표 [0] 4 2 2 3 24 2 2 2 3" xfId="35134"/>
    <cellStyle name="쉼표 [0] 4 2 2 3 24 2 2 3" xfId="16118"/>
    <cellStyle name="쉼표 [0] 4 2 2 3 24 2 2 3 2" xfId="41470"/>
    <cellStyle name="쉼표 [0] 4 2 2 3 24 2 2 4" xfId="28798"/>
    <cellStyle name="쉼표 [0] 4 2 2 3 24 2 2 5" xfId="51219"/>
    <cellStyle name="쉼표 [0] 4 2 2 3 24 2 3" xfId="6683"/>
    <cellStyle name="쉼표 [0] 4 2 2 3 24 2 3 2" xfId="19356"/>
    <cellStyle name="쉼표 [0] 4 2 2 3 24 2 3 2 2" xfId="44708"/>
    <cellStyle name="쉼표 [0] 4 2 2 3 24 2 3 3" xfId="32036"/>
    <cellStyle name="쉼표 [0] 4 2 2 3 24 2 4" xfId="13020"/>
    <cellStyle name="쉼표 [0] 4 2 2 3 24 2 4 2" xfId="38372"/>
    <cellStyle name="쉼표 [0] 4 2 2 3 24 2 5" xfId="25700"/>
    <cellStyle name="쉼표 [0] 4 2 2 3 24 2 6" xfId="51220"/>
    <cellStyle name="쉼표 [0] 4 2 2 3 24 3" xfId="3446"/>
    <cellStyle name="쉼표 [0] 4 2 2 3 24 3 2" xfId="9782"/>
    <cellStyle name="쉼표 [0] 4 2 2 3 24 3 2 2" xfId="22455"/>
    <cellStyle name="쉼표 [0] 4 2 2 3 24 3 2 2 2" xfId="47807"/>
    <cellStyle name="쉼표 [0] 4 2 2 3 24 3 2 3" xfId="35135"/>
    <cellStyle name="쉼표 [0] 4 2 2 3 24 3 3" xfId="16119"/>
    <cellStyle name="쉼표 [0] 4 2 2 3 24 3 3 2" xfId="41471"/>
    <cellStyle name="쉼표 [0] 4 2 2 3 24 3 4" xfId="28799"/>
    <cellStyle name="쉼표 [0] 4 2 2 3 24 3 5" xfId="51221"/>
    <cellStyle name="쉼표 [0] 4 2 2 3 24 4" xfId="6682"/>
    <cellStyle name="쉼표 [0] 4 2 2 3 24 4 2" xfId="19355"/>
    <cellStyle name="쉼표 [0] 4 2 2 3 24 4 2 2" xfId="44707"/>
    <cellStyle name="쉼표 [0] 4 2 2 3 24 4 3" xfId="32035"/>
    <cellStyle name="쉼표 [0] 4 2 2 3 24 5" xfId="13019"/>
    <cellStyle name="쉼표 [0] 4 2 2 3 24 5 2" xfId="38371"/>
    <cellStyle name="쉼표 [0] 4 2 2 3 24 6" xfId="25699"/>
    <cellStyle name="쉼표 [0] 4 2 2 3 24 7" xfId="51222"/>
    <cellStyle name="쉼표 [0] 4 2 2 3 25" xfId="347"/>
    <cellStyle name="쉼표 [0] 4 2 2 3 25 2" xfId="348"/>
    <cellStyle name="쉼표 [0] 4 2 2 3 25 2 2" xfId="3447"/>
    <cellStyle name="쉼표 [0] 4 2 2 3 25 2 2 2" xfId="9783"/>
    <cellStyle name="쉼표 [0] 4 2 2 3 25 2 2 2 2" xfId="22456"/>
    <cellStyle name="쉼표 [0] 4 2 2 3 25 2 2 2 2 2" xfId="47808"/>
    <cellStyle name="쉼표 [0] 4 2 2 3 25 2 2 2 3" xfId="35136"/>
    <cellStyle name="쉼표 [0] 4 2 2 3 25 2 2 3" xfId="16120"/>
    <cellStyle name="쉼표 [0] 4 2 2 3 25 2 2 3 2" xfId="41472"/>
    <cellStyle name="쉼표 [0] 4 2 2 3 25 2 2 4" xfId="28800"/>
    <cellStyle name="쉼표 [0] 4 2 2 3 25 2 2 5" xfId="51223"/>
    <cellStyle name="쉼표 [0] 4 2 2 3 25 2 3" xfId="6685"/>
    <cellStyle name="쉼표 [0] 4 2 2 3 25 2 3 2" xfId="19358"/>
    <cellStyle name="쉼표 [0] 4 2 2 3 25 2 3 2 2" xfId="44710"/>
    <cellStyle name="쉼표 [0] 4 2 2 3 25 2 3 3" xfId="32038"/>
    <cellStyle name="쉼표 [0] 4 2 2 3 25 2 4" xfId="13022"/>
    <cellStyle name="쉼표 [0] 4 2 2 3 25 2 4 2" xfId="38374"/>
    <cellStyle name="쉼표 [0] 4 2 2 3 25 2 5" xfId="25702"/>
    <cellStyle name="쉼표 [0] 4 2 2 3 25 2 6" xfId="51224"/>
    <cellStyle name="쉼표 [0] 4 2 2 3 25 3" xfId="3448"/>
    <cellStyle name="쉼표 [0] 4 2 2 3 25 3 2" xfId="9784"/>
    <cellStyle name="쉼표 [0] 4 2 2 3 25 3 2 2" xfId="22457"/>
    <cellStyle name="쉼표 [0] 4 2 2 3 25 3 2 2 2" xfId="47809"/>
    <cellStyle name="쉼표 [0] 4 2 2 3 25 3 2 3" xfId="35137"/>
    <cellStyle name="쉼표 [0] 4 2 2 3 25 3 3" xfId="16121"/>
    <cellStyle name="쉼표 [0] 4 2 2 3 25 3 3 2" xfId="41473"/>
    <cellStyle name="쉼표 [0] 4 2 2 3 25 3 4" xfId="28801"/>
    <cellStyle name="쉼표 [0] 4 2 2 3 25 3 5" xfId="51225"/>
    <cellStyle name="쉼표 [0] 4 2 2 3 25 4" xfId="6684"/>
    <cellStyle name="쉼표 [0] 4 2 2 3 25 4 2" xfId="19357"/>
    <cellStyle name="쉼표 [0] 4 2 2 3 25 4 2 2" xfId="44709"/>
    <cellStyle name="쉼표 [0] 4 2 2 3 25 4 3" xfId="32037"/>
    <cellStyle name="쉼표 [0] 4 2 2 3 25 5" xfId="13021"/>
    <cellStyle name="쉼표 [0] 4 2 2 3 25 5 2" xfId="38373"/>
    <cellStyle name="쉼표 [0] 4 2 2 3 25 6" xfId="25701"/>
    <cellStyle name="쉼표 [0] 4 2 2 3 25 7" xfId="51226"/>
    <cellStyle name="쉼표 [0] 4 2 2 3 26" xfId="349"/>
    <cellStyle name="쉼표 [0] 4 2 2 3 26 2" xfId="350"/>
    <cellStyle name="쉼표 [0] 4 2 2 3 26 2 2" xfId="3449"/>
    <cellStyle name="쉼표 [0] 4 2 2 3 26 2 2 2" xfId="9785"/>
    <cellStyle name="쉼표 [0] 4 2 2 3 26 2 2 2 2" xfId="22458"/>
    <cellStyle name="쉼표 [0] 4 2 2 3 26 2 2 2 2 2" xfId="47810"/>
    <cellStyle name="쉼표 [0] 4 2 2 3 26 2 2 2 3" xfId="35138"/>
    <cellStyle name="쉼표 [0] 4 2 2 3 26 2 2 3" xfId="16122"/>
    <cellStyle name="쉼표 [0] 4 2 2 3 26 2 2 3 2" xfId="41474"/>
    <cellStyle name="쉼표 [0] 4 2 2 3 26 2 2 4" xfId="28802"/>
    <cellStyle name="쉼표 [0] 4 2 2 3 26 2 2 5" xfId="51227"/>
    <cellStyle name="쉼표 [0] 4 2 2 3 26 2 3" xfId="6687"/>
    <cellStyle name="쉼표 [0] 4 2 2 3 26 2 3 2" xfId="19360"/>
    <cellStyle name="쉼표 [0] 4 2 2 3 26 2 3 2 2" xfId="44712"/>
    <cellStyle name="쉼표 [0] 4 2 2 3 26 2 3 3" xfId="32040"/>
    <cellStyle name="쉼표 [0] 4 2 2 3 26 2 4" xfId="13024"/>
    <cellStyle name="쉼표 [0] 4 2 2 3 26 2 4 2" xfId="38376"/>
    <cellStyle name="쉼표 [0] 4 2 2 3 26 2 5" xfId="25704"/>
    <cellStyle name="쉼표 [0] 4 2 2 3 26 2 6" xfId="51228"/>
    <cellStyle name="쉼표 [0] 4 2 2 3 26 3" xfId="3450"/>
    <cellStyle name="쉼표 [0] 4 2 2 3 26 3 2" xfId="9786"/>
    <cellStyle name="쉼표 [0] 4 2 2 3 26 3 2 2" xfId="22459"/>
    <cellStyle name="쉼표 [0] 4 2 2 3 26 3 2 2 2" xfId="47811"/>
    <cellStyle name="쉼표 [0] 4 2 2 3 26 3 2 3" xfId="35139"/>
    <cellStyle name="쉼표 [0] 4 2 2 3 26 3 3" xfId="16123"/>
    <cellStyle name="쉼표 [0] 4 2 2 3 26 3 3 2" xfId="41475"/>
    <cellStyle name="쉼표 [0] 4 2 2 3 26 3 4" xfId="28803"/>
    <cellStyle name="쉼표 [0] 4 2 2 3 26 3 5" xfId="51229"/>
    <cellStyle name="쉼표 [0] 4 2 2 3 26 4" xfId="6686"/>
    <cellStyle name="쉼표 [0] 4 2 2 3 26 4 2" xfId="19359"/>
    <cellStyle name="쉼표 [0] 4 2 2 3 26 4 2 2" xfId="44711"/>
    <cellStyle name="쉼표 [0] 4 2 2 3 26 4 3" xfId="32039"/>
    <cellStyle name="쉼표 [0] 4 2 2 3 26 5" xfId="13023"/>
    <cellStyle name="쉼표 [0] 4 2 2 3 26 5 2" xfId="38375"/>
    <cellStyle name="쉼표 [0] 4 2 2 3 26 6" xfId="25703"/>
    <cellStyle name="쉼표 [0] 4 2 2 3 26 7" xfId="51230"/>
    <cellStyle name="쉼표 [0] 4 2 2 3 27" xfId="351"/>
    <cellStyle name="쉼표 [0] 4 2 2 3 27 2" xfId="352"/>
    <cellStyle name="쉼표 [0] 4 2 2 3 27 2 2" xfId="3451"/>
    <cellStyle name="쉼표 [0] 4 2 2 3 27 2 2 2" xfId="9787"/>
    <cellStyle name="쉼표 [0] 4 2 2 3 27 2 2 2 2" xfId="22460"/>
    <cellStyle name="쉼표 [0] 4 2 2 3 27 2 2 2 2 2" xfId="47812"/>
    <cellStyle name="쉼표 [0] 4 2 2 3 27 2 2 2 3" xfId="35140"/>
    <cellStyle name="쉼표 [0] 4 2 2 3 27 2 2 3" xfId="16124"/>
    <cellStyle name="쉼표 [0] 4 2 2 3 27 2 2 3 2" xfId="41476"/>
    <cellStyle name="쉼표 [0] 4 2 2 3 27 2 2 4" xfId="28804"/>
    <cellStyle name="쉼표 [0] 4 2 2 3 27 2 2 5" xfId="51231"/>
    <cellStyle name="쉼표 [0] 4 2 2 3 27 2 3" xfId="6689"/>
    <cellStyle name="쉼표 [0] 4 2 2 3 27 2 3 2" xfId="19362"/>
    <cellStyle name="쉼표 [0] 4 2 2 3 27 2 3 2 2" xfId="44714"/>
    <cellStyle name="쉼표 [0] 4 2 2 3 27 2 3 3" xfId="32042"/>
    <cellStyle name="쉼표 [0] 4 2 2 3 27 2 4" xfId="13026"/>
    <cellStyle name="쉼표 [0] 4 2 2 3 27 2 4 2" xfId="38378"/>
    <cellStyle name="쉼표 [0] 4 2 2 3 27 2 5" xfId="25706"/>
    <cellStyle name="쉼표 [0] 4 2 2 3 27 2 6" xfId="51232"/>
    <cellStyle name="쉼표 [0] 4 2 2 3 27 3" xfId="3452"/>
    <cellStyle name="쉼표 [0] 4 2 2 3 27 3 2" xfId="9788"/>
    <cellStyle name="쉼표 [0] 4 2 2 3 27 3 2 2" xfId="22461"/>
    <cellStyle name="쉼표 [0] 4 2 2 3 27 3 2 2 2" xfId="47813"/>
    <cellStyle name="쉼표 [0] 4 2 2 3 27 3 2 3" xfId="35141"/>
    <cellStyle name="쉼표 [0] 4 2 2 3 27 3 3" xfId="16125"/>
    <cellStyle name="쉼표 [0] 4 2 2 3 27 3 3 2" xfId="41477"/>
    <cellStyle name="쉼표 [0] 4 2 2 3 27 3 4" xfId="28805"/>
    <cellStyle name="쉼표 [0] 4 2 2 3 27 3 5" xfId="51233"/>
    <cellStyle name="쉼표 [0] 4 2 2 3 27 4" xfId="6688"/>
    <cellStyle name="쉼표 [0] 4 2 2 3 27 4 2" xfId="19361"/>
    <cellStyle name="쉼표 [0] 4 2 2 3 27 4 2 2" xfId="44713"/>
    <cellStyle name="쉼표 [0] 4 2 2 3 27 4 3" xfId="32041"/>
    <cellStyle name="쉼표 [0] 4 2 2 3 27 5" xfId="13025"/>
    <cellStyle name="쉼표 [0] 4 2 2 3 27 5 2" xfId="38377"/>
    <cellStyle name="쉼표 [0] 4 2 2 3 27 6" xfId="25705"/>
    <cellStyle name="쉼표 [0] 4 2 2 3 27 7" xfId="51234"/>
    <cellStyle name="쉼표 [0] 4 2 2 3 28" xfId="353"/>
    <cellStyle name="쉼표 [0] 4 2 2 3 28 2" xfId="354"/>
    <cellStyle name="쉼표 [0] 4 2 2 3 28 2 2" xfId="3453"/>
    <cellStyle name="쉼표 [0] 4 2 2 3 28 2 2 2" xfId="9789"/>
    <cellStyle name="쉼표 [0] 4 2 2 3 28 2 2 2 2" xfId="22462"/>
    <cellStyle name="쉼표 [0] 4 2 2 3 28 2 2 2 2 2" xfId="47814"/>
    <cellStyle name="쉼표 [0] 4 2 2 3 28 2 2 2 3" xfId="35142"/>
    <cellStyle name="쉼표 [0] 4 2 2 3 28 2 2 3" xfId="16126"/>
    <cellStyle name="쉼표 [0] 4 2 2 3 28 2 2 3 2" xfId="41478"/>
    <cellStyle name="쉼표 [0] 4 2 2 3 28 2 2 4" xfId="28806"/>
    <cellStyle name="쉼표 [0] 4 2 2 3 28 2 2 5" xfId="51235"/>
    <cellStyle name="쉼표 [0] 4 2 2 3 28 2 3" xfId="6691"/>
    <cellStyle name="쉼표 [0] 4 2 2 3 28 2 3 2" xfId="19364"/>
    <cellStyle name="쉼표 [0] 4 2 2 3 28 2 3 2 2" xfId="44716"/>
    <cellStyle name="쉼표 [0] 4 2 2 3 28 2 3 3" xfId="32044"/>
    <cellStyle name="쉼표 [0] 4 2 2 3 28 2 4" xfId="13028"/>
    <cellStyle name="쉼표 [0] 4 2 2 3 28 2 4 2" xfId="38380"/>
    <cellStyle name="쉼표 [0] 4 2 2 3 28 2 5" xfId="25708"/>
    <cellStyle name="쉼표 [0] 4 2 2 3 28 2 6" xfId="51236"/>
    <cellStyle name="쉼표 [0] 4 2 2 3 28 3" xfId="3454"/>
    <cellStyle name="쉼표 [0] 4 2 2 3 28 3 2" xfId="9790"/>
    <cellStyle name="쉼표 [0] 4 2 2 3 28 3 2 2" xfId="22463"/>
    <cellStyle name="쉼표 [0] 4 2 2 3 28 3 2 2 2" xfId="47815"/>
    <cellStyle name="쉼표 [0] 4 2 2 3 28 3 2 3" xfId="35143"/>
    <cellStyle name="쉼표 [0] 4 2 2 3 28 3 3" xfId="16127"/>
    <cellStyle name="쉼표 [0] 4 2 2 3 28 3 3 2" xfId="41479"/>
    <cellStyle name="쉼표 [0] 4 2 2 3 28 3 4" xfId="28807"/>
    <cellStyle name="쉼표 [0] 4 2 2 3 28 3 5" xfId="51237"/>
    <cellStyle name="쉼표 [0] 4 2 2 3 28 4" xfId="6690"/>
    <cellStyle name="쉼표 [0] 4 2 2 3 28 4 2" xfId="19363"/>
    <cellStyle name="쉼표 [0] 4 2 2 3 28 4 2 2" xfId="44715"/>
    <cellStyle name="쉼표 [0] 4 2 2 3 28 4 3" xfId="32043"/>
    <cellStyle name="쉼표 [0] 4 2 2 3 28 5" xfId="13027"/>
    <cellStyle name="쉼표 [0] 4 2 2 3 28 5 2" xfId="38379"/>
    <cellStyle name="쉼표 [0] 4 2 2 3 28 6" xfId="25707"/>
    <cellStyle name="쉼표 [0] 4 2 2 3 28 7" xfId="51238"/>
    <cellStyle name="쉼표 [0] 4 2 2 3 29" xfId="355"/>
    <cellStyle name="쉼표 [0] 4 2 2 3 29 2" xfId="356"/>
    <cellStyle name="쉼표 [0] 4 2 2 3 29 2 2" xfId="3455"/>
    <cellStyle name="쉼표 [0] 4 2 2 3 29 2 2 2" xfId="9791"/>
    <cellStyle name="쉼표 [0] 4 2 2 3 29 2 2 2 2" xfId="22464"/>
    <cellStyle name="쉼표 [0] 4 2 2 3 29 2 2 2 2 2" xfId="47816"/>
    <cellStyle name="쉼표 [0] 4 2 2 3 29 2 2 2 3" xfId="35144"/>
    <cellStyle name="쉼표 [0] 4 2 2 3 29 2 2 3" xfId="16128"/>
    <cellStyle name="쉼표 [0] 4 2 2 3 29 2 2 3 2" xfId="41480"/>
    <cellStyle name="쉼표 [0] 4 2 2 3 29 2 2 4" xfId="28808"/>
    <cellStyle name="쉼표 [0] 4 2 2 3 29 2 2 5" xfId="51239"/>
    <cellStyle name="쉼표 [0] 4 2 2 3 29 2 3" xfId="6693"/>
    <cellStyle name="쉼표 [0] 4 2 2 3 29 2 3 2" xfId="19366"/>
    <cellStyle name="쉼표 [0] 4 2 2 3 29 2 3 2 2" xfId="44718"/>
    <cellStyle name="쉼표 [0] 4 2 2 3 29 2 3 3" xfId="32046"/>
    <cellStyle name="쉼표 [0] 4 2 2 3 29 2 4" xfId="13030"/>
    <cellStyle name="쉼표 [0] 4 2 2 3 29 2 4 2" xfId="38382"/>
    <cellStyle name="쉼표 [0] 4 2 2 3 29 2 5" xfId="25710"/>
    <cellStyle name="쉼표 [0] 4 2 2 3 29 2 6" xfId="51240"/>
    <cellStyle name="쉼표 [0] 4 2 2 3 29 3" xfId="3456"/>
    <cellStyle name="쉼표 [0] 4 2 2 3 29 3 2" xfId="9792"/>
    <cellStyle name="쉼표 [0] 4 2 2 3 29 3 2 2" xfId="22465"/>
    <cellStyle name="쉼표 [0] 4 2 2 3 29 3 2 2 2" xfId="47817"/>
    <cellStyle name="쉼표 [0] 4 2 2 3 29 3 2 3" xfId="35145"/>
    <cellStyle name="쉼표 [0] 4 2 2 3 29 3 3" xfId="16129"/>
    <cellStyle name="쉼표 [0] 4 2 2 3 29 3 3 2" xfId="41481"/>
    <cellStyle name="쉼표 [0] 4 2 2 3 29 3 4" xfId="28809"/>
    <cellStyle name="쉼표 [0] 4 2 2 3 29 3 5" xfId="51241"/>
    <cellStyle name="쉼표 [0] 4 2 2 3 29 4" xfId="6692"/>
    <cellStyle name="쉼표 [0] 4 2 2 3 29 4 2" xfId="19365"/>
    <cellStyle name="쉼표 [0] 4 2 2 3 29 4 2 2" xfId="44717"/>
    <cellStyle name="쉼표 [0] 4 2 2 3 29 4 3" xfId="32045"/>
    <cellStyle name="쉼표 [0] 4 2 2 3 29 5" xfId="13029"/>
    <cellStyle name="쉼표 [0] 4 2 2 3 29 5 2" xfId="38381"/>
    <cellStyle name="쉼표 [0] 4 2 2 3 29 6" xfId="25709"/>
    <cellStyle name="쉼표 [0] 4 2 2 3 29 7" xfId="51242"/>
    <cellStyle name="쉼표 [0] 4 2 2 3 3" xfId="357"/>
    <cellStyle name="쉼표 [0] 4 2 2 3 3 2" xfId="358"/>
    <cellStyle name="쉼표 [0] 4 2 2 3 3 2 2" xfId="3457"/>
    <cellStyle name="쉼표 [0] 4 2 2 3 3 2 2 2" xfId="9793"/>
    <cellStyle name="쉼표 [0] 4 2 2 3 3 2 2 2 2" xfId="22466"/>
    <cellStyle name="쉼표 [0] 4 2 2 3 3 2 2 2 2 2" xfId="47818"/>
    <cellStyle name="쉼표 [0] 4 2 2 3 3 2 2 2 3" xfId="35146"/>
    <cellStyle name="쉼표 [0] 4 2 2 3 3 2 2 3" xfId="16130"/>
    <cellStyle name="쉼표 [0] 4 2 2 3 3 2 2 3 2" xfId="41482"/>
    <cellStyle name="쉼표 [0] 4 2 2 3 3 2 2 4" xfId="28810"/>
    <cellStyle name="쉼표 [0] 4 2 2 3 3 2 2 5" xfId="51243"/>
    <cellStyle name="쉼표 [0] 4 2 2 3 3 2 3" xfId="6695"/>
    <cellStyle name="쉼표 [0] 4 2 2 3 3 2 3 2" xfId="19368"/>
    <cellStyle name="쉼표 [0] 4 2 2 3 3 2 3 2 2" xfId="44720"/>
    <cellStyle name="쉼표 [0] 4 2 2 3 3 2 3 3" xfId="32048"/>
    <cellStyle name="쉼표 [0] 4 2 2 3 3 2 4" xfId="13032"/>
    <cellStyle name="쉼표 [0] 4 2 2 3 3 2 4 2" xfId="38384"/>
    <cellStyle name="쉼표 [0] 4 2 2 3 3 2 5" xfId="25712"/>
    <cellStyle name="쉼표 [0] 4 2 2 3 3 2 6" xfId="51244"/>
    <cellStyle name="쉼표 [0] 4 2 2 3 3 3" xfId="3458"/>
    <cellStyle name="쉼표 [0] 4 2 2 3 3 3 2" xfId="9794"/>
    <cellStyle name="쉼표 [0] 4 2 2 3 3 3 2 2" xfId="22467"/>
    <cellStyle name="쉼표 [0] 4 2 2 3 3 3 2 2 2" xfId="47819"/>
    <cellStyle name="쉼표 [0] 4 2 2 3 3 3 2 3" xfId="35147"/>
    <cellStyle name="쉼표 [0] 4 2 2 3 3 3 3" xfId="16131"/>
    <cellStyle name="쉼표 [0] 4 2 2 3 3 3 3 2" xfId="41483"/>
    <cellStyle name="쉼표 [0] 4 2 2 3 3 3 4" xfId="28811"/>
    <cellStyle name="쉼표 [0] 4 2 2 3 3 3 5" xfId="51245"/>
    <cellStyle name="쉼표 [0] 4 2 2 3 3 4" xfId="6694"/>
    <cellStyle name="쉼표 [0] 4 2 2 3 3 4 2" xfId="19367"/>
    <cellStyle name="쉼표 [0] 4 2 2 3 3 4 2 2" xfId="44719"/>
    <cellStyle name="쉼표 [0] 4 2 2 3 3 4 3" xfId="32047"/>
    <cellStyle name="쉼표 [0] 4 2 2 3 3 5" xfId="13031"/>
    <cellStyle name="쉼표 [0] 4 2 2 3 3 5 2" xfId="38383"/>
    <cellStyle name="쉼표 [0] 4 2 2 3 3 6" xfId="25711"/>
    <cellStyle name="쉼표 [0] 4 2 2 3 3 7" xfId="51246"/>
    <cellStyle name="쉼표 [0] 4 2 2 3 30" xfId="359"/>
    <cellStyle name="쉼표 [0] 4 2 2 3 30 2" xfId="360"/>
    <cellStyle name="쉼표 [0] 4 2 2 3 30 2 2" xfId="3459"/>
    <cellStyle name="쉼표 [0] 4 2 2 3 30 2 2 2" xfId="9795"/>
    <cellStyle name="쉼표 [0] 4 2 2 3 30 2 2 2 2" xfId="22468"/>
    <cellStyle name="쉼표 [0] 4 2 2 3 30 2 2 2 2 2" xfId="47820"/>
    <cellStyle name="쉼표 [0] 4 2 2 3 30 2 2 2 3" xfId="35148"/>
    <cellStyle name="쉼표 [0] 4 2 2 3 30 2 2 3" xfId="16132"/>
    <cellStyle name="쉼표 [0] 4 2 2 3 30 2 2 3 2" xfId="41484"/>
    <cellStyle name="쉼표 [0] 4 2 2 3 30 2 2 4" xfId="28812"/>
    <cellStyle name="쉼표 [0] 4 2 2 3 30 2 2 5" xfId="51247"/>
    <cellStyle name="쉼표 [0] 4 2 2 3 30 2 3" xfId="6697"/>
    <cellStyle name="쉼표 [0] 4 2 2 3 30 2 3 2" xfId="19370"/>
    <cellStyle name="쉼표 [0] 4 2 2 3 30 2 3 2 2" xfId="44722"/>
    <cellStyle name="쉼표 [0] 4 2 2 3 30 2 3 3" xfId="32050"/>
    <cellStyle name="쉼표 [0] 4 2 2 3 30 2 4" xfId="13034"/>
    <cellStyle name="쉼표 [0] 4 2 2 3 30 2 4 2" xfId="38386"/>
    <cellStyle name="쉼표 [0] 4 2 2 3 30 2 5" xfId="25714"/>
    <cellStyle name="쉼표 [0] 4 2 2 3 30 2 6" xfId="51248"/>
    <cellStyle name="쉼표 [0] 4 2 2 3 30 3" xfId="3460"/>
    <cellStyle name="쉼표 [0] 4 2 2 3 30 3 2" xfId="9796"/>
    <cellStyle name="쉼표 [0] 4 2 2 3 30 3 2 2" xfId="22469"/>
    <cellStyle name="쉼표 [0] 4 2 2 3 30 3 2 2 2" xfId="47821"/>
    <cellStyle name="쉼표 [0] 4 2 2 3 30 3 2 3" xfId="35149"/>
    <cellStyle name="쉼표 [0] 4 2 2 3 30 3 3" xfId="16133"/>
    <cellStyle name="쉼표 [0] 4 2 2 3 30 3 3 2" xfId="41485"/>
    <cellStyle name="쉼표 [0] 4 2 2 3 30 3 4" xfId="28813"/>
    <cellStyle name="쉼표 [0] 4 2 2 3 30 3 5" xfId="51249"/>
    <cellStyle name="쉼표 [0] 4 2 2 3 30 4" xfId="6696"/>
    <cellStyle name="쉼표 [0] 4 2 2 3 30 4 2" xfId="19369"/>
    <cellStyle name="쉼표 [0] 4 2 2 3 30 4 2 2" xfId="44721"/>
    <cellStyle name="쉼표 [0] 4 2 2 3 30 4 3" xfId="32049"/>
    <cellStyle name="쉼표 [0] 4 2 2 3 30 5" xfId="13033"/>
    <cellStyle name="쉼표 [0] 4 2 2 3 30 5 2" xfId="38385"/>
    <cellStyle name="쉼표 [0] 4 2 2 3 30 6" xfId="25713"/>
    <cellStyle name="쉼표 [0] 4 2 2 3 30 7" xfId="51250"/>
    <cellStyle name="쉼표 [0] 4 2 2 3 31" xfId="361"/>
    <cellStyle name="쉼표 [0] 4 2 2 3 31 2" xfId="362"/>
    <cellStyle name="쉼표 [0] 4 2 2 3 31 2 2" xfId="3461"/>
    <cellStyle name="쉼표 [0] 4 2 2 3 31 2 2 2" xfId="9797"/>
    <cellStyle name="쉼표 [0] 4 2 2 3 31 2 2 2 2" xfId="22470"/>
    <cellStyle name="쉼표 [0] 4 2 2 3 31 2 2 2 2 2" xfId="47822"/>
    <cellStyle name="쉼표 [0] 4 2 2 3 31 2 2 2 3" xfId="35150"/>
    <cellStyle name="쉼표 [0] 4 2 2 3 31 2 2 3" xfId="16134"/>
    <cellStyle name="쉼표 [0] 4 2 2 3 31 2 2 3 2" xfId="41486"/>
    <cellStyle name="쉼표 [0] 4 2 2 3 31 2 2 4" xfId="28814"/>
    <cellStyle name="쉼표 [0] 4 2 2 3 31 2 2 5" xfId="51251"/>
    <cellStyle name="쉼표 [0] 4 2 2 3 31 2 3" xfId="6699"/>
    <cellStyle name="쉼표 [0] 4 2 2 3 31 2 3 2" xfId="19372"/>
    <cellStyle name="쉼표 [0] 4 2 2 3 31 2 3 2 2" xfId="44724"/>
    <cellStyle name="쉼표 [0] 4 2 2 3 31 2 3 3" xfId="32052"/>
    <cellStyle name="쉼표 [0] 4 2 2 3 31 2 4" xfId="13036"/>
    <cellStyle name="쉼표 [0] 4 2 2 3 31 2 4 2" xfId="38388"/>
    <cellStyle name="쉼표 [0] 4 2 2 3 31 2 5" xfId="25716"/>
    <cellStyle name="쉼표 [0] 4 2 2 3 31 2 6" xfId="51252"/>
    <cellStyle name="쉼표 [0] 4 2 2 3 31 3" xfId="3462"/>
    <cellStyle name="쉼표 [0] 4 2 2 3 31 3 2" xfId="9798"/>
    <cellStyle name="쉼표 [0] 4 2 2 3 31 3 2 2" xfId="22471"/>
    <cellStyle name="쉼표 [0] 4 2 2 3 31 3 2 2 2" xfId="47823"/>
    <cellStyle name="쉼표 [0] 4 2 2 3 31 3 2 3" xfId="35151"/>
    <cellStyle name="쉼표 [0] 4 2 2 3 31 3 3" xfId="16135"/>
    <cellStyle name="쉼표 [0] 4 2 2 3 31 3 3 2" xfId="41487"/>
    <cellStyle name="쉼표 [0] 4 2 2 3 31 3 4" xfId="28815"/>
    <cellStyle name="쉼표 [0] 4 2 2 3 31 3 5" xfId="51253"/>
    <cellStyle name="쉼표 [0] 4 2 2 3 31 4" xfId="6698"/>
    <cellStyle name="쉼표 [0] 4 2 2 3 31 4 2" xfId="19371"/>
    <cellStyle name="쉼표 [0] 4 2 2 3 31 4 2 2" xfId="44723"/>
    <cellStyle name="쉼표 [0] 4 2 2 3 31 4 3" xfId="32051"/>
    <cellStyle name="쉼표 [0] 4 2 2 3 31 5" xfId="13035"/>
    <cellStyle name="쉼표 [0] 4 2 2 3 31 5 2" xfId="38387"/>
    <cellStyle name="쉼표 [0] 4 2 2 3 31 6" xfId="25715"/>
    <cellStyle name="쉼표 [0] 4 2 2 3 31 7" xfId="51254"/>
    <cellStyle name="쉼표 [0] 4 2 2 3 32" xfId="363"/>
    <cellStyle name="쉼표 [0] 4 2 2 3 32 2" xfId="364"/>
    <cellStyle name="쉼표 [0] 4 2 2 3 32 2 2" xfId="3463"/>
    <cellStyle name="쉼표 [0] 4 2 2 3 32 2 2 2" xfId="9799"/>
    <cellStyle name="쉼표 [0] 4 2 2 3 32 2 2 2 2" xfId="22472"/>
    <cellStyle name="쉼표 [0] 4 2 2 3 32 2 2 2 2 2" xfId="47824"/>
    <cellStyle name="쉼표 [0] 4 2 2 3 32 2 2 2 3" xfId="35152"/>
    <cellStyle name="쉼표 [0] 4 2 2 3 32 2 2 3" xfId="16136"/>
    <cellStyle name="쉼표 [0] 4 2 2 3 32 2 2 3 2" xfId="41488"/>
    <cellStyle name="쉼표 [0] 4 2 2 3 32 2 2 4" xfId="28816"/>
    <cellStyle name="쉼표 [0] 4 2 2 3 32 2 2 5" xfId="51255"/>
    <cellStyle name="쉼표 [0] 4 2 2 3 32 2 3" xfId="6701"/>
    <cellStyle name="쉼표 [0] 4 2 2 3 32 2 3 2" xfId="19374"/>
    <cellStyle name="쉼표 [0] 4 2 2 3 32 2 3 2 2" xfId="44726"/>
    <cellStyle name="쉼표 [0] 4 2 2 3 32 2 3 3" xfId="32054"/>
    <cellStyle name="쉼표 [0] 4 2 2 3 32 2 4" xfId="13038"/>
    <cellStyle name="쉼표 [0] 4 2 2 3 32 2 4 2" xfId="38390"/>
    <cellStyle name="쉼표 [0] 4 2 2 3 32 2 5" xfId="25718"/>
    <cellStyle name="쉼표 [0] 4 2 2 3 32 2 6" xfId="51256"/>
    <cellStyle name="쉼표 [0] 4 2 2 3 32 3" xfId="3464"/>
    <cellStyle name="쉼표 [0] 4 2 2 3 32 3 2" xfId="9800"/>
    <cellStyle name="쉼표 [0] 4 2 2 3 32 3 2 2" xfId="22473"/>
    <cellStyle name="쉼표 [0] 4 2 2 3 32 3 2 2 2" xfId="47825"/>
    <cellStyle name="쉼표 [0] 4 2 2 3 32 3 2 3" xfId="35153"/>
    <cellStyle name="쉼표 [0] 4 2 2 3 32 3 3" xfId="16137"/>
    <cellStyle name="쉼표 [0] 4 2 2 3 32 3 3 2" xfId="41489"/>
    <cellStyle name="쉼표 [0] 4 2 2 3 32 3 4" xfId="28817"/>
    <cellStyle name="쉼표 [0] 4 2 2 3 32 3 5" xfId="51257"/>
    <cellStyle name="쉼표 [0] 4 2 2 3 32 4" xfId="6700"/>
    <cellStyle name="쉼표 [0] 4 2 2 3 32 4 2" xfId="19373"/>
    <cellStyle name="쉼표 [0] 4 2 2 3 32 4 2 2" xfId="44725"/>
    <cellStyle name="쉼표 [0] 4 2 2 3 32 4 3" xfId="32053"/>
    <cellStyle name="쉼표 [0] 4 2 2 3 32 5" xfId="13037"/>
    <cellStyle name="쉼표 [0] 4 2 2 3 32 5 2" xfId="38389"/>
    <cellStyle name="쉼표 [0] 4 2 2 3 32 6" xfId="25717"/>
    <cellStyle name="쉼표 [0] 4 2 2 3 32 7" xfId="51258"/>
    <cellStyle name="쉼표 [0] 4 2 2 3 33" xfId="365"/>
    <cellStyle name="쉼표 [0] 4 2 2 3 33 2" xfId="366"/>
    <cellStyle name="쉼표 [0] 4 2 2 3 33 2 2" xfId="3465"/>
    <cellStyle name="쉼표 [0] 4 2 2 3 33 2 2 2" xfId="9801"/>
    <cellStyle name="쉼표 [0] 4 2 2 3 33 2 2 2 2" xfId="22474"/>
    <cellStyle name="쉼표 [0] 4 2 2 3 33 2 2 2 2 2" xfId="47826"/>
    <cellStyle name="쉼표 [0] 4 2 2 3 33 2 2 2 3" xfId="35154"/>
    <cellStyle name="쉼표 [0] 4 2 2 3 33 2 2 3" xfId="16138"/>
    <cellStyle name="쉼표 [0] 4 2 2 3 33 2 2 3 2" xfId="41490"/>
    <cellStyle name="쉼표 [0] 4 2 2 3 33 2 2 4" xfId="28818"/>
    <cellStyle name="쉼표 [0] 4 2 2 3 33 2 2 5" xfId="51259"/>
    <cellStyle name="쉼표 [0] 4 2 2 3 33 2 3" xfId="6703"/>
    <cellStyle name="쉼표 [0] 4 2 2 3 33 2 3 2" xfId="19376"/>
    <cellStyle name="쉼표 [0] 4 2 2 3 33 2 3 2 2" xfId="44728"/>
    <cellStyle name="쉼표 [0] 4 2 2 3 33 2 3 3" xfId="32056"/>
    <cellStyle name="쉼표 [0] 4 2 2 3 33 2 4" xfId="13040"/>
    <cellStyle name="쉼표 [0] 4 2 2 3 33 2 4 2" xfId="38392"/>
    <cellStyle name="쉼표 [0] 4 2 2 3 33 2 5" xfId="25720"/>
    <cellStyle name="쉼표 [0] 4 2 2 3 33 2 6" xfId="51260"/>
    <cellStyle name="쉼표 [0] 4 2 2 3 33 3" xfId="3466"/>
    <cellStyle name="쉼표 [0] 4 2 2 3 33 3 2" xfId="9802"/>
    <cellStyle name="쉼표 [0] 4 2 2 3 33 3 2 2" xfId="22475"/>
    <cellStyle name="쉼표 [0] 4 2 2 3 33 3 2 2 2" xfId="47827"/>
    <cellStyle name="쉼표 [0] 4 2 2 3 33 3 2 3" xfId="35155"/>
    <cellStyle name="쉼표 [0] 4 2 2 3 33 3 3" xfId="16139"/>
    <cellStyle name="쉼표 [0] 4 2 2 3 33 3 3 2" xfId="41491"/>
    <cellStyle name="쉼표 [0] 4 2 2 3 33 3 4" xfId="28819"/>
    <cellStyle name="쉼표 [0] 4 2 2 3 33 3 5" xfId="51261"/>
    <cellStyle name="쉼표 [0] 4 2 2 3 33 4" xfId="6702"/>
    <cellStyle name="쉼표 [0] 4 2 2 3 33 4 2" xfId="19375"/>
    <cellStyle name="쉼표 [0] 4 2 2 3 33 4 2 2" xfId="44727"/>
    <cellStyle name="쉼표 [0] 4 2 2 3 33 4 3" xfId="32055"/>
    <cellStyle name="쉼표 [0] 4 2 2 3 33 5" xfId="13039"/>
    <cellStyle name="쉼표 [0] 4 2 2 3 33 5 2" xfId="38391"/>
    <cellStyle name="쉼표 [0] 4 2 2 3 33 6" xfId="25719"/>
    <cellStyle name="쉼표 [0] 4 2 2 3 33 7" xfId="51262"/>
    <cellStyle name="쉼표 [0] 4 2 2 3 34" xfId="367"/>
    <cellStyle name="쉼표 [0] 4 2 2 3 34 2" xfId="3467"/>
    <cellStyle name="쉼표 [0] 4 2 2 3 34 2 2" xfId="9803"/>
    <cellStyle name="쉼표 [0] 4 2 2 3 34 2 2 2" xfId="22476"/>
    <cellStyle name="쉼표 [0] 4 2 2 3 34 2 2 2 2" xfId="47828"/>
    <cellStyle name="쉼표 [0] 4 2 2 3 34 2 2 3" xfId="35156"/>
    <cellStyle name="쉼표 [0] 4 2 2 3 34 2 3" xfId="16140"/>
    <cellStyle name="쉼표 [0] 4 2 2 3 34 2 3 2" xfId="41492"/>
    <cellStyle name="쉼표 [0] 4 2 2 3 34 2 4" xfId="28820"/>
    <cellStyle name="쉼표 [0] 4 2 2 3 34 2 5" xfId="51263"/>
    <cellStyle name="쉼표 [0] 4 2 2 3 34 3" xfId="6704"/>
    <cellStyle name="쉼표 [0] 4 2 2 3 34 3 2" xfId="19377"/>
    <cellStyle name="쉼표 [0] 4 2 2 3 34 3 2 2" xfId="44729"/>
    <cellStyle name="쉼표 [0] 4 2 2 3 34 3 3" xfId="32057"/>
    <cellStyle name="쉼표 [0] 4 2 2 3 34 4" xfId="13041"/>
    <cellStyle name="쉼표 [0] 4 2 2 3 34 4 2" xfId="38393"/>
    <cellStyle name="쉼표 [0] 4 2 2 3 34 5" xfId="25721"/>
    <cellStyle name="쉼표 [0] 4 2 2 3 34 6" xfId="51264"/>
    <cellStyle name="쉼표 [0] 4 2 2 3 35" xfId="3468"/>
    <cellStyle name="쉼표 [0] 4 2 2 3 35 2" xfId="9804"/>
    <cellStyle name="쉼표 [0] 4 2 2 3 35 2 2" xfId="22477"/>
    <cellStyle name="쉼표 [0] 4 2 2 3 35 2 2 2" xfId="47829"/>
    <cellStyle name="쉼표 [0] 4 2 2 3 35 2 3" xfId="35157"/>
    <cellStyle name="쉼표 [0] 4 2 2 3 35 3" xfId="16141"/>
    <cellStyle name="쉼표 [0] 4 2 2 3 35 3 2" xfId="41493"/>
    <cellStyle name="쉼표 [0] 4 2 2 3 35 4" xfId="28821"/>
    <cellStyle name="쉼표 [0] 4 2 2 3 35 5" xfId="51265"/>
    <cellStyle name="쉼표 [0] 4 2 2 3 36" xfId="6397"/>
    <cellStyle name="쉼표 [0] 4 2 2 3 36 2" xfId="19070"/>
    <cellStyle name="쉼표 [0] 4 2 2 3 36 2 2" xfId="44422"/>
    <cellStyle name="쉼표 [0] 4 2 2 3 36 3" xfId="31750"/>
    <cellStyle name="쉼표 [0] 4 2 2 3 37" xfId="12734"/>
    <cellStyle name="쉼표 [0] 4 2 2 3 37 2" xfId="38086"/>
    <cellStyle name="쉼표 [0] 4 2 2 3 38" xfId="25414"/>
    <cellStyle name="쉼표 [0] 4 2 2 3 39" xfId="51266"/>
    <cellStyle name="쉼표 [0] 4 2 2 3 4" xfId="368"/>
    <cellStyle name="쉼표 [0] 4 2 2 3 4 2" xfId="369"/>
    <cellStyle name="쉼표 [0] 4 2 2 3 4 2 2" xfId="3469"/>
    <cellStyle name="쉼표 [0] 4 2 2 3 4 2 2 2" xfId="9805"/>
    <cellStyle name="쉼표 [0] 4 2 2 3 4 2 2 2 2" xfId="22478"/>
    <cellStyle name="쉼표 [0] 4 2 2 3 4 2 2 2 2 2" xfId="47830"/>
    <cellStyle name="쉼표 [0] 4 2 2 3 4 2 2 2 3" xfId="35158"/>
    <cellStyle name="쉼표 [0] 4 2 2 3 4 2 2 3" xfId="16142"/>
    <cellStyle name="쉼표 [0] 4 2 2 3 4 2 2 3 2" xfId="41494"/>
    <cellStyle name="쉼표 [0] 4 2 2 3 4 2 2 4" xfId="28822"/>
    <cellStyle name="쉼표 [0] 4 2 2 3 4 2 2 5" xfId="51267"/>
    <cellStyle name="쉼표 [0] 4 2 2 3 4 2 3" xfId="6706"/>
    <cellStyle name="쉼표 [0] 4 2 2 3 4 2 3 2" xfId="19379"/>
    <cellStyle name="쉼표 [0] 4 2 2 3 4 2 3 2 2" xfId="44731"/>
    <cellStyle name="쉼표 [0] 4 2 2 3 4 2 3 3" xfId="32059"/>
    <cellStyle name="쉼표 [0] 4 2 2 3 4 2 4" xfId="13043"/>
    <cellStyle name="쉼표 [0] 4 2 2 3 4 2 4 2" xfId="38395"/>
    <cellStyle name="쉼표 [0] 4 2 2 3 4 2 5" xfId="25723"/>
    <cellStyle name="쉼표 [0] 4 2 2 3 4 2 6" xfId="51268"/>
    <cellStyle name="쉼표 [0] 4 2 2 3 4 3" xfId="3470"/>
    <cellStyle name="쉼표 [0] 4 2 2 3 4 3 2" xfId="9806"/>
    <cellStyle name="쉼표 [0] 4 2 2 3 4 3 2 2" xfId="22479"/>
    <cellStyle name="쉼표 [0] 4 2 2 3 4 3 2 2 2" xfId="47831"/>
    <cellStyle name="쉼표 [0] 4 2 2 3 4 3 2 3" xfId="35159"/>
    <cellStyle name="쉼표 [0] 4 2 2 3 4 3 3" xfId="16143"/>
    <cellStyle name="쉼표 [0] 4 2 2 3 4 3 3 2" xfId="41495"/>
    <cellStyle name="쉼표 [0] 4 2 2 3 4 3 4" xfId="28823"/>
    <cellStyle name="쉼표 [0] 4 2 2 3 4 3 5" xfId="51269"/>
    <cellStyle name="쉼표 [0] 4 2 2 3 4 4" xfId="6705"/>
    <cellStyle name="쉼표 [0] 4 2 2 3 4 4 2" xfId="19378"/>
    <cellStyle name="쉼표 [0] 4 2 2 3 4 4 2 2" xfId="44730"/>
    <cellStyle name="쉼표 [0] 4 2 2 3 4 4 3" xfId="32058"/>
    <cellStyle name="쉼표 [0] 4 2 2 3 4 5" xfId="13042"/>
    <cellStyle name="쉼표 [0] 4 2 2 3 4 5 2" xfId="38394"/>
    <cellStyle name="쉼표 [0] 4 2 2 3 4 6" xfId="25722"/>
    <cellStyle name="쉼표 [0] 4 2 2 3 4 7" xfId="51270"/>
    <cellStyle name="쉼표 [0] 4 2 2 3 5" xfId="370"/>
    <cellStyle name="쉼표 [0] 4 2 2 3 5 2" xfId="371"/>
    <cellStyle name="쉼표 [0] 4 2 2 3 5 2 2" xfId="3471"/>
    <cellStyle name="쉼표 [0] 4 2 2 3 5 2 2 2" xfId="9807"/>
    <cellStyle name="쉼표 [0] 4 2 2 3 5 2 2 2 2" xfId="22480"/>
    <cellStyle name="쉼표 [0] 4 2 2 3 5 2 2 2 2 2" xfId="47832"/>
    <cellStyle name="쉼표 [0] 4 2 2 3 5 2 2 2 3" xfId="35160"/>
    <cellStyle name="쉼표 [0] 4 2 2 3 5 2 2 3" xfId="16144"/>
    <cellStyle name="쉼표 [0] 4 2 2 3 5 2 2 3 2" xfId="41496"/>
    <cellStyle name="쉼표 [0] 4 2 2 3 5 2 2 4" xfId="28824"/>
    <cellStyle name="쉼표 [0] 4 2 2 3 5 2 2 5" xfId="51271"/>
    <cellStyle name="쉼표 [0] 4 2 2 3 5 2 3" xfId="6708"/>
    <cellStyle name="쉼표 [0] 4 2 2 3 5 2 3 2" xfId="19381"/>
    <cellStyle name="쉼표 [0] 4 2 2 3 5 2 3 2 2" xfId="44733"/>
    <cellStyle name="쉼표 [0] 4 2 2 3 5 2 3 3" xfId="32061"/>
    <cellStyle name="쉼표 [0] 4 2 2 3 5 2 4" xfId="13045"/>
    <cellStyle name="쉼표 [0] 4 2 2 3 5 2 4 2" xfId="38397"/>
    <cellStyle name="쉼표 [0] 4 2 2 3 5 2 5" xfId="25725"/>
    <cellStyle name="쉼표 [0] 4 2 2 3 5 2 6" xfId="51272"/>
    <cellStyle name="쉼표 [0] 4 2 2 3 5 3" xfId="3472"/>
    <cellStyle name="쉼표 [0] 4 2 2 3 5 3 2" xfId="9808"/>
    <cellStyle name="쉼표 [0] 4 2 2 3 5 3 2 2" xfId="22481"/>
    <cellStyle name="쉼표 [0] 4 2 2 3 5 3 2 2 2" xfId="47833"/>
    <cellStyle name="쉼표 [0] 4 2 2 3 5 3 2 3" xfId="35161"/>
    <cellStyle name="쉼표 [0] 4 2 2 3 5 3 3" xfId="16145"/>
    <cellStyle name="쉼표 [0] 4 2 2 3 5 3 3 2" xfId="41497"/>
    <cellStyle name="쉼표 [0] 4 2 2 3 5 3 4" xfId="28825"/>
    <cellStyle name="쉼표 [0] 4 2 2 3 5 3 5" xfId="51273"/>
    <cellStyle name="쉼표 [0] 4 2 2 3 5 4" xfId="6707"/>
    <cellStyle name="쉼표 [0] 4 2 2 3 5 4 2" xfId="19380"/>
    <cellStyle name="쉼표 [0] 4 2 2 3 5 4 2 2" xfId="44732"/>
    <cellStyle name="쉼표 [0] 4 2 2 3 5 4 3" xfId="32060"/>
    <cellStyle name="쉼표 [0] 4 2 2 3 5 5" xfId="13044"/>
    <cellStyle name="쉼표 [0] 4 2 2 3 5 5 2" xfId="38396"/>
    <cellStyle name="쉼표 [0] 4 2 2 3 5 6" xfId="25724"/>
    <cellStyle name="쉼표 [0] 4 2 2 3 5 7" xfId="51274"/>
    <cellStyle name="쉼표 [0] 4 2 2 3 6" xfId="372"/>
    <cellStyle name="쉼표 [0] 4 2 2 3 6 2" xfId="373"/>
    <cellStyle name="쉼표 [0] 4 2 2 3 6 2 2" xfId="3473"/>
    <cellStyle name="쉼표 [0] 4 2 2 3 6 2 2 2" xfId="9809"/>
    <cellStyle name="쉼표 [0] 4 2 2 3 6 2 2 2 2" xfId="22482"/>
    <cellStyle name="쉼표 [0] 4 2 2 3 6 2 2 2 2 2" xfId="47834"/>
    <cellStyle name="쉼표 [0] 4 2 2 3 6 2 2 2 3" xfId="35162"/>
    <cellStyle name="쉼표 [0] 4 2 2 3 6 2 2 3" xfId="16146"/>
    <cellStyle name="쉼표 [0] 4 2 2 3 6 2 2 3 2" xfId="41498"/>
    <cellStyle name="쉼표 [0] 4 2 2 3 6 2 2 4" xfId="28826"/>
    <cellStyle name="쉼표 [0] 4 2 2 3 6 2 2 5" xfId="51275"/>
    <cellStyle name="쉼표 [0] 4 2 2 3 6 2 3" xfId="6710"/>
    <cellStyle name="쉼표 [0] 4 2 2 3 6 2 3 2" xfId="19383"/>
    <cellStyle name="쉼표 [0] 4 2 2 3 6 2 3 2 2" xfId="44735"/>
    <cellStyle name="쉼표 [0] 4 2 2 3 6 2 3 3" xfId="32063"/>
    <cellStyle name="쉼표 [0] 4 2 2 3 6 2 4" xfId="13047"/>
    <cellStyle name="쉼표 [0] 4 2 2 3 6 2 4 2" xfId="38399"/>
    <cellStyle name="쉼표 [0] 4 2 2 3 6 2 5" xfId="25727"/>
    <cellStyle name="쉼표 [0] 4 2 2 3 6 2 6" xfId="51276"/>
    <cellStyle name="쉼표 [0] 4 2 2 3 6 3" xfId="3474"/>
    <cellStyle name="쉼표 [0] 4 2 2 3 6 3 2" xfId="9810"/>
    <cellStyle name="쉼표 [0] 4 2 2 3 6 3 2 2" xfId="22483"/>
    <cellStyle name="쉼표 [0] 4 2 2 3 6 3 2 2 2" xfId="47835"/>
    <cellStyle name="쉼표 [0] 4 2 2 3 6 3 2 3" xfId="35163"/>
    <cellStyle name="쉼표 [0] 4 2 2 3 6 3 3" xfId="16147"/>
    <cellStyle name="쉼표 [0] 4 2 2 3 6 3 3 2" xfId="41499"/>
    <cellStyle name="쉼표 [0] 4 2 2 3 6 3 4" xfId="28827"/>
    <cellStyle name="쉼표 [0] 4 2 2 3 6 3 5" xfId="51277"/>
    <cellStyle name="쉼표 [0] 4 2 2 3 6 4" xfId="6709"/>
    <cellStyle name="쉼표 [0] 4 2 2 3 6 4 2" xfId="19382"/>
    <cellStyle name="쉼표 [0] 4 2 2 3 6 4 2 2" xfId="44734"/>
    <cellStyle name="쉼표 [0] 4 2 2 3 6 4 3" xfId="32062"/>
    <cellStyle name="쉼표 [0] 4 2 2 3 6 5" xfId="13046"/>
    <cellStyle name="쉼표 [0] 4 2 2 3 6 5 2" xfId="38398"/>
    <cellStyle name="쉼표 [0] 4 2 2 3 6 6" xfId="25726"/>
    <cellStyle name="쉼표 [0] 4 2 2 3 6 7" xfId="51278"/>
    <cellStyle name="쉼표 [0] 4 2 2 3 7" xfId="374"/>
    <cellStyle name="쉼표 [0] 4 2 2 3 7 2" xfId="375"/>
    <cellStyle name="쉼표 [0] 4 2 2 3 7 2 2" xfId="3475"/>
    <cellStyle name="쉼표 [0] 4 2 2 3 7 2 2 2" xfId="9811"/>
    <cellStyle name="쉼표 [0] 4 2 2 3 7 2 2 2 2" xfId="22484"/>
    <cellStyle name="쉼표 [0] 4 2 2 3 7 2 2 2 2 2" xfId="47836"/>
    <cellStyle name="쉼표 [0] 4 2 2 3 7 2 2 2 3" xfId="35164"/>
    <cellStyle name="쉼표 [0] 4 2 2 3 7 2 2 3" xfId="16148"/>
    <cellStyle name="쉼표 [0] 4 2 2 3 7 2 2 3 2" xfId="41500"/>
    <cellStyle name="쉼표 [0] 4 2 2 3 7 2 2 4" xfId="28828"/>
    <cellStyle name="쉼표 [0] 4 2 2 3 7 2 2 5" xfId="51279"/>
    <cellStyle name="쉼표 [0] 4 2 2 3 7 2 3" xfId="6712"/>
    <cellStyle name="쉼표 [0] 4 2 2 3 7 2 3 2" xfId="19385"/>
    <cellStyle name="쉼표 [0] 4 2 2 3 7 2 3 2 2" xfId="44737"/>
    <cellStyle name="쉼표 [0] 4 2 2 3 7 2 3 3" xfId="32065"/>
    <cellStyle name="쉼표 [0] 4 2 2 3 7 2 4" xfId="13049"/>
    <cellStyle name="쉼표 [0] 4 2 2 3 7 2 4 2" xfId="38401"/>
    <cellStyle name="쉼표 [0] 4 2 2 3 7 2 5" xfId="25729"/>
    <cellStyle name="쉼표 [0] 4 2 2 3 7 2 6" xfId="51280"/>
    <cellStyle name="쉼표 [0] 4 2 2 3 7 3" xfId="3476"/>
    <cellStyle name="쉼표 [0] 4 2 2 3 7 3 2" xfId="9812"/>
    <cellStyle name="쉼표 [0] 4 2 2 3 7 3 2 2" xfId="22485"/>
    <cellStyle name="쉼표 [0] 4 2 2 3 7 3 2 2 2" xfId="47837"/>
    <cellStyle name="쉼표 [0] 4 2 2 3 7 3 2 3" xfId="35165"/>
    <cellStyle name="쉼표 [0] 4 2 2 3 7 3 3" xfId="16149"/>
    <cellStyle name="쉼표 [0] 4 2 2 3 7 3 3 2" xfId="41501"/>
    <cellStyle name="쉼표 [0] 4 2 2 3 7 3 4" xfId="28829"/>
    <cellStyle name="쉼표 [0] 4 2 2 3 7 3 5" xfId="51281"/>
    <cellStyle name="쉼표 [0] 4 2 2 3 7 4" xfId="6711"/>
    <cellStyle name="쉼표 [0] 4 2 2 3 7 4 2" xfId="19384"/>
    <cellStyle name="쉼표 [0] 4 2 2 3 7 4 2 2" xfId="44736"/>
    <cellStyle name="쉼표 [0] 4 2 2 3 7 4 3" xfId="32064"/>
    <cellStyle name="쉼표 [0] 4 2 2 3 7 5" xfId="13048"/>
    <cellStyle name="쉼표 [0] 4 2 2 3 7 5 2" xfId="38400"/>
    <cellStyle name="쉼표 [0] 4 2 2 3 7 6" xfId="25728"/>
    <cellStyle name="쉼표 [0] 4 2 2 3 7 7" xfId="51282"/>
    <cellStyle name="쉼표 [0] 4 2 2 3 8" xfId="376"/>
    <cellStyle name="쉼표 [0] 4 2 2 3 8 2" xfId="377"/>
    <cellStyle name="쉼표 [0] 4 2 2 3 8 2 2" xfId="3477"/>
    <cellStyle name="쉼표 [0] 4 2 2 3 8 2 2 2" xfId="9813"/>
    <cellStyle name="쉼표 [0] 4 2 2 3 8 2 2 2 2" xfId="22486"/>
    <cellStyle name="쉼표 [0] 4 2 2 3 8 2 2 2 2 2" xfId="47838"/>
    <cellStyle name="쉼표 [0] 4 2 2 3 8 2 2 2 3" xfId="35166"/>
    <cellStyle name="쉼표 [0] 4 2 2 3 8 2 2 3" xfId="16150"/>
    <cellStyle name="쉼표 [0] 4 2 2 3 8 2 2 3 2" xfId="41502"/>
    <cellStyle name="쉼표 [0] 4 2 2 3 8 2 2 4" xfId="28830"/>
    <cellStyle name="쉼표 [0] 4 2 2 3 8 2 2 5" xfId="51283"/>
    <cellStyle name="쉼표 [0] 4 2 2 3 8 2 3" xfId="6714"/>
    <cellStyle name="쉼표 [0] 4 2 2 3 8 2 3 2" xfId="19387"/>
    <cellStyle name="쉼표 [0] 4 2 2 3 8 2 3 2 2" xfId="44739"/>
    <cellStyle name="쉼표 [0] 4 2 2 3 8 2 3 3" xfId="32067"/>
    <cellStyle name="쉼표 [0] 4 2 2 3 8 2 4" xfId="13051"/>
    <cellStyle name="쉼표 [0] 4 2 2 3 8 2 4 2" xfId="38403"/>
    <cellStyle name="쉼표 [0] 4 2 2 3 8 2 5" xfId="25731"/>
    <cellStyle name="쉼표 [0] 4 2 2 3 8 2 6" xfId="51284"/>
    <cellStyle name="쉼표 [0] 4 2 2 3 8 3" xfId="3478"/>
    <cellStyle name="쉼표 [0] 4 2 2 3 8 3 2" xfId="9814"/>
    <cellStyle name="쉼표 [0] 4 2 2 3 8 3 2 2" xfId="22487"/>
    <cellStyle name="쉼표 [0] 4 2 2 3 8 3 2 2 2" xfId="47839"/>
    <cellStyle name="쉼표 [0] 4 2 2 3 8 3 2 3" xfId="35167"/>
    <cellStyle name="쉼표 [0] 4 2 2 3 8 3 3" xfId="16151"/>
    <cellStyle name="쉼표 [0] 4 2 2 3 8 3 3 2" xfId="41503"/>
    <cellStyle name="쉼표 [0] 4 2 2 3 8 3 4" xfId="28831"/>
    <cellStyle name="쉼표 [0] 4 2 2 3 8 3 5" xfId="51285"/>
    <cellStyle name="쉼표 [0] 4 2 2 3 8 4" xfId="6713"/>
    <cellStyle name="쉼표 [0] 4 2 2 3 8 4 2" xfId="19386"/>
    <cellStyle name="쉼표 [0] 4 2 2 3 8 4 2 2" xfId="44738"/>
    <cellStyle name="쉼표 [0] 4 2 2 3 8 4 3" xfId="32066"/>
    <cellStyle name="쉼표 [0] 4 2 2 3 8 5" xfId="13050"/>
    <cellStyle name="쉼표 [0] 4 2 2 3 8 5 2" xfId="38402"/>
    <cellStyle name="쉼표 [0] 4 2 2 3 8 6" xfId="25730"/>
    <cellStyle name="쉼표 [0] 4 2 2 3 8 7" xfId="51286"/>
    <cellStyle name="쉼표 [0] 4 2 2 3 9" xfId="378"/>
    <cellStyle name="쉼표 [0] 4 2 2 3 9 2" xfId="379"/>
    <cellStyle name="쉼표 [0] 4 2 2 3 9 2 2" xfId="3479"/>
    <cellStyle name="쉼표 [0] 4 2 2 3 9 2 2 2" xfId="9815"/>
    <cellStyle name="쉼표 [0] 4 2 2 3 9 2 2 2 2" xfId="22488"/>
    <cellStyle name="쉼표 [0] 4 2 2 3 9 2 2 2 2 2" xfId="47840"/>
    <cellStyle name="쉼표 [0] 4 2 2 3 9 2 2 2 3" xfId="35168"/>
    <cellStyle name="쉼표 [0] 4 2 2 3 9 2 2 3" xfId="16152"/>
    <cellStyle name="쉼표 [0] 4 2 2 3 9 2 2 3 2" xfId="41504"/>
    <cellStyle name="쉼표 [0] 4 2 2 3 9 2 2 4" xfId="28832"/>
    <cellStyle name="쉼표 [0] 4 2 2 3 9 2 2 5" xfId="51287"/>
    <cellStyle name="쉼표 [0] 4 2 2 3 9 2 3" xfId="6716"/>
    <cellStyle name="쉼표 [0] 4 2 2 3 9 2 3 2" xfId="19389"/>
    <cellStyle name="쉼표 [0] 4 2 2 3 9 2 3 2 2" xfId="44741"/>
    <cellStyle name="쉼표 [0] 4 2 2 3 9 2 3 3" xfId="32069"/>
    <cellStyle name="쉼표 [0] 4 2 2 3 9 2 4" xfId="13053"/>
    <cellStyle name="쉼표 [0] 4 2 2 3 9 2 4 2" xfId="38405"/>
    <cellStyle name="쉼표 [0] 4 2 2 3 9 2 5" xfId="25733"/>
    <cellStyle name="쉼표 [0] 4 2 2 3 9 2 6" xfId="51288"/>
    <cellStyle name="쉼표 [0] 4 2 2 3 9 3" xfId="3480"/>
    <cellStyle name="쉼표 [0] 4 2 2 3 9 3 2" xfId="9816"/>
    <cellStyle name="쉼표 [0] 4 2 2 3 9 3 2 2" xfId="22489"/>
    <cellStyle name="쉼표 [0] 4 2 2 3 9 3 2 2 2" xfId="47841"/>
    <cellStyle name="쉼표 [0] 4 2 2 3 9 3 2 3" xfId="35169"/>
    <cellStyle name="쉼표 [0] 4 2 2 3 9 3 3" xfId="16153"/>
    <cellStyle name="쉼표 [0] 4 2 2 3 9 3 3 2" xfId="41505"/>
    <cellStyle name="쉼표 [0] 4 2 2 3 9 3 4" xfId="28833"/>
    <cellStyle name="쉼표 [0] 4 2 2 3 9 3 5" xfId="51289"/>
    <cellStyle name="쉼표 [0] 4 2 2 3 9 4" xfId="6715"/>
    <cellStyle name="쉼표 [0] 4 2 2 3 9 4 2" xfId="19388"/>
    <cellStyle name="쉼표 [0] 4 2 2 3 9 4 2 2" xfId="44740"/>
    <cellStyle name="쉼표 [0] 4 2 2 3 9 4 3" xfId="32068"/>
    <cellStyle name="쉼표 [0] 4 2 2 3 9 5" xfId="13052"/>
    <cellStyle name="쉼표 [0] 4 2 2 3 9 5 2" xfId="38404"/>
    <cellStyle name="쉼표 [0] 4 2 2 3 9 6" xfId="25732"/>
    <cellStyle name="쉼표 [0] 4 2 2 3 9 7" xfId="51290"/>
    <cellStyle name="쉼표 [0] 4 2 2 30" xfId="380"/>
    <cellStyle name="쉼표 [0] 4 2 2 30 2" xfId="381"/>
    <cellStyle name="쉼표 [0] 4 2 2 30 2 2" xfId="3481"/>
    <cellStyle name="쉼표 [0] 4 2 2 30 2 2 2" xfId="9817"/>
    <cellStyle name="쉼표 [0] 4 2 2 30 2 2 2 2" xfId="22490"/>
    <cellStyle name="쉼표 [0] 4 2 2 30 2 2 2 2 2" xfId="47842"/>
    <cellStyle name="쉼표 [0] 4 2 2 30 2 2 2 3" xfId="35170"/>
    <cellStyle name="쉼표 [0] 4 2 2 30 2 2 3" xfId="16154"/>
    <cellStyle name="쉼표 [0] 4 2 2 30 2 2 3 2" xfId="41506"/>
    <cellStyle name="쉼표 [0] 4 2 2 30 2 2 4" xfId="28834"/>
    <cellStyle name="쉼표 [0] 4 2 2 30 2 2 5" xfId="51291"/>
    <cellStyle name="쉼표 [0] 4 2 2 30 2 3" xfId="6718"/>
    <cellStyle name="쉼표 [0] 4 2 2 30 2 3 2" xfId="19391"/>
    <cellStyle name="쉼표 [0] 4 2 2 30 2 3 2 2" xfId="44743"/>
    <cellStyle name="쉼표 [0] 4 2 2 30 2 3 3" xfId="32071"/>
    <cellStyle name="쉼표 [0] 4 2 2 30 2 4" xfId="13055"/>
    <cellStyle name="쉼표 [0] 4 2 2 30 2 4 2" xfId="38407"/>
    <cellStyle name="쉼표 [0] 4 2 2 30 2 5" xfId="25735"/>
    <cellStyle name="쉼표 [0] 4 2 2 30 2 6" xfId="51292"/>
    <cellStyle name="쉼표 [0] 4 2 2 30 3" xfId="3482"/>
    <cellStyle name="쉼표 [0] 4 2 2 30 3 2" xfId="9818"/>
    <cellStyle name="쉼표 [0] 4 2 2 30 3 2 2" xfId="22491"/>
    <cellStyle name="쉼표 [0] 4 2 2 30 3 2 2 2" xfId="47843"/>
    <cellStyle name="쉼표 [0] 4 2 2 30 3 2 3" xfId="35171"/>
    <cellStyle name="쉼표 [0] 4 2 2 30 3 3" xfId="16155"/>
    <cellStyle name="쉼표 [0] 4 2 2 30 3 3 2" xfId="41507"/>
    <cellStyle name="쉼표 [0] 4 2 2 30 3 4" xfId="28835"/>
    <cellStyle name="쉼표 [0] 4 2 2 30 3 5" xfId="51293"/>
    <cellStyle name="쉼표 [0] 4 2 2 30 4" xfId="6717"/>
    <cellStyle name="쉼표 [0] 4 2 2 30 4 2" xfId="19390"/>
    <cellStyle name="쉼표 [0] 4 2 2 30 4 2 2" xfId="44742"/>
    <cellStyle name="쉼표 [0] 4 2 2 30 4 3" xfId="32070"/>
    <cellStyle name="쉼표 [0] 4 2 2 30 5" xfId="13054"/>
    <cellStyle name="쉼표 [0] 4 2 2 30 5 2" xfId="38406"/>
    <cellStyle name="쉼표 [0] 4 2 2 30 6" xfId="25734"/>
    <cellStyle name="쉼표 [0] 4 2 2 30 7" xfId="51294"/>
    <cellStyle name="쉼표 [0] 4 2 2 31" xfId="382"/>
    <cellStyle name="쉼표 [0] 4 2 2 31 2" xfId="383"/>
    <cellStyle name="쉼표 [0] 4 2 2 31 2 2" xfId="3483"/>
    <cellStyle name="쉼표 [0] 4 2 2 31 2 2 2" xfId="9819"/>
    <cellStyle name="쉼표 [0] 4 2 2 31 2 2 2 2" xfId="22492"/>
    <cellStyle name="쉼표 [0] 4 2 2 31 2 2 2 2 2" xfId="47844"/>
    <cellStyle name="쉼표 [0] 4 2 2 31 2 2 2 3" xfId="35172"/>
    <cellStyle name="쉼표 [0] 4 2 2 31 2 2 3" xfId="16156"/>
    <cellStyle name="쉼표 [0] 4 2 2 31 2 2 3 2" xfId="41508"/>
    <cellStyle name="쉼표 [0] 4 2 2 31 2 2 4" xfId="28836"/>
    <cellStyle name="쉼표 [0] 4 2 2 31 2 2 5" xfId="51295"/>
    <cellStyle name="쉼표 [0] 4 2 2 31 2 3" xfId="6720"/>
    <cellStyle name="쉼표 [0] 4 2 2 31 2 3 2" xfId="19393"/>
    <cellStyle name="쉼표 [0] 4 2 2 31 2 3 2 2" xfId="44745"/>
    <cellStyle name="쉼표 [0] 4 2 2 31 2 3 3" xfId="32073"/>
    <cellStyle name="쉼표 [0] 4 2 2 31 2 4" xfId="13057"/>
    <cellStyle name="쉼표 [0] 4 2 2 31 2 4 2" xfId="38409"/>
    <cellStyle name="쉼표 [0] 4 2 2 31 2 5" xfId="25737"/>
    <cellStyle name="쉼표 [0] 4 2 2 31 2 6" xfId="51296"/>
    <cellStyle name="쉼표 [0] 4 2 2 31 3" xfId="3484"/>
    <cellStyle name="쉼표 [0] 4 2 2 31 3 2" xfId="9820"/>
    <cellStyle name="쉼표 [0] 4 2 2 31 3 2 2" xfId="22493"/>
    <cellStyle name="쉼표 [0] 4 2 2 31 3 2 2 2" xfId="47845"/>
    <cellStyle name="쉼표 [0] 4 2 2 31 3 2 3" xfId="35173"/>
    <cellStyle name="쉼표 [0] 4 2 2 31 3 3" xfId="16157"/>
    <cellStyle name="쉼표 [0] 4 2 2 31 3 3 2" xfId="41509"/>
    <cellStyle name="쉼표 [0] 4 2 2 31 3 4" xfId="28837"/>
    <cellStyle name="쉼표 [0] 4 2 2 31 3 5" xfId="51297"/>
    <cellStyle name="쉼표 [0] 4 2 2 31 4" xfId="6719"/>
    <cellStyle name="쉼표 [0] 4 2 2 31 4 2" xfId="19392"/>
    <cellStyle name="쉼표 [0] 4 2 2 31 4 2 2" xfId="44744"/>
    <cellStyle name="쉼표 [0] 4 2 2 31 4 3" xfId="32072"/>
    <cellStyle name="쉼표 [0] 4 2 2 31 5" xfId="13056"/>
    <cellStyle name="쉼표 [0] 4 2 2 31 5 2" xfId="38408"/>
    <cellStyle name="쉼표 [0] 4 2 2 31 6" xfId="25736"/>
    <cellStyle name="쉼표 [0] 4 2 2 31 7" xfId="51298"/>
    <cellStyle name="쉼표 [0] 4 2 2 32" xfId="384"/>
    <cellStyle name="쉼표 [0] 4 2 2 32 2" xfId="385"/>
    <cellStyle name="쉼표 [0] 4 2 2 32 2 2" xfId="3485"/>
    <cellStyle name="쉼표 [0] 4 2 2 32 2 2 2" xfId="9821"/>
    <cellStyle name="쉼표 [0] 4 2 2 32 2 2 2 2" xfId="22494"/>
    <cellStyle name="쉼표 [0] 4 2 2 32 2 2 2 2 2" xfId="47846"/>
    <cellStyle name="쉼표 [0] 4 2 2 32 2 2 2 3" xfId="35174"/>
    <cellStyle name="쉼표 [0] 4 2 2 32 2 2 3" xfId="16158"/>
    <cellStyle name="쉼표 [0] 4 2 2 32 2 2 3 2" xfId="41510"/>
    <cellStyle name="쉼표 [0] 4 2 2 32 2 2 4" xfId="28838"/>
    <cellStyle name="쉼표 [0] 4 2 2 32 2 2 5" xfId="51299"/>
    <cellStyle name="쉼표 [0] 4 2 2 32 2 3" xfId="6722"/>
    <cellStyle name="쉼표 [0] 4 2 2 32 2 3 2" xfId="19395"/>
    <cellStyle name="쉼표 [0] 4 2 2 32 2 3 2 2" xfId="44747"/>
    <cellStyle name="쉼표 [0] 4 2 2 32 2 3 3" xfId="32075"/>
    <cellStyle name="쉼표 [0] 4 2 2 32 2 4" xfId="13059"/>
    <cellStyle name="쉼표 [0] 4 2 2 32 2 4 2" xfId="38411"/>
    <cellStyle name="쉼표 [0] 4 2 2 32 2 5" xfId="25739"/>
    <cellStyle name="쉼표 [0] 4 2 2 32 2 6" xfId="51300"/>
    <cellStyle name="쉼표 [0] 4 2 2 32 3" xfId="3486"/>
    <cellStyle name="쉼표 [0] 4 2 2 32 3 2" xfId="9822"/>
    <cellStyle name="쉼표 [0] 4 2 2 32 3 2 2" xfId="22495"/>
    <cellStyle name="쉼표 [0] 4 2 2 32 3 2 2 2" xfId="47847"/>
    <cellStyle name="쉼표 [0] 4 2 2 32 3 2 3" xfId="35175"/>
    <cellStyle name="쉼표 [0] 4 2 2 32 3 3" xfId="16159"/>
    <cellStyle name="쉼표 [0] 4 2 2 32 3 3 2" xfId="41511"/>
    <cellStyle name="쉼표 [0] 4 2 2 32 3 4" xfId="28839"/>
    <cellStyle name="쉼표 [0] 4 2 2 32 3 5" xfId="51301"/>
    <cellStyle name="쉼표 [0] 4 2 2 32 4" xfId="6721"/>
    <cellStyle name="쉼표 [0] 4 2 2 32 4 2" xfId="19394"/>
    <cellStyle name="쉼표 [0] 4 2 2 32 4 2 2" xfId="44746"/>
    <cellStyle name="쉼표 [0] 4 2 2 32 4 3" xfId="32074"/>
    <cellStyle name="쉼표 [0] 4 2 2 32 5" xfId="13058"/>
    <cellStyle name="쉼표 [0] 4 2 2 32 5 2" xfId="38410"/>
    <cellStyle name="쉼표 [0] 4 2 2 32 6" xfId="25738"/>
    <cellStyle name="쉼표 [0] 4 2 2 32 7" xfId="51302"/>
    <cellStyle name="쉼표 [0] 4 2 2 33" xfId="386"/>
    <cellStyle name="쉼표 [0] 4 2 2 33 2" xfId="387"/>
    <cellStyle name="쉼표 [0] 4 2 2 33 2 2" xfId="3487"/>
    <cellStyle name="쉼표 [0] 4 2 2 33 2 2 2" xfId="9823"/>
    <cellStyle name="쉼표 [0] 4 2 2 33 2 2 2 2" xfId="22496"/>
    <cellStyle name="쉼표 [0] 4 2 2 33 2 2 2 2 2" xfId="47848"/>
    <cellStyle name="쉼표 [0] 4 2 2 33 2 2 2 3" xfId="35176"/>
    <cellStyle name="쉼표 [0] 4 2 2 33 2 2 3" xfId="16160"/>
    <cellStyle name="쉼표 [0] 4 2 2 33 2 2 3 2" xfId="41512"/>
    <cellStyle name="쉼표 [0] 4 2 2 33 2 2 4" xfId="28840"/>
    <cellStyle name="쉼표 [0] 4 2 2 33 2 2 5" xfId="51303"/>
    <cellStyle name="쉼표 [0] 4 2 2 33 2 3" xfId="6724"/>
    <cellStyle name="쉼표 [0] 4 2 2 33 2 3 2" xfId="19397"/>
    <cellStyle name="쉼표 [0] 4 2 2 33 2 3 2 2" xfId="44749"/>
    <cellStyle name="쉼표 [0] 4 2 2 33 2 3 3" xfId="32077"/>
    <cellStyle name="쉼표 [0] 4 2 2 33 2 4" xfId="13061"/>
    <cellStyle name="쉼표 [0] 4 2 2 33 2 4 2" xfId="38413"/>
    <cellStyle name="쉼표 [0] 4 2 2 33 2 5" xfId="25741"/>
    <cellStyle name="쉼표 [0] 4 2 2 33 2 6" xfId="51304"/>
    <cellStyle name="쉼표 [0] 4 2 2 33 3" xfId="3488"/>
    <cellStyle name="쉼표 [0] 4 2 2 33 3 2" xfId="9824"/>
    <cellStyle name="쉼표 [0] 4 2 2 33 3 2 2" xfId="22497"/>
    <cellStyle name="쉼표 [0] 4 2 2 33 3 2 2 2" xfId="47849"/>
    <cellStyle name="쉼표 [0] 4 2 2 33 3 2 3" xfId="35177"/>
    <cellStyle name="쉼표 [0] 4 2 2 33 3 3" xfId="16161"/>
    <cellStyle name="쉼표 [0] 4 2 2 33 3 3 2" xfId="41513"/>
    <cellStyle name="쉼표 [0] 4 2 2 33 3 4" xfId="28841"/>
    <cellStyle name="쉼표 [0] 4 2 2 33 3 5" xfId="51305"/>
    <cellStyle name="쉼표 [0] 4 2 2 33 4" xfId="6723"/>
    <cellStyle name="쉼표 [0] 4 2 2 33 4 2" xfId="19396"/>
    <cellStyle name="쉼표 [0] 4 2 2 33 4 2 2" xfId="44748"/>
    <cellStyle name="쉼표 [0] 4 2 2 33 4 3" xfId="32076"/>
    <cellStyle name="쉼표 [0] 4 2 2 33 5" xfId="13060"/>
    <cellStyle name="쉼표 [0] 4 2 2 33 5 2" xfId="38412"/>
    <cellStyle name="쉼표 [0] 4 2 2 33 6" xfId="25740"/>
    <cellStyle name="쉼표 [0] 4 2 2 33 7" xfId="51306"/>
    <cellStyle name="쉼표 [0] 4 2 2 34" xfId="388"/>
    <cellStyle name="쉼표 [0] 4 2 2 34 2" xfId="389"/>
    <cellStyle name="쉼표 [0] 4 2 2 34 2 2" xfId="3489"/>
    <cellStyle name="쉼표 [0] 4 2 2 34 2 2 2" xfId="9825"/>
    <cellStyle name="쉼표 [0] 4 2 2 34 2 2 2 2" xfId="22498"/>
    <cellStyle name="쉼표 [0] 4 2 2 34 2 2 2 2 2" xfId="47850"/>
    <cellStyle name="쉼표 [0] 4 2 2 34 2 2 2 3" xfId="35178"/>
    <cellStyle name="쉼표 [0] 4 2 2 34 2 2 3" xfId="16162"/>
    <cellStyle name="쉼표 [0] 4 2 2 34 2 2 3 2" xfId="41514"/>
    <cellStyle name="쉼표 [0] 4 2 2 34 2 2 4" xfId="28842"/>
    <cellStyle name="쉼표 [0] 4 2 2 34 2 2 5" xfId="51307"/>
    <cellStyle name="쉼표 [0] 4 2 2 34 2 3" xfId="6726"/>
    <cellStyle name="쉼표 [0] 4 2 2 34 2 3 2" xfId="19399"/>
    <cellStyle name="쉼표 [0] 4 2 2 34 2 3 2 2" xfId="44751"/>
    <cellStyle name="쉼표 [0] 4 2 2 34 2 3 3" xfId="32079"/>
    <cellStyle name="쉼표 [0] 4 2 2 34 2 4" xfId="13063"/>
    <cellStyle name="쉼표 [0] 4 2 2 34 2 4 2" xfId="38415"/>
    <cellStyle name="쉼표 [0] 4 2 2 34 2 5" xfId="25743"/>
    <cellStyle name="쉼표 [0] 4 2 2 34 2 6" xfId="51308"/>
    <cellStyle name="쉼표 [0] 4 2 2 34 3" xfId="3490"/>
    <cellStyle name="쉼표 [0] 4 2 2 34 3 2" xfId="9826"/>
    <cellStyle name="쉼표 [0] 4 2 2 34 3 2 2" xfId="22499"/>
    <cellStyle name="쉼표 [0] 4 2 2 34 3 2 2 2" xfId="47851"/>
    <cellStyle name="쉼표 [0] 4 2 2 34 3 2 3" xfId="35179"/>
    <cellStyle name="쉼표 [0] 4 2 2 34 3 3" xfId="16163"/>
    <cellStyle name="쉼표 [0] 4 2 2 34 3 3 2" xfId="41515"/>
    <cellStyle name="쉼표 [0] 4 2 2 34 3 4" xfId="28843"/>
    <cellStyle name="쉼표 [0] 4 2 2 34 3 5" xfId="51309"/>
    <cellStyle name="쉼표 [0] 4 2 2 34 4" xfId="6725"/>
    <cellStyle name="쉼표 [0] 4 2 2 34 4 2" xfId="19398"/>
    <cellStyle name="쉼표 [0] 4 2 2 34 4 2 2" xfId="44750"/>
    <cellStyle name="쉼표 [0] 4 2 2 34 4 3" xfId="32078"/>
    <cellStyle name="쉼표 [0] 4 2 2 34 5" xfId="13062"/>
    <cellStyle name="쉼표 [0] 4 2 2 34 5 2" xfId="38414"/>
    <cellStyle name="쉼표 [0] 4 2 2 34 6" xfId="25742"/>
    <cellStyle name="쉼표 [0] 4 2 2 34 7" xfId="51310"/>
    <cellStyle name="쉼표 [0] 4 2 2 35" xfId="390"/>
    <cellStyle name="쉼표 [0] 4 2 2 35 2" xfId="391"/>
    <cellStyle name="쉼표 [0] 4 2 2 35 2 2" xfId="3491"/>
    <cellStyle name="쉼표 [0] 4 2 2 35 2 2 2" xfId="9827"/>
    <cellStyle name="쉼표 [0] 4 2 2 35 2 2 2 2" xfId="22500"/>
    <cellStyle name="쉼표 [0] 4 2 2 35 2 2 2 2 2" xfId="47852"/>
    <cellStyle name="쉼표 [0] 4 2 2 35 2 2 2 3" xfId="35180"/>
    <cellStyle name="쉼표 [0] 4 2 2 35 2 2 3" xfId="16164"/>
    <cellStyle name="쉼표 [0] 4 2 2 35 2 2 3 2" xfId="41516"/>
    <cellStyle name="쉼표 [0] 4 2 2 35 2 2 4" xfId="28844"/>
    <cellStyle name="쉼표 [0] 4 2 2 35 2 2 5" xfId="51311"/>
    <cellStyle name="쉼표 [0] 4 2 2 35 2 3" xfId="6728"/>
    <cellStyle name="쉼표 [0] 4 2 2 35 2 3 2" xfId="19401"/>
    <cellStyle name="쉼표 [0] 4 2 2 35 2 3 2 2" xfId="44753"/>
    <cellStyle name="쉼표 [0] 4 2 2 35 2 3 3" xfId="32081"/>
    <cellStyle name="쉼표 [0] 4 2 2 35 2 4" xfId="13065"/>
    <cellStyle name="쉼표 [0] 4 2 2 35 2 4 2" xfId="38417"/>
    <cellStyle name="쉼표 [0] 4 2 2 35 2 5" xfId="25745"/>
    <cellStyle name="쉼표 [0] 4 2 2 35 2 6" xfId="51312"/>
    <cellStyle name="쉼표 [0] 4 2 2 35 3" xfId="3492"/>
    <cellStyle name="쉼표 [0] 4 2 2 35 3 2" xfId="9828"/>
    <cellStyle name="쉼표 [0] 4 2 2 35 3 2 2" xfId="22501"/>
    <cellStyle name="쉼표 [0] 4 2 2 35 3 2 2 2" xfId="47853"/>
    <cellStyle name="쉼표 [0] 4 2 2 35 3 2 3" xfId="35181"/>
    <cellStyle name="쉼표 [0] 4 2 2 35 3 3" xfId="16165"/>
    <cellStyle name="쉼표 [0] 4 2 2 35 3 3 2" xfId="41517"/>
    <cellStyle name="쉼표 [0] 4 2 2 35 3 4" xfId="28845"/>
    <cellStyle name="쉼표 [0] 4 2 2 35 3 5" xfId="51313"/>
    <cellStyle name="쉼표 [0] 4 2 2 35 4" xfId="6727"/>
    <cellStyle name="쉼표 [0] 4 2 2 35 4 2" xfId="19400"/>
    <cellStyle name="쉼표 [0] 4 2 2 35 4 2 2" xfId="44752"/>
    <cellStyle name="쉼표 [0] 4 2 2 35 4 3" xfId="32080"/>
    <cellStyle name="쉼표 [0] 4 2 2 35 5" xfId="13064"/>
    <cellStyle name="쉼표 [0] 4 2 2 35 5 2" xfId="38416"/>
    <cellStyle name="쉼표 [0] 4 2 2 35 6" xfId="25744"/>
    <cellStyle name="쉼표 [0] 4 2 2 35 7" xfId="51314"/>
    <cellStyle name="쉼표 [0] 4 2 2 36" xfId="392"/>
    <cellStyle name="쉼표 [0] 4 2 2 36 2" xfId="3493"/>
    <cellStyle name="쉼표 [0] 4 2 2 36 2 2" xfId="9829"/>
    <cellStyle name="쉼표 [0] 4 2 2 36 2 2 2" xfId="22502"/>
    <cellStyle name="쉼표 [0] 4 2 2 36 2 2 2 2" xfId="47854"/>
    <cellStyle name="쉼표 [0] 4 2 2 36 2 2 3" xfId="35182"/>
    <cellStyle name="쉼표 [0] 4 2 2 36 2 3" xfId="16166"/>
    <cellStyle name="쉼표 [0] 4 2 2 36 2 3 2" xfId="41518"/>
    <cellStyle name="쉼표 [0] 4 2 2 36 2 4" xfId="28846"/>
    <cellStyle name="쉼표 [0] 4 2 2 36 2 5" xfId="51315"/>
    <cellStyle name="쉼표 [0] 4 2 2 36 3" xfId="6729"/>
    <cellStyle name="쉼표 [0] 4 2 2 36 3 2" xfId="19402"/>
    <cellStyle name="쉼표 [0] 4 2 2 36 3 2 2" xfId="44754"/>
    <cellStyle name="쉼표 [0] 4 2 2 36 3 3" xfId="32082"/>
    <cellStyle name="쉼표 [0] 4 2 2 36 4" xfId="13066"/>
    <cellStyle name="쉼표 [0] 4 2 2 36 4 2" xfId="38418"/>
    <cellStyle name="쉼표 [0] 4 2 2 36 5" xfId="25746"/>
    <cellStyle name="쉼표 [0] 4 2 2 36 6" xfId="51316"/>
    <cellStyle name="쉼표 [0] 4 2 2 37" xfId="3494"/>
    <cellStyle name="쉼표 [0] 4 2 2 37 2" xfId="9830"/>
    <cellStyle name="쉼표 [0] 4 2 2 37 2 2" xfId="22503"/>
    <cellStyle name="쉼표 [0] 4 2 2 37 2 2 2" xfId="47855"/>
    <cellStyle name="쉼표 [0] 4 2 2 37 2 3" xfId="35183"/>
    <cellStyle name="쉼표 [0] 4 2 2 37 3" xfId="16167"/>
    <cellStyle name="쉼표 [0] 4 2 2 37 3 2" xfId="41519"/>
    <cellStyle name="쉼표 [0] 4 2 2 37 4" xfId="28847"/>
    <cellStyle name="쉼표 [0] 4 2 2 37 5" xfId="51317"/>
    <cellStyle name="쉼표 [0] 4 2 2 38" xfId="6380"/>
    <cellStyle name="쉼표 [0] 4 2 2 38 2" xfId="19053"/>
    <cellStyle name="쉼표 [0] 4 2 2 38 2 2" xfId="44405"/>
    <cellStyle name="쉼표 [0] 4 2 2 38 3" xfId="31733"/>
    <cellStyle name="쉼표 [0] 4 2 2 39" xfId="12717"/>
    <cellStyle name="쉼표 [0] 4 2 2 39 2" xfId="38069"/>
    <cellStyle name="쉼표 [0] 4 2 2 4" xfId="60"/>
    <cellStyle name="쉼표 [0] 4 2 2 4 2" xfId="393"/>
    <cellStyle name="쉼표 [0] 4 2 2 4 2 2" xfId="3495"/>
    <cellStyle name="쉼표 [0] 4 2 2 4 2 2 2" xfId="9831"/>
    <cellStyle name="쉼표 [0] 4 2 2 4 2 2 2 2" xfId="22504"/>
    <cellStyle name="쉼표 [0] 4 2 2 4 2 2 2 2 2" xfId="47856"/>
    <cellStyle name="쉼표 [0] 4 2 2 4 2 2 2 3" xfId="35184"/>
    <cellStyle name="쉼표 [0] 4 2 2 4 2 2 3" xfId="16168"/>
    <cellStyle name="쉼표 [0] 4 2 2 4 2 2 3 2" xfId="41520"/>
    <cellStyle name="쉼표 [0] 4 2 2 4 2 2 4" xfId="28848"/>
    <cellStyle name="쉼표 [0] 4 2 2 4 2 2 5" xfId="51318"/>
    <cellStyle name="쉼표 [0] 4 2 2 4 2 3" xfId="6730"/>
    <cellStyle name="쉼표 [0] 4 2 2 4 2 3 2" xfId="19403"/>
    <cellStyle name="쉼표 [0] 4 2 2 4 2 3 2 2" xfId="44755"/>
    <cellStyle name="쉼표 [0] 4 2 2 4 2 3 3" xfId="32083"/>
    <cellStyle name="쉼표 [0] 4 2 2 4 2 4" xfId="13067"/>
    <cellStyle name="쉼표 [0] 4 2 2 4 2 4 2" xfId="38419"/>
    <cellStyle name="쉼표 [0] 4 2 2 4 2 5" xfId="25747"/>
    <cellStyle name="쉼표 [0] 4 2 2 4 2 6" xfId="51319"/>
    <cellStyle name="쉼표 [0] 4 2 2 4 3" xfId="3496"/>
    <cellStyle name="쉼표 [0] 4 2 2 4 3 2" xfId="9832"/>
    <cellStyle name="쉼표 [0] 4 2 2 4 3 2 2" xfId="22505"/>
    <cellStyle name="쉼표 [0] 4 2 2 4 3 2 2 2" xfId="47857"/>
    <cellStyle name="쉼표 [0] 4 2 2 4 3 2 3" xfId="35185"/>
    <cellStyle name="쉼표 [0] 4 2 2 4 3 3" xfId="16169"/>
    <cellStyle name="쉼표 [0] 4 2 2 4 3 3 2" xfId="41521"/>
    <cellStyle name="쉼표 [0] 4 2 2 4 3 4" xfId="28849"/>
    <cellStyle name="쉼표 [0] 4 2 2 4 3 5" xfId="51320"/>
    <cellStyle name="쉼표 [0] 4 2 2 4 4" xfId="6398"/>
    <cellStyle name="쉼표 [0] 4 2 2 4 4 2" xfId="19071"/>
    <cellStyle name="쉼표 [0] 4 2 2 4 4 2 2" xfId="44423"/>
    <cellStyle name="쉼표 [0] 4 2 2 4 4 3" xfId="31751"/>
    <cellStyle name="쉼표 [0] 4 2 2 4 5" xfId="12735"/>
    <cellStyle name="쉼표 [0] 4 2 2 4 5 2" xfId="38087"/>
    <cellStyle name="쉼표 [0] 4 2 2 4 6" xfId="25415"/>
    <cellStyle name="쉼표 [0] 4 2 2 4 7" xfId="51321"/>
    <cellStyle name="쉼표 [0] 4 2 2 40" xfId="25397"/>
    <cellStyle name="쉼표 [0] 4 2 2 41" xfId="51322"/>
    <cellStyle name="쉼표 [0] 4 2 2 5" xfId="394"/>
    <cellStyle name="쉼표 [0] 4 2 2 5 2" xfId="395"/>
    <cellStyle name="쉼표 [0] 4 2 2 5 2 2" xfId="3497"/>
    <cellStyle name="쉼표 [0] 4 2 2 5 2 2 2" xfId="9833"/>
    <cellStyle name="쉼표 [0] 4 2 2 5 2 2 2 2" xfId="22506"/>
    <cellStyle name="쉼표 [0] 4 2 2 5 2 2 2 2 2" xfId="47858"/>
    <cellStyle name="쉼표 [0] 4 2 2 5 2 2 2 3" xfId="35186"/>
    <cellStyle name="쉼표 [0] 4 2 2 5 2 2 3" xfId="16170"/>
    <cellStyle name="쉼표 [0] 4 2 2 5 2 2 3 2" xfId="41522"/>
    <cellStyle name="쉼표 [0] 4 2 2 5 2 2 4" xfId="28850"/>
    <cellStyle name="쉼표 [0] 4 2 2 5 2 2 5" xfId="51323"/>
    <cellStyle name="쉼표 [0] 4 2 2 5 2 3" xfId="6732"/>
    <cellStyle name="쉼표 [0] 4 2 2 5 2 3 2" xfId="19405"/>
    <cellStyle name="쉼표 [0] 4 2 2 5 2 3 2 2" xfId="44757"/>
    <cellStyle name="쉼표 [0] 4 2 2 5 2 3 3" xfId="32085"/>
    <cellStyle name="쉼표 [0] 4 2 2 5 2 4" xfId="13069"/>
    <cellStyle name="쉼표 [0] 4 2 2 5 2 4 2" xfId="38421"/>
    <cellStyle name="쉼표 [0] 4 2 2 5 2 5" xfId="25749"/>
    <cellStyle name="쉼표 [0] 4 2 2 5 2 6" xfId="51324"/>
    <cellStyle name="쉼표 [0] 4 2 2 5 3" xfId="3498"/>
    <cellStyle name="쉼표 [0] 4 2 2 5 3 2" xfId="9834"/>
    <cellStyle name="쉼표 [0] 4 2 2 5 3 2 2" xfId="22507"/>
    <cellStyle name="쉼표 [0] 4 2 2 5 3 2 2 2" xfId="47859"/>
    <cellStyle name="쉼표 [0] 4 2 2 5 3 2 3" xfId="35187"/>
    <cellStyle name="쉼표 [0] 4 2 2 5 3 3" xfId="16171"/>
    <cellStyle name="쉼표 [0] 4 2 2 5 3 3 2" xfId="41523"/>
    <cellStyle name="쉼표 [0] 4 2 2 5 3 4" xfId="28851"/>
    <cellStyle name="쉼표 [0] 4 2 2 5 3 5" xfId="51325"/>
    <cellStyle name="쉼표 [0] 4 2 2 5 4" xfId="6731"/>
    <cellStyle name="쉼표 [0] 4 2 2 5 4 2" xfId="19404"/>
    <cellStyle name="쉼표 [0] 4 2 2 5 4 2 2" xfId="44756"/>
    <cellStyle name="쉼표 [0] 4 2 2 5 4 3" xfId="32084"/>
    <cellStyle name="쉼표 [0] 4 2 2 5 5" xfId="13068"/>
    <cellStyle name="쉼표 [0] 4 2 2 5 5 2" xfId="38420"/>
    <cellStyle name="쉼표 [0] 4 2 2 5 6" xfId="25748"/>
    <cellStyle name="쉼표 [0] 4 2 2 5 7" xfId="51326"/>
    <cellStyle name="쉼표 [0] 4 2 2 6" xfId="396"/>
    <cellStyle name="쉼표 [0] 4 2 2 6 2" xfId="397"/>
    <cellStyle name="쉼표 [0] 4 2 2 6 2 2" xfId="3499"/>
    <cellStyle name="쉼표 [0] 4 2 2 6 2 2 2" xfId="9835"/>
    <cellStyle name="쉼표 [0] 4 2 2 6 2 2 2 2" xfId="22508"/>
    <cellStyle name="쉼표 [0] 4 2 2 6 2 2 2 2 2" xfId="47860"/>
    <cellStyle name="쉼표 [0] 4 2 2 6 2 2 2 3" xfId="35188"/>
    <cellStyle name="쉼표 [0] 4 2 2 6 2 2 3" xfId="16172"/>
    <cellStyle name="쉼표 [0] 4 2 2 6 2 2 3 2" xfId="41524"/>
    <cellStyle name="쉼표 [0] 4 2 2 6 2 2 4" xfId="28852"/>
    <cellStyle name="쉼표 [0] 4 2 2 6 2 2 5" xfId="51327"/>
    <cellStyle name="쉼표 [0] 4 2 2 6 2 3" xfId="6734"/>
    <cellStyle name="쉼표 [0] 4 2 2 6 2 3 2" xfId="19407"/>
    <cellStyle name="쉼표 [0] 4 2 2 6 2 3 2 2" xfId="44759"/>
    <cellStyle name="쉼표 [0] 4 2 2 6 2 3 3" xfId="32087"/>
    <cellStyle name="쉼표 [0] 4 2 2 6 2 4" xfId="13071"/>
    <cellStyle name="쉼표 [0] 4 2 2 6 2 4 2" xfId="38423"/>
    <cellStyle name="쉼표 [0] 4 2 2 6 2 5" xfId="25751"/>
    <cellStyle name="쉼표 [0] 4 2 2 6 2 6" xfId="51328"/>
    <cellStyle name="쉼표 [0] 4 2 2 6 3" xfId="3500"/>
    <cellStyle name="쉼표 [0] 4 2 2 6 3 2" xfId="9836"/>
    <cellStyle name="쉼표 [0] 4 2 2 6 3 2 2" xfId="22509"/>
    <cellStyle name="쉼표 [0] 4 2 2 6 3 2 2 2" xfId="47861"/>
    <cellStyle name="쉼표 [0] 4 2 2 6 3 2 3" xfId="35189"/>
    <cellStyle name="쉼표 [0] 4 2 2 6 3 3" xfId="16173"/>
    <cellStyle name="쉼표 [0] 4 2 2 6 3 3 2" xfId="41525"/>
    <cellStyle name="쉼표 [0] 4 2 2 6 3 4" xfId="28853"/>
    <cellStyle name="쉼표 [0] 4 2 2 6 3 5" xfId="51329"/>
    <cellStyle name="쉼표 [0] 4 2 2 6 4" xfId="6733"/>
    <cellStyle name="쉼표 [0] 4 2 2 6 4 2" xfId="19406"/>
    <cellStyle name="쉼표 [0] 4 2 2 6 4 2 2" xfId="44758"/>
    <cellStyle name="쉼표 [0] 4 2 2 6 4 3" xfId="32086"/>
    <cellStyle name="쉼표 [0] 4 2 2 6 5" xfId="13070"/>
    <cellStyle name="쉼표 [0] 4 2 2 6 5 2" xfId="38422"/>
    <cellStyle name="쉼표 [0] 4 2 2 6 6" xfId="25750"/>
    <cellStyle name="쉼표 [0] 4 2 2 6 7" xfId="51330"/>
    <cellStyle name="쉼표 [0] 4 2 2 7" xfId="398"/>
    <cellStyle name="쉼표 [0] 4 2 2 7 2" xfId="399"/>
    <cellStyle name="쉼표 [0] 4 2 2 7 2 2" xfId="3501"/>
    <cellStyle name="쉼표 [0] 4 2 2 7 2 2 2" xfId="9837"/>
    <cellStyle name="쉼표 [0] 4 2 2 7 2 2 2 2" xfId="22510"/>
    <cellStyle name="쉼표 [0] 4 2 2 7 2 2 2 2 2" xfId="47862"/>
    <cellStyle name="쉼표 [0] 4 2 2 7 2 2 2 3" xfId="35190"/>
    <cellStyle name="쉼표 [0] 4 2 2 7 2 2 3" xfId="16174"/>
    <cellStyle name="쉼표 [0] 4 2 2 7 2 2 3 2" xfId="41526"/>
    <cellStyle name="쉼표 [0] 4 2 2 7 2 2 4" xfId="28854"/>
    <cellStyle name="쉼표 [0] 4 2 2 7 2 2 5" xfId="51331"/>
    <cellStyle name="쉼표 [0] 4 2 2 7 2 3" xfId="6736"/>
    <cellStyle name="쉼표 [0] 4 2 2 7 2 3 2" xfId="19409"/>
    <cellStyle name="쉼표 [0] 4 2 2 7 2 3 2 2" xfId="44761"/>
    <cellStyle name="쉼표 [0] 4 2 2 7 2 3 3" xfId="32089"/>
    <cellStyle name="쉼표 [0] 4 2 2 7 2 4" xfId="13073"/>
    <cellStyle name="쉼표 [0] 4 2 2 7 2 4 2" xfId="38425"/>
    <cellStyle name="쉼표 [0] 4 2 2 7 2 5" xfId="25753"/>
    <cellStyle name="쉼표 [0] 4 2 2 7 2 6" xfId="51332"/>
    <cellStyle name="쉼표 [0] 4 2 2 7 3" xfId="3502"/>
    <cellStyle name="쉼표 [0] 4 2 2 7 3 2" xfId="9838"/>
    <cellStyle name="쉼표 [0] 4 2 2 7 3 2 2" xfId="22511"/>
    <cellStyle name="쉼표 [0] 4 2 2 7 3 2 2 2" xfId="47863"/>
    <cellStyle name="쉼표 [0] 4 2 2 7 3 2 3" xfId="35191"/>
    <cellStyle name="쉼표 [0] 4 2 2 7 3 3" xfId="16175"/>
    <cellStyle name="쉼표 [0] 4 2 2 7 3 3 2" xfId="41527"/>
    <cellStyle name="쉼표 [0] 4 2 2 7 3 4" xfId="28855"/>
    <cellStyle name="쉼표 [0] 4 2 2 7 3 5" xfId="51333"/>
    <cellStyle name="쉼표 [0] 4 2 2 7 4" xfId="6735"/>
    <cellStyle name="쉼표 [0] 4 2 2 7 4 2" xfId="19408"/>
    <cellStyle name="쉼표 [0] 4 2 2 7 4 2 2" xfId="44760"/>
    <cellStyle name="쉼표 [0] 4 2 2 7 4 3" xfId="32088"/>
    <cellStyle name="쉼표 [0] 4 2 2 7 5" xfId="13072"/>
    <cellStyle name="쉼표 [0] 4 2 2 7 5 2" xfId="38424"/>
    <cellStyle name="쉼표 [0] 4 2 2 7 6" xfId="25752"/>
    <cellStyle name="쉼표 [0] 4 2 2 7 7" xfId="51334"/>
    <cellStyle name="쉼표 [0] 4 2 2 8" xfId="400"/>
    <cellStyle name="쉼표 [0] 4 2 2 8 2" xfId="401"/>
    <cellStyle name="쉼표 [0] 4 2 2 8 2 2" xfId="3503"/>
    <cellStyle name="쉼표 [0] 4 2 2 8 2 2 2" xfId="9839"/>
    <cellStyle name="쉼표 [0] 4 2 2 8 2 2 2 2" xfId="22512"/>
    <cellStyle name="쉼표 [0] 4 2 2 8 2 2 2 2 2" xfId="47864"/>
    <cellStyle name="쉼표 [0] 4 2 2 8 2 2 2 3" xfId="35192"/>
    <cellStyle name="쉼표 [0] 4 2 2 8 2 2 3" xfId="16176"/>
    <cellStyle name="쉼표 [0] 4 2 2 8 2 2 3 2" xfId="41528"/>
    <cellStyle name="쉼표 [0] 4 2 2 8 2 2 4" xfId="28856"/>
    <cellStyle name="쉼표 [0] 4 2 2 8 2 2 5" xfId="51335"/>
    <cellStyle name="쉼표 [0] 4 2 2 8 2 3" xfId="6738"/>
    <cellStyle name="쉼표 [0] 4 2 2 8 2 3 2" xfId="19411"/>
    <cellStyle name="쉼표 [0] 4 2 2 8 2 3 2 2" xfId="44763"/>
    <cellStyle name="쉼표 [0] 4 2 2 8 2 3 3" xfId="32091"/>
    <cellStyle name="쉼표 [0] 4 2 2 8 2 4" xfId="13075"/>
    <cellStyle name="쉼표 [0] 4 2 2 8 2 4 2" xfId="38427"/>
    <cellStyle name="쉼표 [0] 4 2 2 8 2 5" xfId="25755"/>
    <cellStyle name="쉼표 [0] 4 2 2 8 2 6" xfId="51336"/>
    <cellStyle name="쉼표 [0] 4 2 2 8 3" xfId="3504"/>
    <cellStyle name="쉼표 [0] 4 2 2 8 3 2" xfId="9840"/>
    <cellStyle name="쉼표 [0] 4 2 2 8 3 2 2" xfId="22513"/>
    <cellStyle name="쉼표 [0] 4 2 2 8 3 2 2 2" xfId="47865"/>
    <cellStyle name="쉼표 [0] 4 2 2 8 3 2 3" xfId="35193"/>
    <cellStyle name="쉼표 [0] 4 2 2 8 3 3" xfId="16177"/>
    <cellStyle name="쉼표 [0] 4 2 2 8 3 3 2" xfId="41529"/>
    <cellStyle name="쉼표 [0] 4 2 2 8 3 4" xfId="28857"/>
    <cellStyle name="쉼표 [0] 4 2 2 8 3 5" xfId="51337"/>
    <cellStyle name="쉼표 [0] 4 2 2 8 4" xfId="6737"/>
    <cellStyle name="쉼표 [0] 4 2 2 8 4 2" xfId="19410"/>
    <cellStyle name="쉼표 [0] 4 2 2 8 4 2 2" xfId="44762"/>
    <cellStyle name="쉼표 [0] 4 2 2 8 4 3" xfId="32090"/>
    <cellStyle name="쉼표 [0] 4 2 2 8 5" xfId="13074"/>
    <cellStyle name="쉼표 [0] 4 2 2 8 5 2" xfId="38426"/>
    <cellStyle name="쉼표 [0] 4 2 2 8 6" xfId="25754"/>
    <cellStyle name="쉼표 [0] 4 2 2 8 7" xfId="51338"/>
    <cellStyle name="쉼표 [0] 4 2 2 9" xfId="402"/>
    <cellStyle name="쉼표 [0] 4 2 2 9 2" xfId="403"/>
    <cellStyle name="쉼표 [0] 4 2 2 9 2 2" xfId="3505"/>
    <cellStyle name="쉼표 [0] 4 2 2 9 2 2 2" xfId="9841"/>
    <cellStyle name="쉼표 [0] 4 2 2 9 2 2 2 2" xfId="22514"/>
    <cellStyle name="쉼표 [0] 4 2 2 9 2 2 2 2 2" xfId="47866"/>
    <cellStyle name="쉼표 [0] 4 2 2 9 2 2 2 3" xfId="35194"/>
    <cellStyle name="쉼표 [0] 4 2 2 9 2 2 3" xfId="16178"/>
    <cellStyle name="쉼표 [0] 4 2 2 9 2 2 3 2" xfId="41530"/>
    <cellStyle name="쉼표 [0] 4 2 2 9 2 2 4" xfId="28858"/>
    <cellStyle name="쉼표 [0] 4 2 2 9 2 2 5" xfId="51339"/>
    <cellStyle name="쉼표 [0] 4 2 2 9 2 3" xfId="6740"/>
    <cellStyle name="쉼표 [0] 4 2 2 9 2 3 2" xfId="19413"/>
    <cellStyle name="쉼표 [0] 4 2 2 9 2 3 2 2" xfId="44765"/>
    <cellStyle name="쉼표 [0] 4 2 2 9 2 3 3" xfId="32093"/>
    <cellStyle name="쉼표 [0] 4 2 2 9 2 4" xfId="13077"/>
    <cellStyle name="쉼표 [0] 4 2 2 9 2 4 2" xfId="38429"/>
    <cellStyle name="쉼표 [0] 4 2 2 9 2 5" xfId="25757"/>
    <cellStyle name="쉼표 [0] 4 2 2 9 2 6" xfId="51340"/>
    <cellStyle name="쉼표 [0] 4 2 2 9 3" xfId="3506"/>
    <cellStyle name="쉼표 [0] 4 2 2 9 3 2" xfId="9842"/>
    <cellStyle name="쉼표 [0] 4 2 2 9 3 2 2" xfId="22515"/>
    <cellStyle name="쉼표 [0] 4 2 2 9 3 2 2 2" xfId="47867"/>
    <cellStyle name="쉼표 [0] 4 2 2 9 3 2 3" xfId="35195"/>
    <cellStyle name="쉼표 [0] 4 2 2 9 3 3" xfId="16179"/>
    <cellStyle name="쉼표 [0] 4 2 2 9 3 3 2" xfId="41531"/>
    <cellStyle name="쉼표 [0] 4 2 2 9 3 4" xfId="28859"/>
    <cellStyle name="쉼표 [0] 4 2 2 9 3 5" xfId="51341"/>
    <cellStyle name="쉼표 [0] 4 2 2 9 4" xfId="6739"/>
    <cellStyle name="쉼표 [0] 4 2 2 9 4 2" xfId="19412"/>
    <cellStyle name="쉼표 [0] 4 2 2 9 4 2 2" xfId="44764"/>
    <cellStyle name="쉼표 [0] 4 2 2 9 4 3" xfId="32092"/>
    <cellStyle name="쉼표 [0] 4 2 2 9 5" xfId="13076"/>
    <cellStyle name="쉼표 [0] 4 2 2 9 5 2" xfId="38428"/>
    <cellStyle name="쉼표 [0] 4 2 2 9 6" xfId="25756"/>
    <cellStyle name="쉼표 [0] 4 2 2 9 7" xfId="51342"/>
    <cellStyle name="쉼표 [0] 4 2 20" xfId="404"/>
    <cellStyle name="쉼표 [0] 4 2 20 2" xfId="405"/>
    <cellStyle name="쉼표 [0] 4 2 20 2 2" xfId="3507"/>
    <cellStyle name="쉼표 [0] 4 2 20 2 2 2" xfId="9843"/>
    <cellStyle name="쉼표 [0] 4 2 20 2 2 2 2" xfId="22516"/>
    <cellStyle name="쉼표 [0] 4 2 20 2 2 2 2 2" xfId="47868"/>
    <cellStyle name="쉼표 [0] 4 2 20 2 2 2 3" xfId="35196"/>
    <cellStyle name="쉼표 [0] 4 2 20 2 2 3" xfId="16180"/>
    <cellStyle name="쉼표 [0] 4 2 20 2 2 3 2" xfId="41532"/>
    <cellStyle name="쉼표 [0] 4 2 20 2 2 4" xfId="28860"/>
    <cellStyle name="쉼표 [0] 4 2 20 2 2 5" xfId="51343"/>
    <cellStyle name="쉼표 [0] 4 2 20 2 3" xfId="6742"/>
    <cellStyle name="쉼표 [0] 4 2 20 2 3 2" xfId="19415"/>
    <cellStyle name="쉼표 [0] 4 2 20 2 3 2 2" xfId="44767"/>
    <cellStyle name="쉼표 [0] 4 2 20 2 3 3" xfId="32095"/>
    <cellStyle name="쉼표 [0] 4 2 20 2 4" xfId="13079"/>
    <cellStyle name="쉼표 [0] 4 2 20 2 4 2" xfId="38431"/>
    <cellStyle name="쉼표 [0] 4 2 20 2 5" xfId="25759"/>
    <cellStyle name="쉼표 [0] 4 2 20 2 6" xfId="51344"/>
    <cellStyle name="쉼표 [0] 4 2 20 3" xfId="3508"/>
    <cellStyle name="쉼표 [0] 4 2 20 3 2" xfId="9844"/>
    <cellStyle name="쉼표 [0] 4 2 20 3 2 2" xfId="22517"/>
    <cellStyle name="쉼표 [0] 4 2 20 3 2 2 2" xfId="47869"/>
    <cellStyle name="쉼표 [0] 4 2 20 3 2 3" xfId="35197"/>
    <cellStyle name="쉼표 [0] 4 2 20 3 3" xfId="16181"/>
    <cellStyle name="쉼표 [0] 4 2 20 3 3 2" xfId="41533"/>
    <cellStyle name="쉼표 [0] 4 2 20 3 4" xfId="28861"/>
    <cellStyle name="쉼표 [0] 4 2 20 3 5" xfId="51345"/>
    <cellStyle name="쉼표 [0] 4 2 20 4" xfId="6741"/>
    <cellStyle name="쉼표 [0] 4 2 20 4 2" xfId="19414"/>
    <cellStyle name="쉼표 [0] 4 2 20 4 2 2" xfId="44766"/>
    <cellStyle name="쉼표 [0] 4 2 20 4 3" xfId="32094"/>
    <cellStyle name="쉼표 [0] 4 2 20 5" xfId="13078"/>
    <cellStyle name="쉼표 [0] 4 2 20 5 2" xfId="38430"/>
    <cellStyle name="쉼표 [0] 4 2 20 6" xfId="25758"/>
    <cellStyle name="쉼표 [0] 4 2 20 7" xfId="51346"/>
    <cellStyle name="쉼표 [0] 4 2 21" xfId="406"/>
    <cellStyle name="쉼표 [0] 4 2 21 2" xfId="407"/>
    <cellStyle name="쉼표 [0] 4 2 21 2 2" xfId="3509"/>
    <cellStyle name="쉼표 [0] 4 2 21 2 2 2" xfId="9845"/>
    <cellStyle name="쉼표 [0] 4 2 21 2 2 2 2" xfId="22518"/>
    <cellStyle name="쉼표 [0] 4 2 21 2 2 2 2 2" xfId="47870"/>
    <cellStyle name="쉼표 [0] 4 2 21 2 2 2 3" xfId="35198"/>
    <cellStyle name="쉼표 [0] 4 2 21 2 2 3" xfId="16182"/>
    <cellStyle name="쉼표 [0] 4 2 21 2 2 3 2" xfId="41534"/>
    <cellStyle name="쉼표 [0] 4 2 21 2 2 4" xfId="28862"/>
    <cellStyle name="쉼표 [0] 4 2 21 2 2 5" xfId="51347"/>
    <cellStyle name="쉼표 [0] 4 2 21 2 3" xfId="6744"/>
    <cellStyle name="쉼표 [0] 4 2 21 2 3 2" xfId="19417"/>
    <cellStyle name="쉼표 [0] 4 2 21 2 3 2 2" xfId="44769"/>
    <cellStyle name="쉼표 [0] 4 2 21 2 3 3" xfId="32097"/>
    <cellStyle name="쉼표 [0] 4 2 21 2 4" xfId="13081"/>
    <cellStyle name="쉼표 [0] 4 2 21 2 4 2" xfId="38433"/>
    <cellStyle name="쉼표 [0] 4 2 21 2 5" xfId="25761"/>
    <cellStyle name="쉼표 [0] 4 2 21 2 6" xfId="51348"/>
    <cellStyle name="쉼표 [0] 4 2 21 3" xfId="3510"/>
    <cellStyle name="쉼표 [0] 4 2 21 3 2" xfId="9846"/>
    <cellStyle name="쉼표 [0] 4 2 21 3 2 2" xfId="22519"/>
    <cellStyle name="쉼표 [0] 4 2 21 3 2 2 2" xfId="47871"/>
    <cellStyle name="쉼표 [0] 4 2 21 3 2 3" xfId="35199"/>
    <cellStyle name="쉼표 [0] 4 2 21 3 3" xfId="16183"/>
    <cellStyle name="쉼표 [0] 4 2 21 3 3 2" xfId="41535"/>
    <cellStyle name="쉼표 [0] 4 2 21 3 4" xfId="28863"/>
    <cellStyle name="쉼표 [0] 4 2 21 3 5" xfId="51349"/>
    <cellStyle name="쉼표 [0] 4 2 21 4" xfId="6743"/>
    <cellStyle name="쉼표 [0] 4 2 21 4 2" xfId="19416"/>
    <cellStyle name="쉼표 [0] 4 2 21 4 2 2" xfId="44768"/>
    <cellStyle name="쉼표 [0] 4 2 21 4 3" xfId="32096"/>
    <cellStyle name="쉼표 [0] 4 2 21 5" xfId="13080"/>
    <cellStyle name="쉼표 [0] 4 2 21 5 2" xfId="38432"/>
    <cellStyle name="쉼표 [0] 4 2 21 6" xfId="25760"/>
    <cellStyle name="쉼표 [0] 4 2 21 7" xfId="51350"/>
    <cellStyle name="쉼표 [0] 4 2 22" xfId="408"/>
    <cellStyle name="쉼표 [0] 4 2 22 2" xfId="409"/>
    <cellStyle name="쉼표 [0] 4 2 22 2 2" xfId="3511"/>
    <cellStyle name="쉼표 [0] 4 2 22 2 2 2" xfId="9847"/>
    <cellStyle name="쉼표 [0] 4 2 22 2 2 2 2" xfId="22520"/>
    <cellStyle name="쉼표 [0] 4 2 22 2 2 2 2 2" xfId="47872"/>
    <cellStyle name="쉼표 [0] 4 2 22 2 2 2 3" xfId="35200"/>
    <cellStyle name="쉼표 [0] 4 2 22 2 2 3" xfId="16184"/>
    <cellStyle name="쉼표 [0] 4 2 22 2 2 3 2" xfId="41536"/>
    <cellStyle name="쉼표 [0] 4 2 22 2 2 4" xfId="28864"/>
    <cellStyle name="쉼표 [0] 4 2 22 2 2 5" xfId="51351"/>
    <cellStyle name="쉼표 [0] 4 2 22 2 3" xfId="6746"/>
    <cellStyle name="쉼표 [0] 4 2 22 2 3 2" xfId="19419"/>
    <cellStyle name="쉼표 [0] 4 2 22 2 3 2 2" xfId="44771"/>
    <cellStyle name="쉼표 [0] 4 2 22 2 3 3" xfId="32099"/>
    <cellStyle name="쉼표 [0] 4 2 22 2 4" xfId="13083"/>
    <cellStyle name="쉼표 [0] 4 2 22 2 4 2" xfId="38435"/>
    <cellStyle name="쉼표 [0] 4 2 22 2 5" xfId="25763"/>
    <cellStyle name="쉼표 [0] 4 2 22 2 6" xfId="51352"/>
    <cellStyle name="쉼표 [0] 4 2 22 3" xfId="3512"/>
    <cellStyle name="쉼표 [0] 4 2 22 3 2" xfId="9848"/>
    <cellStyle name="쉼표 [0] 4 2 22 3 2 2" xfId="22521"/>
    <cellStyle name="쉼표 [0] 4 2 22 3 2 2 2" xfId="47873"/>
    <cellStyle name="쉼표 [0] 4 2 22 3 2 3" xfId="35201"/>
    <cellStyle name="쉼표 [0] 4 2 22 3 3" xfId="16185"/>
    <cellStyle name="쉼표 [0] 4 2 22 3 3 2" xfId="41537"/>
    <cellStyle name="쉼표 [0] 4 2 22 3 4" xfId="28865"/>
    <cellStyle name="쉼표 [0] 4 2 22 3 5" xfId="51353"/>
    <cellStyle name="쉼표 [0] 4 2 22 4" xfId="6745"/>
    <cellStyle name="쉼표 [0] 4 2 22 4 2" xfId="19418"/>
    <cellStyle name="쉼표 [0] 4 2 22 4 2 2" xfId="44770"/>
    <cellStyle name="쉼표 [0] 4 2 22 4 3" xfId="32098"/>
    <cellStyle name="쉼표 [0] 4 2 22 5" xfId="13082"/>
    <cellStyle name="쉼표 [0] 4 2 22 5 2" xfId="38434"/>
    <cellStyle name="쉼표 [0] 4 2 22 6" xfId="25762"/>
    <cellStyle name="쉼표 [0] 4 2 22 7" xfId="51354"/>
    <cellStyle name="쉼표 [0] 4 2 23" xfId="410"/>
    <cellStyle name="쉼표 [0] 4 2 23 2" xfId="411"/>
    <cellStyle name="쉼표 [0] 4 2 23 2 2" xfId="3513"/>
    <cellStyle name="쉼표 [0] 4 2 23 2 2 2" xfId="9849"/>
    <cellStyle name="쉼표 [0] 4 2 23 2 2 2 2" xfId="22522"/>
    <cellStyle name="쉼표 [0] 4 2 23 2 2 2 2 2" xfId="47874"/>
    <cellStyle name="쉼표 [0] 4 2 23 2 2 2 3" xfId="35202"/>
    <cellStyle name="쉼표 [0] 4 2 23 2 2 3" xfId="16186"/>
    <cellStyle name="쉼표 [0] 4 2 23 2 2 3 2" xfId="41538"/>
    <cellStyle name="쉼표 [0] 4 2 23 2 2 4" xfId="28866"/>
    <cellStyle name="쉼표 [0] 4 2 23 2 2 5" xfId="51355"/>
    <cellStyle name="쉼표 [0] 4 2 23 2 3" xfId="6748"/>
    <cellStyle name="쉼표 [0] 4 2 23 2 3 2" xfId="19421"/>
    <cellStyle name="쉼표 [0] 4 2 23 2 3 2 2" xfId="44773"/>
    <cellStyle name="쉼표 [0] 4 2 23 2 3 3" xfId="32101"/>
    <cellStyle name="쉼표 [0] 4 2 23 2 4" xfId="13085"/>
    <cellStyle name="쉼표 [0] 4 2 23 2 4 2" xfId="38437"/>
    <cellStyle name="쉼표 [0] 4 2 23 2 5" xfId="25765"/>
    <cellStyle name="쉼표 [0] 4 2 23 2 6" xfId="51356"/>
    <cellStyle name="쉼표 [0] 4 2 23 3" xfId="3514"/>
    <cellStyle name="쉼표 [0] 4 2 23 3 2" xfId="9850"/>
    <cellStyle name="쉼표 [0] 4 2 23 3 2 2" xfId="22523"/>
    <cellStyle name="쉼표 [0] 4 2 23 3 2 2 2" xfId="47875"/>
    <cellStyle name="쉼표 [0] 4 2 23 3 2 3" xfId="35203"/>
    <cellStyle name="쉼표 [0] 4 2 23 3 3" xfId="16187"/>
    <cellStyle name="쉼표 [0] 4 2 23 3 3 2" xfId="41539"/>
    <cellStyle name="쉼표 [0] 4 2 23 3 4" xfId="28867"/>
    <cellStyle name="쉼표 [0] 4 2 23 3 5" xfId="51357"/>
    <cellStyle name="쉼표 [0] 4 2 23 4" xfId="6747"/>
    <cellStyle name="쉼표 [0] 4 2 23 4 2" xfId="19420"/>
    <cellStyle name="쉼표 [0] 4 2 23 4 2 2" xfId="44772"/>
    <cellStyle name="쉼표 [0] 4 2 23 4 3" xfId="32100"/>
    <cellStyle name="쉼표 [0] 4 2 23 5" xfId="13084"/>
    <cellStyle name="쉼표 [0] 4 2 23 5 2" xfId="38436"/>
    <cellStyle name="쉼표 [0] 4 2 23 6" xfId="25764"/>
    <cellStyle name="쉼표 [0] 4 2 23 7" xfId="51358"/>
    <cellStyle name="쉼표 [0] 4 2 24" xfId="412"/>
    <cellStyle name="쉼표 [0] 4 2 24 2" xfId="413"/>
    <cellStyle name="쉼표 [0] 4 2 24 2 2" xfId="3515"/>
    <cellStyle name="쉼표 [0] 4 2 24 2 2 2" xfId="9851"/>
    <cellStyle name="쉼표 [0] 4 2 24 2 2 2 2" xfId="22524"/>
    <cellStyle name="쉼표 [0] 4 2 24 2 2 2 2 2" xfId="47876"/>
    <cellStyle name="쉼표 [0] 4 2 24 2 2 2 3" xfId="35204"/>
    <cellStyle name="쉼표 [0] 4 2 24 2 2 3" xfId="16188"/>
    <cellStyle name="쉼표 [0] 4 2 24 2 2 3 2" xfId="41540"/>
    <cellStyle name="쉼표 [0] 4 2 24 2 2 4" xfId="28868"/>
    <cellStyle name="쉼표 [0] 4 2 24 2 2 5" xfId="51359"/>
    <cellStyle name="쉼표 [0] 4 2 24 2 3" xfId="6750"/>
    <cellStyle name="쉼표 [0] 4 2 24 2 3 2" xfId="19423"/>
    <cellStyle name="쉼표 [0] 4 2 24 2 3 2 2" xfId="44775"/>
    <cellStyle name="쉼표 [0] 4 2 24 2 3 3" xfId="32103"/>
    <cellStyle name="쉼표 [0] 4 2 24 2 4" xfId="13087"/>
    <cellStyle name="쉼표 [0] 4 2 24 2 4 2" xfId="38439"/>
    <cellStyle name="쉼표 [0] 4 2 24 2 5" xfId="25767"/>
    <cellStyle name="쉼표 [0] 4 2 24 2 6" xfId="51360"/>
    <cellStyle name="쉼표 [0] 4 2 24 3" xfId="3516"/>
    <cellStyle name="쉼표 [0] 4 2 24 3 2" xfId="9852"/>
    <cellStyle name="쉼표 [0] 4 2 24 3 2 2" xfId="22525"/>
    <cellStyle name="쉼표 [0] 4 2 24 3 2 2 2" xfId="47877"/>
    <cellStyle name="쉼표 [0] 4 2 24 3 2 3" xfId="35205"/>
    <cellStyle name="쉼표 [0] 4 2 24 3 3" xfId="16189"/>
    <cellStyle name="쉼표 [0] 4 2 24 3 3 2" xfId="41541"/>
    <cellStyle name="쉼표 [0] 4 2 24 3 4" xfId="28869"/>
    <cellStyle name="쉼표 [0] 4 2 24 3 5" xfId="51361"/>
    <cellStyle name="쉼표 [0] 4 2 24 4" xfId="6749"/>
    <cellStyle name="쉼표 [0] 4 2 24 4 2" xfId="19422"/>
    <cellStyle name="쉼표 [0] 4 2 24 4 2 2" xfId="44774"/>
    <cellStyle name="쉼표 [0] 4 2 24 4 3" xfId="32102"/>
    <cellStyle name="쉼표 [0] 4 2 24 5" xfId="13086"/>
    <cellStyle name="쉼표 [0] 4 2 24 5 2" xfId="38438"/>
    <cellStyle name="쉼표 [0] 4 2 24 6" xfId="25766"/>
    <cellStyle name="쉼표 [0] 4 2 24 7" xfId="51362"/>
    <cellStyle name="쉼표 [0] 4 2 25" xfId="414"/>
    <cellStyle name="쉼표 [0] 4 2 25 2" xfId="415"/>
    <cellStyle name="쉼표 [0] 4 2 25 2 2" xfId="3517"/>
    <cellStyle name="쉼표 [0] 4 2 25 2 2 2" xfId="9853"/>
    <cellStyle name="쉼표 [0] 4 2 25 2 2 2 2" xfId="22526"/>
    <cellStyle name="쉼표 [0] 4 2 25 2 2 2 2 2" xfId="47878"/>
    <cellStyle name="쉼표 [0] 4 2 25 2 2 2 3" xfId="35206"/>
    <cellStyle name="쉼표 [0] 4 2 25 2 2 3" xfId="16190"/>
    <cellStyle name="쉼표 [0] 4 2 25 2 2 3 2" xfId="41542"/>
    <cellStyle name="쉼표 [0] 4 2 25 2 2 4" xfId="28870"/>
    <cellStyle name="쉼표 [0] 4 2 25 2 2 5" xfId="51363"/>
    <cellStyle name="쉼표 [0] 4 2 25 2 3" xfId="6752"/>
    <cellStyle name="쉼표 [0] 4 2 25 2 3 2" xfId="19425"/>
    <cellStyle name="쉼표 [0] 4 2 25 2 3 2 2" xfId="44777"/>
    <cellStyle name="쉼표 [0] 4 2 25 2 3 3" xfId="32105"/>
    <cellStyle name="쉼표 [0] 4 2 25 2 4" xfId="13089"/>
    <cellStyle name="쉼표 [0] 4 2 25 2 4 2" xfId="38441"/>
    <cellStyle name="쉼표 [0] 4 2 25 2 5" xfId="25769"/>
    <cellStyle name="쉼표 [0] 4 2 25 2 6" xfId="51364"/>
    <cellStyle name="쉼표 [0] 4 2 25 3" xfId="3518"/>
    <cellStyle name="쉼표 [0] 4 2 25 3 2" xfId="9854"/>
    <cellStyle name="쉼표 [0] 4 2 25 3 2 2" xfId="22527"/>
    <cellStyle name="쉼표 [0] 4 2 25 3 2 2 2" xfId="47879"/>
    <cellStyle name="쉼표 [0] 4 2 25 3 2 3" xfId="35207"/>
    <cellStyle name="쉼표 [0] 4 2 25 3 3" xfId="16191"/>
    <cellStyle name="쉼표 [0] 4 2 25 3 3 2" xfId="41543"/>
    <cellStyle name="쉼표 [0] 4 2 25 3 4" xfId="28871"/>
    <cellStyle name="쉼표 [0] 4 2 25 3 5" xfId="51365"/>
    <cellStyle name="쉼표 [0] 4 2 25 4" xfId="6751"/>
    <cellStyle name="쉼표 [0] 4 2 25 4 2" xfId="19424"/>
    <cellStyle name="쉼표 [0] 4 2 25 4 2 2" xfId="44776"/>
    <cellStyle name="쉼표 [0] 4 2 25 4 3" xfId="32104"/>
    <cellStyle name="쉼표 [0] 4 2 25 5" xfId="13088"/>
    <cellStyle name="쉼표 [0] 4 2 25 5 2" xfId="38440"/>
    <cellStyle name="쉼표 [0] 4 2 25 6" xfId="25768"/>
    <cellStyle name="쉼표 [0] 4 2 25 7" xfId="51366"/>
    <cellStyle name="쉼표 [0] 4 2 26" xfId="416"/>
    <cellStyle name="쉼표 [0] 4 2 26 2" xfId="417"/>
    <cellStyle name="쉼표 [0] 4 2 26 2 2" xfId="3519"/>
    <cellStyle name="쉼표 [0] 4 2 26 2 2 2" xfId="9855"/>
    <cellStyle name="쉼표 [0] 4 2 26 2 2 2 2" xfId="22528"/>
    <cellStyle name="쉼표 [0] 4 2 26 2 2 2 2 2" xfId="47880"/>
    <cellStyle name="쉼표 [0] 4 2 26 2 2 2 3" xfId="35208"/>
    <cellStyle name="쉼표 [0] 4 2 26 2 2 3" xfId="16192"/>
    <cellStyle name="쉼표 [0] 4 2 26 2 2 3 2" xfId="41544"/>
    <cellStyle name="쉼표 [0] 4 2 26 2 2 4" xfId="28872"/>
    <cellStyle name="쉼표 [0] 4 2 26 2 2 5" xfId="51367"/>
    <cellStyle name="쉼표 [0] 4 2 26 2 3" xfId="6754"/>
    <cellStyle name="쉼표 [0] 4 2 26 2 3 2" xfId="19427"/>
    <cellStyle name="쉼표 [0] 4 2 26 2 3 2 2" xfId="44779"/>
    <cellStyle name="쉼표 [0] 4 2 26 2 3 3" xfId="32107"/>
    <cellStyle name="쉼표 [0] 4 2 26 2 4" xfId="13091"/>
    <cellStyle name="쉼표 [0] 4 2 26 2 4 2" xfId="38443"/>
    <cellStyle name="쉼표 [0] 4 2 26 2 5" xfId="25771"/>
    <cellStyle name="쉼표 [0] 4 2 26 2 6" xfId="51368"/>
    <cellStyle name="쉼표 [0] 4 2 26 3" xfId="3520"/>
    <cellStyle name="쉼표 [0] 4 2 26 3 2" xfId="9856"/>
    <cellStyle name="쉼표 [0] 4 2 26 3 2 2" xfId="22529"/>
    <cellStyle name="쉼표 [0] 4 2 26 3 2 2 2" xfId="47881"/>
    <cellStyle name="쉼표 [0] 4 2 26 3 2 3" xfId="35209"/>
    <cellStyle name="쉼표 [0] 4 2 26 3 3" xfId="16193"/>
    <cellStyle name="쉼표 [0] 4 2 26 3 3 2" xfId="41545"/>
    <cellStyle name="쉼표 [0] 4 2 26 3 4" xfId="28873"/>
    <cellStyle name="쉼표 [0] 4 2 26 3 5" xfId="51369"/>
    <cellStyle name="쉼표 [0] 4 2 26 4" xfId="6753"/>
    <cellStyle name="쉼표 [0] 4 2 26 4 2" xfId="19426"/>
    <cellStyle name="쉼표 [0] 4 2 26 4 2 2" xfId="44778"/>
    <cellStyle name="쉼표 [0] 4 2 26 4 3" xfId="32106"/>
    <cellStyle name="쉼표 [0] 4 2 26 5" xfId="13090"/>
    <cellStyle name="쉼표 [0] 4 2 26 5 2" xfId="38442"/>
    <cellStyle name="쉼표 [0] 4 2 26 6" xfId="25770"/>
    <cellStyle name="쉼표 [0] 4 2 26 7" xfId="51370"/>
    <cellStyle name="쉼표 [0] 4 2 27" xfId="418"/>
    <cellStyle name="쉼표 [0] 4 2 27 2" xfId="419"/>
    <cellStyle name="쉼표 [0] 4 2 27 2 2" xfId="3521"/>
    <cellStyle name="쉼표 [0] 4 2 27 2 2 2" xfId="9857"/>
    <cellStyle name="쉼표 [0] 4 2 27 2 2 2 2" xfId="22530"/>
    <cellStyle name="쉼표 [0] 4 2 27 2 2 2 2 2" xfId="47882"/>
    <cellStyle name="쉼표 [0] 4 2 27 2 2 2 3" xfId="35210"/>
    <cellStyle name="쉼표 [0] 4 2 27 2 2 3" xfId="16194"/>
    <cellStyle name="쉼표 [0] 4 2 27 2 2 3 2" xfId="41546"/>
    <cellStyle name="쉼표 [0] 4 2 27 2 2 4" xfId="28874"/>
    <cellStyle name="쉼표 [0] 4 2 27 2 2 5" xfId="51371"/>
    <cellStyle name="쉼표 [0] 4 2 27 2 3" xfId="6756"/>
    <cellStyle name="쉼표 [0] 4 2 27 2 3 2" xfId="19429"/>
    <cellStyle name="쉼표 [0] 4 2 27 2 3 2 2" xfId="44781"/>
    <cellStyle name="쉼표 [0] 4 2 27 2 3 3" xfId="32109"/>
    <cellStyle name="쉼표 [0] 4 2 27 2 4" xfId="13093"/>
    <cellStyle name="쉼표 [0] 4 2 27 2 4 2" xfId="38445"/>
    <cellStyle name="쉼표 [0] 4 2 27 2 5" xfId="25773"/>
    <cellStyle name="쉼표 [0] 4 2 27 2 6" xfId="51372"/>
    <cellStyle name="쉼표 [0] 4 2 27 3" xfId="3522"/>
    <cellStyle name="쉼표 [0] 4 2 27 3 2" xfId="9858"/>
    <cellStyle name="쉼표 [0] 4 2 27 3 2 2" xfId="22531"/>
    <cellStyle name="쉼표 [0] 4 2 27 3 2 2 2" xfId="47883"/>
    <cellStyle name="쉼표 [0] 4 2 27 3 2 3" xfId="35211"/>
    <cellStyle name="쉼표 [0] 4 2 27 3 3" xfId="16195"/>
    <cellStyle name="쉼표 [0] 4 2 27 3 3 2" xfId="41547"/>
    <cellStyle name="쉼표 [0] 4 2 27 3 4" xfId="28875"/>
    <cellStyle name="쉼표 [0] 4 2 27 3 5" xfId="51373"/>
    <cellStyle name="쉼표 [0] 4 2 27 4" xfId="6755"/>
    <cellStyle name="쉼표 [0] 4 2 27 4 2" xfId="19428"/>
    <cellStyle name="쉼표 [0] 4 2 27 4 2 2" xfId="44780"/>
    <cellStyle name="쉼표 [0] 4 2 27 4 3" xfId="32108"/>
    <cellStyle name="쉼표 [0] 4 2 27 5" xfId="13092"/>
    <cellStyle name="쉼표 [0] 4 2 27 5 2" xfId="38444"/>
    <cellStyle name="쉼표 [0] 4 2 27 6" xfId="25772"/>
    <cellStyle name="쉼표 [0] 4 2 27 7" xfId="51374"/>
    <cellStyle name="쉼표 [0] 4 2 28" xfId="420"/>
    <cellStyle name="쉼표 [0] 4 2 28 2" xfId="421"/>
    <cellStyle name="쉼표 [0] 4 2 28 2 2" xfId="3523"/>
    <cellStyle name="쉼표 [0] 4 2 28 2 2 2" xfId="9859"/>
    <cellStyle name="쉼표 [0] 4 2 28 2 2 2 2" xfId="22532"/>
    <cellStyle name="쉼표 [0] 4 2 28 2 2 2 2 2" xfId="47884"/>
    <cellStyle name="쉼표 [0] 4 2 28 2 2 2 3" xfId="35212"/>
    <cellStyle name="쉼표 [0] 4 2 28 2 2 3" xfId="16196"/>
    <cellStyle name="쉼표 [0] 4 2 28 2 2 3 2" xfId="41548"/>
    <cellStyle name="쉼표 [0] 4 2 28 2 2 4" xfId="28876"/>
    <cellStyle name="쉼표 [0] 4 2 28 2 2 5" xfId="51375"/>
    <cellStyle name="쉼표 [0] 4 2 28 2 3" xfId="6758"/>
    <cellStyle name="쉼표 [0] 4 2 28 2 3 2" xfId="19431"/>
    <cellStyle name="쉼표 [0] 4 2 28 2 3 2 2" xfId="44783"/>
    <cellStyle name="쉼표 [0] 4 2 28 2 3 3" xfId="32111"/>
    <cellStyle name="쉼표 [0] 4 2 28 2 4" xfId="13095"/>
    <cellStyle name="쉼표 [0] 4 2 28 2 4 2" xfId="38447"/>
    <cellStyle name="쉼표 [0] 4 2 28 2 5" xfId="25775"/>
    <cellStyle name="쉼표 [0] 4 2 28 2 6" xfId="51376"/>
    <cellStyle name="쉼표 [0] 4 2 28 3" xfId="3524"/>
    <cellStyle name="쉼표 [0] 4 2 28 3 2" xfId="9860"/>
    <cellStyle name="쉼표 [0] 4 2 28 3 2 2" xfId="22533"/>
    <cellStyle name="쉼표 [0] 4 2 28 3 2 2 2" xfId="47885"/>
    <cellStyle name="쉼표 [0] 4 2 28 3 2 3" xfId="35213"/>
    <cellStyle name="쉼표 [0] 4 2 28 3 3" xfId="16197"/>
    <cellStyle name="쉼표 [0] 4 2 28 3 3 2" xfId="41549"/>
    <cellStyle name="쉼표 [0] 4 2 28 3 4" xfId="28877"/>
    <cellStyle name="쉼표 [0] 4 2 28 3 5" xfId="51377"/>
    <cellStyle name="쉼표 [0] 4 2 28 4" xfId="6757"/>
    <cellStyle name="쉼표 [0] 4 2 28 4 2" xfId="19430"/>
    <cellStyle name="쉼표 [0] 4 2 28 4 2 2" xfId="44782"/>
    <cellStyle name="쉼표 [0] 4 2 28 4 3" xfId="32110"/>
    <cellStyle name="쉼표 [0] 4 2 28 5" xfId="13094"/>
    <cellStyle name="쉼표 [0] 4 2 28 5 2" xfId="38446"/>
    <cellStyle name="쉼표 [0] 4 2 28 6" xfId="25774"/>
    <cellStyle name="쉼표 [0] 4 2 28 7" xfId="51378"/>
    <cellStyle name="쉼표 [0] 4 2 29" xfId="422"/>
    <cellStyle name="쉼표 [0] 4 2 29 2" xfId="423"/>
    <cellStyle name="쉼표 [0] 4 2 29 2 2" xfId="3525"/>
    <cellStyle name="쉼표 [0] 4 2 29 2 2 2" xfId="9861"/>
    <cellStyle name="쉼표 [0] 4 2 29 2 2 2 2" xfId="22534"/>
    <cellStyle name="쉼표 [0] 4 2 29 2 2 2 2 2" xfId="47886"/>
    <cellStyle name="쉼표 [0] 4 2 29 2 2 2 3" xfId="35214"/>
    <cellStyle name="쉼표 [0] 4 2 29 2 2 3" xfId="16198"/>
    <cellStyle name="쉼표 [0] 4 2 29 2 2 3 2" xfId="41550"/>
    <cellStyle name="쉼표 [0] 4 2 29 2 2 4" xfId="28878"/>
    <cellStyle name="쉼표 [0] 4 2 29 2 2 5" xfId="51379"/>
    <cellStyle name="쉼표 [0] 4 2 29 2 3" xfId="6760"/>
    <cellStyle name="쉼표 [0] 4 2 29 2 3 2" xfId="19433"/>
    <cellStyle name="쉼표 [0] 4 2 29 2 3 2 2" xfId="44785"/>
    <cellStyle name="쉼표 [0] 4 2 29 2 3 3" xfId="32113"/>
    <cellStyle name="쉼표 [0] 4 2 29 2 4" xfId="13097"/>
    <cellStyle name="쉼표 [0] 4 2 29 2 4 2" xfId="38449"/>
    <cellStyle name="쉼표 [0] 4 2 29 2 5" xfId="25777"/>
    <cellStyle name="쉼표 [0] 4 2 29 2 6" xfId="51380"/>
    <cellStyle name="쉼표 [0] 4 2 29 3" xfId="3526"/>
    <cellStyle name="쉼표 [0] 4 2 29 3 2" xfId="9862"/>
    <cellStyle name="쉼표 [0] 4 2 29 3 2 2" xfId="22535"/>
    <cellStyle name="쉼표 [0] 4 2 29 3 2 2 2" xfId="47887"/>
    <cellStyle name="쉼표 [0] 4 2 29 3 2 3" xfId="35215"/>
    <cellStyle name="쉼표 [0] 4 2 29 3 3" xfId="16199"/>
    <cellStyle name="쉼표 [0] 4 2 29 3 3 2" xfId="41551"/>
    <cellStyle name="쉼표 [0] 4 2 29 3 4" xfId="28879"/>
    <cellStyle name="쉼표 [0] 4 2 29 3 5" xfId="51381"/>
    <cellStyle name="쉼표 [0] 4 2 29 4" xfId="6759"/>
    <cellStyle name="쉼표 [0] 4 2 29 4 2" xfId="19432"/>
    <cellStyle name="쉼표 [0] 4 2 29 4 2 2" xfId="44784"/>
    <cellStyle name="쉼표 [0] 4 2 29 4 3" xfId="32112"/>
    <cellStyle name="쉼표 [0] 4 2 29 5" xfId="13096"/>
    <cellStyle name="쉼표 [0] 4 2 29 5 2" xfId="38448"/>
    <cellStyle name="쉼표 [0] 4 2 29 6" xfId="25776"/>
    <cellStyle name="쉼표 [0] 4 2 29 7" xfId="51382"/>
    <cellStyle name="쉼표 [0] 4 2 3" xfId="26"/>
    <cellStyle name="쉼표 [0] 4 2 3 10" xfId="424"/>
    <cellStyle name="쉼표 [0] 4 2 3 10 2" xfId="425"/>
    <cellStyle name="쉼표 [0] 4 2 3 10 2 2" xfId="3527"/>
    <cellStyle name="쉼표 [0] 4 2 3 10 2 2 2" xfId="9863"/>
    <cellStyle name="쉼표 [0] 4 2 3 10 2 2 2 2" xfId="22536"/>
    <cellStyle name="쉼표 [0] 4 2 3 10 2 2 2 2 2" xfId="47888"/>
    <cellStyle name="쉼표 [0] 4 2 3 10 2 2 2 3" xfId="35216"/>
    <cellStyle name="쉼표 [0] 4 2 3 10 2 2 3" xfId="16200"/>
    <cellStyle name="쉼표 [0] 4 2 3 10 2 2 3 2" xfId="41552"/>
    <cellStyle name="쉼표 [0] 4 2 3 10 2 2 4" xfId="28880"/>
    <cellStyle name="쉼표 [0] 4 2 3 10 2 2 5" xfId="51383"/>
    <cellStyle name="쉼표 [0] 4 2 3 10 2 3" xfId="6762"/>
    <cellStyle name="쉼표 [0] 4 2 3 10 2 3 2" xfId="19435"/>
    <cellStyle name="쉼표 [0] 4 2 3 10 2 3 2 2" xfId="44787"/>
    <cellStyle name="쉼표 [0] 4 2 3 10 2 3 3" xfId="32115"/>
    <cellStyle name="쉼표 [0] 4 2 3 10 2 4" xfId="13099"/>
    <cellStyle name="쉼표 [0] 4 2 3 10 2 4 2" xfId="38451"/>
    <cellStyle name="쉼표 [0] 4 2 3 10 2 5" xfId="25779"/>
    <cellStyle name="쉼표 [0] 4 2 3 10 2 6" xfId="51384"/>
    <cellStyle name="쉼표 [0] 4 2 3 10 3" xfId="3528"/>
    <cellStyle name="쉼표 [0] 4 2 3 10 3 2" xfId="9864"/>
    <cellStyle name="쉼표 [0] 4 2 3 10 3 2 2" xfId="22537"/>
    <cellStyle name="쉼표 [0] 4 2 3 10 3 2 2 2" xfId="47889"/>
    <cellStyle name="쉼표 [0] 4 2 3 10 3 2 3" xfId="35217"/>
    <cellStyle name="쉼표 [0] 4 2 3 10 3 3" xfId="16201"/>
    <cellStyle name="쉼표 [0] 4 2 3 10 3 3 2" xfId="41553"/>
    <cellStyle name="쉼표 [0] 4 2 3 10 3 4" xfId="28881"/>
    <cellStyle name="쉼표 [0] 4 2 3 10 3 5" xfId="51385"/>
    <cellStyle name="쉼표 [0] 4 2 3 10 4" xfId="6761"/>
    <cellStyle name="쉼표 [0] 4 2 3 10 4 2" xfId="19434"/>
    <cellStyle name="쉼표 [0] 4 2 3 10 4 2 2" xfId="44786"/>
    <cellStyle name="쉼표 [0] 4 2 3 10 4 3" xfId="32114"/>
    <cellStyle name="쉼표 [0] 4 2 3 10 5" xfId="13098"/>
    <cellStyle name="쉼표 [0] 4 2 3 10 5 2" xfId="38450"/>
    <cellStyle name="쉼표 [0] 4 2 3 10 6" xfId="25778"/>
    <cellStyle name="쉼표 [0] 4 2 3 10 7" xfId="51386"/>
    <cellStyle name="쉼표 [0] 4 2 3 11" xfId="426"/>
    <cellStyle name="쉼표 [0] 4 2 3 11 2" xfId="427"/>
    <cellStyle name="쉼표 [0] 4 2 3 11 2 2" xfId="3529"/>
    <cellStyle name="쉼표 [0] 4 2 3 11 2 2 2" xfId="9865"/>
    <cellStyle name="쉼표 [0] 4 2 3 11 2 2 2 2" xfId="22538"/>
    <cellStyle name="쉼표 [0] 4 2 3 11 2 2 2 2 2" xfId="47890"/>
    <cellStyle name="쉼표 [0] 4 2 3 11 2 2 2 3" xfId="35218"/>
    <cellStyle name="쉼표 [0] 4 2 3 11 2 2 3" xfId="16202"/>
    <cellStyle name="쉼표 [0] 4 2 3 11 2 2 3 2" xfId="41554"/>
    <cellStyle name="쉼표 [0] 4 2 3 11 2 2 4" xfId="28882"/>
    <cellStyle name="쉼표 [0] 4 2 3 11 2 2 5" xfId="51387"/>
    <cellStyle name="쉼표 [0] 4 2 3 11 2 3" xfId="6764"/>
    <cellStyle name="쉼표 [0] 4 2 3 11 2 3 2" xfId="19437"/>
    <cellStyle name="쉼표 [0] 4 2 3 11 2 3 2 2" xfId="44789"/>
    <cellStyle name="쉼표 [0] 4 2 3 11 2 3 3" xfId="32117"/>
    <cellStyle name="쉼표 [0] 4 2 3 11 2 4" xfId="13101"/>
    <cellStyle name="쉼표 [0] 4 2 3 11 2 4 2" xfId="38453"/>
    <cellStyle name="쉼표 [0] 4 2 3 11 2 5" xfId="25781"/>
    <cellStyle name="쉼표 [0] 4 2 3 11 2 6" xfId="51388"/>
    <cellStyle name="쉼표 [0] 4 2 3 11 3" xfId="3530"/>
    <cellStyle name="쉼표 [0] 4 2 3 11 3 2" xfId="9866"/>
    <cellStyle name="쉼표 [0] 4 2 3 11 3 2 2" xfId="22539"/>
    <cellStyle name="쉼표 [0] 4 2 3 11 3 2 2 2" xfId="47891"/>
    <cellStyle name="쉼표 [0] 4 2 3 11 3 2 3" xfId="35219"/>
    <cellStyle name="쉼표 [0] 4 2 3 11 3 3" xfId="16203"/>
    <cellStyle name="쉼표 [0] 4 2 3 11 3 3 2" xfId="41555"/>
    <cellStyle name="쉼표 [0] 4 2 3 11 3 4" xfId="28883"/>
    <cellStyle name="쉼표 [0] 4 2 3 11 3 5" xfId="51389"/>
    <cellStyle name="쉼표 [0] 4 2 3 11 4" xfId="6763"/>
    <cellStyle name="쉼표 [0] 4 2 3 11 4 2" xfId="19436"/>
    <cellStyle name="쉼표 [0] 4 2 3 11 4 2 2" xfId="44788"/>
    <cellStyle name="쉼표 [0] 4 2 3 11 4 3" xfId="32116"/>
    <cellStyle name="쉼표 [0] 4 2 3 11 5" xfId="13100"/>
    <cellStyle name="쉼표 [0] 4 2 3 11 5 2" xfId="38452"/>
    <cellStyle name="쉼표 [0] 4 2 3 11 6" xfId="25780"/>
    <cellStyle name="쉼표 [0] 4 2 3 11 7" xfId="51390"/>
    <cellStyle name="쉼표 [0] 4 2 3 12" xfId="428"/>
    <cellStyle name="쉼표 [0] 4 2 3 12 2" xfId="429"/>
    <cellStyle name="쉼표 [0] 4 2 3 12 2 2" xfId="3531"/>
    <cellStyle name="쉼표 [0] 4 2 3 12 2 2 2" xfId="9867"/>
    <cellStyle name="쉼표 [0] 4 2 3 12 2 2 2 2" xfId="22540"/>
    <cellStyle name="쉼표 [0] 4 2 3 12 2 2 2 2 2" xfId="47892"/>
    <cellStyle name="쉼표 [0] 4 2 3 12 2 2 2 3" xfId="35220"/>
    <cellStyle name="쉼표 [0] 4 2 3 12 2 2 3" xfId="16204"/>
    <cellStyle name="쉼표 [0] 4 2 3 12 2 2 3 2" xfId="41556"/>
    <cellStyle name="쉼표 [0] 4 2 3 12 2 2 4" xfId="28884"/>
    <cellStyle name="쉼표 [0] 4 2 3 12 2 2 5" xfId="51391"/>
    <cellStyle name="쉼표 [0] 4 2 3 12 2 3" xfId="6766"/>
    <cellStyle name="쉼표 [0] 4 2 3 12 2 3 2" xfId="19439"/>
    <cellStyle name="쉼표 [0] 4 2 3 12 2 3 2 2" xfId="44791"/>
    <cellStyle name="쉼표 [0] 4 2 3 12 2 3 3" xfId="32119"/>
    <cellStyle name="쉼표 [0] 4 2 3 12 2 4" xfId="13103"/>
    <cellStyle name="쉼표 [0] 4 2 3 12 2 4 2" xfId="38455"/>
    <cellStyle name="쉼표 [0] 4 2 3 12 2 5" xfId="25783"/>
    <cellStyle name="쉼표 [0] 4 2 3 12 2 6" xfId="51392"/>
    <cellStyle name="쉼표 [0] 4 2 3 12 3" xfId="3532"/>
    <cellStyle name="쉼표 [0] 4 2 3 12 3 2" xfId="9868"/>
    <cellStyle name="쉼표 [0] 4 2 3 12 3 2 2" xfId="22541"/>
    <cellStyle name="쉼표 [0] 4 2 3 12 3 2 2 2" xfId="47893"/>
    <cellStyle name="쉼표 [0] 4 2 3 12 3 2 3" xfId="35221"/>
    <cellStyle name="쉼표 [0] 4 2 3 12 3 3" xfId="16205"/>
    <cellStyle name="쉼표 [0] 4 2 3 12 3 3 2" xfId="41557"/>
    <cellStyle name="쉼표 [0] 4 2 3 12 3 4" xfId="28885"/>
    <cellStyle name="쉼표 [0] 4 2 3 12 3 5" xfId="51393"/>
    <cellStyle name="쉼표 [0] 4 2 3 12 4" xfId="6765"/>
    <cellStyle name="쉼표 [0] 4 2 3 12 4 2" xfId="19438"/>
    <cellStyle name="쉼표 [0] 4 2 3 12 4 2 2" xfId="44790"/>
    <cellStyle name="쉼표 [0] 4 2 3 12 4 3" xfId="32118"/>
    <cellStyle name="쉼표 [0] 4 2 3 12 5" xfId="13102"/>
    <cellStyle name="쉼표 [0] 4 2 3 12 5 2" xfId="38454"/>
    <cellStyle name="쉼표 [0] 4 2 3 12 6" xfId="25782"/>
    <cellStyle name="쉼표 [0] 4 2 3 12 7" xfId="51394"/>
    <cellStyle name="쉼표 [0] 4 2 3 13" xfId="430"/>
    <cellStyle name="쉼표 [0] 4 2 3 13 2" xfId="431"/>
    <cellStyle name="쉼표 [0] 4 2 3 13 2 2" xfId="3533"/>
    <cellStyle name="쉼표 [0] 4 2 3 13 2 2 2" xfId="9869"/>
    <cellStyle name="쉼표 [0] 4 2 3 13 2 2 2 2" xfId="22542"/>
    <cellStyle name="쉼표 [0] 4 2 3 13 2 2 2 2 2" xfId="47894"/>
    <cellStyle name="쉼표 [0] 4 2 3 13 2 2 2 3" xfId="35222"/>
    <cellStyle name="쉼표 [0] 4 2 3 13 2 2 3" xfId="16206"/>
    <cellStyle name="쉼표 [0] 4 2 3 13 2 2 3 2" xfId="41558"/>
    <cellStyle name="쉼표 [0] 4 2 3 13 2 2 4" xfId="28886"/>
    <cellStyle name="쉼표 [0] 4 2 3 13 2 2 5" xfId="51395"/>
    <cellStyle name="쉼표 [0] 4 2 3 13 2 3" xfId="6768"/>
    <cellStyle name="쉼표 [0] 4 2 3 13 2 3 2" xfId="19441"/>
    <cellStyle name="쉼표 [0] 4 2 3 13 2 3 2 2" xfId="44793"/>
    <cellStyle name="쉼표 [0] 4 2 3 13 2 3 3" xfId="32121"/>
    <cellStyle name="쉼표 [0] 4 2 3 13 2 4" xfId="13105"/>
    <cellStyle name="쉼표 [0] 4 2 3 13 2 4 2" xfId="38457"/>
    <cellStyle name="쉼표 [0] 4 2 3 13 2 5" xfId="25785"/>
    <cellStyle name="쉼표 [0] 4 2 3 13 2 6" xfId="51396"/>
    <cellStyle name="쉼표 [0] 4 2 3 13 3" xfId="3534"/>
    <cellStyle name="쉼표 [0] 4 2 3 13 3 2" xfId="9870"/>
    <cellStyle name="쉼표 [0] 4 2 3 13 3 2 2" xfId="22543"/>
    <cellStyle name="쉼표 [0] 4 2 3 13 3 2 2 2" xfId="47895"/>
    <cellStyle name="쉼표 [0] 4 2 3 13 3 2 3" xfId="35223"/>
    <cellStyle name="쉼표 [0] 4 2 3 13 3 3" xfId="16207"/>
    <cellStyle name="쉼표 [0] 4 2 3 13 3 3 2" xfId="41559"/>
    <cellStyle name="쉼표 [0] 4 2 3 13 3 4" xfId="28887"/>
    <cellStyle name="쉼표 [0] 4 2 3 13 3 5" xfId="51397"/>
    <cellStyle name="쉼표 [0] 4 2 3 13 4" xfId="6767"/>
    <cellStyle name="쉼표 [0] 4 2 3 13 4 2" xfId="19440"/>
    <cellStyle name="쉼표 [0] 4 2 3 13 4 2 2" xfId="44792"/>
    <cellStyle name="쉼표 [0] 4 2 3 13 4 3" xfId="32120"/>
    <cellStyle name="쉼표 [0] 4 2 3 13 5" xfId="13104"/>
    <cellStyle name="쉼표 [0] 4 2 3 13 5 2" xfId="38456"/>
    <cellStyle name="쉼표 [0] 4 2 3 13 6" xfId="25784"/>
    <cellStyle name="쉼표 [0] 4 2 3 13 7" xfId="51398"/>
    <cellStyle name="쉼표 [0] 4 2 3 14" xfId="432"/>
    <cellStyle name="쉼표 [0] 4 2 3 14 2" xfId="433"/>
    <cellStyle name="쉼표 [0] 4 2 3 14 2 2" xfId="3535"/>
    <cellStyle name="쉼표 [0] 4 2 3 14 2 2 2" xfId="9871"/>
    <cellStyle name="쉼표 [0] 4 2 3 14 2 2 2 2" xfId="22544"/>
    <cellStyle name="쉼표 [0] 4 2 3 14 2 2 2 2 2" xfId="47896"/>
    <cellStyle name="쉼표 [0] 4 2 3 14 2 2 2 3" xfId="35224"/>
    <cellStyle name="쉼표 [0] 4 2 3 14 2 2 3" xfId="16208"/>
    <cellStyle name="쉼표 [0] 4 2 3 14 2 2 3 2" xfId="41560"/>
    <cellStyle name="쉼표 [0] 4 2 3 14 2 2 4" xfId="28888"/>
    <cellStyle name="쉼표 [0] 4 2 3 14 2 2 5" xfId="51399"/>
    <cellStyle name="쉼표 [0] 4 2 3 14 2 3" xfId="6770"/>
    <cellStyle name="쉼표 [0] 4 2 3 14 2 3 2" xfId="19443"/>
    <cellStyle name="쉼표 [0] 4 2 3 14 2 3 2 2" xfId="44795"/>
    <cellStyle name="쉼표 [0] 4 2 3 14 2 3 3" xfId="32123"/>
    <cellStyle name="쉼표 [0] 4 2 3 14 2 4" xfId="13107"/>
    <cellStyle name="쉼표 [0] 4 2 3 14 2 4 2" xfId="38459"/>
    <cellStyle name="쉼표 [0] 4 2 3 14 2 5" xfId="25787"/>
    <cellStyle name="쉼표 [0] 4 2 3 14 2 6" xfId="51400"/>
    <cellStyle name="쉼표 [0] 4 2 3 14 3" xfId="3536"/>
    <cellStyle name="쉼표 [0] 4 2 3 14 3 2" xfId="9872"/>
    <cellStyle name="쉼표 [0] 4 2 3 14 3 2 2" xfId="22545"/>
    <cellStyle name="쉼표 [0] 4 2 3 14 3 2 2 2" xfId="47897"/>
    <cellStyle name="쉼표 [0] 4 2 3 14 3 2 3" xfId="35225"/>
    <cellStyle name="쉼표 [0] 4 2 3 14 3 3" xfId="16209"/>
    <cellStyle name="쉼표 [0] 4 2 3 14 3 3 2" xfId="41561"/>
    <cellStyle name="쉼표 [0] 4 2 3 14 3 4" xfId="28889"/>
    <cellStyle name="쉼표 [0] 4 2 3 14 3 5" xfId="51401"/>
    <cellStyle name="쉼표 [0] 4 2 3 14 4" xfId="6769"/>
    <cellStyle name="쉼표 [0] 4 2 3 14 4 2" xfId="19442"/>
    <cellStyle name="쉼표 [0] 4 2 3 14 4 2 2" xfId="44794"/>
    <cellStyle name="쉼표 [0] 4 2 3 14 4 3" xfId="32122"/>
    <cellStyle name="쉼표 [0] 4 2 3 14 5" xfId="13106"/>
    <cellStyle name="쉼표 [0] 4 2 3 14 5 2" xfId="38458"/>
    <cellStyle name="쉼표 [0] 4 2 3 14 6" xfId="25786"/>
    <cellStyle name="쉼표 [0] 4 2 3 14 7" xfId="51402"/>
    <cellStyle name="쉼표 [0] 4 2 3 15" xfId="434"/>
    <cellStyle name="쉼표 [0] 4 2 3 15 2" xfId="435"/>
    <cellStyle name="쉼표 [0] 4 2 3 15 2 2" xfId="3537"/>
    <cellStyle name="쉼표 [0] 4 2 3 15 2 2 2" xfId="9873"/>
    <cellStyle name="쉼표 [0] 4 2 3 15 2 2 2 2" xfId="22546"/>
    <cellStyle name="쉼표 [0] 4 2 3 15 2 2 2 2 2" xfId="47898"/>
    <cellStyle name="쉼표 [0] 4 2 3 15 2 2 2 3" xfId="35226"/>
    <cellStyle name="쉼표 [0] 4 2 3 15 2 2 3" xfId="16210"/>
    <cellStyle name="쉼표 [0] 4 2 3 15 2 2 3 2" xfId="41562"/>
    <cellStyle name="쉼표 [0] 4 2 3 15 2 2 4" xfId="28890"/>
    <cellStyle name="쉼표 [0] 4 2 3 15 2 2 5" xfId="51403"/>
    <cellStyle name="쉼표 [0] 4 2 3 15 2 3" xfId="6772"/>
    <cellStyle name="쉼표 [0] 4 2 3 15 2 3 2" xfId="19445"/>
    <cellStyle name="쉼표 [0] 4 2 3 15 2 3 2 2" xfId="44797"/>
    <cellStyle name="쉼표 [0] 4 2 3 15 2 3 3" xfId="32125"/>
    <cellStyle name="쉼표 [0] 4 2 3 15 2 4" xfId="13109"/>
    <cellStyle name="쉼표 [0] 4 2 3 15 2 4 2" xfId="38461"/>
    <cellStyle name="쉼표 [0] 4 2 3 15 2 5" xfId="25789"/>
    <cellStyle name="쉼표 [0] 4 2 3 15 2 6" xfId="51404"/>
    <cellStyle name="쉼표 [0] 4 2 3 15 3" xfId="3538"/>
    <cellStyle name="쉼표 [0] 4 2 3 15 3 2" xfId="9874"/>
    <cellStyle name="쉼표 [0] 4 2 3 15 3 2 2" xfId="22547"/>
    <cellStyle name="쉼표 [0] 4 2 3 15 3 2 2 2" xfId="47899"/>
    <cellStyle name="쉼표 [0] 4 2 3 15 3 2 3" xfId="35227"/>
    <cellStyle name="쉼표 [0] 4 2 3 15 3 3" xfId="16211"/>
    <cellStyle name="쉼표 [0] 4 2 3 15 3 3 2" xfId="41563"/>
    <cellStyle name="쉼표 [0] 4 2 3 15 3 4" xfId="28891"/>
    <cellStyle name="쉼표 [0] 4 2 3 15 3 5" xfId="51405"/>
    <cellStyle name="쉼표 [0] 4 2 3 15 4" xfId="6771"/>
    <cellStyle name="쉼표 [0] 4 2 3 15 4 2" xfId="19444"/>
    <cellStyle name="쉼표 [0] 4 2 3 15 4 2 2" xfId="44796"/>
    <cellStyle name="쉼표 [0] 4 2 3 15 4 3" xfId="32124"/>
    <cellStyle name="쉼표 [0] 4 2 3 15 5" xfId="13108"/>
    <cellStyle name="쉼표 [0] 4 2 3 15 5 2" xfId="38460"/>
    <cellStyle name="쉼표 [0] 4 2 3 15 6" xfId="25788"/>
    <cellStyle name="쉼표 [0] 4 2 3 15 7" xfId="51406"/>
    <cellStyle name="쉼표 [0] 4 2 3 16" xfId="436"/>
    <cellStyle name="쉼표 [0] 4 2 3 16 2" xfId="437"/>
    <cellStyle name="쉼표 [0] 4 2 3 16 2 2" xfId="3539"/>
    <cellStyle name="쉼표 [0] 4 2 3 16 2 2 2" xfId="9875"/>
    <cellStyle name="쉼표 [0] 4 2 3 16 2 2 2 2" xfId="22548"/>
    <cellStyle name="쉼표 [0] 4 2 3 16 2 2 2 2 2" xfId="47900"/>
    <cellStyle name="쉼표 [0] 4 2 3 16 2 2 2 3" xfId="35228"/>
    <cellStyle name="쉼표 [0] 4 2 3 16 2 2 3" xfId="16212"/>
    <cellStyle name="쉼표 [0] 4 2 3 16 2 2 3 2" xfId="41564"/>
    <cellStyle name="쉼표 [0] 4 2 3 16 2 2 4" xfId="28892"/>
    <cellStyle name="쉼표 [0] 4 2 3 16 2 2 5" xfId="51407"/>
    <cellStyle name="쉼표 [0] 4 2 3 16 2 3" xfId="6774"/>
    <cellStyle name="쉼표 [0] 4 2 3 16 2 3 2" xfId="19447"/>
    <cellStyle name="쉼표 [0] 4 2 3 16 2 3 2 2" xfId="44799"/>
    <cellStyle name="쉼표 [0] 4 2 3 16 2 3 3" xfId="32127"/>
    <cellStyle name="쉼표 [0] 4 2 3 16 2 4" xfId="13111"/>
    <cellStyle name="쉼표 [0] 4 2 3 16 2 4 2" xfId="38463"/>
    <cellStyle name="쉼표 [0] 4 2 3 16 2 5" xfId="25791"/>
    <cellStyle name="쉼표 [0] 4 2 3 16 2 6" xfId="51408"/>
    <cellStyle name="쉼표 [0] 4 2 3 16 3" xfId="3540"/>
    <cellStyle name="쉼표 [0] 4 2 3 16 3 2" xfId="9876"/>
    <cellStyle name="쉼표 [0] 4 2 3 16 3 2 2" xfId="22549"/>
    <cellStyle name="쉼표 [0] 4 2 3 16 3 2 2 2" xfId="47901"/>
    <cellStyle name="쉼표 [0] 4 2 3 16 3 2 3" xfId="35229"/>
    <cellStyle name="쉼표 [0] 4 2 3 16 3 3" xfId="16213"/>
    <cellStyle name="쉼표 [0] 4 2 3 16 3 3 2" xfId="41565"/>
    <cellStyle name="쉼표 [0] 4 2 3 16 3 4" xfId="28893"/>
    <cellStyle name="쉼표 [0] 4 2 3 16 3 5" xfId="51409"/>
    <cellStyle name="쉼표 [0] 4 2 3 16 4" xfId="6773"/>
    <cellStyle name="쉼표 [0] 4 2 3 16 4 2" xfId="19446"/>
    <cellStyle name="쉼표 [0] 4 2 3 16 4 2 2" xfId="44798"/>
    <cellStyle name="쉼표 [0] 4 2 3 16 4 3" xfId="32126"/>
    <cellStyle name="쉼표 [0] 4 2 3 16 5" xfId="13110"/>
    <cellStyle name="쉼표 [0] 4 2 3 16 5 2" xfId="38462"/>
    <cellStyle name="쉼표 [0] 4 2 3 16 6" xfId="25790"/>
    <cellStyle name="쉼표 [0] 4 2 3 16 7" xfId="51410"/>
    <cellStyle name="쉼표 [0] 4 2 3 17" xfId="438"/>
    <cellStyle name="쉼표 [0] 4 2 3 17 2" xfId="439"/>
    <cellStyle name="쉼표 [0] 4 2 3 17 2 2" xfId="3541"/>
    <cellStyle name="쉼표 [0] 4 2 3 17 2 2 2" xfId="9877"/>
    <cellStyle name="쉼표 [0] 4 2 3 17 2 2 2 2" xfId="22550"/>
    <cellStyle name="쉼표 [0] 4 2 3 17 2 2 2 2 2" xfId="47902"/>
    <cellStyle name="쉼표 [0] 4 2 3 17 2 2 2 3" xfId="35230"/>
    <cellStyle name="쉼표 [0] 4 2 3 17 2 2 3" xfId="16214"/>
    <cellStyle name="쉼표 [0] 4 2 3 17 2 2 3 2" xfId="41566"/>
    <cellStyle name="쉼표 [0] 4 2 3 17 2 2 4" xfId="28894"/>
    <cellStyle name="쉼표 [0] 4 2 3 17 2 2 5" xfId="51411"/>
    <cellStyle name="쉼표 [0] 4 2 3 17 2 3" xfId="6776"/>
    <cellStyle name="쉼표 [0] 4 2 3 17 2 3 2" xfId="19449"/>
    <cellStyle name="쉼표 [0] 4 2 3 17 2 3 2 2" xfId="44801"/>
    <cellStyle name="쉼표 [0] 4 2 3 17 2 3 3" xfId="32129"/>
    <cellStyle name="쉼표 [0] 4 2 3 17 2 4" xfId="13113"/>
    <cellStyle name="쉼표 [0] 4 2 3 17 2 4 2" xfId="38465"/>
    <cellStyle name="쉼표 [0] 4 2 3 17 2 5" xfId="25793"/>
    <cellStyle name="쉼표 [0] 4 2 3 17 2 6" xfId="51412"/>
    <cellStyle name="쉼표 [0] 4 2 3 17 3" xfId="3542"/>
    <cellStyle name="쉼표 [0] 4 2 3 17 3 2" xfId="9878"/>
    <cellStyle name="쉼표 [0] 4 2 3 17 3 2 2" xfId="22551"/>
    <cellStyle name="쉼표 [0] 4 2 3 17 3 2 2 2" xfId="47903"/>
    <cellStyle name="쉼표 [0] 4 2 3 17 3 2 3" xfId="35231"/>
    <cellStyle name="쉼표 [0] 4 2 3 17 3 3" xfId="16215"/>
    <cellStyle name="쉼표 [0] 4 2 3 17 3 3 2" xfId="41567"/>
    <cellStyle name="쉼표 [0] 4 2 3 17 3 4" xfId="28895"/>
    <cellStyle name="쉼표 [0] 4 2 3 17 3 5" xfId="51413"/>
    <cellStyle name="쉼표 [0] 4 2 3 17 4" xfId="6775"/>
    <cellStyle name="쉼표 [0] 4 2 3 17 4 2" xfId="19448"/>
    <cellStyle name="쉼표 [0] 4 2 3 17 4 2 2" xfId="44800"/>
    <cellStyle name="쉼표 [0] 4 2 3 17 4 3" xfId="32128"/>
    <cellStyle name="쉼표 [0] 4 2 3 17 5" xfId="13112"/>
    <cellStyle name="쉼표 [0] 4 2 3 17 5 2" xfId="38464"/>
    <cellStyle name="쉼표 [0] 4 2 3 17 6" xfId="25792"/>
    <cellStyle name="쉼표 [0] 4 2 3 17 7" xfId="51414"/>
    <cellStyle name="쉼표 [0] 4 2 3 18" xfId="440"/>
    <cellStyle name="쉼표 [0] 4 2 3 18 2" xfId="441"/>
    <cellStyle name="쉼표 [0] 4 2 3 18 2 2" xfId="3543"/>
    <cellStyle name="쉼표 [0] 4 2 3 18 2 2 2" xfId="9879"/>
    <cellStyle name="쉼표 [0] 4 2 3 18 2 2 2 2" xfId="22552"/>
    <cellStyle name="쉼표 [0] 4 2 3 18 2 2 2 2 2" xfId="47904"/>
    <cellStyle name="쉼표 [0] 4 2 3 18 2 2 2 3" xfId="35232"/>
    <cellStyle name="쉼표 [0] 4 2 3 18 2 2 3" xfId="16216"/>
    <cellStyle name="쉼표 [0] 4 2 3 18 2 2 3 2" xfId="41568"/>
    <cellStyle name="쉼표 [0] 4 2 3 18 2 2 4" xfId="28896"/>
    <cellStyle name="쉼표 [0] 4 2 3 18 2 2 5" xfId="51415"/>
    <cellStyle name="쉼표 [0] 4 2 3 18 2 3" xfId="6778"/>
    <cellStyle name="쉼표 [0] 4 2 3 18 2 3 2" xfId="19451"/>
    <cellStyle name="쉼표 [0] 4 2 3 18 2 3 2 2" xfId="44803"/>
    <cellStyle name="쉼표 [0] 4 2 3 18 2 3 3" xfId="32131"/>
    <cellStyle name="쉼표 [0] 4 2 3 18 2 4" xfId="13115"/>
    <cellStyle name="쉼표 [0] 4 2 3 18 2 4 2" xfId="38467"/>
    <cellStyle name="쉼표 [0] 4 2 3 18 2 5" xfId="25795"/>
    <cellStyle name="쉼표 [0] 4 2 3 18 2 6" xfId="51416"/>
    <cellStyle name="쉼표 [0] 4 2 3 18 3" xfId="3544"/>
    <cellStyle name="쉼표 [0] 4 2 3 18 3 2" xfId="9880"/>
    <cellStyle name="쉼표 [0] 4 2 3 18 3 2 2" xfId="22553"/>
    <cellStyle name="쉼표 [0] 4 2 3 18 3 2 2 2" xfId="47905"/>
    <cellStyle name="쉼표 [0] 4 2 3 18 3 2 3" xfId="35233"/>
    <cellStyle name="쉼표 [0] 4 2 3 18 3 3" xfId="16217"/>
    <cellStyle name="쉼표 [0] 4 2 3 18 3 3 2" xfId="41569"/>
    <cellStyle name="쉼표 [0] 4 2 3 18 3 4" xfId="28897"/>
    <cellStyle name="쉼표 [0] 4 2 3 18 3 5" xfId="51417"/>
    <cellStyle name="쉼표 [0] 4 2 3 18 4" xfId="6777"/>
    <cellStyle name="쉼표 [0] 4 2 3 18 4 2" xfId="19450"/>
    <cellStyle name="쉼표 [0] 4 2 3 18 4 2 2" xfId="44802"/>
    <cellStyle name="쉼표 [0] 4 2 3 18 4 3" xfId="32130"/>
    <cellStyle name="쉼표 [0] 4 2 3 18 5" xfId="13114"/>
    <cellStyle name="쉼표 [0] 4 2 3 18 5 2" xfId="38466"/>
    <cellStyle name="쉼표 [0] 4 2 3 18 6" xfId="25794"/>
    <cellStyle name="쉼표 [0] 4 2 3 18 7" xfId="51418"/>
    <cellStyle name="쉼표 [0] 4 2 3 19" xfId="442"/>
    <cellStyle name="쉼표 [0] 4 2 3 19 2" xfId="443"/>
    <cellStyle name="쉼표 [0] 4 2 3 19 2 2" xfId="3545"/>
    <cellStyle name="쉼표 [0] 4 2 3 19 2 2 2" xfId="9881"/>
    <cellStyle name="쉼표 [0] 4 2 3 19 2 2 2 2" xfId="22554"/>
    <cellStyle name="쉼표 [0] 4 2 3 19 2 2 2 2 2" xfId="47906"/>
    <cellStyle name="쉼표 [0] 4 2 3 19 2 2 2 3" xfId="35234"/>
    <cellStyle name="쉼표 [0] 4 2 3 19 2 2 3" xfId="16218"/>
    <cellStyle name="쉼표 [0] 4 2 3 19 2 2 3 2" xfId="41570"/>
    <cellStyle name="쉼표 [0] 4 2 3 19 2 2 4" xfId="28898"/>
    <cellStyle name="쉼표 [0] 4 2 3 19 2 2 5" xfId="51419"/>
    <cellStyle name="쉼표 [0] 4 2 3 19 2 3" xfId="6780"/>
    <cellStyle name="쉼표 [0] 4 2 3 19 2 3 2" xfId="19453"/>
    <cellStyle name="쉼표 [0] 4 2 3 19 2 3 2 2" xfId="44805"/>
    <cellStyle name="쉼표 [0] 4 2 3 19 2 3 3" xfId="32133"/>
    <cellStyle name="쉼표 [0] 4 2 3 19 2 4" xfId="13117"/>
    <cellStyle name="쉼표 [0] 4 2 3 19 2 4 2" xfId="38469"/>
    <cellStyle name="쉼표 [0] 4 2 3 19 2 5" xfId="25797"/>
    <cellStyle name="쉼표 [0] 4 2 3 19 2 6" xfId="51420"/>
    <cellStyle name="쉼표 [0] 4 2 3 19 3" xfId="3546"/>
    <cellStyle name="쉼표 [0] 4 2 3 19 3 2" xfId="9882"/>
    <cellStyle name="쉼표 [0] 4 2 3 19 3 2 2" xfId="22555"/>
    <cellStyle name="쉼표 [0] 4 2 3 19 3 2 2 2" xfId="47907"/>
    <cellStyle name="쉼표 [0] 4 2 3 19 3 2 3" xfId="35235"/>
    <cellStyle name="쉼표 [0] 4 2 3 19 3 3" xfId="16219"/>
    <cellStyle name="쉼표 [0] 4 2 3 19 3 3 2" xfId="41571"/>
    <cellStyle name="쉼표 [0] 4 2 3 19 3 4" xfId="28899"/>
    <cellStyle name="쉼표 [0] 4 2 3 19 3 5" xfId="51421"/>
    <cellStyle name="쉼표 [0] 4 2 3 19 4" xfId="6779"/>
    <cellStyle name="쉼표 [0] 4 2 3 19 4 2" xfId="19452"/>
    <cellStyle name="쉼표 [0] 4 2 3 19 4 2 2" xfId="44804"/>
    <cellStyle name="쉼표 [0] 4 2 3 19 4 3" xfId="32132"/>
    <cellStyle name="쉼표 [0] 4 2 3 19 5" xfId="13116"/>
    <cellStyle name="쉼표 [0] 4 2 3 19 5 2" xfId="38468"/>
    <cellStyle name="쉼표 [0] 4 2 3 19 6" xfId="25796"/>
    <cellStyle name="쉼표 [0] 4 2 3 19 7" xfId="51422"/>
    <cellStyle name="쉼표 [0] 4 2 3 2" xfId="61"/>
    <cellStyle name="쉼표 [0] 4 2 3 2 10" xfId="444"/>
    <cellStyle name="쉼표 [0] 4 2 3 2 10 2" xfId="445"/>
    <cellStyle name="쉼표 [0] 4 2 3 2 10 2 2" xfId="3547"/>
    <cellStyle name="쉼표 [0] 4 2 3 2 10 2 2 2" xfId="9883"/>
    <cellStyle name="쉼표 [0] 4 2 3 2 10 2 2 2 2" xfId="22556"/>
    <cellStyle name="쉼표 [0] 4 2 3 2 10 2 2 2 2 2" xfId="47908"/>
    <cellStyle name="쉼표 [0] 4 2 3 2 10 2 2 2 3" xfId="35236"/>
    <cellStyle name="쉼표 [0] 4 2 3 2 10 2 2 3" xfId="16220"/>
    <cellStyle name="쉼표 [0] 4 2 3 2 10 2 2 3 2" xfId="41572"/>
    <cellStyle name="쉼표 [0] 4 2 3 2 10 2 2 4" xfId="28900"/>
    <cellStyle name="쉼표 [0] 4 2 3 2 10 2 2 5" xfId="51423"/>
    <cellStyle name="쉼표 [0] 4 2 3 2 10 2 3" xfId="6782"/>
    <cellStyle name="쉼표 [0] 4 2 3 2 10 2 3 2" xfId="19455"/>
    <cellStyle name="쉼표 [0] 4 2 3 2 10 2 3 2 2" xfId="44807"/>
    <cellStyle name="쉼표 [0] 4 2 3 2 10 2 3 3" xfId="32135"/>
    <cellStyle name="쉼표 [0] 4 2 3 2 10 2 4" xfId="13119"/>
    <cellStyle name="쉼표 [0] 4 2 3 2 10 2 4 2" xfId="38471"/>
    <cellStyle name="쉼표 [0] 4 2 3 2 10 2 5" xfId="25799"/>
    <cellStyle name="쉼표 [0] 4 2 3 2 10 2 6" xfId="51424"/>
    <cellStyle name="쉼표 [0] 4 2 3 2 10 3" xfId="3548"/>
    <cellStyle name="쉼표 [0] 4 2 3 2 10 3 2" xfId="9884"/>
    <cellStyle name="쉼표 [0] 4 2 3 2 10 3 2 2" xfId="22557"/>
    <cellStyle name="쉼표 [0] 4 2 3 2 10 3 2 2 2" xfId="47909"/>
    <cellStyle name="쉼표 [0] 4 2 3 2 10 3 2 3" xfId="35237"/>
    <cellStyle name="쉼표 [0] 4 2 3 2 10 3 3" xfId="16221"/>
    <cellStyle name="쉼표 [0] 4 2 3 2 10 3 3 2" xfId="41573"/>
    <cellStyle name="쉼표 [0] 4 2 3 2 10 3 4" xfId="28901"/>
    <cellStyle name="쉼표 [0] 4 2 3 2 10 3 5" xfId="51425"/>
    <cellStyle name="쉼표 [0] 4 2 3 2 10 4" xfId="6781"/>
    <cellStyle name="쉼표 [0] 4 2 3 2 10 4 2" xfId="19454"/>
    <cellStyle name="쉼표 [0] 4 2 3 2 10 4 2 2" xfId="44806"/>
    <cellStyle name="쉼표 [0] 4 2 3 2 10 4 3" xfId="32134"/>
    <cellStyle name="쉼표 [0] 4 2 3 2 10 5" xfId="13118"/>
    <cellStyle name="쉼표 [0] 4 2 3 2 10 5 2" xfId="38470"/>
    <cellStyle name="쉼표 [0] 4 2 3 2 10 6" xfId="25798"/>
    <cellStyle name="쉼표 [0] 4 2 3 2 10 7" xfId="51426"/>
    <cellStyle name="쉼표 [0] 4 2 3 2 11" xfId="446"/>
    <cellStyle name="쉼표 [0] 4 2 3 2 11 2" xfId="447"/>
    <cellStyle name="쉼표 [0] 4 2 3 2 11 2 2" xfId="3549"/>
    <cellStyle name="쉼표 [0] 4 2 3 2 11 2 2 2" xfId="9885"/>
    <cellStyle name="쉼표 [0] 4 2 3 2 11 2 2 2 2" xfId="22558"/>
    <cellStyle name="쉼표 [0] 4 2 3 2 11 2 2 2 2 2" xfId="47910"/>
    <cellStyle name="쉼표 [0] 4 2 3 2 11 2 2 2 3" xfId="35238"/>
    <cellStyle name="쉼표 [0] 4 2 3 2 11 2 2 3" xfId="16222"/>
    <cellStyle name="쉼표 [0] 4 2 3 2 11 2 2 3 2" xfId="41574"/>
    <cellStyle name="쉼표 [0] 4 2 3 2 11 2 2 4" xfId="28902"/>
    <cellStyle name="쉼표 [0] 4 2 3 2 11 2 2 5" xfId="51427"/>
    <cellStyle name="쉼표 [0] 4 2 3 2 11 2 3" xfId="6784"/>
    <cellStyle name="쉼표 [0] 4 2 3 2 11 2 3 2" xfId="19457"/>
    <cellStyle name="쉼표 [0] 4 2 3 2 11 2 3 2 2" xfId="44809"/>
    <cellStyle name="쉼표 [0] 4 2 3 2 11 2 3 3" xfId="32137"/>
    <cellStyle name="쉼표 [0] 4 2 3 2 11 2 4" xfId="13121"/>
    <cellStyle name="쉼표 [0] 4 2 3 2 11 2 4 2" xfId="38473"/>
    <cellStyle name="쉼표 [0] 4 2 3 2 11 2 5" xfId="25801"/>
    <cellStyle name="쉼표 [0] 4 2 3 2 11 2 6" xfId="51428"/>
    <cellStyle name="쉼표 [0] 4 2 3 2 11 3" xfId="3550"/>
    <cellStyle name="쉼표 [0] 4 2 3 2 11 3 2" xfId="9886"/>
    <cellStyle name="쉼표 [0] 4 2 3 2 11 3 2 2" xfId="22559"/>
    <cellStyle name="쉼표 [0] 4 2 3 2 11 3 2 2 2" xfId="47911"/>
    <cellStyle name="쉼표 [0] 4 2 3 2 11 3 2 3" xfId="35239"/>
    <cellStyle name="쉼표 [0] 4 2 3 2 11 3 3" xfId="16223"/>
    <cellStyle name="쉼표 [0] 4 2 3 2 11 3 3 2" xfId="41575"/>
    <cellStyle name="쉼표 [0] 4 2 3 2 11 3 4" xfId="28903"/>
    <cellStyle name="쉼표 [0] 4 2 3 2 11 3 5" xfId="51429"/>
    <cellStyle name="쉼표 [0] 4 2 3 2 11 4" xfId="6783"/>
    <cellStyle name="쉼표 [0] 4 2 3 2 11 4 2" xfId="19456"/>
    <cellStyle name="쉼표 [0] 4 2 3 2 11 4 2 2" xfId="44808"/>
    <cellStyle name="쉼표 [0] 4 2 3 2 11 4 3" xfId="32136"/>
    <cellStyle name="쉼표 [0] 4 2 3 2 11 5" xfId="13120"/>
    <cellStyle name="쉼표 [0] 4 2 3 2 11 5 2" xfId="38472"/>
    <cellStyle name="쉼표 [0] 4 2 3 2 11 6" xfId="25800"/>
    <cellStyle name="쉼표 [0] 4 2 3 2 11 7" xfId="51430"/>
    <cellStyle name="쉼표 [0] 4 2 3 2 12" xfId="448"/>
    <cellStyle name="쉼표 [0] 4 2 3 2 12 2" xfId="449"/>
    <cellStyle name="쉼표 [0] 4 2 3 2 12 2 2" xfId="3551"/>
    <cellStyle name="쉼표 [0] 4 2 3 2 12 2 2 2" xfId="9887"/>
    <cellStyle name="쉼표 [0] 4 2 3 2 12 2 2 2 2" xfId="22560"/>
    <cellStyle name="쉼표 [0] 4 2 3 2 12 2 2 2 2 2" xfId="47912"/>
    <cellStyle name="쉼표 [0] 4 2 3 2 12 2 2 2 3" xfId="35240"/>
    <cellStyle name="쉼표 [0] 4 2 3 2 12 2 2 3" xfId="16224"/>
    <cellStyle name="쉼표 [0] 4 2 3 2 12 2 2 3 2" xfId="41576"/>
    <cellStyle name="쉼표 [0] 4 2 3 2 12 2 2 4" xfId="28904"/>
    <cellStyle name="쉼표 [0] 4 2 3 2 12 2 2 5" xfId="51431"/>
    <cellStyle name="쉼표 [0] 4 2 3 2 12 2 3" xfId="6786"/>
    <cellStyle name="쉼표 [0] 4 2 3 2 12 2 3 2" xfId="19459"/>
    <cellStyle name="쉼표 [0] 4 2 3 2 12 2 3 2 2" xfId="44811"/>
    <cellStyle name="쉼표 [0] 4 2 3 2 12 2 3 3" xfId="32139"/>
    <cellStyle name="쉼표 [0] 4 2 3 2 12 2 4" xfId="13123"/>
    <cellStyle name="쉼표 [0] 4 2 3 2 12 2 4 2" xfId="38475"/>
    <cellStyle name="쉼표 [0] 4 2 3 2 12 2 5" xfId="25803"/>
    <cellStyle name="쉼표 [0] 4 2 3 2 12 2 6" xfId="51432"/>
    <cellStyle name="쉼표 [0] 4 2 3 2 12 3" xfId="3552"/>
    <cellStyle name="쉼표 [0] 4 2 3 2 12 3 2" xfId="9888"/>
    <cellStyle name="쉼표 [0] 4 2 3 2 12 3 2 2" xfId="22561"/>
    <cellStyle name="쉼표 [0] 4 2 3 2 12 3 2 2 2" xfId="47913"/>
    <cellStyle name="쉼표 [0] 4 2 3 2 12 3 2 3" xfId="35241"/>
    <cellStyle name="쉼표 [0] 4 2 3 2 12 3 3" xfId="16225"/>
    <cellStyle name="쉼표 [0] 4 2 3 2 12 3 3 2" xfId="41577"/>
    <cellStyle name="쉼표 [0] 4 2 3 2 12 3 4" xfId="28905"/>
    <cellStyle name="쉼표 [0] 4 2 3 2 12 3 5" xfId="51433"/>
    <cellStyle name="쉼표 [0] 4 2 3 2 12 4" xfId="6785"/>
    <cellStyle name="쉼표 [0] 4 2 3 2 12 4 2" xfId="19458"/>
    <cellStyle name="쉼표 [0] 4 2 3 2 12 4 2 2" xfId="44810"/>
    <cellStyle name="쉼표 [0] 4 2 3 2 12 4 3" xfId="32138"/>
    <cellStyle name="쉼표 [0] 4 2 3 2 12 5" xfId="13122"/>
    <cellStyle name="쉼표 [0] 4 2 3 2 12 5 2" xfId="38474"/>
    <cellStyle name="쉼표 [0] 4 2 3 2 12 6" xfId="25802"/>
    <cellStyle name="쉼표 [0] 4 2 3 2 12 7" xfId="51434"/>
    <cellStyle name="쉼표 [0] 4 2 3 2 13" xfId="450"/>
    <cellStyle name="쉼표 [0] 4 2 3 2 13 2" xfId="451"/>
    <cellStyle name="쉼표 [0] 4 2 3 2 13 2 2" xfId="3553"/>
    <cellStyle name="쉼표 [0] 4 2 3 2 13 2 2 2" xfId="9889"/>
    <cellStyle name="쉼표 [0] 4 2 3 2 13 2 2 2 2" xfId="22562"/>
    <cellStyle name="쉼표 [0] 4 2 3 2 13 2 2 2 2 2" xfId="47914"/>
    <cellStyle name="쉼표 [0] 4 2 3 2 13 2 2 2 3" xfId="35242"/>
    <cellStyle name="쉼표 [0] 4 2 3 2 13 2 2 3" xfId="16226"/>
    <cellStyle name="쉼표 [0] 4 2 3 2 13 2 2 3 2" xfId="41578"/>
    <cellStyle name="쉼표 [0] 4 2 3 2 13 2 2 4" xfId="28906"/>
    <cellStyle name="쉼표 [0] 4 2 3 2 13 2 2 5" xfId="51435"/>
    <cellStyle name="쉼표 [0] 4 2 3 2 13 2 3" xfId="6788"/>
    <cellStyle name="쉼표 [0] 4 2 3 2 13 2 3 2" xfId="19461"/>
    <cellStyle name="쉼표 [0] 4 2 3 2 13 2 3 2 2" xfId="44813"/>
    <cellStyle name="쉼표 [0] 4 2 3 2 13 2 3 3" xfId="32141"/>
    <cellStyle name="쉼표 [0] 4 2 3 2 13 2 4" xfId="13125"/>
    <cellStyle name="쉼표 [0] 4 2 3 2 13 2 4 2" xfId="38477"/>
    <cellStyle name="쉼표 [0] 4 2 3 2 13 2 5" xfId="25805"/>
    <cellStyle name="쉼표 [0] 4 2 3 2 13 2 6" xfId="51436"/>
    <cellStyle name="쉼표 [0] 4 2 3 2 13 3" xfId="3554"/>
    <cellStyle name="쉼표 [0] 4 2 3 2 13 3 2" xfId="9890"/>
    <cellStyle name="쉼표 [0] 4 2 3 2 13 3 2 2" xfId="22563"/>
    <cellStyle name="쉼표 [0] 4 2 3 2 13 3 2 2 2" xfId="47915"/>
    <cellStyle name="쉼표 [0] 4 2 3 2 13 3 2 3" xfId="35243"/>
    <cellStyle name="쉼표 [0] 4 2 3 2 13 3 3" xfId="16227"/>
    <cellStyle name="쉼표 [0] 4 2 3 2 13 3 3 2" xfId="41579"/>
    <cellStyle name="쉼표 [0] 4 2 3 2 13 3 4" xfId="28907"/>
    <cellStyle name="쉼표 [0] 4 2 3 2 13 3 5" xfId="51437"/>
    <cellStyle name="쉼표 [0] 4 2 3 2 13 4" xfId="6787"/>
    <cellStyle name="쉼표 [0] 4 2 3 2 13 4 2" xfId="19460"/>
    <cellStyle name="쉼표 [0] 4 2 3 2 13 4 2 2" xfId="44812"/>
    <cellStyle name="쉼표 [0] 4 2 3 2 13 4 3" xfId="32140"/>
    <cellStyle name="쉼표 [0] 4 2 3 2 13 5" xfId="13124"/>
    <cellStyle name="쉼표 [0] 4 2 3 2 13 5 2" xfId="38476"/>
    <cellStyle name="쉼표 [0] 4 2 3 2 13 6" xfId="25804"/>
    <cellStyle name="쉼표 [0] 4 2 3 2 13 7" xfId="51438"/>
    <cellStyle name="쉼표 [0] 4 2 3 2 14" xfId="452"/>
    <cellStyle name="쉼표 [0] 4 2 3 2 14 2" xfId="453"/>
    <cellStyle name="쉼표 [0] 4 2 3 2 14 2 2" xfId="3555"/>
    <cellStyle name="쉼표 [0] 4 2 3 2 14 2 2 2" xfId="9891"/>
    <cellStyle name="쉼표 [0] 4 2 3 2 14 2 2 2 2" xfId="22564"/>
    <cellStyle name="쉼표 [0] 4 2 3 2 14 2 2 2 2 2" xfId="47916"/>
    <cellStyle name="쉼표 [0] 4 2 3 2 14 2 2 2 3" xfId="35244"/>
    <cellStyle name="쉼표 [0] 4 2 3 2 14 2 2 3" xfId="16228"/>
    <cellStyle name="쉼표 [0] 4 2 3 2 14 2 2 3 2" xfId="41580"/>
    <cellStyle name="쉼표 [0] 4 2 3 2 14 2 2 4" xfId="28908"/>
    <cellStyle name="쉼표 [0] 4 2 3 2 14 2 2 5" xfId="51439"/>
    <cellStyle name="쉼표 [0] 4 2 3 2 14 2 3" xfId="6790"/>
    <cellStyle name="쉼표 [0] 4 2 3 2 14 2 3 2" xfId="19463"/>
    <cellStyle name="쉼표 [0] 4 2 3 2 14 2 3 2 2" xfId="44815"/>
    <cellStyle name="쉼표 [0] 4 2 3 2 14 2 3 3" xfId="32143"/>
    <cellStyle name="쉼표 [0] 4 2 3 2 14 2 4" xfId="13127"/>
    <cellStyle name="쉼표 [0] 4 2 3 2 14 2 4 2" xfId="38479"/>
    <cellStyle name="쉼표 [0] 4 2 3 2 14 2 5" xfId="25807"/>
    <cellStyle name="쉼표 [0] 4 2 3 2 14 2 6" xfId="51440"/>
    <cellStyle name="쉼표 [0] 4 2 3 2 14 3" xfId="3556"/>
    <cellStyle name="쉼표 [0] 4 2 3 2 14 3 2" xfId="9892"/>
    <cellStyle name="쉼표 [0] 4 2 3 2 14 3 2 2" xfId="22565"/>
    <cellStyle name="쉼표 [0] 4 2 3 2 14 3 2 2 2" xfId="47917"/>
    <cellStyle name="쉼표 [0] 4 2 3 2 14 3 2 3" xfId="35245"/>
    <cellStyle name="쉼표 [0] 4 2 3 2 14 3 3" xfId="16229"/>
    <cellStyle name="쉼표 [0] 4 2 3 2 14 3 3 2" xfId="41581"/>
    <cellStyle name="쉼표 [0] 4 2 3 2 14 3 4" xfId="28909"/>
    <cellStyle name="쉼표 [0] 4 2 3 2 14 3 5" xfId="51441"/>
    <cellStyle name="쉼표 [0] 4 2 3 2 14 4" xfId="6789"/>
    <cellStyle name="쉼표 [0] 4 2 3 2 14 4 2" xfId="19462"/>
    <cellStyle name="쉼표 [0] 4 2 3 2 14 4 2 2" xfId="44814"/>
    <cellStyle name="쉼표 [0] 4 2 3 2 14 4 3" xfId="32142"/>
    <cellStyle name="쉼표 [0] 4 2 3 2 14 5" xfId="13126"/>
    <cellStyle name="쉼표 [0] 4 2 3 2 14 5 2" xfId="38478"/>
    <cellStyle name="쉼표 [0] 4 2 3 2 14 6" xfId="25806"/>
    <cellStyle name="쉼표 [0] 4 2 3 2 14 7" xfId="51442"/>
    <cellStyle name="쉼표 [0] 4 2 3 2 15" xfId="454"/>
    <cellStyle name="쉼표 [0] 4 2 3 2 15 2" xfId="455"/>
    <cellStyle name="쉼표 [0] 4 2 3 2 15 2 2" xfId="3557"/>
    <cellStyle name="쉼표 [0] 4 2 3 2 15 2 2 2" xfId="9893"/>
    <cellStyle name="쉼표 [0] 4 2 3 2 15 2 2 2 2" xfId="22566"/>
    <cellStyle name="쉼표 [0] 4 2 3 2 15 2 2 2 2 2" xfId="47918"/>
    <cellStyle name="쉼표 [0] 4 2 3 2 15 2 2 2 3" xfId="35246"/>
    <cellStyle name="쉼표 [0] 4 2 3 2 15 2 2 3" xfId="16230"/>
    <cellStyle name="쉼표 [0] 4 2 3 2 15 2 2 3 2" xfId="41582"/>
    <cellStyle name="쉼표 [0] 4 2 3 2 15 2 2 4" xfId="28910"/>
    <cellStyle name="쉼표 [0] 4 2 3 2 15 2 2 5" xfId="51443"/>
    <cellStyle name="쉼표 [0] 4 2 3 2 15 2 3" xfId="6792"/>
    <cellStyle name="쉼표 [0] 4 2 3 2 15 2 3 2" xfId="19465"/>
    <cellStyle name="쉼표 [0] 4 2 3 2 15 2 3 2 2" xfId="44817"/>
    <cellStyle name="쉼표 [0] 4 2 3 2 15 2 3 3" xfId="32145"/>
    <cellStyle name="쉼표 [0] 4 2 3 2 15 2 4" xfId="13129"/>
    <cellStyle name="쉼표 [0] 4 2 3 2 15 2 4 2" xfId="38481"/>
    <cellStyle name="쉼표 [0] 4 2 3 2 15 2 5" xfId="25809"/>
    <cellStyle name="쉼표 [0] 4 2 3 2 15 2 6" xfId="51444"/>
    <cellStyle name="쉼표 [0] 4 2 3 2 15 3" xfId="3558"/>
    <cellStyle name="쉼표 [0] 4 2 3 2 15 3 2" xfId="9894"/>
    <cellStyle name="쉼표 [0] 4 2 3 2 15 3 2 2" xfId="22567"/>
    <cellStyle name="쉼표 [0] 4 2 3 2 15 3 2 2 2" xfId="47919"/>
    <cellStyle name="쉼표 [0] 4 2 3 2 15 3 2 3" xfId="35247"/>
    <cellStyle name="쉼표 [0] 4 2 3 2 15 3 3" xfId="16231"/>
    <cellStyle name="쉼표 [0] 4 2 3 2 15 3 3 2" xfId="41583"/>
    <cellStyle name="쉼표 [0] 4 2 3 2 15 3 4" xfId="28911"/>
    <cellStyle name="쉼표 [0] 4 2 3 2 15 3 5" xfId="51445"/>
    <cellStyle name="쉼표 [0] 4 2 3 2 15 4" xfId="6791"/>
    <cellStyle name="쉼표 [0] 4 2 3 2 15 4 2" xfId="19464"/>
    <cellStyle name="쉼표 [0] 4 2 3 2 15 4 2 2" xfId="44816"/>
    <cellStyle name="쉼표 [0] 4 2 3 2 15 4 3" xfId="32144"/>
    <cellStyle name="쉼표 [0] 4 2 3 2 15 5" xfId="13128"/>
    <cellStyle name="쉼표 [0] 4 2 3 2 15 5 2" xfId="38480"/>
    <cellStyle name="쉼표 [0] 4 2 3 2 15 6" xfId="25808"/>
    <cellStyle name="쉼표 [0] 4 2 3 2 15 7" xfId="51446"/>
    <cellStyle name="쉼표 [0] 4 2 3 2 16" xfId="456"/>
    <cellStyle name="쉼표 [0] 4 2 3 2 16 2" xfId="457"/>
    <cellStyle name="쉼표 [0] 4 2 3 2 16 2 2" xfId="3559"/>
    <cellStyle name="쉼표 [0] 4 2 3 2 16 2 2 2" xfId="9895"/>
    <cellStyle name="쉼표 [0] 4 2 3 2 16 2 2 2 2" xfId="22568"/>
    <cellStyle name="쉼표 [0] 4 2 3 2 16 2 2 2 2 2" xfId="47920"/>
    <cellStyle name="쉼표 [0] 4 2 3 2 16 2 2 2 3" xfId="35248"/>
    <cellStyle name="쉼표 [0] 4 2 3 2 16 2 2 3" xfId="16232"/>
    <cellStyle name="쉼표 [0] 4 2 3 2 16 2 2 3 2" xfId="41584"/>
    <cellStyle name="쉼표 [0] 4 2 3 2 16 2 2 4" xfId="28912"/>
    <cellStyle name="쉼표 [0] 4 2 3 2 16 2 2 5" xfId="51447"/>
    <cellStyle name="쉼표 [0] 4 2 3 2 16 2 3" xfId="6794"/>
    <cellStyle name="쉼표 [0] 4 2 3 2 16 2 3 2" xfId="19467"/>
    <cellStyle name="쉼표 [0] 4 2 3 2 16 2 3 2 2" xfId="44819"/>
    <cellStyle name="쉼표 [0] 4 2 3 2 16 2 3 3" xfId="32147"/>
    <cellStyle name="쉼표 [0] 4 2 3 2 16 2 4" xfId="13131"/>
    <cellStyle name="쉼표 [0] 4 2 3 2 16 2 4 2" xfId="38483"/>
    <cellStyle name="쉼표 [0] 4 2 3 2 16 2 5" xfId="25811"/>
    <cellStyle name="쉼표 [0] 4 2 3 2 16 2 6" xfId="51448"/>
    <cellStyle name="쉼표 [0] 4 2 3 2 16 3" xfId="3560"/>
    <cellStyle name="쉼표 [0] 4 2 3 2 16 3 2" xfId="9896"/>
    <cellStyle name="쉼표 [0] 4 2 3 2 16 3 2 2" xfId="22569"/>
    <cellStyle name="쉼표 [0] 4 2 3 2 16 3 2 2 2" xfId="47921"/>
    <cellStyle name="쉼표 [0] 4 2 3 2 16 3 2 3" xfId="35249"/>
    <cellStyle name="쉼표 [0] 4 2 3 2 16 3 3" xfId="16233"/>
    <cellStyle name="쉼표 [0] 4 2 3 2 16 3 3 2" xfId="41585"/>
    <cellStyle name="쉼표 [0] 4 2 3 2 16 3 4" xfId="28913"/>
    <cellStyle name="쉼표 [0] 4 2 3 2 16 3 5" xfId="51449"/>
    <cellStyle name="쉼표 [0] 4 2 3 2 16 4" xfId="6793"/>
    <cellStyle name="쉼표 [0] 4 2 3 2 16 4 2" xfId="19466"/>
    <cellStyle name="쉼표 [0] 4 2 3 2 16 4 2 2" xfId="44818"/>
    <cellStyle name="쉼표 [0] 4 2 3 2 16 4 3" xfId="32146"/>
    <cellStyle name="쉼표 [0] 4 2 3 2 16 5" xfId="13130"/>
    <cellStyle name="쉼표 [0] 4 2 3 2 16 5 2" xfId="38482"/>
    <cellStyle name="쉼표 [0] 4 2 3 2 16 6" xfId="25810"/>
    <cellStyle name="쉼표 [0] 4 2 3 2 16 7" xfId="51450"/>
    <cellStyle name="쉼표 [0] 4 2 3 2 17" xfId="458"/>
    <cellStyle name="쉼표 [0] 4 2 3 2 17 2" xfId="459"/>
    <cellStyle name="쉼표 [0] 4 2 3 2 17 2 2" xfId="3561"/>
    <cellStyle name="쉼표 [0] 4 2 3 2 17 2 2 2" xfId="9897"/>
    <cellStyle name="쉼표 [0] 4 2 3 2 17 2 2 2 2" xfId="22570"/>
    <cellStyle name="쉼표 [0] 4 2 3 2 17 2 2 2 2 2" xfId="47922"/>
    <cellStyle name="쉼표 [0] 4 2 3 2 17 2 2 2 3" xfId="35250"/>
    <cellStyle name="쉼표 [0] 4 2 3 2 17 2 2 3" xfId="16234"/>
    <cellStyle name="쉼표 [0] 4 2 3 2 17 2 2 3 2" xfId="41586"/>
    <cellStyle name="쉼표 [0] 4 2 3 2 17 2 2 4" xfId="28914"/>
    <cellStyle name="쉼표 [0] 4 2 3 2 17 2 2 5" xfId="51451"/>
    <cellStyle name="쉼표 [0] 4 2 3 2 17 2 3" xfId="6796"/>
    <cellStyle name="쉼표 [0] 4 2 3 2 17 2 3 2" xfId="19469"/>
    <cellStyle name="쉼표 [0] 4 2 3 2 17 2 3 2 2" xfId="44821"/>
    <cellStyle name="쉼표 [0] 4 2 3 2 17 2 3 3" xfId="32149"/>
    <cellStyle name="쉼표 [0] 4 2 3 2 17 2 4" xfId="13133"/>
    <cellStyle name="쉼표 [0] 4 2 3 2 17 2 4 2" xfId="38485"/>
    <cellStyle name="쉼표 [0] 4 2 3 2 17 2 5" xfId="25813"/>
    <cellStyle name="쉼표 [0] 4 2 3 2 17 2 6" xfId="51452"/>
    <cellStyle name="쉼표 [0] 4 2 3 2 17 3" xfId="3562"/>
    <cellStyle name="쉼표 [0] 4 2 3 2 17 3 2" xfId="9898"/>
    <cellStyle name="쉼표 [0] 4 2 3 2 17 3 2 2" xfId="22571"/>
    <cellStyle name="쉼표 [0] 4 2 3 2 17 3 2 2 2" xfId="47923"/>
    <cellStyle name="쉼표 [0] 4 2 3 2 17 3 2 3" xfId="35251"/>
    <cellStyle name="쉼표 [0] 4 2 3 2 17 3 3" xfId="16235"/>
    <cellStyle name="쉼표 [0] 4 2 3 2 17 3 3 2" xfId="41587"/>
    <cellStyle name="쉼표 [0] 4 2 3 2 17 3 4" xfId="28915"/>
    <cellStyle name="쉼표 [0] 4 2 3 2 17 3 5" xfId="51453"/>
    <cellStyle name="쉼표 [0] 4 2 3 2 17 4" xfId="6795"/>
    <cellStyle name="쉼표 [0] 4 2 3 2 17 4 2" xfId="19468"/>
    <cellStyle name="쉼표 [0] 4 2 3 2 17 4 2 2" xfId="44820"/>
    <cellStyle name="쉼표 [0] 4 2 3 2 17 4 3" xfId="32148"/>
    <cellStyle name="쉼표 [0] 4 2 3 2 17 5" xfId="13132"/>
    <cellStyle name="쉼표 [0] 4 2 3 2 17 5 2" xfId="38484"/>
    <cellStyle name="쉼표 [0] 4 2 3 2 17 6" xfId="25812"/>
    <cellStyle name="쉼표 [0] 4 2 3 2 17 7" xfId="51454"/>
    <cellStyle name="쉼표 [0] 4 2 3 2 18" xfId="460"/>
    <cellStyle name="쉼표 [0] 4 2 3 2 18 2" xfId="461"/>
    <cellStyle name="쉼표 [0] 4 2 3 2 18 2 2" xfId="3563"/>
    <cellStyle name="쉼표 [0] 4 2 3 2 18 2 2 2" xfId="9899"/>
    <cellStyle name="쉼표 [0] 4 2 3 2 18 2 2 2 2" xfId="22572"/>
    <cellStyle name="쉼표 [0] 4 2 3 2 18 2 2 2 2 2" xfId="47924"/>
    <cellStyle name="쉼표 [0] 4 2 3 2 18 2 2 2 3" xfId="35252"/>
    <cellStyle name="쉼표 [0] 4 2 3 2 18 2 2 3" xfId="16236"/>
    <cellStyle name="쉼표 [0] 4 2 3 2 18 2 2 3 2" xfId="41588"/>
    <cellStyle name="쉼표 [0] 4 2 3 2 18 2 2 4" xfId="28916"/>
    <cellStyle name="쉼표 [0] 4 2 3 2 18 2 2 5" xfId="51455"/>
    <cellStyle name="쉼표 [0] 4 2 3 2 18 2 3" xfId="6798"/>
    <cellStyle name="쉼표 [0] 4 2 3 2 18 2 3 2" xfId="19471"/>
    <cellStyle name="쉼표 [0] 4 2 3 2 18 2 3 2 2" xfId="44823"/>
    <cellStyle name="쉼표 [0] 4 2 3 2 18 2 3 3" xfId="32151"/>
    <cellStyle name="쉼표 [0] 4 2 3 2 18 2 4" xfId="13135"/>
    <cellStyle name="쉼표 [0] 4 2 3 2 18 2 4 2" xfId="38487"/>
    <cellStyle name="쉼표 [0] 4 2 3 2 18 2 5" xfId="25815"/>
    <cellStyle name="쉼표 [0] 4 2 3 2 18 2 6" xfId="51456"/>
    <cellStyle name="쉼표 [0] 4 2 3 2 18 3" xfId="3564"/>
    <cellStyle name="쉼표 [0] 4 2 3 2 18 3 2" xfId="9900"/>
    <cellStyle name="쉼표 [0] 4 2 3 2 18 3 2 2" xfId="22573"/>
    <cellStyle name="쉼표 [0] 4 2 3 2 18 3 2 2 2" xfId="47925"/>
    <cellStyle name="쉼표 [0] 4 2 3 2 18 3 2 3" xfId="35253"/>
    <cellStyle name="쉼표 [0] 4 2 3 2 18 3 3" xfId="16237"/>
    <cellStyle name="쉼표 [0] 4 2 3 2 18 3 3 2" xfId="41589"/>
    <cellStyle name="쉼표 [0] 4 2 3 2 18 3 4" xfId="28917"/>
    <cellStyle name="쉼표 [0] 4 2 3 2 18 3 5" xfId="51457"/>
    <cellStyle name="쉼표 [0] 4 2 3 2 18 4" xfId="6797"/>
    <cellStyle name="쉼표 [0] 4 2 3 2 18 4 2" xfId="19470"/>
    <cellStyle name="쉼표 [0] 4 2 3 2 18 4 2 2" xfId="44822"/>
    <cellStyle name="쉼표 [0] 4 2 3 2 18 4 3" xfId="32150"/>
    <cellStyle name="쉼표 [0] 4 2 3 2 18 5" xfId="13134"/>
    <cellStyle name="쉼표 [0] 4 2 3 2 18 5 2" xfId="38486"/>
    <cellStyle name="쉼표 [0] 4 2 3 2 18 6" xfId="25814"/>
    <cellStyle name="쉼표 [0] 4 2 3 2 18 7" xfId="51458"/>
    <cellStyle name="쉼표 [0] 4 2 3 2 19" xfId="462"/>
    <cellStyle name="쉼표 [0] 4 2 3 2 19 2" xfId="463"/>
    <cellStyle name="쉼표 [0] 4 2 3 2 19 2 2" xfId="3565"/>
    <cellStyle name="쉼표 [0] 4 2 3 2 19 2 2 2" xfId="9901"/>
    <cellStyle name="쉼표 [0] 4 2 3 2 19 2 2 2 2" xfId="22574"/>
    <cellStyle name="쉼표 [0] 4 2 3 2 19 2 2 2 2 2" xfId="47926"/>
    <cellStyle name="쉼표 [0] 4 2 3 2 19 2 2 2 3" xfId="35254"/>
    <cellStyle name="쉼표 [0] 4 2 3 2 19 2 2 3" xfId="16238"/>
    <cellStyle name="쉼표 [0] 4 2 3 2 19 2 2 3 2" xfId="41590"/>
    <cellStyle name="쉼표 [0] 4 2 3 2 19 2 2 4" xfId="28918"/>
    <cellStyle name="쉼표 [0] 4 2 3 2 19 2 2 5" xfId="51459"/>
    <cellStyle name="쉼표 [0] 4 2 3 2 19 2 3" xfId="6800"/>
    <cellStyle name="쉼표 [0] 4 2 3 2 19 2 3 2" xfId="19473"/>
    <cellStyle name="쉼표 [0] 4 2 3 2 19 2 3 2 2" xfId="44825"/>
    <cellStyle name="쉼표 [0] 4 2 3 2 19 2 3 3" xfId="32153"/>
    <cellStyle name="쉼표 [0] 4 2 3 2 19 2 4" xfId="13137"/>
    <cellStyle name="쉼표 [0] 4 2 3 2 19 2 4 2" xfId="38489"/>
    <cellStyle name="쉼표 [0] 4 2 3 2 19 2 5" xfId="25817"/>
    <cellStyle name="쉼표 [0] 4 2 3 2 19 2 6" xfId="51460"/>
    <cellStyle name="쉼표 [0] 4 2 3 2 19 3" xfId="3566"/>
    <cellStyle name="쉼표 [0] 4 2 3 2 19 3 2" xfId="9902"/>
    <cellStyle name="쉼표 [0] 4 2 3 2 19 3 2 2" xfId="22575"/>
    <cellStyle name="쉼표 [0] 4 2 3 2 19 3 2 2 2" xfId="47927"/>
    <cellStyle name="쉼표 [0] 4 2 3 2 19 3 2 3" xfId="35255"/>
    <cellStyle name="쉼표 [0] 4 2 3 2 19 3 3" xfId="16239"/>
    <cellStyle name="쉼표 [0] 4 2 3 2 19 3 3 2" xfId="41591"/>
    <cellStyle name="쉼표 [0] 4 2 3 2 19 3 4" xfId="28919"/>
    <cellStyle name="쉼표 [0] 4 2 3 2 19 3 5" xfId="51461"/>
    <cellStyle name="쉼표 [0] 4 2 3 2 19 4" xfId="6799"/>
    <cellStyle name="쉼표 [0] 4 2 3 2 19 4 2" xfId="19472"/>
    <cellStyle name="쉼표 [0] 4 2 3 2 19 4 2 2" xfId="44824"/>
    <cellStyle name="쉼표 [0] 4 2 3 2 19 4 3" xfId="32152"/>
    <cellStyle name="쉼표 [0] 4 2 3 2 19 5" xfId="13136"/>
    <cellStyle name="쉼표 [0] 4 2 3 2 19 5 2" xfId="38488"/>
    <cellStyle name="쉼표 [0] 4 2 3 2 19 6" xfId="25816"/>
    <cellStyle name="쉼표 [0] 4 2 3 2 19 7" xfId="51462"/>
    <cellStyle name="쉼표 [0] 4 2 3 2 2" xfId="464"/>
    <cellStyle name="쉼표 [0] 4 2 3 2 2 2" xfId="465"/>
    <cellStyle name="쉼표 [0] 4 2 3 2 2 2 2" xfId="3567"/>
    <cellStyle name="쉼표 [0] 4 2 3 2 2 2 2 2" xfId="9903"/>
    <cellStyle name="쉼표 [0] 4 2 3 2 2 2 2 2 2" xfId="22576"/>
    <cellStyle name="쉼표 [0] 4 2 3 2 2 2 2 2 2 2" xfId="47928"/>
    <cellStyle name="쉼표 [0] 4 2 3 2 2 2 2 2 3" xfId="35256"/>
    <cellStyle name="쉼표 [0] 4 2 3 2 2 2 2 3" xfId="16240"/>
    <cellStyle name="쉼표 [0] 4 2 3 2 2 2 2 3 2" xfId="41592"/>
    <cellStyle name="쉼표 [0] 4 2 3 2 2 2 2 4" xfId="28920"/>
    <cellStyle name="쉼표 [0] 4 2 3 2 2 2 2 5" xfId="51463"/>
    <cellStyle name="쉼표 [0] 4 2 3 2 2 2 3" xfId="6802"/>
    <cellStyle name="쉼표 [0] 4 2 3 2 2 2 3 2" xfId="19475"/>
    <cellStyle name="쉼표 [0] 4 2 3 2 2 2 3 2 2" xfId="44827"/>
    <cellStyle name="쉼표 [0] 4 2 3 2 2 2 3 3" xfId="32155"/>
    <cellStyle name="쉼표 [0] 4 2 3 2 2 2 4" xfId="13139"/>
    <cellStyle name="쉼표 [0] 4 2 3 2 2 2 4 2" xfId="38491"/>
    <cellStyle name="쉼표 [0] 4 2 3 2 2 2 5" xfId="25819"/>
    <cellStyle name="쉼표 [0] 4 2 3 2 2 2 6" xfId="51464"/>
    <cellStyle name="쉼표 [0] 4 2 3 2 2 3" xfId="3568"/>
    <cellStyle name="쉼표 [0] 4 2 3 2 2 3 2" xfId="9904"/>
    <cellStyle name="쉼표 [0] 4 2 3 2 2 3 2 2" xfId="22577"/>
    <cellStyle name="쉼표 [0] 4 2 3 2 2 3 2 2 2" xfId="47929"/>
    <cellStyle name="쉼표 [0] 4 2 3 2 2 3 2 3" xfId="35257"/>
    <cellStyle name="쉼표 [0] 4 2 3 2 2 3 3" xfId="16241"/>
    <cellStyle name="쉼표 [0] 4 2 3 2 2 3 3 2" xfId="41593"/>
    <cellStyle name="쉼표 [0] 4 2 3 2 2 3 4" xfId="28921"/>
    <cellStyle name="쉼표 [0] 4 2 3 2 2 3 5" xfId="51465"/>
    <cellStyle name="쉼표 [0] 4 2 3 2 2 4" xfId="6801"/>
    <cellStyle name="쉼표 [0] 4 2 3 2 2 4 2" xfId="19474"/>
    <cellStyle name="쉼표 [0] 4 2 3 2 2 4 2 2" xfId="44826"/>
    <cellStyle name="쉼표 [0] 4 2 3 2 2 4 3" xfId="32154"/>
    <cellStyle name="쉼표 [0] 4 2 3 2 2 5" xfId="13138"/>
    <cellStyle name="쉼표 [0] 4 2 3 2 2 5 2" xfId="38490"/>
    <cellStyle name="쉼표 [0] 4 2 3 2 2 6" xfId="25818"/>
    <cellStyle name="쉼표 [0] 4 2 3 2 2 7" xfId="51466"/>
    <cellStyle name="쉼표 [0] 4 2 3 2 20" xfId="466"/>
    <cellStyle name="쉼표 [0] 4 2 3 2 20 2" xfId="467"/>
    <cellStyle name="쉼표 [0] 4 2 3 2 20 2 2" xfId="3569"/>
    <cellStyle name="쉼표 [0] 4 2 3 2 20 2 2 2" xfId="9905"/>
    <cellStyle name="쉼표 [0] 4 2 3 2 20 2 2 2 2" xfId="22578"/>
    <cellStyle name="쉼표 [0] 4 2 3 2 20 2 2 2 2 2" xfId="47930"/>
    <cellStyle name="쉼표 [0] 4 2 3 2 20 2 2 2 3" xfId="35258"/>
    <cellStyle name="쉼표 [0] 4 2 3 2 20 2 2 3" xfId="16242"/>
    <cellStyle name="쉼표 [0] 4 2 3 2 20 2 2 3 2" xfId="41594"/>
    <cellStyle name="쉼표 [0] 4 2 3 2 20 2 2 4" xfId="28922"/>
    <cellStyle name="쉼표 [0] 4 2 3 2 20 2 2 5" xfId="51467"/>
    <cellStyle name="쉼표 [0] 4 2 3 2 20 2 3" xfId="6804"/>
    <cellStyle name="쉼표 [0] 4 2 3 2 20 2 3 2" xfId="19477"/>
    <cellStyle name="쉼표 [0] 4 2 3 2 20 2 3 2 2" xfId="44829"/>
    <cellStyle name="쉼표 [0] 4 2 3 2 20 2 3 3" xfId="32157"/>
    <cellStyle name="쉼표 [0] 4 2 3 2 20 2 4" xfId="13141"/>
    <cellStyle name="쉼표 [0] 4 2 3 2 20 2 4 2" xfId="38493"/>
    <cellStyle name="쉼표 [0] 4 2 3 2 20 2 5" xfId="25821"/>
    <cellStyle name="쉼표 [0] 4 2 3 2 20 2 6" xfId="51468"/>
    <cellStyle name="쉼표 [0] 4 2 3 2 20 3" xfId="3570"/>
    <cellStyle name="쉼표 [0] 4 2 3 2 20 3 2" xfId="9906"/>
    <cellStyle name="쉼표 [0] 4 2 3 2 20 3 2 2" xfId="22579"/>
    <cellStyle name="쉼표 [0] 4 2 3 2 20 3 2 2 2" xfId="47931"/>
    <cellStyle name="쉼표 [0] 4 2 3 2 20 3 2 3" xfId="35259"/>
    <cellStyle name="쉼표 [0] 4 2 3 2 20 3 3" xfId="16243"/>
    <cellStyle name="쉼표 [0] 4 2 3 2 20 3 3 2" xfId="41595"/>
    <cellStyle name="쉼표 [0] 4 2 3 2 20 3 4" xfId="28923"/>
    <cellStyle name="쉼표 [0] 4 2 3 2 20 3 5" xfId="51469"/>
    <cellStyle name="쉼표 [0] 4 2 3 2 20 4" xfId="6803"/>
    <cellStyle name="쉼표 [0] 4 2 3 2 20 4 2" xfId="19476"/>
    <cellStyle name="쉼표 [0] 4 2 3 2 20 4 2 2" xfId="44828"/>
    <cellStyle name="쉼표 [0] 4 2 3 2 20 4 3" xfId="32156"/>
    <cellStyle name="쉼표 [0] 4 2 3 2 20 5" xfId="13140"/>
    <cellStyle name="쉼표 [0] 4 2 3 2 20 5 2" xfId="38492"/>
    <cellStyle name="쉼표 [0] 4 2 3 2 20 6" xfId="25820"/>
    <cellStyle name="쉼표 [0] 4 2 3 2 20 7" xfId="51470"/>
    <cellStyle name="쉼표 [0] 4 2 3 2 21" xfId="468"/>
    <cellStyle name="쉼표 [0] 4 2 3 2 21 2" xfId="469"/>
    <cellStyle name="쉼표 [0] 4 2 3 2 21 2 2" xfId="3571"/>
    <cellStyle name="쉼표 [0] 4 2 3 2 21 2 2 2" xfId="9907"/>
    <cellStyle name="쉼표 [0] 4 2 3 2 21 2 2 2 2" xfId="22580"/>
    <cellStyle name="쉼표 [0] 4 2 3 2 21 2 2 2 2 2" xfId="47932"/>
    <cellStyle name="쉼표 [0] 4 2 3 2 21 2 2 2 3" xfId="35260"/>
    <cellStyle name="쉼표 [0] 4 2 3 2 21 2 2 3" xfId="16244"/>
    <cellStyle name="쉼표 [0] 4 2 3 2 21 2 2 3 2" xfId="41596"/>
    <cellStyle name="쉼표 [0] 4 2 3 2 21 2 2 4" xfId="28924"/>
    <cellStyle name="쉼표 [0] 4 2 3 2 21 2 2 5" xfId="51471"/>
    <cellStyle name="쉼표 [0] 4 2 3 2 21 2 3" xfId="6806"/>
    <cellStyle name="쉼표 [0] 4 2 3 2 21 2 3 2" xfId="19479"/>
    <cellStyle name="쉼표 [0] 4 2 3 2 21 2 3 2 2" xfId="44831"/>
    <cellStyle name="쉼표 [0] 4 2 3 2 21 2 3 3" xfId="32159"/>
    <cellStyle name="쉼표 [0] 4 2 3 2 21 2 4" xfId="13143"/>
    <cellStyle name="쉼표 [0] 4 2 3 2 21 2 4 2" xfId="38495"/>
    <cellStyle name="쉼표 [0] 4 2 3 2 21 2 5" xfId="25823"/>
    <cellStyle name="쉼표 [0] 4 2 3 2 21 2 6" xfId="51472"/>
    <cellStyle name="쉼표 [0] 4 2 3 2 21 3" xfId="3572"/>
    <cellStyle name="쉼표 [0] 4 2 3 2 21 3 2" xfId="9908"/>
    <cellStyle name="쉼표 [0] 4 2 3 2 21 3 2 2" xfId="22581"/>
    <cellStyle name="쉼표 [0] 4 2 3 2 21 3 2 2 2" xfId="47933"/>
    <cellStyle name="쉼표 [0] 4 2 3 2 21 3 2 3" xfId="35261"/>
    <cellStyle name="쉼표 [0] 4 2 3 2 21 3 3" xfId="16245"/>
    <cellStyle name="쉼표 [0] 4 2 3 2 21 3 3 2" xfId="41597"/>
    <cellStyle name="쉼표 [0] 4 2 3 2 21 3 4" xfId="28925"/>
    <cellStyle name="쉼표 [0] 4 2 3 2 21 3 5" xfId="51473"/>
    <cellStyle name="쉼표 [0] 4 2 3 2 21 4" xfId="6805"/>
    <cellStyle name="쉼표 [0] 4 2 3 2 21 4 2" xfId="19478"/>
    <cellStyle name="쉼표 [0] 4 2 3 2 21 4 2 2" xfId="44830"/>
    <cellStyle name="쉼표 [0] 4 2 3 2 21 4 3" xfId="32158"/>
    <cellStyle name="쉼표 [0] 4 2 3 2 21 5" xfId="13142"/>
    <cellStyle name="쉼표 [0] 4 2 3 2 21 5 2" xfId="38494"/>
    <cellStyle name="쉼표 [0] 4 2 3 2 21 6" xfId="25822"/>
    <cellStyle name="쉼표 [0] 4 2 3 2 21 7" xfId="51474"/>
    <cellStyle name="쉼표 [0] 4 2 3 2 22" xfId="470"/>
    <cellStyle name="쉼표 [0] 4 2 3 2 22 2" xfId="471"/>
    <cellStyle name="쉼표 [0] 4 2 3 2 22 2 2" xfId="3573"/>
    <cellStyle name="쉼표 [0] 4 2 3 2 22 2 2 2" xfId="9909"/>
    <cellStyle name="쉼표 [0] 4 2 3 2 22 2 2 2 2" xfId="22582"/>
    <cellStyle name="쉼표 [0] 4 2 3 2 22 2 2 2 2 2" xfId="47934"/>
    <cellStyle name="쉼표 [0] 4 2 3 2 22 2 2 2 3" xfId="35262"/>
    <cellStyle name="쉼표 [0] 4 2 3 2 22 2 2 3" xfId="16246"/>
    <cellStyle name="쉼표 [0] 4 2 3 2 22 2 2 3 2" xfId="41598"/>
    <cellStyle name="쉼표 [0] 4 2 3 2 22 2 2 4" xfId="28926"/>
    <cellStyle name="쉼표 [0] 4 2 3 2 22 2 2 5" xfId="51475"/>
    <cellStyle name="쉼표 [0] 4 2 3 2 22 2 3" xfId="6808"/>
    <cellStyle name="쉼표 [0] 4 2 3 2 22 2 3 2" xfId="19481"/>
    <cellStyle name="쉼표 [0] 4 2 3 2 22 2 3 2 2" xfId="44833"/>
    <cellStyle name="쉼표 [0] 4 2 3 2 22 2 3 3" xfId="32161"/>
    <cellStyle name="쉼표 [0] 4 2 3 2 22 2 4" xfId="13145"/>
    <cellStyle name="쉼표 [0] 4 2 3 2 22 2 4 2" xfId="38497"/>
    <cellStyle name="쉼표 [0] 4 2 3 2 22 2 5" xfId="25825"/>
    <cellStyle name="쉼표 [0] 4 2 3 2 22 2 6" xfId="51476"/>
    <cellStyle name="쉼표 [0] 4 2 3 2 22 3" xfId="3574"/>
    <cellStyle name="쉼표 [0] 4 2 3 2 22 3 2" xfId="9910"/>
    <cellStyle name="쉼표 [0] 4 2 3 2 22 3 2 2" xfId="22583"/>
    <cellStyle name="쉼표 [0] 4 2 3 2 22 3 2 2 2" xfId="47935"/>
    <cellStyle name="쉼표 [0] 4 2 3 2 22 3 2 3" xfId="35263"/>
    <cellStyle name="쉼표 [0] 4 2 3 2 22 3 3" xfId="16247"/>
    <cellStyle name="쉼표 [0] 4 2 3 2 22 3 3 2" xfId="41599"/>
    <cellStyle name="쉼표 [0] 4 2 3 2 22 3 4" xfId="28927"/>
    <cellStyle name="쉼표 [0] 4 2 3 2 22 3 5" xfId="51477"/>
    <cellStyle name="쉼표 [0] 4 2 3 2 22 4" xfId="6807"/>
    <cellStyle name="쉼표 [0] 4 2 3 2 22 4 2" xfId="19480"/>
    <cellStyle name="쉼표 [0] 4 2 3 2 22 4 2 2" xfId="44832"/>
    <cellStyle name="쉼표 [0] 4 2 3 2 22 4 3" xfId="32160"/>
    <cellStyle name="쉼표 [0] 4 2 3 2 22 5" xfId="13144"/>
    <cellStyle name="쉼표 [0] 4 2 3 2 22 5 2" xfId="38496"/>
    <cellStyle name="쉼표 [0] 4 2 3 2 22 6" xfId="25824"/>
    <cellStyle name="쉼표 [0] 4 2 3 2 22 7" xfId="51478"/>
    <cellStyle name="쉼표 [0] 4 2 3 2 23" xfId="472"/>
    <cellStyle name="쉼표 [0] 4 2 3 2 23 2" xfId="473"/>
    <cellStyle name="쉼표 [0] 4 2 3 2 23 2 2" xfId="3575"/>
    <cellStyle name="쉼표 [0] 4 2 3 2 23 2 2 2" xfId="9911"/>
    <cellStyle name="쉼표 [0] 4 2 3 2 23 2 2 2 2" xfId="22584"/>
    <cellStyle name="쉼표 [0] 4 2 3 2 23 2 2 2 2 2" xfId="47936"/>
    <cellStyle name="쉼표 [0] 4 2 3 2 23 2 2 2 3" xfId="35264"/>
    <cellStyle name="쉼표 [0] 4 2 3 2 23 2 2 3" xfId="16248"/>
    <cellStyle name="쉼표 [0] 4 2 3 2 23 2 2 3 2" xfId="41600"/>
    <cellStyle name="쉼표 [0] 4 2 3 2 23 2 2 4" xfId="28928"/>
    <cellStyle name="쉼표 [0] 4 2 3 2 23 2 2 5" xfId="51479"/>
    <cellStyle name="쉼표 [0] 4 2 3 2 23 2 3" xfId="6810"/>
    <cellStyle name="쉼표 [0] 4 2 3 2 23 2 3 2" xfId="19483"/>
    <cellStyle name="쉼표 [0] 4 2 3 2 23 2 3 2 2" xfId="44835"/>
    <cellStyle name="쉼표 [0] 4 2 3 2 23 2 3 3" xfId="32163"/>
    <cellStyle name="쉼표 [0] 4 2 3 2 23 2 4" xfId="13147"/>
    <cellStyle name="쉼표 [0] 4 2 3 2 23 2 4 2" xfId="38499"/>
    <cellStyle name="쉼표 [0] 4 2 3 2 23 2 5" xfId="25827"/>
    <cellStyle name="쉼표 [0] 4 2 3 2 23 2 6" xfId="51480"/>
    <cellStyle name="쉼표 [0] 4 2 3 2 23 3" xfId="3576"/>
    <cellStyle name="쉼표 [0] 4 2 3 2 23 3 2" xfId="9912"/>
    <cellStyle name="쉼표 [0] 4 2 3 2 23 3 2 2" xfId="22585"/>
    <cellStyle name="쉼표 [0] 4 2 3 2 23 3 2 2 2" xfId="47937"/>
    <cellStyle name="쉼표 [0] 4 2 3 2 23 3 2 3" xfId="35265"/>
    <cellStyle name="쉼표 [0] 4 2 3 2 23 3 3" xfId="16249"/>
    <cellStyle name="쉼표 [0] 4 2 3 2 23 3 3 2" xfId="41601"/>
    <cellStyle name="쉼표 [0] 4 2 3 2 23 3 4" xfId="28929"/>
    <cellStyle name="쉼표 [0] 4 2 3 2 23 3 5" xfId="51481"/>
    <cellStyle name="쉼표 [0] 4 2 3 2 23 4" xfId="6809"/>
    <cellStyle name="쉼표 [0] 4 2 3 2 23 4 2" xfId="19482"/>
    <cellStyle name="쉼표 [0] 4 2 3 2 23 4 2 2" xfId="44834"/>
    <cellStyle name="쉼표 [0] 4 2 3 2 23 4 3" xfId="32162"/>
    <cellStyle name="쉼표 [0] 4 2 3 2 23 5" xfId="13146"/>
    <cellStyle name="쉼표 [0] 4 2 3 2 23 5 2" xfId="38498"/>
    <cellStyle name="쉼표 [0] 4 2 3 2 23 6" xfId="25826"/>
    <cellStyle name="쉼표 [0] 4 2 3 2 23 7" xfId="51482"/>
    <cellStyle name="쉼표 [0] 4 2 3 2 24" xfId="474"/>
    <cellStyle name="쉼표 [0] 4 2 3 2 24 2" xfId="475"/>
    <cellStyle name="쉼표 [0] 4 2 3 2 24 2 2" xfId="3577"/>
    <cellStyle name="쉼표 [0] 4 2 3 2 24 2 2 2" xfId="9913"/>
    <cellStyle name="쉼표 [0] 4 2 3 2 24 2 2 2 2" xfId="22586"/>
    <cellStyle name="쉼표 [0] 4 2 3 2 24 2 2 2 2 2" xfId="47938"/>
    <cellStyle name="쉼표 [0] 4 2 3 2 24 2 2 2 3" xfId="35266"/>
    <cellStyle name="쉼표 [0] 4 2 3 2 24 2 2 3" xfId="16250"/>
    <cellStyle name="쉼표 [0] 4 2 3 2 24 2 2 3 2" xfId="41602"/>
    <cellStyle name="쉼표 [0] 4 2 3 2 24 2 2 4" xfId="28930"/>
    <cellStyle name="쉼표 [0] 4 2 3 2 24 2 2 5" xfId="51483"/>
    <cellStyle name="쉼표 [0] 4 2 3 2 24 2 3" xfId="6812"/>
    <cellStyle name="쉼표 [0] 4 2 3 2 24 2 3 2" xfId="19485"/>
    <cellStyle name="쉼표 [0] 4 2 3 2 24 2 3 2 2" xfId="44837"/>
    <cellStyle name="쉼표 [0] 4 2 3 2 24 2 3 3" xfId="32165"/>
    <cellStyle name="쉼표 [0] 4 2 3 2 24 2 4" xfId="13149"/>
    <cellStyle name="쉼표 [0] 4 2 3 2 24 2 4 2" xfId="38501"/>
    <cellStyle name="쉼표 [0] 4 2 3 2 24 2 5" xfId="25829"/>
    <cellStyle name="쉼표 [0] 4 2 3 2 24 2 6" xfId="51484"/>
    <cellStyle name="쉼표 [0] 4 2 3 2 24 3" xfId="3578"/>
    <cellStyle name="쉼표 [0] 4 2 3 2 24 3 2" xfId="9914"/>
    <cellStyle name="쉼표 [0] 4 2 3 2 24 3 2 2" xfId="22587"/>
    <cellStyle name="쉼표 [0] 4 2 3 2 24 3 2 2 2" xfId="47939"/>
    <cellStyle name="쉼표 [0] 4 2 3 2 24 3 2 3" xfId="35267"/>
    <cellStyle name="쉼표 [0] 4 2 3 2 24 3 3" xfId="16251"/>
    <cellStyle name="쉼표 [0] 4 2 3 2 24 3 3 2" xfId="41603"/>
    <cellStyle name="쉼표 [0] 4 2 3 2 24 3 4" xfId="28931"/>
    <cellStyle name="쉼표 [0] 4 2 3 2 24 3 5" xfId="51485"/>
    <cellStyle name="쉼표 [0] 4 2 3 2 24 4" xfId="6811"/>
    <cellStyle name="쉼표 [0] 4 2 3 2 24 4 2" xfId="19484"/>
    <cellStyle name="쉼표 [0] 4 2 3 2 24 4 2 2" xfId="44836"/>
    <cellStyle name="쉼표 [0] 4 2 3 2 24 4 3" xfId="32164"/>
    <cellStyle name="쉼표 [0] 4 2 3 2 24 5" xfId="13148"/>
    <cellStyle name="쉼표 [0] 4 2 3 2 24 5 2" xfId="38500"/>
    <cellStyle name="쉼표 [0] 4 2 3 2 24 6" xfId="25828"/>
    <cellStyle name="쉼표 [0] 4 2 3 2 24 7" xfId="51486"/>
    <cellStyle name="쉼표 [0] 4 2 3 2 25" xfId="476"/>
    <cellStyle name="쉼표 [0] 4 2 3 2 25 2" xfId="477"/>
    <cellStyle name="쉼표 [0] 4 2 3 2 25 2 2" xfId="3579"/>
    <cellStyle name="쉼표 [0] 4 2 3 2 25 2 2 2" xfId="9915"/>
    <cellStyle name="쉼표 [0] 4 2 3 2 25 2 2 2 2" xfId="22588"/>
    <cellStyle name="쉼표 [0] 4 2 3 2 25 2 2 2 2 2" xfId="47940"/>
    <cellStyle name="쉼표 [0] 4 2 3 2 25 2 2 2 3" xfId="35268"/>
    <cellStyle name="쉼표 [0] 4 2 3 2 25 2 2 3" xfId="16252"/>
    <cellStyle name="쉼표 [0] 4 2 3 2 25 2 2 3 2" xfId="41604"/>
    <cellStyle name="쉼표 [0] 4 2 3 2 25 2 2 4" xfId="28932"/>
    <cellStyle name="쉼표 [0] 4 2 3 2 25 2 2 5" xfId="51487"/>
    <cellStyle name="쉼표 [0] 4 2 3 2 25 2 3" xfId="6814"/>
    <cellStyle name="쉼표 [0] 4 2 3 2 25 2 3 2" xfId="19487"/>
    <cellStyle name="쉼표 [0] 4 2 3 2 25 2 3 2 2" xfId="44839"/>
    <cellStyle name="쉼표 [0] 4 2 3 2 25 2 3 3" xfId="32167"/>
    <cellStyle name="쉼표 [0] 4 2 3 2 25 2 4" xfId="13151"/>
    <cellStyle name="쉼표 [0] 4 2 3 2 25 2 4 2" xfId="38503"/>
    <cellStyle name="쉼표 [0] 4 2 3 2 25 2 5" xfId="25831"/>
    <cellStyle name="쉼표 [0] 4 2 3 2 25 2 6" xfId="51488"/>
    <cellStyle name="쉼표 [0] 4 2 3 2 25 3" xfId="3580"/>
    <cellStyle name="쉼표 [0] 4 2 3 2 25 3 2" xfId="9916"/>
    <cellStyle name="쉼표 [0] 4 2 3 2 25 3 2 2" xfId="22589"/>
    <cellStyle name="쉼표 [0] 4 2 3 2 25 3 2 2 2" xfId="47941"/>
    <cellStyle name="쉼표 [0] 4 2 3 2 25 3 2 3" xfId="35269"/>
    <cellStyle name="쉼표 [0] 4 2 3 2 25 3 3" xfId="16253"/>
    <cellStyle name="쉼표 [0] 4 2 3 2 25 3 3 2" xfId="41605"/>
    <cellStyle name="쉼표 [0] 4 2 3 2 25 3 4" xfId="28933"/>
    <cellStyle name="쉼표 [0] 4 2 3 2 25 3 5" xfId="51489"/>
    <cellStyle name="쉼표 [0] 4 2 3 2 25 4" xfId="6813"/>
    <cellStyle name="쉼표 [0] 4 2 3 2 25 4 2" xfId="19486"/>
    <cellStyle name="쉼표 [0] 4 2 3 2 25 4 2 2" xfId="44838"/>
    <cellStyle name="쉼표 [0] 4 2 3 2 25 4 3" xfId="32166"/>
    <cellStyle name="쉼표 [0] 4 2 3 2 25 5" xfId="13150"/>
    <cellStyle name="쉼표 [0] 4 2 3 2 25 5 2" xfId="38502"/>
    <cellStyle name="쉼표 [0] 4 2 3 2 25 6" xfId="25830"/>
    <cellStyle name="쉼표 [0] 4 2 3 2 25 7" xfId="51490"/>
    <cellStyle name="쉼표 [0] 4 2 3 2 26" xfId="478"/>
    <cellStyle name="쉼표 [0] 4 2 3 2 26 2" xfId="479"/>
    <cellStyle name="쉼표 [0] 4 2 3 2 26 2 2" xfId="3581"/>
    <cellStyle name="쉼표 [0] 4 2 3 2 26 2 2 2" xfId="9917"/>
    <cellStyle name="쉼표 [0] 4 2 3 2 26 2 2 2 2" xfId="22590"/>
    <cellStyle name="쉼표 [0] 4 2 3 2 26 2 2 2 2 2" xfId="47942"/>
    <cellStyle name="쉼표 [0] 4 2 3 2 26 2 2 2 3" xfId="35270"/>
    <cellStyle name="쉼표 [0] 4 2 3 2 26 2 2 3" xfId="16254"/>
    <cellStyle name="쉼표 [0] 4 2 3 2 26 2 2 3 2" xfId="41606"/>
    <cellStyle name="쉼표 [0] 4 2 3 2 26 2 2 4" xfId="28934"/>
    <cellStyle name="쉼표 [0] 4 2 3 2 26 2 2 5" xfId="51491"/>
    <cellStyle name="쉼표 [0] 4 2 3 2 26 2 3" xfId="6816"/>
    <cellStyle name="쉼표 [0] 4 2 3 2 26 2 3 2" xfId="19489"/>
    <cellStyle name="쉼표 [0] 4 2 3 2 26 2 3 2 2" xfId="44841"/>
    <cellStyle name="쉼표 [0] 4 2 3 2 26 2 3 3" xfId="32169"/>
    <cellStyle name="쉼표 [0] 4 2 3 2 26 2 4" xfId="13153"/>
    <cellStyle name="쉼표 [0] 4 2 3 2 26 2 4 2" xfId="38505"/>
    <cellStyle name="쉼표 [0] 4 2 3 2 26 2 5" xfId="25833"/>
    <cellStyle name="쉼표 [0] 4 2 3 2 26 2 6" xfId="51492"/>
    <cellStyle name="쉼표 [0] 4 2 3 2 26 3" xfId="3582"/>
    <cellStyle name="쉼표 [0] 4 2 3 2 26 3 2" xfId="9918"/>
    <cellStyle name="쉼표 [0] 4 2 3 2 26 3 2 2" xfId="22591"/>
    <cellStyle name="쉼표 [0] 4 2 3 2 26 3 2 2 2" xfId="47943"/>
    <cellStyle name="쉼표 [0] 4 2 3 2 26 3 2 3" xfId="35271"/>
    <cellStyle name="쉼표 [0] 4 2 3 2 26 3 3" xfId="16255"/>
    <cellStyle name="쉼표 [0] 4 2 3 2 26 3 3 2" xfId="41607"/>
    <cellStyle name="쉼표 [0] 4 2 3 2 26 3 4" xfId="28935"/>
    <cellStyle name="쉼표 [0] 4 2 3 2 26 3 5" xfId="51493"/>
    <cellStyle name="쉼표 [0] 4 2 3 2 26 4" xfId="6815"/>
    <cellStyle name="쉼표 [0] 4 2 3 2 26 4 2" xfId="19488"/>
    <cellStyle name="쉼표 [0] 4 2 3 2 26 4 2 2" xfId="44840"/>
    <cellStyle name="쉼표 [0] 4 2 3 2 26 4 3" xfId="32168"/>
    <cellStyle name="쉼표 [0] 4 2 3 2 26 5" xfId="13152"/>
    <cellStyle name="쉼표 [0] 4 2 3 2 26 5 2" xfId="38504"/>
    <cellStyle name="쉼표 [0] 4 2 3 2 26 6" xfId="25832"/>
    <cellStyle name="쉼표 [0] 4 2 3 2 26 7" xfId="51494"/>
    <cellStyle name="쉼표 [0] 4 2 3 2 27" xfId="480"/>
    <cellStyle name="쉼표 [0] 4 2 3 2 27 2" xfId="481"/>
    <cellStyle name="쉼표 [0] 4 2 3 2 27 2 2" xfId="3583"/>
    <cellStyle name="쉼표 [0] 4 2 3 2 27 2 2 2" xfId="9919"/>
    <cellStyle name="쉼표 [0] 4 2 3 2 27 2 2 2 2" xfId="22592"/>
    <cellStyle name="쉼표 [0] 4 2 3 2 27 2 2 2 2 2" xfId="47944"/>
    <cellStyle name="쉼표 [0] 4 2 3 2 27 2 2 2 3" xfId="35272"/>
    <cellStyle name="쉼표 [0] 4 2 3 2 27 2 2 3" xfId="16256"/>
    <cellStyle name="쉼표 [0] 4 2 3 2 27 2 2 3 2" xfId="41608"/>
    <cellStyle name="쉼표 [0] 4 2 3 2 27 2 2 4" xfId="28936"/>
    <cellStyle name="쉼표 [0] 4 2 3 2 27 2 2 5" xfId="51495"/>
    <cellStyle name="쉼표 [0] 4 2 3 2 27 2 3" xfId="6818"/>
    <cellStyle name="쉼표 [0] 4 2 3 2 27 2 3 2" xfId="19491"/>
    <cellStyle name="쉼표 [0] 4 2 3 2 27 2 3 2 2" xfId="44843"/>
    <cellStyle name="쉼표 [0] 4 2 3 2 27 2 3 3" xfId="32171"/>
    <cellStyle name="쉼표 [0] 4 2 3 2 27 2 4" xfId="13155"/>
    <cellStyle name="쉼표 [0] 4 2 3 2 27 2 4 2" xfId="38507"/>
    <cellStyle name="쉼표 [0] 4 2 3 2 27 2 5" xfId="25835"/>
    <cellStyle name="쉼표 [0] 4 2 3 2 27 2 6" xfId="51496"/>
    <cellStyle name="쉼표 [0] 4 2 3 2 27 3" xfId="3584"/>
    <cellStyle name="쉼표 [0] 4 2 3 2 27 3 2" xfId="9920"/>
    <cellStyle name="쉼표 [0] 4 2 3 2 27 3 2 2" xfId="22593"/>
    <cellStyle name="쉼표 [0] 4 2 3 2 27 3 2 2 2" xfId="47945"/>
    <cellStyle name="쉼표 [0] 4 2 3 2 27 3 2 3" xfId="35273"/>
    <cellStyle name="쉼표 [0] 4 2 3 2 27 3 3" xfId="16257"/>
    <cellStyle name="쉼표 [0] 4 2 3 2 27 3 3 2" xfId="41609"/>
    <cellStyle name="쉼표 [0] 4 2 3 2 27 3 4" xfId="28937"/>
    <cellStyle name="쉼표 [0] 4 2 3 2 27 3 5" xfId="51497"/>
    <cellStyle name="쉼표 [0] 4 2 3 2 27 4" xfId="6817"/>
    <cellStyle name="쉼표 [0] 4 2 3 2 27 4 2" xfId="19490"/>
    <cellStyle name="쉼표 [0] 4 2 3 2 27 4 2 2" xfId="44842"/>
    <cellStyle name="쉼표 [0] 4 2 3 2 27 4 3" xfId="32170"/>
    <cellStyle name="쉼표 [0] 4 2 3 2 27 5" xfId="13154"/>
    <cellStyle name="쉼표 [0] 4 2 3 2 27 5 2" xfId="38506"/>
    <cellStyle name="쉼표 [0] 4 2 3 2 27 6" xfId="25834"/>
    <cellStyle name="쉼표 [0] 4 2 3 2 27 7" xfId="51498"/>
    <cellStyle name="쉼표 [0] 4 2 3 2 28" xfId="482"/>
    <cellStyle name="쉼표 [0] 4 2 3 2 28 2" xfId="483"/>
    <cellStyle name="쉼표 [0] 4 2 3 2 28 2 2" xfId="3585"/>
    <cellStyle name="쉼표 [0] 4 2 3 2 28 2 2 2" xfId="9921"/>
    <cellStyle name="쉼표 [0] 4 2 3 2 28 2 2 2 2" xfId="22594"/>
    <cellStyle name="쉼표 [0] 4 2 3 2 28 2 2 2 2 2" xfId="47946"/>
    <cellStyle name="쉼표 [0] 4 2 3 2 28 2 2 2 3" xfId="35274"/>
    <cellStyle name="쉼표 [0] 4 2 3 2 28 2 2 3" xfId="16258"/>
    <cellStyle name="쉼표 [0] 4 2 3 2 28 2 2 3 2" xfId="41610"/>
    <cellStyle name="쉼표 [0] 4 2 3 2 28 2 2 4" xfId="28938"/>
    <cellStyle name="쉼표 [0] 4 2 3 2 28 2 2 5" xfId="51499"/>
    <cellStyle name="쉼표 [0] 4 2 3 2 28 2 3" xfId="6820"/>
    <cellStyle name="쉼표 [0] 4 2 3 2 28 2 3 2" xfId="19493"/>
    <cellStyle name="쉼표 [0] 4 2 3 2 28 2 3 2 2" xfId="44845"/>
    <cellStyle name="쉼표 [0] 4 2 3 2 28 2 3 3" xfId="32173"/>
    <cellStyle name="쉼표 [0] 4 2 3 2 28 2 4" xfId="13157"/>
    <cellStyle name="쉼표 [0] 4 2 3 2 28 2 4 2" xfId="38509"/>
    <cellStyle name="쉼표 [0] 4 2 3 2 28 2 5" xfId="25837"/>
    <cellStyle name="쉼표 [0] 4 2 3 2 28 2 6" xfId="51500"/>
    <cellStyle name="쉼표 [0] 4 2 3 2 28 3" xfId="3586"/>
    <cellStyle name="쉼표 [0] 4 2 3 2 28 3 2" xfId="9922"/>
    <cellStyle name="쉼표 [0] 4 2 3 2 28 3 2 2" xfId="22595"/>
    <cellStyle name="쉼표 [0] 4 2 3 2 28 3 2 2 2" xfId="47947"/>
    <cellStyle name="쉼표 [0] 4 2 3 2 28 3 2 3" xfId="35275"/>
    <cellStyle name="쉼표 [0] 4 2 3 2 28 3 3" xfId="16259"/>
    <cellStyle name="쉼표 [0] 4 2 3 2 28 3 3 2" xfId="41611"/>
    <cellStyle name="쉼표 [0] 4 2 3 2 28 3 4" xfId="28939"/>
    <cellStyle name="쉼표 [0] 4 2 3 2 28 3 5" xfId="51501"/>
    <cellStyle name="쉼표 [0] 4 2 3 2 28 4" xfId="6819"/>
    <cellStyle name="쉼표 [0] 4 2 3 2 28 4 2" xfId="19492"/>
    <cellStyle name="쉼표 [0] 4 2 3 2 28 4 2 2" xfId="44844"/>
    <cellStyle name="쉼표 [0] 4 2 3 2 28 4 3" xfId="32172"/>
    <cellStyle name="쉼표 [0] 4 2 3 2 28 5" xfId="13156"/>
    <cellStyle name="쉼표 [0] 4 2 3 2 28 5 2" xfId="38508"/>
    <cellStyle name="쉼표 [0] 4 2 3 2 28 6" xfId="25836"/>
    <cellStyle name="쉼표 [0] 4 2 3 2 28 7" xfId="51502"/>
    <cellStyle name="쉼표 [0] 4 2 3 2 29" xfId="484"/>
    <cellStyle name="쉼표 [0] 4 2 3 2 29 2" xfId="485"/>
    <cellStyle name="쉼표 [0] 4 2 3 2 29 2 2" xfId="3587"/>
    <cellStyle name="쉼표 [0] 4 2 3 2 29 2 2 2" xfId="9923"/>
    <cellStyle name="쉼표 [0] 4 2 3 2 29 2 2 2 2" xfId="22596"/>
    <cellStyle name="쉼표 [0] 4 2 3 2 29 2 2 2 2 2" xfId="47948"/>
    <cellStyle name="쉼표 [0] 4 2 3 2 29 2 2 2 3" xfId="35276"/>
    <cellStyle name="쉼표 [0] 4 2 3 2 29 2 2 3" xfId="16260"/>
    <cellStyle name="쉼표 [0] 4 2 3 2 29 2 2 3 2" xfId="41612"/>
    <cellStyle name="쉼표 [0] 4 2 3 2 29 2 2 4" xfId="28940"/>
    <cellStyle name="쉼표 [0] 4 2 3 2 29 2 2 5" xfId="51503"/>
    <cellStyle name="쉼표 [0] 4 2 3 2 29 2 3" xfId="6822"/>
    <cellStyle name="쉼표 [0] 4 2 3 2 29 2 3 2" xfId="19495"/>
    <cellStyle name="쉼표 [0] 4 2 3 2 29 2 3 2 2" xfId="44847"/>
    <cellStyle name="쉼표 [0] 4 2 3 2 29 2 3 3" xfId="32175"/>
    <cellStyle name="쉼표 [0] 4 2 3 2 29 2 4" xfId="13159"/>
    <cellStyle name="쉼표 [0] 4 2 3 2 29 2 4 2" xfId="38511"/>
    <cellStyle name="쉼표 [0] 4 2 3 2 29 2 5" xfId="25839"/>
    <cellStyle name="쉼표 [0] 4 2 3 2 29 2 6" xfId="51504"/>
    <cellStyle name="쉼표 [0] 4 2 3 2 29 3" xfId="3588"/>
    <cellStyle name="쉼표 [0] 4 2 3 2 29 3 2" xfId="9924"/>
    <cellStyle name="쉼표 [0] 4 2 3 2 29 3 2 2" xfId="22597"/>
    <cellStyle name="쉼표 [0] 4 2 3 2 29 3 2 2 2" xfId="47949"/>
    <cellStyle name="쉼표 [0] 4 2 3 2 29 3 2 3" xfId="35277"/>
    <cellStyle name="쉼표 [0] 4 2 3 2 29 3 3" xfId="16261"/>
    <cellStyle name="쉼표 [0] 4 2 3 2 29 3 3 2" xfId="41613"/>
    <cellStyle name="쉼표 [0] 4 2 3 2 29 3 4" xfId="28941"/>
    <cellStyle name="쉼표 [0] 4 2 3 2 29 3 5" xfId="51505"/>
    <cellStyle name="쉼표 [0] 4 2 3 2 29 4" xfId="6821"/>
    <cellStyle name="쉼표 [0] 4 2 3 2 29 4 2" xfId="19494"/>
    <cellStyle name="쉼표 [0] 4 2 3 2 29 4 2 2" xfId="44846"/>
    <cellStyle name="쉼표 [0] 4 2 3 2 29 4 3" xfId="32174"/>
    <cellStyle name="쉼표 [0] 4 2 3 2 29 5" xfId="13158"/>
    <cellStyle name="쉼표 [0] 4 2 3 2 29 5 2" xfId="38510"/>
    <cellStyle name="쉼표 [0] 4 2 3 2 29 6" xfId="25838"/>
    <cellStyle name="쉼표 [0] 4 2 3 2 29 7" xfId="51506"/>
    <cellStyle name="쉼표 [0] 4 2 3 2 3" xfId="486"/>
    <cellStyle name="쉼표 [0] 4 2 3 2 3 2" xfId="487"/>
    <cellStyle name="쉼표 [0] 4 2 3 2 3 2 2" xfId="3589"/>
    <cellStyle name="쉼표 [0] 4 2 3 2 3 2 2 2" xfId="9925"/>
    <cellStyle name="쉼표 [0] 4 2 3 2 3 2 2 2 2" xfId="22598"/>
    <cellStyle name="쉼표 [0] 4 2 3 2 3 2 2 2 2 2" xfId="47950"/>
    <cellStyle name="쉼표 [0] 4 2 3 2 3 2 2 2 3" xfId="35278"/>
    <cellStyle name="쉼표 [0] 4 2 3 2 3 2 2 3" xfId="16262"/>
    <cellStyle name="쉼표 [0] 4 2 3 2 3 2 2 3 2" xfId="41614"/>
    <cellStyle name="쉼표 [0] 4 2 3 2 3 2 2 4" xfId="28942"/>
    <cellStyle name="쉼표 [0] 4 2 3 2 3 2 2 5" xfId="51507"/>
    <cellStyle name="쉼표 [0] 4 2 3 2 3 2 3" xfId="6824"/>
    <cellStyle name="쉼표 [0] 4 2 3 2 3 2 3 2" xfId="19497"/>
    <cellStyle name="쉼표 [0] 4 2 3 2 3 2 3 2 2" xfId="44849"/>
    <cellStyle name="쉼표 [0] 4 2 3 2 3 2 3 3" xfId="32177"/>
    <cellStyle name="쉼표 [0] 4 2 3 2 3 2 4" xfId="13161"/>
    <cellStyle name="쉼표 [0] 4 2 3 2 3 2 4 2" xfId="38513"/>
    <cellStyle name="쉼표 [0] 4 2 3 2 3 2 5" xfId="25841"/>
    <cellStyle name="쉼표 [0] 4 2 3 2 3 2 6" xfId="51508"/>
    <cellStyle name="쉼표 [0] 4 2 3 2 3 3" xfId="3590"/>
    <cellStyle name="쉼표 [0] 4 2 3 2 3 3 2" xfId="9926"/>
    <cellStyle name="쉼표 [0] 4 2 3 2 3 3 2 2" xfId="22599"/>
    <cellStyle name="쉼표 [0] 4 2 3 2 3 3 2 2 2" xfId="47951"/>
    <cellStyle name="쉼표 [0] 4 2 3 2 3 3 2 3" xfId="35279"/>
    <cellStyle name="쉼표 [0] 4 2 3 2 3 3 3" xfId="16263"/>
    <cellStyle name="쉼표 [0] 4 2 3 2 3 3 3 2" xfId="41615"/>
    <cellStyle name="쉼표 [0] 4 2 3 2 3 3 4" xfId="28943"/>
    <cellStyle name="쉼표 [0] 4 2 3 2 3 3 5" xfId="51509"/>
    <cellStyle name="쉼표 [0] 4 2 3 2 3 4" xfId="6823"/>
    <cellStyle name="쉼표 [0] 4 2 3 2 3 4 2" xfId="19496"/>
    <cellStyle name="쉼표 [0] 4 2 3 2 3 4 2 2" xfId="44848"/>
    <cellStyle name="쉼표 [0] 4 2 3 2 3 4 3" xfId="32176"/>
    <cellStyle name="쉼표 [0] 4 2 3 2 3 5" xfId="13160"/>
    <cellStyle name="쉼표 [0] 4 2 3 2 3 5 2" xfId="38512"/>
    <cellStyle name="쉼표 [0] 4 2 3 2 3 6" xfId="25840"/>
    <cellStyle name="쉼표 [0] 4 2 3 2 3 7" xfId="51510"/>
    <cellStyle name="쉼표 [0] 4 2 3 2 30" xfId="488"/>
    <cellStyle name="쉼표 [0] 4 2 3 2 30 2" xfId="489"/>
    <cellStyle name="쉼표 [0] 4 2 3 2 30 2 2" xfId="3591"/>
    <cellStyle name="쉼표 [0] 4 2 3 2 30 2 2 2" xfId="9927"/>
    <cellStyle name="쉼표 [0] 4 2 3 2 30 2 2 2 2" xfId="22600"/>
    <cellStyle name="쉼표 [0] 4 2 3 2 30 2 2 2 2 2" xfId="47952"/>
    <cellStyle name="쉼표 [0] 4 2 3 2 30 2 2 2 3" xfId="35280"/>
    <cellStyle name="쉼표 [0] 4 2 3 2 30 2 2 3" xfId="16264"/>
    <cellStyle name="쉼표 [0] 4 2 3 2 30 2 2 3 2" xfId="41616"/>
    <cellStyle name="쉼표 [0] 4 2 3 2 30 2 2 4" xfId="28944"/>
    <cellStyle name="쉼표 [0] 4 2 3 2 30 2 2 5" xfId="51511"/>
    <cellStyle name="쉼표 [0] 4 2 3 2 30 2 3" xfId="6826"/>
    <cellStyle name="쉼표 [0] 4 2 3 2 30 2 3 2" xfId="19499"/>
    <cellStyle name="쉼표 [0] 4 2 3 2 30 2 3 2 2" xfId="44851"/>
    <cellStyle name="쉼표 [0] 4 2 3 2 30 2 3 3" xfId="32179"/>
    <cellStyle name="쉼표 [0] 4 2 3 2 30 2 4" xfId="13163"/>
    <cellStyle name="쉼표 [0] 4 2 3 2 30 2 4 2" xfId="38515"/>
    <cellStyle name="쉼표 [0] 4 2 3 2 30 2 5" xfId="25843"/>
    <cellStyle name="쉼표 [0] 4 2 3 2 30 2 6" xfId="51512"/>
    <cellStyle name="쉼표 [0] 4 2 3 2 30 3" xfId="3592"/>
    <cellStyle name="쉼표 [0] 4 2 3 2 30 3 2" xfId="9928"/>
    <cellStyle name="쉼표 [0] 4 2 3 2 30 3 2 2" xfId="22601"/>
    <cellStyle name="쉼표 [0] 4 2 3 2 30 3 2 2 2" xfId="47953"/>
    <cellStyle name="쉼표 [0] 4 2 3 2 30 3 2 3" xfId="35281"/>
    <cellStyle name="쉼표 [0] 4 2 3 2 30 3 3" xfId="16265"/>
    <cellStyle name="쉼표 [0] 4 2 3 2 30 3 3 2" xfId="41617"/>
    <cellStyle name="쉼표 [0] 4 2 3 2 30 3 4" xfId="28945"/>
    <cellStyle name="쉼표 [0] 4 2 3 2 30 3 5" xfId="51513"/>
    <cellStyle name="쉼표 [0] 4 2 3 2 30 4" xfId="6825"/>
    <cellStyle name="쉼표 [0] 4 2 3 2 30 4 2" xfId="19498"/>
    <cellStyle name="쉼표 [0] 4 2 3 2 30 4 2 2" xfId="44850"/>
    <cellStyle name="쉼표 [0] 4 2 3 2 30 4 3" xfId="32178"/>
    <cellStyle name="쉼표 [0] 4 2 3 2 30 5" xfId="13162"/>
    <cellStyle name="쉼표 [0] 4 2 3 2 30 5 2" xfId="38514"/>
    <cellStyle name="쉼표 [0] 4 2 3 2 30 6" xfId="25842"/>
    <cellStyle name="쉼표 [0] 4 2 3 2 30 7" xfId="51514"/>
    <cellStyle name="쉼표 [0] 4 2 3 2 31" xfId="490"/>
    <cellStyle name="쉼표 [0] 4 2 3 2 31 2" xfId="491"/>
    <cellStyle name="쉼표 [0] 4 2 3 2 31 2 2" xfId="3593"/>
    <cellStyle name="쉼표 [0] 4 2 3 2 31 2 2 2" xfId="9929"/>
    <cellStyle name="쉼표 [0] 4 2 3 2 31 2 2 2 2" xfId="22602"/>
    <cellStyle name="쉼표 [0] 4 2 3 2 31 2 2 2 2 2" xfId="47954"/>
    <cellStyle name="쉼표 [0] 4 2 3 2 31 2 2 2 3" xfId="35282"/>
    <cellStyle name="쉼표 [0] 4 2 3 2 31 2 2 3" xfId="16266"/>
    <cellStyle name="쉼표 [0] 4 2 3 2 31 2 2 3 2" xfId="41618"/>
    <cellStyle name="쉼표 [0] 4 2 3 2 31 2 2 4" xfId="28946"/>
    <cellStyle name="쉼표 [0] 4 2 3 2 31 2 2 5" xfId="51515"/>
    <cellStyle name="쉼표 [0] 4 2 3 2 31 2 3" xfId="6828"/>
    <cellStyle name="쉼표 [0] 4 2 3 2 31 2 3 2" xfId="19501"/>
    <cellStyle name="쉼표 [0] 4 2 3 2 31 2 3 2 2" xfId="44853"/>
    <cellStyle name="쉼표 [0] 4 2 3 2 31 2 3 3" xfId="32181"/>
    <cellStyle name="쉼표 [0] 4 2 3 2 31 2 4" xfId="13165"/>
    <cellStyle name="쉼표 [0] 4 2 3 2 31 2 4 2" xfId="38517"/>
    <cellStyle name="쉼표 [0] 4 2 3 2 31 2 5" xfId="25845"/>
    <cellStyle name="쉼표 [0] 4 2 3 2 31 2 6" xfId="51516"/>
    <cellStyle name="쉼표 [0] 4 2 3 2 31 3" xfId="3594"/>
    <cellStyle name="쉼표 [0] 4 2 3 2 31 3 2" xfId="9930"/>
    <cellStyle name="쉼표 [0] 4 2 3 2 31 3 2 2" xfId="22603"/>
    <cellStyle name="쉼표 [0] 4 2 3 2 31 3 2 2 2" xfId="47955"/>
    <cellStyle name="쉼표 [0] 4 2 3 2 31 3 2 3" xfId="35283"/>
    <cellStyle name="쉼표 [0] 4 2 3 2 31 3 3" xfId="16267"/>
    <cellStyle name="쉼표 [0] 4 2 3 2 31 3 3 2" xfId="41619"/>
    <cellStyle name="쉼표 [0] 4 2 3 2 31 3 4" xfId="28947"/>
    <cellStyle name="쉼표 [0] 4 2 3 2 31 3 5" xfId="51517"/>
    <cellStyle name="쉼표 [0] 4 2 3 2 31 4" xfId="6827"/>
    <cellStyle name="쉼표 [0] 4 2 3 2 31 4 2" xfId="19500"/>
    <cellStyle name="쉼표 [0] 4 2 3 2 31 4 2 2" xfId="44852"/>
    <cellStyle name="쉼표 [0] 4 2 3 2 31 4 3" xfId="32180"/>
    <cellStyle name="쉼표 [0] 4 2 3 2 31 5" xfId="13164"/>
    <cellStyle name="쉼표 [0] 4 2 3 2 31 5 2" xfId="38516"/>
    <cellStyle name="쉼표 [0] 4 2 3 2 31 6" xfId="25844"/>
    <cellStyle name="쉼표 [0] 4 2 3 2 31 7" xfId="51518"/>
    <cellStyle name="쉼표 [0] 4 2 3 2 32" xfId="492"/>
    <cellStyle name="쉼표 [0] 4 2 3 2 32 2" xfId="493"/>
    <cellStyle name="쉼표 [0] 4 2 3 2 32 2 2" xfId="3595"/>
    <cellStyle name="쉼표 [0] 4 2 3 2 32 2 2 2" xfId="9931"/>
    <cellStyle name="쉼표 [0] 4 2 3 2 32 2 2 2 2" xfId="22604"/>
    <cellStyle name="쉼표 [0] 4 2 3 2 32 2 2 2 2 2" xfId="47956"/>
    <cellStyle name="쉼표 [0] 4 2 3 2 32 2 2 2 3" xfId="35284"/>
    <cellStyle name="쉼표 [0] 4 2 3 2 32 2 2 3" xfId="16268"/>
    <cellStyle name="쉼표 [0] 4 2 3 2 32 2 2 3 2" xfId="41620"/>
    <cellStyle name="쉼표 [0] 4 2 3 2 32 2 2 4" xfId="28948"/>
    <cellStyle name="쉼표 [0] 4 2 3 2 32 2 2 5" xfId="51519"/>
    <cellStyle name="쉼표 [0] 4 2 3 2 32 2 3" xfId="6830"/>
    <cellStyle name="쉼표 [0] 4 2 3 2 32 2 3 2" xfId="19503"/>
    <cellStyle name="쉼표 [0] 4 2 3 2 32 2 3 2 2" xfId="44855"/>
    <cellStyle name="쉼표 [0] 4 2 3 2 32 2 3 3" xfId="32183"/>
    <cellStyle name="쉼표 [0] 4 2 3 2 32 2 4" xfId="13167"/>
    <cellStyle name="쉼표 [0] 4 2 3 2 32 2 4 2" xfId="38519"/>
    <cellStyle name="쉼표 [0] 4 2 3 2 32 2 5" xfId="25847"/>
    <cellStyle name="쉼표 [0] 4 2 3 2 32 2 6" xfId="51520"/>
    <cellStyle name="쉼표 [0] 4 2 3 2 32 3" xfId="3596"/>
    <cellStyle name="쉼표 [0] 4 2 3 2 32 3 2" xfId="9932"/>
    <cellStyle name="쉼표 [0] 4 2 3 2 32 3 2 2" xfId="22605"/>
    <cellStyle name="쉼표 [0] 4 2 3 2 32 3 2 2 2" xfId="47957"/>
    <cellStyle name="쉼표 [0] 4 2 3 2 32 3 2 3" xfId="35285"/>
    <cellStyle name="쉼표 [0] 4 2 3 2 32 3 3" xfId="16269"/>
    <cellStyle name="쉼표 [0] 4 2 3 2 32 3 3 2" xfId="41621"/>
    <cellStyle name="쉼표 [0] 4 2 3 2 32 3 4" xfId="28949"/>
    <cellStyle name="쉼표 [0] 4 2 3 2 32 3 5" xfId="51521"/>
    <cellStyle name="쉼표 [0] 4 2 3 2 32 4" xfId="6829"/>
    <cellStyle name="쉼표 [0] 4 2 3 2 32 4 2" xfId="19502"/>
    <cellStyle name="쉼표 [0] 4 2 3 2 32 4 2 2" xfId="44854"/>
    <cellStyle name="쉼표 [0] 4 2 3 2 32 4 3" xfId="32182"/>
    <cellStyle name="쉼표 [0] 4 2 3 2 32 5" xfId="13166"/>
    <cellStyle name="쉼표 [0] 4 2 3 2 32 5 2" xfId="38518"/>
    <cellStyle name="쉼표 [0] 4 2 3 2 32 6" xfId="25846"/>
    <cellStyle name="쉼표 [0] 4 2 3 2 32 7" xfId="51522"/>
    <cellStyle name="쉼표 [0] 4 2 3 2 33" xfId="494"/>
    <cellStyle name="쉼표 [0] 4 2 3 2 33 2" xfId="495"/>
    <cellStyle name="쉼표 [0] 4 2 3 2 33 2 2" xfId="3597"/>
    <cellStyle name="쉼표 [0] 4 2 3 2 33 2 2 2" xfId="9933"/>
    <cellStyle name="쉼표 [0] 4 2 3 2 33 2 2 2 2" xfId="22606"/>
    <cellStyle name="쉼표 [0] 4 2 3 2 33 2 2 2 2 2" xfId="47958"/>
    <cellStyle name="쉼표 [0] 4 2 3 2 33 2 2 2 3" xfId="35286"/>
    <cellStyle name="쉼표 [0] 4 2 3 2 33 2 2 3" xfId="16270"/>
    <cellStyle name="쉼표 [0] 4 2 3 2 33 2 2 3 2" xfId="41622"/>
    <cellStyle name="쉼표 [0] 4 2 3 2 33 2 2 4" xfId="28950"/>
    <cellStyle name="쉼표 [0] 4 2 3 2 33 2 2 5" xfId="51523"/>
    <cellStyle name="쉼표 [0] 4 2 3 2 33 2 3" xfId="6832"/>
    <cellStyle name="쉼표 [0] 4 2 3 2 33 2 3 2" xfId="19505"/>
    <cellStyle name="쉼표 [0] 4 2 3 2 33 2 3 2 2" xfId="44857"/>
    <cellStyle name="쉼표 [0] 4 2 3 2 33 2 3 3" xfId="32185"/>
    <cellStyle name="쉼표 [0] 4 2 3 2 33 2 4" xfId="13169"/>
    <cellStyle name="쉼표 [0] 4 2 3 2 33 2 4 2" xfId="38521"/>
    <cellStyle name="쉼표 [0] 4 2 3 2 33 2 5" xfId="25849"/>
    <cellStyle name="쉼표 [0] 4 2 3 2 33 2 6" xfId="51524"/>
    <cellStyle name="쉼표 [0] 4 2 3 2 33 3" xfId="3598"/>
    <cellStyle name="쉼표 [0] 4 2 3 2 33 3 2" xfId="9934"/>
    <cellStyle name="쉼표 [0] 4 2 3 2 33 3 2 2" xfId="22607"/>
    <cellStyle name="쉼표 [0] 4 2 3 2 33 3 2 2 2" xfId="47959"/>
    <cellStyle name="쉼표 [0] 4 2 3 2 33 3 2 3" xfId="35287"/>
    <cellStyle name="쉼표 [0] 4 2 3 2 33 3 3" xfId="16271"/>
    <cellStyle name="쉼표 [0] 4 2 3 2 33 3 3 2" xfId="41623"/>
    <cellStyle name="쉼표 [0] 4 2 3 2 33 3 4" xfId="28951"/>
    <cellStyle name="쉼표 [0] 4 2 3 2 33 3 5" xfId="51525"/>
    <cellStyle name="쉼표 [0] 4 2 3 2 33 4" xfId="6831"/>
    <cellStyle name="쉼표 [0] 4 2 3 2 33 4 2" xfId="19504"/>
    <cellStyle name="쉼표 [0] 4 2 3 2 33 4 2 2" xfId="44856"/>
    <cellStyle name="쉼표 [0] 4 2 3 2 33 4 3" xfId="32184"/>
    <cellStyle name="쉼표 [0] 4 2 3 2 33 5" xfId="13168"/>
    <cellStyle name="쉼표 [0] 4 2 3 2 33 5 2" xfId="38520"/>
    <cellStyle name="쉼표 [0] 4 2 3 2 33 6" xfId="25848"/>
    <cellStyle name="쉼표 [0] 4 2 3 2 33 7" xfId="51526"/>
    <cellStyle name="쉼표 [0] 4 2 3 2 34" xfId="496"/>
    <cellStyle name="쉼표 [0] 4 2 3 2 34 2" xfId="3599"/>
    <cellStyle name="쉼표 [0] 4 2 3 2 34 2 2" xfId="9935"/>
    <cellStyle name="쉼표 [0] 4 2 3 2 34 2 2 2" xfId="22608"/>
    <cellStyle name="쉼표 [0] 4 2 3 2 34 2 2 2 2" xfId="47960"/>
    <cellStyle name="쉼표 [0] 4 2 3 2 34 2 2 3" xfId="35288"/>
    <cellStyle name="쉼표 [0] 4 2 3 2 34 2 3" xfId="16272"/>
    <cellStyle name="쉼표 [0] 4 2 3 2 34 2 3 2" xfId="41624"/>
    <cellStyle name="쉼표 [0] 4 2 3 2 34 2 4" xfId="28952"/>
    <cellStyle name="쉼표 [0] 4 2 3 2 34 2 5" xfId="51527"/>
    <cellStyle name="쉼표 [0] 4 2 3 2 34 3" xfId="6833"/>
    <cellStyle name="쉼표 [0] 4 2 3 2 34 3 2" xfId="19506"/>
    <cellStyle name="쉼표 [0] 4 2 3 2 34 3 2 2" xfId="44858"/>
    <cellStyle name="쉼표 [0] 4 2 3 2 34 3 3" xfId="32186"/>
    <cellStyle name="쉼표 [0] 4 2 3 2 34 4" xfId="13170"/>
    <cellStyle name="쉼표 [0] 4 2 3 2 34 4 2" xfId="38522"/>
    <cellStyle name="쉼표 [0] 4 2 3 2 34 5" xfId="25850"/>
    <cellStyle name="쉼표 [0] 4 2 3 2 34 6" xfId="51528"/>
    <cellStyle name="쉼표 [0] 4 2 3 2 35" xfId="3600"/>
    <cellStyle name="쉼표 [0] 4 2 3 2 35 2" xfId="9936"/>
    <cellStyle name="쉼표 [0] 4 2 3 2 35 2 2" xfId="22609"/>
    <cellStyle name="쉼표 [0] 4 2 3 2 35 2 2 2" xfId="47961"/>
    <cellStyle name="쉼표 [0] 4 2 3 2 35 2 3" xfId="35289"/>
    <cellStyle name="쉼표 [0] 4 2 3 2 35 3" xfId="16273"/>
    <cellStyle name="쉼표 [0] 4 2 3 2 35 3 2" xfId="41625"/>
    <cellStyle name="쉼표 [0] 4 2 3 2 35 4" xfId="28953"/>
    <cellStyle name="쉼표 [0] 4 2 3 2 35 5" xfId="51529"/>
    <cellStyle name="쉼표 [0] 4 2 3 2 36" xfId="6399"/>
    <cellStyle name="쉼표 [0] 4 2 3 2 36 2" xfId="19072"/>
    <cellStyle name="쉼표 [0] 4 2 3 2 36 2 2" xfId="44424"/>
    <cellStyle name="쉼표 [0] 4 2 3 2 36 3" xfId="31752"/>
    <cellStyle name="쉼표 [0] 4 2 3 2 37" xfId="12736"/>
    <cellStyle name="쉼표 [0] 4 2 3 2 37 2" xfId="38088"/>
    <cellStyle name="쉼표 [0] 4 2 3 2 38" xfId="25416"/>
    <cellStyle name="쉼표 [0] 4 2 3 2 39" xfId="51530"/>
    <cellStyle name="쉼표 [0] 4 2 3 2 4" xfId="497"/>
    <cellStyle name="쉼표 [0] 4 2 3 2 4 2" xfId="498"/>
    <cellStyle name="쉼표 [0] 4 2 3 2 4 2 2" xfId="3601"/>
    <cellStyle name="쉼표 [0] 4 2 3 2 4 2 2 2" xfId="9937"/>
    <cellStyle name="쉼표 [0] 4 2 3 2 4 2 2 2 2" xfId="22610"/>
    <cellStyle name="쉼표 [0] 4 2 3 2 4 2 2 2 2 2" xfId="47962"/>
    <cellStyle name="쉼표 [0] 4 2 3 2 4 2 2 2 3" xfId="35290"/>
    <cellStyle name="쉼표 [0] 4 2 3 2 4 2 2 3" xfId="16274"/>
    <cellStyle name="쉼표 [0] 4 2 3 2 4 2 2 3 2" xfId="41626"/>
    <cellStyle name="쉼표 [0] 4 2 3 2 4 2 2 4" xfId="28954"/>
    <cellStyle name="쉼표 [0] 4 2 3 2 4 2 2 5" xfId="51531"/>
    <cellStyle name="쉼표 [0] 4 2 3 2 4 2 3" xfId="6835"/>
    <cellStyle name="쉼표 [0] 4 2 3 2 4 2 3 2" xfId="19508"/>
    <cellStyle name="쉼표 [0] 4 2 3 2 4 2 3 2 2" xfId="44860"/>
    <cellStyle name="쉼표 [0] 4 2 3 2 4 2 3 3" xfId="32188"/>
    <cellStyle name="쉼표 [0] 4 2 3 2 4 2 4" xfId="13172"/>
    <cellStyle name="쉼표 [0] 4 2 3 2 4 2 4 2" xfId="38524"/>
    <cellStyle name="쉼표 [0] 4 2 3 2 4 2 5" xfId="25852"/>
    <cellStyle name="쉼표 [0] 4 2 3 2 4 2 6" xfId="51532"/>
    <cellStyle name="쉼표 [0] 4 2 3 2 4 3" xfId="3602"/>
    <cellStyle name="쉼표 [0] 4 2 3 2 4 3 2" xfId="9938"/>
    <cellStyle name="쉼표 [0] 4 2 3 2 4 3 2 2" xfId="22611"/>
    <cellStyle name="쉼표 [0] 4 2 3 2 4 3 2 2 2" xfId="47963"/>
    <cellStyle name="쉼표 [0] 4 2 3 2 4 3 2 3" xfId="35291"/>
    <cellStyle name="쉼표 [0] 4 2 3 2 4 3 3" xfId="16275"/>
    <cellStyle name="쉼표 [0] 4 2 3 2 4 3 3 2" xfId="41627"/>
    <cellStyle name="쉼표 [0] 4 2 3 2 4 3 4" xfId="28955"/>
    <cellStyle name="쉼표 [0] 4 2 3 2 4 3 5" xfId="51533"/>
    <cellStyle name="쉼표 [0] 4 2 3 2 4 4" xfId="6834"/>
    <cellStyle name="쉼표 [0] 4 2 3 2 4 4 2" xfId="19507"/>
    <cellStyle name="쉼표 [0] 4 2 3 2 4 4 2 2" xfId="44859"/>
    <cellStyle name="쉼표 [0] 4 2 3 2 4 4 3" xfId="32187"/>
    <cellStyle name="쉼표 [0] 4 2 3 2 4 5" xfId="13171"/>
    <cellStyle name="쉼표 [0] 4 2 3 2 4 5 2" xfId="38523"/>
    <cellStyle name="쉼표 [0] 4 2 3 2 4 6" xfId="25851"/>
    <cellStyle name="쉼표 [0] 4 2 3 2 4 7" xfId="51534"/>
    <cellStyle name="쉼표 [0] 4 2 3 2 5" xfId="499"/>
    <cellStyle name="쉼표 [0] 4 2 3 2 5 2" xfId="500"/>
    <cellStyle name="쉼표 [0] 4 2 3 2 5 2 2" xfId="3603"/>
    <cellStyle name="쉼표 [0] 4 2 3 2 5 2 2 2" xfId="9939"/>
    <cellStyle name="쉼표 [0] 4 2 3 2 5 2 2 2 2" xfId="22612"/>
    <cellStyle name="쉼표 [0] 4 2 3 2 5 2 2 2 2 2" xfId="47964"/>
    <cellStyle name="쉼표 [0] 4 2 3 2 5 2 2 2 3" xfId="35292"/>
    <cellStyle name="쉼표 [0] 4 2 3 2 5 2 2 3" xfId="16276"/>
    <cellStyle name="쉼표 [0] 4 2 3 2 5 2 2 3 2" xfId="41628"/>
    <cellStyle name="쉼표 [0] 4 2 3 2 5 2 2 4" xfId="28956"/>
    <cellStyle name="쉼표 [0] 4 2 3 2 5 2 2 5" xfId="51535"/>
    <cellStyle name="쉼표 [0] 4 2 3 2 5 2 3" xfId="6837"/>
    <cellStyle name="쉼표 [0] 4 2 3 2 5 2 3 2" xfId="19510"/>
    <cellStyle name="쉼표 [0] 4 2 3 2 5 2 3 2 2" xfId="44862"/>
    <cellStyle name="쉼표 [0] 4 2 3 2 5 2 3 3" xfId="32190"/>
    <cellStyle name="쉼표 [0] 4 2 3 2 5 2 4" xfId="13174"/>
    <cellStyle name="쉼표 [0] 4 2 3 2 5 2 4 2" xfId="38526"/>
    <cellStyle name="쉼표 [0] 4 2 3 2 5 2 5" xfId="25854"/>
    <cellStyle name="쉼표 [0] 4 2 3 2 5 2 6" xfId="51536"/>
    <cellStyle name="쉼표 [0] 4 2 3 2 5 3" xfId="3604"/>
    <cellStyle name="쉼표 [0] 4 2 3 2 5 3 2" xfId="9940"/>
    <cellStyle name="쉼표 [0] 4 2 3 2 5 3 2 2" xfId="22613"/>
    <cellStyle name="쉼표 [0] 4 2 3 2 5 3 2 2 2" xfId="47965"/>
    <cellStyle name="쉼표 [0] 4 2 3 2 5 3 2 3" xfId="35293"/>
    <cellStyle name="쉼표 [0] 4 2 3 2 5 3 3" xfId="16277"/>
    <cellStyle name="쉼표 [0] 4 2 3 2 5 3 3 2" xfId="41629"/>
    <cellStyle name="쉼표 [0] 4 2 3 2 5 3 4" xfId="28957"/>
    <cellStyle name="쉼표 [0] 4 2 3 2 5 3 5" xfId="51537"/>
    <cellStyle name="쉼표 [0] 4 2 3 2 5 4" xfId="6836"/>
    <cellStyle name="쉼표 [0] 4 2 3 2 5 4 2" xfId="19509"/>
    <cellStyle name="쉼표 [0] 4 2 3 2 5 4 2 2" xfId="44861"/>
    <cellStyle name="쉼표 [0] 4 2 3 2 5 4 3" xfId="32189"/>
    <cellStyle name="쉼표 [0] 4 2 3 2 5 5" xfId="13173"/>
    <cellStyle name="쉼표 [0] 4 2 3 2 5 5 2" xfId="38525"/>
    <cellStyle name="쉼표 [0] 4 2 3 2 5 6" xfId="25853"/>
    <cellStyle name="쉼표 [0] 4 2 3 2 5 7" xfId="51538"/>
    <cellStyle name="쉼표 [0] 4 2 3 2 6" xfId="501"/>
    <cellStyle name="쉼표 [0] 4 2 3 2 6 2" xfId="502"/>
    <cellStyle name="쉼표 [0] 4 2 3 2 6 2 2" xfId="3605"/>
    <cellStyle name="쉼표 [0] 4 2 3 2 6 2 2 2" xfId="9941"/>
    <cellStyle name="쉼표 [0] 4 2 3 2 6 2 2 2 2" xfId="22614"/>
    <cellStyle name="쉼표 [0] 4 2 3 2 6 2 2 2 2 2" xfId="47966"/>
    <cellStyle name="쉼표 [0] 4 2 3 2 6 2 2 2 3" xfId="35294"/>
    <cellStyle name="쉼표 [0] 4 2 3 2 6 2 2 3" xfId="16278"/>
    <cellStyle name="쉼표 [0] 4 2 3 2 6 2 2 3 2" xfId="41630"/>
    <cellStyle name="쉼표 [0] 4 2 3 2 6 2 2 4" xfId="28958"/>
    <cellStyle name="쉼표 [0] 4 2 3 2 6 2 2 5" xfId="51539"/>
    <cellStyle name="쉼표 [0] 4 2 3 2 6 2 3" xfId="6839"/>
    <cellStyle name="쉼표 [0] 4 2 3 2 6 2 3 2" xfId="19512"/>
    <cellStyle name="쉼표 [0] 4 2 3 2 6 2 3 2 2" xfId="44864"/>
    <cellStyle name="쉼표 [0] 4 2 3 2 6 2 3 3" xfId="32192"/>
    <cellStyle name="쉼표 [0] 4 2 3 2 6 2 4" xfId="13176"/>
    <cellStyle name="쉼표 [0] 4 2 3 2 6 2 4 2" xfId="38528"/>
    <cellStyle name="쉼표 [0] 4 2 3 2 6 2 5" xfId="25856"/>
    <cellStyle name="쉼표 [0] 4 2 3 2 6 2 6" xfId="51540"/>
    <cellStyle name="쉼표 [0] 4 2 3 2 6 3" xfId="3606"/>
    <cellStyle name="쉼표 [0] 4 2 3 2 6 3 2" xfId="9942"/>
    <cellStyle name="쉼표 [0] 4 2 3 2 6 3 2 2" xfId="22615"/>
    <cellStyle name="쉼표 [0] 4 2 3 2 6 3 2 2 2" xfId="47967"/>
    <cellStyle name="쉼표 [0] 4 2 3 2 6 3 2 3" xfId="35295"/>
    <cellStyle name="쉼표 [0] 4 2 3 2 6 3 3" xfId="16279"/>
    <cellStyle name="쉼표 [0] 4 2 3 2 6 3 3 2" xfId="41631"/>
    <cellStyle name="쉼표 [0] 4 2 3 2 6 3 4" xfId="28959"/>
    <cellStyle name="쉼표 [0] 4 2 3 2 6 3 5" xfId="51541"/>
    <cellStyle name="쉼표 [0] 4 2 3 2 6 4" xfId="6838"/>
    <cellStyle name="쉼표 [0] 4 2 3 2 6 4 2" xfId="19511"/>
    <cellStyle name="쉼표 [0] 4 2 3 2 6 4 2 2" xfId="44863"/>
    <cellStyle name="쉼표 [0] 4 2 3 2 6 4 3" xfId="32191"/>
    <cellStyle name="쉼표 [0] 4 2 3 2 6 5" xfId="13175"/>
    <cellStyle name="쉼표 [0] 4 2 3 2 6 5 2" xfId="38527"/>
    <cellStyle name="쉼표 [0] 4 2 3 2 6 6" xfId="25855"/>
    <cellStyle name="쉼표 [0] 4 2 3 2 6 7" xfId="51542"/>
    <cellStyle name="쉼표 [0] 4 2 3 2 7" xfId="503"/>
    <cellStyle name="쉼표 [0] 4 2 3 2 7 2" xfId="504"/>
    <cellStyle name="쉼표 [0] 4 2 3 2 7 2 2" xfId="3607"/>
    <cellStyle name="쉼표 [0] 4 2 3 2 7 2 2 2" xfId="9943"/>
    <cellStyle name="쉼표 [0] 4 2 3 2 7 2 2 2 2" xfId="22616"/>
    <cellStyle name="쉼표 [0] 4 2 3 2 7 2 2 2 2 2" xfId="47968"/>
    <cellStyle name="쉼표 [0] 4 2 3 2 7 2 2 2 3" xfId="35296"/>
    <cellStyle name="쉼표 [0] 4 2 3 2 7 2 2 3" xfId="16280"/>
    <cellStyle name="쉼표 [0] 4 2 3 2 7 2 2 3 2" xfId="41632"/>
    <cellStyle name="쉼표 [0] 4 2 3 2 7 2 2 4" xfId="28960"/>
    <cellStyle name="쉼표 [0] 4 2 3 2 7 2 2 5" xfId="51543"/>
    <cellStyle name="쉼표 [0] 4 2 3 2 7 2 3" xfId="6841"/>
    <cellStyle name="쉼표 [0] 4 2 3 2 7 2 3 2" xfId="19514"/>
    <cellStyle name="쉼표 [0] 4 2 3 2 7 2 3 2 2" xfId="44866"/>
    <cellStyle name="쉼표 [0] 4 2 3 2 7 2 3 3" xfId="32194"/>
    <cellStyle name="쉼표 [0] 4 2 3 2 7 2 4" xfId="13178"/>
    <cellStyle name="쉼표 [0] 4 2 3 2 7 2 4 2" xfId="38530"/>
    <cellStyle name="쉼표 [0] 4 2 3 2 7 2 5" xfId="25858"/>
    <cellStyle name="쉼표 [0] 4 2 3 2 7 2 6" xfId="51544"/>
    <cellStyle name="쉼표 [0] 4 2 3 2 7 3" xfId="3608"/>
    <cellStyle name="쉼표 [0] 4 2 3 2 7 3 2" xfId="9944"/>
    <cellStyle name="쉼표 [0] 4 2 3 2 7 3 2 2" xfId="22617"/>
    <cellStyle name="쉼표 [0] 4 2 3 2 7 3 2 2 2" xfId="47969"/>
    <cellStyle name="쉼표 [0] 4 2 3 2 7 3 2 3" xfId="35297"/>
    <cellStyle name="쉼표 [0] 4 2 3 2 7 3 3" xfId="16281"/>
    <cellStyle name="쉼표 [0] 4 2 3 2 7 3 3 2" xfId="41633"/>
    <cellStyle name="쉼표 [0] 4 2 3 2 7 3 4" xfId="28961"/>
    <cellStyle name="쉼표 [0] 4 2 3 2 7 3 5" xfId="51545"/>
    <cellStyle name="쉼표 [0] 4 2 3 2 7 4" xfId="6840"/>
    <cellStyle name="쉼표 [0] 4 2 3 2 7 4 2" xfId="19513"/>
    <cellStyle name="쉼표 [0] 4 2 3 2 7 4 2 2" xfId="44865"/>
    <cellStyle name="쉼표 [0] 4 2 3 2 7 4 3" xfId="32193"/>
    <cellStyle name="쉼표 [0] 4 2 3 2 7 5" xfId="13177"/>
    <cellStyle name="쉼표 [0] 4 2 3 2 7 5 2" xfId="38529"/>
    <cellStyle name="쉼표 [0] 4 2 3 2 7 6" xfId="25857"/>
    <cellStyle name="쉼표 [0] 4 2 3 2 7 7" xfId="51546"/>
    <cellStyle name="쉼표 [0] 4 2 3 2 8" xfId="505"/>
    <cellStyle name="쉼표 [0] 4 2 3 2 8 2" xfId="506"/>
    <cellStyle name="쉼표 [0] 4 2 3 2 8 2 2" xfId="3609"/>
    <cellStyle name="쉼표 [0] 4 2 3 2 8 2 2 2" xfId="9945"/>
    <cellStyle name="쉼표 [0] 4 2 3 2 8 2 2 2 2" xfId="22618"/>
    <cellStyle name="쉼표 [0] 4 2 3 2 8 2 2 2 2 2" xfId="47970"/>
    <cellStyle name="쉼표 [0] 4 2 3 2 8 2 2 2 3" xfId="35298"/>
    <cellStyle name="쉼표 [0] 4 2 3 2 8 2 2 3" xfId="16282"/>
    <cellStyle name="쉼표 [0] 4 2 3 2 8 2 2 3 2" xfId="41634"/>
    <cellStyle name="쉼표 [0] 4 2 3 2 8 2 2 4" xfId="28962"/>
    <cellStyle name="쉼표 [0] 4 2 3 2 8 2 2 5" xfId="51547"/>
    <cellStyle name="쉼표 [0] 4 2 3 2 8 2 3" xfId="6843"/>
    <cellStyle name="쉼표 [0] 4 2 3 2 8 2 3 2" xfId="19516"/>
    <cellStyle name="쉼표 [0] 4 2 3 2 8 2 3 2 2" xfId="44868"/>
    <cellStyle name="쉼표 [0] 4 2 3 2 8 2 3 3" xfId="32196"/>
    <cellStyle name="쉼표 [0] 4 2 3 2 8 2 4" xfId="13180"/>
    <cellStyle name="쉼표 [0] 4 2 3 2 8 2 4 2" xfId="38532"/>
    <cellStyle name="쉼표 [0] 4 2 3 2 8 2 5" xfId="25860"/>
    <cellStyle name="쉼표 [0] 4 2 3 2 8 2 6" xfId="51548"/>
    <cellStyle name="쉼표 [0] 4 2 3 2 8 3" xfId="3610"/>
    <cellStyle name="쉼표 [0] 4 2 3 2 8 3 2" xfId="9946"/>
    <cellStyle name="쉼표 [0] 4 2 3 2 8 3 2 2" xfId="22619"/>
    <cellStyle name="쉼표 [0] 4 2 3 2 8 3 2 2 2" xfId="47971"/>
    <cellStyle name="쉼표 [0] 4 2 3 2 8 3 2 3" xfId="35299"/>
    <cellStyle name="쉼표 [0] 4 2 3 2 8 3 3" xfId="16283"/>
    <cellStyle name="쉼표 [0] 4 2 3 2 8 3 3 2" xfId="41635"/>
    <cellStyle name="쉼표 [0] 4 2 3 2 8 3 4" xfId="28963"/>
    <cellStyle name="쉼표 [0] 4 2 3 2 8 3 5" xfId="51549"/>
    <cellStyle name="쉼표 [0] 4 2 3 2 8 4" xfId="6842"/>
    <cellStyle name="쉼표 [0] 4 2 3 2 8 4 2" xfId="19515"/>
    <cellStyle name="쉼표 [0] 4 2 3 2 8 4 2 2" xfId="44867"/>
    <cellStyle name="쉼표 [0] 4 2 3 2 8 4 3" xfId="32195"/>
    <cellStyle name="쉼표 [0] 4 2 3 2 8 5" xfId="13179"/>
    <cellStyle name="쉼표 [0] 4 2 3 2 8 5 2" xfId="38531"/>
    <cellStyle name="쉼표 [0] 4 2 3 2 8 6" xfId="25859"/>
    <cellStyle name="쉼표 [0] 4 2 3 2 8 7" xfId="51550"/>
    <cellStyle name="쉼표 [0] 4 2 3 2 9" xfId="507"/>
    <cellStyle name="쉼표 [0] 4 2 3 2 9 2" xfId="508"/>
    <cellStyle name="쉼표 [0] 4 2 3 2 9 2 2" xfId="3611"/>
    <cellStyle name="쉼표 [0] 4 2 3 2 9 2 2 2" xfId="9947"/>
    <cellStyle name="쉼표 [0] 4 2 3 2 9 2 2 2 2" xfId="22620"/>
    <cellStyle name="쉼표 [0] 4 2 3 2 9 2 2 2 2 2" xfId="47972"/>
    <cellStyle name="쉼표 [0] 4 2 3 2 9 2 2 2 3" xfId="35300"/>
    <cellStyle name="쉼표 [0] 4 2 3 2 9 2 2 3" xfId="16284"/>
    <cellStyle name="쉼표 [0] 4 2 3 2 9 2 2 3 2" xfId="41636"/>
    <cellStyle name="쉼표 [0] 4 2 3 2 9 2 2 4" xfId="28964"/>
    <cellStyle name="쉼표 [0] 4 2 3 2 9 2 2 5" xfId="51551"/>
    <cellStyle name="쉼표 [0] 4 2 3 2 9 2 3" xfId="6845"/>
    <cellStyle name="쉼표 [0] 4 2 3 2 9 2 3 2" xfId="19518"/>
    <cellStyle name="쉼표 [0] 4 2 3 2 9 2 3 2 2" xfId="44870"/>
    <cellStyle name="쉼표 [0] 4 2 3 2 9 2 3 3" xfId="32198"/>
    <cellStyle name="쉼표 [0] 4 2 3 2 9 2 4" xfId="13182"/>
    <cellStyle name="쉼표 [0] 4 2 3 2 9 2 4 2" xfId="38534"/>
    <cellStyle name="쉼표 [0] 4 2 3 2 9 2 5" xfId="25862"/>
    <cellStyle name="쉼표 [0] 4 2 3 2 9 2 6" xfId="51552"/>
    <cellStyle name="쉼표 [0] 4 2 3 2 9 3" xfId="3612"/>
    <cellStyle name="쉼표 [0] 4 2 3 2 9 3 2" xfId="9948"/>
    <cellStyle name="쉼표 [0] 4 2 3 2 9 3 2 2" xfId="22621"/>
    <cellStyle name="쉼표 [0] 4 2 3 2 9 3 2 2 2" xfId="47973"/>
    <cellStyle name="쉼표 [0] 4 2 3 2 9 3 2 3" xfId="35301"/>
    <cellStyle name="쉼표 [0] 4 2 3 2 9 3 3" xfId="16285"/>
    <cellStyle name="쉼표 [0] 4 2 3 2 9 3 3 2" xfId="41637"/>
    <cellStyle name="쉼표 [0] 4 2 3 2 9 3 4" xfId="28965"/>
    <cellStyle name="쉼표 [0] 4 2 3 2 9 3 5" xfId="51553"/>
    <cellStyle name="쉼표 [0] 4 2 3 2 9 4" xfId="6844"/>
    <cellStyle name="쉼표 [0] 4 2 3 2 9 4 2" xfId="19517"/>
    <cellStyle name="쉼표 [0] 4 2 3 2 9 4 2 2" xfId="44869"/>
    <cellStyle name="쉼표 [0] 4 2 3 2 9 4 3" xfId="32197"/>
    <cellStyle name="쉼표 [0] 4 2 3 2 9 5" xfId="13181"/>
    <cellStyle name="쉼표 [0] 4 2 3 2 9 5 2" xfId="38533"/>
    <cellStyle name="쉼표 [0] 4 2 3 2 9 6" xfId="25861"/>
    <cellStyle name="쉼표 [0] 4 2 3 2 9 7" xfId="51554"/>
    <cellStyle name="쉼표 [0] 4 2 3 20" xfId="509"/>
    <cellStyle name="쉼표 [0] 4 2 3 20 2" xfId="510"/>
    <cellStyle name="쉼표 [0] 4 2 3 20 2 2" xfId="3613"/>
    <cellStyle name="쉼표 [0] 4 2 3 20 2 2 2" xfId="9949"/>
    <cellStyle name="쉼표 [0] 4 2 3 20 2 2 2 2" xfId="22622"/>
    <cellStyle name="쉼표 [0] 4 2 3 20 2 2 2 2 2" xfId="47974"/>
    <cellStyle name="쉼표 [0] 4 2 3 20 2 2 2 3" xfId="35302"/>
    <cellStyle name="쉼표 [0] 4 2 3 20 2 2 3" xfId="16286"/>
    <cellStyle name="쉼표 [0] 4 2 3 20 2 2 3 2" xfId="41638"/>
    <cellStyle name="쉼표 [0] 4 2 3 20 2 2 4" xfId="28966"/>
    <cellStyle name="쉼표 [0] 4 2 3 20 2 2 5" xfId="51555"/>
    <cellStyle name="쉼표 [0] 4 2 3 20 2 3" xfId="6847"/>
    <cellStyle name="쉼표 [0] 4 2 3 20 2 3 2" xfId="19520"/>
    <cellStyle name="쉼표 [0] 4 2 3 20 2 3 2 2" xfId="44872"/>
    <cellStyle name="쉼표 [0] 4 2 3 20 2 3 3" xfId="32200"/>
    <cellStyle name="쉼표 [0] 4 2 3 20 2 4" xfId="13184"/>
    <cellStyle name="쉼표 [0] 4 2 3 20 2 4 2" xfId="38536"/>
    <cellStyle name="쉼표 [0] 4 2 3 20 2 5" xfId="25864"/>
    <cellStyle name="쉼표 [0] 4 2 3 20 2 6" xfId="51556"/>
    <cellStyle name="쉼표 [0] 4 2 3 20 3" xfId="3614"/>
    <cellStyle name="쉼표 [0] 4 2 3 20 3 2" xfId="9950"/>
    <cellStyle name="쉼표 [0] 4 2 3 20 3 2 2" xfId="22623"/>
    <cellStyle name="쉼표 [0] 4 2 3 20 3 2 2 2" xfId="47975"/>
    <cellStyle name="쉼표 [0] 4 2 3 20 3 2 3" xfId="35303"/>
    <cellStyle name="쉼표 [0] 4 2 3 20 3 3" xfId="16287"/>
    <cellStyle name="쉼표 [0] 4 2 3 20 3 3 2" xfId="41639"/>
    <cellStyle name="쉼표 [0] 4 2 3 20 3 4" xfId="28967"/>
    <cellStyle name="쉼표 [0] 4 2 3 20 3 5" xfId="51557"/>
    <cellStyle name="쉼표 [0] 4 2 3 20 4" xfId="6846"/>
    <cellStyle name="쉼표 [0] 4 2 3 20 4 2" xfId="19519"/>
    <cellStyle name="쉼표 [0] 4 2 3 20 4 2 2" xfId="44871"/>
    <cellStyle name="쉼표 [0] 4 2 3 20 4 3" xfId="32199"/>
    <cellStyle name="쉼표 [0] 4 2 3 20 5" xfId="13183"/>
    <cellStyle name="쉼표 [0] 4 2 3 20 5 2" xfId="38535"/>
    <cellStyle name="쉼표 [0] 4 2 3 20 6" xfId="25863"/>
    <cellStyle name="쉼표 [0] 4 2 3 20 7" xfId="51558"/>
    <cellStyle name="쉼표 [0] 4 2 3 21" xfId="511"/>
    <cellStyle name="쉼표 [0] 4 2 3 21 2" xfId="512"/>
    <cellStyle name="쉼표 [0] 4 2 3 21 2 2" xfId="3615"/>
    <cellStyle name="쉼표 [0] 4 2 3 21 2 2 2" xfId="9951"/>
    <cellStyle name="쉼표 [0] 4 2 3 21 2 2 2 2" xfId="22624"/>
    <cellStyle name="쉼표 [0] 4 2 3 21 2 2 2 2 2" xfId="47976"/>
    <cellStyle name="쉼표 [0] 4 2 3 21 2 2 2 3" xfId="35304"/>
    <cellStyle name="쉼표 [0] 4 2 3 21 2 2 3" xfId="16288"/>
    <cellStyle name="쉼표 [0] 4 2 3 21 2 2 3 2" xfId="41640"/>
    <cellStyle name="쉼표 [0] 4 2 3 21 2 2 4" xfId="28968"/>
    <cellStyle name="쉼표 [0] 4 2 3 21 2 2 5" xfId="51559"/>
    <cellStyle name="쉼표 [0] 4 2 3 21 2 3" xfId="6849"/>
    <cellStyle name="쉼표 [0] 4 2 3 21 2 3 2" xfId="19522"/>
    <cellStyle name="쉼표 [0] 4 2 3 21 2 3 2 2" xfId="44874"/>
    <cellStyle name="쉼표 [0] 4 2 3 21 2 3 3" xfId="32202"/>
    <cellStyle name="쉼표 [0] 4 2 3 21 2 4" xfId="13186"/>
    <cellStyle name="쉼표 [0] 4 2 3 21 2 4 2" xfId="38538"/>
    <cellStyle name="쉼표 [0] 4 2 3 21 2 5" xfId="25866"/>
    <cellStyle name="쉼표 [0] 4 2 3 21 2 6" xfId="51560"/>
    <cellStyle name="쉼표 [0] 4 2 3 21 3" xfId="3616"/>
    <cellStyle name="쉼표 [0] 4 2 3 21 3 2" xfId="9952"/>
    <cellStyle name="쉼표 [0] 4 2 3 21 3 2 2" xfId="22625"/>
    <cellStyle name="쉼표 [0] 4 2 3 21 3 2 2 2" xfId="47977"/>
    <cellStyle name="쉼표 [0] 4 2 3 21 3 2 3" xfId="35305"/>
    <cellStyle name="쉼표 [0] 4 2 3 21 3 3" xfId="16289"/>
    <cellStyle name="쉼표 [0] 4 2 3 21 3 3 2" xfId="41641"/>
    <cellStyle name="쉼표 [0] 4 2 3 21 3 4" xfId="28969"/>
    <cellStyle name="쉼표 [0] 4 2 3 21 3 5" xfId="51561"/>
    <cellStyle name="쉼표 [0] 4 2 3 21 4" xfId="6848"/>
    <cellStyle name="쉼표 [0] 4 2 3 21 4 2" xfId="19521"/>
    <cellStyle name="쉼표 [0] 4 2 3 21 4 2 2" xfId="44873"/>
    <cellStyle name="쉼표 [0] 4 2 3 21 4 3" xfId="32201"/>
    <cellStyle name="쉼표 [0] 4 2 3 21 5" xfId="13185"/>
    <cellStyle name="쉼표 [0] 4 2 3 21 5 2" xfId="38537"/>
    <cellStyle name="쉼표 [0] 4 2 3 21 6" xfId="25865"/>
    <cellStyle name="쉼표 [0] 4 2 3 21 7" xfId="51562"/>
    <cellStyle name="쉼표 [0] 4 2 3 22" xfId="513"/>
    <cellStyle name="쉼표 [0] 4 2 3 22 2" xfId="514"/>
    <cellStyle name="쉼표 [0] 4 2 3 22 2 2" xfId="3617"/>
    <cellStyle name="쉼표 [0] 4 2 3 22 2 2 2" xfId="9953"/>
    <cellStyle name="쉼표 [0] 4 2 3 22 2 2 2 2" xfId="22626"/>
    <cellStyle name="쉼표 [0] 4 2 3 22 2 2 2 2 2" xfId="47978"/>
    <cellStyle name="쉼표 [0] 4 2 3 22 2 2 2 3" xfId="35306"/>
    <cellStyle name="쉼표 [0] 4 2 3 22 2 2 3" xfId="16290"/>
    <cellStyle name="쉼표 [0] 4 2 3 22 2 2 3 2" xfId="41642"/>
    <cellStyle name="쉼표 [0] 4 2 3 22 2 2 4" xfId="28970"/>
    <cellStyle name="쉼표 [0] 4 2 3 22 2 2 5" xfId="51563"/>
    <cellStyle name="쉼표 [0] 4 2 3 22 2 3" xfId="6851"/>
    <cellStyle name="쉼표 [0] 4 2 3 22 2 3 2" xfId="19524"/>
    <cellStyle name="쉼표 [0] 4 2 3 22 2 3 2 2" xfId="44876"/>
    <cellStyle name="쉼표 [0] 4 2 3 22 2 3 3" xfId="32204"/>
    <cellStyle name="쉼표 [0] 4 2 3 22 2 4" xfId="13188"/>
    <cellStyle name="쉼표 [0] 4 2 3 22 2 4 2" xfId="38540"/>
    <cellStyle name="쉼표 [0] 4 2 3 22 2 5" xfId="25868"/>
    <cellStyle name="쉼표 [0] 4 2 3 22 2 6" xfId="51564"/>
    <cellStyle name="쉼표 [0] 4 2 3 22 3" xfId="3618"/>
    <cellStyle name="쉼표 [0] 4 2 3 22 3 2" xfId="9954"/>
    <cellStyle name="쉼표 [0] 4 2 3 22 3 2 2" xfId="22627"/>
    <cellStyle name="쉼표 [0] 4 2 3 22 3 2 2 2" xfId="47979"/>
    <cellStyle name="쉼표 [0] 4 2 3 22 3 2 3" xfId="35307"/>
    <cellStyle name="쉼표 [0] 4 2 3 22 3 3" xfId="16291"/>
    <cellStyle name="쉼표 [0] 4 2 3 22 3 3 2" xfId="41643"/>
    <cellStyle name="쉼표 [0] 4 2 3 22 3 4" xfId="28971"/>
    <cellStyle name="쉼표 [0] 4 2 3 22 3 5" xfId="51565"/>
    <cellStyle name="쉼표 [0] 4 2 3 22 4" xfId="6850"/>
    <cellStyle name="쉼표 [0] 4 2 3 22 4 2" xfId="19523"/>
    <cellStyle name="쉼표 [0] 4 2 3 22 4 2 2" xfId="44875"/>
    <cellStyle name="쉼표 [0] 4 2 3 22 4 3" xfId="32203"/>
    <cellStyle name="쉼표 [0] 4 2 3 22 5" xfId="13187"/>
    <cellStyle name="쉼표 [0] 4 2 3 22 5 2" xfId="38539"/>
    <cellStyle name="쉼표 [0] 4 2 3 22 6" xfId="25867"/>
    <cellStyle name="쉼표 [0] 4 2 3 22 7" xfId="51566"/>
    <cellStyle name="쉼표 [0] 4 2 3 23" xfId="515"/>
    <cellStyle name="쉼표 [0] 4 2 3 23 2" xfId="516"/>
    <cellStyle name="쉼표 [0] 4 2 3 23 2 2" xfId="3619"/>
    <cellStyle name="쉼표 [0] 4 2 3 23 2 2 2" xfId="9955"/>
    <cellStyle name="쉼표 [0] 4 2 3 23 2 2 2 2" xfId="22628"/>
    <cellStyle name="쉼표 [0] 4 2 3 23 2 2 2 2 2" xfId="47980"/>
    <cellStyle name="쉼표 [0] 4 2 3 23 2 2 2 3" xfId="35308"/>
    <cellStyle name="쉼표 [0] 4 2 3 23 2 2 3" xfId="16292"/>
    <cellStyle name="쉼표 [0] 4 2 3 23 2 2 3 2" xfId="41644"/>
    <cellStyle name="쉼표 [0] 4 2 3 23 2 2 4" xfId="28972"/>
    <cellStyle name="쉼표 [0] 4 2 3 23 2 2 5" xfId="51567"/>
    <cellStyle name="쉼표 [0] 4 2 3 23 2 3" xfId="6853"/>
    <cellStyle name="쉼표 [0] 4 2 3 23 2 3 2" xfId="19526"/>
    <cellStyle name="쉼표 [0] 4 2 3 23 2 3 2 2" xfId="44878"/>
    <cellStyle name="쉼표 [0] 4 2 3 23 2 3 3" xfId="32206"/>
    <cellStyle name="쉼표 [0] 4 2 3 23 2 4" xfId="13190"/>
    <cellStyle name="쉼표 [0] 4 2 3 23 2 4 2" xfId="38542"/>
    <cellStyle name="쉼표 [0] 4 2 3 23 2 5" xfId="25870"/>
    <cellStyle name="쉼표 [0] 4 2 3 23 2 6" xfId="51568"/>
    <cellStyle name="쉼표 [0] 4 2 3 23 3" xfId="3620"/>
    <cellStyle name="쉼표 [0] 4 2 3 23 3 2" xfId="9956"/>
    <cellStyle name="쉼표 [0] 4 2 3 23 3 2 2" xfId="22629"/>
    <cellStyle name="쉼표 [0] 4 2 3 23 3 2 2 2" xfId="47981"/>
    <cellStyle name="쉼표 [0] 4 2 3 23 3 2 3" xfId="35309"/>
    <cellStyle name="쉼표 [0] 4 2 3 23 3 3" xfId="16293"/>
    <cellStyle name="쉼표 [0] 4 2 3 23 3 3 2" xfId="41645"/>
    <cellStyle name="쉼표 [0] 4 2 3 23 3 4" xfId="28973"/>
    <cellStyle name="쉼표 [0] 4 2 3 23 3 5" xfId="51569"/>
    <cellStyle name="쉼표 [0] 4 2 3 23 4" xfId="6852"/>
    <cellStyle name="쉼표 [0] 4 2 3 23 4 2" xfId="19525"/>
    <cellStyle name="쉼표 [0] 4 2 3 23 4 2 2" xfId="44877"/>
    <cellStyle name="쉼표 [0] 4 2 3 23 4 3" xfId="32205"/>
    <cellStyle name="쉼표 [0] 4 2 3 23 5" xfId="13189"/>
    <cellStyle name="쉼표 [0] 4 2 3 23 5 2" xfId="38541"/>
    <cellStyle name="쉼표 [0] 4 2 3 23 6" xfId="25869"/>
    <cellStyle name="쉼표 [0] 4 2 3 23 7" xfId="51570"/>
    <cellStyle name="쉼표 [0] 4 2 3 24" xfId="517"/>
    <cellStyle name="쉼표 [0] 4 2 3 24 2" xfId="518"/>
    <cellStyle name="쉼표 [0] 4 2 3 24 2 2" xfId="3621"/>
    <cellStyle name="쉼표 [0] 4 2 3 24 2 2 2" xfId="9957"/>
    <cellStyle name="쉼표 [0] 4 2 3 24 2 2 2 2" xfId="22630"/>
    <cellStyle name="쉼표 [0] 4 2 3 24 2 2 2 2 2" xfId="47982"/>
    <cellStyle name="쉼표 [0] 4 2 3 24 2 2 2 3" xfId="35310"/>
    <cellStyle name="쉼표 [0] 4 2 3 24 2 2 3" xfId="16294"/>
    <cellStyle name="쉼표 [0] 4 2 3 24 2 2 3 2" xfId="41646"/>
    <cellStyle name="쉼표 [0] 4 2 3 24 2 2 4" xfId="28974"/>
    <cellStyle name="쉼표 [0] 4 2 3 24 2 2 5" xfId="51571"/>
    <cellStyle name="쉼표 [0] 4 2 3 24 2 3" xfId="6855"/>
    <cellStyle name="쉼표 [0] 4 2 3 24 2 3 2" xfId="19528"/>
    <cellStyle name="쉼표 [0] 4 2 3 24 2 3 2 2" xfId="44880"/>
    <cellStyle name="쉼표 [0] 4 2 3 24 2 3 3" xfId="32208"/>
    <cellStyle name="쉼표 [0] 4 2 3 24 2 4" xfId="13192"/>
    <cellStyle name="쉼표 [0] 4 2 3 24 2 4 2" xfId="38544"/>
    <cellStyle name="쉼표 [0] 4 2 3 24 2 5" xfId="25872"/>
    <cellStyle name="쉼표 [0] 4 2 3 24 2 6" xfId="51572"/>
    <cellStyle name="쉼표 [0] 4 2 3 24 3" xfId="3622"/>
    <cellStyle name="쉼표 [0] 4 2 3 24 3 2" xfId="9958"/>
    <cellStyle name="쉼표 [0] 4 2 3 24 3 2 2" xfId="22631"/>
    <cellStyle name="쉼표 [0] 4 2 3 24 3 2 2 2" xfId="47983"/>
    <cellStyle name="쉼표 [0] 4 2 3 24 3 2 3" xfId="35311"/>
    <cellStyle name="쉼표 [0] 4 2 3 24 3 3" xfId="16295"/>
    <cellStyle name="쉼표 [0] 4 2 3 24 3 3 2" xfId="41647"/>
    <cellStyle name="쉼표 [0] 4 2 3 24 3 4" xfId="28975"/>
    <cellStyle name="쉼표 [0] 4 2 3 24 3 5" xfId="51573"/>
    <cellStyle name="쉼표 [0] 4 2 3 24 4" xfId="6854"/>
    <cellStyle name="쉼표 [0] 4 2 3 24 4 2" xfId="19527"/>
    <cellStyle name="쉼표 [0] 4 2 3 24 4 2 2" xfId="44879"/>
    <cellStyle name="쉼표 [0] 4 2 3 24 4 3" xfId="32207"/>
    <cellStyle name="쉼표 [0] 4 2 3 24 5" xfId="13191"/>
    <cellStyle name="쉼표 [0] 4 2 3 24 5 2" xfId="38543"/>
    <cellStyle name="쉼표 [0] 4 2 3 24 6" xfId="25871"/>
    <cellStyle name="쉼표 [0] 4 2 3 24 7" xfId="51574"/>
    <cellStyle name="쉼표 [0] 4 2 3 25" xfId="519"/>
    <cellStyle name="쉼표 [0] 4 2 3 25 2" xfId="520"/>
    <cellStyle name="쉼표 [0] 4 2 3 25 2 2" xfId="3623"/>
    <cellStyle name="쉼표 [0] 4 2 3 25 2 2 2" xfId="9959"/>
    <cellStyle name="쉼표 [0] 4 2 3 25 2 2 2 2" xfId="22632"/>
    <cellStyle name="쉼표 [0] 4 2 3 25 2 2 2 2 2" xfId="47984"/>
    <cellStyle name="쉼표 [0] 4 2 3 25 2 2 2 3" xfId="35312"/>
    <cellStyle name="쉼표 [0] 4 2 3 25 2 2 3" xfId="16296"/>
    <cellStyle name="쉼표 [0] 4 2 3 25 2 2 3 2" xfId="41648"/>
    <cellStyle name="쉼표 [0] 4 2 3 25 2 2 4" xfId="28976"/>
    <cellStyle name="쉼표 [0] 4 2 3 25 2 2 5" xfId="51575"/>
    <cellStyle name="쉼표 [0] 4 2 3 25 2 3" xfId="6857"/>
    <cellStyle name="쉼표 [0] 4 2 3 25 2 3 2" xfId="19530"/>
    <cellStyle name="쉼표 [0] 4 2 3 25 2 3 2 2" xfId="44882"/>
    <cellStyle name="쉼표 [0] 4 2 3 25 2 3 3" xfId="32210"/>
    <cellStyle name="쉼표 [0] 4 2 3 25 2 4" xfId="13194"/>
    <cellStyle name="쉼표 [0] 4 2 3 25 2 4 2" xfId="38546"/>
    <cellStyle name="쉼표 [0] 4 2 3 25 2 5" xfId="25874"/>
    <cellStyle name="쉼표 [0] 4 2 3 25 2 6" xfId="51576"/>
    <cellStyle name="쉼표 [0] 4 2 3 25 3" xfId="3624"/>
    <cellStyle name="쉼표 [0] 4 2 3 25 3 2" xfId="9960"/>
    <cellStyle name="쉼표 [0] 4 2 3 25 3 2 2" xfId="22633"/>
    <cellStyle name="쉼표 [0] 4 2 3 25 3 2 2 2" xfId="47985"/>
    <cellStyle name="쉼표 [0] 4 2 3 25 3 2 3" xfId="35313"/>
    <cellStyle name="쉼표 [0] 4 2 3 25 3 3" xfId="16297"/>
    <cellStyle name="쉼표 [0] 4 2 3 25 3 3 2" xfId="41649"/>
    <cellStyle name="쉼표 [0] 4 2 3 25 3 4" xfId="28977"/>
    <cellStyle name="쉼표 [0] 4 2 3 25 3 5" xfId="51577"/>
    <cellStyle name="쉼표 [0] 4 2 3 25 4" xfId="6856"/>
    <cellStyle name="쉼표 [0] 4 2 3 25 4 2" xfId="19529"/>
    <cellStyle name="쉼표 [0] 4 2 3 25 4 2 2" xfId="44881"/>
    <cellStyle name="쉼표 [0] 4 2 3 25 4 3" xfId="32209"/>
    <cellStyle name="쉼표 [0] 4 2 3 25 5" xfId="13193"/>
    <cellStyle name="쉼표 [0] 4 2 3 25 5 2" xfId="38545"/>
    <cellStyle name="쉼표 [0] 4 2 3 25 6" xfId="25873"/>
    <cellStyle name="쉼표 [0] 4 2 3 25 7" xfId="51578"/>
    <cellStyle name="쉼표 [0] 4 2 3 26" xfId="521"/>
    <cellStyle name="쉼표 [0] 4 2 3 26 2" xfId="522"/>
    <cellStyle name="쉼표 [0] 4 2 3 26 2 2" xfId="3625"/>
    <cellStyle name="쉼표 [0] 4 2 3 26 2 2 2" xfId="9961"/>
    <cellStyle name="쉼표 [0] 4 2 3 26 2 2 2 2" xfId="22634"/>
    <cellStyle name="쉼표 [0] 4 2 3 26 2 2 2 2 2" xfId="47986"/>
    <cellStyle name="쉼표 [0] 4 2 3 26 2 2 2 3" xfId="35314"/>
    <cellStyle name="쉼표 [0] 4 2 3 26 2 2 3" xfId="16298"/>
    <cellStyle name="쉼표 [0] 4 2 3 26 2 2 3 2" xfId="41650"/>
    <cellStyle name="쉼표 [0] 4 2 3 26 2 2 4" xfId="28978"/>
    <cellStyle name="쉼표 [0] 4 2 3 26 2 2 5" xfId="51579"/>
    <cellStyle name="쉼표 [0] 4 2 3 26 2 3" xfId="6859"/>
    <cellStyle name="쉼표 [0] 4 2 3 26 2 3 2" xfId="19532"/>
    <cellStyle name="쉼표 [0] 4 2 3 26 2 3 2 2" xfId="44884"/>
    <cellStyle name="쉼표 [0] 4 2 3 26 2 3 3" xfId="32212"/>
    <cellStyle name="쉼표 [0] 4 2 3 26 2 4" xfId="13196"/>
    <cellStyle name="쉼표 [0] 4 2 3 26 2 4 2" xfId="38548"/>
    <cellStyle name="쉼표 [0] 4 2 3 26 2 5" xfId="25876"/>
    <cellStyle name="쉼표 [0] 4 2 3 26 2 6" xfId="51580"/>
    <cellStyle name="쉼표 [0] 4 2 3 26 3" xfId="3626"/>
    <cellStyle name="쉼표 [0] 4 2 3 26 3 2" xfId="9962"/>
    <cellStyle name="쉼표 [0] 4 2 3 26 3 2 2" xfId="22635"/>
    <cellStyle name="쉼표 [0] 4 2 3 26 3 2 2 2" xfId="47987"/>
    <cellStyle name="쉼표 [0] 4 2 3 26 3 2 3" xfId="35315"/>
    <cellStyle name="쉼표 [0] 4 2 3 26 3 3" xfId="16299"/>
    <cellStyle name="쉼표 [0] 4 2 3 26 3 3 2" xfId="41651"/>
    <cellStyle name="쉼표 [0] 4 2 3 26 3 4" xfId="28979"/>
    <cellStyle name="쉼표 [0] 4 2 3 26 3 5" xfId="51581"/>
    <cellStyle name="쉼표 [0] 4 2 3 26 4" xfId="6858"/>
    <cellStyle name="쉼표 [0] 4 2 3 26 4 2" xfId="19531"/>
    <cellStyle name="쉼표 [0] 4 2 3 26 4 2 2" xfId="44883"/>
    <cellStyle name="쉼표 [0] 4 2 3 26 4 3" xfId="32211"/>
    <cellStyle name="쉼표 [0] 4 2 3 26 5" xfId="13195"/>
    <cellStyle name="쉼표 [0] 4 2 3 26 5 2" xfId="38547"/>
    <cellStyle name="쉼표 [0] 4 2 3 26 6" xfId="25875"/>
    <cellStyle name="쉼표 [0] 4 2 3 26 7" xfId="51582"/>
    <cellStyle name="쉼표 [0] 4 2 3 27" xfId="523"/>
    <cellStyle name="쉼표 [0] 4 2 3 27 2" xfId="524"/>
    <cellStyle name="쉼표 [0] 4 2 3 27 2 2" xfId="3627"/>
    <cellStyle name="쉼표 [0] 4 2 3 27 2 2 2" xfId="9963"/>
    <cellStyle name="쉼표 [0] 4 2 3 27 2 2 2 2" xfId="22636"/>
    <cellStyle name="쉼표 [0] 4 2 3 27 2 2 2 2 2" xfId="47988"/>
    <cellStyle name="쉼표 [0] 4 2 3 27 2 2 2 3" xfId="35316"/>
    <cellStyle name="쉼표 [0] 4 2 3 27 2 2 3" xfId="16300"/>
    <cellStyle name="쉼표 [0] 4 2 3 27 2 2 3 2" xfId="41652"/>
    <cellStyle name="쉼표 [0] 4 2 3 27 2 2 4" xfId="28980"/>
    <cellStyle name="쉼표 [0] 4 2 3 27 2 2 5" xfId="51583"/>
    <cellStyle name="쉼표 [0] 4 2 3 27 2 3" xfId="6861"/>
    <cellStyle name="쉼표 [0] 4 2 3 27 2 3 2" xfId="19534"/>
    <cellStyle name="쉼표 [0] 4 2 3 27 2 3 2 2" xfId="44886"/>
    <cellStyle name="쉼표 [0] 4 2 3 27 2 3 3" xfId="32214"/>
    <cellStyle name="쉼표 [0] 4 2 3 27 2 4" xfId="13198"/>
    <cellStyle name="쉼표 [0] 4 2 3 27 2 4 2" xfId="38550"/>
    <cellStyle name="쉼표 [0] 4 2 3 27 2 5" xfId="25878"/>
    <cellStyle name="쉼표 [0] 4 2 3 27 2 6" xfId="51584"/>
    <cellStyle name="쉼표 [0] 4 2 3 27 3" xfId="3628"/>
    <cellStyle name="쉼표 [0] 4 2 3 27 3 2" xfId="9964"/>
    <cellStyle name="쉼표 [0] 4 2 3 27 3 2 2" xfId="22637"/>
    <cellStyle name="쉼표 [0] 4 2 3 27 3 2 2 2" xfId="47989"/>
    <cellStyle name="쉼표 [0] 4 2 3 27 3 2 3" xfId="35317"/>
    <cellStyle name="쉼표 [0] 4 2 3 27 3 3" xfId="16301"/>
    <cellStyle name="쉼표 [0] 4 2 3 27 3 3 2" xfId="41653"/>
    <cellStyle name="쉼표 [0] 4 2 3 27 3 4" xfId="28981"/>
    <cellStyle name="쉼표 [0] 4 2 3 27 3 5" xfId="51585"/>
    <cellStyle name="쉼표 [0] 4 2 3 27 4" xfId="6860"/>
    <cellStyle name="쉼표 [0] 4 2 3 27 4 2" xfId="19533"/>
    <cellStyle name="쉼표 [0] 4 2 3 27 4 2 2" xfId="44885"/>
    <cellStyle name="쉼표 [0] 4 2 3 27 4 3" xfId="32213"/>
    <cellStyle name="쉼표 [0] 4 2 3 27 5" xfId="13197"/>
    <cellStyle name="쉼표 [0] 4 2 3 27 5 2" xfId="38549"/>
    <cellStyle name="쉼표 [0] 4 2 3 27 6" xfId="25877"/>
    <cellStyle name="쉼표 [0] 4 2 3 27 7" xfId="51586"/>
    <cellStyle name="쉼표 [0] 4 2 3 28" xfId="525"/>
    <cellStyle name="쉼표 [0] 4 2 3 28 2" xfId="526"/>
    <cellStyle name="쉼표 [0] 4 2 3 28 2 2" xfId="3629"/>
    <cellStyle name="쉼표 [0] 4 2 3 28 2 2 2" xfId="9965"/>
    <cellStyle name="쉼표 [0] 4 2 3 28 2 2 2 2" xfId="22638"/>
    <cellStyle name="쉼표 [0] 4 2 3 28 2 2 2 2 2" xfId="47990"/>
    <cellStyle name="쉼표 [0] 4 2 3 28 2 2 2 3" xfId="35318"/>
    <cellStyle name="쉼표 [0] 4 2 3 28 2 2 3" xfId="16302"/>
    <cellStyle name="쉼표 [0] 4 2 3 28 2 2 3 2" xfId="41654"/>
    <cellStyle name="쉼표 [0] 4 2 3 28 2 2 4" xfId="28982"/>
    <cellStyle name="쉼표 [0] 4 2 3 28 2 2 5" xfId="51587"/>
    <cellStyle name="쉼표 [0] 4 2 3 28 2 3" xfId="6863"/>
    <cellStyle name="쉼표 [0] 4 2 3 28 2 3 2" xfId="19536"/>
    <cellStyle name="쉼표 [0] 4 2 3 28 2 3 2 2" xfId="44888"/>
    <cellStyle name="쉼표 [0] 4 2 3 28 2 3 3" xfId="32216"/>
    <cellStyle name="쉼표 [0] 4 2 3 28 2 4" xfId="13200"/>
    <cellStyle name="쉼표 [0] 4 2 3 28 2 4 2" xfId="38552"/>
    <cellStyle name="쉼표 [0] 4 2 3 28 2 5" xfId="25880"/>
    <cellStyle name="쉼표 [0] 4 2 3 28 2 6" xfId="51588"/>
    <cellStyle name="쉼표 [0] 4 2 3 28 3" xfId="3630"/>
    <cellStyle name="쉼표 [0] 4 2 3 28 3 2" xfId="9966"/>
    <cellStyle name="쉼표 [0] 4 2 3 28 3 2 2" xfId="22639"/>
    <cellStyle name="쉼표 [0] 4 2 3 28 3 2 2 2" xfId="47991"/>
    <cellStyle name="쉼표 [0] 4 2 3 28 3 2 3" xfId="35319"/>
    <cellStyle name="쉼표 [0] 4 2 3 28 3 3" xfId="16303"/>
    <cellStyle name="쉼표 [0] 4 2 3 28 3 3 2" xfId="41655"/>
    <cellStyle name="쉼표 [0] 4 2 3 28 3 4" xfId="28983"/>
    <cellStyle name="쉼표 [0] 4 2 3 28 3 5" xfId="51589"/>
    <cellStyle name="쉼표 [0] 4 2 3 28 4" xfId="6862"/>
    <cellStyle name="쉼표 [0] 4 2 3 28 4 2" xfId="19535"/>
    <cellStyle name="쉼표 [0] 4 2 3 28 4 2 2" xfId="44887"/>
    <cellStyle name="쉼표 [0] 4 2 3 28 4 3" xfId="32215"/>
    <cellStyle name="쉼표 [0] 4 2 3 28 5" xfId="13199"/>
    <cellStyle name="쉼표 [0] 4 2 3 28 5 2" xfId="38551"/>
    <cellStyle name="쉼표 [0] 4 2 3 28 6" xfId="25879"/>
    <cellStyle name="쉼표 [0] 4 2 3 28 7" xfId="51590"/>
    <cellStyle name="쉼표 [0] 4 2 3 29" xfId="527"/>
    <cellStyle name="쉼표 [0] 4 2 3 29 2" xfId="528"/>
    <cellStyle name="쉼표 [0] 4 2 3 29 2 2" xfId="3631"/>
    <cellStyle name="쉼표 [0] 4 2 3 29 2 2 2" xfId="9967"/>
    <cellStyle name="쉼표 [0] 4 2 3 29 2 2 2 2" xfId="22640"/>
    <cellStyle name="쉼표 [0] 4 2 3 29 2 2 2 2 2" xfId="47992"/>
    <cellStyle name="쉼표 [0] 4 2 3 29 2 2 2 3" xfId="35320"/>
    <cellStyle name="쉼표 [0] 4 2 3 29 2 2 3" xfId="16304"/>
    <cellStyle name="쉼표 [0] 4 2 3 29 2 2 3 2" xfId="41656"/>
    <cellStyle name="쉼표 [0] 4 2 3 29 2 2 4" xfId="28984"/>
    <cellStyle name="쉼표 [0] 4 2 3 29 2 2 5" xfId="51591"/>
    <cellStyle name="쉼표 [0] 4 2 3 29 2 3" xfId="6865"/>
    <cellStyle name="쉼표 [0] 4 2 3 29 2 3 2" xfId="19538"/>
    <cellStyle name="쉼표 [0] 4 2 3 29 2 3 2 2" xfId="44890"/>
    <cellStyle name="쉼표 [0] 4 2 3 29 2 3 3" xfId="32218"/>
    <cellStyle name="쉼표 [0] 4 2 3 29 2 4" xfId="13202"/>
    <cellStyle name="쉼표 [0] 4 2 3 29 2 4 2" xfId="38554"/>
    <cellStyle name="쉼표 [0] 4 2 3 29 2 5" xfId="25882"/>
    <cellStyle name="쉼표 [0] 4 2 3 29 2 6" xfId="51592"/>
    <cellStyle name="쉼표 [0] 4 2 3 29 3" xfId="3632"/>
    <cellStyle name="쉼표 [0] 4 2 3 29 3 2" xfId="9968"/>
    <cellStyle name="쉼표 [0] 4 2 3 29 3 2 2" xfId="22641"/>
    <cellStyle name="쉼표 [0] 4 2 3 29 3 2 2 2" xfId="47993"/>
    <cellStyle name="쉼표 [0] 4 2 3 29 3 2 3" xfId="35321"/>
    <cellStyle name="쉼표 [0] 4 2 3 29 3 3" xfId="16305"/>
    <cellStyle name="쉼표 [0] 4 2 3 29 3 3 2" xfId="41657"/>
    <cellStyle name="쉼표 [0] 4 2 3 29 3 4" xfId="28985"/>
    <cellStyle name="쉼표 [0] 4 2 3 29 3 5" xfId="51593"/>
    <cellStyle name="쉼표 [0] 4 2 3 29 4" xfId="6864"/>
    <cellStyle name="쉼표 [0] 4 2 3 29 4 2" xfId="19537"/>
    <cellStyle name="쉼표 [0] 4 2 3 29 4 2 2" xfId="44889"/>
    <cellStyle name="쉼표 [0] 4 2 3 29 4 3" xfId="32217"/>
    <cellStyle name="쉼표 [0] 4 2 3 29 5" xfId="13201"/>
    <cellStyle name="쉼표 [0] 4 2 3 29 5 2" xfId="38553"/>
    <cellStyle name="쉼표 [0] 4 2 3 29 6" xfId="25881"/>
    <cellStyle name="쉼표 [0] 4 2 3 29 7" xfId="51594"/>
    <cellStyle name="쉼표 [0] 4 2 3 3" xfId="62"/>
    <cellStyle name="쉼표 [0] 4 2 3 3 2" xfId="529"/>
    <cellStyle name="쉼표 [0] 4 2 3 3 2 2" xfId="3633"/>
    <cellStyle name="쉼표 [0] 4 2 3 3 2 2 2" xfId="9969"/>
    <cellStyle name="쉼표 [0] 4 2 3 3 2 2 2 2" xfId="22642"/>
    <cellStyle name="쉼표 [0] 4 2 3 3 2 2 2 2 2" xfId="47994"/>
    <cellStyle name="쉼표 [0] 4 2 3 3 2 2 2 3" xfId="35322"/>
    <cellStyle name="쉼표 [0] 4 2 3 3 2 2 3" xfId="16306"/>
    <cellStyle name="쉼표 [0] 4 2 3 3 2 2 3 2" xfId="41658"/>
    <cellStyle name="쉼표 [0] 4 2 3 3 2 2 4" xfId="28986"/>
    <cellStyle name="쉼표 [0] 4 2 3 3 2 2 5" xfId="51595"/>
    <cellStyle name="쉼표 [0] 4 2 3 3 2 3" xfId="6866"/>
    <cellStyle name="쉼표 [0] 4 2 3 3 2 3 2" xfId="19539"/>
    <cellStyle name="쉼표 [0] 4 2 3 3 2 3 2 2" xfId="44891"/>
    <cellStyle name="쉼표 [0] 4 2 3 3 2 3 3" xfId="32219"/>
    <cellStyle name="쉼표 [0] 4 2 3 3 2 4" xfId="13203"/>
    <cellStyle name="쉼표 [0] 4 2 3 3 2 4 2" xfId="38555"/>
    <cellStyle name="쉼표 [0] 4 2 3 3 2 5" xfId="25883"/>
    <cellStyle name="쉼표 [0] 4 2 3 3 2 6" xfId="51596"/>
    <cellStyle name="쉼표 [0] 4 2 3 3 3" xfId="3634"/>
    <cellStyle name="쉼표 [0] 4 2 3 3 3 2" xfId="9970"/>
    <cellStyle name="쉼표 [0] 4 2 3 3 3 2 2" xfId="22643"/>
    <cellStyle name="쉼표 [0] 4 2 3 3 3 2 2 2" xfId="47995"/>
    <cellStyle name="쉼표 [0] 4 2 3 3 3 2 3" xfId="35323"/>
    <cellStyle name="쉼표 [0] 4 2 3 3 3 3" xfId="16307"/>
    <cellStyle name="쉼표 [0] 4 2 3 3 3 3 2" xfId="41659"/>
    <cellStyle name="쉼표 [0] 4 2 3 3 3 4" xfId="28987"/>
    <cellStyle name="쉼표 [0] 4 2 3 3 3 5" xfId="51597"/>
    <cellStyle name="쉼표 [0] 4 2 3 3 4" xfId="6400"/>
    <cellStyle name="쉼표 [0] 4 2 3 3 4 2" xfId="19073"/>
    <cellStyle name="쉼표 [0] 4 2 3 3 4 2 2" xfId="44425"/>
    <cellStyle name="쉼표 [0] 4 2 3 3 4 3" xfId="31753"/>
    <cellStyle name="쉼표 [0] 4 2 3 3 5" xfId="12737"/>
    <cellStyle name="쉼표 [0] 4 2 3 3 5 2" xfId="38089"/>
    <cellStyle name="쉼표 [0] 4 2 3 3 6" xfId="25417"/>
    <cellStyle name="쉼표 [0] 4 2 3 3 7" xfId="51598"/>
    <cellStyle name="쉼표 [0] 4 2 3 30" xfId="530"/>
    <cellStyle name="쉼표 [0] 4 2 3 30 2" xfId="531"/>
    <cellStyle name="쉼표 [0] 4 2 3 30 2 2" xfId="3635"/>
    <cellStyle name="쉼표 [0] 4 2 3 30 2 2 2" xfId="9971"/>
    <cellStyle name="쉼표 [0] 4 2 3 30 2 2 2 2" xfId="22644"/>
    <cellStyle name="쉼표 [0] 4 2 3 30 2 2 2 2 2" xfId="47996"/>
    <cellStyle name="쉼표 [0] 4 2 3 30 2 2 2 3" xfId="35324"/>
    <cellStyle name="쉼표 [0] 4 2 3 30 2 2 3" xfId="16308"/>
    <cellStyle name="쉼표 [0] 4 2 3 30 2 2 3 2" xfId="41660"/>
    <cellStyle name="쉼표 [0] 4 2 3 30 2 2 4" xfId="28988"/>
    <cellStyle name="쉼표 [0] 4 2 3 30 2 2 5" xfId="51599"/>
    <cellStyle name="쉼표 [0] 4 2 3 30 2 3" xfId="6868"/>
    <cellStyle name="쉼표 [0] 4 2 3 30 2 3 2" xfId="19541"/>
    <cellStyle name="쉼표 [0] 4 2 3 30 2 3 2 2" xfId="44893"/>
    <cellStyle name="쉼표 [0] 4 2 3 30 2 3 3" xfId="32221"/>
    <cellStyle name="쉼표 [0] 4 2 3 30 2 4" xfId="13205"/>
    <cellStyle name="쉼표 [0] 4 2 3 30 2 4 2" xfId="38557"/>
    <cellStyle name="쉼표 [0] 4 2 3 30 2 5" xfId="25885"/>
    <cellStyle name="쉼표 [0] 4 2 3 30 2 6" xfId="51600"/>
    <cellStyle name="쉼표 [0] 4 2 3 30 3" xfId="3636"/>
    <cellStyle name="쉼표 [0] 4 2 3 30 3 2" xfId="9972"/>
    <cellStyle name="쉼표 [0] 4 2 3 30 3 2 2" xfId="22645"/>
    <cellStyle name="쉼표 [0] 4 2 3 30 3 2 2 2" xfId="47997"/>
    <cellStyle name="쉼표 [0] 4 2 3 30 3 2 3" xfId="35325"/>
    <cellStyle name="쉼표 [0] 4 2 3 30 3 3" xfId="16309"/>
    <cellStyle name="쉼표 [0] 4 2 3 30 3 3 2" xfId="41661"/>
    <cellStyle name="쉼표 [0] 4 2 3 30 3 4" xfId="28989"/>
    <cellStyle name="쉼표 [0] 4 2 3 30 3 5" xfId="51601"/>
    <cellStyle name="쉼표 [0] 4 2 3 30 4" xfId="6867"/>
    <cellStyle name="쉼표 [0] 4 2 3 30 4 2" xfId="19540"/>
    <cellStyle name="쉼표 [0] 4 2 3 30 4 2 2" xfId="44892"/>
    <cellStyle name="쉼표 [0] 4 2 3 30 4 3" xfId="32220"/>
    <cellStyle name="쉼표 [0] 4 2 3 30 5" xfId="13204"/>
    <cellStyle name="쉼표 [0] 4 2 3 30 5 2" xfId="38556"/>
    <cellStyle name="쉼표 [0] 4 2 3 30 6" xfId="25884"/>
    <cellStyle name="쉼표 [0] 4 2 3 30 7" xfId="51602"/>
    <cellStyle name="쉼표 [0] 4 2 3 31" xfId="532"/>
    <cellStyle name="쉼표 [0] 4 2 3 31 2" xfId="533"/>
    <cellStyle name="쉼표 [0] 4 2 3 31 2 2" xfId="3637"/>
    <cellStyle name="쉼표 [0] 4 2 3 31 2 2 2" xfId="9973"/>
    <cellStyle name="쉼표 [0] 4 2 3 31 2 2 2 2" xfId="22646"/>
    <cellStyle name="쉼표 [0] 4 2 3 31 2 2 2 2 2" xfId="47998"/>
    <cellStyle name="쉼표 [0] 4 2 3 31 2 2 2 3" xfId="35326"/>
    <cellStyle name="쉼표 [0] 4 2 3 31 2 2 3" xfId="16310"/>
    <cellStyle name="쉼표 [0] 4 2 3 31 2 2 3 2" xfId="41662"/>
    <cellStyle name="쉼표 [0] 4 2 3 31 2 2 4" xfId="28990"/>
    <cellStyle name="쉼표 [0] 4 2 3 31 2 2 5" xfId="51603"/>
    <cellStyle name="쉼표 [0] 4 2 3 31 2 3" xfId="6870"/>
    <cellStyle name="쉼표 [0] 4 2 3 31 2 3 2" xfId="19543"/>
    <cellStyle name="쉼표 [0] 4 2 3 31 2 3 2 2" xfId="44895"/>
    <cellStyle name="쉼표 [0] 4 2 3 31 2 3 3" xfId="32223"/>
    <cellStyle name="쉼표 [0] 4 2 3 31 2 4" xfId="13207"/>
    <cellStyle name="쉼표 [0] 4 2 3 31 2 4 2" xfId="38559"/>
    <cellStyle name="쉼표 [0] 4 2 3 31 2 5" xfId="25887"/>
    <cellStyle name="쉼표 [0] 4 2 3 31 2 6" xfId="51604"/>
    <cellStyle name="쉼표 [0] 4 2 3 31 3" xfId="3638"/>
    <cellStyle name="쉼표 [0] 4 2 3 31 3 2" xfId="9974"/>
    <cellStyle name="쉼표 [0] 4 2 3 31 3 2 2" xfId="22647"/>
    <cellStyle name="쉼표 [0] 4 2 3 31 3 2 2 2" xfId="47999"/>
    <cellStyle name="쉼표 [0] 4 2 3 31 3 2 3" xfId="35327"/>
    <cellStyle name="쉼표 [0] 4 2 3 31 3 3" xfId="16311"/>
    <cellStyle name="쉼표 [0] 4 2 3 31 3 3 2" xfId="41663"/>
    <cellStyle name="쉼표 [0] 4 2 3 31 3 4" xfId="28991"/>
    <cellStyle name="쉼표 [0] 4 2 3 31 3 5" xfId="51605"/>
    <cellStyle name="쉼표 [0] 4 2 3 31 4" xfId="6869"/>
    <cellStyle name="쉼표 [0] 4 2 3 31 4 2" xfId="19542"/>
    <cellStyle name="쉼표 [0] 4 2 3 31 4 2 2" xfId="44894"/>
    <cellStyle name="쉼표 [0] 4 2 3 31 4 3" xfId="32222"/>
    <cellStyle name="쉼표 [0] 4 2 3 31 5" xfId="13206"/>
    <cellStyle name="쉼표 [0] 4 2 3 31 5 2" xfId="38558"/>
    <cellStyle name="쉼표 [0] 4 2 3 31 6" xfId="25886"/>
    <cellStyle name="쉼표 [0] 4 2 3 31 7" xfId="51606"/>
    <cellStyle name="쉼표 [0] 4 2 3 32" xfId="534"/>
    <cellStyle name="쉼표 [0] 4 2 3 32 2" xfId="535"/>
    <cellStyle name="쉼표 [0] 4 2 3 32 2 2" xfId="3639"/>
    <cellStyle name="쉼표 [0] 4 2 3 32 2 2 2" xfId="9975"/>
    <cellStyle name="쉼표 [0] 4 2 3 32 2 2 2 2" xfId="22648"/>
    <cellStyle name="쉼표 [0] 4 2 3 32 2 2 2 2 2" xfId="48000"/>
    <cellStyle name="쉼표 [0] 4 2 3 32 2 2 2 3" xfId="35328"/>
    <cellStyle name="쉼표 [0] 4 2 3 32 2 2 3" xfId="16312"/>
    <cellStyle name="쉼표 [0] 4 2 3 32 2 2 3 2" xfId="41664"/>
    <cellStyle name="쉼표 [0] 4 2 3 32 2 2 4" xfId="28992"/>
    <cellStyle name="쉼표 [0] 4 2 3 32 2 2 5" xfId="51607"/>
    <cellStyle name="쉼표 [0] 4 2 3 32 2 3" xfId="6872"/>
    <cellStyle name="쉼표 [0] 4 2 3 32 2 3 2" xfId="19545"/>
    <cellStyle name="쉼표 [0] 4 2 3 32 2 3 2 2" xfId="44897"/>
    <cellStyle name="쉼표 [0] 4 2 3 32 2 3 3" xfId="32225"/>
    <cellStyle name="쉼표 [0] 4 2 3 32 2 4" xfId="13209"/>
    <cellStyle name="쉼표 [0] 4 2 3 32 2 4 2" xfId="38561"/>
    <cellStyle name="쉼표 [0] 4 2 3 32 2 5" xfId="25889"/>
    <cellStyle name="쉼표 [0] 4 2 3 32 2 6" xfId="51608"/>
    <cellStyle name="쉼표 [0] 4 2 3 32 3" xfId="3640"/>
    <cellStyle name="쉼표 [0] 4 2 3 32 3 2" xfId="9976"/>
    <cellStyle name="쉼표 [0] 4 2 3 32 3 2 2" xfId="22649"/>
    <cellStyle name="쉼표 [0] 4 2 3 32 3 2 2 2" xfId="48001"/>
    <cellStyle name="쉼표 [0] 4 2 3 32 3 2 3" xfId="35329"/>
    <cellStyle name="쉼표 [0] 4 2 3 32 3 3" xfId="16313"/>
    <cellStyle name="쉼표 [0] 4 2 3 32 3 3 2" xfId="41665"/>
    <cellStyle name="쉼표 [0] 4 2 3 32 3 4" xfId="28993"/>
    <cellStyle name="쉼표 [0] 4 2 3 32 3 5" xfId="51609"/>
    <cellStyle name="쉼표 [0] 4 2 3 32 4" xfId="6871"/>
    <cellStyle name="쉼표 [0] 4 2 3 32 4 2" xfId="19544"/>
    <cellStyle name="쉼표 [0] 4 2 3 32 4 2 2" xfId="44896"/>
    <cellStyle name="쉼표 [0] 4 2 3 32 4 3" xfId="32224"/>
    <cellStyle name="쉼표 [0] 4 2 3 32 5" xfId="13208"/>
    <cellStyle name="쉼표 [0] 4 2 3 32 5 2" xfId="38560"/>
    <cellStyle name="쉼표 [0] 4 2 3 32 6" xfId="25888"/>
    <cellStyle name="쉼표 [0] 4 2 3 32 7" xfId="51610"/>
    <cellStyle name="쉼표 [0] 4 2 3 33" xfId="536"/>
    <cellStyle name="쉼표 [0] 4 2 3 33 2" xfId="537"/>
    <cellStyle name="쉼표 [0] 4 2 3 33 2 2" xfId="3641"/>
    <cellStyle name="쉼표 [0] 4 2 3 33 2 2 2" xfId="9977"/>
    <cellStyle name="쉼표 [0] 4 2 3 33 2 2 2 2" xfId="22650"/>
    <cellStyle name="쉼표 [0] 4 2 3 33 2 2 2 2 2" xfId="48002"/>
    <cellStyle name="쉼표 [0] 4 2 3 33 2 2 2 3" xfId="35330"/>
    <cellStyle name="쉼표 [0] 4 2 3 33 2 2 3" xfId="16314"/>
    <cellStyle name="쉼표 [0] 4 2 3 33 2 2 3 2" xfId="41666"/>
    <cellStyle name="쉼표 [0] 4 2 3 33 2 2 4" xfId="28994"/>
    <cellStyle name="쉼표 [0] 4 2 3 33 2 2 5" xfId="51611"/>
    <cellStyle name="쉼표 [0] 4 2 3 33 2 3" xfId="6874"/>
    <cellStyle name="쉼표 [0] 4 2 3 33 2 3 2" xfId="19547"/>
    <cellStyle name="쉼표 [0] 4 2 3 33 2 3 2 2" xfId="44899"/>
    <cellStyle name="쉼표 [0] 4 2 3 33 2 3 3" xfId="32227"/>
    <cellStyle name="쉼표 [0] 4 2 3 33 2 4" xfId="13211"/>
    <cellStyle name="쉼표 [0] 4 2 3 33 2 4 2" xfId="38563"/>
    <cellStyle name="쉼표 [0] 4 2 3 33 2 5" xfId="25891"/>
    <cellStyle name="쉼표 [0] 4 2 3 33 2 6" xfId="51612"/>
    <cellStyle name="쉼표 [0] 4 2 3 33 3" xfId="3642"/>
    <cellStyle name="쉼표 [0] 4 2 3 33 3 2" xfId="9978"/>
    <cellStyle name="쉼표 [0] 4 2 3 33 3 2 2" xfId="22651"/>
    <cellStyle name="쉼표 [0] 4 2 3 33 3 2 2 2" xfId="48003"/>
    <cellStyle name="쉼표 [0] 4 2 3 33 3 2 3" xfId="35331"/>
    <cellStyle name="쉼표 [0] 4 2 3 33 3 3" xfId="16315"/>
    <cellStyle name="쉼표 [0] 4 2 3 33 3 3 2" xfId="41667"/>
    <cellStyle name="쉼표 [0] 4 2 3 33 3 4" xfId="28995"/>
    <cellStyle name="쉼표 [0] 4 2 3 33 3 5" xfId="51613"/>
    <cellStyle name="쉼표 [0] 4 2 3 33 4" xfId="6873"/>
    <cellStyle name="쉼표 [0] 4 2 3 33 4 2" xfId="19546"/>
    <cellStyle name="쉼표 [0] 4 2 3 33 4 2 2" xfId="44898"/>
    <cellStyle name="쉼표 [0] 4 2 3 33 4 3" xfId="32226"/>
    <cellStyle name="쉼표 [0] 4 2 3 33 5" xfId="13210"/>
    <cellStyle name="쉼표 [0] 4 2 3 33 5 2" xfId="38562"/>
    <cellStyle name="쉼표 [0] 4 2 3 33 6" xfId="25890"/>
    <cellStyle name="쉼표 [0] 4 2 3 33 7" xfId="51614"/>
    <cellStyle name="쉼표 [0] 4 2 3 34" xfId="538"/>
    <cellStyle name="쉼표 [0] 4 2 3 34 2" xfId="539"/>
    <cellStyle name="쉼표 [0] 4 2 3 34 2 2" xfId="3643"/>
    <cellStyle name="쉼표 [0] 4 2 3 34 2 2 2" xfId="9979"/>
    <cellStyle name="쉼표 [0] 4 2 3 34 2 2 2 2" xfId="22652"/>
    <cellStyle name="쉼표 [0] 4 2 3 34 2 2 2 2 2" xfId="48004"/>
    <cellStyle name="쉼표 [0] 4 2 3 34 2 2 2 3" xfId="35332"/>
    <cellStyle name="쉼표 [0] 4 2 3 34 2 2 3" xfId="16316"/>
    <cellStyle name="쉼표 [0] 4 2 3 34 2 2 3 2" xfId="41668"/>
    <cellStyle name="쉼표 [0] 4 2 3 34 2 2 4" xfId="28996"/>
    <cellStyle name="쉼표 [0] 4 2 3 34 2 2 5" xfId="51615"/>
    <cellStyle name="쉼표 [0] 4 2 3 34 2 3" xfId="6876"/>
    <cellStyle name="쉼표 [0] 4 2 3 34 2 3 2" xfId="19549"/>
    <cellStyle name="쉼표 [0] 4 2 3 34 2 3 2 2" xfId="44901"/>
    <cellStyle name="쉼표 [0] 4 2 3 34 2 3 3" xfId="32229"/>
    <cellStyle name="쉼표 [0] 4 2 3 34 2 4" xfId="13213"/>
    <cellStyle name="쉼표 [0] 4 2 3 34 2 4 2" xfId="38565"/>
    <cellStyle name="쉼표 [0] 4 2 3 34 2 5" xfId="25893"/>
    <cellStyle name="쉼표 [0] 4 2 3 34 2 6" xfId="51616"/>
    <cellStyle name="쉼표 [0] 4 2 3 34 3" xfId="3644"/>
    <cellStyle name="쉼표 [0] 4 2 3 34 3 2" xfId="9980"/>
    <cellStyle name="쉼표 [0] 4 2 3 34 3 2 2" xfId="22653"/>
    <cellStyle name="쉼표 [0] 4 2 3 34 3 2 2 2" xfId="48005"/>
    <cellStyle name="쉼표 [0] 4 2 3 34 3 2 3" xfId="35333"/>
    <cellStyle name="쉼표 [0] 4 2 3 34 3 3" xfId="16317"/>
    <cellStyle name="쉼표 [0] 4 2 3 34 3 3 2" xfId="41669"/>
    <cellStyle name="쉼표 [0] 4 2 3 34 3 4" xfId="28997"/>
    <cellStyle name="쉼표 [0] 4 2 3 34 3 5" xfId="51617"/>
    <cellStyle name="쉼표 [0] 4 2 3 34 4" xfId="6875"/>
    <cellStyle name="쉼표 [0] 4 2 3 34 4 2" xfId="19548"/>
    <cellStyle name="쉼표 [0] 4 2 3 34 4 2 2" xfId="44900"/>
    <cellStyle name="쉼표 [0] 4 2 3 34 4 3" xfId="32228"/>
    <cellStyle name="쉼표 [0] 4 2 3 34 5" xfId="13212"/>
    <cellStyle name="쉼표 [0] 4 2 3 34 5 2" xfId="38564"/>
    <cellStyle name="쉼표 [0] 4 2 3 34 6" xfId="25892"/>
    <cellStyle name="쉼표 [0] 4 2 3 34 7" xfId="51618"/>
    <cellStyle name="쉼표 [0] 4 2 3 35" xfId="540"/>
    <cellStyle name="쉼표 [0] 4 2 3 35 2" xfId="3645"/>
    <cellStyle name="쉼표 [0] 4 2 3 35 2 2" xfId="9981"/>
    <cellStyle name="쉼표 [0] 4 2 3 35 2 2 2" xfId="22654"/>
    <cellStyle name="쉼표 [0] 4 2 3 35 2 2 2 2" xfId="48006"/>
    <cellStyle name="쉼표 [0] 4 2 3 35 2 2 3" xfId="35334"/>
    <cellStyle name="쉼표 [0] 4 2 3 35 2 3" xfId="16318"/>
    <cellStyle name="쉼표 [0] 4 2 3 35 2 3 2" xfId="41670"/>
    <cellStyle name="쉼표 [0] 4 2 3 35 2 4" xfId="28998"/>
    <cellStyle name="쉼표 [0] 4 2 3 35 2 5" xfId="51619"/>
    <cellStyle name="쉼표 [0] 4 2 3 35 3" xfId="6877"/>
    <cellStyle name="쉼표 [0] 4 2 3 35 3 2" xfId="19550"/>
    <cellStyle name="쉼표 [0] 4 2 3 35 3 2 2" xfId="44902"/>
    <cellStyle name="쉼표 [0] 4 2 3 35 3 3" xfId="32230"/>
    <cellStyle name="쉼표 [0] 4 2 3 35 4" xfId="13214"/>
    <cellStyle name="쉼표 [0] 4 2 3 35 4 2" xfId="38566"/>
    <cellStyle name="쉼표 [0] 4 2 3 35 5" xfId="25894"/>
    <cellStyle name="쉼표 [0] 4 2 3 35 6" xfId="51620"/>
    <cellStyle name="쉼표 [0] 4 2 3 36" xfId="3646"/>
    <cellStyle name="쉼표 [0] 4 2 3 36 2" xfId="9982"/>
    <cellStyle name="쉼표 [0] 4 2 3 36 2 2" xfId="22655"/>
    <cellStyle name="쉼표 [0] 4 2 3 36 2 2 2" xfId="48007"/>
    <cellStyle name="쉼표 [0] 4 2 3 36 2 3" xfId="35335"/>
    <cellStyle name="쉼표 [0] 4 2 3 36 3" xfId="16319"/>
    <cellStyle name="쉼표 [0] 4 2 3 36 3 2" xfId="41671"/>
    <cellStyle name="쉼표 [0] 4 2 3 36 4" xfId="28999"/>
    <cellStyle name="쉼표 [0] 4 2 3 36 5" xfId="51621"/>
    <cellStyle name="쉼표 [0] 4 2 3 37" xfId="6386"/>
    <cellStyle name="쉼표 [0] 4 2 3 37 2" xfId="19059"/>
    <cellStyle name="쉼표 [0] 4 2 3 37 2 2" xfId="44411"/>
    <cellStyle name="쉼표 [0] 4 2 3 37 3" xfId="31739"/>
    <cellStyle name="쉼표 [0] 4 2 3 38" xfId="12723"/>
    <cellStyle name="쉼표 [0] 4 2 3 38 2" xfId="38075"/>
    <cellStyle name="쉼표 [0] 4 2 3 39" xfId="25403"/>
    <cellStyle name="쉼표 [0] 4 2 3 4" xfId="541"/>
    <cellStyle name="쉼표 [0] 4 2 3 4 2" xfId="542"/>
    <cellStyle name="쉼표 [0] 4 2 3 4 2 2" xfId="3647"/>
    <cellStyle name="쉼표 [0] 4 2 3 4 2 2 2" xfId="9983"/>
    <cellStyle name="쉼표 [0] 4 2 3 4 2 2 2 2" xfId="22656"/>
    <cellStyle name="쉼표 [0] 4 2 3 4 2 2 2 2 2" xfId="48008"/>
    <cellStyle name="쉼표 [0] 4 2 3 4 2 2 2 3" xfId="35336"/>
    <cellStyle name="쉼표 [0] 4 2 3 4 2 2 3" xfId="16320"/>
    <cellStyle name="쉼표 [0] 4 2 3 4 2 2 3 2" xfId="41672"/>
    <cellStyle name="쉼표 [0] 4 2 3 4 2 2 4" xfId="29000"/>
    <cellStyle name="쉼표 [0] 4 2 3 4 2 2 5" xfId="51622"/>
    <cellStyle name="쉼표 [0] 4 2 3 4 2 3" xfId="6879"/>
    <cellStyle name="쉼표 [0] 4 2 3 4 2 3 2" xfId="19552"/>
    <cellStyle name="쉼표 [0] 4 2 3 4 2 3 2 2" xfId="44904"/>
    <cellStyle name="쉼표 [0] 4 2 3 4 2 3 3" xfId="32232"/>
    <cellStyle name="쉼표 [0] 4 2 3 4 2 4" xfId="13216"/>
    <cellStyle name="쉼표 [0] 4 2 3 4 2 4 2" xfId="38568"/>
    <cellStyle name="쉼표 [0] 4 2 3 4 2 5" xfId="25896"/>
    <cellStyle name="쉼표 [0] 4 2 3 4 2 6" xfId="51623"/>
    <cellStyle name="쉼표 [0] 4 2 3 4 3" xfId="3648"/>
    <cellStyle name="쉼표 [0] 4 2 3 4 3 2" xfId="9984"/>
    <cellStyle name="쉼표 [0] 4 2 3 4 3 2 2" xfId="22657"/>
    <cellStyle name="쉼표 [0] 4 2 3 4 3 2 2 2" xfId="48009"/>
    <cellStyle name="쉼표 [0] 4 2 3 4 3 2 3" xfId="35337"/>
    <cellStyle name="쉼표 [0] 4 2 3 4 3 3" xfId="16321"/>
    <cellStyle name="쉼표 [0] 4 2 3 4 3 3 2" xfId="41673"/>
    <cellStyle name="쉼표 [0] 4 2 3 4 3 4" xfId="29001"/>
    <cellStyle name="쉼표 [0] 4 2 3 4 3 5" xfId="51624"/>
    <cellStyle name="쉼표 [0] 4 2 3 4 4" xfId="6878"/>
    <cellStyle name="쉼표 [0] 4 2 3 4 4 2" xfId="19551"/>
    <cellStyle name="쉼표 [0] 4 2 3 4 4 2 2" xfId="44903"/>
    <cellStyle name="쉼표 [0] 4 2 3 4 4 3" xfId="32231"/>
    <cellStyle name="쉼표 [0] 4 2 3 4 5" xfId="13215"/>
    <cellStyle name="쉼표 [0] 4 2 3 4 5 2" xfId="38567"/>
    <cellStyle name="쉼표 [0] 4 2 3 4 6" xfId="25895"/>
    <cellStyle name="쉼표 [0] 4 2 3 4 7" xfId="51625"/>
    <cellStyle name="쉼표 [0] 4 2 3 40" xfId="51626"/>
    <cellStyle name="쉼표 [0] 4 2 3 5" xfId="543"/>
    <cellStyle name="쉼표 [0] 4 2 3 5 2" xfId="544"/>
    <cellStyle name="쉼표 [0] 4 2 3 5 2 2" xfId="3649"/>
    <cellStyle name="쉼표 [0] 4 2 3 5 2 2 2" xfId="9985"/>
    <cellStyle name="쉼표 [0] 4 2 3 5 2 2 2 2" xfId="22658"/>
    <cellStyle name="쉼표 [0] 4 2 3 5 2 2 2 2 2" xfId="48010"/>
    <cellStyle name="쉼표 [0] 4 2 3 5 2 2 2 3" xfId="35338"/>
    <cellStyle name="쉼표 [0] 4 2 3 5 2 2 3" xfId="16322"/>
    <cellStyle name="쉼표 [0] 4 2 3 5 2 2 3 2" xfId="41674"/>
    <cellStyle name="쉼표 [0] 4 2 3 5 2 2 4" xfId="29002"/>
    <cellStyle name="쉼표 [0] 4 2 3 5 2 2 5" xfId="51627"/>
    <cellStyle name="쉼표 [0] 4 2 3 5 2 3" xfId="6881"/>
    <cellStyle name="쉼표 [0] 4 2 3 5 2 3 2" xfId="19554"/>
    <cellStyle name="쉼표 [0] 4 2 3 5 2 3 2 2" xfId="44906"/>
    <cellStyle name="쉼표 [0] 4 2 3 5 2 3 3" xfId="32234"/>
    <cellStyle name="쉼표 [0] 4 2 3 5 2 4" xfId="13218"/>
    <cellStyle name="쉼표 [0] 4 2 3 5 2 4 2" xfId="38570"/>
    <cellStyle name="쉼표 [0] 4 2 3 5 2 5" xfId="25898"/>
    <cellStyle name="쉼표 [0] 4 2 3 5 2 6" xfId="51628"/>
    <cellStyle name="쉼표 [0] 4 2 3 5 3" xfId="3650"/>
    <cellStyle name="쉼표 [0] 4 2 3 5 3 2" xfId="9986"/>
    <cellStyle name="쉼표 [0] 4 2 3 5 3 2 2" xfId="22659"/>
    <cellStyle name="쉼표 [0] 4 2 3 5 3 2 2 2" xfId="48011"/>
    <cellStyle name="쉼표 [0] 4 2 3 5 3 2 3" xfId="35339"/>
    <cellStyle name="쉼표 [0] 4 2 3 5 3 3" xfId="16323"/>
    <cellStyle name="쉼표 [0] 4 2 3 5 3 3 2" xfId="41675"/>
    <cellStyle name="쉼표 [0] 4 2 3 5 3 4" xfId="29003"/>
    <cellStyle name="쉼표 [0] 4 2 3 5 3 5" xfId="51629"/>
    <cellStyle name="쉼표 [0] 4 2 3 5 4" xfId="6880"/>
    <cellStyle name="쉼표 [0] 4 2 3 5 4 2" xfId="19553"/>
    <cellStyle name="쉼표 [0] 4 2 3 5 4 2 2" xfId="44905"/>
    <cellStyle name="쉼표 [0] 4 2 3 5 4 3" xfId="32233"/>
    <cellStyle name="쉼표 [0] 4 2 3 5 5" xfId="13217"/>
    <cellStyle name="쉼표 [0] 4 2 3 5 5 2" xfId="38569"/>
    <cellStyle name="쉼표 [0] 4 2 3 5 6" xfId="25897"/>
    <cellStyle name="쉼표 [0] 4 2 3 5 7" xfId="51630"/>
    <cellStyle name="쉼표 [0] 4 2 3 6" xfId="545"/>
    <cellStyle name="쉼표 [0] 4 2 3 6 2" xfId="546"/>
    <cellStyle name="쉼표 [0] 4 2 3 6 2 2" xfId="3651"/>
    <cellStyle name="쉼표 [0] 4 2 3 6 2 2 2" xfId="9987"/>
    <cellStyle name="쉼표 [0] 4 2 3 6 2 2 2 2" xfId="22660"/>
    <cellStyle name="쉼표 [0] 4 2 3 6 2 2 2 2 2" xfId="48012"/>
    <cellStyle name="쉼표 [0] 4 2 3 6 2 2 2 3" xfId="35340"/>
    <cellStyle name="쉼표 [0] 4 2 3 6 2 2 3" xfId="16324"/>
    <cellStyle name="쉼표 [0] 4 2 3 6 2 2 3 2" xfId="41676"/>
    <cellStyle name="쉼표 [0] 4 2 3 6 2 2 4" xfId="29004"/>
    <cellStyle name="쉼표 [0] 4 2 3 6 2 2 5" xfId="51631"/>
    <cellStyle name="쉼표 [0] 4 2 3 6 2 3" xfId="6883"/>
    <cellStyle name="쉼표 [0] 4 2 3 6 2 3 2" xfId="19556"/>
    <cellStyle name="쉼표 [0] 4 2 3 6 2 3 2 2" xfId="44908"/>
    <cellStyle name="쉼표 [0] 4 2 3 6 2 3 3" xfId="32236"/>
    <cellStyle name="쉼표 [0] 4 2 3 6 2 4" xfId="13220"/>
    <cellStyle name="쉼표 [0] 4 2 3 6 2 4 2" xfId="38572"/>
    <cellStyle name="쉼표 [0] 4 2 3 6 2 5" xfId="25900"/>
    <cellStyle name="쉼표 [0] 4 2 3 6 2 6" xfId="51632"/>
    <cellStyle name="쉼표 [0] 4 2 3 6 3" xfId="3652"/>
    <cellStyle name="쉼표 [0] 4 2 3 6 3 2" xfId="9988"/>
    <cellStyle name="쉼표 [0] 4 2 3 6 3 2 2" xfId="22661"/>
    <cellStyle name="쉼표 [0] 4 2 3 6 3 2 2 2" xfId="48013"/>
    <cellStyle name="쉼표 [0] 4 2 3 6 3 2 3" xfId="35341"/>
    <cellStyle name="쉼표 [0] 4 2 3 6 3 3" xfId="16325"/>
    <cellStyle name="쉼표 [0] 4 2 3 6 3 3 2" xfId="41677"/>
    <cellStyle name="쉼표 [0] 4 2 3 6 3 4" xfId="29005"/>
    <cellStyle name="쉼표 [0] 4 2 3 6 3 5" xfId="51633"/>
    <cellStyle name="쉼표 [0] 4 2 3 6 4" xfId="6882"/>
    <cellStyle name="쉼표 [0] 4 2 3 6 4 2" xfId="19555"/>
    <cellStyle name="쉼표 [0] 4 2 3 6 4 2 2" xfId="44907"/>
    <cellStyle name="쉼표 [0] 4 2 3 6 4 3" xfId="32235"/>
    <cellStyle name="쉼표 [0] 4 2 3 6 5" xfId="13219"/>
    <cellStyle name="쉼표 [0] 4 2 3 6 5 2" xfId="38571"/>
    <cellStyle name="쉼표 [0] 4 2 3 6 6" xfId="25899"/>
    <cellStyle name="쉼표 [0] 4 2 3 6 7" xfId="51634"/>
    <cellStyle name="쉼표 [0] 4 2 3 7" xfId="547"/>
    <cellStyle name="쉼표 [0] 4 2 3 7 2" xfId="548"/>
    <cellStyle name="쉼표 [0] 4 2 3 7 2 2" xfId="3653"/>
    <cellStyle name="쉼표 [0] 4 2 3 7 2 2 2" xfId="9989"/>
    <cellStyle name="쉼표 [0] 4 2 3 7 2 2 2 2" xfId="22662"/>
    <cellStyle name="쉼표 [0] 4 2 3 7 2 2 2 2 2" xfId="48014"/>
    <cellStyle name="쉼표 [0] 4 2 3 7 2 2 2 3" xfId="35342"/>
    <cellStyle name="쉼표 [0] 4 2 3 7 2 2 3" xfId="16326"/>
    <cellStyle name="쉼표 [0] 4 2 3 7 2 2 3 2" xfId="41678"/>
    <cellStyle name="쉼표 [0] 4 2 3 7 2 2 4" xfId="29006"/>
    <cellStyle name="쉼표 [0] 4 2 3 7 2 2 5" xfId="51635"/>
    <cellStyle name="쉼표 [0] 4 2 3 7 2 3" xfId="6885"/>
    <cellStyle name="쉼표 [0] 4 2 3 7 2 3 2" xfId="19558"/>
    <cellStyle name="쉼표 [0] 4 2 3 7 2 3 2 2" xfId="44910"/>
    <cellStyle name="쉼표 [0] 4 2 3 7 2 3 3" xfId="32238"/>
    <cellStyle name="쉼표 [0] 4 2 3 7 2 4" xfId="13222"/>
    <cellStyle name="쉼표 [0] 4 2 3 7 2 4 2" xfId="38574"/>
    <cellStyle name="쉼표 [0] 4 2 3 7 2 5" xfId="25902"/>
    <cellStyle name="쉼표 [0] 4 2 3 7 2 6" xfId="51636"/>
    <cellStyle name="쉼표 [0] 4 2 3 7 3" xfId="3654"/>
    <cellStyle name="쉼표 [0] 4 2 3 7 3 2" xfId="9990"/>
    <cellStyle name="쉼표 [0] 4 2 3 7 3 2 2" xfId="22663"/>
    <cellStyle name="쉼표 [0] 4 2 3 7 3 2 2 2" xfId="48015"/>
    <cellStyle name="쉼표 [0] 4 2 3 7 3 2 3" xfId="35343"/>
    <cellStyle name="쉼표 [0] 4 2 3 7 3 3" xfId="16327"/>
    <cellStyle name="쉼표 [0] 4 2 3 7 3 3 2" xfId="41679"/>
    <cellStyle name="쉼표 [0] 4 2 3 7 3 4" xfId="29007"/>
    <cellStyle name="쉼표 [0] 4 2 3 7 3 5" xfId="51637"/>
    <cellStyle name="쉼표 [0] 4 2 3 7 4" xfId="6884"/>
    <cellStyle name="쉼표 [0] 4 2 3 7 4 2" xfId="19557"/>
    <cellStyle name="쉼표 [0] 4 2 3 7 4 2 2" xfId="44909"/>
    <cellStyle name="쉼표 [0] 4 2 3 7 4 3" xfId="32237"/>
    <cellStyle name="쉼표 [0] 4 2 3 7 5" xfId="13221"/>
    <cellStyle name="쉼표 [0] 4 2 3 7 5 2" xfId="38573"/>
    <cellStyle name="쉼표 [0] 4 2 3 7 6" xfId="25901"/>
    <cellStyle name="쉼표 [0] 4 2 3 7 7" xfId="51638"/>
    <cellStyle name="쉼표 [0] 4 2 3 8" xfId="549"/>
    <cellStyle name="쉼표 [0] 4 2 3 8 2" xfId="550"/>
    <cellStyle name="쉼표 [0] 4 2 3 8 2 2" xfId="3655"/>
    <cellStyle name="쉼표 [0] 4 2 3 8 2 2 2" xfId="9991"/>
    <cellStyle name="쉼표 [0] 4 2 3 8 2 2 2 2" xfId="22664"/>
    <cellStyle name="쉼표 [0] 4 2 3 8 2 2 2 2 2" xfId="48016"/>
    <cellStyle name="쉼표 [0] 4 2 3 8 2 2 2 3" xfId="35344"/>
    <cellStyle name="쉼표 [0] 4 2 3 8 2 2 3" xfId="16328"/>
    <cellStyle name="쉼표 [0] 4 2 3 8 2 2 3 2" xfId="41680"/>
    <cellStyle name="쉼표 [0] 4 2 3 8 2 2 4" xfId="29008"/>
    <cellStyle name="쉼표 [0] 4 2 3 8 2 2 5" xfId="51639"/>
    <cellStyle name="쉼표 [0] 4 2 3 8 2 3" xfId="6887"/>
    <cellStyle name="쉼표 [0] 4 2 3 8 2 3 2" xfId="19560"/>
    <cellStyle name="쉼표 [0] 4 2 3 8 2 3 2 2" xfId="44912"/>
    <cellStyle name="쉼표 [0] 4 2 3 8 2 3 3" xfId="32240"/>
    <cellStyle name="쉼표 [0] 4 2 3 8 2 4" xfId="13224"/>
    <cellStyle name="쉼표 [0] 4 2 3 8 2 4 2" xfId="38576"/>
    <cellStyle name="쉼표 [0] 4 2 3 8 2 5" xfId="25904"/>
    <cellStyle name="쉼표 [0] 4 2 3 8 2 6" xfId="51640"/>
    <cellStyle name="쉼표 [0] 4 2 3 8 3" xfId="3656"/>
    <cellStyle name="쉼표 [0] 4 2 3 8 3 2" xfId="9992"/>
    <cellStyle name="쉼표 [0] 4 2 3 8 3 2 2" xfId="22665"/>
    <cellStyle name="쉼표 [0] 4 2 3 8 3 2 2 2" xfId="48017"/>
    <cellStyle name="쉼표 [0] 4 2 3 8 3 2 3" xfId="35345"/>
    <cellStyle name="쉼표 [0] 4 2 3 8 3 3" xfId="16329"/>
    <cellStyle name="쉼표 [0] 4 2 3 8 3 3 2" xfId="41681"/>
    <cellStyle name="쉼표 [0] 4 2 3 8 3 4" xfId="29009"/>
    <cellStyle name="쉼표 [0] 4 2 3 8 3 5" xfId="51641"/>
    <cellStyle name="쉼표 [0] 4 2 3 8 4" xfId="6886"/>
    <cellStyle name="쉼표 [0] 4 2 3 8 4 2" xfId="19559"/>
    <cellStyle name="쉼표 [0] 4 2 3 8 4 2 2" xfId="44911"/>
    <cellStyle name="쉼표 [0] 4 2 3 8 4 3" xfId="32239"/>
    <cellStyle name="쉼표 [0] 4 2 3 8 5" xfId="13223"/>
    <cellStyle name="쉼표 [0] 4 2 3 8 5 2" xfId="38575"/>
    <cellStyle name="쉼표 [0] 4 2 3 8 6" xfId="25903"/>
    <cellStyle name="쉼표 [0] 4 2 3 8 7" xfId="51642"/>
    <cellStyle name="쉼표 [0] 4 2 3 9" xfId="551"/>
    <cellStyle name="쉼표 [0] 4 2 3 9 2" xfId="552"/>
    <cellStyle name="쉼표 [0] 4 2 3 9 2 2" xfId="3657"/>
    <cellStyle name="쉼표 [0] 4 2 3 9 2 2 2" xfId="9993"/>
    <cellStyle name="쉼표 [0] 4 2 3 9 2 2 2 2" xfId="22666"/>
    <cellStyle name="쉼표 [0] 4 2 3 9 2 2 2 2 2" xfId="48018"/>
    <cellStyle name="쉼표 [0] 4 2 3 9 2 2 2 3" xfId="35346"/>
    <cellStyle name="쉼표 [0] 4 2 3 9 2 2 3" xfId="16330"/>
    <cellStyle name="쉼표 [0] 4 2 3 9 2 2 3 2" xfId="41682"/>
    <cellStyle name="쉼표 [0] 4 2 3 9 2 2 4" xfId="29010"/>
    <cellStyle name="쉼표 [0] 4 2 3 9 2 2 5" xfId="51643"/>
    <cellStyle name="쉼표 [0] 4 2 3 9 2 3" xfId="6889"/>
    <cellStyle name="쉼표 [0] 4 2 3 9 2 3 2" xfId="19562"/>
    <cellStyle name="쉼표 [0] 4 2 3 9 2 3 2 2" xfId="44914"/>
    <cellStyle name="쉼표 [0] 4 2 3 9 2 3 3" xfId="32242"/>
    <cellStyle name="쉼표 [0] 4 2 3 9 2 4" xfId="13226"/>
    <cellStyle name="쉼표 [0] 4 2 3 9 2 4 2" xfId="38578"/>
    <cellStyle name="쉼표 [0] 4 2 3 9 2 5" xfId="25906"/>
    <cellStyle name="쉼표 [0] 4 2 3 9 2 6" xfId="51644"/>
    <cellStyle name="쉼표 [0] 4 2 3 9 3" xfId="3658"/>
    <cellStyle name="쉼표 [0] 4 2 3 9 3 2" xfId="9994"/>
    <cellStyle name="쉼표 [0] 4 2 3 9 3 2 2" xfId="22667"/>
    <cellStyle name="쉼표 [0] 4 2 3 9 3 2 2 2" xfId="48019"/>
    <cellStyle name="쉼표 [0] 4 2 3 9 3 2 3" xfId="35347"/>
    <cellStyle name="쉼표 [0] 4 2 3 9 3 3" xfId="16331"/>
    <cellStyle name="쉼표 [0] 4 2 3 9 3 3 2" xfId="41683"/>
    <cellStyle name="쉼표 [0] 4 2 3 9 3 4" xfId="29011"/>
    <cellStyle name="쉼표 [0] 4 2 3 9 3 5" xfId="51645"/>
    <cellStyle name="쉼표 [0] 4 2 3 9 4" xfId="6888"/>
    <cellStyle name="쉼표 [0] 4 2 3 9 4 2" xfId="19561"/>
    <cellStyle name="쉼표 [0] 4 2 3 9 4 2 2" xfId="44913"/>
    <cellStyle name="쉼표 [0] 4 2 3 9 4 3" xfId="32241"/>
    <cellStyle name="쉼표 [0] 4 2 3 9 5" xfId="13225"/>
    <cellStyle name="쉼표 [0] 4 2 3 9 5 2" xfId="38577"/>
    <cellStyle name="쉼표 [0] 4 2 3 9 6" xfId="25905"/>
    <cellStyle name="쉼표 [0] 4 2 3 9 7" xfId="51646"/>
    <cellStyle name="쉼표 [0] 4 2 30" xfId="553"/>
    <cellStyle name="쉼표 [0] 4 2 30 2" xfId="554"/>
    <cellStyle name="쉼표 [0] 4 2 30 2 2" xfId="3659"/>
    <cellStyle name="쉼표 [0] 4 2 30 2 2 2" xfId="9995"/>
    <cellStyle name="쉼표 [0] 4 2 30 2 2 2 2" xfId="22668"/>
    <cellStyle name="쉼표 [0] 4 2 30 2 2 2 2 2" xfId="48020"/>
    <cellStyle name="쉼표 [0] 4 2 30 2 2 2 3" xfId="35348"/>
    <cellStyle name="쉼표 [0] 4 2 30 2 2 3" xfId="16332"/>
    <cellStyle name="쉼표 [0] 4 2 30 2 2 3 2" xfId="41684"/>
    <cellStyle name="쉼표 [0] 4 2 30 2 2 4" xfId="29012"/>
    <cellStyle name="쉼표 [0] 4 2 30 2 2 5" xfId="51647"/>
    <cellStyle name="쉼표 [0] 4 2 30 2 3" xfId="6891"/>
    <cellStyle name="쉼표 [0] 4 2 30 2 3 2" xfId="19564"/>
    <cellStyle name="쉼표 [0] 4 2 30 2 3 2 2" xfId="44916"/>
    <cellStyle name="쉼표 [0] 4 2 30 2 3 3" xfId="32244"/>
    <cellStyle name="쉼표 [0] 4 2 30 2 4" xfId="13228"/>
    <cellStyle name="쉼표 [0] 4 2 30 2 4 2" xfId="38580"/>
    <cellStyle name="쉼표 [0] 4 2 30 2 5" xfId="25908"/>
    <cellStyle name="쉼표 [0] 4 2 30 2 6" xfId="51648"/>
    <cellStyle name="쉼표 [0] 4 2 30 3" xfId="3660"/>
    <cellStyle name="쉼표 [0] 4 2 30 3 2" xfId="9996"/>
    <cellStyle name="쉼표 [0] 4 2 30 3 2 2" xfId="22669"/>
    <cellStyle name="쉼표 [0] 4 2 30 3 2 2 2" xfId="48021"/>
    <cellStyle name="쉼표 [0] 4 2 30 3 2 3" xfId="35349"/>
    <cellStyle name="쉼표 [0] 4 2 30 3 3" xfId="16333"/>
    <cellStyle name="쉼표 [0] 4 2 30 3 3 2" xfId="41685"/>
    <cellStyle name="쉼표 [0] 4 2 30 3 4" xfId="29013"/>
    <cellStyle name="쉼표 [0] 4 2 30 3 5" xfId="51649"/>
    <cellStyle name="쉼표 [0] 4 2 30 4" xfId="6890"/>
    <cellStyle name="쉼표 [0] 4 2 30 4 2" xfId="19563"/>
    <cellStyle name="쉼표 [0] 4 2 30 4 2 2" xfId="44915"/>
    <cellStyle name="쉼표 [0] 4 2 30 4 3" xfId="32243"/>
    <cellStyle name="쉼표 [0] 4 2 30 5" xfId="13227"/>
    <cellStyle name="쉼표 [0] 4 2 30 5 2" xfId="38579"/>
    <cellStyle name="쉼표 [0] 4 2 30 6" xfId="25907"/>
    <cellStyle name="쉼표 [0] 4 2 30 7" xfId="51650"/>
    <cellStyle name="쉼표 [0] 4 2 31" xfId="555"/>
    <cellStyle name="쉼표 [0] 4 2 31 2" xfId="556"/>
    <cellStyle name="쉼표 [0] 4 2 31 2 2" xfId="3661"/>
    <cellStyle name="쉼표 [0] 4 2 31 2 2 2" xfId="9997"/>
    <cellStyle name="쉼표 [0] 4 2 31 2 2 2 2" xfId="22670"/>
    <cellStyle name="쉼표 [0] 4 2 31 2 2 2 2 2" xfId="48022"/>
    <cellStyle name="쉼표 [0] 4 2 31 2 2 2 3" xfId="35350"/>
    <cellStyle name="쉼표 [0] 4 2 31 2 2 3" xfId="16334"/>
    <cellStyle name="쉼표 [0] 4 2 31 2 2 3 2" xfId="41686"/>
    <cellStyle name="쉼표 [0] 4 2 31 2 2 4" xfId="29014"/>
    <cellStyle name="쉼표 [0] 4 2 31 2 2 5" xfId="51651"/>
    <cellStyle name="쉼표 [0] 4 2 31 2 3" xfId="6893"/>
    <cellStyle name="쉼표 [0] 4 2 31 2 3 2" xfId="19566"/>
    <cellStyle name="쉼표 [0] 4 2 31 2 3 2 2" xfId="44918"/>
    <cellStyle name="쉼표 [0] 4 2 31 2 3 3" xfId="32246"/>
    <cellStyle name="쉼표 [0] 4 2 31 2 4" xfId="13230"/>
    <cellStyle name="쉼표 [0] 4 2 31 2 4 2" xfId="38582"/>
    <cellStyle name="쉼표 [0] 4 2 31 2 5" xfId="25910"/>
    <cellStyle name="쉼표 [0] 4 2 31 2 6" xfId="51652"/>
    <cellStyle name="쉼표 [0] 4 2 31 3" xfId="3662"/>
    <cellStyle name="쉼표 [0] 4 2 31 3 2" xfId="9998"/>
    <cellStyle name="쉼표 [0] 4 2 31 3 2 2" xfId="22671"/>
    <cellStyle name="쉼표 [0] 4 2 31 3 2 2 2" xfId="48023"/>
    <cellStyle name="쉼표 [0] 4 2 31 3 2 3" xfId="35351"/>
    <cellStyle name="쉼표 [0] 4 2 31 3 3" xfId="16335"/>
    <cellStyle name="쉼표 [0] 4 2 31 3 3 2" xfId="41687"/>
    <cellStyle name="쉼표 [0] 4 2 31 3 4" xfId="29015"/>
    <cellStyle name="쉼표 [0] 4 2 31 3 5" xfId="51653"/>
    <cellStyle name="쉼표 [0] 4 2 31 4" xfId="6892"/>
    <cellStyle name="쉼표 [0] 4 2 31 4 2" xfId="19565"/>
    <cellStyle name="쉼표 [0] 4 2 31 4 2 2" xfId="44917"/>
    <cellStyle name="쉼표 [0] 4 2 31 4 3" xfId="32245"/>
    <cellStyle name="쉼표 [0] 4 2 31 5" xfId="13229"/>
    <cellStyle name="쉼표 [0] 4 2 31 5 2" xfId="38581"/>
    <cellStyle name="쉼표 [0] 4 2 31 6" xfId="25909"/>
    <cellStyle name="쉼표 [0] 4 2 31 7" xfId="51654"/>
    <cellStyle name="쉼표 [0] 4 2 32" xfId="557"/>
    <cellStyle name="쉼표 [0] 4 2 32 2" xfId="558"/>
    <cellStyle name="쉼표 [0] 4 2 32 2 2" xfId="3663"/>
    <cellStyle name="쉼표 [0] 4 2 32 2 2 2" xfId="9999"/>
    <cellStyle name="쉼표 [0] 4 2 32 2 2 2 2" xfId="22672"/>
    <cellStyle name="쉼표 [0] 4 2 32 2 2 2 2 2" xfId="48024"/>
    <cellStyle name="쉼표 [0] 4 2 32 2 2 2 3" xfId="35352"/>
    <cellStyle name="쉼표 [0] 4 2 32 2 2 3" xfId="16336"/>
    <cellStyle name="쉼표 [0] 4 2 32 2 2 3 2" xfId="41688"/>
    <cellStyle name="쉼표 [0] 4 2 32 2 2 4" xfId="29016"/>
    <cellStyle name="쉼표 [0] 4 2 32 2 2 5" xfId="51655"/>
    <cellStyle name="쉼표 [0] 4 2 32 2 3" xfId="6895"/>
    <cellStyle name="쉼표 [0] 4 2 32 2 3 2" xfId="19568"/>
    <cellStyle name="쉼표 [0] 4 2 32 2 3 2 2" xfId="44920"/>
    <cellStyle name="쉼표 [0] 4 2 32 2 3 3" xfId="32248"/>
    <cellStyle name="쉼표 [0] 4 2 32 2 4" xfId="13232"/>
    <cellStyle name="쉼표 [0] 4 2 32 2 4 2" xfId="38584"/>
    <cellStyle name="쉼표 [0] 4 2 32 2 5" xfId="25912"/>
    <cellStyle name="쉼표 [0] 4 2 32 2 6" xfId="51656"/>
    <cellStyle name="쉼표 [0] 4 2 32 3" xfId="3664"/>
    <cellStyle name="쉼표 [0] 4 2 32 3 2" xfId="10000"/>
    <cellStyle name="쉼표 [0] 4 2 32 3 2 2" xfId="22673"/>
    <cellStyle name="쉼표 [0] 4 2 32 3 2 2 2" xfId="48025"/>
    <cellStyle name="쉼표 [0] 4 2 32 3 2 3" xfId="35353"/>
    <cellStyle name="쉼표 [0] 4 2 32 3 3" xfId="16337"/>
    <cellStyle name="쉼표 [0] 4 2 32 3 3 2" xfId="41689"/>
    <cellStyle name="쉼표 [0] 4 2 32 3 4" xfId="29017"/>
    <cellStyle name="쉼표 [0] 4 2 32 3 5" xfId="51657"/>
    <cellStyle name="쉼표 [0] 4 2 32 4" xfId="6894"/>
    <cellStyle name="쉼표 [0] 4 2 32 4 2" xfId="19567"/>
    <cellStyle name="쉼표 [0] 4 2 32 4 2 2" xfId="44919"/>
    <cellStyle name="쉼표 [0] 4 2 32 4 3" xfId="32247"/>
    <cellStyle name="쉼표 [0] 4 2 32 5" xfId="13231"/>
    <cellStyle name="쉼표 [0] 4 2 32 5 2" xfId="38583"/>
    <cellStyle name="쉼표 [0] 4 2 32 6" xfId="25911"/>
    <cellStyle name="쉼표 [0] 4 2 32 7" xfId="51658"/>
    <cellStyle name="쉼표 [0] 4 2 33" xfId="559"/>
    <cellStyle name="쉼표 [0] 4 2 33 2" xfId="560"/>
    <cellStyle name="쉼표 [0] 4 2 33 2 2" xfId="3665"/>
    <cellStyle name="쉼표 [0] 4 2 33 2 2 2" xfId="10001"/>
    <cellStyle name="쉼표 [0] 4 2 33 2 2 2 2" xfId="22674"/>
    <cellStyle name="쉼표 [0] 4 2 33 2 2 2 2 2" xfId="48026"/>
    <cellStyle name="쉼표 [0] 4 2 33 2 2 2 3" xfId="35354"/>
    <cellStyle name="쉼표 [0] 4 2 33 2 2 3" xfId="16338"/>
    <cellStyle name="쉼표 [0] 4 2 33 2 2 3 2" xfId="41690"/>
    <cellStyle name="쉼표 [0] 4 2 33 2 2 4" xfId="29018"/>
    <cellStyle name="쉼표 [0] 4 2 33 2 2 5" xfId="51659"/>
    <cellStyle name="쉼표 [0] 4 2 33 2 3" xfId="6897"/>
    <cellStyle name="쉼표 [0] 4 2 33 2 3 2" xfId="19570"/>
    <cellStyle name="쉼표 [0] 4 2 33 2 3 2 2" xfId="44922"/>
    <cellStyle name="쉼표 [0] 4 2 33 2 3 3" xfId="32250"/>
    <cellStyle name="쉼표 [0] 4 2 33 2 4" xfId="13234"/>
    <cellStyle name="쉼표 [0] 4 2 33 2 4 2" xfId="38586"/>
    <cellStyle name="쉼표 [0] 4 2 33 2 5" xfId="25914"/>
    <cellStyle name="쉼표 [0] 4 2 33 2 6" xfId="51660"/>
    <cellStyle name="쉼표 [0] 4 2 33 3" xfId="3666"/>
    <cellStyle name="쉼표 [0] 4 2 33 3 2" xfId="10002"/>
    <cellStyle name="쉼표 [0] 4 2 33 3 2 2" xfId="22675"/>
    <cellStyle name="쉼표 [0] 4 2 33 3 2 2 2" xfId="48027"/>
    <cellStyle name="쉼표 [0] 4 2 33 3 2 3" xfId="35355"/>
    <cellStyle name="쉼표 [0] 4 2 33 3 3" xfId="16339"/>
    <cellStyle name="쉼표 [0] 4 2 33 3 3 2" xfId="41691"/>
    <cellStyle name="쉼표 [0] 4 2 33 3 4" xfId="29019"/>
    <cellStyle name="쉼표 [0] 4 2 33 3 5" xfId="51661"/>
    <cellStyle name="쉼표 [0] 4 2 33 4" xfId="6896"/>
    <cellStyle name="쉼표 [0] 4 2 33 4 2" xfId="19569"/>
    <cellStyle name="쉼표 [0] 4 2 33 4 2 2" xfId="44921"/>
    <cellStyle name="쉼표 [0] 4 2 33 4 3" xfId="32249"/>
    <cellStyle name="쉼표 [0] 4 2 33 5" xfId="13233"/>
    <cellStyle name="쉼표 [0] 4 2 33 5 2" xfId="38585"/>
    <cellStyle name="쉼표 [0] 4 2 33 6" xfId="25913"/>
    <cellStyle name="쉼표 [0] 4 2 33 7" xfId="51662"/>
    <cellStyle name="쉼표 [0] 4 2 34" xfId="561"/>
    <cellStyle name="쉼표 [0] 4 2 34 2" xfId="562"/>
    <cellStyle name="쉼표 [0] 4 2 34 2 2" xfId="3667"/>
    <cellStyle name="쉼표 [0] 4 2 34 2 2 2" xfId="10003"/>
    <cellStyle name="쉼표 [0] 4 2 34 2 2 2 2" xfId="22676"/>
    <cellStyle name="쉼표 [0] 4 2 34 2 2 2 2 2" xfId="48028"/>
    <cellStyle name="쉼표 [0] 4 2 34 2 2 2 3" xfId="35356"/>
    <cellStyle name="쉼표 [0] 4 2 34 2 2 3" xfId="16340"/>
    <cellStyle name="쉼표 [0] 4 2 34 2 2 3 2" xfId="41692"/>
    <cellStyle name="쉼표 [0] 4 2 34 2 2 4" xfId="29020"/>
    <cellStyle name="쉼표 [0] 4 2 34 2 2 5" xfId="51663"/>
    <cellStyle name="쉼표 [0] 4 2 34 2 3" xfId="6899"/>
    <cellStyle name="쉼표 [0] 4 2 34 2 3 2" xfId="19572"/>
    <cellStyle name="쉼표 [0] 4 2 34 2 3 2 2" xfId="44924"/>
    <cellStyle name="쉼표 [0] 4 2 34 2 3 3" xfId="32252"/>
    <cellStyle name="쉼표 [0] 4 2 34 2 4" xfId="13236"/>
    <cellStyle name="쉼표 [0] 4 2 34 2 4 2" xfId="38588"/>
    <cellStyle name="쉼표 [0] 4 2 34 2 5" xfId="25916"/>
    <cellStyle name="쉼표 [0] 4 2 34 2 6" xfId="51664"/>
    <cellStyle name="쉼표 [0] 4 2 34 3" xfId="3668"/>
    <cellStyle name="쉼표 [0] 4 2 34 3 2" xfId="10004"/>
    <cellStyle name="쉼표 [0] 4 2 34 3 2 2" xfId="22677"/>
    <cellStyle name="쉼표 [0] 4 2 34 3 2 2 2" xfId="48029"/>
    <cellStyle name="쉼표 [0] 4 2 34 3 2 3" xfId="35357"/>
    <cellStyle name="쉼표 [0] 4 2 34 3 3" xfId="16341"/>
    <cellStyle name="쉼표 [0] 4 2 34 3 3 2" xfId="41693"/>
    <cellStyle name="쉼표 [0] 4 2 34 3 4" xfId="29021"/>
    <cellStyle name="쉼표 [0] 4 2 34 3 5" xfId="51665"/>
    <cellStyle name="쉼표 [0] 4 2 34 4" xfId="6898"/>
    <cellStyle name="쉼표 [0] 4 2 34 4 2" xfId="19571"/>
    <cellStyle name="쉼표 [0] 4 2 34 4 2 2" xfId="44923"/>
    <cellStyle name="쉼표 [0] 4 2 34 4 3" xfId="32251"/>
    <cellStyle name="쉼표 [0] 4 2 34 5" xfId="13235"/>
    <cellStyle name="쉼표 [0] 4 2 34 5 2" xfId="38587"/>
    <cellStyle name="쉼표 [0] 4 2 34 6" xfId="25915"/>
    <cellStyle name="쉼표 [0] 4 2 34 7" xfId="51666"/>
    <cellStyle name="쉼표 [0] 4 2 35" xfId="563"/>
    <cellStyle name="쉼표 [0] 4 2 35 2" xfId="564"/>
    <cellStyle name="쉼표 [0] 4 2 35 2 2" xfId="3669"/>
    <cellStyle name="쉼표 [0] 4 2 35 2 2 2" xfId="10005"/>
    <cellStyle name="쉼표 [0] 4 2 35 2 2 2 2" xfId="22678"/>
    <cellStyle name="쉼표 [0] 4 2 35 2 2 2 2 2" xfId="48030"/>
    <cellStyle name="쉼표 [0] 4 2 35 2 2 2 3" xfId="35358"/>
    <cellStyle name="쉼표 [0] 4 2 35 2 2 3" xfId="16342"/>
    <cellStyle name="쉼표 [0] 4 2 35 2 2 3 2" xfId="41694"/>
    <cellStyle name="쉼표 [0] 4 2 35 2 2 4" xfId="29022"/>
    <cellStyle name="쉼표 [0] 4 2 35 2 2 5" xfId="51667"/>
    <cellStyle name="쉼표 [0] 4 2 35 2 3" xfId="6901"/>
    <cellStyle name="쉼표 [0] 4 2 35 2 3 2" xfId="19574"/>
    <cellStyle name="쉼표 [0] 4 2 35 2 3 2 2" xfId="44926"/>
    <cellStyle name="쉼표 [0] 4 2 35 2 3 3" xfId="32254"/>
    <cellStyle name="쉼표 [0] 4 2 35 2 4" xfId="13238"/>
    <cellStyle name="쉼표 [0] 4 2 35 2 4 2" xfId="38590"/>
    <cellStyle name="쉼표 [0] 4 2 35 2 5" xfId="25918"/>
    <cellStyle name="쉼표 [0] 4 2 35 2 6" xfId="51668"/>
    <cellStyle name="쉼표 [0] 4 2 35 3" xfId="3670"/>
    <cellStyle name="쉼표 [0] 4 2 35 3 2" xfId="10006"/>
    <cellStyle name="쉼표 [0] 4 2 35 3 2 2" xfId="22679"/>
    <cellStyle name="쉼표 [0] 4 2 35 3 2 2 2" xfId="48031"/>
    <cellStyle name="쉼표 [0] 4 2 35 3 2 3" xfId="35359"/>
    <cellStyle name="쉼표 [0] 4 2 35 3 3" xfId="16343"/>
    <cellStyle name="쉼표 [0] 4 2 35 3 3 2" xfId="41695"/>
    <cellStyle name="쉼표 [0] 4 2 35 3 4" xfId="29023"/>
    <cellStyle name="쉼표 [0] 4 2 35 3 5" xfId="51669"/>
    <cellStyle name="쉼표 [0] 4 2 35 4" xfId="6900"/>
    <cellStyle name="쉼표 [0] 4 2 35 4 2" xfId="19573"/>
    <cellStyle name="쉼표 [0] 4 2 35 4 2 2" xfId="44925"/>
    <cellStyle name="쉼표 [0] 4 2 35 4 3" xfId="32253"/>
    <cellStyle name="쉼표 [0] 4 2 35 5" xfId="13237"/>
    <cellStyle name="쉼표 [0] 4 2 35 5 2" xfId="38589"/>
    <cellStyle name="쉼표 [0] 4 2 35 6" xfId="25917"/>
    <cellStyle name="쉼표 [0] 4 2 35 7" xfId="51670"/>
    <cellStyle name="쉼표 [0] 4 2 36" xfId="565"/>
    <cellStyle name="쉼표 [0] 4 2 36 2" xfId="566"/>
    <cellStyle name="쉼표 [0] 4 2 36 2 2" xfId="3671"/>
    <cellStyle name="쉼표 [0] 4 2 36 2 2 2" xfId="10007"/>
    <cellStyle name="쉼표 [0] 4 2 36 2 2 2 2" xfId="22680"/>
    <cellStyle name="쉼표 [0] 4 2 36 2 2 2 2 2" xfId="48032"/>
    <cellStyle name="쉼표 [0] 4 2 36 2 2 2 3" xfId="35360"/>
    <cellStyle name="쉼표 [0] 4 2 36 2 2 3" xfId="16344"/>
    <cellStyle name="쉼표 [0] 4 2 36 2 2 3 2" xfId="41696"/>
    <cellStyle name="쉼표 [0] 4 2 36 2 2 4" xfId="29024"/>
    <cellStyle name="쉼표 [0] 4 2 36 2 2 5" xfId="51671"/>
    <cellStyle name="쉼표 [0] 4 2 36 2 3" xfId="6903"/>
    <cellStyle name="쉼표 [0] 4 2 36 2 3 2" xfId="19576"/>
    <cellStyle name="쉼표 [0] 4 2 36 2 3 2 2" xfId="44928"/>
    <cellStyle name="쉼표 [0] 4 2 36 2 3 3" xfId="32256"/>
    <cellStyle name="쉼표 [0] 4 2 36 2 4" xfId="13240"/>
    <cellStyle name="쉼표 [0] 4 2 36 2 4 2" xfId="38592"/>
    <cellStyle name="쉼표 [0] 4 2 36 2 5" xfId="25920"/>
    <cellStyle name="쉼표 [0] 4 2 36 2 6" xfId="51672"/>
    <cellStyle name="쉼표 [0] 4 2 36 3" xfId="3672"/>
    <cellStyle name="쉼표 [0] 4 2 36 3 2" xfId="10008"/>
    <cellStyle name="쉼표 [0] 4 2 36 3 2 2" xfId="22681"/>
    <cellStyle name="쉼표 [0] 4 2 36 3 2 2 2" xfId="48033"/>
    <cellStyle name="쉼표 [0] 4 2 36 3 2 3" xfId="35361"/>
    <cellStyle name="쉼표 [0] 4 2 36 3 3" xfId="16345"/>
    <cellStyle name="쉼표 [0] 4 2 36 3 3 2" xfId="41697"/>
    <cellStyle name="쉼표 [0] 4 2 36 3 4" xfId="29025"/>
    <cellStyle name="쉼표 [0] 4 2 36 3 5" xfId="51673"/>
    <cellStyle name="쉼표 [0] 4 2 36 4" xfId="6902"/>
    <cellStyle name="쉼표 [0] 4 2 36 4 2" xfId="19575"/>
    <cellStyle name="쉼표 [0] 4 2 36 4 2 2" xfId="44927"/>
    <cellStyle name="쉼표 [0] 4 2 36 4 3" xfId="32255"/>
    <cellStyle name="쉼표 [0] 4 2 36 5" xfId="13239"/>
    <cellStyle name="쉼표 [0] 4 2 36 5 2" xfId="38591"/>
    <cellStyle name="쉼표 [0] 4 2 36 6" xfId="25919"/>
    <cellStyle name="쉼표 [0] 4 2 36 7" xfId="51674"/>
    <cellStyle name="쉼표 [0] 4 2 37" xfId="567"/>
    <cellStyle name="쉼표 [0] 4 2 37 2" xfId="3673"/>
    <cellStyle name="쉼표 [0] 4 2 37 2 2" xfId="10009"/>
    <cellStyle name="쉼표 [0] 4 2 37 2 2 2" xfId="22682"/>
    <cellStyle name="쉼표 [0] 4 2 37 2 2 2 2" xfId="48034"/>
    <cellStyle name="쉼표 [0] 4 2 37 2 2 3" xfId="35362"/>
    <cellStyle name="쉼표 [0] 4 2 37 2 3" xfId="16346"/>
    <cellStyle name="쉼표 [0] 4 2 37 2 3 2" xfId="41698"/>
    <cellStyle name="쉼표 [0] 4 2 37 2 4" xfId="29026"/>
    <cellStyle name="쉼표 [0] 4 2 37 2 5" xfId="51675"/>
    <cellStyle name="쉼표 [0] 4 2 37 3" xfId="6904"/>
    <cellStyle name="쉼표 [0] 4 2 37 3 2" xfId="19577"/>
    <cellStyle name="쉼표 [0] 4 2 37 3 2 2" xfId="44929"/>
    <cellStyle name="쉼표 [0] 4 2 37 3 3" xfId="32257"/>
    <cellStyle name="쉼표 [0] 4 2 37 4" xfId="13241"/>
    <cellStyle name="쉼표 [0] 4 2 37 4 2" xfId="38593"/>
    <cellStyle name="쉼표 [0] 4 2 37 5" xfId="25921"/>
    <cellStyle name="쉼표 [0] 4 2 37 6" xfId="51676"/>
    <cellStyle name="쉼표 [0] 4 2 38" xfId="3674"/>
    <cellStyle name="쉼표 [0] 4 2 38 2" xfId="10010"/>
    <cellStyle name="쉼표 [0] 4 2 38 2 2" xfId="22683"/>
    <cellStyle name="쉼표 [0] 4 2 38 2 2 2" xfId="48035"/>
    <cellStyle name="쉼표 [0] 4 2 38 2 3" xfId="35363"/>
    <cellStyle name="쉼표 [0] 4 2 38 3" xfId="16347"/>
    <cellStyle name="쉼표 [0] 4 2 38 3 2" xfId="41699"/>
    <cellStyle name="쉼표 [0] 4 2 38 4" xfId="29027"/>
    <cellStyle name="쉼표 [0] 4 2 38 5" xfId="51677"/>
    <cellStyle name="쉼표 [0] 4 2 39" xfId="6374"/>
    <cellStyle name="쉼표 [0] 4 2 39 2" xfId="19047"/>
    <cellStyle name="쉼표 [0] 4 2 39 2 2" xfId="44399"/>
    <cellStyle name="쉼표 [0] 4 2 39 3" xfId="31727"/>
    <cellStyle name="쉼표 [0] 4 2 4" xfId="63"/>
    <cellStyle name="쉼표 [0] 4 2 4 10" xfId="568"/>
    <cellStyle name="쉼표 [0] 4 2 4 10 2" xfId="569"/>
    <cellStyle name="쉼표 [0] 4 2 4 10 2 2" xfId="3675"/>
    <cellStyle name="쉼표 [0] 4 2 4 10 2 2 2" xfId="10011"/>
    <cellStyle name="쉼표 [0] 4 2 4 10 2 2 2 2" xfId="22684"/>
    <cellStyle name="쉼표 [0] 4 2 4 10 2 2 2 2 2" xfId="48036"/>
    <cellStyle name="쉼표 [0] 4 2 4 10 2 2 2 3" xfId="35364"/>
    <cellStyle name="쉼표 [0] 4 2 4 10 2 2 3" xfId="16348"/>
    <cellStyle name="쉼표 [0] 4 2 4 10 2 2 3 2" xfId="41700"/>
    <cellStyle name="쉼표 [0] 4 2 4 10 2 2 4" xfId="29028"/>
    <cellStyle name="쉼표 [0] 4 2 4 10 2 2 5" xfId="51678"/>
    <cellStyle name="쉼표 [0] 4 2 4 10 2 3" xfId="6906"/>
    <cellStyle name="쉼표 [0] 4 2 4 10 2 3 2" xfId="19579"/>
    <cellStyle name="쉼표 [0] 4 2 4 10 2 3 2 2" xfId="44931"/>
    <cellStyle name="쉼표 [0] 4 2 4 10 2 3 3" xfId="32259"/>
    <cellStyle name="쉼표 [0] 4 2 4 10 2 4" xfId="13243"/>
    <cellStyle name="쉼표 [0] 4 2 4 10 2 4 2" xfId="38595"/>
    <cellStyle name="쉼표 [0] 4 2 4 10 2 5" xfId="25923"/>
    <cellStyle name="쉼표 [0] 4 2 4 10 2 6" xfId="51679"/>
    <cellStyle name="쉼표 [0] 4 2 4 10 3" xfId="3676"/>
    <cellStyle name="쉼표 [0] 4 2 4 10 3 2" xfId="10012"/>
    <cellStyle name="쉼표 [0] 4 2 4 10 3 2 2" xfId="22685"/>
    <cellStyle name="쉼표 [0] 4 2 4 10 3 2 2 2" xfId="48037"/>
    <cellStyle name="쉼표 [0] 4 2 4 10 3 2 3" xfId="35365"/>
    <cellStyle name="쉼표 [0] 4 2 4 10 3 3" xfId="16349"/>
    <cellStyle name="쉼표 [0] 4 2 4 10 3 3 2" xfId="41701"/>
    <cellStyle name="쉼표 [0] 4 2 4 10 3 4" xfId="29029"/>
    <cellStyle name="쉼표 [0] 4 2 4 10 3 5" xfId="51680"/>
    <cellStyle name="쉼표 [0] 4 2 4 10 4" xfId="6905"/>
    <cellStyle name="쉼표 [0] 4 2 4 10 4 2" xfId="19578"/>
    <cellStyle name="쉼표 [0] 4 2 4 10 4 2 2" xfId="44930"/>
    <cellStyle name="쉼표 [0] 4 2 4 10 4 3" xfId="32258"/>
    <cellStyle name="쉼표 [0] 4 2 4 10 5" xfId="13242"/>
    <cellStyle name="쉼표 [0] 4 2 4 10 5 2" xfId="38594"/>
    <cellStyle name="쉼표 [0] 4 2 4 10 6" xfId="25922"/>
    <cellStyle name="쉼표 [0] 4 2 4 10 7" xfId="51681"/>
    <cellStyle name="쉼표 [0] 4 2 4 11" xfId="570"/>
    <cellStyle name="쉼표 [0] 4 2 4 11 2" xfId="571"/>
    <cellStyle name="쉼표 [0] 4 2 4 11 2 2" xfId="3677"/>
    <cellStyle name="쉼표 [0] 4 2 4 11 2 2 2" xfId="10013"/>
    <cellStyle name="쉼표 [0] 4 2 4 11 2 2 2 2" xfId="22686"/>
    <cellStyle name="쉼표 [0] 4 2 4 11 2 2 2 2 2" xfId="48038"/>
    <cellStyle name="쉼표 [0] 4 2 4 11 2 2 2 3" xfId="35366"/>
    <cellStyle name="쉼표 [0] 4 2 4 11 2 2 3" xfId="16350"/>
    <cellStyle name="쉼표 [0] 4 2 4 11 2 2 3 2" xfId="41702"/>
    <cellStyle name="쉼표 [0] 4 2 4 11 2 2 4" xfId="29030"/>
    <cellStyle name="쉼표 [0] 4 2 4 11 2 2 5" xfId="51682"/>
    <cellStyle name="쉼표 [0] 4 2 4 11 2 3" xfId="6908"/>
    <cellStyle name="쉼표 [0] 4 2 4 11 2 3 2" xfId="19581"/>
    <cellStyle name="쉼표 [0] 4 2 4 11 2 3 2 2" xfId="44933"/>
    <cellStyle name="쉼표 [0] 4 2 4 11 2 3 3" xfId="32261"/>
    <cellStyle name="쉼표 [0] 4 2 4 11 2 4" xfId="13245"/>
    <cellStyle name="쉼표 [0] 4 2 4 11 2 4 2" xfId="38597"/>
    <cellStyle name="쉼표 [0] 4 2 4 11 2 5" xfId="25925"/>
    <cellStyle name="쉼표 [0] 4 2 4 11 2 6" xfId="51683"/>
    <cellStyle name="쉼표 [0] 4 2 4 11 3" xfId="3678"/>
    <cellStyle name="쉼표 [0] 4 2 4 11 3 2" xfId="10014"/>
    <cellStyle name="쉼표 [0] 4 2 4 11 3 2 2" xfId="22687"/>
    <cellStyle name="쉼표 [0] 4 2 4 11 3 2 2 2" xfId="48039"/>
    <cellStyle name="쉼표 [0] 4 2 4 11 3 2 3" xfId="35367"/>
    <cellStyle name="쉼표 [0] 4 2 4 11 3 3" xfId="16351"/>
    <cellStyle name="쉼표 [0] 4 2 4 11 3 3 2" xfId="41703"/>
    <cellStyle name="쉼표 [0] 4 2 4 11 3 4" xfId="29031"/>
    <cellStyle name="쉼표 [0] 4 2 4 11 3 5" xfId="51684"/>
    <cellStyle name="쉼표 [0] 4 2 4 11 4" xfId="6907"/>
    <cellStyle name="쉼표 [0] 4 2 4 11 4 2" xfId="19580"/>
    <cellStyle name="쉼표 [0] 4 2 4 11 4 2 2" xfId="44932"/>
    <cellStyle name="쉼표 [0] 4 2 4 11 4 3" xfId="32260"/>
    <cellStyle name="쉼표 [0] 4 2 4 11 5" xfId="13244"/>
    <cellStyle name="쉼표 [0] 4 2 4 11 5 2" xfId="38596"/>
    <cellStyle name="쉼표 [0] 4 2 4 11 6" xfId="25924"/>
    <cellStyle name="쉼표 [0] 4 2 4 11 7" xfId="51685"/>
    <cellStyle name="쉼표 [0] 4 2 4 12" xfId="572"/>
    <cellStyle name="쉼표 [0] 4 2 4 12 2" xfId="573"/>
    <cellStyle name="쉼표 [0] 4 2 4 12 2 2" xfId="3679"/>
    <cellStyle name="쉼표 [0] 4 2 4 12 2 2 2" xfId="10015"/>
    <cellStyle name="쉼표 [0] 4 2 4 12 2 2 2 2" xfId="22688"/>
    <cellStyle name="쉼표 [0] 4 2 4 12 2 2 2 2 2" xfId="48040"/>
    <cellStyle name="쉼표 [0] 4 2 4 12 2 2 2 3" xfId="35368"/>
    <cellStyle name="쉼표 [0] 4 2 4 12 2 2 3" xfId="16352"/>
    <cellStyle name="쉼표 [0] 4 2 4 12 2 2 3 2" xfId="41704"/>
    <cellStyle name="쉼표 [0] 4 2 4 12 2 2 4" xfId="29032"/>
    <cellStyle name="쉼표 [0] 4 2 4 12 2 2 5" xfId="51686"/>
    <cellStyle name="쉼표 [0] 4 2 4 12 2 3" xfId="6910"/>
    <cellStyle name="쉼표 [0] 4 2 4 12 2 3 2" xfId="19583"/>
    <cellStyle name="쉼표 [0] 4 2 4 12 2 3 2 2" xfId="44935"/>
    <cellStyle name="쉼표 [0] 4 2 4 12 2 3 3" xfId="32263"/>
    <cellStyle name="쉼표 [0] 4 2 4 12 2 4" xfId="13247"/>
    <cellStyle name="쉼표 [0] 4 2 4 12 2 4 2" xfId="38599"/>
    <cellStyle name="쉼표 [0] 4 2 4 12 2 5" xfId="25927"/>
    <cellStyle name="쉼표 [0] 4 2 4 12 2 6" xfId="51687"/>
    <cellStyle name="쉼표 [0] 4 2 4 12 3" xfId="3680"/>
    <cellStyle name="쉼표 [0] 4 2 4 12 3 2" xfId="10016"/>
    <cellStyle name="쉼표 [0] 4 2 4 12 3 2 2" xfId="22689"/>
    <cellStyle name="쉼표 [0] 4 2 4 12 3 2 2 2" xfId="48041"/>
    <cellStyle name="쉼표 [0] 4 2 4 12 3 2 3" xfId="35369"/>
    <cellStyle name="쉼표 [0] 4 2 4 12 3 3" xfId="16353"/>
    <cellStyle name="쉼표 [0] 4 2 4 12 3 3 2" xfId="41705"/>
    <cellStyle name="쉼표 [0] 4 2 4 12 3 4" xfId="29033"/>
    <cellStyle name="쉼표 [0] 4 2 4 12 3 5" xfId="51688"/>
    <cellStyle name="쉼표 [0] 4 2 4 12 4" xfId="6909"/>
    <cellStyle name="쉼표 [0] 4 2 4 12 4 2" xfId="19582"/>
    <cellStyle name="쉼표 [0] 4 2 4 12 4 2 2" xfId="44934"/>
    <cellStyle name="쉼표 [0] 4 2 4 12 4 3" xfId="32262"/>
    <cellStyle name="쉼표 [0] 4 2 4 12 5" xfId="13246"/>
    <cellStyle name="쉼표 [0] 4 2 4 12 5 2" xfId="38598"/>
    <cellStyle name="쉼표 [0] 4 2 4 12 6" xfId="25926"/>
    <cellStyle name="쉼표 [0] 4 2 4 12 7" xfId="51689"/>
    <cellStyle name="쉼표 [0] 4 2 4 13" xfId="574"/>
    <cellStyle name="쉼표 [0] 4 2 4 13 2" xfId="575"/>
    <cellStyle name="쉼표 [0] 4 2 4 13 2 2" xfId="3681"/>
    <cellStyle name="쉼표 [0] 4 2 4 13 2 2 2" xfId="10017"/>
    <cellStyle name="쉼표 [0] 4 2 4 13 2 2 2 2" xfId="22690"/>
    <cellStyle name="쉼표 [0] 4 2 4 13 2 2 2 2 2" xfId="48042"/>
    <cellStyle name="쉼표 [0] 4 2 4 13 2 2 2 3" xfId="35370"/>
    <cellStyle name="쉼표 [0] 4 2 4 13 2 2 3" xfId="16354"/>
    <cellStyle name="쉼표 [0] 4 2 4 13 2 2 3 2" xfId="41706"/>
    <cellStyle name="쉼표 [0] 4 2 4 13 2 2 4" xfId="29034"/>
    <cellStyle name="쉼표 [0] 4 2 4 13 2 2 5" xfId="51690"/>
    <cellStyle name="쉼표 [0] 4 2 4 13 2 3" xfId="6912"/>
    <cellStyle name="쉼표 [0] 4 2 4 13 2 3 2" xfId="19585"/>
    <cellStyle name="쉼표 [0] 4 2 4 13 2 3 2 2" xfId="44937"/>
    <cellStyle name="쉼표 [0] 4 2 4 13 2 3 3" xfId="32265"/>
    <cellStyle name="쉼표 [0] 4 2 4 13 2 4" xfId="13249"/>
    <cellStyle name="쉼표 [0] 4 2 4 13 2 4 2" xfId="38601"/>
    <cellStyle name="쉼표 [0] 4 2 4 13 2 5" xfId="25929"/>
    <cellStyle name="쉼표 [0] 4 2 4 13 2 6" xfId="51691"/>
    <cellStyle name="쉼표 [0] 4 2 4 13 3" xfId="3682"/>
    <cellStyle name="쉼표 [0] 4 2 4 13 3 2" xfId="10018"/>
    <cellStyle name="쉼표 [0] 4 2 4 13 3 2 2" xfId="22691"/>
    <cellStyle name="쉼표 [0] 4 2 4 13 3 2 2 2" xfId="48043"/>
    <cellStyle name="쉼표 [0] 4 2 4 13 3 2 3" xfId="35371"/>
    <cellStyle name="쉼표 [0] 4 2 4 13 3 3" xfId="16355"/>
    <cellStyle name="쉼표 [0] 4 2 4 13 3 3 2" xfId="41707"/>
    <cellStyle name="쉼표 [0] 4 2 4 13 3 4" xfId="29035"/>
    <cellStyle name="쉼표 [0] 4 2 4 13 3 5" xfId="51692"/>
    <cellStyle name="쉼표 [0] 4 2 4 13 4" xfId="6911"/>
    <cellStyle name="쉼표 [0] 4 2 4 13 4 2" xfId="19584"/>
    <cellStyle name="쉼표 [0] 4 2 4 13 4 2 2" xfId="44936"/>
    <cellStyle name="쉼표 [0] 4 2 4 13 4 3" xfId="32264"/>
    <cellStyle name="쉼표 [0] 4 2 4 13 5" xfId="13248"/>
    <cellStyle name="쉼표 [0] 4 2 4 13 5 2" xfId="38600"/>
    <cellStyle name="쉼표 [0] 4 2 4 13 6" xfId="25928"/>
    <cellStyle name="쉼표 [0] 4 2 4 13 7" xfId="51693"/>
    <cellStyle name="쉼표 [0] 4 2 4 14" xfId="576"/>
    <cellStyle name="쉼표 [0] 4 2 4 14 2" xfId="577"/>
    <cellStyle name="쉼표 [0] 4 2 4 14 2 2" xfId="3683"/>
    <cellStyle name="쉼표 [0] 4 2 4 14 2 2 2" xfId="10019"/>
    <cellStyle name="쉼표 [0] 4 2 4 14 2 2 2 2" xfId="22692"/>
    <cellStyle name="쉼표 [0] 4 2 4 14 2 2 2 2 2" xfId="48044"/>
    <cellStyle name="쉼표 [0] 4 2 4 14 2 2 2 3" xfId="35372"/>
    <cellStyle name="쉼표 [0] 4 2 4 14 2 2 3" xfId="16356"/>
    <cellStyle name="쉼표 [0] 4 2 4 14 2 2 3 2" xfId="41708"/>
    <cellStyle name="쉼표 [0] 4 2 4 14 2 2 4" xfId="29036"/>
    <cellStyle name="쉼표 [0] 4 2 4 14 2 2 5" xfId="51694"/>
    <cellStyle name="쉼표 [0] 4 2 4 14 2 3" xfId="6914"/>
    <cellStyle name="쉼표 [0] 4 2 4 14 2 3 2" xfId="19587"/>
    <cellStyle name="쉼표 [0] 4 2 4 14 2 3 2 2" xfId="44939"/>
    <cellStyle name="쉼표 [0] 4 2 4 14 2 3 3" xfId="32267"/>
    <cellStyle name="쉼표 [0] 4 2 4 14 2 4" xfId="13251"/>
    <cellStyle name="쉼표 [0] 4 2 4 14 2 4 2" xfId="38603"/>
    <cellStyle name="쉼표 [0] 4 2 4 14 2 5" xfId="25931"/>
    <cellStyle name="쉼표 [0] 4 2 4 14 2 6" xfId="51695"/>
    <cellStyle name="쉼표 [0] 4 2 4 14 3" xfId="3684"/>
    <cellStyle name="쉼표 [0] 4 2 4 14 3 2" xfId="10020"/>
    <cellStyle name="쉼표 [0] 4 2 4 14 3 2 2" xfId="22693"/>
    <cellStyle name="쉼표 [0] 4 2 4 14 3 2 2 2" xfId="48045"/>
    <cellStyle name="쉼표 [0] 4 2 4 14 3 2 3" xfId="35373"/>
    <cellStyle name="쉼표 [0] 4 2 4 14 3 3" xfId="16357"/>
    <cellStyle name="쉼표 [0] 4 2 4 14 3 3 2" xfId="41709"/>
    <cellStyle name="쉼표 [0] 4 2 4 14 3 4" xfId="29037"/>
    <cellStyle name="쉼표 [0] 4 2 4 14 3 5" xfId="51696"/>
    <cellStyle name="쉼표 [0] 4 2 4 14 4" xfId="6913"/>
    <cellStyle name="쉼표 [0] 4 2 4 14 4 2" xfId="19586"/>
    <cellStyle name="쉼표 [0] 4 2 4 14 4 2 2" xfId="44938"/>
    <cellStyle name="쉼표 [0] 4 2 4 14 4 3" xfId="32266"/>
    <cellStyle name="쉼표 [0] 4 2 4 14 5" xfId="13250"/>
    <cellStyle name="쉼표 [0] 4 2 4 14 5 2" xfId="38602"/>
    <cellStyle name="쉼표 [0] 4 2 4 14 6" xfId="25930"/>
    <cellStyle name="쉼표 [0] 4 2 4 14 7" xfId="51697"/>
    <cellStyle name="쉼표 [0] 4 2 4 15" xfId="578"/>
    <cellStyle name="쉼표 [0] 4 2 4 15 2" xfId="579"/>
    <cellStyle name="쉼표 [0] 4 2 4 15 2 2" xfId="3685"/>
    <cellStyle name="쉼표 [0] 4 2 4 15 2 2 2" xfId="10021"/>
    <cellStyle name="쉼표 [0] 4 2 4 15 2 2 2 2" xfId="22694"/>
    <cellStyle name="쉼표 [0] 4 2 4 15 2 2 2 2 2" xfId="48046"/>
    <cellStyle name="쉼표 [0] 4 2 4 15 2 2 2 3" xfId="35374"/>
    <cellStyle name="쉼표 [0] 4 2 4 15 2 2 3" xfId="16358"/>
    <cellStyle name="쉼표 [0] 4 2 4 15 2 2 3 2" xfId="41710"/>
    <cellStyle name="쉼표 [0] 4 2 4 15 2 2 4" xfId="29038"/>
    <cellStyle name="쉼표 [0] 4 2 4 15 2 2 5" xfId="51698"/>
    <cellStyle name="쉼표 [0] 4 2 4 15 2 3" xfId="6916"/>
    <cellStyle name="쉼표 [0] 4 2 4 15 2 3 2" xfId="19589"/>
    <cellStyle name="쉼표 [0] 4 2 4 15 2 3 2 2" xfId="44941"/>
    <cellStyle name="쉼표 [0] 4 2 4 15 2 3 3" xfId="32269"/>
    <cellStyle name="쉼표 [0] 4 2 4 15 2 4" xfId="13253"/>
    <cellStyle name="쉼표 [0] 4 2 4 15 2 4 2" xfId="38605"/>
    <cellStyle name="쉼표 [0] 4 2 4 15 2 5" xfId="25933"/>
    <cellStyle name="쉼표 [0] 4 2 4 15 2 6" xfId="51699"/>
    <cellStyle name="쉼표 [0] 4 2 4 15 3" xfId="3686"/>
    <cellStyle name="쉼표 [0] 4 2 4 15 3 2" xfId="10022"/>
    <cellStyle name="쉼표 [0] 4 2 4 15 3 2 2" xfId="22695"/>
    <cellStyle name="쉼표 [0] 4 2 4 15 3 2 2 2" xfId="48047"/>
    <cellStyle name="쉼표 [0] 4 2 4 15 3 2 3" xfId="35375"/>
    <cellStyle name="쉼표 [0] 4 2 4 15 3 3" xfId="16359"/>
    <cellStyle name="쉼표 [0] 4 2 4 15 3 3 2" xfId="41711"/>
    <cellStyle name="쉼표 [0] 4 2 4 15 3 4" xfId="29039"/>
    <cellStyle name="쉼표 [0] 4 2 4 15 3 5" xfId="51700"/>
    <cellStyle name="쉼표 [0] 4 2 4 15 4" xfId="6915"/>
    <cellStyle name="쉼표 [0] 4 2 4 15 4 2" xfId="19588"/>
    <cellStyle name="쉼표 [0] 4 2 4 15 4 2 2" xfId="44940"/>
    <cellStyle name="쉼표 [0] 4 2 4 15 4 3" xfId="32268"/>
    <cellStyle name="쉼표 [0] 4 2 4 15 5" xfId="13252"/>
    <cellStyle name="쉼표 [0] 4 2 4 15 5 2" xfId="38604"/>
    <cellStyle name="쉼표 [0] 4 2 4 15 6" xfId="25932"/>
    <cellStyle name="쉼표 [0] 4 2 4 15 7" xfId="51701"/>
    <cellStyle name="쉼표 [0] 4 2 4 16" xfId="580"/>
    <cellStyle name="쉼표 [0] 4 2 4 16 2" xfId="581"/>
    <cellStyle name="쉼표 [0] 4 2 4 16 2 2" xfId="3687"/>
    <cellStyle name="쉼표 [0] 4 2 4 16 2 2 2" xfId="10023"/>
    <cellStyle name="쉼표 [0] 4 2 4 16 2 2 2 2" xfId="22696"/>
    <cellStyle name="쉼표 [0] 4 2 4 16 2 2 2 2 2" xfId="48048"/>
    <cellStyle name="쉼표 [0] 4 2 4 16 2 2 2 3" xfId="35376"/>
    <cellStyle name="쉼표 [0] 4 2 4 16 2 2 3" xfId="16360"/>
    <cellStyle name="쉼표 [0] 4 2 4 16 2 2 3 2" xfId="41712"/>
    <cellStyle name="쉼표 [0] 4 2 4 16 2 2 4" xfId="29040"/>
    <cellStyle name="쉼표 [0] 4 2 4 16 2 2 5" xfId="51702"/>
    <cellStyle name="쉼표 [0] 4 2 4 16 2 3" xfId="6918"/>
    <cellStyle name="쉼표 [0] 4 2 4 16 2 3 2" xfId="19591"/>
    <cellStyle name="쉼표 [0] 4 2 4 16 2 3 2 2" xfId="44943"/>
    <cellStyle name="쉼표 [0] 4 2 4 16 2 3 3" xfId="32271"/>
    <cellStyle name="쉼표 [0] 4 2 4 16 2 4" xfId="13255"/>
    <cellStyle name="쉼표 [0] 4 2 4 16 2 4 2" xfId="38607"/>
    <cellStyle name="쉼표 [0] 4 2 4 16 2 5" xfId="25935"/>
    <cellStyle name="쉼표 [0] 4 2 4 16 2 6" xfId="51703"/>
    <cellStyle name="쉼표 [0] 4 2 4 16 3" xfId="3688"/>
    <cellStyle name="쉼표 [0] 4 2 4 16 3 2" xfId="10024"/>
    <cellStyle name="쉼표 [0] 4 2 4 16 3 2 2" xfId="22697"/>
    <cellStyle name="쉼표 [0] 4 2 4 16 3 2 2 2" xfId="48049"/>
    <cellStyle name="쉼표 [0] 4 2 4 16 3 2 3" xfId="35377"/>
    <cellStyle name="쉼표 [0] 4 2 4 16 3 3" xfId="16361"/>
    <cellStyle name="쉼표 [0] 4 2 4 16 3 3 2" xfId="41713"/>
    <cellStyle name="쉼표 [0] 4 2 4 16 3 4" xfId="29041"/>
    <cellStyle name="쉼표 [0] 4 2 4 16 3 5" xfId="51704"/>
    <cellStyle name="쉼표 [0] 4 2 4 16 4" xfId="6917"/>
    <cellStyle name="쉼표 [0] 4 2 4 16 4 2" xfId="19590"/>
    <cellStyle name="쉼표 [0] 4 2 4 16 4 2 2" xfId="44942"/>
    <cellStyle name="쉼표 [0] 4 2 4 16 4 3" xfId="32270"/>
    <cellStyle name="쉼표 [0] 4 2 4 16 5" xfId="13254"/>
    <cellStyle name="쉼표 [0] 4 2 4 16 5 2" xfId="38606"/>
    <cellStyle name="쉼표 [0] 4 2 4 16 6" xfId="25934"/>
    <cellStyle name="쉼표 [0] 4 2 4 16 7" xfId="51705"/>
    <cellStyle name="쉼표 [0] 4 2 4 17" xfId="582"/>
    <cellStyle name="쉼표 [0] 4 2 4 17 2" xfId="583"/>
    <cellStyle name="쉼표 [0] 4 2 4 17 2 2" xfId="3689"/>
    <cellStyle name="쉼표 [0] 4 2 4 17 2 2 2" xfId="10025"/>
    <cellStyle name="쉼표 [0] 4 2 4 17 2 2 2 2" xfId="22698"/>
    <cellStyle name="쉼표 [0] 4 2 4 17 2 2 2 2 2" xfId="48050"/>
    <cellStyle name="쉼표 [0] 4 2 4 17 2 2 2 3" xfId="35378"/>
    <cellStyle name="쉼표 [0] 4 2 4 17 2 2 3" xfId="16362"/>
    <cellStyle name="쉼표 [0] 4 2 4 17 2 2 3 2" xfId="41714"/>
    <cellStyle name="쉼표 [0] 4 2 4 17 2 2 4" xfId="29042"/>
    <cellStyle name="쉼표 [0] 4 2 4 17 2 2 5" xfId="51706"/>
    <cellStyle name="쉼표 [0] 4 2 4 17 2 3" xfId="6920"/>
    <cellStyle name="쉼표 [0] 4 2 4 17 2 3 2" xfId="19593"/>
    <cellStyle name="쉼표 [0] 4 2 4 17 2 3 2 2" xfId="44945"/>
    <cellStyle name="쉼표 [0] 4 2 4 17 2 3 3" xfId="32273"/>
    <cellStyle name="쉼표 [0] 4 2 4 17 2 4" xfId="13257"/>
    <cellStyle name="쉼표 [0] 4 2 4 17 2 4 2" xfId="38609"/>
    <cellStyle name="쉼표 [0] 4 2 4 17 2 5" xfId="25937"/>
    <cellStyle name="쉼표 [0] 4 2 4 17 2 6" xfId="51707"/>
    <cellStyle name="쉼표 [0] 4 2 4 17 3" xfId="3690"/>
    <cellStyle name="쉼표 [0] 4 2 4 17 3 2" xfId="10026"/>
    <cellStyle name="쉼표 [0] 4 2 4 17 3 2 2" xfId="22699"/>
    <cellStyle name="쉼표 [0] 4 2 4 17 3 2 2 2" xfId="48051"/>
    <cellStyle name="쉼표 [0] 4 2 4 17 3 2 3" xfId="35379"/>
    <cellStyle name="쉼표 [0] 4 2 4 17 3 3" xfId="16363"/>
    <cellStyle name="쉼표 [0] 4 2 4 17 3 3 2" xfId="41715"/>
    <cellStyle name="쉼표 [0] 4 2 4 17 3 4" xfId="29043"/>
    <cellStyle name="쉼표 [0] 4 2 4 17 3 5" xfId="51708"/>
    <cellStyle name="쉼표 [0] 4 2 4 17 4" xfId="6919"/>
    <cellStyle name="쉼표 [0] 4 2 4 17 4 2" xfId="19592"/>
    <cellStyle name="쉼표 [0] 4 2 4 17 4 2 2" xfId="44944"/>
    <cellStyle name="쉼표 [0] 4 2 4 17 4 3" xfId="32272"/>
    <cellStyle name="쉼표 [0] 4 2 4 17 5" xfId="13256"/>
    <cellStyle name="쉼표 [0] 4 2 4 17 5 2" xfId="38608"/>
    <cellStyle name="쉼표 [0] 4 2 4 17 6" xfId="25936"/>
    <cellStyle name="쉼표 [0] 4 2 4 17 7" xfId="51709"/>
    <cellStyle name="쉼표 [0] 4 2 4 18" xfId="584"/>
    <cellStyle name="쉼표 [0] 4 2 4 18 2" xfId="585"/>
    <cellStyle name="쉼표 [0] 4 2 4 18 2 2" xfId="3691"/>
    <cellStyle name="쉼표 [0] 4 2 4 18 2 2 2" xfId="10027"/>
    <cellStyle name="쉼표 [0] 4 2 4 18 2 2 2 2" xfId="22700"/>
    <cellStyle name="쉼표 [0] 4 2 4 18 2 2 2 2 2" xfId="48052"/>
    <cellStyle name="쉼표 [0] 4 2 4 18 2 2 2 3" xfId="35380"/>
    <cellStyle name="쉼표 [0] 4 2 4 18 2 2 3" xfId="16364"/>
    <cellStyle name="쉼표 [0] 4 2 4 18 2 2 3 2" xfId="41716"/>
    <cellStyle name="쉼표 [0] 4 2 4 18 2 2 4" xfId="29044"/>
    <cellStyle name="쉼표 [0] 4 2 4 18 2 2 5" xfId="51710"/>
    <cellStyle name="쉼표 [0] 4 2 4 18 2 3" xfId="6922"/>
    <cellStyle name="쉼표 [0] 4 2 4 18 2 3 2" xfId="19595"/>
    <cellStyle name="쉼표 [0] 4 2 4 18 2 3 2 2" xfId="44947"/>
    <cellStyle name="쉼표 [0] 4 2 4 18 2 3 3" xfId="32275"/>
    <cellStyle name="쉼표 [0] 4 2 4 18 2 4" xfId="13259"/>
    <cellStyle name="쉼표 [0] 4 2 4 18 2 4 2" xfId="38611"/>
    <cellStyle name="쉼표 [0] 4 2 4 18 2 5" xfId="25939"/>
    <cellStyle name="쉼표 [0] 4 2 4 18 2 6" xfId="51711"/>
    <cellStyle name="쉼표 [0] 4 2 4 18 3" xfId="3692"/>
    <cellStyle name="쉼표 [0] 4 2 4 18 3 2" xfId="10028"/>
    <cellStyle name="쉼표 [0] 4 2 4 18 3 2 2" xfId="22701"/>
    <cellStyle name="쉼표 [0] 4 2 4 18 3 2 2 2" xfId="48053"/>
    <cellStyle name="쉼표 [0] 4 2 4 18 3 2 3" xfId="35381"/>
    <cellStyle name="쉼표 [0] 4 2 4 18 3 3" xfId="16365"/>
    <cellStyle name="쉼표 [0] 4 2 4 18 3 3 2" xfId="41717"/>
    <cellStyle name="쉼표 [0] 4 2 4 18 3 4" xfId="29045"/>
    <cellStyle name="쉼표 [0] 4 2 4 18 3 5" xfId="51712"/>
    <cellStyle name="쉼표 [0] 4 2 4 18 4" xfId="6921"/>
    <cellStyle name="쉼표 [0] 4 2 4 18 4 2" xfId="19594"/>
    <cellStyle name="쉼표 [0] 4 2 4 18 4 2 2" xfId="44946"/>
    <cellStyle name="쉼표 [0] 4 2 4 18 4 3" xfId="32274"/>
    <cellStyle name="쉼표 [0] 4 2 4 18 5" xfId="13258"/>
    <cellStyle name="쉼표 [0] 4 2 4 18 5 2" xfId="38610"/>
    <cellStyle name="쉼표 [0] 4 2 4 18 6" xfId="25938"/>
    <cellStyle name="쉼표 [0] 4 2 4 18 7" xfId="51713"/>
    <cellStyle name="쉼표 [0] 4 2 4 19" xfId="586"/>
    <cellStyle name="쉼표 [0] 4 2 4 19 2" xfId="587"/>
    <cellStyle name="쉼표 [0] 4 2 4 19 2 2" xfId="3693"/>
    <cellStyle name="쉼표 [0] 4 2 4 19 2 2 2" xfId="10029"/>
    <cellStyle name="쉼표 [0] 4 2 4 19 2 2 2 2" xfId="22702"/>
    <cellStyle name="쉼표 [0] 4 2 4 19 2 2 2 2 2" xfId="48054"/>
    <cellStyle name="쉼표 [0] 4 2 4 19 2 2 2 3" xfId="35382"/>
    <cellStyle name="쉼표 [0] 4 2 4 19 2 2 3" xfId="16366"/>
    <cellStyle name="쉼표 [0] 4 2 4 19 2 2 3 2" xfId="41718"/>
    <cellStyle name="쉼표 [0] 4 2 4 19 2 2 4" xfId="29046"/>
    <cellStyle name="쉼표 [0] 4 2 4 19 2 2 5" xfId="51714"/>
    <cellStyle name="쉼표 [0] 4 2 4 19 2 3" xfId="6924"/>
    <cellStyle name="쉼표 [0] 4 2 4 19 2 3 2" xfId="19597"/>
    <cellStyle name="쉼표 [0] 4 2 4 19 2 3 2 2" xfId="44949"/>
    <cellStyle name="쉼표 [0] 4 2 4 19 2 3 3" xfId="32277"/>
    <cellStyle name="쉼표 [0] 4 2 4 19 2 4" xfId="13261"/>
    <cellStyle name="쉼표 [0] 4 2 4 19 2 4 2" xfId="38613"/>
    <cellStyle name="쉼표 [0] 4 2 4 19 2 5" xfId="25941"/>
    <cellStyle name="쉼표 [0] 4 2 4 19 2 6" xfId="51715"/>
    <cellStyle name="쉼표 [0] 4 2 4 19 3" xfId="3694"/>
    <cellStyle name="쉼표 [0] 4 2 4 19 3 2" xfId="10030"/>
    <cellStyle name="쉼표 [0] 4 2 4 19 3 2 2" xfId="22703"/>
    <cellStyle name="쉼표 [0] 4 2 4 19 3 2 2 2" xfId="48055"/>
    <cellStyle name="쉼표 [0] 4 2 4 19 3 2 3" xfId="35383"/>
    <cellStyle name="쉼표 [0] 4 2 4 19 3 3" xfId="16367"/>
    <cellStyle name="쉼표 [0] 4 2 4 19 3 3 2" xfId="41719"/>
    <cellStyle name="쉼표 [0] 4 2 4 19 3 4" xfId="29047"/>
    <cellStyle name="쉼표 [0] 4 2 4 19 3 5" xfId="51716"/>
    <cellStyle name="쉼표 [0] 4 2 4 19 4" xfId="6923"/>
    <cellStyle name="쉼표 [0] 4 2 4 19 4 2" xfId="19596"/>
    <cellStyle name="쉼표 [0] 4 2 4 19 4 2 2" xfId="44948"/>
    <cellStyle name="쉼표 [0] 4 2 4 19 4 3" xfId="32276"/>
    <cellStyle name="쉼표 [0] 4 2 4 19 5" xfId="13260"/>
    <cellStyle name="쉼표 [0] 4 2 4 19 5 2" xfId="38612"/>
    <cellStyle name="쉼표 [0] 4 2 4 19 6" xfId="25940"/>
    <cellStyle name="쉼표 [0] 4 2 4 19 7" xfId="51717"/>
    <cellStyle name="쉼표 [0] 4 2 4 2" xfId="588"/>
    <cellStyle name="쉼표 [0] 4 2 4 2 2" xfId="589"/>
    <cellStyle name="쉼표 [0] 4 2 4 2 2 2" xfId="3695"/>
    <cellStyle name="쉼표 [0] 4 2 4 2 2 2 2" xfId="10031"/>
    <cellStyle name="쉼표 [0] 4 2 4 2 2 2 2 2" xfId="22704"/>
    <cellStyle name="쉼표 [0] 4 2 4 2 2 2 2 2 2" xfId="48056"/>
    <cellStyle name="쉼표 [0] 4 2 4 2 2 2 2 3" xfId="35384"/>
    <cellStyle name="쉼표 [0] 4 2 4 2 2 2 3" xfId="16368"/>
    <cellStyle name="쉼표 [0] 4 2 4 2 2 2 3 2" xfId="41720"/>
    <cellStyle name="쉼표 [0] 4 2 4 2 2 2 4" xfId="29048"/>
    <cellStyle name="쉼표 [0] 4 2 4 2 2 2 5" xfId="51718"/>
    <cellStyle name="쉼표 [0] 4 2 4 2 2 3" xfId="6926"/>
    <cellStyle name="쉼표 [0] 4 2 4 2 2 3 2" xfId="19599"/>
    <cellStyle name="쉼표 [0] 4 2 4 2 2 3 2 2" xfId="44951"/>
    <cellStyle name="쉼표 [0] 4 2 4 2 2 3 3" xfId="32279"/>
    <cellStyle name="쉼표 [0] 4 2 4 2 2 4" xfId="13263"/>
    <cellStyle name="쉼표 [0] 4 2 4 2 2 4 2" xfId="38615"/>
    <cellStyle name="쉼표 [0] 4 2 4 2 2 5" xfId="25943"/>
    <cellStyle name="쉼표 [0] 4 2 4 2 2 6" xfId="51719"/>
    <cellStyle name="쉼표 [0] 4 2 4 2 3" xfId="3696"/>
    <cellStyle name="쉼표 [0] 4 2 4 2 3 2" xfId="10032"/>
    <cellStyle name="쉼표 [0] 4 2 4 2 3 2 2" xfId="22705"/>
    <cellStyle name="쉼표 [0] 4 2 4 2 3 2 2 2" xfId="48057"/>
    <cellStyle name="쉼표 [0] 4 2 4 2 3 2 3" xfId="35385"/>
    <cellStyle name="쉼표 [0] 4 2 4 2 3 3" xfId="16369"/>
    <cellStyle name="쉼표 [0] 4 2 4 2 3 3 2" xfId="41721"/>
    <cellStyle name="쉼표 [0] 4 2 4 2 3 4" xfId="29049"/>
    <cellStyle name="쉼표 [0] 4 2 4 2 3 5" xfId="51720"/>
    <cellStyle name="쉼표 [0] 4 2 4 2 4" xfId="6925"/>
    <cellStyle name="쉼표 [0] 4 2 4 2 4 2" xfId="19598"/>
    <cellStyle name="쉼표 [0] 4 2 4 2 4 2 2" xfId="44950"/>
    <cellStyle name="쉼표 [0] 4 2 4 2 4 3" xfId="32278"/>
    <cellStyle name="쉼표 [0] 4 2 4 2 5" xfId="13262"/>
    <cellStyle name="쉼표 [0] 4 2 4 2 5 2" xfId="38614"/>
    <cellStyle name="쉼표 [0] 4 2 4 2 6" xfId="25942"/>
    <cellStyle name="쉼표 [0] 4 2 4 2 7" xfId="51721"/>
    <cellStyle name="쉼표 [0] 4 2 4 20" xfId="590"/>
    <cellStyle name="쉼표 [0] 4 2 4 20 2" xfId="591"/>
    <cellStyle name="쉼표 [0] 4 2 4 20 2 2" xfId="3697"/>
    <cellStyle name="쉼표 [0] 4 2 4 20 2 2 2" xfId="10033"/>
    <cellStyle name="쉼표 [0] 4 2 4 20 2 2 2 2" xfId="22706"/>
    <cellStyle name="쉼표 [0] 4 2 4 20 2 2 2 2 2" xfId="48058"/>
    <cellStyle name="쉼표 [0] 4 2 4 20 2 2 2 3" xfId="35386"/>
    <cellStyle name="쉼표 [0] 4 2 4 20 2 2 3" xfId="16370"/>
    <cellStyle name="쉼표 [0] 4 2 4 20 2 2 3 2" xfId="41722"/>
    <cellStyle name="쉼표 [0] 4 2 4 20 2 2 4" xfId="29050"/>
    <cellStyle name="쉼표 [0] 4 2 4 20 2 2 5" xfId="51722"/>
    <cellStyle name="쉼표 [0] 4 2 4 20 2 3" xfId="6928"/>
    <cellStyle name="쉼표 [0] 4 2 4 20 2 3 2" xfId="19601"/>
    <cellStyle name="쉼표 [0] 4 2 4 20 2 3 2 2" xfId="44953"/>
    <cellStyle name="쉼표 [0] 4 2 4 20 2 3 3" xfId="32281"/>
    <cellStyle name="쉼표 [0] 4 2 4 20 2 4" xfId="13265"/>
    <cellStyle name="쉼표 [0] 4 2 4 20 2 4 2" xfId="38617"/>
    <cellStyle name="쉼표 [0] 4 2 4 20 2 5" xfId="25945"/>
    <cellStyle name="쉼표 [0] 4 2 4 20 2 6" xfId="51723"/>
    <cellStyle name="쉼표 [0] 4 2 4 20 3" xfId="3698"/>
    <cellStyle name="쉼표 [0] 4 2 4 20 3 2" xfId="10034"/>
    <cellStyle name="쉼표 [0] 4 2 4 20 3 2 2" xfId="22707"/>
    <cellStyle name="쉼표 [0] 4 2 4 20 3 2 2 2" xfId="48059"/>
    <cellStyle name="쉼표 [0] 4 2 4 20 3 2 3" xfId="35387"/>
    <cellStyle name="쉼표 [0] 4 2 4 20 3 3" xfId="16371"/>
    <cellStyle name="쉼표 [0] 4 2 4 20 3 3 2" xfId="41723"/>
    <cellStyle name="쉼표 [0] 4 2 4 20 3 4" xfId="29051"/>
    <cellStyle name="쉼표 [0] 4 2 4 20 3 5" xfId="51724"/>
    <cellStyle name="쉼표 [0] 4 2 4 20 4" xfId="6927"/>
    <cellStyle name="쉼표 [0] 4 2 4 20 4 2" xfId="19600"/>
    <cellStyle name="쉼표 [0] 4 2 4 20 4 2 2" xfId="44952"/>
    <cellStyle name="쉼표 [0] 4 2 4 20 4 3" xfId="32280"/>
    <cellStyle name="쉼표 [0] 4 2 4 20 5" xfId="13264"/>
    <cellStyle name="쉼표 [0] 4 2 4 20 5 2" xfId="38616"/>
    <cellStyle name="쉼표 [0] 4 2 4 20 6" xfId="25944"/>
    <cellStyle name="쉼표 [0] 4 2 4 20 7" xfId="51725"/>
    <cellStyle name="쉼표 [0] 4 2 4 21" xfId="592"/>
    <cellStyle name="쉼표 [0] 4 2 4 21 2" xfId="593"/>
    <cellStyle name="쉼표 [0] 4 2 4 21 2 2" xfId="3699"/>
    <cellStyle name="쉼표 [0] 4 2 4 21 2 2 2" xfId="10035"/>
    <cellStyle name="쉼표 [0] 4 2 4 21 2 2 2 2" xfId="22708"/>
    <cellStyle name="쉼표 [0] 4 2 4 21 2 2 2 2 2" xfId="48060"/>
    <cellStyle name="쉼표 [0] 4 2 4 21 2 2 2 3" xfId="35388"/>
    <cellStyle name="쉼표 [0] 4 2 4 21 2 2 3" xfId="16372"/>
    <cellStyle name="쉼표 [0] 4 2 4 21 2 2 3 2" xfId="41724"/>
    <cellStyle name="쉼표 [0] 4 2 4 21 2 2 4" xfId="29052"/>
    <cellStyle name="쉼표 [0] 4 2 4 21 2 2 5" xfId="51726"/>
    <cellStyle name="쉼표 [0] 4 2 4 21 2 3" xfId="6930"/>
    <cellStyle name="쉼표 [0] 4 2 4 21 2 3 2" xfId="19603"/>
    <cellStyle name="쉼표 [0] 4 2 4 21 2 3 2 2" xfId="44955"/>
    <cellStyle name="쉼표 [0] 4 2 4 21 2 3 3" xfId="32283"/>
    <cellStyle name="쉼표 [0] 4 2 4 21 2 4" xfId="13267"/>
    <cellStyle name="쉼표 [0] 4 2 4 21 2 4 2" xfId="38619"/>
    <cellStyle name="쉼표 [0] 4 2 4 21 2 5" xfId="25947"/>
    <cellStyle name="쉼표 [0] 4 2 4 21 2 6" xfId="51727"/>
    <cellStyle name="쉼표 [0] 4 2 4 21 3" xfId="3700"/>
    <cellStyle name="쉼표 [0] 4 2 4 21 3 2" xfId="10036"/>
    <cellStyle name="쉼표 [0] 4 2 4 21 3 2 2" xfId="22709"/>
    <cellStyle name="쉼표 [0] 4 2 4 21 3 2 2 2" xfId="48061"/>
    <cellStyle name="쉼표 [0] 4 2 4 21 3 2 3" xfId="35389"/>
    <cellStyle name="쉼표 [0] 4 2 4 21 3 3" xfId="16373"/>
    <cellStyle name="쉼표 [0] 4 2 4 21 3 3 2" xfId="41725"/>
    <cellStyle name="쉼표 [0] 4 2 4 21 3 4" xfId="29053"/>
    <cellStyle name="쉼표 [0] 4 2 4 21 3 5" xfId="51728"/>
    <cellStyle name="쉼표 [0] 4 2 4 21 4" xfId="6929"/>
    <cellStyle name="쉼표 [0] 4 2 4 21 4 2" xfId="19602"/>
    <cellStyle name="쉼표 [0] 4 2 4 21 4 2 2" xfId="44954"/>
    <cellStyle name="쉼표 [0] 4 2 4 21 4 3" xfId="32282"/>
    <cellStyle name="쉼표 [0] 4 2 4 21 5" xfId="13266"/>
    <cellStyle name="쉼표 [0] 4 2 4 21 5 2" xfId="38618"/>
    <cellStyle name="쉼표 [0] 4 2 4 21 6" xfId="25946"/>
    <cellStyle name="쉼표 [0] 4 2 4 21 7" xfId="51729"/>
    <cellStyle name="쉼표 [0] 4 2 4 22" xfId="594"/>
    <cellStyle name="쉼표 [0] 4 2 4 22 2" xfId="595"/>
    <cellStyle name="쉼표 [0] 4 2 4 22 2 2" xfId="3701"/>
    <cellStyle name="쉼표 [0] 4 2 4 22 2 2 2" xfId="10037"/>
    <cellStyle name="쉼표 [0] 4 2 4 22 2 2 2 2" xfId="22710"/>
    <cellStyle name="쉼표 [0] 4 2 4 22 2 2 2 2 2" xfId="48062"/>
    <cellStyle name="쉼표 [0] 4 2 4 22 2 2 2 3" xfId="35390"/>
    <cellStyle name="쉼표 [0] 4 2 4 22 2 2 3" xfId="16374"/>
    <cellStyle name="쉼표 [0] 4 2 4 22 2 2 3 2" xfId="41726"/>
    <cellStyle name="쉼표 [0] 4 2 4 22 2 2 4" xfId="29054"/>
    <cellStyle name="쉼표 [0] 4 2 4 22 2 2 5" xfId="51730"/>
    <cellStyle name="쉼표 [0] 4 2 4 22 2 3" xfId="6932"/>
    <cellStyle name="쉼표 [0] 4 2 4 22 2 3 2" xfId="19605"/>
    <cellStyle name="쉼표 [0] 4 2 4 22 2 3 2 2" xfId="44957"/>
    <cellStyle name="쉼표 [0] 4 2 4 22 2 3 3" xfId="32285"/>
    <cellStyle name="쉼표 [0] 4 2 4 22 2 4" xfId="13269"/>
    <cellStyle name="쉼표 [0] 4 2 4 22 2 4 2" xfId="38621"/>
    <cellStyle name="쉼표 [0] 4 2 4 22 2 5" xfId="25949"/>
    <cellStyle name="쉼표 [0] 4 2 4 22 2 6" xfId="51731"/>
    <cellStyle name="쉼표 [0] 4 2 4 22 3" xfId="3702"/>
    <cellStyle name="쉼표 [0] 4 2 4 22 3 2" xfId="10038"/>
    <cellStyle name="쉼표 [0] 4 2 4 22 3 2 2" xfId="22711"/>
    <cellStyle name="쉼표 [0] 4 2 4 22 3 2 2 2" xfId="48063"/>
    <cellStyle name="쉼표 [0] 4 2 4 22 3 2 3" xfId="35391"/>
    <cellStyle name="쉼표 [0] 4 2 4 22 3 3" xfId="16375"/>
    <cellStyle name="쉼표 [0] 4 2 4 22 3 3 2" xfId="41727"/>
    <cellStyle name="쉼표 [0] 4 2 4 22 3 4" xfId="29055"/>
    <cellStyle name="쉼표 [0] 4 2 4 22 3 5" xfId="51732"/>
    <cellStyle name="쉼표 [0] 4 2 4 22 4" xfId="6931"/>
    <cellStyle name="쉼표 [0] 4 2 4 22 4 2" xfId="19604"/>
    <cellStyle name="쉼표 [0] 4 2 4 22 4 2 2" xfId="44956"/>
    <cellStyle name="쉼표 [0] 4 2 4 22 4 3" xfId="32284"/>
    <cellStyle name="쉼표 [0] 4 2 4 22 5" xfId="13268"/>
    <cellStyle name="쉼표 [0] 4 2 4 22 5 2" xfId="38620"/>
    <cellStyle name="쉼표 [0] 4 2 4 22 6" xfId="25948"/>
    <cellStyle name="쉼표 [0] 4 2 4 22 7" xfId="51733"/>
    <cellStyle name="쉼표 [0] 4 2 4 23" xfId="596"/>
    <cellStyle name="쉼표 [0] 4 2 4 23 2" xfId="597"/>
    <cellStyle name="쉼표 [0] 4 2 4 23 2 2" xfId="3703"/>
    <cellStyle name="쉼표 [0] 4 2 4 23 2 2 2" xfId="10039"/>
    <cellStyle name="쉼표 [0] 4 2 4 23 2 2 2 2" xfId="22712"/>
    <cellStyle name="쉼표 [0] 4 2 4 23 2 2 2 2 2" xfId="48064"/>
    <cellStyle name="쉼표 [0] 4 2 4 23 2 2 2 3" xfId="35392"/>
    <cellStyle name="쉼표 [0] 4 2 4 23 2 2 3" xfId="16376"/>
    <cellStyle name="쉼표 [0] 4 2 4 23 2 2 3 2" xfId="41728"/>
    <cellStyle name="쉼표 [0] 4 2 4 23 2 2 4" xfId="29056"/>
    <cellStyle name="쉼표 [0] 4 2 4 23 2 2 5" xfId="51734"/>
    <cellStyle name="쉼표 [0] 4 2 4 23 2 3" xfId="6934"/>
    <cellStyle name="쉼표 [0] 4 2 4 23 2 3 2" xfId="19607"/>
    <cellStyle name="쉼표 [0] 4 2 4 23 2 3 2 2" xfId="44959"/>
    <cellStyle name="쉼표 [0] 4 2 4 23 2 3 3" xfId="32287"/>
    <cellStyle name="쉼표 [0] 4 2 4 23 2 4" xfId="13271"/>
    <cellStyle name="쉼표 [0] 4 2 4 23 2 4 2" xfId="38623"/>
    <cellStyle name="쉼표 [0] 4 2 4 23 2 5" xfId="25951"/>
    <cellStyle name="쉼표 [0] 4 2 4 23 2 6" xfId="51735"/>
    <cellStyle name="쉼표 [0] 4 2 4 23 3" xfId="3704"/>
    <cellStyle name="쉼표 [0] 4 2 4 23 3 2" xfId="10040"/>
    <cellStyle name="쉼표 [0] 4 2 4 23 3 2 2" xfId="22713"/>
    <cellStyle name="쉼표 [0] 4 2 4 23 3 2 2 2" xfId="48065"/>
    <cellStyle name="쉼표 [0] 4 2 4 23 3 2 3" xfId="35393"/>
    <cellStyle name="쉼표 [0] 4 2 4 23 3 3" xfId="16377"/>
    <cellStyle name="쉼표 [0] 4 2 4 23 3 3 2" xfId="41729"/>
    <cellStyle name="쉼표 [0] 4 2 4 23 3 4" xfId="29057"/>
    <cellStyle name="쉼표 [0] 4 2 4 23 3 5" xfId="51736"/>
    <cellStyle name="쉼표 [0] 4 2 4 23 4" xfId="6933"/>
    <cellStyle name="쉼표 [0] 4 2 4 23 4 2" xfId="19606"/>
    <cellStyle name="쉼표 [0] 4 2 4 23 4 2 2" xfId="44958"/>
    <cellStyle name="쉼표 [0] 4 2 4 23 4 3" xfId="32286"/>
    <cellStyle name="쉼표 [0] 4 2 4 23 5" xfId="13270"/>
    <cellStyle name="쉼표 [0] 4 2 4 23 5 2" xfId="38622"/>
    <cellStyle name="쉼표 [0] 4 2 4 23 6" xfId="25950"/>
    <cellStyle name="쉼표 [0] 4 2 4 23 7" xfId="51737"/>
    <cellStyle name="쉼표 [0] 4 2 4 24" xfId="598"/>
    <cellStyle name="쉼표 [0] 4 2 4 24 2" xfId="599"/>
    <cellStyle name="쉼표 [0] 4 2 4 24 2 2" xfId="3705"/>
    <cellStyle name="쉼표 [0] 4 2 4 24 2 2 2" xfId="10041"/>
    <cellStyle name="쉼표 [0] 4 2 4 24 2 2 2 2" xfId="22714"/>
    <cellStyle name="쉼표 [0] 4 2 4 24 2 2 2 2 2" xfId="48066"/>
    <cellStyle name="쉼표 [0] 4 2 4 24 2 2 2 3" xfId="35394"/>
    <cellStyle name="쉼표 [0] 4 2 4 24 2 2 3" xfId="16378"/>
    <cellStyle name="쉼표 [0] 4 2 4 24 2 2 3 2" xfId="41730"/>
    <cellStyle name="쉼표 [0] 4 2 4 24 2 2 4" xfId="29058"/>
    <cellStyle name="쉼표 [0] 4 2 4 24 2 2 5" xfId="51738"/>
    <cellStyle name="쉼표 [0] 4 2 4 24 2 3" xfId="6936"/>
    <cellStyle name="쉼표 [0] 4 2 4 24 2 3 2" xfId="19609"/>
    <cellStyle name="쉼표 [0] 4 2 4 24 2 3 2 2" xfId="44961"/>
    <cellStyle name="쉼표 [0] 4 2 4 24 2 3 3" xfId="32289"/>
    <cellStyle name="쉼표 [0] 4 2 4 24 2 4" xfId="13273"/>
    <cellStyle name="쉼표 [0] 4 2 4 24 2 4 2" xfId="38625"/>
    <cellStyle name="쉼표 [0] 4 2 4 24 2 5" xfId="25953"/>
    <cellStyle name="쉼표 [0] 4 2 4 24 2 6" xfId="51739"/>
    <cellStyle name="쉼표 [0] 4 2 4 24 3" xfId="3706"/>
    <cellStyle name="쉼표 [0] 4 2 4 24 3 2" xfId="10042"/>
    <cellStyle name="쉼표 [0] 4 2 4 24 3 2 2" xfId="22715"/>
    <cellStyle name="쉼표 [0] 4 2 4 24 3 2 2 2" xfId="48067"/>
    <cellStyle name="쉼표 [0] 4 2 4 24 3 2 3" xfId="35395"/>
    <cellStyle name="쉼표 [0] 4 2 4 24 3 3" xfId="16379"/>
    <cellStyle name="쉼표 [0] 4 2 4 24 3 3 2" xfId="41731"/>
    <cellStyle name="쉼표 [0] 4 2 4 24 3 4" xfId="29059"/>
    <cellStyle name="쉼표 [0] 4 2 4 24 3 5" xfId="51740"/>
    <cellStyle name="쉼표 [0] 4 2 4 24 4" xfId="6935"/>
    <cellStyle name="쉼표 [0] 4 2 4 24 4 2" xfId="19608"/>
    <cellStyle name="쉼표 [0] 4 2 4 24 4 2 2" xfId="44960"/>
    <cellStyle name="쉼표 [0] 4 2 4 24 4 3" xfId="32288"/>
    <cellStyle name="쉼표 [0] 4 2 4 24 5" xfId="13272"/>
    <cellStyle name="쉼표 [0] 4 2 4 24 5 2" xfId="38624"/>
    <cellStyle name="쉼표 [0] 4 2 4 24 6" xfId="25952"/>
    <cellStyle name="쉼표 [0] 4 2 4 24 7" xfId="51741"/>
    <cellStyle name="쉼표 [0] 4 2 4 25" xfId="600"/>
    <cellStyle name="쉼표 [0] 4 2 4 25 2" xfId="601"/>
    <cellStyle name="쉼표 [0] 4 2 4 25 2 2" xfId="3707"/>
    <cellStyle name="쉼표 [0] 4 2 4 25 2 2 2" xfId="10043"/>
    <cellStyle name="쉼표 [0] 4 2 4 25 2 2 2 2" xfId="22716"/>
    <cellStyle name="쉼표 [0] 4 2 4 25 2 2 2 2 2" xfId="48068"/>
    <cellStyle name="쉼표 [0] 4 2 4 25 2 2 2 3" xfId="35396"/>
    <cellStyle name="쉼표 [0] 4 2 4 25 2 2 3" xfId="16380"/>
    <cellStyle name="쉼표 [0] 4 2 4 25 2 2 3 2" xfId="41732"/>
    <cellStyle name="쉼표 [0] 4 2 4 25 2 2 4" xfId="29060"/>
    <cellStyle name="쉼표 [0] 4 2 4 25 2 2 5" xfId="51742"/>
    <cellStyle name="쉼표 [0] 4 2 4 25 2 3" xfId="6938"/>
    <cellStyle name="쉼표 [0] 4 2 4 25 2 3 2" xfId="19611"/>
    <cellStyle name="쉼표 [0] 4 2 4 25 2 3 2 2" xfId="44963"/>
    <cellStyle name="쉼표 [0] 4 2 4 25 2 3 3" xfId="32291"/>
    <cellStyle name="쉼표 [0] 4 2 4 25 2 4" xfId="13275"/>
    <cellStyle name="쉼표 [0] 4 2 4 25 2 4 2" xfId="38627"/>
    <cellStyle name="쉼표 [0] 4 2 4 25 2 5" xfId="25955"/>
    <cellStyle name="쉼표 [0] 4 2 4 25 2 6" xfId="51743"/>
    <cellStyle name="쉼표 [0] 4 2 4 25 3" xfId="3708"/>
    <cellStyle name="쉼표 [0] 4 2 4 25 3 2" xfId="10044"/>
    <cellStyle name="쉼표 [0] 4 2 4 25 3 2 2" xfId="22717"/>
    <cellStyle name="쉼표 [0] 4 2 4 25 3 2 2 2" xfId="48069"/>
    <cellStyle name="쉼표 [0] 4 2 4 25 3 2 3" xfId="35397"/>
    <cellStyle name="쉼표 [0] 4 2 4 25 3 3" xfId="16381"/>
    <cellStyle name="쉼표 [0] 4 2 4 25 3 3 2" xfId="41733"/>
    <cellStyle name="쉼표 [0] 4 2 4 25 3 4" xfId="29061"/>
    <cellStyle name="쉼표 [0] 4 2 4 25 3 5" xfId="51744"/>
    <cellStyle name="쉼표 [0] 4 2 4 25 4" xfId="6937"/>
    <cellStyle name="쉼표 [0] 4 2 4 25 4 2" xfId="19610"/>
    <cellStyle name="쉼표 [0] 4 2 4 25 4 2 2" xfId="44962"/>
    <cellStyle name="쉼표 [0] 4 2 4 25 4 3" xfId="32290"/>
    <cellStyle name="쉼표 [0] 4 2 4 25 5" xfId="13274"/>
    <cellStyle name="쉼표 [0] 4 2 4 25 5 2" xfId="38626"/>
    <cellStyle name="쉼표 [0] 4 2 4 25 6" xfId="25954"/>
    <cellStyle name="쉼표 [0] 4 2 4 25 7" xfId="51745"/>
    <cellStyle name="쉼표 [0] 4 2 4 26" xfId="602"/>
    <cellStyle name="쉼표 [0] 4 2 4 26 2" xfId="603"/>
    <cellStyle name="쉼표 [0] 4 2 4 26 2 2" xfId="3709"/>
    <cellStyle name="쉼표 [0] 4 2 4 26 2 2 2" xfId="10045"/>
    <cellStyle name="쉼표 [0] 4 2 4 26 2 2 2 2" xfId="22718"/>
    <cellStyle name="쉼표 [0] 4 2 4 26 2 2 2 2 2" xfId="48070"/>
    <cellStyle name="쉼표 [0] 4 2 4 26 2 2 2 3" xfId="35398"/>
    <cellStyle name="쉼표 [0] 4 2 4 26 2 2 3" xfId="16382"/>
    <cellStyle name="쉼표 [0] 4 2 4 26 2 2 3 2" xfId="41734"/>
    <cellStyle name="쉼표 [0] 4 2 4 26 2 2 4" xfId="29062"/>
    <cellStyle name="쉼표 [0] 4 2 4 26 2 2 5" xfId="51746"/>
    <cellStyle name="쉼표 [0] 4 2 4 26 2 3" xfId="6940"/>
    <cellStyle name="쉼표 [0] 4 2 4 26 2 3 2" xfId="19613"/>
    <cellStyle name="쉼표 [0] 4 2 4 26 2 3 2 2" xfId="44965"/>
    <cellStyle name="쉼표 [0] 4 2 4 26 2 3 3" xfId="32293"/>
    <cellStyle name="쉼표 [0] 4 2 4 26 2 4" xfId="13277"/>
    <cellStyle name="쉼표 [0] 4 2 4 26 2 4 2" xfId="38629"/>
    <cellStyle name="쉼표 [0] 4 2 4 26 2 5" xfId="25957"/>
    <cellStyle name="쉼표 [0] 4 2 4 26 2 6" xfId="51747"/>
    <cellStyle name="쉼표 [0] 4 2 4 26 3" xfId="3710"/>
    <cellStyle name="쉼표 [0] 4 2 4 26 3 2" xfId="10046"/>
    <cellStyle name="쉼표 [0] 4 2 4 26 3 2 2" xfId="22719"/>
    <cellStyle name="쉼표 [0] 4 2 4 26 3 2 2 2" xfId="48071"/>
    <cellStyle name="쉼표 [0] 4 2 4 26 3 2 3" xfId="35399"/>
    <cellStyle name="쉼표 [0] 4 2 4 26 3 3" xfId="16383"/>
    <cellStyle name="쉼표 [0] 4 2 4 26 3 3 2" xfId="41735"/>
    <cellStyle name="쉼표 [0] 4 2 4 26 3 4" xfId="29063"/>
    <cellStyle name="쉼표 [0] 4 2 4 26 3 5" xfId="51748"/>
    <cellStyle name="쉼표 [0] 4 2 4 26 4" xfId="6939"/>
    <cellStyle name="쉼표 [0] 4 2 4 26 4 2" xfId="19612"/>
    <cellStyle name="쉼표 [0] 4 2 4 26 4 2 2" xfId="44964"/>
    <cellStyle name="쉼표 [0] 4 2 4 26 4 3" xfId="32292"/>
    <cellStyle name="쉼표 [0] 4 2 4 26 5" xfId="13276"/>
    <cellStyle name="쉼표 [0] 4 2 4 26 5 2" xfId="38628"/>
    <cellStyle name="쉼표 [0] 4 2 4 26 6" xfId="25956"/>
    <cellStyle name="쉼표 [0] 4 2 4 26 7" xfId="51749"/>
    <cellStyle name="쉼표 [0] 4 2 4 27" xfId="604"/>
    <cellStyle name="쉼표 [0] 4 2 4 27 2" xfId="605"/>
    <cellStyle name="쉼표 [0] 4 2 4 27 2 2" xfId="3711"/>
    <cellStyle name="쉼표 [0] 4 2 4 27 2 2 2" xfId="10047"/>
    <cellStyle name="쉼표 [0] 4 2 4 27 2 2 2 2" xfId="22720"/>
    <cellStyle name="쉼표 [0] 4 2 4 27 2 2 2 2 2" xfId="48072"/>
    <cellStyle name="쉼표 [0] 4 2 4 27 2 2 2 3" xfId="35400"/>
    <cellStyle name="쉼표 [0] 4 2 4 27 2 2 3" xfId="16384"/>
    <cellStyle name="쉼표 [0] 4 2 4 27 2 2 3 2" xfId="41736"/>
    <cellStyle name="쉼표 [0] 4 2 4 27 2 2 4" xfId="29064"/>
    <cellStyle name="쉼표 [0] 4 2 4 27 2 2 5" xfId="51750"/>
    <cellStyle name="쉼표 [0] 4 2 4 27 2 3" xfId="6942"/>
    <cellStyle name="쉼표 [0] 4 2 4 27 2 3 2" xfId="19615"/>
    <cellStyle name="쉼표 [0] 4 2 4 27 2 3 2 2" xfId="44967"/>
    <cellStyle name="쉼표 [0] 4 2 4 27 2 3 3" xfId="32295"/>
    <cellStyle name="쉼표 [0] 4 2 4 27 2 4" xfId="13279"/>
    <cellStyle name="쉼표 [0] 4 2 4 27 2 4 2" xfId="38631"/>
    <cellStyle name="쉼표 [0] 4 2 4 27 2 5" xfId="25959"/>
    <cellStyle name="쉼표 [0] 4 2 4 27 2 6" xfId="51751"/>
    <cellStyle name="쉼표 [0] 4 2 4 27 3" xfId="3712"/>
    <cellStyle name="쉼표 [0] 4 2 4 27 3 2" xfId="10048"/>
    <cellStyle name="쉼표 [0] 4 2 4 27 3 2 2" xfId="22721"/>
    <cellStyle name="쉼표 [0] 4 2 4 27 3 2 2 2" xfId="48073"/>
    <cellStyle name="쉼표 [0] 4 2 4 27 3 2 3" xfId="35401"/>
    <cellStyle name="쉼표 [0] 4 2 4 27 3 3" xfId="16385"/>
    <cellStyle name="쉼표 [0] 4 2 4 27 3 3 2" xfId="41737"/>
    <cellStyle name="쉼표 [0] 4 2 4 27 3 4" xfId="29065"/>
    <cellStyle name="쉼표 [0] 4 2 4 27 3 5" xfId="51752"/>
    <cellStyle name="쉼표 [0] 4 2 4 27 4" xfId="6941"/>
    <cellStyle name="쉼표 [0] 4 2 4 27 4 2" xfId="19614"/>
    <cellStyle name="쉼표 [0] 4 2 4 27 4 2 2" xfId="44966"/>
    <cellStyle name="쉼표 [0] 4 2 4 27 4 3" xfId="32294"/>
    <cellStyle name="쉼표 [0] 4 2 4 27 5" xfId="13278"/>
    <cellStyle name="쉼표 [0] 4 2 4 27 5 2" xfId="38630"/>
    <cellStyle name="쉼표 [0] 4 2 4 27 6" xfId="25958"/>
    <cellStyle name="쉼표 [0] 4 2 4 27 7" xfId="51753"/>
    <cellStyle name="쉼표 [0] 4 2 4 28" xfId="606"/>
    <cellStyle name="쉼표 [0] 4 2 4 28 2" xfId="607"/>
    <cellStyle name="쉼표 [0] 4 2 4 28 2 2" xfId="3713"/>
    <cellStyle name="쉼표 [0] 4 2 4 28 2 2 2" xfId="10049"/>
    <cellStyle name="쉼표 [0] 4 2 4 28 2 2 2 2" xfId="22722"/>
    <cellStyle name="쉼표 [0] 4 2 4 28 2 2 2 2 2" xfId="48074"/>
    <cellStyle name="쉼표 [0] 4 2 4 28 2 2 2 3" xfId="35402"/>
    <cellStyle name="쉼표 [0] 4 2 4 28 2 2 3" xfId="16386"/>
    <cellStyle name="쉼표 [0] 4 2 4 28 2 2 3 2" xfId="41738"/>
    <cellStyle name="쉼표 [0] 4 2 4 28 2 2 4" xfId="29066"/>
    <cellStyle name="쉼표 [0] 4 2 4 28 2 2 5" xfId="51754"/>
    <cellStyle name="쉼표 [0] 4 2 4 28 2 3" xfId="6944"/>
    <cellStyle name="쉼표 [0] 4 2 4 28 2 3 2" xfId="19617"/>
    <cellStyle name="쉼표 [0] 4 2 4 28 2 3 2 2" xfId="44969"/>
    <cellStyle name="쉼표 [0] 4 2 4 28 2 3 3" xfId="32297"/>
    <cellStyle name="쉼표 [0] 4 2 4 28 2 4" xfId="13281"/>
    <cellStyle name="쉼표 [0] 4 2 4 28 2 4 2" xfId="38633"/>
    <cellStyle name="쉼표 [0] 4 2 4 28 2 5" xfId="25961"/>
    <cellStyle name="쉼표 [0] 4 2 4 28 2 6" xfId="51755"/>
    <cellStyle name="쉼표 [0] 4 2 4 28 3" xfId="3714"/>
    <cellStyle name="쉼표 [0] 4 2 4 28 3 2" xfId="10050"/>
    <cellStyle name="쉼표 [0] 4 2 4 28 3 2 2" xfId="22723"/>
    <cellStyle name="쉼표 [0] 4 2 4 28 3 2 2 2" xfId="48075"/>
    <cellStyle name="쉼표 [0] 4 2 4 28 3 2 3" xfId="35403"/>
    <cellStyle name="쉼표 [0] 4 2 4 28 3 3" xfId="16387"/>
    <cellStyle name="쉼표 [0] 4 2 4 28 3 3 2" xfId="41739"/>
    <cellStyle name="쉼표 [0] 4 2 4 28 3 4" xfId="29067"/>
    <cellStyle name="쉼표 [0] 4 2 4 28 3 5" xfId="51756"/>
    <cellStyle name="쉼표 [0] 4 2 4 28 4" xfId="6943"/>
    <cellStyle name="쉼표 [0] 4 2 4 28 4 2" xfId="19616"/>
    <cellStyle name="쉼표 [0] 4 2 4 28 4 2 2" xfId="44968"/>
    <cellStyle name="쉼표 [0] 4 2 4 28 4 3" xfId="32296"/>
    <cellStyle name="쉼표 [0] 4 2 4 28 5" xfId="13280"/>
    <cellStyle name="쉼표 [0] 4 2 4 28 5 2" xfId="38632"/>
    <cellStyle name="쉼표 [0] 4 2 4 28 6" xfId="25960"/>
    <cellStyle name="쉼표 [0] 4 2 4 28 7" xfId="51757"/>
    <cellStyle name="쉼표 [0] 4 2 4 29" xfId="608"/>
    <cellStyle name="쉼표 [0] 4 2 4 29 2" xfId="609"/>
    <cellStyle name="쉼표 [0] 4 2 4 29 2 2" xfId="3715"/>
    <cellStyle name="쉼표 [0] 4 2 4 29 2 2 2" xfId="10051"/>
    <cellStyle name="쉼표 [0] 4 2 4 29 2 2 2 2" xfId="22724"/>
    <cellStyle name="쉼표 [0] 4 2 4 29 2 2 2 2 2" xfId="48076"/>
    <cellStyle name="쉼표 [0] 4 2 4 29 2 2 2 3" xfId="35404"/>
    <cellStyle name="쉼표 [0] 4 2 4 29 2 2 3" xfId="16388"/>
    <cellStyle name="쉼표 [0] 4 2 4 29 2 2 3 2" xfId="41740"/>
    <cellStyle name="쉼표 [0] 4 2 4 29 2 2 4" xfId="29068"/>
    <cellStyle name="쉼표 [0] 4 2 4 29 2 2 5" xfId="51758"/>
    <cellStyle name="쉼표 [0] 4 2 4 29 2 3" xfId="6946"/>
    <cellStyle name="쉼표 [0] 4 2 4 29 2 3 2" xfId="19619"/>
    <cellStyle name="쉼표 [0] 4 2 4 29 2 3 2 2" xfId="44971"/>
    <cellStyle name="쉼표 [0] 4 2 4 29 2 3 3" xfId="32299"/>
    <cellStyle name="쉼표 [0] 4 2 4 29 2 4" xfId="13283"/>
    <cellStyle name="쉼표 [0] 4 2 4 29 2 4 2" xfId="38635"/>
    <cellStyle name="쉼표 [0] 4 2 4 29 2 5" xfId="25963"/>
    <cellStyle name="쉼표 [0] 4 2 4 29 2 6" xfId="51759"/>
    <cellStyle name="쉼표 [0] 4 2 4 29 3" xfId="3716"/>
    <cellStyle name="쉼표 [0] 4 2 4 29 3 2" xfId="10052"/>
    <cellStyle name="쉼표 [0] 4 2 4 29 3 2 2" xfId="22725"/>
    <cellStyle name="쉼표 [0] 4 2 4 29 3 2 2 2" xfId="48077"/>
    <cellStyle name="쉼표 [0] 4 2 4 29 3 2 3" xfId="35405"/>
    <cellStyle name="쉼표 [0] 4 2 4 29 3 3" xfId="16389"/>
    <cellStyle name="쉼표 [0] 4 2 4 29 3 3 2" xfId="41741"/>
    <cellStyle name="쉼표 [0] 4 2 4 29 3 4" xfId="29069"/>
    <cellStyle name="쉼표 [0] 4 2 4 29 3 5" xfId="51760"/>
    <cellStyle name="쉼표 [0] 4 2 4 29 4" xfId="6945"/>
    <cellStyle name="쉼표 [0] 4 2 4 29 4 2" xfId="19618"/>
    <cellStyle name="쉼표 [0] 4 2 4 29 4 2 2" xfId="44970"/>
    <cellStyle name="쉼표 [0] 4 2 4 29 4 3" xfId="32298"/>
    <cellStyle name="쉼표 [0] 4 2 4 29 5" xfId="13282"/>
    <cellStyle name="쉼표 [0] 4 2 4 29 5 2" xfId="38634"/>
    <cellStyle name="쉼표 [0] 4 2 4 29 6" xfId="25962"/>
    <cellStyle name="쉼표 [0] 4 2 4 29 7" xfId="51761"/>
    <cellStyle name="쉼표 [0] 4 2 4 3" xfId="610"/>
    <cellStyle name="쉼표 [0] 4 2 4 3 2" xfId="611"/>
    <cellStyle name="쉼표 [0] 4 2 4 3 2 2" xfId="3717"/>
    <cellStyle name="쉼표 [0] 4 2 4 3 2 2 2" xfId="10053"/>
    <cellStyle name="쉼표 [0] 4 2 4 3 2 2 2 2" xfId="22726"/>
    <cellStyle name="쉼표 [0] 4 2 4 3 2 2 2 2 2" xfId="48078"/>
    <cellStyle name="쉼표 [0] 4 2 4 3 2 2 2 3" xfId="35406"/>
    <cellStyle name="쉼표 [0] 4 2 4 3 2 2 3" xfId="16390"/>
    <cellStyle name="쉼표 [0] 4 2 4 3 2 2 3 2" xfId="41742"/>
    <cellStyle name="쉼표 [0] 4 2 4 3 2 2 4" xfId="29070"/>
    <cellStyle name="쉼표 [0] 4 2 4 3 2 2 5" xfId="51762"/>
    <cellStyle name="쉼표 [0] 4 2 4 3 2 3" xfId="6948"/>
    <cellStyle name="쉼표 [0] 4 2 4 3 2 3 2" xfId="19621"/>
    <cellStyle name="쉼표 [0] 4 2 4 3 2 3 2 2" xfId="44973"/>
    <cellStyle name="쉼표 [0] 4 2 4 3 2 3 3" xfId="32301"/>
    <cellStyle name="쉼표 [0] 4 2 4 3 2 4" xfId="13285"/>
    <cellStyle name="쉼표 [0] 4 2 4 3 2 4 2" xfId="38637"/>
    <cellStyle name="쉼표 [0] 4 2 4 3 2 5" xfId="25965"/>
    <cellStyle name="쉼표 [0] 4 2 4 3 2 6" xfId="51763"/>
    <cellStyle name="쉼표 [0] 4 2 4 3 3" xfId="3718"/>
    <cellStyle name="쉼표 [0] 4 2 4 3 3 2" xfId="10054"/>
    <cellStyle name="쉼표 [0] 4 2 4 3 3 2 2" xfId="22727"/>
    <cellStyle name="쉼표 [0] 4 2 4 3 3 2 2 2" xfId="48079"/>
    <cellStyle name="쉼표 [0] 4 2 4 3 3 2 3" xfId="35407"/>
    <cellStyle name="쉼표 [0] 4 2 4 3 3 3" xfId="16391"/>
    <cellStyle name="쉼표 [0] 4 2 4 3 3 3 2" xfId="41743"/>
    <cellStyle name="쉼표 [0] 4 2 4 3 3 4" xfId="29071"/>
    <cellStyle name="쉼표 [0] 4 2 4 3 3 5" xfId="51764"/>
    <cellStyle name="쉼표 [0] 4 2 4 3 4" xfId="6947"/>
    <cellStyle name="쉼표 [0] 4 2 4 3 4 2" xfId="19620"/>
    <cellStyle name="쉼표 [0] 4 2 4 3 4 2 2" xfId="44972"/>
    <cellStyle name="쉼표 [0] 4 2 4 3 4 3" xfId="32300"/>
    <cellStyle name="쉼표 [0] 4 2 4 3 5" xfId="13284"/>
    <cellStyle name="쉼표 [0] 4 2 4 3 5 2" xfId="38636"/>
    <cellStyle name="쉼표 [0] 4 2 4 3 6" xfId="25964"/>
    <cellStyle name="쉼표 [0] 4 2 4 3 7" xfId="51765"/>
    <cellStyle name="쉼표 [0] 4 2 4 30" xfId="612"/>
    <cellStyle name="쉼표 [0] 4 2 4 30 2" xfId="613"/>
    <cellStyle name="쉼표 [0] 4 2 4 30 2 2" xfId="3719"/>
    <cellStyle name="쉼표 [0] 4 2 4 30 2 2 2" xfId="10055"/>
    <cellStyle name="쉼표 [0] 4 2 4 30 2 2 2 2" xfId="22728"/>
    <cellStyle name="쉼표 [0] 4 2 4 30 2 2 2 2 2" xfId="48080"/>
    <cellStyle name="쉼표 [0] 4 2 4 30 2 2 2 3" xfId="35408"/>
    <cellStyle name="쉼표 [0] 4 2 4 30 2 2 3" xfId="16392"/>
    <cellStyle name="쉼표 [0] 4 2 4 30 2 2 3 2" xfId="41744"/>
    <cellStyle name="쉼표 [0] 4 2 4 30 2 2 4" xfId="29072"/>
    <cellStyle name="쉼표 [0] 4 2 4 30 2 2 5" xfId="51766"/>
    <cellStyle name="쉼표 [0] 4 2 4 30 2 3" xfId="6950"/>
    <cellStyle name="쉼표 [0] 4 2 4 30 2 3 2" xfId="19623"/>
    <cellStyle name="쉼표 [0] 4 2 4 30 2 3 2 2" xfId="44975"/>
    <cellStyle name="쉼표 [0] 4 2 4 30 2 3 3" xfId="32303"/>
    <cellStyle name="쉼표 [0] 4 2 4 30 2 4" xfId="13287"/>
    <cellStyle name="쉼표 [0] 4 2 4 30 2 4 2" xfId="38639"/>
    <cellStyle name="쉼표 [0] 4 2 4 30 2 5" xfId="25967"/>
    <cellStyle name="쉼표 [0] 4 2 4 30 2 6" xfId="51767"/>
    <cellStyle name="쉼표 [0] 4 2 4 30 3" xfId="3720"/>
    <cellStyle name="쉼표 [0] 4 2 4 30 3 2" xfId="10056"/>
    <cellStyle name="쉼표 [0] 4 2 4 30 3 2 2" xfId="22729"/>
    <cellStyle name="쉼표 [0] 4 2 4 30 3 2 2 2" xfId="48081"/>
    <cellStyle name="쉼표 [0] 4 2 4 30 3 2 3" xfId="35409"/>
    <cellStyle name="쉼표 [0] 4 2 4 30 3 3" xfId="16393"/>
    <cellStyle name="쉼표 [0] 4 2 4 30 3 3 2" xfId="41745"/>
    <cellStyle name="쉼표 [0] 4 2 4 30 3 4" xfId="29073"/>
    <cellStyle name="쉼표 [0] 4 2 4 30 3 5" xfId="51768"/>
    <cellStyle name="쉼표 [0] 4 2 4 30 4" xfId="6949"/>
    <cellStyle name="쉼표 [0] 4 2 4 30 4 2" xfId="19622"/>
    <cellStyle name="쉼표 [0] 4 2 4 30 4 2 2" xfId="44974"/>
    <cellStyle name="쉼표 [0] 4 2 4 30 4 3" xfId="32302"/>
    <cellStyle name="쉼표 [0] 4 2 4 30 5" xfId="13286"/>
    <cellStyle name="쉼표 [0] 4 2 4 30 5 2" xfId="38638"/>
    <cellStyle name="쉼표 [0] 4 2 4 30 6" xfId="25966"/>
    <cellStyle name="쉼표 [0] 4 2 4 30 7" xfId="51769"/>
    <cellStyle name="쉼표 [0] 4 2 4 31" xfId="614"/>
    <cellStyle name="쉼표 [0] 4 2 4 31 2" xfId="615"/>
    <cellStyle name="쉼표 [0] 4 2 4 31 2 2" xfId="3721"/>
    <cellStyle name="쉼표 [0] 4 2 4 31 2 2 2" xfId="10057"/>
    <cellStyle name="쉼표 [0] 4 2 4 31 2 2 2 2" xfId="22730"/>
    <cellStyle name="쉼표 [0] 4 2 4 31 2 2 2 2 2" xfId="48082"/>
    <cellStyle name="쉼표 [0] 4 2 4 31 2 2 2 3" xfId="35410"/>
    <cellStyle name="쉼표 [0] 4 2 4 31 2 2 3" xfId="16394"/>
    <cellStyle name="쉼표 [0] 4 2 4 31 2 2 3 2" xfId="41746"/>
    <cellStyle name="쉼표 [0] 4 2 4 31 2 2 4" xfId="29074"/>
    <cellStyle name="쉼표 [0] 4 2 4 31 2 2 5" xfId="51770"/>
    <cellStyle name="쉼표 [0] 4 2 4 31 2 3" xfId="6952"/>
    <cellStyle name="쉼표 [0] 4 2 4 31 2 3 2" xfId="19625"/>
    <cellStyle name="쉼표 [0] 4 2 4 31 2 3 2 2" xfId="44977"/>
    <cellStyle name="쉼표 [0] 4 2 4 31 2 3 3" xfId="32305"/>
    <cellStyle name="쉼표 [0] 4 2 4 31 2 4" xfId="13289"/>
    <cellStyle name="쉼표 [0] 4 2 4 31 2 4 2" xfId="38641"/>
    <cellStyle name="쉼표 [0] 4 2 4 31 2 5" xfId="25969"/>
    <cellStyle name="쉼표 [0] 4 2 4 31 2 6" xfId="51771"/>
    <cellStyle name="쉼표 [0] 4 2 4 31 3" xfId="3722"/>
    <cellStyle name="쉼표 [0] 4 2 4 31 3 2" xfId="10058"/>
    <cellStyle name="쉼표 [0] 4 2 4 31 3 2 2" xfId="22731"/>
    <cellStyle name="쉼표 [0] 4 2 4 31 3 2 2 2" xfId="48083"/>
    <cellStyle name="쉼표 [0] 4 2 4 31 3 2 3" xfId="35411"/>
    <cellStyle name="쉼표 [0] 4 2 4 31 3 3" xfId="16395"/>
    <cellStyle name="쉼표 [0] 4 2 4 31 3 3 2" xfId="41747"/>
    <cellStyle name="쉼표 [0] 4 2 4 31 3 4" xfId="29075"/>
    <cellStyle name="쉼표 [0] 4 2 4 31 3 5" xfId="51772"/>
    <cellStyle name="쉼표 [0] 4 2 4 31 4" xfId="6951"/>
    <cellStyle name="쉼표 [0] 4 2 4 31 4 2" xfId="19624"/>
    <cellStyle name="쉼표 [0] 4 2 4 31 4 2 2" xfId="44976"/>
    <cellStyle name="쉼표 [0] 4 2 4 31 4 3" xfId="32304"/>
    <cellStyle name="쉼표 [0] 4 2 4 31 5" xfId="13288"/>
    <cellStyle name="쉼표 [0] 4 2 4 31 5 2" xfId="38640"/>
    <cellStyle name="쉼표 [0] 4 2 4 31 6" xfId="25968"/>
    <cellStyle name="쉼표 [0] 4 2 4 31 7" xfId="51773"/>
    <cellStyle name="쉼표 [0] 4 2 4 32" xfId="616"/>
    <cellStyle name="쉼표 [0] 4 2 4 32 2" xfId="617"/>
    <cellStyle name="쉼표 [0] 4 2 4 32 2 2" xfId="3723"/>
    <cellStyle name="쉼표 [0] 4 2 4 32 2 2 2" xfId="10059"/>
    <cellStyle name="쉼표 [0] 4 2 4 32 2 2 2 2" xfId="22732"/>
    <cellStyle name="쉼표 [0] 4 2 4 32 2 2 2 2 2" xfId="48084"/>
    <cellStyle name="쉼표 [0] 4 2 4 32 2 2 2 3" xfId="35412"/>
    <cellStyle name="쉼표 [0] 4 2 4 32 2 2 3" xfId="16396"/>
    <cellStyle name="쉼표 [0] 4 2 4 32 2 2 3 2" xfId="41748"/>
    <cellStyle name="쉼표 [0] 4 2 4 32 2 2 4" xfId="29076"/>
    <cellStyle name="쉼표 [0] 4 2 4 32 2 2 5" xfId="51774"/>
    <cellStyle name="쉼표 [0] 4 2 4 32 2 3" xfId="6954"/>
    <cellStyle name="쉼표 [0] 4 2 4 32 2 3 2" xfId="19627"/>
    <cellStyle name="쉼표 [0] 4 2 4 32 2 3 2 2" xfId="44979"/>
    <cellStyle name="쉼표 [0] 4 2 4 32 2 3 3" xfId="32307"/>
    <cellStyle name="쉼표 [0] 4 2 4 32 2 4" xfId="13291"/>
    <cellStyle name="쉼표 [0] 4 2 4 32 2 4 2" xfId="38643"/>
    <cellStyle name="쉼표 [0] 4 2 4 32 2 5" xfId="25971"/>
    <cellStyle name="쉼표 [0] 4 2 4 32 2 6" xfId="51775"/>
    <cellStyle name="쉼표 [0] 4 2 4 32 3" xfId="3724"/>
    <cellStyle name="쉼표 [0] 4 2 4 32 3 2" xfId="10060"/>
    <cellStyle name="쉼표 [0] 4 2 4 32 3 2 2" xfId="22733"/>
    <cellStyle name="쉼표 [0] 4 2 4 32 3 2 2 2" xfId="48085"/>
    <cellStyle name="쉼표 [0] 4 2 4 32 3 2 3" xfId="35413"/>
    <cellStyle name="쉼표 [0] 4 2 4 32 3 3" xfId="16397"/>
    <cellStyle name="쉼표 [0] 4 2 4 32 3 3 2" xfId="41749"/>
    <cellStyle name="쉼표 [0] 4 2 4 32 3 4" xfId="29077"/>
    <cellStyle name="쉼표 [0] 4 2 4 32 3 5" xfId="51776"/>
    <cellStyle name="쉼표 [0] 4 2 4 32 4" xfId="6953"/>
    <cellStyle name="쉼표 [0] 4 2 4 32 4 2" xfId="19626"/>
    <cellStyle name="쉼표 [0] 4 2 4 32 4 2 2" xfId="44978"/>
    <cellStyle name="쉼표 [0] 4 2 4 32 4 3" xfId="32306"/>
    <cellStyle name="쉼표 [0] 4 2 4 32 5" xfId="13290"/>
    <cellStyle name="쉼표 [0] 4 2 4 32 5 2" xfId="38642"/>
    <cellStyle name="쉼표 [0] 4 2 4 32 6" xfId="25970"/>
    <cellStyle name="쉼표 [0] 4 2 4 32 7" xfId="51777"/>
    <cellStyle name="쉼표 [0] 4 2 4 33" xfId="618"/>
    <cellStyle name="쉼표 [0] 4 2 4 33 2" xfId="619"/>
    <cellStyle name="쉼표 [0] 4 2 4 33 2 2" xfId="3725"/>
    <cellStyle name="쉼표 [0] 4 2 4 33 2 2 2" xfId="10061"/>
    <cellStyle name="쉼표 [0] 4 2 4 33 2 2 2 2" xfId="22734"/>
    <cellStyle name="쉼표 [0] 4 2 4 33 2 2 2 2 2" xfId="48086"/>
    <cellStyle name="쉼표 [0] 4 2 4 33 2 2 2 3" xfId="35414"/>
    <cellStyle name="쉼표 [0] 4 2 4 33 2 2 3" xfId="16398"/>
    <cellStyle name="쉼표 [0] 4 2 4 33 2 2 3 2" xfId="41750"/>
    <cellStyle name="쉼표 [0] 4 2 4 33 2 2 4" xfId="29078"/>
    <cellStyle name="쉼표 [0] 4 2 4 33 2 2 5" xfId="51778"/>
    <cellStyle name="쉼표 [0] 4 2 4 33 2 3" xfId="6956"/>
    <cellStyle name="쉼표 [0] 4 2 4 33 2 3 2" xfId="19629"/>
    <cellStyle name="쉼표 [0] 4 2 4 33 2 3 2 2" xfId="44981"/>
    <cellStyle name="쉼표 [0] 4 2 4 33 2 3 3" xfId="32309"/>
    <cellStyle name="쉼표 [0] 4 2 4 33 2 4" xfId="13293"/>
    <cellStyle name="쉼표 [0] 4 2 4 33 2 4 2" xfId="38645"/>
    <cellStyle name="쉼표 [0] 4 2 4 33 2 5" xfId="25973"/>
    <cellStyle name="쉼표 [0] 4 2 4 33 2 6" xfId="51779"/>
    <cellStyle name="쉼표 [0] 4 2 4 33 3" xfId="3726"/>
    <cellStyle name="쉼표 [0] 4 2 4 33 3 2" xfId="10062"/>
    <cellStyle name="쉼표 [0] 4 2 4 33 3 2 2" xfId="22735"/>
    <cellStyle name="쉼표 [0] 4 2 4 33 3 2 2 2" xfId="48087"/>
    <cellStyle name="쉼표 [0] 4 2 4 33 3 2 3" xfId="35415"/>
    <cellStyle name="쉼표 [0] 4 2 4 33 3 3" xfId="16399"/>
    <cellStyle name="쉼표 [0] 4 2 4 33 3 3 2" xfId="41751"/>
    <cellStyle name="쉼표 [0] 4 2 4 33 3 4" xfId="29079"/>
    <cellStyle name="쉼표 [0] 4 2 4 33 3 5" xfId="51780"/>
    <cellStyle name="쉼표 [0] 4 2 4 33 4" xfId="6955"/>
    <cellStyle name="쉼표 [0] 4 2 4 33 4 2" xfId="19628"/>
    <cellStyle name="쉼표 [0] 4 2 4 33 4 2 2" xfId="44980"/>
    <cellStyle name="쉼표 [0] 4 2 4 33 4 3" xfId="32308"/>
    <cellStyle name="쉼표 [0] 4 2 4 33 5" xfId="13292"/>
    <cellStyle name="쉼표 [0] 4 2 4 33 5 2" xfId="38644"/>
    <cellStyle name="쉼표 [0] 4 2 4 33 6" xfId="25972"/>
    <cellStyle name="쉼표 [0] 4 2 4 33 7" xfId="51781"/>
    <cellStyle name="쉼표 [0] 4 2 4 34" xfId="620"/>
    <cellStyle name="쉼표 [0] 4 2 4 34 2" xfId="3727"/>
    <cellStyle name="쉼표 [0] 4 2 4 34 2 2" xfId="10063"/>
    <cellStyle name="쉼표 [0] 4 2 4 34 2 2 2" xfId="22736"/>
    <cellStyle name="쉼표 [0] 4 2 4 34 2 2 2 2" xfId="48088"/>
    <cellStyle name="쉼표 [0] 4 2 4 34 2 2 3" xfId="35416"/>
    <cellStyle name="쉼표 [0] 4 2 4 34 2 3" xfId="16400"/>
    <cellStyle name="쉼표 [0] 4 2 4 34 2 3 2" xfId="41752"/>
    <cellStyle name="쉼표 [0] 4 2 4 34 2 4" xfId="29080"/>
    <cellStyle name="쉼표 [0] 4 2 4 34 2 5" xfId="51782"/>
    <cellStyle name="쉼표 [0] 4 2 4 34 3" xfId="6957"/>
    <cellStyle name="쉼표 [0] 4 2 4 34 3 2" xfId="19630"/>
    <cellStyle name="쉼표 [0] 4 2 4 34 3 2 2" xfId="44982"/>
    <cellStyle name="쉼표 [0] 4 2 4 34 3 3" xfId="32310"/>
    <cellStyle name="쉼표 [0] 4 2 4 34 4" xfId="13294"/>
    <cellStyle name="쉼표 [0] 4 2 4 34 4 2" xfId="38646"/>
    <cellStyle name="쉼표 [0] 4 2 4 34 5" xfId="25974"/>
    <cellStyle name="쉼표 [0] 4 2 4 34 6" xfId="51783"/>
    <cellStyle name="쉼표 [0] 4 2 4 35" xfId="3728"/>
    <cellStyle name="쉼표 [0] 4 2 4 35 2" xfId="10064"/>
    <cellStyle name="쉼표 [0] 4 2 4 35 2 2" xfId="22737"/>
    <cellStyle name="쉼표 [0] 4 2 4 35 2 2 2" xfId="48089"/>
    <cellStyle name="쉼표 [0] 4 2 4 35 2 3" xfId="35417"/>
    <cellStyle name="쉼표 [0] 4 2 4 35 3" xfId="16401"/>
    <cellStyle name="쉼표 [0] 4 2 4 35 3 2" xfId="41753"/>
    <cellStyle name="쉼표 [0] 4 2 4 35 4" xfId="29081"/>
    <cellStyle name="쉼표 [0] 4 2 4 35 5" xfId="51784"/>
    <cellStyle name="쉼표 [0] 4 2 4 36" xfId="6401"/>
    <cellStyle name="쉼표 [0] 4 2 4 36 2" xfId="19074"/>
    <cellStyle name="쉼표 [0] 4 2 4 36 2 2" xfId="44426"/>
    <cellStyle name="쉼표 [0] 4 2 4 36 3" xfId="31754"/>
    <cellStyle name="쉼표 [0] 4 2 4 37" xfId="12738"/>
    <cellStyle name="쉼표 [0] 4 2 4 37 2" xfId="38090"/>
    <cellStyle name="쉼표 [0] 4 2 4 38" xfId="25418"/>
    <cellStyle name="쉼표 [0] 4 2 4 39" xfId="51785"/>
    <cellStyle name="쉼표 [0] 4 2 4 4" xfId="621"/>
    <cellStyle name="쉼표 [0] 4 2 4 4 2" xfId="622"/>
    <cellStyle name="쉼표 [0] 4 2 4 4 2 2" xfId="3729"/>
    <cellStyle name="쉼표 [0] 4 2 4 4 2 2 2" xfId="10065"/>
    <cellStyle name="쉼표 [0] 4 2 4 4 2 2 2 2" xfId="22738"/>
    <cellStyle name="쉼표 [0] 4 2 4 4 2 2 2 2 2" xfId="48090"/>
    <cellStyle name="쉼표 [0] 4 2 4 4 2 2 2 3" xfId="35418"/>
    <cellStyle name="쉼표 [0] 4 2 4 4 2 2 3" xfId="16402"/>
    <cellStyle name="쉼표 [0] 4 2 4 4 2 2 3 2" xfId="41754"/>
    <cellStyle name="쉼표 [0] 4 2 4 4 2 2 4" xfId="29082"/>
    <cellStyle name="쉼표 [0] 4 2 4 4 2 2 5" xfId="51786"/>
    <cellStyle name="쉼표 [0] 4 2 4 4 2 3" xfId="6959"/>
    <cellStyle name="쉼표 [0] 4 2 4 4 2 3 2" xfId="19632"/>
    <cellStyle name="쉼표 [0] 4 2 4 4 2 3 2 2" xfId="44984"/>
    <cellStyle name="쉼표 [0] 4 2 4 4 2 3 3" xfId="32312"/>
    <cellStyle name="쉼표 [0] 4 2 4 4 2 4" xfId="13296"/>
    <cellStyle name="쉼표 [0] 4 2 4 4 2 4 2" xfId="38648"/>
    <cellStyle name="쉼표 [0] 4 2 4 4 2 5" xfId="25976"/>
    <cellStyle name="쉼표 [0] 4 2 4 4 2 6" xfId="51787"/>
    <cellStyle name="쉼표 [0] 4 2 4 4 3" xfId="3730"/>
    <cellStyle name="쉼표 [0] 4 2 4 4 3 2" xfId="10066"/>
    <cellStyle name="쉼표 [0] 4 2 4 4 3 2 2" xfId="22739"/>
    <cellStyle name="쉼표 [0] 4 2 4 4 3 2 2 2" xfId="48091"/>
    <cellStyle name="쉼표 [0] 4 2 4 4 3 2 3" xfId="35419"/>
    <cellStyle name="쉼표 [0] 4 2 4 4 3 3" xfId="16403"/>
    <cellStyle name="쉼표 [0] 4 2 4 4 3 3 2" xfId="41755"/>
    <cellStyle name="쉼표 [0] 4 2 4 4 3 4" xfId="29083"/>
    <cellStyle name="쉼표 [0] 4 2 4 4 3 5" xfId="51788"/>
    <cellStyle name="쉼표 [0] 4 2 4 4 4" xfId="6958"/>
    <cellStyle name="쉼표 [0] 4 2 4 4 4 2" xfId="19631"/>
    <cellStyle name="쉼표 [0] 4 2 4 4 4 2 2" xfId="44983"/>
    <cellStyle name="쉼표 [0] 4 2 4 4 4 3" xfId="32311"/>
    <cellStyle name="쉼표 [0] 4 2 4 4 5" xfId="13295"/>
    <cellStyle name="쉼표 [0] 4 2 4 4 5 2" xfId="38647"/>
    <cellStyle name="쉼표 [0] 4 2 4 4 6" xfId="25975"/>
    <cellStyle name="쉼표 [0] 4 2 4 4 7" xfId="51789"/>
    <cellStyle name="쉼표 [0] 4 2 4 5" xfId="623"/>
    <cellStyle name="쉼표 [0] 4 2 4 5 2" xfId="624"/>
    <cellStyle name="쉼표 [0] 4 2 4 5 2 2" xfId="3731"/>
    <cellStyle name="쉼표 [0] 4 2 4 5 2 2 2" xfId="10067"/>
    <cellStyle name="쉼표 [0] 4 2 4 5 2 2 2 2" xfId="22740"/>
    <cellStyle name="쉼표 [0] 4 2 4 5 2 2 2 2 2" xfId="48092"/>
    <cellStyle name="쉼표 [0] 4 2 4 5 2 2 2 3" xfId="35420"/>
    <cellStyle name="쉼표 [0] 4 2 4 5 2 2 3" xfId="16404"/>
    <cellStyle name="쉼표 [0] 4 2 4 5 2 2 3 2" xfId="41756"/>
    <cellStyle name="쉼표 [0] 4 2 4 5 2 2 4" xfId="29084"/>
    <cellStyle name="쉼표 [0] 4 2 4 5 2 2 5" xfId="51790"/>
    <cellStyle name="쉼표 [0] 4 2 4 5 2 3" xfId="6961"/>
    <cellStyle name="쉼표 [0] 4 2 4 5 2 3 2" xfId="19634"/>
    <cellStyle name="쉼표 [0] 4 2 4 5 2 3 2 2" xfId="44986"/>
    <cellStyle name="쉼표 [0] 4 2 4 5 2 3 3" xfId="32314"/>
    <cellStyle name="쉼표 [0] 4 2 4 5 2 4" xfId="13298"/>
    <cellStyle name="쉼표 [0] 4 2 4 5 2 4 2" xfId="38650"/>
    <cellStyle name="쉼표 [0] 4 2 4 5 2 5" xfId="25978"/>
    <cellStyle name="쉼표 [0] 4 2 4 5 2 6" xfId="51791"/>
    <cellStyle name="쉼표 [0] 4 2 4 5 3" xfId="3732"/>
    <cellStyle name="쉼표 [0] 4 2 4 5 3 2" xfId="10068"/>
    <cellStyle name="쉼표 [0] 4 2 4 5 3 2 2" xfId="22741"/>
    <cellStyle name="쉼표 [0] 4 2 4 5 3 2 2 2" xfId="48093"/>
    <cellStyle name="쉼표 [0] 4 2 4 5 3 2 3" xfId="35421"/>
    <cellStyle name="쉼표 [0] 4 2 4 5 3 3" xfId="16405"/>
    <cellStyle name="쉼표 [0] 4 2 4 5 3 3 2" xfId="41757"/>
    <cellStyle name="쉼표 [0] 4 2 4 5 3 4" xfId="29085"/>
    <cellStyle name="쉼표 [0] 4 2 4 5 3 5" xfId="51792"/>
    <cellStyle name="쉼표 [0] 4 2 4 5 4" xfId="6960"/>
    <cellStyle name="쉼표 [0] 4 2 4 5 4 2" xfId="19633"/>
    <cellStyle name="쉼표 [0] 4 2 4 5 4 2 2" xfId="44985"/>
    <cellStyle name="쉼표 [0] 4 2 4 5 4 3" xfId="32313"/>
    <cellStyle name="쉼표 [0] 4 2 4 5 5" xfId="13297"/>
    <cellStyle name="쉼표 [0] 4 2 4 5 5 2" xfId="38649"/>
    <cellStyle name="쉼표 [0] 4 2 4 5 6" xfId="25977"/>
    <cellStyle name="쉼표 [0] 4 2 4 5 7" xfId="51793"/>
    <cellStyle name="쉼표 [0] 4 2 4 6" xfId="625"/>
    <cellStyle name="쉼표 [0] 4 2 4 6 2" xfId="626"/>
    <cellStyle name="쉼표 [0] 4 2 4 6 2 2" xfId="3733"/>
    <cellStyle name="쉼표 [0] 4 2 4 6 2 2 2" xfId="10069"/>
    <cellStyle name="쉼표 [0] 4 2 4 6 2 2 2 2" xfId="22742"/>
    <cellStyle name="쉼표 [0] 4 2 4 6 2 2 2 2 2" xfId="48094"/>
    <cellStyle name="쉼표 [0] 4 2 4 6 2 2 2 3" xfId="35422"/>
    <cellStyle name="쉼표 [0] 4 2 4 6 2 2 3" xfId="16406"/>
    <cellStyle name="쉼표 [0] 4 2 4 6 2 2 3 2" xfId="41758"/>
    <cellStyle name="쉼표 [0] 4 2 4 6 2 2 4" xfId="29086"/>
    <cellStyle name="쉼표 [0] 4 2 4 6 2 2 5" xfId="51794"/>
    <cellStyle name="쉼표 [0] 4 2 4 6 2 3" xfId="6963"/>
    <cellStyle name="쉼표 [0] 4 2 4 6 2 3 2" xfId="19636"/>
    <cellStyle name="쉼표 [0] 4 2 4 6 2 3 2 2" xfId="44988"/>
    <cellStyle name="쉼표 [0] 4 2 4 6 2 3 3" xfId="32316"/>
    <cellStyle name="쉼표 [0] 4 2 4 6 2 4" xfId="13300"/>
    <cellStyle name="쉼표 [0] 4 2 4 6 2 4 2" xfId="38652"/>
    <cellStyle name="쉼표 [0] 4 2 4 6 2 5" xfId="25980"/>
    <cellStyle name="쉼표 [0] 4 2 4 6 2 6" xfId="51795"/>
    <cellStyle name="쉼표 [0] 4 2 4 6 3" xfId="3734"/>
    <cellStyle name="쉼표 [0] 4 2 4 6 3 2" xfId="10070"/>
    <cellStyle name="쉼표 [0] 4 2 4 6 3 2 2" xfId="22743"/>
    <cellStyle name="쉼표 [0] 4 2 4 6 3 2 2 2" xfId="48095"/>
    <cellStyle name="쉼표 [0] 4 2 4 6 3 2 3" xfId="35423"/>
    <cellStyle name="쉼표 [0] 4 2 4 6 3 3" xfId="16407"/>
    <cellStyle name="쉼표 [0] 4 2 4 6 3 3 2" xfId="41759"/>
    <cellStyle name="쉼표 [0] 4 2 4 6 3 4" xfId="29087"/>
    <cellStyle name="쉼표 [0] 4 2 4 6 3 5" xfId="51796"/>
    <cellStyle name="쉼표 [0] 4 2 4 6 4" xfId="6962"/>
    <cellStyle name="쉼표 [0] 4 2 4 6 4 2" xfId="19635"/>
    <cellStyle name="쉼표 [0] 4 2 4 6 4 2 2" xfId="44987"/>
    <cellStyle name="쉼표 [0] 4 2 4 6 4 3" xfId="32315"/>
    <cellStyle name="쉼표 [0] 4 2 4 6 5" xfId="13299"/>
    <cellStyle name="쉼표 [0] 4 2 4 6 5 2" xfId="38651"/>
    <cellStyle name="쉼표 [0] 4 2 4 6 6" xfId="25979"/>
    <cellStyle name="쉼표 [0] 4 2 4 6 7" xfId="51797"/>
    <cellStyle name="쉼표 [0] 4 2 4 7" xfId="627"/>
    <cellStyle name="쉼표 [0] 4 2 4 7 2" xfId="628"/>
    <cellStyle name="쉼표 [0] 4 2 4 7 2 2" xfId="3735"/>
    <cellStyle name="쉼표 [0] 4 2 4 7 2 2 2" xfId="10071"/>
    <cellStyle name="쉼표 [0] 4 2 4 7 2 2 2 2" xfId="22744"/>
    <cellStyle name="쉼표 [0] 4 2 4 7 2 2 2 2 2" xfId="48096"/>
    <cellStyle name="쉼표 [0] 4 2 4 7 2 2 2 3" xfId="35424"/>
    <cellStyle name="쉼표 [0] 4 2 4 7 2 2 3" xfId="16408"/>
    <cellStyle name="쉼표 [0] 4 2 4 7 2 2 3 2" xfId="41760"/>
    <cellStyle name="쉼표 [0] 4 2 4 7 2 2 4" xfId="29088"/>
    <cellStyle name="쉼표 [0] 4 2 4 7 2 2 5" xfId="51798"/>
    <cellStyle name="쉼표 [0] 4 2 4 7 2 3" xfId="6965"/>
    <cellStyle name="쉼표 [0] 4 2 4 7 2 3 2" xfId="19638"/>
    <cellStyle name="쉼표 [0] 4 2 4 7 2 3 2 2" xfId="44990"/>
    <cellStyle name="쉼표 [0] 4 2 4 7 2 3 3" xfId="32318"/>
    <cellStyle name="쉼표 [0] 4 2 4 7 2 4" xfId="13302"/>
    <cellStyle name="쉼표 [0] 4 2 4 7 2 4 2" xfId="38654"/>
    <cellStyle name="쉼표 [0] 4 2 4 7 2 5" xfId="25982"/>
    <cellStyle name="쉼표 [0] 4 2 4 7 2 6" xfId="51799"/>
    <cellStyle name="쉼표 [0] 4 2 4 7 3" xfId="3736"/>
    <cellStyle name="쉼표 [0] 4 2 4 7 3 2" xfId="10072"/>
    <cellStyle name="쉼표 [0] 4 2 4 7 3 2 2" xfId="22745"/>
    <cellStyle name="쉼표 [0] 4 2 4 7 3 2 2 2" xfId="48097"/>
    <cellStyle name="쉼표 [0] 4 2 4 7 3 2 3" xfId="35425"/>
    <cellStyle name="쉼표 [0] 4 2 4 7 3 3" xfId="16409"/>
    <cellStyle name="쉼표 [0] 4 2 4 7 3 3 2" xfId="41761"/>
    <cellStyle name="쉼표 [0] 4 2 4 7 3 4" xfId="29089"/>
    <cellStyle name="쉼표 [0] 4 2 4 7 3 5" xfId="51800"/>
    <cellStyle name="쉼표 [0] 4 2 4 7 4" xfId="6964"/>
    <cellStyle name="쉼표 [0] 4 2 4 7 4 2" xfId="19637"/>
    <cellStyle name="쉼표 [0] 4 2 4 7 4 2 2" xfId="44989"/>
    <cellStyle name="쉼표 [0] 4 2 4 7 4 3" xfId="32317"/>
    <cellStyle name="쉼표 [0] 4 2 4 7 5" xfId="13301"/>
    <cellStyle name="쉼표 [0] 4 2 4 7 5 2" xfId="38653"/>
    <cellStyle name="쉼표 [0] 4 2 4 7 6" xfId="25981"/>
    <cellStyle name="쉼표 [0] 4 2 4 7 7" xfId="51801"/>
    <cellStyle name="쉼표 [0] 4 2 4 8" xfId="629"/>
    <cellStyle name="쉼표 [0] 4 2 4 8 2" xfId="630"/>
    <cellStyle name="쉼표 [0] 4 2 4 8 2 2" xfId="3737"/>
    <cellStyle name="쉼표 [0] 4 2 4 8 2 2 2" xfId="10073"/>
    <cellStyle name="쉼표 [0] 4 2 4 8 2 2 2 2" xfId="22746"/>
    <cellStyle name="쉼표 [0] 4 2 4 8 2 2 2 2 2" xfId="48098"/>
    <cellStyle name="쉼표 [0] 4 2 4 8 2 2 2 3" xfId="35426"/>
    <cellStyle name="쉼표 [0] 4 2 4 8 2 2 3" xfId="16410"/>
    <cellStyle name="쉼표 [0] 4 2 4 8 2 2 3 2" xfId="41762"/>
    <cellStyle name="쉼표 [0] 4 2 4 8 2 2 4" xfId="29090"/>
    <cellStyle name="쉼표 [0] 4 2 4 8 2 2 5" xfId="51802"/>
    <cellStyle name="쉼표 [0] 4 2 4 8 2 3" xfId="6967"/>
    <cellStyle name="쉼표 [0] 4 2 4 8 2 3 2" xfId="19640"/>
    <cellStyle name="쉼표 [0] 4 2 4 8 2 3 2 2" xfId="44992"/>
    <cellStyle name="쉼표 [0] 4 2 4 8 2 3 3" xfId="32320"/>
    <cellStyle name="쉼표 [0] 4 2 4 8 2 4" xfId="13304"/>
    <cellStyle name="쉼표 [0] 4 2 4 8 2 4 2" xfId="38656"/>
    <cellStyle name="쉼표 [0] 4 2 4 8 2 5" xfId="25984"/>
    <cellStyle name="쉼표 [0] 4 2 4 8 2 6" xfId="51803"/>
    <cellStyle name="쉼표 [0] 4 2 4 8 3" xfId="3738"/>
    <cellStyle name="쉼표 [0] 4 2 4 8 3 2" xfId="10074"/>
    <cellStyle name="쉼표 [0] 4 2 4 8 3 2 2" xfId="22747"/>
    <cellStyle name="쉼표 [0] 4 2 4 8 3 2 2 2" xfId="48099"/>
    <cellStyle name="쉼표 [0] 4 2 4 8 3 2 3" xfId="35427"/>
    <cellStyle name="쉼표 [0] 4 2 4 8 3 3" xfId="16411"/>
    <cellStyle name="쉼표 [0] 4 2 4 8 3 3 2" xfId="41763"/>
    <cellStyle name="쉼표 [0] 4 2 4 8 3 4" xfId="29091"/>
    <cellStyle name="쉼표 [0] 4 2 4 8 3 5" xfId="51804"/>
    <cellStyle name="쉼표 [0] 4 2 4 8 4" xfId="6966"/>
    <cellStyle name="쉼표 [0] 4 2 4 8 4 2" xfId="19639"/>
    <cellStyle name="쉼표 [0] 4 2 4 8 4 2 2" xfId="44991"/>
    <cellStyle name="쉼표 [0] 4 2 4 8 4 3" xfId="32319"/>
    <cellStyle name="쉼표 [0] 4 2 4 8 5" xfId="13303"/>
    <cellStyle name="쉼표 [0] 4 2 4 8 5 2" xfId="38655"/>
    <cellStyle name="쉼표 [0] 4 2 4 8 6" xfId="25983"/>
    <cellStyle name="쉼표 [0] 4 2 4 8 7" xfId="51805"/>
    <cellStyle name="쉼표 [0] 4 2 4 9" xfId="631"/>
    <cellStyle name="쉼표 [0] 4 2 4 9 2" xfId="632"/>
    <cellStyle name="쉼표 [0] 4 2 4 9 2 2" xfId="3739"/>
    <cellStyle name="쉼표 [0] 4 2 4 9 2 2 2" xfId="10075"/>
    <cellStyle name="쉼표 [0] 4 2 4 9 2 2 2 2" xfId="22748"/>
    <cellStyle name="쉼표 [0] 4 2 4 9 2 2 2 2 2" xfId="48100"/>
    <cellStyle name="쉼표 [0] 4 2 4 9 2 2 2 3" xfId="35428"/>
    <cellStyle name="쉼표 [0] 4 2 4 9 2 2 3" xfId="16412"/>
    <cellStyle name="쉼표 [0] 4 2 4 9 2 2 3 2" xfId="41764"/>
    <cellStyle name="쉼표 [0] 4 2 4 9 2 2 4" xfId="29092"/>
    <cellStyle name="쉼표 [0] 4 2 4 9 2 2 5" xfId="51806"/>
    <cellStyle name="쉼표 [0] 4 2 4 9 2 3" xfId="6969"/>
    <cellStyle name="쉼표 [0] 4 2 4 9 2 3 2" xfId="19642"/>
    <cellStyle name="쉼표 [0] 4 2 4 9 2 3 2 2" xfId="44994"/>
    <cellStyle name="쉼표 [0] 4 2 4 9 2 3 3" xfId="32322"/>
    <cellStyle name="쉼표 [0] 4 2 4 9 2 4" xfId="13306"/>
    <cellStyle name="쉼표 [0] 4 2 4 9 2 4 2" xfId="38658"/>
    <cellStyle name="쉼표 [0] 4 2 4 9 2 5" xfId="25986"/>
    <cellStyle name="쉼표 [0] 4 2 4 9 2 6" xfId="51807"/>
    <cellStyle name="쉼표 [0] 4 2 4 9 3" xfId="3740"/>
    <cellStyle name="쉼표 [0] 4 2 4 9 3 2" xfId="10076"/>
    <cellStyle name="쉼표 [0] 4 2 4 9 3 2 2" xfId="22749"/>
    <cellStyle name="쉼표 [0] 4 2 4 9 3 2 2 2" xfId="48101"/>
    <cellStyle name="쉼표 [0] 4 2 4 9 3 2 3" xfId="35429"/>
    <cellStyle name="쉼표 [0] 4 2 4 9 3 3" xfId="16413"/>
    <cellStyle name="쉼표 [0] 4 2 4 9 3 3 2" xfId="41765"/>
    <cellStyle name="쉼표 [0] 4 2 4 9 3 4" xfId="29093"/>
    <cellStyle name="쉼표 [0] 4 2 4 9 3 5" xfId="51808"/>
    <cellStyle name="쉼표 [0] 4 2 4 9 4" xfId="6968"/>
    <cellStyle name="쉼표 [0] 4 2 4 9 4 2" xfId="19641"/>
    <cellStyle name="쉼표 [0] 4 2 4 9 4 2 2" xfId="44993"/>
    <cellStyle name="쉼표 [0] 4 2 4 9 4 3" xfId="32321"/>
    <cellStyle name="쉼표 [0] 4 2 4 9 5" xfId="13305"/>
    <cellStyle name="쉼표 [0] 4 2 4 9 5 2" xfId="38657"/>
    <cellStyle name="쉼표 [0] 4 2 4 9 6" xfId="25985"/>
    <cellStyle name="쉼표 [0] 4 2 4 9 7" xfId="51809"/>
    <cellStyle name="쉼표 [0] 4 2 40" xfId="12711"/>
    <cellStyle name="쉼표 [0] 4 2 40 2" xfId="38063"/>
    <cellStyle name="쉼표 [0] 4 2 41" xfId="25391"/>
    <cellStyle name="쉼표 [0] 4 2 42" xfId="51810"/>
    <cellStyle name="쉼표 [0] 4 2 5" xfId="64"/>
    <cellStyle name="쉼표 [0] 4 2 5 2" xfId="633"/>
    <cellStyle name="쉼표 [0] 4 2 5 2 2" xfId="3741"/>
    <cellStyle name="쉼표 [0] 4 2 5 2 2 2" xfId="10077"/>
    <cellStyle name="쉼표 [0] 4 2 5 2 2 2 2" xfId="22750"/>
    <cellStyle name="쉼표 [0] 4 2 5 2 2 2 2 2" xfId="48102"/>
    <cellStyle name="쉼표 [0] 4 2 5 2 2 2 3" xfId="35430"/>
    <cellStyle name="쉼표 [0] 4 2 5 2 2 3" xfId="16414"/>
    <cellStyle name="쉼표 [0] 4 2 5 2 2 3 2" xfId="41766"/>
    <cellStyle name="쉼표 [0] 4 2 5 2 2 4" xfId="29094"/>
    <cellStyle name="쉼표 [0] 4 2 5 2 2 5" xfId="51811"/>
    <cellStyle name="쉼표 [0] 4 2 5 2 3" xfId="6970"/>
    <cellStyle name="쉼표 [0] 4 2 5 2 3 2" xfId="19643"/>
    <cellStyle name="쉼표 [0] 4 2 5 2 3 2 2" xfId="44995"/>
    <cellStyle name="쉼표 [0] 4 2 5 2 3 3" xfId="32323"/>
    <cellStyle name="쉼표 [0] 4 2 5 2 4" xfId="13307"/>
    <cellStyle name="쉼표 [0] 4 2 5 2 4 2" xfId="38659"/>
    <cellStyle name="쉼표 [0] 4 2 5 2 5" xfId="25987"/>
    <cellStyle name="쉼표 [0] 4 2 5 2 6" xfId="51812"/>
    <cellStyle name="쉼표 [0] 4 2 5 3" xfId="3742"/>
    <cellStyle name="쉼표 [0] 4 2 5 3 2" xfId="10078"/>
    <cellStyle name="쉼표 [0] 4 2 5 3 2 2" xfId="22751"/>
    <cellStyle name="쉼표 [0] 4 2 5 3 2 2 2" xfId="48103"/>
    <cellStyle name="쉼표 [0] 4 2 5 3 2 3" xfId="35431"/>
    <cellStyle name="쉼표 [0] 4 2 5 3 3" xfId="16415"/>
    <cellStyle name="쉼표 [0] 4 2 5 3 3 2" xfId="41767"/>
    <cellStyle name="쉼표 [0] 4 2 5 3 4" xfId="29095"/>
    <cellStyle name="쉼표 [0] 4 2 5 3 5" xfId="51813"/>
    <cellStyle name="쉼표 [0] 4 2 5 4" xfId="6402"/>
    <cellStyle name="쉼표 [0] 4 2 5 4 2" xfId="19075"/>
    <cellStyle name="쉼표 [0] 4 2 5 4 2 2" xfId="44427"/>
    <cellStyle name="쉼표 [0] 4 2 5 4 3" xfId="31755"/>
    <cellStyle name="쉼표 [0] 4 2 5 5" xfId="12739"/>
    <cellStyle name="쉼표 [0] 4 2 5 5 2" xfId="38091"/>
    <cellStyle name="쉼표 [0] 4 2 5 6" xfId="25419"/>
    <cellStyle name="쉼표 [0] 4 2 5 7" xfId="51814"/>
    <cellStyle name="쉼표 [0] 4 2 6" xfId="634"/>
    <cellStyle name="쉼표 [0] 4 2 6 2" xfId="635"/>
    <cellStyle name="쉼표 [0] 4 2 6 2 2" xfId="3743"/>
    <cellStyle name="쉼표 [0] 4 2 6 2 2 2" xfId="10079"/>
    <cellStyle name="쉼표 [0] 4 2 6 2 2 2 2" xfId="22752"/>
    <cellStyle name="쉼표 [0] 4 2 6 2 2 2 2 2" xfId="48104"/>
    <cellStyle name="쉼표 [0] 4 2 6 2 2 2 3" xfId="35432"/>
    <cellStyle name="쉼표 [0] 4 2 6 2 2 3" xfId="16416"/>
    <cellStyle name="쉼표 [0] 4 2 6 2 2 3 2" xfId="41768"/>
    <cellStyle name="쉼표 [0] 4 2 6 2 2 4" xfId="29096"/>
    <cellStyle name="쉼표 [0] 4 2 6 2 2 5" xfId="51815"/>
    <cellStyle name="쉼표 [0] 4 2 6 2 3" xfId="6972"/>
    <cellStyle name="쉼표 [0] 4 2 6 2 3 2" xfId="19645"/>
    <cellStyle name="쉼표 [0] 4 2 6 2 3 2 2" xfId="44997"/>
    <cellStyle name="쉼표 [0] 4 2 6 2 3 3" xfId="32325"/>
    <cellStyle name="쉼표 [0] 4 2 6 2 4" xfId="13309"/>
    <cellStyle name="쉼표 [0] 4 2 6 2 4 2" xfId="38661"/>
    <cellStyle name="쉼표 [0] 4 2 6 2 5" xfId="25989"/>
    <cellStyle name="쉼표 [0] 4 2 6 2 6" xfId="51816"/>
    <cellStyle name="쉼표 [0] 4 2 6 3" xfId="3744"/>
    <cellStyle name="쉼표 [0] 4 2 6 3 2" xfId="10080"/>
    <cellStyle name="쉼표 [0] 4 2 6 3 2 2" xfId="22753"/>
    <cellStyle name="쉼표 [0] 4 2 6 3 2 2 2" xfId="48105"/>
    <cellStyle name="쉼표 [0] 4 2 6 3 2 3" xfId="35433"/>
    <cellStyle name="쉼표 [0] 4 2 6 3 3" xfId="16417"/>
    <cellStyle name="쉼표 [0] 4 2 6 3 3 2" xfId="41769"/>
    <cellStyle name="쉼표 [0] 4 2 6 3 4" xfId="29097"/>
    <cellStyle name="쉼표 [0] 4 2 6 3 5" xfId="51817"/>
    <cellStyle name="쉼표 [0] 4 2 6 4" xfId="6971"/>
    <cellStyle name="쉼표 [0] 4 2 6 4 2" xfId="19644"/>
    <cellStyle name="쉼표 [0] 4 2 6 4 2 2" xfId="44996"/>
    <cellStyle name="쉼표 [0] 4 2 6 4 3" xfId="32324"/>
    <cellStyle name="쉼표 [0] 4 2 6 5" xfId="13308"/>
    <cellStyle name="쉼표 [0] 4 2 6 5 2" xfId="38660"/>
    <cellStyle name="쉼표 [0] 4 2 6 6" xfId="25988"/>
    <cellStyle name="쉼표 [0] 4 2 6 7" xfId="51818"/>
    <cellStyle name="쉼표 [0] 4 2 7" xfId="636"/>
    <cellStyle name="쉼표 [0] 4 2 7 2" xfId="637"/>
    <cellStyle name="쉼표 [0] 4 2 7 2 2" xfId="3745"/>
    <cellStyle name="쉼표 [0] 4 2 7 2 2 2" xfId="10081"/>
    <cellStyle name="쉼표 [0] 4 2 7 2 2 2 2" xfId="22754"/>
    <cellStyle name="쉼표 [0] 4 2 7 2 2 2 2 2" xfId="48106"/>
    <cellStyle name="쉼표 [0] 4 2 7 2 2 2 3" xfId="35434"/>
    <cellStyle name="쉼표 [0] 4 2 7 2 2 3" xfId="16418"/>
    <cellStyle name="쉼표 [0] 4 2 7 2 2 3 2" xfId="41770"/>
    <cellStyle name="쉼표 [0] 4 2 7 2 2 4" xfId="29098"/>
    <cellStyle name="쉼표 [0] 4 2 7 2 2 5" xfId="51819"/>
    <cellStyle name="쉼표 [0] 4 2 7 2 3" xfId="6974"/>
    <cellStyle name="쉼표 [0] 4 2 7 2 3 2" xfId="19647"/>
    <cellStyle name="쉼표 [0] 4 2 7 2 3 2 2" xfId="44999"/>
    <cellStyle name="쉼표 [0] 4 2 7 2 3 3" xfId="32327"/>
    <cellStyle name="쉼표 [0] 4 2 7 2 4" xfId="13311"/>
    <cellStyle name="쉼표 [0] 4 2 7 2 4 2" xfId="38663"/>
    <cellStyle name="쉼표 [0] 4 2 7 2 5" xfId="25991"/>
    <cellStyle name="쉼표 [0] 4 2 7 2 6" xfId="51820"/>
    <cellStyle name="쉼표 [0] 4 2 7 3" xfId="3746"/>
    <cellStyle name="쉼표 [0] 4 2 7 3 2" xfId="10082"/>
    <cellStyle name="쉼표 [0] 4 2 7 3 2 2" xfId="22755"/>
    <cellStyle name="쉼표 [0] 4 2 7 3 2 2 2" xfId="48107"/>
    <cellStyle name="쉼표 [0] 4 2 7 3 2 3" xfId="35435"/>
    <cellStyle name="쉼표 [0] 4 2 7 3 3" xfId="16419"/>
    <cellStyle name="쉼표 [0] 4 2 7 3 3 2" xfId="41771"/>
    <cellStyle name="쉼표 [0] 4 2 7 3 4" xfId="29099"/>
    <cellStyle name="쉼표 [0] 4 2 7 3 5" xfId="51821"/>
    <cellStyle name="쉼표 [0] 4 2 7 4" xfId="6973"/>
    <cellStyle name="쉼표 [0] 4 2 7 4 2" xfId="19646"/>
    <cellStyle name="쉼표 [0] 4 2 7 4 2 2" xfId="44998"/>
    <cellStyle name="쉼표 [0] 4 2 7 4 3" xfId="32326"/>
    <cellStyle name="쉼표 [0] 4 2 7 5" xfId="13310"/>
    <cellStyle name="쉼표 [0] 4 2 7 5 2" xfId="38662"/>
    <cellStyle name="쉼표 [0] 4 2 7 6" xfId="25990"/>
    <cellStyle name="쉼표 [0] 4 2 7 7" xfId="51822"/>
    <cellStyle name="쉼표 [0] 4 2 8" xfId="638"/>
    <cellStyle name="쉼표 [0] 4 2 8 2" xfId="639"/>
    <cellStyle name="쉼표 [0] 4 2 8 2 2" xfId="3747"/>
    <cellStyle name="쉼표 [0] 4 2 8 2 2 2" xfId="10083"/>
    <cellStyle name="쉼표 [0] 4 2 8 2 2 2 2" xfId="22756"/>
    <cellStyle name="쉼표 [0] 4 2 8 2 2 2 2 2" xfId="48108"/>
    <cellStyle name="쉼표 [0] 4 2 8 2 2 2 3" xfId="35436"/>
    <cellStyle name="쉼표 [0] 4 2 8 2 2 3" xfId="16420"/>
    <cellStyle name="쉼표 [0] 4 2 8 2 2 3 2" xfId="41772"/>
    <cellStyle name="쉼표 [0] 4 2 8 2 2 4" xfId="29100"/>
    <cellStyle name="쉼표 [0] 4 2 8 2 2 5" xfId="51823"/>
    <cellStyle name="쉼표 [0] 4 2 8 2 3" xfId="6976"/>
    <cellStyle name="쉼표 [0] 4 2 8 2 3 2" xfId="19649"/>
    <cellStyle name="쉼표 [0] 4 2 8 2 3 2 2" xfId="45001"/>
    <cellStyle name="쉼표 [0] 4 2 8 2 3 3" xfId="32329"/>
    <cellStyle name="쉼표 [0] 4 2 8 2 4" xfId="13313"/>
    <cellStyle name="쉼표 [0] 4 2 8 2 4 2" xfId="38665"/>
    <cellStyle name="쉼표 [0] 4 2 8 2 5" xfId="25993"/>
    <cellStyle name="쉼표 [0] 4 2 8 2 6" xfId="51824"/>
    <cellStyle name="쉼표 [0] 4 2 8 3" xfId="3748"/>
    <cellStyle name="쉼표 [0] 4 2 8 3 2" xfId="10084"/>
    <cellStyle name="쉼표 [0] 4 2 8 3 2 2" xfId="22757"/>
    <cellStyle name="쉼표 [0] 4 2 8 3 2 2 2" xfId="48109"/>
    <cellStyle name="쉼표 [0] 4 2 8 3 2 3" xfId="35437"/>
    <cellStyle name="쉼표 [0] 4 2 8 3 3" xfId="16421"/>
    <cellStyle name="쉼표 [0] 4 2 8 3 3 2" xfId="41773"/>
    <cellStyle name="쉼표 [0] 4 2 8 3 4" xfId="29101"/>
    <cellStyle name="쉼표 [0] 4 2 8 3 5" xfId="51825"/>
    <cellStyle name="쉼표 [0] 4 2 8 4" xfId="6975"/>
    <cellStyle name="쉼표 [0] 4 2 8 4 2" xfId="19648"/>
    <cellStyle name="쉼표 [0] 4 2 8 4 2 2" xfId="45000"/>
    <cellStyle name="쉼표 [0] 4 2 8 4 3" xfId="32328"/>
    <cellStyle name="쉼표 [0] 4 2 8 5" xfId="13312"/>
    <cellStyle name="쉼표 [0] 4 2 8 5 2" xfId="38664"/>
    <cellStyle name="쉼표 [0] 4 2 8 6" xfId="25992"/>
    <cellStyle name="쉼표 [0] 4 2 8 7" xfId="51826"/>
    <cellStyle name="쉼표 [0] 4 2 9" xfId="640"/>
    <cellStyle name="쉼표 [0] 4 2 9 2" xfId="641"/>
    <cellStyle name="쉼표 [0] 4 2 9 2 2" xfId="3749"/>
    <cellStyle name="쉼표 [0] 4 2 9 2 2 2" xfId="10085"/>
    <cellStyle name="쉼표 [0] 4 2 9 2 2 2 2" xfId="22758"/>
    <cellStyle name="쉼표 [0] 4 2 9 2 2 2 2 2" xfId="48110"/>
    <cellStyle name="쉼표 [0] 4 2 9 2 2 2 3" xfId="35438"/>
    <cellStyle name="쉼표 [0] 4 2 9 2 2 3" xfId="16422"/>
    <cellStyle name="쉼표 [0] 4 2 9 2 2 3 2" xfId="41774"/>
    <cellStyle name="쉼표 [0] 4 2 9 2 2 4" xfId="29102"/>
    <cellStyle name="쉼표 [0] 4 2 9 2 2 5" xfId="51827"/>
    <cellStyle name="쉼표 [0] 4 2 9 2 3" xfId="6978"/>
    <cellStyle name="쉼표 [0] 4 2 9 2 3 2" xfId="19651"/>
    <cellStyle name="쉼표 [0] 4 2 9 2 3 2 2" xfId="45003"/>
    <cellStyle name="쉼표 [0] 4 2 9 2 3 3" xfId="32331"/>
    <cellStyle name="쉼표 [0] 4 2 9 2 4" xfId="13315"/>
    <cellStyle name="쉼표 [0] 4 2 9 2 4 2" xfId="38667"/>
    <cellStyle name="쉼표 [0] 4 2 9 2 5" xfId="25995"/>
    <cellStyle name="쉼표 [0] 4 2 9 2 6" xfId="51828"/>
    <cellStyle name="쉼표 [0] 4 2 9 3" xfId="3750"/>
    <cellStyle name="쉼표 [0] 4 2 9 3 2" xfId="10086"/>
    <cellStyle name="쉼표 [0] 4 2 9 3 2 2" xfId="22759"/>
    <cellStyle name="쉼표 [0] 4 2 9 3 2 2 2" xfId="48111"/>
    <cellStyle name="쉼표 [0] 4 2 9 3 2 3" xfId="35439"/>
    <cellStyle name="쉼표 [0] 4 2 9 3 3" xfId="16423"/>
    <cellStyle name="쉼표 [0] 4 2 9 3 3 2" xfId="41775"/>
    <cellStyle name="쉼표 [0] 4 2 9 3 4" xfId="29103"/>
    <cellStyle name="쉼표 [0] 4 2 9 3 5" xfId="51829"/>
    <cellStyle name="쉼표 [0] 4 2 9 4" xfId="6977"/>
    <cellStyle name="쉼표 [0] 4 2 9 4 2" xfId="19650"/>
    <cellStyle name="쉼표 [0] 4 2 9 4 2 2" xfId="45002"/>
    <cellStyle name="쉼표 [0] 4 2 9 4 3" xfId="32330"/>
    <cellStyle name="쉼표 [0] 4 2 9 5" xfId="13314"/>
    <cellStyle name="쉼표 [0] 4 2 9 5 2" xfId="38666"/>
    <cellStyle name="쉼표 [0] 4 2 9 6" xfId="25994"/>
    <cellStyle name="쉼표 [0] 4 2 9 7" xfId="51830"/>
    <cellStyle name="쉼표 [0] 4 20" xfId="642"/>
    <cellStyle name="쉼표 [0] 4 20 2" xfId="643"/>
    <cellStyle name="쉼표 [0] 4 20 2 2" xfId="3751"/>
    <cellStyle name="쉼표 [0] 4 20 2 2 2" xfId="10087"/>
    <cellStyle name="쉼표 [0] 4 20 2 2 2 2" xfId="22760"/>
    <cellStyle name="쉼표 [0] 4 20 2 2 2 2 2" xfId="48112"/>
    <cellStyle name="쉼표 [0] 4 20 2 2 2 3" xfId="35440"/>
    <cellStyle name="쉼표 [0] 4 20 2 2 3" xfId="16424"/>
    <cellStyle name="쉼표 [0] 4 20 2 2 3 2" xfId="41776"/>
    <cellStyle name="쉼표 [0] 4 20 2 2 4" xfId="29104"/>
    <cellStyle name="쉼표 [0] 4 20 2 2 5" xfId="51831"/>
    <cellStyle name="쉼표 [0] 4 20 2 3" xfId="6980"/>
    <cellStyle name="쉼표 [0] 4 20 2 3 2" xfId="19653"/>
    <cellStyle name="쉼표 [0] 4 20 2 3 2 2" xfId="45005"/>
    <cellStyle name="쉼표 [0] 4 20 2 3 3" xfId="32333"/>
    <cellStyle name="쉼표 [0] 4 20 2 4" xfId="13317"/>
    <cellStyle name="쉼표 [0] 4 20 2 4 2" xfId="38669"/>
    <cellStyle name="쉼표 [0] 4 20 2 5" xfId="25997"/>
    <cellStyle name="쉼표 [0] 4 20 2 6" xfId="51832"/>
    <cellStyle name="쉼표 [0] 4 20 3" xfId="3752"/>
    <cellStyle name="쉼표 [0] 4 20 3 2" xfId="10088"/>
    <cellStyle name="쉼표 [0] 4 20 3 2 2" xfId="22761"/>
    <cellStyle name="쉼표 [0] 4 20 3 2 2 2" xfId="48113"/>
    <cellStyle name="쉼표 [0] 4 20 3 2 3" xfId="35441"/>
    <cellStyle name="쉼표 [0] 4 20 3 3" xfId="16425"/>
    <cellStyle name="쉼표 [0] 4 20 3 3 2" xfId="41777"/>
    <cellStyle name="쉼표 [0] 4 20 3 4" xfId="29105"/>
    <cellStyle name="쉼표 [0] 4 20 3 5" xfId="51833"/>
    <cellStyle name="쉼표 [0] 4 20 4" xfId="6979"/>
    <cellStyle name="쉼표 [0] 4 20 4 2" xfId="19652"/>
    <cellStyle name="쉼표 [0] 4 20 4 2 2" xfId="45004"/>
    <cellStyle name="쉼표 [0] 4 20 4 3" xfId="32332"/>
    <cellStyle name="쉼표 [0] 4 20 5" xfId="13316"/>
    <cellStyle name="쉼표 [0] 4 20 5 2" xfId="38668"/>
    <cellStyle name="쉼표 [0] 4 20 6" xfId="25996"/>
    <cellStyle name="쉼표 [0] 4 20 7" xfId="51834"/>
    <cellStyle name="쉼표 [0] 4 21" xfId="644"/>
    <cellStyle name="쉼표 [0] 4 21 2" xfId="645"/>
    <cellStyle name="쉼표 [0] 4 21 2 2" xfId="3753"/>
    <cellStyle name="쉼표 [0] 4 21 2 2 2" xfId="10089"/>
    <cellStyle name="쉼표 [0] 4 21 2 2 2 2" xfId="22762"/>
    <cellStyle name="쉼표 [0] 4 21 2 2 2 2 2" xfId="48114"/>
    <cellStyle name="쉼표 [0] 4 21 2 2 2 3" xfId="35442"/>
    <cellStyle name="쉼표 [0] 4 21 2 2 3" xfId="16426"/>
    <cellStyle name="쉼표 [0] 4 21 2 2 3 2" xfId="41778"/>
    <cellStyle name="쉼표 [0] 4 21 2 2 4" xfId="29106"/>
    <cellStyle name="쉼표 [0] 4 21 2 2 5" xfId="51835"/>
    <cellStyle name="쉼표 [0] 4 21 2 3" xfId="6982"/>
    <cellStyle name="쉼표 [0] 4 21 2 3 2" xfId="19655"/>
    <cellStyle name="쉼표 [0] 4 21 2 3 2 2" xfId="45007"/>
    <cellStyle name="쉼표 [0] 4 21 2 3 3" xfId="32335"/>
    <cellStyle name="쉼표 [0] 4 21 2 4" xfId="13319"/>
    <cellStyle name="쉼표 [0] 4 21 2 4 2" xfId="38671"/>
    <cellStyle name="쉼표 [0] 4 21 2 5" xfId="25999"/>
    <cellStyle name="쉼표 [0] 4 21 2 6" xfId="51836"/>
    <cellStyle name="쉼표 [0] 4 21 3" xfId="3754"/>
    <cellStyle name="쉼표 [0] 4 21 3 2" xfId="10090"/>
    <cellStyle name="쉼표 [0] 4 21 3 2 2" xfId="22763"/>
    <cellStyle name="쉼표 [0] 4 21 3 2 2 2" xfId="48115"/>
    <cellStyle name="쉼표 [0] 4 21 3 2 3" xfId="35443"/>
    <cellStyle name="쉼표 [0] 4 21 3 3" xfId="16427"/>
    <cellStyle name="쉼표 [0] 4 21 3 3 2" xfId="41779"/>
    <cellStyle name="쉼표 [0] 4 21 3 4" xfId="29107"/>
    <cellStyle name="쉼표 [0] 4 21 3 5" xfId="51837"/>
    <cellStyle name="쉼표 [0] 4 21 4" xfId="6981"/>
    <cellStyle name="쉼표 [0] 4 21 4 2" xfId="19654"/>
    <cellStyle name="쉼표 [0] 4 21 4 2 2" xfId="45006"/>
    <cellStyle name="쉼표 [0] 4 21 4 3" xfId="32334"/>
    <cellStyle name="쉼표 [0] 4 21 5" xfId="13318"/>
    <cellStyle name="쉼표 [0] 4 21 5 2" xfId="38670"/>
    <cellStyle name="쉼표 [0] 4 21 6" xfId="25998"/>
    <cellStyle name="쉼표 [0] 4 21 7" xfId="51838"/>
    <cellStyle name="쉼표 [0] 4 22" xfId="646"/>
    <cellStyle name="쉼표 [0] 4 22 2" xfId="647"/>
    <cellStyle name="쉼표 [0] 4 22 2 2" xfId="3755"/>
    <cellStyle name="쉼표 [0] 4 22 2 2 2" xfId="10091"/>
    <cellStyle name="쉼표 [0] 4 22 2 2 2 2" xfId="22764"/>
    <cellStyle name="쉼표 [0] 4 22 2 2 2 2 2" xfId="48116"/>
    <cellStyle name="쉼표 [0] 4 22 2 2 2 3" xfId="35444"/>
    <cellStyle name="쉼표 [0] 4 22 2 2 3" xfId="16428"/>
    <cellStyle name="쉼표 [0] 4 22 2 2 3 2" xfId="41780"/>
    <cellStyle name="쉼표 [0] 4 22 2 2 4" xfId="29108"/>
    <cellStyle name="쉼표 [0] 4 22 2 2 5" xfId="51839"/>
    <cellStyle name="쉼표 [0] 4 22 2 3" xfId="6984"/>
    <cellStyle name="쉼표 [0] 4 22 2 3 2" xfId="19657"/>
    <cellStyle name="쉼표 [0] 4 22 2 3 2 2" xfId="45009"/>
    <cellStyle name="쉼표 [0] 4 22 2 3 3" xfId="32337"/>
    <cellStyle name="쉼표 [0] 4 22 2 4" xfId="13321"/>
    <cellStyle name="쉼표 [0] 4 22 2 4 2" xfId="38673"/>
    <cellStyle name="쉼표 [0] 4 22 2 5" xfId="26001"/>
    <cellStyle name="쉼표 [0] 4 22 2 6" xfId="51840"/>
    <cellStyle name="쉼표 [0] 4 22 3" xfId="3756"/>
    <cellStyle name="쉼표 [0] 4 22 3 2" xfId="10092"/>
    <cellStyle name="쉼표 [0] 4 22 3 2 2" xfId="22765"/>
    <cellStyle name="쉼표 [0] 4 22 3 2 2 2" xfId="48117"/>
    <cellStyle name="쉼표 [0] 4 22 3 2 3" xfId="35445"/>
    <cellStyle name="쉼표 [0] 4 22 3 3" xfId="16429"/>
    <cellStyle name="쉼표 [0] 4 22 3 3 2" xfId="41781"/>
    <cellStyle name="쉼표 [0] 4 22 3 4" xfId="29109"/>
    <cellStyle name="쉼표 [0] 4 22 3 5" xfId="51841"/>
    <cellStyle name="쉼표 [0] 4 22 4" xfId="6983"/>
    <cellStyle name="쉼표 [0] 4 22 4 2" xfId="19656"/>
    <cellStyle name="쉼표 [0] 4 22 4 2 2" xfId="45008"/>
    <cellStyle name="쉼표 [0] 4 22 4 3" xfId="32336"/>
    <cellStyle name="쉼표 [0] 4 22 5" xfId="13320"/>
    <cellStyle name="쉼표 [0] 4 22 5 2" xfId="38672"/>
    <cellStyle name="쉼표 [0] 4 22 6" xfId="26000"/>
    <cellStyle name="쉼표 [0] 4 22 7" xfId="51842"/>
    <cellStyle name="쉼표 [0] 4 23" xfId="648"/>
    <cellStyle name="쉼표 [0] 4 23 2" xfId="649"/>
    <cellStyle name="쉼표 [0] 4 23 2 2" xfId="3757"/>
    <cellStyle name="쉼표 [0] 4 23 2 2 2" xfId="10093"/>
    <cellStyle name="쉼표 [0] 4 23 2 2 2 2" xfId="22766"/>
    <cellStyle name="쉼표 [0] 4 23 2 2 2 2 2" xfId="48118"/>
    <cellStyle name="쉼표 [0] 4 23 2 2 2 3" xfId="35446"/>
    <cellStyle name="쉼표 [0] 4 23 2 2 3" xfId="16430"/>
    <cellStyle name="쉼표 [0] 4 23 2 2 3 2" xfId="41782"/>
    <cellStyle name="쉼표 [0] 4 23 2 2 4" xfId="29110"/>
    <cellStyle name="쉼표 [0] 4 23 2 2 5" xfId="51843"/>
    <cellStyle name="쉼표 [0] 4 23 2 3" xfId="6986"/>
    <cellStyle name="쉼표 [0] 4 23 2 3 2" xfId="19659"/>
    <cellStyle name="쉼표 [0] 4 23 2 3 2 2" xfId="45011"/>
    <cellStyle name="쉼표 [0] 4 23 2 3 3" xfId="32339"/>
    <cellStyle name="쉼표 [0] 4 23 2 4" xfId="13323"/>
    <cellStyle name="쉼표 [0] 4 23 2 4 2" xfId="38675"/>
    <cellStyle name="쉼표 [0] 4 23 2 5" xfId="26003"/>
    <cellStyle name="쉼표 [0] 4 23 2 6" xfId="51844"/>
    <cellStyle name="쉼표 [0] 4 23 3" xfId="3758"/>
    <cellStyle name="쉼표 [0] 4 23 3 2" xfId="10094"/>
    <cellStyle name="쉼표 [0] 4 23 3 2 2" xfId="22767"/>
    <cellStyle name="쉼표 [0] 4 23 3 2 2 2" xfId="48119"/>
    <cellStyle name="쉼표 [0] 4 23 3 2 3" xfId="35447"/>
    <cellStyle name="쉼표 [0] 4 23 3 3" xfId="16431"/>
    <cellStyle name="쉼표 [0] 4 23 3 3 2" xfId="41783"/>
    <cellStyle name="쉼표 [0] 4 23 3 4" xfId="29111"/>
    <cellStyle name="쉼표 [0] 4 23 3 5" xfId="51845"/>
    <cellStyle name="쉼표 [0] 4 23 4" xfId="6985"/>
    <cellStyle name="쉼표 [0] 4 23 4 2" xfId="19658"/>
    <cellStyle name="쉼표 [0] 4 23 4 2 2" xfId="45010"/>
    <cellStyle name="쉼표 [0] 4 23 4 3" xfId="32338"/>
    <cellStyle name="쉼표 [0] 4 23 5" xfId="13322"/>
    <cellStyle name="쉼표 [0] 4 23 5 2" xfId="38674"/>
    <cellStyle name="쉼표 [0] 4 23 6" xfId="26002"/>
    <cellStyle name="쉼표 [0] 4 23 7" xfId="51846"/>
    <cellStyle name="쉼표 [0] 4 24" xfId="650"/>
    <cellStyle name="쉼표 [0] 4 24 2" xfId="651"/>
    <cellStyle name="쉼표 [0] 4 24 2 2" xfId="3759"/>
    <cellStyle name="쉼표 [0] 4 24 2 2 2" xfId="10095"/>
    <cellStyle name="쉼표 [0] 4 24 2 2 2 2" xfId="22768"/>
    <cellStyle name="쉼표 [0] 4 24 2 2 2 2 2" xfId="48120"/>
    <cellStyle name="쉼표 [0] 4 24 2 2 2 3" xfId="35448"/>
    <cellStyle name="쉼표 [0] 4 24 2 2 3" xfId="16432"/>
    <cellStyle name="쉼표 [0] 4 24 2 2 3 2" xfId="41784"/>
    <cellStyle name="쉼표 [0] 4 24 2 2 4" xfId="29112"/>
    <cellStyle name="쉼표 [0] 4 24 2 2 5" xfId="51847"/>
    <cellStyle name="쉼표 [0] 4 24 2 3" xfId="6988"/>
    <cellStyle name="쉼표 [0] 4 24 2 3 2" xfId="19661"/>
    <cellStyle name="쉼표 [0] 4 24 2 3 2 2" xfId="45013"/>
    <cellStyle name="쉼표 [0] 4 24 2 3 3" xfId="32341"/>
    <cellStyle name="쉼표 [0] 4 24 2 4" xfId="13325"/>
    <cellStyle name="쉼표 [0] 4 24 2 4 2" xfId="38677"/>
    <cellStyle name="쉼표 [0] 4 24 2 5" xfId="26005"/>
    <cellStyle name="쉼표 [0] 4 24 2 6" xfId="51848"/>
    <cellStyle name="쉼표 [0] 4 24 3" xfId="3760"/>
    <cellStyle name="쉼표 [0] 4 24 3 2" xfId="10096"/>
    <cellStyle name="쉼표 [0] 4 24 3 2 2" xfId="22769"/>
    <cellStyle name="쉼표 [0] 4 24 3 2 2 2" xfId="48121"/>
    <cellStyle name="쉼표 [0] 4 24 3 2 3" xfId="35449"/>
    <cellStyle name="쉼표 [0] 4 24 3 3" xfId="16433"/>
    <cellStyle name="쉼표 [0] 4 24 3 3 2" xfId="41785"/>
    <cellStyle name="쉼표 [0] 4 24 3 4" xfId="29113"/>
    <cellStyle name="쉼표 [0] 4 24 3 5" xfId="51849"/>
    <cellStyle name="쉼표 [0] 4 24 4" xfId="6987"/>
    <cellStyle name="쉼표 [0] 4 24 4 2" xfId="19660"/>
    <cellStyle name="쉼표 [0] 4 24 4 2 2" xfId="45012"/>
    <cellStyle name="쉼표 [0] 4 24 4 3" xfId="32340"/>
    <cellStyle name="쉼표 [0] 4 24 5" xfId="13324"/>
    <cellStyle name="쉼표 [0] 4 24 5 2" xfId="38676"/>
    <cellStyle name="쉼표 [0] 4 24 6" xfId="26004"/>
    <cellStyle name="쉼표 [0] 4 24 7" xfId="51850"/>
    <cellStyle name="쉼표 [0] 4 25" xfId="652"/>
    <cellStyle name="쉼표 [0] 4 25 2" xfId="653"/>
    <cellStyle name="쉼표 [0] 4 25 2 2" xfId="3761"/>
    <cellStyle name="쉼표 [0] 4 25 2 2 2" xfId="10097"/>
    <cellStyle name="쉼표 [0] 4 25 2 2 2 2" xfId="22770"/>
    <cellStyle name="쉼표 [0] 4 25 2 2 2 2 2" xfId="48122"/>
    <cellStyle name="쉼표 [0] 4 25 2 2 2 3" xfId="35450"/>
    <cellStyle name="쉼표 [0] 4 25 2 2 3" xfId="16434"/>
    <cellStyle name="쉼표 [0] 4 25 2 2 3 2" xfId="41786"/>
    <cellStyle name="쉼표 [0] 4 25 2 2 4" xfId="29114"/>
    <cellStyle name="쉼표 [0] 4 25 2 2 5" xfId="51851"/>
    <cellStyle name="쉼표 [0] 4 25 2 3" xfId="6990"/>
    <cellStyle name="쉼표 [0] 4 25 2 3 2" xfId="19663"/>
    <cellStyle name="쉼표 [0] 4 25 2 3 2 2" xfId="45015"/>
    <cellStyle name="쉼표 [0] 4 25 2 3 3" xfId="32343"/>
    <cellStyle name="쉼표 [0] 4 25 2 4" xfId="13327"/>
    <cellStyle name="쉼표 [0] 4 25 2 4 2" xfId="38679"/>
    <cellStyle name="쉼표 [0] 4 25 2 5" xfId="26007"/>
    <cellStyle name="쉼표 [0] 4 25 2 6" xfId="51852"/>
    <cellStyle name="쉼표 [0] 4 25 3" xfId="3762"/>
    <cellStyle name="쉼표 [0] 4 25 3 2" xfId="10098"/>
    <cellStyle name="쉼표 [0] 4 25 3 2 2" xfId="22771"/>
    <cellStyle name="쉼표 [0] 4 25 3 2 2 2" xfId="48123"/>
    <cellStyle name="쉼표 [0] 4 25 3 2 3" xfId="35451"/>
    <cellStyle name="쉼표 [0] 4 25 3 3" xfId="16435"/>
    <cellStyle name="쉼표 [0] 4 25 3 3 2" xfId="41787"/>
    <cellStyle name="쉼표 [0] 4 25 3 4" xfId="29115"/>
    <cellStyle name="쉼표 [0] 4 25 3 5" xfId="51853"/>
    <cellStyle name="쉼표 [0] 4 25 4" xfId="6989"/>
    <cellStyle name="쉼표 [0] 4 25 4 2" xfId="19662"/>
    <cellStyle name="쉼표 [0] 4 25 4 2 2" xfId="45014"/>
    <cellStyle name="쉼표 [0] 4 25 4 3" xfId="32342"/>
    <cellStyle name="쉼표 [0] 4 25 5" xfId="13326"/>
    <cellStyle name="쉼표 [0] 4 25 5 2" xfId="38678"/>
    <cellStyle name="쉼표 [0] 4 25 6" xfId="26006"/>
    <cellStyle name="쉼표 [0] 4 25 7" xfId="51854"/>
    <cellStyle name="쉼표 [0] 4 26" xfId="654"/>
    <cellStyle name="쉼표 [0] 4 26 2" xfId="655"/>
    <cellStyle name="쉼표 [0] 4 26 2 2" xfId="3763"/>
    <cellStyle name="쉼표 [0] 4 26 2 2 2" xfId="10099"/>
    <cellStyle name="쉼표 [0] 4 26 2 2 2 2" xfId="22772"/>
    <cellStyle name="쉼표 [0] 4 26 2 2 2 2 2" xfId="48124"/>
    <cellStyle name="쉼표 [0] 4 26 2 2 2 3" xfId="35452"/>
    <cellStyle name="쉼표 [0] 4 26 2 2 3" xfId="16436"/>
    <cellStyle name="쉼표 [0] 4 26 2 2 3 2" xfId="41788"/>
    <cellStyle name="쉼표 [0] 4 26 2 2 4" xfId="29116"/>
    <cellStyle name="쉼표 [0] 4 26 2 2 5" xfId="51855"/>
    <cellStyle name="쉼표 [0] 4 26 2 3" xfId="6992"/>
    <cellStyle name="쉼표 [0] 4 26 2 3 2" xfId="19665"/>
    <cellStyle name="쉼표 [0] 4 26 2 3 2 2" xfId="45017"/>
    <cellStyle name="쉼표 [0] 4 26 2 3 3" xfId="32345"/>
    <cellStyle name="쉼표 [0] 4 26 2 4" xfId="13329"/>
    <cellStyle name="쉼표 [0] 4 26 2 4 2" xfId="38681"/>
    <cellStyle name="쉼표 [0] 4 26 2 5" xfId="26009"/>
    <cellStyle name="쉼표 [0] 4 26 2 6" xfId="51856"/>
    <cellStyle name="쉼표 [0] 4 26 3" xfId="3764"/>
    <cellStyle name="쉼표 [0] 4 26 3 2" xfId="10100"/>
    <cellStyle name="쉼표 [0] 4 26 3 2 2" xfId="22773"/>
    <cellStyle name="쉼표 [0] 4 26 3 2 2 2" xfId="48125"/>
    <cellStyle name="쉼표 [0] 4 26 3 2 3" xfId="35453"/>
    <cellStyle name="쉼표 [0] 4 26 3 3" xfId="16437"/>
    <cellStyle name="쉼표 [0] 4 26 3 3 2" xfId="41789"/>
    <cellStyle name="쉼표 [0] 4 26 3 4" xfId="29117"/>
    <cellStyle name="쉼표 [0] 4 26 3 5" xfId="51857"/>
    <cellStyle name="쉼표 [0] 4 26 4" xfId="6991"/>
    <cellStyle name="쉼표 [0] 4 26 4 2" xfId="19664"/>
    <cellStyle name="쉼표 [0] 4 26 4 2 2" xfId="45016"/>
    <cellStyle name="쉼표 [0] 4 26 4 3" xfId="32344"/>
    <cellStyle name="쉼표 [0] 4 26 5" xfId="13328"/>
    <cellStyle name="쉼표 [0] 4 26 5 2" xfId="38680"/>
    <cellStyle name="쉼표 [0] 4 26 6" xfId="26008"/>
    <cellStyle name="쉼표 [0] 4 26 7" xfId="51858"/>
    <cellStyle name="쉼표 [0] 4 27" xfId="656"/>
    <cellStyle name="쉼표 [0] 4 27 2" xfId="657"/>
    <cellStyle name="쉼표 [0] 4 27 2 2" xfId="3765"/>
    <cellStyle name="쉼표 [0] 4 27 2 2 2" xfId="10101"/>
    <cellStyle name="쉼표 [0] 4 27 2 2 2 2" xfId="22774"/>
    <cellStyle name="쉼표 [0] 4 27 2 2 2 2 2" xfId="48126"/>
    <cellStyle name="쉼표 [0] 4 27 2 2 2 3" xfId="35454"/>
    <cellStyle name="쉼표 [0] 4 27 2 2 3" xfId="16438"/>
    <cellStyle name="쉼표 [0] 4 27 2 2 3 2" xfId="41790"/>
    <cellStyle name="쉼표 [0] 4 27 2 2 4" xfId="29118"/>
    <cellStyle name="쉼표 [0] 4 27 2 2 5" xfId="51859"/>
    <cellStyle name="쉼표 [0] 4 27 2 3" xfId="6994"/>
    <cellStyle name="쉼표 [0] 4 27 2 3 2" xfId="19667"/>
    <cellStyle name="쉼표 [0] 4 27 2 3 2 2" xfId="45019"/>
    <cellStyle name="쉼표 [0] 4 27 2 3 3" xfId="32347"/>
    <cellStyle name="쉼표 [0] 4 27 2 4" xfId="13331"/>
    <cellStyle name="쉼표 [0] 4 27 2 4 2" xfId="38683"/>
    <cellStyle name="쉼표 [0] 4 27 2 5" xfId="26011"/>
    <cellStyle name="쉼표 [0] 4 27 2 6" xfId="51860"/>
    <cellStyle name="쉼표 [0] 4 27 3" xfId="3766"/>
    <cellStyle name="쉼표 [0] 4 27 3 2" xfId="10102"/>
    <cellStyle name="쉼표 [0] 4 27 3 2 2" xfId="22775"/>
    <cellStyle name="쉼표 [0] 4 27 3 2 2 2" xfId="48127"/>
    <cellStyle name="쉼표 [0] 4 27 3 2 3" xfId="35455"/>
    <cellStyle name="쉼표 [0] 4 27 3 3" xfId="16439"/>
    <cellStyle name="쉼표 [0] 4 27 3 3 2" xfId="41791"/>
    <cellStyle name="쉼표 [0] 4 27 3 4" xfId="29119"/>
    <cellStyle name="쉼표 [0] 4 27 3 5" xfId="51861"/>
    <cellStyle name="쉼표 [0] 4 27 4" xfId="6993"/>
    <cellStyle name="쉼표 [0] 4 27 4 2" xfId="19666"/>
    <cellStyle name="쉼표 [0] 4 27 4 2 2" xfId="45018"/>
    <cellStyle name="쉼표 [0] 4 27 4 3" xfId="32346"/>
    <cellStyle name="쉼표 [0] 4 27 5" xfId="13330"/>
    <cellStyle name="쉼표 [0] 4 27 5 2" xfId="38682"/>
    <cellStyle name="쉼표 [0] 4 27 6" xfId="26010"/>
    <cellStyle name="쉼표 [0] 4 27 7" xfId="51862"/>
    <cellStyle name="쉼표 [0] 4 28" xfId="658"/>
    <cellStyle name="쉼표 [0] 4 28 2" xfId="659"/>
    <cellStyle name="쉼표 [0] 4 28 2 2" xfId="3767"/>
    <cellStyle name="쉼표 [0] 4 28 2 2 2" xfId="10103"/>
    <cellStyle name="쉼표 [0] 4 28 2 2 2 2" xfId="22776"/>
    <cellStyle name="쉼표 [0] 4 28 2 2 2 2 2" xfId="48128"/>
    <cellStyle name="쉼표 [0] 4 28 2 2 2 3" xfId="35456"/>
    <cellStyle name="쉼표 [0] 4 28 2 2 3" xfId="16440"/>
    <cellStyle name="쉼표 [0] 4 28 2 2 3 2" xfId="41792"/>
    <cellStyle name="쉼표 [0] 4 28 2 2 4" xfId="29120"/>
    <cellStyle name="쉼표 [0] 4 28 2 2 5" xfId="51863"/>
    <cellStyle name="쉼표 [0] 4 28 2 3" xfId="6996"/>
    <cellStyle name="쉼표 [0] 4 28 2 3 2" xfId="19669"/>
    <cellStyle name="쉼표 [0] 4 28 2 3 2 2" xfId="45021"/>
    <cellStyle name="쉼표 [0] 4 28 2 3 3" xfId="32349"/>
    <cellStyle name="쉼표 [0] 4 28 2 4" xfId="13333"/>
    <cellStyle name="쉼표 [0] 4 28 2 4 2" xfId="38685"/>
    <cellStyle name="쉼표 [0] 4 28 2 5" xfId="26013"/>
    <cellStyle name="쉼표 [0] 4 28 2 6" xfId="51864"/>
    <cellStyle name="쉼표 [0] 4 28 3" xfId="3768"/>
    <cellStyle name="쉼표 [0] 4 28 3 2" xfId="10104"/>
    <cellStyle name="쉼표 [0] 4 28 3 2 2" xfId="22777"/>
    <cellStyle name="쉼표 [0] 4 28 3 2 2 2" xfId="48129"/>
    <cellStyle name="쉼표 [0] 4 28 3 2 3" xfId="35457"/>
    <cellStyle name="쉼표 [0] 4 28 3 3" xfId="16441"/>
    <cellStyle name="쉼표 [0] 4 28 3 3 2" xfId="41793"/>
    <cellStyle name="쉼표 [0] 4 28 3 4" xfId="29121"/>
    <cellStyle name="쉼표 [0] 4 28 3 5" xfId="51865"/>
    <cellStyle name="쉼표 [0] 4 28 4" xfId="6995"/>
    <cellStyle name="쉼표 [0] 4 28 4 2" xfId="19668"/>
    <cellStyle name="쉼표 [0] 4 28 4 2 2" xfId="45020"/>
    <cellStyle name="쉼표 [0] 4 28 4 3" xfId="32348"/>
    <cellStyle name="쉼표 [0] 4 28 5" xfId="13332"/>
    <cellStyle name="쉼표 [0] 4 28 5 2" xfId="38684"/>
    <cellStyle name="쉼표 [0] 4 28 6" xfId="26012"/>
    <cellStyle name="쉼표 [0] 4 28 7" xfId="51866"/>
    <cellStyle name="쉼표 [0] 4 29" xfId="660"/>
    <cellStyle name="쉼표 [0] 4 29 2" xfId="661"/>
    <cellStyle name="쉼표 [0] 4 29 2 2" xfId="3769"/>
    <cellStyle name="쉼표 [0] 4 29 2 2 2" xfId="10105"/>
    <cellStyle name="쉼표 [0] 4 29 2 2 2 2" xfId="22778"/>
    <cellStyle name="쉼표 [0] 4 29 2 2 2 2 2" xfId="48130"/>
    <cellStyle name="쉼표 [0] 4 29 2 2 2 3" xfId="35458"/>
    <cellStyle name="쉼표 [0] 4 29 2 2 3" xfId="16442"/>
    <cellStyle name="쉼표 [0] 4 29 2 2 3 2" xfId="41794"/>
    <cellStyle name="쉼표 [0] 4 29 2 2 4" xfId="29122"/>
    <cellStyle name="쉼표 [0] 4 29 2 2 5" xfId="51867"/>
    <cellStyle name="쉼표 [0] 4 29 2 3" xfId="6998"/>
    <cellStyle name="쉼표 [0] 4 29 2 3 2" xfId="19671"/>
    <cellStyle name="쉼표 [0] 4 29 2 3 2 2" xfId="45023"/>
    <cellStyle name="쉼표 [0] 4 29 2 3 3" xfId="32351"/>
    <cellStyle name="쉼표 [0] 4 29 2 4" xfId="13335"/>
    <cellStyle name="쉼표 [0] 4 29 2 4 2" xfId="38687"/>
    <cellStyle name="쉼표 [0] 4 29 2 5" xfId="26015"/>
    <cellStyle name="쉼표 [0] 4 29 2 6" xfId="51868"/>
    <cellStyle name="쉼표 [0] 4 29 3" xfId="3770"/>
    <cellStyle name="쉼표 [0] 4 29 3 2" xfId="10106"/>
    <cellStyle name="쉼표 [0] 4 29 3 2 2" xfId="22779"/>
    <cellStyle name="쉼표 [0] 4 29 3 2 2 2" xfId="48131"/>
    <cellStyle name="쉼표 [0] 4 29 3 2 3" xfId="35459"/>
    <cellStyle name="쉼표 [0] 4 29 3 3" xfId="16443"/>
    <cellStyle name="쉼표 [0] 4 29 3 3 2" xfId="41795"/>
    <cellStyle name="쉼표 [0] 4 29 3 4" xfId="29123"/>
    <cellStyle name="쉼표 [0] 4 29 3 5" xfId="51869"/>
    <cellStyle name="쉼표 [0] 4 29 4" xfId="6997"/>
    <cellStyle name="쉼표 [0] 4 29 4 2" xfId="19670"/>
    <cellStyle name="쉼표 [0] 4 29 4 2 2" xfId="45022"/>
    <cellStyle name="쉼표 [0] 4 29 4 3" xfId="32350"/>
    <cellStyle name="쉼표 [0] 4 29 5" xfId="13334"/>
    <cellStyle name="쉼표 [0] 4 29 5 2" xfId="38686"/>
    <cellStyle name="쉼표 [0] 4 29 6" xfId="26014"/>
    <cellStyle name="쉼표 [0] 4 29 7" xfId="51870"/>
    <cellStyle name="쉼표 [0] 4 3" xfId="19"/>
    <cellStyle name="쉼표 [0] 4 3 10" xfId="662"/>
    <cellStyle name="쉼표 [0] 4 3 10 2" xfId="663"/>
    <cellStyle name="쉼표 [0] 4 3 10 2 2" xfId="3771"/>
    <cellStyle name="쉼표 [0] 4 3 10 2 2 2" xfId="10107"/>
    <cellStyle name="쉼표 [0] 4 3 10 2 2 2 2" xfId="22780"/>
    <cellStyle name="쉼표 [0] 4 3 10 2 2 2 2 2" xfId="48132"/>
    <cellStyle name="쉼표 [0] 4 3 10 2 2 2 3" xfId="35460"/>
    <cellStyle name="쉼표 [0] 4 3 10 2 2 3" xfId="16444"/>
    <cellStyle name="쉼표 [0] 4 3 10 2 2 3 2" xfId="41796"/>
    <cellStyle name="쉼표 [0] 4 3 10 2 2 4" xfId="29124"/>
    <cellStyle name="쉼표 [0] 4 3 10 2 2 5" xfId="51871"/>
    <cellStyle name="쉼표 [0] 4 3 10 2 3" xfId="7000"/>
    <cellStyle name="쉼표 [0] 4 3 10 2 3 2" xfId="19673"/>
    <cellStyle name="쉼표 [0] 4 3 10 2 3 2 2" xfId="45025"/>
    <cellStyle name="쉼표 [0] 4 3 10 2 3 3" xfId="32353"/>
    <cellStyle name="쉼표 [0] 4 3 10 2 4" xfId="13337"/>
    <cellStyle name="쉼표 [0] 4 3 10 2 4 2" xfId="38689"/>
    <cellStyle name="쉼표 [0] 4 3 10 2 5" xfId="26017"/>
    <cellStyle name="쉼표 [0] 4 3 10 2 6" xfId="51872"/>
    <cellStyle name="쉼표 [0] 4 3 10 3" xfId="3772"/>
    <cellStyle name="쉼표 [0] 4 3 10 3 2" xfId="10108"/>
    <cellStyle name="쉼표 [0] 4 3 10 3 2 2" xfId="22781"/>
    <cellStyle name="쉼표 [0] 4 3 10 3 2 2 2" xfId="48133"/>
    <cellStyle name="쉼표 [0] 4 3 10 3 2 3" xfId="35461"/>
    <cellStyle name="쉼표 [0] 4 3 10 3 3" xfId="16445"/>
    <cellStyle name="쉼표 [0] 4 3 10 3 3 2" xfId="41797"/>
    <cellStyle name="쉼표 [0] 4 3 10 3 4" xfId="29125"/>
    <cellStyle name="쉼표 [0] 4 3 10 3 5" xfId="51873"/>
    <cellStyle name="쉼표 [0] 4 3 10 4" xfId="6999"/>
    <cellStyle name="쉼표 [0] 4 3 10 4 2" xfId="19672"/>
    <cellStyle name="쉼표 [0] 4 3 10 4 2 2" xfId="45024"/>
    <cellStyle name="쉼표 [0] 4 3 10 4 3" xfId="32352"/>
    <cellStyle name="쉼표 [0] 4 3 10 5" xfId="13336"/>
    <cellStyle name="쉼표 [0] 4 3 10 5 2" xfId="38688"/>
    <cellStyle name="쉼표 [0] 4 3 10 6" xfId="26016"/>
    <cellStyle name="쉼표 [0] 4 3 10 7" xfId="51874"/>
    <cellStyle name="쉼표 [0] 4 3 11" xfId="664"/>
    <cellStyle name="쉼표 [0] 4 3 11 2" xfId="665"/>
    <cellStyle name="쉼표 [0] 4 3 11 2 2" xfId="3773"/>
    <cellStyle name="쉼표 [0] 4 3 11 2 2 2" xfId="10109"/>
    <cellStyle name="쉼표 [0] 4 3 11 2 2 2 2" xfId="22782"/>
    <cellStyle name="쉼표 [0] 4 3 11 2 2 2 2 2" xfId="48134"/>
    <cellStyle name="쉼표 [0] 4 3 11 2 2 2 3" xfId="35462"/>
    <cellStyle name="쉼표 [0] 4 3 11 2 2 3" xfId="16446"/>
    <cellStyle name="쉼표 [0] 4 3 11 2 2 3 2" xfId="41798"/>
    <cellStyle name="쉼표 [0] 4 3 11 2 2 4" xfId="29126"/>
    <cellStyle name="쉼표 [0] 4 3 11 2 2 5" xfId="51875"/>
    <cellStyle name="쉼표 [0] 4 3 11 2 3" xfId="7002"/>
    <cellStyle name="쉼표 [0] 4 3 11 2 3 2" xfId="19675"/>
    <cellStyle name="쉼표 [0] 4 3 11 2 3 2 2" xfId="45027"/>
    <cellStyle name="쉼표 [0] 4 3 11 2 3 3" xfId="32355"/>
    <cellStyle name="쉼표 [0] 4 3 11 2 4" xfId="13339"/>
    <cellStyle name="쉼표 [0] 4 3 11 2 4 2" xfId="38691"/>
    <cellStyle name="쉼표 [0] 4 3 11 2 5" xfId="26019"/>
    <cellStyle name="쉼표 [0] 4 3 11 2 6" xfId="51876"/>
    <cellStyle name="쉼표 [0] 4 3 11 3" xfId="3774"/>
    <cellStyle name="쉼표 [0] 4 3 11 3 2" xfId="10110"/>
    <cellStyle name="쉼표 [0] 4 3 11 3 2 2" xfId="22783"/>
    <cellStyle name="쉼표 [0] 4 3 11 3 2 2 2" xfId="48135"/>
    <cellStyle name="쉼표 [0] 4 3 11 3 2 3" xfId="35463"/>
    <cellStyle name="쉼표 [0] 4 3 11 3 3" xfId="16447"/>
    <cellStyle name="쉼표 [0] 4 3 11 3 3 2" xfId="41799"/>
    <cellStyle name="쉼표 [0] 4 3 11 3 4" xfId="29127"/>
    <cellStyle name="쉼표 [0] 4 3 11 3 5" xfId="51877"/>
    <cellStyle name="쉼표 [0] 4 3 11 4" xfId="7001"/>
    <cellStyle name="쉼표 [0] 4 3 11 4 2" xfId="19674"/>
    <cellStyle name="쉼표 [0] 4 3 11 4 2 2" xfId="45026"/>
    <cellStyle name="쉼표 [0] 4 3 11 4 3" xfId="32354"/>
    <cellStyle name="쉼표 [0] 4 3 11 5" xfId="13338"/>
    <cellStyle name="쉼표 [0] 4 3 11 5 2" xfId="38690"/>
    <cellStyle name="쉼표 [0] 4 3 11 6" xfId="26018"/>
    <cellStyle name="쉼표 [0] 4 3 11 7" xfId="51878"/>
    <cellStyle name="쉼표 [0] 4 3 12" xfId="666"/>
    <cellStyle name="쉼표 [0] 4 3 12 2" xfId="667"/>
    <cellStyle name="쉼표 [0] 4 3 12 2 2" xfId="3775"/>
    <cellStyle name="쉼표 [0] 4 3 12 2 2 2" xfId="10111"/>
    <cellStyle name="쉼표 [0] 4 3 12 2 2 2 2" xfId="22784"/>
    <cellStyle name="쉼표 [0] 4 3 12 2 2 2 2 2" xfId="48136"/>
    <cellStyle name="쉼표 [0] 4 3 12 2 2 2 3" xfId="35464"/>
    <cellStyle name="쉼표 [0] 4 3 12 2 2 3" xfId="16448"/>
    <cellStyle name="쉼표 [0] 4 3 12 2 2 3 2" xfId="41800"/>
    <cellStyle name="쉼표 [0] 4 3 12 2 2 4" xfId="29128"/>
    <cellStyle name="쉼표 [0] 4 3 12 2 2 5" xfId="51879"/>
    <cellStyle name="쉼표 [0] 4 3 12 2 3" xfId="7004"/>
    <cellStyle name="쉼표 [0] 4 3 12 2 3 2" xfId="19677"/>
    <cellStyle name="쉼표 [0] 4 3 12 2 3 2 2" xfId="45029"/>
    <cellStyle name="쉼표 [0] 4 3 12 2 3 3" xfId="32357"/>
    <cellStyle name="쉼표 [0] 4 3 12 2 4" xfId="13341"/>
    <cellStyle name="쉼표 [0] 4 3 12 2 4 2" xfId="38693"/>
    <cellStyle name="쉼표 [0] 4 3 12 2 5" xfId="26021"/>
    <cellStyle name="쉼표 [0] 4 3 12 2 6" xfId="51880"/>
    <cellStyle name="쉼표 [0] 4 3 12 3" xfId="3776"/>
    <cellStyle name="쉼표 [0] 4 3 12 3 2" xfId="10112"/>
    <cellStyle name="쉼표 [0] 4 3 12 3 2 2" xfId="22785"/>
    <cellStyle name="쉼표 [0] 4 3 12 3 2 2 2" xfId="48137"/>
    <cellStyle name="쉼표 [0] 4 3 12 3 2 3" xfId="35465"/>
    <cellStyle name="쉼표 [0] 4 3 12 3 3" xfId="16449"/>
    <cellStyle name="쉼표 [0] 4 3 12 3 3 2" xfId="41801"/>
    <cellStyle name="쉼표 [0] 4 3 12 3 4" xfId="29129"/>
    <cellStyle name="쉼표 [0] 4 3 12 3 5" xfId="51881"/>
    <cellStyle name="쉼표 [0] 4 3 12 4" xfId="7003"/>
    <cellStyle name="쉼표 [0] 4 3 12 4 2" xfId="19676"/>
    <cellStyle name="쉼표 [0] 4 3 12 4 2 2" xfId="45028"/>
    <cellStyle name="쉼표 [0] 4 3 12 4 3" xfId="32356"/>
    <cellStyle name="쉼표 [0] 4 3 12 5" xfId="13340"/>
    <cellStyle name="쉼표 [0] 4 3 12 5 2" xfId="38692"/>
    <cellStyle name="쉼표 [0] 4 3 12 6" xfId="26020"/>
    <cellStyle name="쉼표 [0] 4 3 12 7" xfId="51882"/>
    <cellStyle name="쉼표 [0] 4 3 13" xfId="668"/>
    <cellStyle name="쉼표 [0] 4 3 13 2" xfId="669"/>
    <cellStyle name="쉼표 [0] 4 3 13 2 2" xfId="3777"/>
    <cellStyle name="쉼표 [0] 4 3 13 2 2 2" xfId="10113"/>
    <cellStyle name="쉼표 [0] 4 3 13 2 2 2 2" xfId="22786"/>
    <cellStyle name="쉼표 [0] 4 3 13 2 2 2 2 2" xfId="48138"/>
    <cellStyle name="쉼표 [0] 4 3 13 2 2 2 3" xfId="35466"/>
    <cellStyle name="쉼표 [0] 4 3 13 2 2 3" xfId="16450"/>
    <cellStyle name="쉼표 [0] 4 3 13 2 2 3 2" xfId="41802"/>
    <cellStyle name="쉼표 [0] 4 3 13 2 2 4" xfId="29130"/>
    <cellStyle name="쉼표 [0] 4 3 13 2 2 5" xfId="51883"/>
    <cellStyle name="쉼표 [0] 4 3 13 2 3" xfId="7006"/>
    <cellStyle name="쉼표 [0] 4 3 13 2 3 2" xfId="19679"/>
    <cellStyle name="쉼표 [0] 4 3 13 2 3 2 2" xfId="45031"/>
    <cellStyle name="쉼표 [0] 4 3 13 2 3 3" xfId="32359"/>
    <cellStyle name="쉼표 [0] 4 3 13 2 4" xfId="13343"/>
    <cellStyle name="쉼표 [0] 4 3 13 2 4 2" xfId="38695"/>
    <cellStyle name="쉼표 [0] 4 3 13 2 5" xfId="26023"/>
    <cellStyle name="쉼표 [0] 4 3 13 2 6" xfId="51884"/>
    <cellStyle name="쉼표 [0] 4 3 13 3" xfId="3778"/>
    <cellStyle name="쉼표 [0] 4 3 13 3 2" xfId="10114"/>
    <cellStyle name="쉼표 [0] 4 3 13 3 2 2" xfId="22787"/>
    <cellStyle name="쉼표 [0] 4 3 13 3 2 2 2" xfId="48139"/>
    <cellStyle name="쉼표 [0] 4 3 13 3 2 3" xfId="35467"/>
    <cellStyle name="쉼표 [0] 4 3 13 3 3" xfId="16451"/>
    <cellStyle name="쉼표 [0] 4 3 13 3 3 2" xfId="41803"/>
    <cellStyle name="쉼표 [0] 4 3 13 3 4" xfId="29131"/>
    <cellStyle name="쉼표 [0] 4 3 13 3 5" xfId="51885"/>
    <cellStyle name="쉼표 [0] 4 3 13 4" xfId="7005"/>
    <cellStyle name="쉼표 [0] 4 3 13 4 2" xfId="19678"/>
    <cellStyle name="쉼표 [0] 4 3 13 4 2 2" xfId="45030"/>
    <cellStyle name="쉼표 [0] 4 3 13 4 3" xfId="32358"/>
    <cellStyle name="쉼표 [0] 4 3 13 5" xfId="13342"/>
    <cellStyle name="쉼표 [0] 4 3 13 5 2" xfId="38694"/>
    <cellStyle name="쉼표 [0] 4 3 13 6" xfId="26022"/>
    <cellStyle name="쉼표 [0] 4 3 13 7" xfId="51886"/>
    <cellStyle name="쉼표 [0] 4 3 14" xfId="670"/>
    <cellStyle name="쉼표 [0] 4 3 14 2" xfId="671"/>
    <cellStyle name="쉼표 [0] 4 3 14 2 2" xfId="3779"/>
    <cellStyle name="쉼표 [0] 4 3 14 2 2 2" xfId="10115"/>
    <cellStyle name="쉼표 [0] 4 3 14 2 2 2 2" xfId="22788"/>
    <cellStyle name="쉼표 [0] 4 3 14 2 2 2 2 2" xfId="48140"/>
    <cellStyle name="쉼표 [0] 4 3 14 2 2 2 3" xfId="35468"/>
    <cellStyle name="쉼표 [0] 4 3 14 2 2 3" xfId="16452"/>
    <cellStyle name="쉼표 [0] 4 3 14 2 2 3 2" xfId="41804"/>
    <cellStyle name="쉼표 [0] 4 3 14 2 2 4" xfId="29132"/>
    <cellStyle name="쉼표 [0] 4 3 14 2 2 5" xfId="51887"/>
    <cellStyle name="쉼표 [0] 4 3 14 2 3" xfId="7008"/>
    <cellStyle name="쉼표 [0] 4 3 14 2 3 2" xfId="19681"/>
    <cellStyle name="쉼표 [0] 4 3 14 2 3 2 2" xfId="45033"/>
    <cellStyle name="쉼표 [0] 4 3 14 2 3 3" xfId="32361"/>
    <cellStyle name="쉼표 [0] 4 3 14 2 4" xfId="13345"/>
    <cellStyle name="쉼표 [0] 4 3 14 2 4 2" xfId="38697"/>
    <cellStyle name="쉼표 [0] 4 3 14 2 5" xfId="26025"/>
    <cellStyle name="쉼표 [0] 4 3 14 2 6" xfId="51888"/>
    <cellStyle name="쉼표 [0] 4 3 14 3" xfId="3780"/>
    <cellStyle name="쉼표 [0] 4 3 14 3 2" xfId="10116"/>
    <cellStyle name="쉼표 [0] 4 3 14 3 2 2" xfId="22789"/>
    <cellStyle name="쉼표 [0] 4 3 14 3 2 2 2" xfId="48141"/>
    <cellStyle name="쉼표 [0] 4 3 14 3 2 3" xfId="35469"/>
    <cellStyle name="쉼표 [0] 4 3 14 3 3" xfId="16453"/>
    <cellStyle name="쉼표 [0] 4 3 14 3 3 2" xfId="41805"/>
    <cellStyle name="쉼표 [0] 4 3 14 3 4" xfId="29133"/>
    <cellStyle name="쉼표 [0] 4 3 14 3 5" xfId="51889"/>
    <cellStyle name="쉼표 [0] 4 3 14 4" xfId="7007"/>
    <cellStyle name="쉼표 [0] 4 3 14 4 2" xfId="19680"/>
    <cellStyle name="쉼표 [0] 4 3 14 4 2 2" xfId="45032"/>
    <cellStyle name="쉼표 [0] 4 3 14 4 3" xfId="32360"/>
    <cellStyle name="쉼표 [0] 4 3 14 5" xfId="13344"/>
    <cellStyle name="쉼표 [0] 4 3 14 5 2" xfId="38696"/>
    <cellStyle name="쉼표 [0] 4 3 14 6" xfId="26024"/>
    <cellStyle name="쉼표 [0] 4 3 14 7" xfId="51890"/>
    <cellStyle name="쉼표 [0] 4 3 15" xfId="672"/>
    <cellStyle name="쉼표 [0] 4 3 15 2" xfId="673"/>
    <cellStyle name="쉼표 [0] 4 3 15 2 2" xfId="3781"/>
    <cellStyle name="쉼표 [0] 4 3 15 2 2 2" xfId="10117"/>
    <cellStyle name="쉼표 [0] 4 3 15 2 2 2 2" xfId="22790"/>
    <cellStyle name="쉼표 [0] 4 3 15 2 2 2 2 2" xfId="48142"/>
    <cellStyle name="쉼표 [0] 4 3 15 2 2 2 3" xfId="35470"/>
    <cellStyle name="쉼표 [0] 4 3 15 2 2 3" xfId="16454"/>
    <cellStyle name="쉼표 [0] 4 3 15 2 2 3 2" xfId="41806"/>
    <cellStyle name="쉼표 [0] 4 3 15 2 2 4" xfId="29134"/>
    <cellStyle name="쉼표 [0] 4 3 15 2 2 5" xfId="51891"/>
    <cellStyle name="쉼표 [0] 4 3 15 2 3" xfId="7010"/>
    <cellStyle name="쉼표 [0] 4 3 15 2 3 2" xfId="19683"/>
    <cellStyle name="쉼표 [0] 4 3 15 2 3 2 2" xfId="45035"/>
    <cellStyle name="쉼표 [0] 4 3 15 2 3 3" xfId="32363"/>
    <cellStyle name="쉼표 [0] 4 3 15 2 4" xfId="13347"/>
    <cellStyle name="쉼표 [0] 4 3 15 2 4 2" xfId="38699"/>
    <cellStyle name="쉼표 [0] 4 3 15 2 5" xfId="26027"/>
    <cellStyle name="쉼표 [0] 4 3 15 2 6" xfId="51892"/>
    <cellStyle name="쉼표 [0] 4 3 15 3" xfId="3782"/>
    <cellStyle name="쉼표 [0] 4 3 15 3 2" xfId="10118"/>
    <cellStyle name="쉼표 [0] 4 3 15 3 2 2" xfId="22791"/>
    <cellStyle name="쉼표 [0] 4 3 15 3 2 2 2" xfId="48143"/>
    <cellStyle name="쉼표 [0] 4 3 15 3 2 3" xfId="35471"/>
    <cellStyle name="쉼표 [0] 4 3 15 3 3" xfId="16455"/>
    <cellStyle name="쉼표 [0] 4 3 15 3 3 2" xfId="41807"/>
    <cellStyle name="쉼표 [0] 4 3 15 3 4" xfId="29135"/>
    <cellStyle name="쉼표 [0] 4 3 15 3 5" xfId="51893"/>
    <cellStyle name="쉼표 [0] 4 3 15 4" xfId="7009"/>
    <cellStyle name="쉼표 [0] 4 3 15 4 2" xfId="19682"/>
    <cellStyle name="쉼표 [0] 4 3 15 4 2 2" xfId="45034"/>
    <cellStyle name="쉼표 [0] 4 3 15 4 3" xfId="32362"/>
    <cellStyle name="쉼표 [0] 4 3 15 5" xfId="13346"/>
    <cellStyle name="쉼표 [0] 4 3 15 5 2" xfId="38698"/>
    <cellStyle name="쉼표 [0] 4 3 15 6" xfId="26026"/>
    <cellStyle name="쉼표 [0] 4 3 15 7" xfId="51894"/>
    <cellStyle name="쉼표 [0] 4 3 16" xfId="674"/>
    <cellStyle name="쉼표 [0] 4 3 16 2" xfId="675"/>
    <cellStyle name="쉼표 [0] 4 3 16 2 2" xfId="3783"/>
    <cellStyle name="쉼표 [0] 4 3 16 2 2 2" xfId="10119"/>
    <cellStyle name="쉼표 [0] 4 3 16 2 2 2 2" xfId="22792"/>
    <cellStyle name="쉼표 [0] 4 3 16 2 2 2 2 2" xfId="48144"/>
    <cellStyle name="쉼표 [0] 4 3 16 2 2 2 3" xfId="35472"/>
    <cellStyle name="쉼표 [0] 4 3 16 2 2 3" xfId="16456"/>
    <cellStyle name="쉼표 [0] 4 3 16 2 2 3 2" xfId="41808"/>
    <cellStyle name="쉼표 [0] 4 3 16 2 2 4" xfId="29136"/>
    <cellStyle name="쉼표 [0] 4 3 16 2 2 5" xfId="51895"/>
    <cellStyle name="쉼표 [0] 4 3 16 2 3" xfId="7012"/>
    <cellStyle name="쉼표 [0] 4 3 16 2 3 2" xfId="19685"/>
    <cellStyle name="쉼표 [0] 4 3 16 2 3 2 2" xfId="45037"/>
    <cellStyle name="쉼표 [0] 4 3 16 2 3 3" xfId="32365"/>
    <cellStyle name="쉼표 [0] 4 3 16 2 4" xfId="13349"/>
    <cellStyle name="쉼표 [0] 4 3 16 2 4 2" xfId="38701"/>
    <cellStyle name="쉼표 [0] 4 3 16 2 5" xfId="26029"/>
    <cellStyle name="쉼표 [0] 4 3 16 2 6" xfId="51896"/>
    <cellStyle name="쉼표 [0] 4 3 16 3" xfId="3784"/>
    <cellStyle name="쉼표 [0] 4 3 16 3 2" xfId="10120"/>
    <cellStyle name="쉼표 [0] 4 3 16 3 2 2" xfId="22793"/>
    <cellStyle name="쉼표 [0] 4 3 16 3 2 2 2" xfId="48145"/>
    <cellStyle name="쉼표 [0] 4 3 16 3 2 3" xfId="35473"/>
    <cellStyle name="쉼표 [0] 4 3 16 3 3" xfId="16457"/>
    <cellStyle name="쉼표 [0] 4 3 16 3 3 2" xfId="41809"/>
    <cellStyle name="쉼표 [0] 4 3 16 3 4" xfId="29137"/>
    <cellStyle name="쉼표 [0] 4 3 16 3 5" xfId="51897"/>
    <cellStyle name="쉼표 [0] 4 3 16 4" xfId="7011"/>
    <cellStyle name="쉼표 [0] 4 3 16 4 2" xfId="19684"/>
    <cellStyle name="쉼표 [0] 4 3 16 4 2 2" xfId="45036"/>
    <cellStyle name="쉼표 [0] 4 3 16 4 3" xfId="32364"/>
    <cellStyle name="쉼표 [0] 4 3 16 5" xfId="13348"/>
    <cellStyle name="쉼표 [0] 4 3 16 5 2" xfId="38700"/>
    <cellStyle name="쉼표 [0] 4 3 16 6" xfId="26028"/>
    <cellStyle name="쉼표 [0] 4 3 16 7" xfId="51898"/>
    <cellStyle name="쉼표 [0] 4 3 17" xfId="676"/>
    <cellStyle name="쉼표 [0] 4 3 17 2" xfId="677"/>
    <cellStyle name="쉼표 [0] 4 3 17 2 2" xfId="3785"/>
    <cellStyle name="쉼표 [0] 4 3 17 2 2 2" xfId="10121"/>
    <cellStyle name="쉼표 [0] 4 3 17 2 2 2 2" xfId="22794"/>
    <cellStyle name="쉼표 [0] 4 3 17 2 2 2 2 2" xfId="48146"/>
    <cellStyle name="쉼표 [0] 4 3 17 2 2 2 3" xfId="35474"/>
    <cellStyle name="쉼표 [0] 4 3 17 2 2 3" xfId="16458"/>
    <cellStyle name="쉼표 [0] 4 3 17 2 2 3 2" xfId="41810"/>
    <cellStyle name="쉼표 [0] 4 3 17 2 2 4" xfId="29138"/>
    <cellStyle name="쉼표 [0] 4 3 17 2 2 5" xfId="51899"/>
    <cellStyle name="쉼표 [0] 4 3 17 2 3" xfId="7014"/>
    <cellStyle name="쉼표 [0] 4 3 17 2 3 2" xfId="19687"/>
    <cellStyle name="쉼표 [0] 4 3 17 2 3 2 2" xfId="45039"/>
    <cellStyle name="쉼표 [0] 4 3 17 2 3 3" xfId="32367"/>
    <cellStyle name="쉼표 [0] 4 3 17 2 4" xfId="13351"/>
    <cellStyle name="쉼표 [0] 4 3 17 2 4 2" xfId="38703"/>
    <cellStyle name="쉼표 [0] 4 3 17 2 5" xfId="26031"/>
    <cellStyle name="쉼표 [0] 4 3 17 2 6" xfId="51900"/>
    <cellStyle name="쉼표 [0] 4 3 17 3" xfId="3786"/>
    <cellStyle name="쉼표 [0] 4 3 17 3 2" xfId="10122"/>
    <cellStyle name="쉼표 [0] 4 3 17 3 2 2" xfId="22795"/>
    <cellStyle name="쉼표 [0] 4 3 17 3 2 2 2" xfId="48147"/>
    <cellStyle name="쉼표 [0] 4 3 17 3 2 3" xfId="35475"/>
    <cellStyle name="쉼표 [0] 4 3 17 3 3" xfId="16459"/>
    <cellStyle name="쉼표 [0] 4 3 17 3 3 2" xfId="41811"/>
    <cellStyle name="쉼표 [0] 4 3 17 3 4" xfId="29139"/>
    <cellStyle name="쉼표 [0] 4 3 17 3 5" xfId="51901"/>
    <cellStyle name="쉼표 [0] 4 3 17 4" xfId="7013"/>
    <cellStyle name="쉼표 [0] 4 3 17 4 2" xfId="19686"/>
    <cellStyle name="쉼표 [0] 4 3 17 4 2 2" xfId="45038"/>
    <cellStyle name="쉼표 [0] 4 3 17 4 3" xfId="32366"/>
    <cellStyle name="쉼표 [0] 4 3 17 5" xfId="13350"/>
    <cellStyle name="쉼표 [0] 4 3 17 5 2" xfId="38702"/>
    <cellStyle name="쉼표 [0] 4 3 17 6" xfId="26030"/>
    <cellStyle name="쉼표 [0] 4 3 17 7" xfId="51902"/>
    <cellStyle name="쉼표 [0] 4 3 18" xfId="678"/>
    <cellStyle name="쉼표 [0] 4 3 18 2" xfId="679"/>
    <cellStyle name="쉼표 [0] 4 3 18 2 2" xfId="3787"/>
    <cellStyle name="쉼표 [0] 4 3 18 2 2 2" xfId="10123"/>
    <cellStyle name="쉼표 [0] 4 3 18 2 2 2 2" xfId="22796"/>
    <cellStyle name="쉼표 [0] 4 3 18 2 2 2 2 2" xfId="48148"/>
    <cellStyle name="쉼표 [0] 4 3 18 2 2 2 3" xfId="35476"/>
    <cellStyle name="쉼표 [0] 4 3 18 2 2 3" xfId="16460"/>
    <cellStyle name="쉼표 [0] 4 3 18 2 2 3 2" xfId="41812"/>
    <cellStyle name="쉼표 [0] 4 3 18 2 2 4" xfId="29140"/>
    <cellStyle name="쉼표 [0] 4 3 18 2 2 5" xfId="51903"/>
    <cellStyle name="쉼표 [0] 4 3 18 2 3" xfId="7016"/>
    <cellStyle name="쉼표 [0] 4 3 18 2 3 2" xfId="19689"/>
    <cellStyle name="쉼표 [0] 4 3 18 2 3 2 2" xfId="45041"/>
    <cellStyle name="쉼표 [0] 4 3 18 2 3 3" xfId="32369"/>
    <cellStyle name="쉼표 [0] 4 3 18 2 4" xfId="13353"/>
    <cellStyle name="쉼표 [0] 4 3 18 2 4 2" xfId="38705"/>
    <cellStyle name="쉼표 [0] 4 3 18 2 5" xfId="26033"/>
    <cellStyle name="쉼표 [0] 4 3 18 2 6" xfId="51904"/>
    <cellStyle name="쉼표 [0] 4 3 18 3" xfId="3788"/>
    <cellStyle name="쉼표 [0] 4 3 18 3 2" xfId="10124"/>
    <cellStyle name="쉼표 [0] 4 3 18 3 2 2" xfId="22797"/>
    <cellStyle name="쉼표 [0] 4 3 18 3 2 2 2" xfId="48149"/>
    <cellStyle name="쉼표 [0] 4 3 18 3 2 3" xfId="35477"/>
    <cellStyle name="쉼표 [0] 4 3 18 3 3" xfId="16461"/>
    <cellStyle name="쉼표 [0] 4 3 18 3 3 2" xfId="41813"/>
    <cellStyle name="쉼표 [0] 4 3 18 3 4" xfId="29141"/>
    <cellStyle name="쉼표 [0] 4 3 18 3 5" xfId="51905"/>
    <cellStyle name="쉼표 [0] 4 3 18 4" xfId="7015"/>
    <cellStyle name="쉼표 [0] 4 3 18 4 2" xfId="19688"/>
    <cellStyle name="쉼표 [0] 4 3 18 4 2 2" xfId="45040"/>
    <cellStyle name="쉼표 [0] 4 3 18 4 3" xfId="32368"/>
    <cellStyle name="쉼표 [0] 4 3 18 5" xfId="13352"/>
    <cellStyle name="쉼표 [0] 4 3 18 5 2" xfId="38704"/>
    <cellStyle name="쉼표 [0] 4 3 18 6" xfId="26032"/>
    <cellStyle name="쉼표 [0] 4 3 18 7" xfId="51906"/>
    <cellStyle name="쉼표 [0] 4 3 19" xfId="680"/>
    <cellStyle name="쉼표 [0] 4 3 19 2" xfId="681"/>
    <cellStyle name="쉼표 [0] 4 3 19 2 2" xfId="3789"/>
    <cellStyle name="쉼표 [0] 4 3 19 2 2 2" xfId="10125"/>
    <cellStyle name="쉼표 [0] 4 3 19 2 2 2 2" xfId="22798"/>
    <cellStyle name="쉼표 [0] 4 3 19 2 2 2 2 2" xfId="48150"/>
    <cellStyle name="쉼표 [0] 4 3 19 2 2 2 3" xfId="35478"/>
    <cellStyle name="쉼표 [0] 4 3 19 2 2 3" xfId="16462"/>
    <cellStyle name="쉼표 [0] 4 3 19 2 2 3 2" xfId="41814"/>
    <cellStyle name="쉼표 [0] 4 3 19 2 2 4" xfId="29142"/>
    <cellStyle name="쉼표 [0] 4 3 19 2 2 5" xfId="51907"/>
    <cellStyle name="쉼표 [0] 4 3 19 2 3" xfId="7018"/>
    <cellStyle name="쉼표 [0] 4 3 19 2 3 2" xfId="19691"/>
    <cellStyle name="쉼표 [0] 4 3 19 2 3 2 2" xfId="45043"/>
    <cellStyle name="쉼표 [0] 4 3 19 2 3 3" xfId="32371"/>
    <cellStyle name="쉼표 [0] 4 3 19 2 4" xfId="13355"/>
    <cellStyle name="쉼표 [0] 4 3 19 2 4 2" xfId="38707"/>
    <cellStyle name="쉼표 [0] 4 3 19 2 5" xfId="26035"/>
    <cellStyle name="쉼표 [0] 4 3 19 2 6" xfId="51908"/>
    <cellStyle name="쉼표 [0] 4 3 19 3" xfId="3790"/>
    <cellStyle name="쉼표 [0] 4 3 19 3 2" xfId="10126"/>
    <cellStyle name="쉼표 [0] 4 3 19 3 2 2" xfId="22799"/>
    <cellStyle name="쉼표 [0] 4 3 19 3 2 2 2" xfId="48151"/>
    <cellStyle name="쉼표 [0] 4 3 19 3 2 3" xfId="35479"/>
    <cellStyle name="쉼표 [0] 4 3 19 3 3" xfId="16463"/>
    <cellStyle name="쉼표 [0] 4 3 19 3 3 2" xfId="41815"/>
    <cellStyle name="쉼표 [0] 4 3 19 3 4" xfId="29143"/>
    <cellStyle name="쉼표 [0] 4 3 19 3 5" xfId="51909"/>
    <cellStyle name="쉼표 [0] 4 3 19 4" xfId="7017"/>
    <cellStyle name="쉼표 [0] 4 3 19 4 2" xfId="19690"/>
    <cellStyle name="쉼표 [0] 4 3 19 4 2 2" xfId="45042"/>
    <cellStyle name="쉼표 [0] 4 3 19 4 3" xfId="32370"/>
    <cellStyle name="쉼표 [0] 4 3 19 5" xfId="13354"/>
    <cellStyle name="쉼표 [0] 4 3 19 5 2" xfId="38706"/>
    <cellStyle name="쉼표 [0] 4 3 19 6" xfId="26034"/>
    <cellStyle name="쉼표 [0] 4 3 19 7" xfId="51910"/>
    <cellStyle name="쉼표 [0] 4 3 2" xfId="31"/>
    <cellStyle name="쉼표 [0] 4 3 2 10" xfId="682"/>
    <cellStyle name="쉼표 [0] 4 3 2 10 2" xfId="683"/>
    <cellStyle name="쉼표 [0] 4 3 2 10 2 2" xfId="3791"/>
    <cellStyle name="쉼표 [0] 4 3 2 10 2 2 2" xfId="10127"/>
    <cellStyle name="쉼표 [0] 4 3 2 10 2 2 2 2" xfId="22800"/>
    <cellStyle name="쉼표 [0] 4 3 2 10 2 2 2 2 2" xfId="48152"/>
    <cellStyle name="쉼표 [0] 4 3 2 10 2 2 2 3" xfId="35480"/>
    <cellStyle name="쉼표 [0] 4 3 2 10 2 2 3" xfId="16464"/>
    <cellStyle name="쉼표 [0] 4 3 2 10 2 2 3 2" xfId="41816"/>
    <cellStyle name="쉼표 [0] 4 3 2 10 2 2 4" xfId="29144"/>
    <cellStyle name="쉼표 [0] 4 3 2 10 2 2 5" xfId="51911"/>
    <cellStyle name="쉼표 [0] 4 3 2 10 2 3" xfId="7020"/>
    <cellStyle name="쉼표 [0] 4 3 2 10 2 3 2" xfId="19693"/>
    <cellStyle name="쉼표 [0] 4 3 2 10 2 3 2 2" xfId="45045"/>
    <cellStyle name="쉼표 [0] 4 3 2 10 2 3 3" xfId="32373"/>
    <cellStyle name="쉼표 [0] 4 3 2 10 2 4" xfId="13357"/>
    <cellStyle name="쉼표 [0] 4 3 2 10 2 4 2" xfId="38709"/>
    <cellStyle name="쉼표 [0] 4 3 2 10 2 5" xfId="26037"/>
    <cellStyle name="쉼표 [0] 4 3 2 10 2 6" xfId="51912"/>
    <cellStyle name="쉼표 [0] 4 3 2 10 3" xfId="3792"/>
    <cellStyle name="쉼표 [0] 4 3 2 10 3 2" xfId="10128"/>
    <cellStyle name="쉼표 [0] 4 3 2 10 3 2 2" xfId="22801"/>
    <cellStyle name="쉼표 [0] 4 3 2 10 3 2 2 2" xfId="48153"/>
    <cellStyle name="쉼표 [0] 4 3 2 10 3 2 3" xfId="35481"/>
    <cellStyle name="쉼표 [0] 4 3 2 10 3 3" xfId="16465"/>
    <cellStyle name="쉼표 [0] 4 3 2 10 3 3 2" xfId="41817"/>
    <cellStyle name="쉼표 [0] 4 3 2 10 3 4" xfId="29145"/>
    <cellStyle name="쉼표 [0] 4 3 2 10 3 5" xfId="51913"/>
    <cellStyle name="쉼표 [0] 4 3 2 10 4" xfId="7019"/>
    <cellStyle name="쉼표 [0] 4 3 2 10 4 2" xfId="19692"/>
    <cellStyle name="쉼표 [0] 4 3 2 10 4 2 2" xfId="45044"/>
    <cellStyle name="쉼표 [0] 4 3 2 10 4 3" xfId="32372"/>
    <cellStyle name="쉼표 [0] 4 3 2 10 5" xfId="13356"/>
    <cellStyle name="쉼표 [0] 4 3 2 10 5 2" xfId="38708"/>
    <cellStyle name="쉼표 [0] 4 3 2 10 6" xfId="26036"/>
    <cellStyle name="쉼표 [0] 4 3 2 10 7" xfId="51914"/>
    <cellStyle name="쉼표 [0] 4 3 2 11" xfId="684"/>
    <cellStyle name="쉼표 [0] 4 3 2 11 2" xfId="685"/>
    <cellStyle name="쉼표 [0] 4 3 2 11 2 2" xfId="3793"/>
    <cellStyle name="쉼표 [0] 4 3 2 11 2 2 2" xfId="10129"/>
    <cellStyle name="쉼표 [0] 4 3 2 11 2 2 2 2" xfId="22802"/>
    <cellStyle name="쉼표 [0] 4 3 2 11 2 2 2 2 2" xfId="48154"/>
    <cellStyle name="쉼표 [0] 4 3 2 11 2 2 2 3" xfId="35482"/>
    <cellStyle name="쉼표 [0] 4 3 2 11 2 2 3" xfId="16466"/>
    <cellStyle name="쉼표 [0] 4 3 2 11 2 2 3 2" xfId="41818"/>
    <cellStyle name="쉼표 [0] 4 3 2 11 2 2 4" xfId="29146"/>
    <cellStyle name="쉼표 [0] 4 3 2 11 2 2 5" xfId="51915"/>
    <cellStyle name="쉼표 [0] 4 3 2 11 2 3" xfId="7022"/>
    <cellStyle name="쉼표 [0] 4 3 2 11 2 3 2" xfId="19695"/>
    <cellStyle name="쉼표 [0] 4 3 2 11 2 3 2 2" xfId="45047"/>
    <cellStyle name="쉼표 [0] 4 3 2 11 2 3 3" xfId="32375"/>
    <cellStyle name="쉼표 [0] 4 3 2 11 2 4" xfId="13359"/>
    <cellStyle name="쉼표 [0] 4 3 2 11 2 4 2" xfId="38711"/>
    <cellStyle name="쉼표 [0] 4 3 2 11 2 5" xfId="26039"/>
    <cellStyle name="쉼표 [0] 4 3 2 11 2 6" xfId="51916"/>
    <cellStyle name="쉼표 [0] 4 3 2 11 3" xfId="3794"/>
    <cellStyle name="쉼표 [0] 4 3 2 11 3 2" xfId="10130"/>
    <cellStyle name="쉼표 [0] 4 3 2 11 3 2 2" xfId="22803"/>
    <cellStyle name="쉼표 [0] 4 3 2 11 3 2 2 2" xfId="48155"/>
    <cellStyle name="쉼표 [0] 4 3 2 11 3 2 3" xfId="35483"/>
    <cellStyle name="쉼표 [0] 4 3 2 11 3 3" xfId="16467"/>
    <cellStyle name="쉼표 [0] 4 3 2 11 3 3 2" xfId="41819"/>
    <cellStyle name="쉼표 [0] 4 3 2 11 3 4" xfId="29147"/>
    <cellStyle name="쉼표 [0] 4 3 2 11 3 5" xfId="51917"/>
    <cellStyle name="쉼표 [0] 4 3 2 11 4" xfId="7021"/>
    <cellStyle name="쉼표 [0] 4 3 2 11 4 2" xfId="19694"/>
    <cellStyle name="쉼표 [0] 4 3 2 11 4 2 2" xfId="45046"/>
    <cellStyle name="쉼표 [0] 4 3 2 11 4 3" xfId="32374"/>
    <cellStyle name="쉼표 [0] 4 3 2 11 5" xfId="13358"/>
    <cellStyle name="쉼표 [0] 4 3 2 11 5 2" xfId="38710"/>
    <cellStyle name="쉼표 [0] 4 3 2 11 6" xfId="26038"/>
    <cellStyle name="쉼표 [0] 4 3 2 11 7" xfId="51918"/>
    <cellStyle name="쉼표 [0] 4 3 2 12" xfId="686"/>
    <cellStyle name="쉼표 [0] 4 3 2 12 2" xfId="687"/>
    <cellStyle name="쉼표 [0] 4 3 2 12 2 2" xfId="3795"/>
    <cellStyle name="쉼표 [0] 4 3 2 12 2 2 2" xfId="10131"/>
    <cellStyle name="쉼표 [0] 4 3 2 12 2 2 2 2" xfId="22804"/>
    <cellStyle name="쉼표 [0] 4 3 2 12 2 2 2 2 2" xfId="48156"/>
    <cellStyle name="쉼표 [0] 4 3 2 12 2 2 2 3" xfId="35484"/>
    <cellStyle name="쉼표 [0] 4 3 2 12 2 2 3" xfId="16468"/>
    <cellStyle name="쉼표 [0] 4 3 2 12 2 2 3 2" xfId="41820"/>
    <cellStyle name="쉼표 [0] 4 3 2 12 2 2 4" xfId="29148"/>
    <cellStyle name="쉼표 [0] 4 3 2 12 2 2 5" xfId="51919"/>
    <cellStyle name="쉼표 [0] 4 3 2 12 2 3" xfId="7024"/>
    <cellStyle name="쉼표 [0] 4 3 2 12 2 3 2" xfId="19697"/>
    <cellStyle name="쉼표 [0] 4 3 2 12 2 3 2 2" xfId="45049"/>
    <cellStyle name="쉼표 [0] 4 3 2 12 2 3 3" xfId="32377"/>
    <cellStyle name="쉼표 [0] 4 3 2 12 2 4" xfId="13361"/>
    <cellStyle name="쉼표 [0] 4 3 2 12 2 4 2" xfId="38713"/>
    <cellStyle name="쉼표 [0] 4 3 2 12 2 5" xfId="26041"/>
    <cellStyle name="쉼표 [0] 4 3 2 12 2 6" xfId="51920"/>
    <cellStyle name="쉼표 [0] 4 3 2 12 3" xfId="3796"/>
    <cellStyle name="쉼표 [0] 4 3 2 12 3 2" xfId="10132"/>
    <cellStyle name="쉼표 [0] 4 3 2 12 3 2 2" xfId="22805"/>
    <cellStyle name="쉼표 [0] 4 3 2 12 3 2 2 2" xfId="48157"/>
    <cellStyle name="쉼표 [0] 4 3 2 12 3 2 3" xfId="35485"/>
    <cellStyle name="쉼표 [0] 4 3 2 12 3 3" xfId="16469"/>
    <cellStyle name="쉼표 [0] 4 3 2 12 3 3 2" xfId="41821"/>
    <cellStyle name="쉼표 [0] 4 3 2 12 3 4" xfId="29149"/>
    <cellStyle name="쉼표 [0] 4 3 2 12 3 5" xfId="51921"/>
    <cellStyle name="쉼표 [0] 4 3 2 12 4" xfId="7023"/>
    <cellStyle name="쉼표 [0] 4 3 2 12 4 2" xfId="19696"/>
    <cellStyle name="쉼표 [0] 4 3 2 12 4 2 2" xfId="45048"/>
    <cellStyle name="쉼표 [0] 4 3 2 12 4 3" xfId="32376"/>
    <cellStyle name="쉼표 [0] 4 3 2 12 5" xfId="13360"/>
    <cellStyle name="쉼표 [0] 4 3 2 12 5 2" xfId="38712"/>
    <cellStyle name="쉼표 [0] 4 3 2 12 6" xfId="26040"/>
    <cellStyle name="쉼표 [0] 4 3 2 12 7" xfId="51922"/>
    <cellStyle name="쉼표 [0] 4 3 2 13" xfId="688"/>
    <cellStyle name="쉼표 [0] 4 3 2 13 2" xfId="689"/>
    <cellStyle name="쉼표 [0] 4 3 2 13 2 2" xfId="3797"/>
    <cellStyle name="쉼표 [0] 4 3 2 13 2 2 2" xfId="10133"/>
    <cellStyle name="쉼표 [0] 4 3 2 13 2 2 2 2" xfId="22806"/>
    <cellStyle name="쉼표 [0] 4 3 2 13 2 2 2 2 2" xfId="48158"/>
    <cellStyle name="쉼표 [0] 4 3 2 13 2 2 2 3" xfId="35486"/>
    <cellStyle name="쉼표 [0] 4 3 2 13 2 2 3" xfId="16470"/>
    <cellStyle name="쉼표 [0] 4 3 2 13 2 2 3 2" xfId="41822"/>
    <cellStyle name="쉼표 [0] 4 3 2 13 2 2 4" xfId="29150"/>
    <cellStyle name="쉼표 [0] 4 3 2 13 2 2 5" xfId="51923"/>
    <cellStyle name="쉼표 [0] 4 3 2 13 2 3" xfId="7026"/>
    <cellStyle name="쉼표 [0] 4 3 2 13 2 3 2" xfId="19699"/>
    <cellStyle name="쉼표 [0] 4 3 2 13 2 3 2 2" xfId="45051"/>
    <cellStyle name="쉼표 [0] 4 3 2 13 2 3 3" xfId="32379"/>
    <cellStyle name="쉼표 [0] 4 3 2 13 2 4" xfId="13363"/>
    <cellStyle name="쉼표 [0] 4 3 2 13 2 4 2" xfId="38715"/>
    <cellStyle name="쉼표 [0] 4 3 2 13 2 5" xfId="26043"/>
    <cellStyle name="쉼표 [0] 4 3 2 13 2 6" xfId="51924"/>
    <cellStyle name="쉼표 [0] 4 3 2 13 3" xfId="3798"/>
    <cellStyle name="쉼표 [0] 4 3 2 13 3 2" xfId="10134"/>
    <cellStyle name="쉼표 [0] 4 3 2 13 3 2 2" xfId="22807"/>
    <cellStyle name="쉼표 [0] 4 3 2 13 3 2 2 2" xfId="48159"/>
    <cellStyle name="쉼표 [0] 4 3 2 13 3 2 3" xfId="35487"/>
    <cellStyle name="쉼표 [0] 4 3 2 13 3 3" xfId="16471"/>
    <cellStyle name="쉼표 [0] 4 3 2 13 3 3 2" xfId="41823"/>
    <cellStyle name="쉼표 [0] 4 3 2 13 3 4" xfId="29151"/>
    <cellStyle name="쉼표 [0] 4 3 2 13 3 5" xfId="51925"/>
    <cellStyle name="쉼표 [0] 4 3 2 13 4" xfId="7025"/>
    <cellStyle name="쉼표 [0] 4 3 2 13 4 2" xfId="19698"/>
    <cellStyle name="쉼표 [0] 4 3 2 13 4 2 2" xfId="45050"/>
    <cellStyle name="쉼표 [0] 4 3 2 13 4 3" xfId="32378"/>
    <cellStyle name="쉼표 [0] 4 3 2 13 5" xfId="13362"/>
    <cellStyle name="쉼표 [0] 4 3 2 13 5 2" xfId="38714"/>
    <cellStyle name="쉼표 [0] 4 3 2 13 6" xfId="26042"/>
    <cellStyle name="쉼표 [0] 4 3 2 13 7" xfId="51926"/>
    <cellStyle name="쉼표 [0] 4 3 2 14" xfId="690"/>
    <cellStyle name="쉼표 [0] 4 3 2 14 2" xfId="691"/>
    <cellStyle name="쉼표 [0] 4 3 2 14 2 2" xfId="3799"/>
    <cellStyle name="쉼표 [0] 4 3 2 14 2 2 2" xfId="10135"/>
    <cellStyle name="쉼표 [0] 4 3 2 14 2 2 2 2" xfId="22808"/>
    <cellStyle name="쉼표 [0] 4 3 2 14 2 2 2 2 2" xfId="48160"/>
    <cellStyle name="쉼표 [0] 4 3 2 14 2 2 2 3" xfId="35488"/>
    <cellStyle name="쉼표 [0] 4 3 2 14 2 2 3" xfId="16472"/>
    <cellStyle name="쉼표 [0] 4 3 2 14 2 2 3 2" xfId="41824"/>
    <cellStyle name="쉼표 [0] 4 3 2 14 2 2 4" xfId="29152"/>
    <cellStyle name="쉼표 [0] 4 3 2 14 2 2 5" xfId="51927"/>
    <cellStyle name="쉼표 [0] 4 3 2 14 2 3" xfId="7028"/>
    <cellStyle name="쉼표 [0] 4 3 2 14 2 3 2" xfId="19701"/>
    <cellStyle name="쉼표 [0] 4 3 2 14 2 3 2 2" xfId="45053"/>
    <cellStyle name="쉼표 [0] 4 3 2 14 2 3 3" xfId="32381"/>
    <cellStyle name="쉼표 [0] 4 3 2 14 2 4" xfId="13365"/>
    <cellStyle name="쉼표 [0] 4 3 2 14 2 4 2" xfId="38717"/>
    <cellStyle name="쉼표 [0] 4 3 2 14 2 5" xfId="26045"/>
    <cellStyle name="쉼표 [0] 4 3 2 14 2 6" xfId="51928"/>
    <cellStyle name="쉼표 [0] 4 3 2 14 3" xfId="3800"/>
    <cellStyle name="쉼표 [0] 4 3 2 14 3 2" xfId="10136"/>
    <cellStyle name="쉼표 [0] 4 3 2 14 3 2 2" xfId="22809"/>
    <cellStyle name="쉼표 [0] 4 3 2 14 3 2 2 2" xfId="48161"/>
    <cellStyle name="쉼표 [0] 4 3 2 14 3 2 3" xfId="35489"/>
    <cellStyle name="쉼표 [0] 4 3 2 14 3 3" xfId="16473"/>
    <cellStyle name="쉼표 [0] 4 3 2 14 3 3 2" xfId="41825"/>
    <cellStyle name="쉼표 [0] 4 3 2 14 3 4" xfId="29153"/>
    <cellStyle name="쉼표 [0] 4 3 2 14 3 5" xfId="51929"/>
    <cellStyle name="쉼표 [0] 4 3 2 14 4" xfId="7027"/>
    <cellStyle name="쉼표 [0] 4 3 2 14 4 2" xfId="19700"/>
    <cellStyle name="쉼표 [0] 4 3 2 14 4 2 2" xfId="45052"/>
    <cellStyle name="쉼표 [0] 4 3 2 14 4 3" xfId="32380"/>
    <cellStyle name="쉼표 [0] 4 3 2 14 5" xfId="13364"/>
    <cellStyle name="쉼표 [0] 4 3 2 14 5 2" xfId="38716"/>
    <cellStyle name="쉼표 [0] 4 3 2 14 6" xfId="26044"/>
    <cellStyle name="쉼표 [0] 4 3 2 14 7" xfId="51930"/>
    <cellStyle name="쉼표 [0] 4 3 2 15" xfId="692"/>
    <cellStyle name="쉼표 [0] 4 3 2 15 2" xfId="693"/>
    <cellStyle name="쉼표 [0] 4 3 2 15 2 2" xfId="3801"/>
    <cellStyle name="쉼표 [0] 4 3 2 15 2 2 2" xfId="10137"/>
    <cellStyle name="쉼표 [0] 4 3 2 15 2 2 2 2" xfId="22810"/>
    <cellStyle name="쉼표 [0] 4 3 2 15 2 2 2 2 2" xfId="48162"/>
    <cellStyle name="쉼표 [0] 4 3 2 15 2 2 2 3" xfId="35490"/>
    <cellStyle name="쉼표 [0] 4 3 2 15 2 2 3" xfId="16474"/>
    <cellStyle name="쉼표 [0] 4 3 2 15 2 2 3 2" xfId="41826"/>
    <cellStyle name="쉼표 [0] 4 3 2 15 2 2 4" xfId="29154"/>
    <cellStyle name="쉼표 [0] 4 3 2 15 2 2 5" xfId="51931"/>
    <cellStyle name="쉼표 [0] 4 3 2 15 2 3" xfId="7030"/>
    <cellStyle name="쉼표 [0] 4 3 2 15 2 3 2" xfId="19703"/>
    <cellStyle name="쉼표 [0] 4 3 2 15 2 3 2 2" xfId="45055"/>
    <cellStyle name="쉼표 [0] 4 3 2 15 2 3 3" xfId="32383"/>
    <cellStyle name="쉼표 [0] 4 3 2 15 2 4" xfId="13367"/>
    <cellStyle name="쉼표 [0] 4 3 2 15 2 4 2" xfId="38719"/>
    <cellStyle name="쉼표 [0] 4 3 2 15 2 5" xfId="26047"/>
    <cellStyle name="쉼표 [0] 4 3 2 15 2 6" xfId="51932"/>
    <cellStyle name="쉼표 [0] 4 3 2 15 3" xfId="3802"/>
    <cellStyle name="쉼표 [0] 4 3 2 15 3 2" xfId="10138"/>
    <cellStyle name="쉼표 [0] 4 3 2 15 3 2 2" xfId="22811"/>
    <cellStyle name="쉼표 [0] 4 3 2 15 3 2 2 2" xfId="48163"/>
    <cellStyle name="쉼표 [0] 4 3 2 15 3 2 3" xfId="35491"/>
    <cellStyle name="쉼표 [0] 4 3 2 15 3 3" xfId="16475"/>
    <cellStyle name="쉼표 [0] 4 3 2 15 3 3 2" xfId="41827"/>
    <cellStyle name="쉼표 [0] 4 3 2 15 3 4" xfId="29155"/>
    <cellStyle name="쉼표 [0] 4 3 2 15 3 5" xfId="51933"/>
    <cellStyle name="쉼표 [0] 4 3 2 15 4" xfId="7029"/>
    <cellStyle name="쉼표 [0] 4 3 2 15 4 2" xfId="19702"/>
    <cellStyle name="쉼표 [0] 4 3 2 15 4 2 2" xfId="45054"/>
    <cellStyle name="쉼표 [0] 4 3 2 15 4 3" xfId="32382"/>
    <cellStyle name="쉼표 [0] 4 3 2 15 5" xfId="13366"/>
    <cellStyle name="쉼표 [0] 4 3 2 15 5 2" xfId="38718"/>
    <cellStyle name="쉼표 [0] 4 3 2 15 6" xfId="26046"/>
    <cellStyle name="쉼표 [0] 4 3 2 15 7" xfId="51934"/>
    <cellStyle name="쉼표 [0] 4 3 2 16" xfId="694"/>
    <cellStyle name="쉼표 [0] 4 3 2 16 2" xfId="695"/>
    <cellStyle name="쉼표 [0] 4 3 2 16 2 2" xfId="3803"/>
    <cellStyle name="쉼표 [0] 4 3 2 16 2 2 2" xfId="10139"/>
    <cellStyle name="쉼표 [0] 4 3 2 16 2 2 2 2" xfId="22812"/>
    <cellStyle name="쉼표 [0] 4 3 2 16 2 2 2 2 2" xfId="48164"/>
    <cellStyle name="쉼표 [0] 4 3 2 16 2 2 2 3" xfId="35492"/>
    <cellStyle name="쉼표 [0] 4 3 2 16 2 2 3" xfId="16476"/>
    <cellStyle name="쉼표 [0] 4 3 2 16 2 2 3 2" xfId="41828"/>
    <cellStyle name="쉼표 [0] 4 3 2 16 2 2 4" xfId="29156"/>
    <cellStyle name="쉼표 [0] 4 3 2 16 2 2 5" xfId="51935"/>
    <cellStyle name="쉼표 [0] 4 3 2 16 2 3" xfId="7032"/>
    <cellStyle name="쉼표 [0] 4 3 2 16 2 3 2" xfId="19705"/>
    <cellStyle name="쉼표 [0] 4 3 2 16 2 3 2 2" xfId="45057"/>
    <cellStyle name="쉼표 [0] 4 3 2 16 2 3 3" xfId="32385"/>
    <cellStyle name="쉼표 [0] 4 3 2 16 2 4" xfId="13369"/>
    <cellStyle name="쉼표 [0] 4 3 2 16 2 4 2" xfId="38721"/>
    <cellStyle name="쉼표 [0] 4 3 2 16 2 5" xfId="26049"/>
    <cellStyle name="쉼표 [0] 4 3 2 16 2 6" xfId="51936"/>
    <cellStyle name="쉼표 [0] 4 3 2 16 3" xfId="3804"/>
    <cellStyle name="쉼표 [0] 4 3 2 16 3 2" xfId="10140"/>
    <cellStyle name="쉼표 [0] 4 3 2 16 3 2 2" xfId="22813"/>
    <cellStyle name="쉼표 [0] 4 3 2 16 3 2 2 2" xfId="48165"/>
    <cellStyle name="쉼표 [0] 4 3 2 16 3 2 3" xfId="35493"/>
    <cellStyle name="쉼표 [0] 4 3 2 16 3 3" xfId="16477"/>
    <cellStyle name="쉼표 [0] 4 3 2 16 3 3 2" xfId="41829"/>
    <cellStyle name="쉼표 [0] 4 3 2 16 3 4" xfId="29157"/>
    <cellStyle name="쉼표 [0] 4 3 2 16 3 5" xfId="51937"/>
    <cellStyle name="쉼표 [0] 4 3 2 16 4" xfId="7031"/>
    <cellStyle name="쉼표 [0] 4 3 2 16 4 2" xfId="19704"/>
    <cellStyle name="쉼표 [0] 4 3 2 16 4 2 2" xfId="45056"/>
    <cellStyle name="쉼표 [0] 4 3 2 16 4 3" xfId="32384"/>
    <cellStyle name="쉼표 [0] 4 3 2 16 5" xfId="13368"/>
    <cellStyle name="쉼표 [0] 4 3 2 16 5 2" xfId="38720"/>
    <cellStyle name="쉼표 [0] 4 3 2 16 6" xfId="26048"/>
    <cellStyle name="쉼표 [0] 4 3 2 16 7" xfId="51938"/>
    <cellStyle name="쉼표 [0] 4 3 2 17" xfId="696"/>
    <cellStyle name="쉼표 [0] 4 3 2 17 2" xfId="697"/>
    <cellStyle name="쉼표 [0] 4 3 2 17 2 2" xfId="3805"/>
    <cellStyle name="쉼표 [0] 4 3 2 17 2 2 2" xfId="10141"/>
    <cellStyle name="쉼표 [0] 4 3 2 17 2 2 2 2" xfId="22814"/>
    <cellStyle name="쉼표 [0] 4 3 2 17 2 2 2 2 2" xfId="48166"/>
    <cellStyle name="쉼표 [0] 4 3 2 17 2 2 2 3" xfId="35494"/>
    <cellStyle name="쉼표 [0] 4 3 2 17 2 2 3" xfId="16478"/>
    <cellStyle name="쉼표 [0] 4 3 2 17 2 2 3 2" xfId="41830"/>
    <cellStyle name="쉼표 [0] 4 3 2 17 2 2 4" xfId="29158"/>
    <cellStyle name="쉼표 [0] 4 3 2 17 2 2 5" xfId="51939"/>
    <cellStyle name="쉼표 [0] 4 3 2 17 2 3" xfId="7034"/>
    <cellStyle name="쉼표 [0] 4 3 2 17 2 3 2" xfId="19707"/>
    <cellStyle name="쉼표 [0] 4 3 2 17 2 3 2 2" xfId="45059"/>
    <cellStyle name="쉼표 [0] 4 3 2 17 2 3 3" xfId="32387"/>
    <cellStyle name="쉼표 [0] 4 3 2 17 2 4" xfId="13371"/>
    <cellStyle name="쉼표 [0] 4 3 2 17 2 4 2" xfId="38723"/>
    <cellStyle name="쉼표 [0] 4 3 2 17 2 5" xfId="26051"/>
    <cellStyle name="쉼표 [0] 4 3 2 17 2 6" xfId="51940"/>
    <cellStyle name="쉼표 [0] 4 3 2 17 3" xfId="3806"/>
    <cellStyle name="쉼표 [0] 4 3 2 17 3 2" xfId="10142"/>
    <cellStyle name="쉼표 [0] 4 3 2 17 3 2 2" xfId="22815"/>
    <cellStyle name="쉼표 [0] 4 3 2 17 3 2 2 2" xfId="48167"/>
    <cellStyle name="쉼표 [0] 4 3 2 17 3 2 3" xfId="35495"/>
    <cellStyle name="쉼표 [0] 4 3 2 17 3 3" xfId="16479"/>
    <cellStyle name="쉼표 [0] 4 3 2 17 3 3 2" xfId="41831"/>
    <cellStyle name="쉼표 [0] 4 3 2 17 3 4" xfId="29159"/>
    <cellStyle name="쉼표 [0] 4 3 2 17 3 5" xfId="51941"/>
    <cellStyle name="쉼표 [0] 4 3 2 17 4" xfId="7033"/>
    <cellStyle name="쉼표 [0] 4 3 2 17 4 2" xfId="19706"/>
    <cellStyle name="쉼표 [0] 4 3 2 17 4 2 2" xfId="45058"/>
    <cellStyle name="쉼표 [0] 4 3 2 17 4 3" xfId="32386"/>
    <cellStyle name="쉼표 [0] 4 3 2 17 5" xfId="13370"/>
    <cellStyle name="쉼표 [0] 4 3 2 17 5 2" xfId="38722"/>
    <cellStyle name="쉼표 [0] 4 3 2 17 6" xfId="26050"/>
    <cellStyle name="쉼표 [0] 4 3 2 17 7" xfId="51942"/>
    <cellStyle name="쉼표 [0] 4 3 2 18" xfId="698"/>
    <cellStyle name="쉼표 [0] 4 3 2 18 2" xfId="699"/>
    <cellStyle name="쉼표 [0] 4 3 2 18 2 2" xfId="3807"/>
    <cellStyle name="쉼표 [0] 4 3 2 18 2 2 2" xfId="10143"/>
    <cellStyle name="쉼표 [0] 4 3 2 18 2 2 2 2" xfId="22816"/>
    <cellStyle name="쉼표 [0] 4 3 2 18 2 2 2 2 2" xfId="48168"/>
    <cellStyle name="쉼표 [0] 4 3 2 18 2 2 2 3" xfId="35496"/>
    <cellStyle name="쉼표 [0] 4 3 2 18 2 2 3" xfId="16480"/>
    <cellStyle name="쉼표 [0] 4 3 2 18 2 2 3 2" xfId="41832"/>
    <cellStyle name="쉼표 [0] 4 3 2 18 2 2 4" xfId="29160"/>
    <cellStyle name="쉼표 [0] 4 3 2 18 2 2 5" xfId="51943"/>
    <cellStyle name="쉼표 [0] 4 3 2 18 2 3" xfId="7036"/>
    <cellStyle name="쉼표 [0] 4 3 2 18 2 3 2" xfId="19709"/>
    <cellStyle name="쉼표 [0] 4 3 2 18 2 3 2 2" xfId="45061"/>
    <cellStyle name="쉼표 [0] 4 3 2 18 2 3 3" xfId="32389"/>
    <cellStyle name="쉼표 [0] 4 3 2 18 2 4" xfId="13373"/>
    <cellStyle name="쉼표 [0] 4 3 2 18 2 4 2" xfId="38725"/>
    <cellStyle name="쉼표 [0] 4 3 2 18 2 5" xfId="26053"/>
    <cellStyle name="쉼표 [0] 4 3 2 18 2 6" xfId="51944"/>
    <cellStyle name="쉼표 [0] 4 3 2 18 3" xfId="3808"/>
    <cellStyle name="쉼표 [0] 4 3 2 18 3 2" xfId="10144"/>
    <cellStyle name="쉼표 [0] 4 3 2 18 3 2 2" xfId="22817"/>
    <cellStyle name="쉼표 [0] 4 3 2 18 3 2 2 2" xfId="48169"/>
    <cellStyle name="쉼표 [0] 4 3 2 18 3 2 3" xfId="35497"/>
    <cellStyle name="쉼표 [0] 4 3 2 18 3 3" xfId="16481"/>
    <cellStyle name="쉼표 [0] 4 3 2 18 3 3 2" xfId="41833"/>
    <cellStyle name="쉼표 [0] 4 3 2 18 3 4" xfId="29161"/>
    <cellStyle name="쉼표 [0] 4 3 2 18 3 5" xfId="51945"/>
    <cellStyle name="쉼표 [0] 4 3 2 18 4" xfId="7035"/>
    <cellStyle name="쉼표 [0] 4 3 2 18 4 2" xfId="19708"/>
    <cellStyle name="쉼표 [0] 4 3 2 18 4 2 2" xfId="45060"/>
    <cellStyle name="쉼표 [0] 4 3 2 18 4 3" xfId="32388"/>
    <cellStyle name="쉼표 [0] 4 3 2 18 5" xfId="13372"/>
    <cellStyle name="쉼표 [0] 4 3 2 18 5 2" xfId="38724"/>
    <cellStyle name="쉼표 [0] 4 3 2 18 6" xfId="26052"/>
    <cellStyle name="쉼표 [0] 4 3 2 18 7" xfId="51946"/>
    <cellStyle name="쉼표 [0] 4 3 2 19" xfId="700"/>
    <cellStyle name="쉼표 [0] 4 3 2 19 2" xfId="701"/>
    <cellStyle name="쉼표 [0] 4 3 2 19 2 2" xfId="3809"/>
    <cellStyle name="쉼표 [0] 4 3 2 19 2 2 2" xfId="10145"/>
    <cellStyle name="쉼표 [0] 4 3 2 19 2 2 2 2" xfId="22818"/>
    <cellStyle name="쉼표 [0] 4 3 2 19 2 2 2 2 2" xfId="48170"/>
    <cellStyle name="쉼표 [0] 4 3 2 19 2 2 2 3" xfId="35498"/>
    <cellStyle name="쉼표 [0] 4 3 2 19 2 2 3" xfId="16482"/>
    <cellStyle name="쉼표 [0] 4 3 2 19 2 2 3 2" xfId="41834"/>
    <cellStyle name="쉼표 [0] 4 3 2 19 2 2 4" xfId="29162"/>
    <cellStyle name="쉼표 [0] 4 3 2 19 2 2 5" xfId="51947"/>
    <cellStyle name="쉼표 [0] 4 3 2 19 2 3" xfId="7038"/>
    <cellStyle name="쉼표 [0] 4 3 2 19 2 3 2" xfId="19711"/>
    <cellStyle name="쉼표 [0] 4 3 2 19 2 3 2 2" xfId="45063"/>
    <cellStyle name="쉼표 [0] 4 3 2 19 2 3 3" xfId="32391"/>
    <cellStyle name="쉼표 [0] 4 3 2 19 2 4" xfId="13375"/>
    <cellStyle name="쉼표 [0] 4 3 2 19 2 4 2" xfId="38727"/>
    <cellStyle name="쉼표 [0] 4 3 2 19 2 5" xfId="26055"/>
    <cellStyle name="쉼표 [0] 4 3 2 19 2 6" xfId="51948"/>
    <cellStyle name="쉼표 [0] 4 3 2 19 3" xfId="3810"/>
    <cellStyle name="쉼표 [0] 4 3 2 19 3 2" xfId="10146"/>
    <cellStyle name="쉼표 [0] 4 3 2 19 3 2 2" xfId="22819"/>
    <cellStyle name="쉼표 [0] 4 3 2 19 3 2 2 2" xfId="48171"/>
    <cellStyle name="쉼표 [0] 4 3 2 19 3 2 3" xfId="35499"/>
    <cellStyle name="쉼표 [0] 4 3 2 19 3 3" xfId="16483"/>
    <cellStyle name="쉼표 [0] 4 3 2 19 3 3 2" xfId="41835"/>
    <cellStyle name="쉼표 [0] 4 3 2 19 3 4" xfId="29163"/>
    <cellStyle name="쉼표 [0] 4 3 2 19 3 5" xfId="51949"/>
    <cellStyle name="쉼표 [0] 4 3 2 19 4" xfId="7037"/>
    <cellStyle name="쉼표 [0] 4 3 2 19 4 2" xfId="19710"/>
    <cellStyle name="쉼표 [0] 4 3 2 19 4 2 2" xfId="45062"/>
    <cellStyle name="쉼표 [0] 4 3 2 19 4 3" xfId="32390"/>
    <cellStyle name="쉼표 [0] 4 3 2 19 5" xfId="13374"/>
    <cellStyle name="쉼표 [0] 4 3 2 19 5 2" xfId="38726"/>
    <cellStyle name="쉼표 [0] 4 3 2 19 6" xfId="26054"/>
    <cellStyle name="쉼표 [0] 4 3 2 19 7" xfId="51950"/>
    <cellStyle name="쉼표 [0] 4 3 2 2" xfId="65"/>
    <cellStyle name="쉼표 [0] 4 3 2 2 10" xfId="702"/>
    <cellStyle name="쉼표 [0] 4 3 2 2 10 2" xfId="703"/>
    <cellStyle name="쉼표 [0] 4 3 2 2 10 2 2" xfId="3811"/>
    <cellStyle name="쉼표 [0] 4 3 2 2 10 2 2 2" xfId="10147"/>
    <cellStyle name="쉼표 [0] 4 3 2 2 10 2 2 2 2" xfId="22820"/>
    <cellStyle name="쉼표 [0] 4 3 2 2 10 2 2 2 2 2" xfId="48172"/>
    <cellStyle name="쉼표 [0] 4 3 2 2 10 2 2 2 3" xfId="35500"/>
    <cellStyle name="쉼표 [0] 4 3 2 2 10 2 2 3" xfId="16484"/>
    <cellStyle name="쉼표 [0] 4 3 2 2 10 2 2 3 2" xfId="41836"/>
    <cellStyle name="쉼표 [0] 4 3 2 2 10 2 2 4" xfId="29164"/>
    <cellStyle name="쉼표 [0] 4 3 2 2 10 2 2 5" xfId="51951"/>
    <cellStyle name="쉼표 [0] 4 3 2 2 10 2 3" xfId="7040"/>
    <cellStyle name="쉼표 [0] 4 3 2 2 10 2 3 2" xfId="19713"/>
    <cellStyle name="쉼표 [0] 4 3 2 2 10 2 3 2 2" xfId="45065"/>
    <cellStyle name="쉼표 [0] 4 3 2 2 10 2 3 3" xfId="32393"/>
    <cellStyle name="쉼표 [0] 4 3 2 2 10 2 4" xfId="13377"/>
    <cellStyle name="쉼표 [0] 4 3 2 2 10 2 4 2" xfId="38729"/>
    <cellStyle name="쉼표 [0] 4 3 2 2 10 2 5" xfId="26057"/>
    <cellStyle name="쉼표 [0] 4 3 2 2 10 2 6" xfId="51952"/>
    <cellStyle name="쉼표 [0] 4 3 2 2 10 3" xfId="3812"/>
    <cellStyle name="쉼표 [0] 4 3 2 2 10 3 2" xfId="10148"/>
    <cellStyle name="쉼표 [0] 4 3 2 2 10 3 2 2" xfId="22821"/>
    <cellStyle name="쉼표 [0] 4 3 2 2 10 3 2 2 2" xfId="48173"/>
    <cellStyle name="쉼표 [0] 4 3 2 2 10 3 2 3" xfId="35501"/>
    <cellStyle name="쉼표 [0] 4 3 2 2 10 3 3" xfId="16485"/>
    <cellStyle name="쉼표 [0] 4 3 2 2 10 3 3 2" xfId="41837"/>
    <cellStyle name="쉼표 [0] 4 3 2 2 10 3 4" xfId="29165"/>
    <cellStyle name="쉼표 [0] 4 3 2 2 10 3 5" xfId="51953"/>
    <cellStyle name="쉼표 [0] 4 3 2 2 10 4" xfId="7039"/>
    <cellStyle name="쉼표 [0] 4 3 2 2 10 4 2" xfId="19712"/>
    <cellStyle name="쉼표 [0] 4 3 2 2 10 4 2 2" xfId="45064"/>
    <cellStyle name="쉼표 [0] 4 3 2 2 10 4 3" xfId="32392"/>
    <cellStyle name="쉼표 [0] 4 3 2 2 10 5" xfId="13376"/>
    <cellStyle name="쉼표 [0] 4 3 2 2 10 5 2" xfId="38728"/>
    <cellStyle name="쉼표 [0] 4 3 2 2 10 6" xfId="26056"/>
    <cellStyle name="쉼표 [0] 4 3 2 2 10 7" xfId="51954"/>
    <cellStyle name="쉼표 [0] 4 3 2 2 11" xfId="704"/>
    <cellStyle name="쉼표 [0] 4 3 2 2 11 2" xfId="705"/>
    <cellStyle name="쉼표 [0] 4 3 2 2 11 2 2" xfId="3813"/>
    <cellStyle name="쉼표 [0] 4 3 2 2 11 2 2 2" xfId="10149"/>
    <cellStyle name="쉼표 [0] 4 3 2 2 11 2 2 2 2" xfId="22822"/>
    <cellStyle name="쉼표 [0] 4 3 2 2 11 2 2 2 2 2" xfId="48174"/>
    <cellStyle name="쉼표 [0] 4 3 2 2 11 2 2 2 3" xfId="35502"/>
    <cellStyle name="쉼표 [0] 4 3 2 2 11 2 2 3" xfId="16486"/>
    <cellStyle name="쉼표 [0] 4 3 2 2 11 2 2 3 2" xfId="41838"/>
    <cellStyle name="쉼표 [0] 4 3 2 2 11 2 2 4" xfId="29166"/>
    <cellStyle name="쉼표 [0] 4 3 2 2 11 2 2 5" xfId="51955"/>
    <cellStyle name="쉼표 [0] 4 3 2 2 11 2 3" xfId="7042"/>
    <cellStyle name="쉼표 [0] 4 3 2 2 11 2 3 2" xfId="19715"/>
    <cellStyle name="쉼표 [0] 4 3 2 2 11 2 3 2 2" xfId="45067"/>
    <cellStyle name="쉼표 [0] 4 3 2 2 11 2 3 3" xfId="32395"/>
    <cellStyle name="쉼표 [0] 4 3 2 2 11 2 4" xfId="13379"/>
    <cellStyle name="쉼표 [0] 4 3 2 2 11 2 4 2" xfId="38731"/>
    <cellStyle name="쉼표 [0] 4 3 2 2 11 2 5" xfId="26059"/>
    <cellStyle name="쉼표 [0] 4 3 2 2 11 2 6" xfId="51956"/>
    <cellStyle name="쉼표 [0] 4 3 2 2 11 3" xfId="3814"/>
    <cellStyle name="쉼표 [0] 4 3 2 2 11 3 2" xfId="10150"/>
    <cellStyle name="쉼표 [0] 4 3 2 2 11 3 2 2" xfId="22823"/>
    <cellStyle name="쉼표 [0] 4 3 2 2 11 3 2 2 2" xfId="48175"/>
    <cellStyle name="쉼표 [0] 4 3 2 2 11 3 2 3" xfId="35503"/>
    <cellStyle name="쉼표 [0] 4 3 2 2 11 3 3" xfId="16487"/>
    <cellStyle name="쉼표 [0] 4 3 2 2 11 3 3 2" xfId="41839"/>
    <cellStyle name="쉼표 [0] 4 3 2 2 11 3 4" xfId="29167"/>
    <cellStyle name="쉼표 [0] 4 3 2 2 11 3 5" xfId="51957"/>
    <cellStyle name="쉼표 [0] 4 3 2 2 11 4" xfId="7041"/>
    <cellStyle name="쉼표 [0] 4 3 2 2 11 4 2" xfId="19714"/>
    <cellStyle name="쉼표 [0] 4 3 2 2 11 4 2 2" xfId="45066"/>
    <cellStyle name="쉼표 [0] 4 3 2 2 11 4 3" xfId="32394"/>
    <cellStyle name="쉼표 [0] 4 3 2 2 11 5" xfId="13378"/>
    <cellStyle name="쉼표 [0] 4 3 2 2 11 5 2" xfId="38730"/>
    <cellStyle name="쉼표 [0] 4 3 2 2 11 6" xfId="26058"/>
    <cellStyle name="쉼표 [0] 4 3 2 2 11 7" xfId="51958"/>
    <cellStyle name="쉼표 [0] 4 3 2 2 12" xfId="706"/>
    <cellStyle name="쉼표 [0] 4 3 2 2 12 2" xfId="707"/>
    <cellStyle name="쉼표 [0] 4 3 2 2 12 2 2" xfId="3815"/>
    <cellStyle name="쉼표 [0] 4 3 2 2 12 2 2 2" xfId="10151"/>
    <cellStyle name="쉼표 [0] 4 3 2 2 12 2 2 2 2" xfId="22824"/>
    <cellStyle name="쉼표 [0] 4 3 2 2 12 2 2 2 2 2" xfId="48176"/>
    <cellStyle name="쉼표 [0] 4 3 2 2 12 2 2 2 3" xfId="35504"/>
    <cellStyle name="쉼표 [0] 4 3 2 2 12 2 2 3" xfId="16488"/>
    <cellStyle name="쉼표 [0] 4 3 2 2 12 2 2 3 2" xfId="41840"/>
    <cellStyle name="쉼표 [0] 4 3 2 2 12 2 2 4" xfId="29168"/>
    <cellStyle name="쉼표 [0] 4 3 2 2 12 2 2 5" xfId="51959"/>
    <cellStyle name="쉼표 [0] 4 3 2 2 12 2 3" xfId="7044"/>
    <cellStyle name="쉼표 [0] 4 3 2 2 12 2 3 2" xfId="19717"/>
    <cellStyle name="쉼표 [0] 4 3 2 2 12 2 3 2 2" xfId="45069"/>
    <cellStyle name="쉼표 [0] 4 3 2 2 12 2 3 3" xfId="32397"/>
    <cellStyle name="쉼표 [0] 4 3 2 2 12 2 4" xfId="13381"/>
    <cellStyle name="쉼표 [0] 4 3 2 2 12 2 4 2" xfId="38733"/>
    <cellStyle name="쉼표 [0] 4 3 2 2 12 2 5" xfId="26061"/>
    <cellStyle name="쉼표 [0] 4 3 2 2 12 2 6" xfId="51960"/>
    <cellStyle name="쉼표 [0] 4 3 2 2 12 3" xfId="3816"/>
    <cellStyle name="쉼표 [0] 4 3 2 2 12 3 2" xfId="10152"/>
    <cellStyle name="쉼표 [0] 4 3 2 2 12 3 2 2" xfId="22825"/>
    <cellStyle name="쉼표 [0] 4 3 2 2 12 3 2 2 2" xfId="48177"/>
    <cellStyle name="쉼표 [0] 4 3 2 2 12 3 2 3" xfId="35505"/>
    <cellStyle name="쉼표 [0] 4 3 2 2 12 3 3" xfId="16489"/>
    <cellStyle name="쉼표 [0] 4 3 2 2 12 3 3 2" xfId="41841"/>
    <cellStyle name="쉼표 [0] 4 3 2 2 12 3 4" xfId="29169"/>
    <cellStyle name="쉼표 [0] 4 3 2 2 12 3 5" xfId="51961"/>
    <cellStyle name="쉼표 [0] 4 3 2 2 12 4" xfId="7043"/>
    <cellStyle name="쉼표 [0] 4 3 2 2 12 4 2" xfId="19716"/>
    <cellStyle name="쉼표 [0] 4 3 2 2 12 4 2 2" xfId="45068"/>
    <cellStyle name="쉼표 [0] 4 3 2 2 12 4 3" xfId="32396"/>
    <cellStyle name="쉼표 [0] 4 3 2 2 12 5" xfId="13380"/>
    <cellStyle name="쉼표 [0] 4 3 2 2 12 5 2" xfId="38732"/>
    <cellStyle name="쉼표 [0] 4 3 2 2 12 6" xfId="26060"/>
    <cellStyle name="쉼표 [0] 4 3 2 2 12 7" xfId="51962"/>
    <cellStyle name="쉼표 [0] 4 3 2 2 13" xfId="708"/>
    <cellStyle name="쉼표 [0] 4 3 2 2 13 2" xfId="709"/>
    <cellStyle name="쉼표 [0] 4 3 2 2 13 2 2" xfId="3817"/>
    <cellStyle name="쉼표 [0] 4 3 2 2 13 2 2 2" xfId="10153"/>
    <cellStyle name="쉼표 [0] 4 3 2 2 13 2 2 2 2" xfId="22826"/>
    <cellStyle name="쉼표 [0] 4 3 2 2 13 2 2 2 2 2" xfId="48178"/>
    <cellStyle name="쉼표 [0] 4 3 2 2 13 2 2 2 3" xfId="35506"/>
    <cellStyle name="쉼표 [0] 4 3 2 2 13 2 2 3" xfId="16490"/>
    <cellStyle name="쉼표 [0] 4 3 2 2 13 2 2 3 2" xfId="41842"/>
    <cellStyle name="쉼표 [0] 4 3 2 2 13 2 2 4" xfId="29170"/>
    <cellStyle name="쉼표 [0] 4 3 2 2 13 2 2 5" xfId="51963"/>
    <cellStyle name="쉼표 [0] 4 3 2 2 13 2 3" xfId="7046"/>
    <cellStyle name="쉼표 [0] 4 3 2 2 13 2 3 2" xfId="19719"/>
    <cellStyle name="쉼표 [0] 4 3 2 2 13 2 3 2 2" xfId="45071"/>
    <cellStyle name="쉼표 [0] 4 3 2 2 13 2 3 3" xfId="32399"/>
    <cellStyle name="쉼표 [0] 4 3 2 2 13 2 4" xfId="13383"/>
    <cellStyle name="쉼표 [0] 4 3 2 2 13 2 4 2" xfId="38735"/>
    <cellStyle name="쉼표 [0] 4 3 2 2 13 2 5" xfId="26063"/>
    <cellStyle name="쉼표 [0] 4 3 2 2 13 2 6" xfId="51964"/>
    <cellStyle name="쉼표 [0] 4 3 2 2 13 3" xfId="3818"/>
    <cellStyle name="쉼표 [0] 4 3 2 2 13 3 2" xfId="10154"/>
    <cellStyle name="쉼표 [0] 4 3 2 2 13 3 2 2" xfId="22827"/>
    <cellStyle name="쉼표 [0] 4 3 2 2 13 3 2 2 2" xfId="48179"/>
    <cellStyle name="쉼표 [0] 4 3 2 2 13 3 2 3" xfId="35507"/>
    <cellStyle name="쉼표 [0] 4 3 2 2 13 3 3" xfId="16491"/>
    <cellStyle name="쉼표 [0] 4 3 2 2 13 3 3 2" xfId="41843"/>
    <cellStyle name="쉼표 [0] 4 3 2 2 13 3 4" xfId="29171"/>
    <cellStyle name="쉼표 [0] 4 3 2 2 13 3 5" xfId="51965"/>
    <cellStyle name="쉼표 [0] 4 3 2 2 13 4" xfId="7045"/>
    <cellStyle name="쉼표 [0] 4 3 2 2 13 4 2" xfId="19718"/>
    <cellStyle name="쉼표 [0] 4 3 2 2 13 4 2 2" xfId="45070"/>
    <cellStyle name="쉼표 [0] 4 3 2 2 13 4 3" xfId="32398"/>
    <cellStyle name="쉼표 [0] 4 3 2 2 13 5" xfId="13382"/>
    <cellStyle name="쉼표 [0] 4 3 2 2 13 5 2" xfId="38734"/>
    <cellStyle name="쉼표 [0] 4 3 2 2 13 6" xfId="26062"/>
    <cellStyle name="쉼표 [0] 4 3 2 2 13 7" xfId="51966"/>
    <cellStyle name="쉼표 [0] 4 3 2 2 14" xfId="710"/>
    <cellStyle name="쉼표 [0] 4 3 2 2 14 2" xfId="711"/>
    <cellStyle name="쉼표 [0] 4 3 2 2 14 2 2" xfId="3819"/>
    <cellStyle name="쉼표 [0] 4 3 2 2 14 2 2 2" xfId="10155"/>
    <cellStyle name="쉼표 [0] 4 3 2 2 14 2 2 2 2" xfId="22828"/>
    <cellStyle name="쉼표 [0] 4 3 2 2 14 2 2 2 2 2" xfId="48180"/>
    <cellStyle name="쉼표 [0] 4 3 2 2 14 2 2 2 3" xfId="35508"/>
    <cellStyle name="쉼표 [0] 4 3 2 2 14 2 2 3" xfId="16492"/>
    <cellStyle name="쉼표 [0] 4 3 2 2 14 2 2 3 2" xfId="41844"/>
    <cellStyle name="쉼표 [0] 4 3 2 2 14 2 2 4" xfId="29172"/>
    <cellStyle name="쉼표 [0] 4 3 2 2 14 2 2 5" xfId="51967"/>
    <cellStyle name="쉼표 [0] 4 3 2 2 14 2 3" xfId="7048"/>
    <cellStyle name="쉼표 [0] 4 3 2 2 14 2 3 2" xfId="19721"/>
    <cellStyle name="쉼표 [0] 4 3 2 2 14 2 3 2 2" xfId="45073"/>
    <cellStyle name="쉼표 [0] 4 3 2 2 14 2 3 3" xfId="32401"/>
    <cellStyle name="쉼표 [0] 4 3 2 2 14 2 4" xfId="13385"/>
    <cellStyle name="쉼표 [0] 4 3 2 2 14 2 4 2" xfId="38737"/>
    <cellStyle name="쉼표 [0] 4 3 2 2 14 2 5" xfId="26065"/>
    <cellStyle name="쉼표 [0] 4 3 2 2 14 2 6" xfId="51968"/>
    <cellStyle name="쉼표 [0] 4 3 2 2 14 3" xfId="3820"/>
    <cellStyle name="쉼표 [0] 4 3 2 2 14 3 2" xfId="10156"/>
    <cellStyle name="쉼표 [0] 4 3 2 2 14 3 2 2" xfId="22829"/>
    <cellStyle name="쉼표 [0] 4 3 2 2 14 3 2 2 2" xfId="48181"/>
    <cellStyle name="쉼표 [0] 4 3 2 2 14 3 2 3" xfId="35509"/>
    <cellStyle name="쉼표 [0] 4 3 2 2 14 3 3" xfId="16493"/>
    <cellStyle name="쉼표 [0] 4 3 2 2 14 3 3 2" xfId="41845"/>
    <cellStyle name="쉼표 [0] 4 3 2 2 14 3 4" xfId="29173"/>
    <cellStyle name="쉼표 [0] 4 3 2 2 14 3 5" xfId="51969"/>
    <cellStyle name="쉼표 [0] 4 3 2 2 14 4" xfId="7047"/>
    <cellStyle name="쉼표 [0] 4 3 2 2 14 4 2" xfId="19720"/>
    <cellStyle name="쉼표 [0] 4 3 2 2 14 4 2 2" xfId="45072"/>
    <cellStyle name="쉼표 [0] 4 3 2 2 14 4 3" xfId="32400"/>
    <cellStyle name="쉼표 [0] 4 3 2 2 14 5" xfId="13384"/>
    <cellStyle name="쉼표 [0] 4 3 2 2 14 5 2" xfId="38736"/>
    <cellStyle name="쉼표 [0] 4 3 2 2 14 6" xfId="26064"/>
    <cellStyle name="쉼표 [0] 4 3 2 2 14 7" xfId="51970"/>
    <cellStyle name="쉼표 [0] 4 3 2 2 15" xfId="712"/>
    <cellStyle name="쉼표 [0] 4 3 2 2 15 2" xfId="713"/>
    <cellStyle name="쉼표 [0] 4 3 2 2 15 2 2" xfId="3821"/>
    <cellStyle name="쉼표 [0] 4 3 2 2 15 2 2 2" xfId="10157"/>
    <cellStyle name="쉼표 [0] 4 3 2 2 15 2 2 2 2" xfId="22830"/>
    <cellStyle name="쉼표 [0] 4 3 2 2 15 2 2 2 2 2" xfId="48182"/>
    <cellStyle name="쉼표 [0] 4 3 2 2 15 2 2 2 3" xfId="35510"/>
    <cellStyle name="쉼표 [0] 4 3 2 2 15 2 2 3" xfId="16494"/>
    <cellStyle name="쉼표 [0] 4 3 2 2 15 2 2 3 2" xfId="41846"/>
    <cellStyle name="쉼표 [0] 4 3 2 2 15 2 2 4" xfId="29174"/>
    <cellStyle name="쉼표 [0] 4 3 2 2 15 2 2 5" xfId="51971"/>
    <cellStyle name="쉼표 [0] 4 3 2 2 15 2 3" xfId="7050"/>
    <cellStyle name="쉼표 [0] 4 3 2 2 15 2 3 2" xfId="19723"/>
    <cellStyle name="쉼표 [0] 4 3 2 2 15 2 3 2 2" xfId="45075"/>
    <cellStyle name="쉼표 [0] 4 3 2 2 15 2 3 3" xfId="32403"/>
    <cellStyle name="쉼표 [0] 4 3 2 2 15 2 4" xfId="13387"/>
    <cellStyle name="쉼표 [0] 4 3 2 2 15 2 4 2" xfId="38739"/>
    <cellStyle name="쉼표 [0] 4 3 2 2 15 2 5" xfId="26067"/>
    <cellStyle name="쉼표 [0] 4 3 2 2 15 2 6" xfId="51972"/>
    <cellStyle name="쉼표 [0] 4 3 2 2 15 3" xfId="3822"/>
    <cellStyle name="쉼표 [0] 4 3 2 2 15 3 2" xfId="10158"/>
    <cellStyle name="쉼표 [0] 4 3 2 2 15 3 2 2" xfId="22831"/>
    <cellStyle name="쉼표 [0] 4 3 2 2 15 3 2 2 2" xfId="48183"/>
    <cellStyle name="쉼표 [0] 4 3 2 2 15 3 2 3" xfId="35511"/>
    <cellStyle name="쉼표 [0] 4 3 2 2 15 3 3" xfId="16495"/>
    <cellStyle name="쉼표 [0] 4 3 2 2 15 3 3 2" xfId="41847"/>
    <cellStyle name="쉼표 [0] 4 3 2 2 15 3 4" xfId="29175"/>
    <cellStyle name="쉼표 [0] 4 3 2 2 15 3 5" xfId="51973"/>
    <cellStyle name="쉼표 [0] 4 3 2 2 15 4" xfId="7049"/>
    <cellStyle name="쉼표 [0] 4 3 2 2 15 4 2" xfId="19722"/>
    <cellStyle name="쉼표 [0] 4 3 2 2 15 4 2 2" xfId="45074"/>
    <cellStyle name="쉼표 [0] 4 3 2 2 15 4 3" xfId="32402"/>
    <cellStyle name="쉼표 [0] 4 3 2 2 15 5" xfId="13386"/>
    <cellStyle name="쉼표 [0] 4 3 2 2 15 5 2" xfId="38738"/>
    <cellStyle name="쉼표 [0] 4 3 2 2 15 6" xfId="26066"/>
    <cellStyle name="쉼표 [0] 4 3 2 2 15 7" xfId="51974"/>
    <cellStyle name="쉼표 [0] 4 3 2 2 16" xfId="714"/>
    <cellStyle name="쉼표 [0] 4 3 2 2 16 2" xfId="715"/>
    <cellStyle name="쉼표 [0] 4 3 2 2 16 2 2" xfId="3823"/>
    <cellStyle name="쉼표 [0] 4 3 2 2 16 2 2 2" xfId="10159"/>
    <cellStyle name="쉼표 [0] 4 3 2 2 16 2 2 2 2" xfId="22832"/>
    <cellStyle name="쉼표 [0] 4 3 2 2 16 2 2 2 2 2" xfId="48184"/>
    <cellStyle name="쉼표 [0] 4 3 2 2 16 2 2 2 3" xfId="35512"/>
    <cellStyle name="쉼표 [0] 4 3 2 2 16 2 2 3" xfId="16496"/>
    <cellStyle name="쉼표 [0] 4 3 2 2 16 2 2 3 2" xfId="41848"/>
    <cellStyle name="쉼표 [0] 4 3 2 2 16 2 2 4" xfId="29176"/>
    <cellStyle name="쉼표 [0] 4 3 2 2 16 2 2 5" xfId="51975"/>
    <cellStyle name="쉼표 [0] 4 3 2 2 16 2 3" xfId="7052"/>
    <cellStyle name="쉼표 [0] 4 3 2 2 16 2 3 2" xfId="19725"/>
    <cellStyle name="쉼표 [0] 4 3 2 2 16 2 3 2 2" xfId="45077"/>
    <cellStyle name="쉼표 [0] 4 3 2 2 16 2 3 3" xfId="32405"/>
    <cellStyle name="쉼표 [0] 4 3 2 2 16 2 4" xfId="13389"/>
    <cellStyle name="쉼표 [0] 4 3 2 2 16 2 4 2" xfId="38741"/>
    <cellStyle name="쉼표 [0] 4 3 2 2 16 2 5" xfId="26069"/>
    <cellStyle name="쉼표 [0] 4 3 2 2 16 2 6" xfId="51976"/>
    <cellStyle name="쉼표 [0] 4 3 2 2 16 3" xfId="3824"/>
    <cellStyle name="쉼표 [0] 4 3 2 2 16 3 2" xfId="10160"/>
    <cellStyle name="쉼표 [0] 4 3 2 2 16 3 2 2" xfId="22833"/>
    <cellStyle name="쉼표 [0] 4 3 2 2 16 3 2 2 2" xfId="48185"/>
    <cellStyle name="쉼표 [0] 4 3 2 2 16 3 2 3" xfId="35513"/>
    <cellStyle name="쉼표 [0] 4 3 2 2 16 3 3" xfId="16497"/>
    <cellStyle name="쉼표 [0] 4 3 2 2 16 3 3 2" xfId="41849"/>
    <cellStyle name="쉼표 [0] 4 3 2 2 16 3 4" xfId="29177"/>
    <cellStyle name="쉼표 [0] 4 3 2 2 16 3 5" xfId="51977"/>
    <cellStyle name="쉼표 [0] 4 3 2 2 16 4" xfId="7051"/>
    <cellStyle name="쉼표 [0] 4 3 2 2 16 4 2" xfId="19724"/>
    <cellStyle name="쉼표 [0] 4 3 2 2 16 4 2 2" xfId="45076"/>
    <cellStyle name="쉼표 [0] 4 3 2 2 16 4 3" xfId="32404"/>
    <cellStyle name="쉼표 [0] 4 3 2 2 16 5" xfId="13388"/>
    <cellStyle name="쉼표 [0] 4 3 2 2 16 5 2" xfId="38740"/>
    <cellStyle name="쉼표 [0] 4 3 2 2 16 6" xfId="26068"/>
    <cellStyle name="쉼표 [0] 4 3 2 2 16 7" xfId="51978"/>
    <cellStyle name="쉼표 [0] 4 3 2 2 17" xfId="716"/>
    <cellStyle name="쉼표 [0] 4 3 2 2 17 2" xfId="717"/>
    <cellStyle name="쉼표 [0] 4 3 2 2 17 2 2" xfId="3825"/>
    <cellStyle name="쉼표 [0] 4 3 2 2 17 2 2 2" xfId="10161"/>
    <cellStyle name="쉼표 [0] 4 3 2 2 17 2 2 2 2" xfId="22834"/>
    <cellStyle name="쉼표 [0] 4 3 2 2 17 2 2 2 2 2" xfId="48186"/>
    <cellStyle name="쉼표 [0] 4 3 2 2 17 2 2 2 3" xfId="35514"/>
    <cellStyle name="쉼표 [0] 4 3 2 2 17 2 2 3" xfId="16498"/>
    <cellStyle name="쉼표 [0] 4 3 2 2 17 2 2 3 2" xfId="41850"/>
    <cellStyle name="쉼표 [0] 4 3 2 2 17 2 2 4" xfId="29178"/>
    <cellStyle name="쉼표 [0] 4 3 2 2 17 2 2 5" xfId="51979"/>
    <cellStyle name="쉼표 [0] 4 3 2 2 17 2 3" xfId="7054"/>
    <cellStyle name="쉼표 [0] 4 3 2 2 17 2 3 2" xfId="19727"/>
    <cellStyle name="쉼표 [0] 4 3 2 2 17 2 3 2 2" xfId="45079"/>
    <cellStyle name="쉼표 [0] 4 3 2 2 17 2 3 3" xfId="32407"/>
    <cellStyle name="쉼표 [0] 4 3 2 2 17 2 4" xfId="13391"/>
    <cellStyle name="쉼표 [0] 4 3 2 2 17 2 4 2" xfId="38743"/>
    <cellStyle name="쉼표 [0] 4 3 2 2 17 2 5" xfId="26071"/>
    <cellStyle name="쉼표 [0] 4 3 2 2 17 2 6" xfId="51980"/>
    <cellStyle name="쉼표 [0] 4 3 2 2 17 3" xfId="3826"/>
    <cellStyle name="쉼표 [0] 4 3 2 2 17 3 2" xfId="10162"/>
    <cellStyle name="쉼표 [0] 4 3 2 2 17 3 2 2" xfId="22835"/>
    <cellStyle name="쉼표 [0] 4 3 2 2 17 3 2 2 2" xfId="48187"/>
    <cellStyle name="쉼표 [0] 4 3 2 2 17 3 2 3" xfId="35515"/>
    <cellStyle name="쉼표 [0] 4 3 2 2 17 3 3" xfId="16499"/>
    <cellStyle name="쉼표 [0] 4 3 2 2 17 3 3 2" xfId="41851"/>
    <cellStyle name="쉼표 [0] 4 3 2 2 17 3 4" xfId="29179"/>
    <cellStyle name="쉼표 [0] 4 3 2 2 17 3 5" xfId="51981"/>
    <cellStyle name="쉼표 [0] 4 3 2 2 17 4" xfId="7053"/>
    <cellStyle name="쉼표 [0] 4 3 2 2 17 4 2" xfId="19726"/>
    <cellStyle name="쉼표 [0] 4 3 2 2 17 4 2 2" xfId="45078"/>
    <cellStyle name="쉼표 [0] 4 3 2 2 17 4 3" xfId="32406"/>
    <cellStyle name="쉼표 [0] 4 3 2 2 17 5" xfId="13390"/>
    <cellStyle name="쉼표 [0] 4 3 2 2 17 5 2" xfId="38742"/>
    <cellStyle name="쉼표 [0] 4 3 2 2 17 6" xfId="26070"/>
    <cellStyle name="쉼표 [0] 4 3 2 2 17 7" xfId="51982"/>
    <cellStyle name="쉼표 [0] 4 3 2 2 18" xfId="718"/>
    <cellStyle name="쉼표 [0] 4 3 2 2 18 2" xfId="719"/>
    <cellStyle name="쉼표 [0] 4 3 2 2 18 2 2" xfId="3827"/>
    <cellStyle name="쉼표 [0] 4 3 2 2 18 2 2 2" xfId="10163"/>
    <cellStyle name="쉼표 [0] 4 3 2 2 18 2 2 2 2" xfId="22836"/>
    <cellStyle name="쉼표 [0] 4 3 2 2 18 2 2 2 2 2" xfId="48188"/>
    <cellStyle name="쉼표 [0] 4 3 2 2 18 2 2 2 3" xfId="35516"/>
    <cellStyle name="쉼표 [0] 4 3 2 2 18 2 2 3" xfId="16500"/>
    <cellStyle name="쉼표 [0] 4 3 2 2 18 2 2 3 2" xfId="41852"/>
    <cellStyle name="쉼표 [0] 4 3 2 2 18 2 2 4" xfId="29180"/>
    <cellStyle name="쉼표 [0] 4 3 2 2 18 2 2 5" xfId="51983"/>
    <cellStyle name="쉼표 [0] 4 3 2 2 18 2 3" xfId="7056"/>
    <cellStyle name="쉼표 [0] 4 3 2 2 18 2 3 2" xfId="19729"/>
    <cellStyle name="쉼표 [0] 4 3 2 2 18 2 3 2 2" xfId="45081"/>
    <cellStyle name="쉼표 [0] 4 3 2 2 18 2 3 3" xfId="32409"/>
    <cellStyle name="쉼표 [0] 4 3 2 2 18 2 4" xfId="13393"/>
    <cellStyle name="쉼표 [0] 4 3 2 2 18 2 4 2" xfId="38745"/>
    <cellStyle name="쉼표 [0] 4 3 2 2 18 2 5" xfId="26073"/>
    <cellStyle name="쉼표 [0] 4 3 2 2 18 2 6" xfId="51984"/>
    <cellStyle name="쉼표 [0] 4 3 2 2 18 3" xfId="3828"/>
    <cellStyle name="쉼표 [0] 4 3 2 2 18 3 2" xfId="10164"/>
    <cellStyle name="쉼표 [0] 4 3 2 2 18 3 2 2" xfId="22837"/>
    <cellStyle name="쉼표 [0] 4 3 2 2 18 3 2 2 2" xfId="48189"/>
    <cellStyle name="쉼표 [0] 4 3 2 2 18 3 2 3" xfId="35517"/>
    <cellStyle name="쉼표 [0] 4 3 2 2 18 3 3" xfId="16501"/>
    <cellStyle name="쉼표 [0] 4 3 2 2 18 3 3 2" xfId="41853"/>
    <cellStyle name="쉼표 [0] 4 3 2 2 18 3 4" xfId="29181"/>
    <cellStyle name="쉼표 [0] 4 3 2 2 18 3 5" xfId="51985"/>
    <cellStyle name="쉼표 [0] 4 3 2 2 18 4" xfId="7055"/>
    <cellStyle name="쉼표 [0] 4 3 2 2 18 4 2" xfId="19728"/>
    <cellStyle name="쉼표 [0] 4 3 2 2 18 4 2 2" xfId="45080"/>
    <cellStyle name="쉼표 [0] 4 3 2 2 18 4 3" xfId="32408"/>
    <cellStyle name="쉼표 [0] 4 3 2 2 18 5" xfId="13392"/>
    <cellStyle name="쉼표 [0] 4 3 2 2 18 5 2" xfId="38744"/>
    <cellStyle name="쉼표 [0] 4 3 2 2 18 6" xfId="26072"/>
    <cellStyle name="쉼표 [0] 4 3 2 2 18 7" xfId="51986"/>
    <cellStyle name="쉼표 [0] 4 3 2 2 19" xfId="720"/>
    <cellStyle name="쉼표 [0] 4 3 2 2 19 2" xfId="721"/>
    <cellStyle name="쉼표 [0] 4 3 2 2 19 2 2" xfId="3829"/>
    <cellStyle name="쉼표 [0] 4 3 2 2 19 2 2 2" xfId="10165"/>
    <cellStyle name="쉼표 [0] 4 3 2 2 19 2 2 2 2" xfId="22838"/>
    <cellStyle name="쉼표 [0] 4 3 2 2 19 2 2 2 2 2" xfId="48190"/>
    <cellStyle name="쉼표 [0] 4 3 2 2 19 2 2 2 3" xfId="35518"/>
    <cellStyle name="쉼표 [0] 4 3 2 2 19 2 2 3" xfId="16502"/>
    <cellStyle name="쉼표 [0] 4 3 2 2 19 2 2 3 2" xfId="41854"/>
    <cellStyle name="쉼표 [0] 4 3 2 2 19 2 2 4" xfId="29182"/>
    <cellStyle name="쉼표 [0] 4 3 2 2 19 2 2 5" xfId="51987"/>
    <cellStyle name="쉼표 [0] 4 3 2 2 19 2 3" xfId="7058"/>
    <cellStyle name="쉼표 [0] 4 3 2 2 19 2 3 2" xfId="19731"/>
    <cellStyle name="쉼표 [0] 4 3 2 2 19 2 3 2 2" xfId="45083"/>
    <cellStyle name="쉼표 [0] 4 3 2 2 19 2 3 3" xfId="32411"/>
    <cellStyle name="쉼표 [0] 4 3 2 2 19 2 4" xfId="13395"/>
    <cellStyle name="쉼표 [0] 4 3 2 2 19 2 4 2" xfId="38747"/>
    <cellStyle name="쉼표 [0] 4 3 2 2 19 2 5" xfId="26075"/>
    <cellStyle name="쉼표 [0] 4 3 2 2 19 2 6" xfId="51988"/>
    <cellStyle name="쉼표 [0] 4 3 2 2 19 3" xfId="3830"/>
    <cellStyle name="쉼표 [0] 4 3 2 2 19 3 2" xfId="10166"/>
    <cellStyle name="쉼표 [0] 4 3 2 2 19 3 2 2" xfId="22839"/>
    <cellStyle name="쉼표 [0] 4 3 2 2 19 3 2 2 2" xfId="48191"/>
    <cellStyle name="쉼표 [0] 4 3 2 2 19 3 2 3" xfId="35519"/>
    <cellStyle name="쉼표 [0] 4 3 2 2 19 3 3" xfId="16503"/>
    <cellStyle name="쉼표 [0] 4 3 2 2 19 3 3 2" xfId="41855"/>
    <cellStyle name="쉼표 [0] 4 3 2 2 19 3 4" xfId="29183"/>
    <cellStyle name="쉼표 [0] 4 3 2 2 19 3 5" xfId="51989"/>
    <cellStyle name="쉼표 [0] 4 3 2 2 19 4" xfId="7057"/>
    <cellStyle name="쉼표 [0] 4 3 2 2 19 4 2" xfId="19730"/>
    <cellStyle name="쉼표 [0] 4 3 2 2 19 4 2 2" xfId="45082"/>
    <cellStyle name="쉼표 [0] 4 3 2 2 19 4 3" xfId="32410"/>
    <cellStyle name="쉼표 [0] 4 3 2 2 19 5" xfId="13394"/>
    <cellStyle name="쉼표 [0] 4 3 2 2 19 5 2" xfId="38746"/>
    <cellStyle name="쉼표 [0] 4 3 2 2 19 6" xfId="26074"/>
    <cellStyle name="쉼표 [0] 4 3 2 2 19 7" xfId="51990"/>
    <cellStyle name="쉼표 [0] 4 3 2 2 2" xfId="722"/>
    <cellStyle name="쉼표 [0] 4 3 2 2 2 2" xfId="723"/>
    <cellStyle name="쉼표 [0] 4 3 2 2 2 2 2" xfId="3831"/>
    <cellStyle name="쉼표 [0] 4 3 2 2 2 2 2 2" xfId="10167"/>
    <cellStyle name="쉼표 [0] 4 3 2 2 2 2 2 2 2" xfId="22840"/>
    <cellStyle name="쉼표 [0] 4 3 2 2 2 2 2 2 2 2" xfId="48192"/>
    <cellStyle name="쉼표 [0] 4 3 2 2 2 2 2 2 3" xfId="35520"/>
    <cellStyle name="쉼표 [0] 4 3 2 2 2 2 2 3" xfId="16504"/>
    <cellStyle name="쉼표 [0] 4 3 2 2 2 2 2 3 2" xfId="41856"/>
    <cellStyle name="쉼표 [0] 4 3 2 2 2 2 2 4" xfId="29184"/>
    <cellStyle name="쉼표 [0] 4 3 2 2 2 2 2 5" xfId="51991"/>
    <cellStyle name="쉼표 [0] 4 3 2 2 2 2 3" xfId="7060"/>
    <cellStyle name="쉼표 [0] 4 3 2 2 2 2 3 2" xfId="19733"/>
    <cellStyle name="쉼표 [0] 4 3 2 2 2 2 3 2 2" xfId="45085"/>
    <cellStyle name="쉼표 [0] 4 3 2 2 2 2 3 3" xfId="32413"/>
    <cellStyle name="쉼표 [0] 4 3 2 2 2 2 4" xfId="13397"/>
    <cellStyle name="쉼표 [0] 4 3 2 2 2 2 4 2" xfId="38749"/>
    <cellStyle name="쉼표 [0] 4 3 2 2 2 2 5" xfId="26077"/>
    <cellStyle name="쉼표 [0] 4 3 2 2 2 2 6" xfId="51992"/>
    <cellStyle name="쉼표 [0] 4 3 2 2 2 3" xfId="3832"/>
    <cellStyle name="쉼표 [0] 4 3 2 2 2 3 2" xfId="10168"/>
    <cellStyle name="쉼표 [0] 4 3 2 2 2 3 2 2" xfId="22841"/>
    <cellStyle name="쉼표 [0] 4 3 2 2 2 3 2 2 2" xfId="48193"/>
    <cellStyle name="쉼표 [0] 4 3 2 2 2 3 2 3" xfId="35521"/>
    <cellStyle name="쉼표 [0] 4 3 2 2 2 3 3" xfId="16505"/>
    <cellStyle name="쉼표 [0] 4 3 2 2 2 3 3 2" xfId="41857"/>
    <cellStyle name="쉼표 [0] 4 3 2 2 2 3 4" xfId="29185"/>
    <cellStyle name="쉼표 [0] 4 3 2 2 2 3 5" xfId="51993"/>
    <cellStyle name="쉼표 [0] 4 3 2 2 2 4" xfId="7059"/>
    <cellStyle name="쉼표 [0] 4 3 2 2 2 4 2" xfId="19732"/>
    <cellStyle name="쉼표 [0] 4 3 2 2 2 4 2 2" xfId="45084"/>
    <cellStyle name="쉼표 [0] 4 3 2 2 2 4 3" xfId="32412"/>
    <cellStyle name="쉼표 [0] 4 3 2 2 2 5" xfId="13396"/>
    <cellStyle name="쉼표 [0] 4 3 2 2 2 5 2" xfId="38748"/>
    <cellStyle name="쉼표 [0] 4 3 2 2 2 6" xfId="26076"/>
    <cellStyle name="쉼표 [0] 4 3 2 2 2 7" xfId="51994"/>
    <cellStyle name="쉼표 [0] 4 3 2 2 20" xfId="724"/>
    <cellStyle name="쉼표 [0] 4 3 2 2 20 2" xfId="725"/>
    <cellStyle name="쉼표 [0] 4 3 2 2 20 2 2" xfId="3833"/>
    <cellStyle name="쉼표 [0] 4 3 2 2 20 2 2 2" xfId="10169"/>
    <cellStyle name="쉼표 [0] 4 3 2 2 20 2 2 2 2" xfId="22842"/>
    <cellStyle name="쉼표 [0] 4 3 2 2 20 2 2 2 2 2" xfId="48194"/>
    <cellStyle name="쉼표 [0] 4 3 2 2 20 2 2 2 3" xfId="35522"/>
    <cellStyle name="쉼표 [0] 4 3 2 2 20 2 2 3" xfId="16506"/>
    <cellStyle name="쉼표 [0] 4 3 2 2 20 2 2 3 2" xfId="41858"/>
    <cellStyle name="쉼표 [0] 4 3 2 2 20 2 2 4" xfId="29186"/>
    <cellStyle name="쉼표 [0] 4 3 2 2 20 2 2 5" xfId="51995"/>
    <cellStyle name="쉼표 [0] 4 3 2 2 20 2 3" xfId="7062"/>
    <cellStyle name="쉼표 [0] 4 3 2 2 20 2 3 2" xfId="19735"/>
    <cellStyle name="쉼표 [0] 4 3 2 2 20 2 3 2 2" xfId="45087"/>
    <cellStyle name="쉼표 [0] 4 3 2 2 20 2 3 3" xfId="32415"/>
    <cellStyle name="쉼표 [0] 4 3 2 2 20 2 4" xfId="13399"/>
    <cellStyle name="쉼표 [0] 4 3 2 2 20 2 4 2" xfId="38751"/>
    <cellStyle name="쉼표 [0] 4 3 2 2 20 2 5" xfId="26079"/>
    <cellStyle name="쉼표 [0] 4 3 2 2 20 2 6" xfId="51996"/>
    <cellStyle name="쉼표 [0] 4 3 2 2 20 3" xfId="3834"/>
    <cellStyle name="쉼표 [0] 4 3 2 2 20 3 2" xfId="10170"/>
    <cellStyle name="쉼표 [0] 4 3 2 2 20 3 2 2" xfId="22843"/>
    <cellStyle name="쉼표 [0] 4 3 2 2 20 3 2 2 2" xfId="48195"/>
    <cellStyle name="쉼표 [0] 4 3 2 2 20 3 2 3" xfId="35523"/>
    <cellStyle name="쉼표 [0] 4 3 2 2 20 3 3" xfId="16507"/>
    <cellStyle name="쉼표 [0] 4 3 2 2 20 3 3 2" xfId="41859"/>
    <cellStyle name="쉼표 [0] 4 3 2 2 20 3 4" xfId="29187"/>
    <cellStyle name="쉼표 [0] 4 3 2 2 20 3 5" xfId="51997"/>
    <cellStyle name="쉼표 [0] 4 3 2 2 20 4" xfId="7061"/>
    <cellStyle name="쉼표 [0] 4 3 2 2 20 4 2" xfId="19734"/>
    <cellStyle name="쉼표 [0] 4 3 2 2 20 4 2 2" xfId="45086"/>
    <cellStyle name="쉼표 [0] 4 3 2 2 20 4 3" xfId="32414"/>
    <cellStyle name="쉼표 [0] 4 3 2 2 20 5" xfId="13398"/>
    <cellStyle name="쉼표 [0] 4 3 2 2 20 5 2" xfId="38750"/>
    <cellStyle name="쉼표 [0] 4 3 2 2 20 6" xfId="26078"/>
    <cellStyle name="쉼표 [0] 4 3 2 2 20 7" xfId="51998"/>
    <cellStyle name="쉼표 [0] 4 3 2 2 21" xfId="726"/>
    <cellStyle name="쉼표 [0] 4 3 2 2 21 2" xfId="727"/>
    <cellStyle name="쉼표 [0] 4 3 2 2 21 2 2" xfId="3835"/>
    <cellStyle name="쉼표 [0] 4 3 2 2 21 2 2 2" xfId="10171"/>
    <cellStyle name="쉼표 [0] 4 3 2 2 21 2 2 2 2" xfId="22844"/>
    <cellStyle name="쉼표 [0] 4 3 2 2 21 2 2 2 2 2" xfId="48196"/>
    <cellStyle name="쉼표 [0] 4 3 2 2 21 2 2 2 3" xfId="35524"/>
    <cellStyle name="쉼표 [0] 4 3 2 2 21 2 2 3" xfId="16508"/>
    <cellStyle name="쉼표 [0] 4 3 2 2 21 2 2 3 2" xfId="41860"/>
    <cellStyle name="쉼표 [0] 4 3 2 2 21 2 2 4" xfId="29188"/>
    <cellStyle name="쉼표 [0] 4 3 2 2 21 2 2 5" xfId="51999"/>
    <cellStyle name="쉼표 [0] 4 3 2 2 21 2 3" xfId="7064"/>
    <cellStyle name="쉼표 [0] 4 3 2 2 21 2 3 2" xfId="19737"/>
    <cellStyle name="쉼표 [0] 4 3 2 2 21 2 3 2 2" xfId="45089"/>
    <cellStyle name="쉼표 [0] 4 3 2 2 21 2 3 3" xfId="32417"/>
    <cellStyle name="쉼표 [0] 4 3 2 2 21 2 4" xfId="13401"/>
    <cellStyle name="쉼표 [0] 4 3 2 2 21 2 4 2" xfId="38753"/>
    <cellStyle name="쉼표 [0] 4 3 2 2 21 2 5" xfId="26081"/>
    <cellStyle name="쉼표 [0] 4 3 2 2 21 2 6" xfId="52000"/>
    <cellStyle name="쉼표 [0] 4 3 2 2 21 3" xfId="3836"/>
    <cellStyle name="쉼표 [0] 4 3 2 2 21 3 2" xfId="10172"/>
    <cellStyle name="쉼표 [0] 4 3 2 2 21 3 2 2" xfId="22845"/>
    <cellStyle name="쉼표 [0] 4 3 2 2 21 3 2 2 2" xfId="48197"/>
    <cellStyle name="쉼표 [0] 4 3 2 2 21 3 2 3" xfId="35525"/>
    <cellStyle name="쉼표 [0] 4 3 2 2 21 3 3" xfId="16509"/>
    <cellStyle name="쉼표 [0] 4 3 2 2 21 3 3 2" xfId="41861"/>
    <cellStyle name="쉼표 [0] 4 3 2 2 21 3 4" xfId="29189"/>
    <cellStyle name="쉼표 [0] 4 3 2 2 21 3 5" xfId="52001"/>
    <cellStyle name="쉼표 [0] 4 3 2 2 21 4" xfId="7063"/>
    <cellStyle name="쉼표 [0] 4 3 2 2 21 4 2" xfId="19736"/>
    <cellStyle name="쉼표 [0] 4 3 2 2 21 4 2 2" xfId="45088"/>
    <cellStyle name="쉼표 [0] 4 3 2 2 21 4 3" xfId="32416"/>
    <cellStyle name="쉼표 [0] 4 3 2 2 21 5" xfId="13400"/>
    <cellStyle name="쉼표 [0] 4 3 2 2 21 5 2" xfId="38752"/>
    <cellStyle name="쉼표 [0] 4 3 2 2 21 6" xfId="26080"/>
    <cellStyle name="쉼표 [0] 4 3 2 2 21 7" xfId="52002"/>
    <cellStyle name="쉼표 [0] 4 3 2 2 22" xfId="728"/>
    <cellStyle name="쉼표 [0] 4 3 2 2 22 2" xfId="729"/>
    <cellStyle name="쉼표 [0] 4 3 2 2 22 2 2" xfId="3837"/>
    <cellStyle name="쉼표 [0] 4 3 2 2 22 2 2 2" xfId="10173"/>
    <cellStyle name="쉼표 [0] 4 3 2 2 22 2 2 2 2" xfId="22846"/>
    <cellStyle name="쉼표 [0] 4 3 2 2 22 2 2 2 2 2" xfId="48198"/>
    <cellStyle name="쉼표 [0] 4 3 2 2 22 2 2 2 3" xfId="35526"/>
    <cellStyle name="쉼표 [0] 4 3 2 2 22 2 2 3" xfId="16510"/>
    <cellStyle name="쉼표 [0] 4 3 2 2 22 2 2 3 2" xfId="41862"/>
    <cellStyle name="쉼표 [0] 4 3 2 2 22 2 2 4" xfId="29190"/>
    <cellStyle name="쉼표 [0] 4 3 2 2 22 2 2 5" xfId="52003"/>
    <cellStyle name="쉼표 [0] 4 3 2 2 22 2 3" xfId="7066"/>
    <cellStyle name="쉼표 [0] 4 3 2 2 22 2 3 2" xfId="19739"/>
    <cellStyle name="쉼표 [0] 4 3 2 2 22 2 3 2 2" xfId="45091"/>
    <cellStyle name="쉼표 [0] 4 3 2 2 22 2 3 3" xfId="32419"/>
    <cellStyle name="쉼표 [0] 4 3 2 2 22 2 4" xfId="13403"/>
    <cellStyle name="쉼표 [0] 4 3 2 2 22 2 4 2" xfId="38755"/>
    <cellStyle name="쉼표 [0] 4 3 2 2 22 2 5" xfId="26083"/>
    <cellStyle name="쉼표 [0] 4 3 2 2 22 2 6" xfId="52004"/>
    <cellStyle name="쉼표 [0] 4 3 2 2 22 3" xfId="3838"/>
    <cellStyle name="쉼표 [0] 4 3 2 2 22 3 2" xfId="10174"/>
    <cellStyle name="쉼표 [0] 4 3 2 2 22 3 2 2" xfId="22847"/>
    <cellStyle name="쉼표 [0] 4 3 2 2 22 3 2 2 2" xfId="48199"/>
    <cellStyle name="쉼표 [0] 4 3 2 2 22 3 2 3" xfId="35527"/>
    <cellStyle name="쉼표 [0] 4 3 2 2 22 3 3" xfId="16511"/>
    <cellStyle name="쉼표 [0] 4 3 2 2 22 3 3 2" xfId="41863"/>
    <cellStyle name="쉼표 [0] 4 3 2 2 22 3 4" xfId="29191"/>
    <cellStyle name="쉼표 [0] 4 3 2 2 22 3 5" xfId="52005"/>
    <cellStyle name="쉼표 [0] 4 3 2 2 22 4" xfId="7065"/>
    <cellStyle name="쉼표 [0] 4 3 2 2 22 4 2" xfId="19738"/>
    <cellStyle name="쉼표 [0] 4 3 2 2 22 4 2 2" xfId="45090"/>
    <cellStyle name="쉼표 [0] 4 3 2 2 22 4 3" xfId="32418"/>
    <cellStyle name="쉼표 [0] 4 3 2 2 22 5" xfId="13402"/>
    <cellStyle name="쉼표 [0] 4 3 2 2 22 5 2" xfId="38754"/>
    <cellStyle name="쉼표 [0] 4 3 2 2 22 6" xfId="26082"/>
    <cellStyle name="쉼표 [0] 4 3 2 2 22 7" xfId="52006"/>
    <cellStyle name="쉼표 [0] 4 3 2 2 23" xfId="730"/>
    <cellStyle name="쉼표 [0] 4 3 2 2 23 2" xfId="731"/>
    <cellStyle name="쉼표 [0] 4 3 2 2 23 2 2" xfId="3839"/>
    <cellStyle name="쉼표 [0] 4 3 2 2 23 2 2 2" xfId="10175"/>
    <cellStyle name="쉼표 [0] 4 3 2 2 23 2 2 2 2" xfId="22848"/>
    <cellStyle name="쉼표 [0] 4 3 2 2 23 2 2 2 2 2" xfId="48200"/>
    <cellStyle name="쉼표 [0] 4 3 2 2 23 2 2 2 3" xfId="35528"/>
    <cellStyle name="쉼표 [0] 4 3 2 2 23 2 2 3" xfId="16512"/>
    <cellStyle name="쉼표 [0] 4 3 2 2 23 2 2 3 2" xfId="41864"/>
    <cellStyle name="쉼표 [0] 4 3 2 2 23 2 2 4" xfId="29192"/>
    <cellStyle name="쉼표 [0] 4 3 2 2 23 2 2 5" xfId="52007"/>
    <cellStyle name="쉼표 [0] 4 3 2 2 23 2 3" xfId="7068"/>
    <cellStyle name="쉼표 [0] 4 3 2 2 23 2 3 2" xfId="19741"/>
    <cellStyle name="쉼표 [0] 4 3 2 2 23 2 3 2 2" xfId="45093"/>
    <cellStyle name="쉼표 [0] 4 3 2 2 23 2 3 3" xfId="32421"/>
    <cellStyle name="쉼표 [0] 4 3 2 2 23 2 4" xfId="13405"/>
    <cellStyle name="쉼표 [0] 4 3 2 2 23 2 4 2" xfId="38757"/>
    <cellStyle name="쉼표 [0] 4 3 2 2 23 2 5" xfId="26085"/>
    <cellStyle name="쉼표 [0] 4 3 2 2 23 2 6" xfId="52008"/>
    <cellStyle name="쉼표 [0] 4 3 2 2 23 3" xfId="3840"/>
    <cellStyle name="쉼표 [0] 4 3 2 2 23 3 2" xfId="10176"/>
    <cellStyle name="쉼표 [0] 4 3 2 2 23 3 2 2" xfId="22849"/>
    <cellStyle name="쉼표 [0] 4 3 2 2 23 3 2 2 2" xfId="48201"/>
    <cellStyle name="쉼표 [0] 4 3 2 2 23 3 2 3" xfId="35529"/>
    <cellStyle name="쉼표 [0] 4 3 2 2 23 3 3" xfId="16513"/>
    <cellStyle name="쉼표 [0] 4 3 2 2 23 3 3 2" xfId="41865"/>
    <cellStyle name="쉼표 [0] 4 3 2 2 23 3 4" xfId="29193"/>
    <cellStyle name="쉼표 [0] 4 3 2 2 23 3 5" xfId="52009"/>
    <cellStyle name="쉼표 [0] 4 3 2 2 23 4" xfId="7067"/>
    <cellStyle name="쉼표 [0] 4 3 2 2 23 4 2" xfId="19740"/>
    <cellStyle name="쉼표 [0] 4 3 2 2 23 4 2 2" xfId="45092"/>
    <cellStyle name="쉼표 [0] 4 3 2 2 23 4 3" xfId="32420"/>
    <cellStyle name="쉼표 [0] 4 3 2 2 23 5" xfId="13404"/>
    <cellStyle name="쉼표 [0] 4 3 2 2 23 5 2" xfId="38756"/>
    <cellStyle name="쉼표 [0] 4 3 2 2 23 6" xfId="26084"/>
    <cellStyle name="쉼표 [0] 4 3 2 2 23 7" xfId="52010"/>
    <cellStyle name="쉼표 [0] 4 3 2 2 24" xfId="732"/>
    <cellStyle name="쉼표 [0] 4 3 2 2 24 2" xfId="733"/>
    <cellStyle name="쉼표 [0] 4 3 2 2 24 2 2" xfId="3841"/>
    <cellStyle name="쉼표 [0] 4 3 2 2 24 2 2 2" xfId="10177"/>
    <cellStyle name="쉼표 [0] 4 3 2 2 24 2 2 2 2" xfId="22850"/>
    <cellStyle name="쉼표 [0] 4 3 2 2 24 2 2 2 2 2" xfId="48202"/>
    <cellStyle name="쉼표 [0] 4 3 2 2 24 2 2 2 3" xfId="35530"/>
    <cellStyle name="쉼표 [0] 4 3 2 2 24 2 2 3" xfId="16514"/>
    <cellStyle name="쉼표 [0] 4 3 2 2 24 2 2 3 2" xfId="41866"/>
    <cellStyle name="쉼표 [0] 4 3 2 2 24 2 2 4" xfId="29194"/>
    <cellStyle name="쉼표 [0] 4 3 2 2 24 2 2 5" xfId="52011"/>
    <cellStyle name="쉼표 [0] 4 3 2 2 24 2 3" xfId="7070"/>
    <cellStyle name="쉼표 [0] 4 3 2 2 24 2 3 2" xfId="19743"/>
    <cellStyle name="쉼표 [0] 4 3 2 2 24 2 3 2 2" xfId="45095"/>
    <cellStyle name="쉼표 [0] 4 3 2 2 24 2 3 3" xfId="32423"/>
    <cellStyle name="쉼표 [0] 4 3 2 2 24 2 4" xfId="13407"/>
    <cellStyle name="쉼표 [0] 4 3 2 2 24 2 4 2" xfId="38759"/>
    <cellStyle name="쉼표 [0] 4 3 2 2 24 2 5" xfId="26087"/>
    <cellStyle name="쉼표 [0] 4 3 2 2 24 2 6" xfId="52012"/>
    <cellStyle name="쉼표 [0] 4 3 2 2 24 3" xfId="3842"/>
    <cellStyle name="쉼표 [0] 4 3 2 2 24 3 2" xfId="10178"/>
    <cellStyle name="쉼표 [0] 4 3 2 2 24 3 2 2" xfId="22851"/>
    <cellStyle name="쉼표 [0] 4 3 2 2 24 3 2 2 2" xfId="48203"/>
    <cellStyle name="쉼표 [0] 4 3 2 2 24 3 2 3" xfId="35531"/>
    <cellStyle name="쉼표 [0] 4 3 2 2 24 3 3" xfId="16515"/>
    <cellStyle name="쉼표 [0] 4 3 2 2 24 3 3 2" xfId="41867"/>
    <cellStyle name="쉼표 [0] 4 3 2 2 24 3 4" xfId="29195"/>
    <cellStyle name="쉼표 [0] 4 3 2 2 24 3 5" xfId="52013"/>
    <cellStyle name="쉼표 [0] 4 3 2 2 24 4" xfId="7069"/>
    <cellStyle name="쉼표 [0] 4 3 2 2 24 4 2" xfId="19742"/>
    <cellStyle name="쉼표 [0] 4 3 2 2 24 4 2 2" xfId="45094"/>
    <cellStyle name="쉼표 [0] 4 3 2 2 24 4 3" xfId="32422"/>
    <cellStyle name="쉼표 [0] 4 3 2 2 24 5" xfId="13406"/>
    <cellStyle name="쉼표 [0] 4 3 2 2 24 5 2" xfId="38758"/>
    <cellStyle name="쉼표 [0] 4 3 2 2 24 6" xfId="26086"/>
    <cellStyle name="쉼표 [0] 4 3 2 2 24 7" xfId="52014"/>
    <cellStyle name="쉼표 [0] 4 3 2 2 25" xfId="734"/>
    <cellStyle name="쉼표 [0] 4 3 2 2 25 2" xfId="735"/>
    <cellStyle name="쉼표 [0] 4 3 2 2 25 2 2" xfId="3843"/>
    <cellStyle name="쉼표 [0] 4 3 2 2 25 2 2 2" xfId="10179"/>
    <cellStyle name="쉼표 [0] 4 3 2 2 25 2 2 2 2" xfId="22852"/>
    <cellStyle name="쉼표 [0] 4 3 2 2 25 2 2 2 2 2" xfId="48204"/>
    <cellStyle name="쉼표 [0] 4 3 2 2 25 2 2 2 3" xfId="35532"/>
    <cellStyle name="쉼표 [0] 4 3 2 2 25 2 2 3" xfId="16516"/>
    <cellStyle name="쉼표 [0] 4 3 2 2 25 2 2 3 2" xfId="41868"/>
    <cellStyle name="쉼표 [0] 4 3 2 2 25 2 2 4" xfId="29196"/>
    <cellStyle name="쉼표 [0] 4 3 2 2 25 2 2 5" xfId="52015"/>
    <cellStyle name="쉼표 [0] 4 3 2 2 25 2 3" xfId="7072"/>
    <cellStyle name="쉼표 [0] 4 3 2 2 25 2 3 2" xfId="19745"/>
    <cellStyle name="쉼표 [0] 4 3 2 2 25 2 3 2 2" xfId="45097"/>
    <cellStyle name="쉼표 [0] 4 3 2 2 25 2 3 3" xfId="32425"/>
    <cellStyle name="쉼표 [0] 4 3 2 2 25 2 4" xfId="13409"/>
    <cellStyle name="쉼표 [0] 4 3 2 2 25 2 4 2" xfId="38761"/>
    <cellStyle name="쉼표 [0] 4 3 2 2 25 2 5" xfId="26089"/>
    <cellStyle name="쉼표 [0] 4 3 2 2 25 2 6" xfId="52016"/>
    <cellStyle name="쉼표 [0] 4 3 2 2 25 3" xfId="3844"/>
    <cellStyle name="쉼표 [0] 4 3 2 2 25 3 2" xfId="10180"/>
    <cellStyle name="쉼표 [0] 4 3 2 2 25 3 2 2" xfId="22853"/>
    <cellStyle name="쉼표 [0] 4 3 2 2 25 3 2 2 2" xfId="48205"/>
    <cellStyle name="쉼표 [0] 4 3 2 2 25 3 2 3" xfId="35533"/>
    <cellStyle name="쉼표 [0] 4 3 2 2 25 3 3" xfId="16517"/>
    <cellStyle name="쉼표 [0] 4 3 2 2 25 3 3 2" xfId="41869"/>
    <cellStyle name="쉼표 [0] 4 3 2 2 25 3 4" xfId="29197"/>
    <cellStyle name="쉼표 [0] 4 3 2 2 25 3 5" xfId="52017"/>
    <cellStyle name="쉼표 [0] 4 3 2 2 25 4" xfId="7071"/>
    <cellStyle name="쉼표 [0] 4 3 2 2 25 4 2" xfId="19744"/>
    <cellStyle name="쉼표 [0] 4 3 2 2 25 4 2 2" xfId="45096"/>
    <cellStyle name="쉼표 [0] 4 3 2 2 25 4 3" xfId="32424"/>
    <cellStyle name="쉼표 [0] 4 3 2 2 25 5" xfId="13408"/>
    <cellStyle name="쉼표 [0] 4 3 2 2 25 5 2" xfId="38760"/>
    <cellStyle name="쉼표 [0] 4 3 2 2 25 6" xfId="26088"/>
    <cellStyle name="쉼표 [0] 4 3 2 2 25 7" xfId="52018"/>
    <cellStyle name="쉼표 [0] 4 3 2 2 26" xfId="736"/>
    <cellStyle name="쉼표 [0] 4 3 2 2 26 2" xfId="737"/>
    <cellStyle name="쉼표 [0] 4 3 2 2 26 2 2" xfId="3845"/>
    <cellStyle name="쉼표 [0] 4 3 2 2 26 2 2 2" xfId="10181"/>
    <cellStyle name="쉼표 [0] 4 3 2 2 26 2 2 2 2" xfId="22854"/>
    <cellStyle name="쉼표 [0] 4 3 2 2 26 2 2 2 2 2" xfId="48206"/>
    <cellStyle name="쉼표 [0] 4 3 2 2 26 2 2 2 3" xfId="35534"/>
    <cellStyle name="쉼표 [0] 4 3 2 2 26 2 2 3" xfId="16518"/>
    <cellStyle name="쉼표 [0] 4 3 2 2 26 2 2 3 2" xfId="41870"/>
    <cellStyle name="쉼표 [0] 4 3 2 2 26 2 2 4" xfId="29198"/>
    <cellStyle name="쉼표 [0] 4 3 2 2 26 2 2 5" xfId="52019"/>
    <cellStyle name="쉼표 [0] 4 3 2 2 26 2 3" xfId="7074"/>
    <cellStyle name="쉼표 [0] 4 3 2 2 26 2 3 2" xfId="19747"/>
    <cellStyle name="쉼표 [0] 4 3 2 2 26 2 3 2 2" xfId="45099"/>
    <cellStyle name="쉼표 [0] 4 3 2 2 26 2 3 3" xfId="32427"/>
    <cellStyle name="쉼표 [0] 4 3 2 2 26 2 4" xfId="13411"/>
    <cellStyle name="쉼표 [0] 4 3 2 2 26 2 4 2" xfId="38763"/>
    <cellStyle name="쉼표 [0] 4 3 2 2 26 2 5" xfId="26091"/>
    <cellStyle name="쉼표 [0] 4 3 2 2 26 2 6" xfId="52020"/>
    <cellStyle name="쉼표 [0] 4 3 2 2 26 3" xfId="3846"/>
    <cellStyle name="쉼표 [0] 4 3 2 2 26 3 2" xfId="10182"/>
    <cellStyle name="쉼표 [0] 4 3 2 2 26 3 2 2" xfId="22855"/>
    <cellStyle name="쉼표 [0] 4 3 2 2 26 3 2 2 2" xfId="48207"/>
    <cellStyle name="쉼표 [0] 4 3 2 2 26 3 2 3" xfId="35535"/>
    <cellStyle name="쉼표 [0] 4 3 2 2 26 3 3" xfId="16519"/>
    <cellStyle name="쉼표 [0] 4 3 2 2 26 3 3 2" xfId="41871"/>
    <cellStyle name="쉼표 [0] 4 3 2 2 26 3 4" xfId="29199"/>
    <cellStyle name="쉼표 [0] 4 3 2 2 26 3 5" xfId="52021"/>
    <cellStyle name="쉼표 [0] 4 3 2 2 26 4" xfId="7073"/>
    <cellStyle name="쉼표 [0] 4 3 2 2 26 4 2" xfId="19746"/>
    <cellStyle name="쉼표 [0] 4 3 2 2 26 4 2 2" xfId="45098"/>
    <cellStyle name="쉼표 [0] 4 3 2 2 26 4 3" xfId="32426"/>
    <cellStyle name="쉼표 [0] 4 3 2 2 26 5" xfId="13410"/>
    <cellStyle name="쉼표 [0] 4 3 2 2 26 5 2" xfId="38762"/>
    <cellStyle name="쉼표 [0] 4 3 2 2 26 6" xfId="26090"/>
    <cellStyle name="쉼표 [0] 4 3 2 2 26 7" xfId="52022"/>
    <cellStyle name="쉼표 [0] 4 3 2 2 27" xfId="738"/>
    <cellStyle name="쉼표 [0] 4 3 2 2 27 2" xfId="739"/>
    <cellStyle name="쉼표 [0] 4 3 2 2 27 2 2" xfId="3847"/>
    <cellStyle name="쉼표 [0] 4 3 2 2 27 2 2 2" xfId="10183"/>
    <cellStyle name="쉼표 [0] 4 3 2 2 27 2 2 2 2" xfId="22856"/>
    <cellStyle name="쉼표 [0] 4 3 2 2 27 2 2 2 2 2" xfId="48208"/>
    <cellStyle name="쉼표 [0] 4 3 2 2 27 2 2 2 3" xfId="35536"/>
    <cellStyle name="쉼표 [0] 4 3 2 2 27 2 2 3" xfId="16520"/>
    <cellStyle name="쉼표 [0] 4 3 2 2 27 2 2 3 2" xfId="41872"/>
    <cellStyle name="쉼표 [0] 4 3 2 2 27 2 2 4" xfId="29200"/>
    <cellStyle name="쉼표 [0] 4 3 2 2 27 2 2 5" xfId="52023"/>
    <cellStyle name="쉼표 [0] 4 3 2 2 27 2 3" xfId="7076"/>
    <cellStyle name="쉼표 [0] 4 3 2 2 27 2 3 2" xfId="19749"/>
    <cellStyle name="쉼표 [0] 4 3 2 2 27 2 3 2 2" xfId="45101"/>
    <cellStyle name="쉼표 [0] 4 3 2 2 27 2 3 3" xfId="32429"/>
    <cellStyle name="쉼표 [0] 4 3 2 2 27 2 4" xfId="13413"/>
    <cellStyle name="쉼표 [0] 4 3 2 2 27 2 4 2" xfId="38765"/>
    <cellStyle name="쉼표 [0] 4 3 2 2 27 2 5" xfId="26093"/>
    <cellStyle name="쉼표 [0] 4 3 2 2 27 2 6" xfId="52024"/>
    <cellStyle name="쉼표 [0] 4 3 2 2 27 3" xfId="3848"/>
    <cellStyle name="쉼표 [0] 4 3 2 2 27 3 2" xfId="10184"/>
    <cellStyle name="쉼표 [0] 4 3 2 2 27 3 2 2" xfId="22857"/>
    <cellStyle name="쉼표 [0] 4 3 2 2 27 3 2 2 2" xfId="48209"/>
    <cellStyle name="쉼표 [0] 4 3 2 2 27 3 2 3" xfId="35537"/>
    <cellStyle name="쉼표 [0] 4 3 2 2 27 3 3" xfId="16521"/>
    <cellStyle name="쉼표 [0] 4 3 2 2 27 3 3 2" xfId="41873"/>
    <cellStyle name="쉼표 [0] 4 3 2 2 27 3 4" xfId="29201"/>
    <cellStyle name="쉼표 [0] 4 3 2 2 27 3 5" xfId="52025"/>
    <cellStyle name="쉼표 [0] 4 3 2 2 27 4" xfId="7075"/>
    <cellStyle name="쉼표 [0] 4 3 2 2 27 4 2" xfId="19748"/>
    <cellStyle name="쉼표 [0] 4 3 2 2 27 4 2 2" xfId="45100"/>
    <cellStyle name="쉼표 [0] 4 3 2 2 27 4 3" xfId="32428"/>
    <cellStyle name="쉼표 [0] 4 3 2 2 27 5" xfId="13412"/>
    <cellStyle name="쉼표 [0] 4 3 2 2 27 5 2" xfId="38764"/>
    <cellStyle name="쉼표 [0] 4 3 2 2 27 6" xfId="26092"/>
    <cellStyle name="쉼표 [0] 4 3 2 2 27 7" xfId="52026"/>
    <cellStyle name="쉼표 [0] 4 3 2 2 28" xfId="740"/>
    <cellStyle name="쉼표 [0] 4 3 2 2 28 2" xfId="741"/>
    <cellStyle name="쉼표 [0] 4 3 2 2 28 2 2" xfId="3849"/>
    <cellStyle name="쉼표 [0] 4 3 2 2 28 2 2 2" xfId="10185"/>
    <cellStyle name="쉼표 [0] 4 3 2 2 28 2 2 2 2" xfId="22858"/>
    <cellStyle name="쉼표 [0] 4 3 2 2 28 2 2 2 2 2" xfId="48210"/>
    <cellStyle name="쉼표 [0] 4 3 2 2 28 2 2 2 3" xfId="35538"/>
    <cellStyle name="쉼표 [0] 4 3 2 2 28 2 2 3" xfId="16522"/>
    <cellStyle name="쉼표 [0] 4 3 2 2 28 2 2 3 2" xfId="41874"/>
    <cellStyle name="쉼표 [0] 4 3 2 2 28 2 2 4" xfId="29202"/>
    <cellStyle name="쉼표 [0] 4 3 2 2 28 2 2 5" xfId="52027"/>
    <cellStyle name="쉼표 [0] 4 3 2 2 28 2 3" xfId="7078"/>
    <cellStyle name="쉼표 [0] 4 3 2 2 28 2 3 2" xfId="19751"/>
    <cellStyle name="쉼표 [0] 4 3 2 2 28 2 3 2 2" xfId="45103"/>
    <cellStyle name="쉼표 [0] 4 3 2 2 28 2 3 3" xfId="32431"/>
    <cellStyle name="쉼표 [0] 4 3 2 2 28 2 4" xfId="13415"/>
    <cellStyle name="쉼표 [0] 4 3 2 2 28 2 4 2" xfId="38767"/>
    <cellStyle name="쉼표 [0] 4 3 2 2 28 2 5" xfId="26095"/>
    <cellStyle name="쉼표 [0] 4 3 2 2 28 2 6" xfId="52028"/>
    <cellStyle name="쉼표 [0] 4 3 2 2 28 3" xfId="3850"/>
    <cellStyle name="쉼표 [0] 4 3 2 2 28 3 2" xfId="10186"/>
    <cellStyle name="쉼표 [0] 4 3 2 2 28 3 2 2" xfId="22859"/>
    <cellStyle name="쉼표 [0] 4 3 2 2 28 3 2 2 2" xfId="48211"/>
    <cellStyle name="쉼표 [0] 4 3 2 2 28 3 2 3" xfId="35539"/>
    <cellStyle name="쉼표 [0] 4 3 2 2 28 3 3" xfId="16523"/>
    <cellStyle name="쉼표 [0] 4 3 2 2 28 3 3 2" xfId="41875"/>
    <cellStyle name="쉼표 [0] 4 3 2 2 28 3 4" xfId="29203"/>
    <cellStyle name="쉼표 [0] 4 3 2 2 28 3 5" xfId="52029"/>
    <cellStyle name="쉼표 [0] 4 3 2 2 28 4" xfId="7077"/>
    <cellStyle name="쉼표 [0] 4 3 2 2 28 4 2" xfId="19750"/>
    <cellStyle name="쉼표 [0] 4 3 2 2 28 4 2 2" xfId="45102"/>
    <cellStyle name="쉼표 [0] 4 3 2 2 28 4 3" xfId="32430"/>
    <cellStyle name="쉼표 [0] 4 3 2 2 28 5" xfId="13414"/>
    <cellStyle name="쉼표 [0] 4 3 2 2 28 5 2" xfId="38766"/>
    <cellStyle name="쉼표 [0] 4 3 2 2 28 6" xfId="26094"/>
    <cellStyle name="쉼표 [0] 4 3 2 2 28 7" xfId="52030"/>
    <cellStyle name="쉼표 [0] 4 3 2 2 29" xfId="742"/>
    <cellStyle name="쉼표 [0] 4 3 2 2 29 2" xfId="743"/>
    <cellStyle name="쉼표 [0] 4 3 2 2 29 2 2" xfId="3851"/>
    <cellStyle name="쉼표 [0] 4 3 2 2 29 2 2 2" xfId="10187"/>
    <cellStyle name="쉼표 [0] 4 3 2 2 29 2 2 2 2" xfId="22860"/>
    <cellStyle name="쉼표 [0] 4 3 2 2 29 2 2 2 2 2" xfId="48212"/>
    <cellStyle name="쉼표 [0] 4 3 2 2 29 2 2 2 3" xfId="35540"/>
    <cellStyle name="쉼표 [0] 4 3 2 2 29 2 2 3" xfId="16524"/>
    <cellStyle name="쉼표 [0] 4 3 2 2 29 2 2 3 2" xfId="41876"/>
    <cellStyle name="쉼표 [0] 4 3 2 2 29 2 2 4" xfId="29204"/>
    <cellStyle name="쉼표 [0] 4 3 2 2 29 2 2 5" xfId="52031"/>
    <cellStyle name="쉼표 [0] 4 3 2 2 29 2 3" xfId="7080"/>
    <cellStyle name="쉼표 [0] 4 3 2 2 29 2 3 2" xfId="19753"/>
    <cellStyle name="쉼표 [0] 4 3 2 2 29 2 3 2 2" xfId="45105"/>
    <cellStyle name="쉼표 [0] 4 3 2 2 29 2 3 3" xfId="32433"/>
    <cellStyle name="쉼표 [0] 4 3 2 2 29 2 4" xfId="13417"/>
    <cellStyle name="쉼표 [0] 4 3 2 2 29 2 4 2" xfId="38769"/>
    <cellStyle name="쉼표 [0] 4 3 2 2 29 2 5" xfId="26097"/>
    <cellStyle name="쉼표 [0] 4 3 2 2 29 2 6" xfId="52032"/>
    <cellStyle name="쉼표 [0] 4 3 2 2 29 3" xfId="3852"/>
    <cellStyle name="쉼표 [0] 4 3 2 2 29 3 2" xfId="10188"/>
    <cellStyle name="쉼표 [0] 4 3 2 2 29 3 2 2" xfId="22861"/>
    <cellStyle name="쉼표 [0] 4 3 2 2 29 3 2 2 2" xfId="48213"/>
    <cellStyle name="쉼표 [0] 4 3 2 2 29 3 2 3" xfId="35541"/>
    <cellStyle name="쉼표 [0] 4 3 2 2 29 3 3" xfId="16525"/>
    <cellStyle name="쉼표 [0] 4 3 2 2 29 3 3 2" xfId="41877"/>
    <cellStyle name="쉼표 [0] 4 3 2 2 29 3 4" xfId="29205"/>
    <cellStyle name="쉼표 [0] 4 3 2 2 29 3 5" xfId="52033"/>
    <cellStyle name="쉼표 [0] 4 3 2 2 29 4" xfId="7079"/>
    <cellStyle name="쉼표 [0] 4 3 2 2 29 4 2" xfId="19752"/>
    <cellStyle name="쉼표 [0] 4 3 2 2 29 4 2 2" xfId="45104"/>
    <cellStyle name="쉼표 [0] 4 3 2 2 29 4 3" xfId="32432"/>
    <cellStyle name="쉼표 [0] 4 3 2 2 29 5" xfId="13416"/>
    <cellStyle name="쉼표 [0] 4 3 2 2 29 5 2" xfId="38768"/>
    <cellStyle name="쉼표 [0] 4 3 2 2 29 6" xfId="26096"/>
    <cellStyle name="쉼표 [0] 4 3 2 2 29 7" xfId="52034"/>
    <cellStyle name="쉼표 [0] 4 3 2 2 3" xfId="744"/>
    <cellStyle name="쉼표 [0] 4 3 2 2 3 2" xfId="745"/>
    <cellStyle name="쉼표 [0] 4 3 2 2 3 2 2" xfId="3853"/>
    <cellStyle name="쉼표 [0] 4 3 2 2 3 2 2 2" xfId="10189"/>
    <cellStyle name="쉼표 [0] 4 3 2 2 3 2 2 2 2" xfId="22862"/>
    <cellStyle name="쉼표 [0] 4 3 2 2 3 2 2 2 2 2" xfId="48214"/>
    <cellStyle name="쉼표 [0] 4 3 2 2 3 2 2 2 3" xfId="35542"/>
    <cellStyle name="쉼표 [0] 4 3 2 2 3 2 2 3" xfId="16526"/>
    <cellStyle name="쉼표 [0] 4 3 2 2 3 2 2 3 2" xfId="41878"/>
    <cellStyle name="쉼표 [0] 4 3 2 2 3 2 2 4" xfId="29206"/>
    <cellStyle name="쉼표 [0] 4 3 2 2 3 2 2 5" xfId="52035"/>
    <cellStyle name="쉼표 [0] 4 3 2 2 3 2 3" xfId="7082"/>
    <cellStyle name="쉼표 [0] 4 3 2 2 3 2 3 2" xfId="19755"/>
    <cellStyle name="쉼표 [0] 4 3 2 2 3 2 3 2 2" xfId="45107"/>
    <cellStyle name="쉼표 [0] 4 3 2 2 3 2 3 3" xfId="32435"/>
    <cellStyle name="쉼표 [0] 4 3 2 2 3 2 4" xfId="13419"/>
    <cellStyle name="쉼표 [0] 4 3 2 2 3 2 4 2" xfId="38771"/>
    <cellStyle name="쉼표 [0] 4 3 2 2 3 2 5" xfId="26099"/>
    <cellStyle name="쉼표 [0] 4 3 2 2 3 2 6" xfId="52036"/>
    <cellStyle name="쉼표 [0] 4 3 2 2 3 3" xfId="3854"/>
    <cellStyle name="쉼표 [0] 4 3 2 2 3 3 2" xfId="10190"/>
    <cellStyle name="쉼표 [0] 4 3 2 2 3 3 2 2" xfId="22863"/>
    <cellStyle name="쉼표 [0] 4 3 2 2 3 3 2 2 2" xfId="48215"/>
    <cellStyle name="쉼표 [0] 4 3 2 2 3 3 2 3" xfId="35543"/>
    <cellStyle name="쉼표 [0] 4 3 2 2 3 3 3" xfId="16527"/>
    <cellStyle name="쉼표 [0] 4 3 2 2 3 3 3 2" xfId="41879"/>
    <cellStyle name="쉼표 [0] 4 3 2 2 3 3 4" xfId="29207"/>
    <cellStyle name="쉼표 [0] 4 3 2 2 3 3 5" xfId="52037"/>
    <cellStyle name="쉼표 [0] 4 3 2 2 3 4" xfId="7081"/>
    <cellStyle name="쉼표 [0] 4 3 2 2 3 4 2" xfId="19754"/>
    <cellStyle name="쉼표 [0] 4 3 2 2 3 4 2 2" xfId="45106"/>
    <cellStyle name="쉼표 [0] 4 3 2 2 3 4 3" xfId="32434"/>
    <cellStyle name="쉼표 [0] 4 3 2 2 3 5" xfId="13418"/>
    <cellStyle name="쉼표 [0] 4 3 2 2 3 5 2" xfId="38770"/>
    <cellStyle name="쉼표 [0] 4 3 2 2 3 6" xfId="26098"/>
    <cellStyle name="쉼표 [0] 4 3 2 2 3 7" xfId="52038"/>
    <cellStyle name="쉼표 [0] 4 3 2 2 30" xfId="746"/>
    <cellStyle name="쉼표 [0] 4 3 2 2 30 2" xfId="747"/>
    <cellStyle name="쉼표 [0] 4 3 2 2 30 2 2" xfId="3855"/>
    <cellStyle name="쉼표 [0] 4 3 2 2 30 2 2 2" xfId="10191"/>
    <cellStyle name="쉼표 [0] 4 3 2 2 30 2 2 2 2" xfId="22864"/>
    <cellStyle name="쉼표 [0] 4 3 2 2 30 2 2 2 2 2" xfId="48216"/>
    <cellStyle name="쉼표 [0] 4 3 2 2 30 2 2 2 3" xfId="35544"/>
    <cellStyle name="쉼표 [0] 4 3 2 2 30 2 2 3" xfId="16528"/>
    <cellStyle name="쉼표 [0] 4 3 2 2 30 2 2 3 2" xfId="41880"/>
    <cellStyle name="쉼표 [0] 4 3 2 2 30 2 2 4" xfId="29208"/>
    <cellStyle name="쉼표 [0] 4 3 2 2 30 2 2 5" xfId="52039"/>
    <cellStyle name="쉼표 [0] 4 3 2 2 30 2 3" xfId="7084"/>
    <cellStyle name="쉼표 [0] 4 3 2 2 30 2 3 2" xfId="19757"/>
    <cellStyle name="쉼표 [0] 4 3 2 2 30 2 3 2 2" xfId="45109"/>
    <cellStyle name="쉼표 [0] 4 3 2 2 30 2 3 3" xfId="32437"/>
    <cellStyle name="쉼표 [0] 4 3 2 2 30 2 4" xfId="13421"/>
    <cellStyle name="쉼표 [0] 4 3 2 2 30 2 4 2" xfId="38773"/>
    <cellStyle name="쉼표 [0] 4 3 2 2 30 2 5" xfId="26101"/>
    <cellStyle name="쉼표 [0] 4 3 2 2 30 2 6" xfId="52040"/>
    <cellStyle name="쉼표 [0] 4 3 2 2 30 3" xfId="3856"/>
    <cellStyle name="쉼표 [0] 4 3 2 2 30 3 2" xfId="10192"/>
    <cellStyle name="쉼표 [0] 4 3 2 2 30 3 2 2" xfId="22865"/>
    <cellStyle name="쉼표 [0] 4 3 2 2 30 3 2 2 2" xfId="48217"/>
    <cellStyle name="쉼표 [0] 4 3 2 2 30 3 2 3" xfId="35545"/>
    <cellStyle name="쉼표 [0] 4 3 2 2 30 3 3" xfId="16529"/>
    <cellStyle name="쉼표 [0] 4 3 2 2 30 3 3 2" xfId="41881"/>
    <cellStyle name="쉼표 [0] 4 3 2 2 30 3 4" xfId="29209"/>
    <cellStyle name="쉼표 [0] 4 3 2 2 30 3 5" xfId="52041"/>
    <cellStyle name="쉼표 [0] 4 3 2 2 30 4" xfId="7083"/>
    <cellStyle name="쉼표 [0] 4 3 2 2 30 4 2" xfId="19756"/>
    <cellStyle name="쉼표 [0] 4 3 2 2 30 4 2 2" xfId="45108"/>
    <cellStyle name="쉼표 [0] 4 3 2 2 30 4 3" xfId="32436"/>
    <cellStyle name="쉼표 [0] 4 3 2 2 30 5" xfId="13420"/>
    <cellStyle name="쉼표 [0] 4 3 2 2 30 5 2" xfId="38772"/>
    <cellStyle name="쉼표 [0] 4 3 2 2 30 6" xfId="26100"/>
    <cellStyle name="쉼표 [0] 4 3 2 2 30 7" xfId="52042"/>
    <cellStyle name="쉼표 [0] 4 3 2 2 31" xfId="748"/>
    <cellStyle name="쉼표 [0] 4 3 2 2 31 2" xfId="749"/>
    <cellStyle name="쉼표 [0] 4 3 2 2 31 2 2" xfId="3857"/>
    <cellStyle name="쉼표 [0] 4 3 2 2 31 2 2 2" xfId="10193"/>
    <cellStyle name="쉼표 [0] 4 3 2 2 31 2 2 2 2" xfId="22866"/>
    <cellStyle name="쉼표 [0] 4 3 2 2 31 2 2 2 2 2" xfId="48218"/>
    <cellStyle name="쉼표 [0] 4 3 2 2 31 2 2 2 3" xfId="35546"/>
    <cellStyle name="쉼표 [0] 4 3 2 2 31 2 2 3" xfId="16530"/>
    <cellStyle name="쉼표 [0] 4 3 2 2 31 2 2 3 2" xfId="41882"/>
    <cellStyle name="쉼표 [0] 4 3 2 2 31 2 2 4" xfId="29210"/>
    <cellStyle name="쉼표 [0] 4 3 2 2 31 2 2 5" xfId="52043"/>
    <cellStyle name="쉼표 [0] 4 3 2 2 31 2 3" xfId="7086"/>
    <cellStyle name="쉼표 [0] 4 3 2 2 31 2 3 2" xfId="19759"/>
    <cellStyle name="쉼표 [0] 4 3 2 2 31 2 3 2 2" xfId="45111"/>
    <cellStyle name="쉼표 [0] 4 3 2 2 31 2 3 3" xfId="32439"/>
    <cellStyle name="쉼표 [0] 4 3 2 2 31 2 4" xfId="13423"/>
    <cellStyle name="쉼표 [0] 4 3 2 2 31 2 4 2" xfId="38775"/>
    <cellStyle name="쉼표 [0] 4 3 2 2 31 2 5" xfId="26103"/>
    <cellStyle name="쉼표 [0] 4 3 2 2 31 2 6" xfId="52044"/>
    <cellStyle name="쉼표 [0] 4 3 2 2 31 3" xfId="3858"/>
    <cellStyle name="쉼표 [0] 4 3 2 2 31 3 2" xfId="10194"/>
    <cellStyle name="쉼표 [0] 4 3 2 2 31 3 2 2" xfId="22867"/>
    <cellStyle name="쉼표 [0] 4 3 2 2 31 3 2 2 2" xfId="48219"/>
    <cellStyle name="쉼표 [0] 4 3 2 2 31 3 2 3" xfId="35547"/>
    <cellStyle name="쉼표 [0] 4 3 2 2 31 3 3" xfId="16531"/>
    <cellStyle name="쉼표 [0] 4 3 2 2 31 3 3 2" xfId="41883"/>
    <cellStyle name="쉼표 [0] 4 3 2 2 31 3 4" xfId="29211"/>
    <cellStyle name="쉼표 [0] 4 3 2 2 31 3 5" xfId="52045"/>
    <cellStyle name="쉼표 [0] 4 3 2 2 31 4" xfId="7085"/>
    <cellStyle name="쉼표 [0] 4 3 2 2 31 4 2" xfId="19758"/>
    <cellStyle name="쉼표 [0] 4 3 2 2 31 4 2 2" xfId="45110"/>
    <cellStyle name="쉼표 [0] 4 3 2 2 31 4 3" xfId="32438"/>
    <cellStyle name="쉼표 [0] 4 3 2 2 31 5" xfId="13422"/>
    <cellStyle name="쉼표 [0] 4 3 2 2 31 5 2" xfId="38774"/>
    <cellStyle name="쉼표 [0] 4 3 2 2 31 6" xfId="26102"/>
    <cellStyle name="쉼표 [0] 4 3 2 2 31 7" xfId="52046"/>
    <cellStyle name="쉼표 [0] 4 3 2 2 32" xfId="750"/>
    <cellStyle name="쉼표 [0] 4 3 2 2 32 2" xfId="751"/>
    <cellStyle name="쉼표 [0] 4 3 2 2 32 2 2" xfId="3859"/>
    <cellStyle name="쉼표 [0] 4 3 2 2 32 2 2 2" xfId="10195"/>
    <cellStyle name="쉼표 [0] 4 3 2 2 32 2 2 2 2" xfId="22868"/>
    <cellStyle name="쉼표 [0] 4 3 2 2 32 2 2 2 2 2" xfId="48220"/>
    <cellStyle name="쉼표 [0] 4 3 2 2 32 2 2 2 3" xfId="35548"/>
    <cellStyle name="쉼표 [0] 4 3 2 2 32 2 2 3" xfId="16532"/>
    <cellStyle name="쉼표 [0] 4 3 2 2 32 2 2 3 2" xfId="41884"/>
    <cellStyle name="쉼표 [0] 4 3 2 2 32 2 2 4" xfId="29212"/>
    <cellStyle name="쉼표 [0] 4 3 2 2 32 2 2 5" xfId="52047"/>
    <cellStyle name="쉼표 [0] 4 3 2 2 32 2 3" xfId="7088"/>
    <cellStyle name="쉼표 [0] 4 3 2 2 32 2 3 2" xfId="19761"/>
    <cellStyle name="쉼표 [0] 4 3 2 2 32 2 3 2 2" xfId="45113"/>
    <cellStyle name="쉼표 [0] 4 3 2 2 32 2 3 3" xfId="32441"/>
    <cellStyle name="쉼표 [0] 4 3 2 2 32 2 4" xfId="13425"/>
    <cellStyle name="쉼표 [0] 4 3 2 2 32 2 4 2" xfId="38777"/>
    <cellStyle name="쉼표 [0] 4 3 2 2 32 2 5" xfId="26105"/>
    <cellStyle name="쉼표 [0] 4 3 2 2 32 2 6" xfId="52048"/>
    <cellStyle name="쉼표 [0] 4 3 2 2 32 3" xfId="3860"/>
    <cellStyle name="쉼표 [0] 4 3 2 2 32 3 2" xfId="10196"/>
    <cellStyle name="쉼표 [0] 4 3 2 2 32 3 2 2" xfId="22869"/>
    <cellStyle name="쉼표 [0] 4 3 2 2 32 3 2 2 2" xfId="48221"/>
    <cellStyle name="쉼표 [0] 4 3 2 2 32 3 2 3" xfId="35549"/>
    <cellStyle name="쉼표 [0] 4 3 2 2 32 3 3" xfId="16533"/>
    <cellStyle name="쉼표 [0] 4 3 2 2 32 3 3 2" xfId="41885"/>
    <cellStyle name="쉼표 [0] 4 3 2 2 32 3 4" xfId="29213"/>
    <cellStyle name="쉼표 [0] 4 3 2 2 32 3 5" xfId="52049"/>
    <cellStyle name="쉼표 [0] 4 3 2 2 32 4" xfId="7087"/>
    <cellStyle name="쉼표 [0] 4 3 2 2 32 4 2" xfId="19760"/>
    <cellStyle name="쉼표 [0] 4 3 2 2 32 4 2 2" xfId="45112"/>
    <cellStyle name="쉼표 [0] 4 3 2 2 32 4 3" xfId="32440"/>
    <cellStyle name="쉼표 [0] 4 3 2 2 32 5" xfId="13424"/>
    <cellStyle name="쉼표 [0] 4 3 2 2 32 5 2" xfId="38776"/>
    <cellStyle name="쉼표 [0] 4 3 2 2 32 6" xfId="26104"/>
    <cellStyle name="쉼표 [0] 4 3 2 2 32 7" xfId="52050"/>
    <cellStyle name="쉼표 [0] 4 3 2 2 33" xfId="752"/>
    <cellStyle name="쉼표 [0] 4 3 2 2 33 2" xfId="753"/>
    <cellStyle name="쉼표 [0] 4 3 2 2 33 2 2" xfId="3861"/>
    <cellStyle name="쉼표 [0] 4 3 2 2 33 2 2 2" xfId="10197"/>
    <cellStyle name="쉼표 [0] 4 3 2 2 33 2 2 2 2" xfId="22870"/>
    <cellStyle name="쉼표 [0] 4 3 2 2 33 2 2 2 2 2" xfId="48222"/>
    <cellStyle name="쉼표 [0] 4 3 2 2 33 2 2 2 3" xfId="35550"/>
    <cellStyle name="쉼표 [0] 4 3 2 2 33 2 2 3" xfId="16534"/>
    <cellStyle name="쉼표 [0] 4 3 2 2 33 2 2 3 2" xfId="41886"/>
    <cellStyle name="쉼표 [0] 4 3 2 2 33 2 2 4" xfId="29214"/>
    <cellStyle name="쉼표 [0] 4 3 2 2 33 2 2 5" xfId="52051"/>
    <cellStyle name="쉼표 [0] 4 3 2 2 33 2 3" xfId="7090"/>
    <cellStyle name="쉼표 [0] 4 3 2 2 33 2 3 2" xfId="19763"/>
    <cellStyle name="쉼표 [0] 4 3 2 2 33 2 3 2 2" xfId="45115"/>
    <cellStyle name="쉼표 [0] 4 3 2 2 33 2 3 3" xfId="32443"/>
    <cellStyle name="쉼표 [0] 4 3 2 2 33 2 4" xfId="13427"/>
    <cellStyle name="쉼표 [0] 4 3 2 2 33 2 4 2" xfId="38779"/>
    <cellStyle name="쉼표 [0] 4 3 2 2 33 2 5" xfId="26107"/>
    <cellStyle name="쉼표 [0] 4 3 2 2 33 2 6" xfId="52052"/>
    <cellStyle name="쉼표 [0] 4 3 2 2 33 3" xfId="3862"/>
    <cellStyle name="쉼표 [0] 4 3 2 2 33 3 2" xfId="10198"/>
    <cellStyle name="쉼표 [0] 4 3 2 2 33 3 2 2" xfId="22871"/>
    <cellStyle name="쉼표 [0] 4 3 2 2 33 3 2 2 2" xfId="48223"/>
    <cellStyle name="쉼표 [0] 4 3 2 2 33 3 2 3" xfId="35551"/>
    <cellStyle name="쉼표 [0] 4 3 2 2 33 3 3" xfId="16535"/>
    <cellStyle name="쉼표 [0] 4 3 2 2 33 3 3 2" xfId="41887"/>
    <cellStyle name="쉼표 [0] 4 3 2 2 33 3 4" xfId="29215"/>
    <cellStyle name="쉼표 [0] 4 3 2 2 33 3 5" xfId="52053"/>
    <cellStyle name="쉼표 [0] 4 3 2 2 33 4" xfId="7089"/>
    <cellStyle name="쉼표 [0] 4 3 2 2 33 4 2" xfId="19762"/>
    <cellStyle name="쉼표 [0] 4 3 2 2 33 4 2 2" xfId="45114"/>
    <cellStyle name="쉼표 [0] 4 3 2 2 33 4 3" xfId="32442"/>
    <cellStyle name="쉼표 [0] 4 3 2 2 33 5" xfId="13426"/>
    <cellStyle name="쉼표 [0] 4 3 2 2 33 5 2" xfId="38778"/>
    <cellStyle name="쉼표 [0] 4 3 2 2 33 6" xfId="26106"/>
    <cellStyle name="쉼표 [0] 4 3 2 2 33 7" xfId="52054"/>
    <cellStyle name="쉼표 [0] 4 3 2 2 34" xfId="754"/>
    <cellStyle name="쉼표 [0] 4 3 2 2 34 2" xfId="3863"/>
    <cellStyle name="쉼표 [0] 4 3 2 2 34 2 2" xfId="10199"/>
    <cellStyle name="쉼표 [0] 4 3 2 2 34 2 2 2" xfId="22872"/>
    <cellStyle name="쉼표 [0] 4 3 2 2 34 2 2 2 2" xfId="48224"/>
    <cellStyle name="쉼표 [0] 4 3 2 2 34 2 2 3" xfId="35552"/>
    <cellStyle name="쉼표 [0] 4 3 2 2 34 2 3" xfId="16536"/>
    <cellStyle name="쉼표 [0] 4 3 2 2 34 2 3 2" xfId="41888"/>
    <cellStyle name="쉼표 [0] 4 3 2 2 34 2 4" xfId="29216"/>
    <cellStyle name="쉼표 [0] 4 3 2 2 34 2 5" xfId="52055"/>
    <cellStyle name="쉼표 [0] 4 3 2 2 34 3" xfId="7091"/>
    <cellStyle name="쉼표 [0] 4 3 2 2 34 3 2" xfId="19764"/>
    <cellStyle name="쉼표 [0] 4 3 2 2 34 3 2 2" xfId="45116"/>
    <cellStyle name="쉼표 [0] 4 3 2 2 34 3 3" xfId="32444"/>
    <cellStyle name="쉼표 [0] 4 3 2 2 34 4" xfId="13428"/>
    <cellStyle name="쉼표 [0] 4 3 2 2 34 4 2" xfId="38780"/>
    <cellStyle name="쉼표 [0] 4 3 2 2 34 5" xfId="26108"/>
    <cellStyle name="쉼표 [0] 4 3 2 2 34 6" xfId="52056"/>
    <cellStyle name="쉼표 [0] 4 3 2 2 35" xfId="3864"/>
    <cellStyle name="쉼표 [0] 4 3 2 2 35 2" xfId="10200"/>
    <cellStyle name="쉼표 [0] 4 3 2 2 35 2 2" xfId="22873"/>
    <cellStyle name="쉼표 [0] 4 3 2 2 35 2 2 2" xfId="48225"/>
    <cellStyle name="쉼표 [0] 4 3 2 2 35 2 3" xfId="35553"/>
    <cellStyle name="쉼표 [0] 4 3 2 2 35 3" xfId="16537"/>
    <cellStyle name="쉼표 [0] 4 3 2 2 35 3 2" xfId="41889"/>
    <cellStyle name="쉼표 [0] 4 3 2 2 35 4" xfId="29217"/>
    <cellStyle name="쉼표 [0] 4 3 2 2 35 5" xfId="52057"/>
    <cellStyle name="쉼표 [0] 4 3 2 2 36" xfId="6403"/>
    <cellStyle name="쉼표 [0] 4 3 2 2 36 2" xfId="19076"/>
    <cellStyle name="쉼표 [0] 4 3 2 2 36 2 2" xfId="44428"/>
    <cellStyle name="쉼표 [0] 4 3 2 2 36 3" xfId="31756"/>
    <cellStyle name="쉼표 [0] 4 3 2 2 37" xfId="12740"/>
    <cellStyle name="쉼표 [0] 4 3 2 2 37 2" xfId="38092"/>
    <cellStyle name="쉼표 [0] 4 3 2 2 38" xfId="25420"/>
    <cellStyle name="쉼표 [0] 4 3 2 2 39" xfId="52058"/>
    <cellStyle name="쉼표 [0] 4 3 2 2 4" xfId="755"/>
    <cellStyle name="쉼표 [0] 4 3 2 2 4 2" xfId="756"/>
    <cellStyle name="쉼표 [0] 4 3 2 2 4 2 2" xfId="3865"/>
    <cellStyle name="쉼표 [0] 4 3 2 2 4 2 2 2" xfId="10201"/>
    <cellStyle name="쉼표 [0] 4 3 2 2 4 2 2 2 2" xfId="22874"/>
    <cellStyle name="쉼표 [0] 4 3 2 2 4 2 2 2 2 2" xfId="48226"/>
    <cellStyle name="쉼표 [0] 4 3 2 2 4 2 2 2 3" xfId="35554"/>
    <cellStyle name="쉼표 [0] 4 3 2 2 4 2 2 3" xfId="16538"/>
    <cellStyle name="쉼표 [0] 4 3 2 2 4 2 2 3 2" xfId="41890"/>
    <cellStyle name="쉼표 [0] 4 3 2 2 4 2 2 4" xfId="29218"/>
    <cellStyle name="쉼표 [0] 4 3 2 2 4 2 2 5" xfId="52059"/>
    <cellStyle name="쉼표 [0] 4 3 2 2 4 2 3" xfId="7093"/>
    <cellStyle name="쉼표 [0] 4 3 2 2 4 2 3 2" xfId="19766"/>
    <cellStyle name="쉼표 [0] 4 3 2 2 4 2 3 2 2" xfId="45118"/>
    <cellStyle name="쉼표 [0] 4 3 2 2 4 2 3 3" xfId="32446"/>
    <cellStyle name="쉼표 [0] 4 3 2 2 4 2 4" xfId="13430"/>
    <cellStyle name="쉼표 [0] 4 3 2 2 4 2 4 2" xfId="38782"/>
    <cellStyle name="쉼표 [0] 4 3 2 2 4 2 5" xfId="26110"/>
    <cellStyle name="쉼표 [0] 4 3 2 2 4 2 6" xfId="52060"/>
    <cellStyle name="쉼표 [0] 4 3 2 2 4 3" xfId="3866"/>
    <cellStyle name="쉼표 [0] 4 3 2 2 4 3 2" xfId="10202"/>
    <cellStyle name="쉼표 [0] 4 3 2 2 4 3 2 2" xfId="22875"/>
    <cellStyle name="쉼표 [0] 4 3 2 2 4 3 2 2 2" xfId="48227"/>
    <cellStyle name="쉼표 [0] 4 3 2 2 4 3 2 3" xfId="35555"/>
    <cellStyle name="쉼표 [0] 4 3 2 2 4 3 3" xfId="16539"/>
    <cellStyle name="쉼표 [0] 4 3 2 2 4 3 3 2" xfId="41891"/>
    <cellStyle name="쉼표 [0] 4 3 2 2 4 3 4" xfId="29219"/>
    <cellStyle name="쉼표 [0] 4 3 2 2 4 3 5" xfId="52061"/>
    <cellStyle name="쉼표 [0] 4 3 2 2 4 4" xfId="7092"/>
    <cellStyle name="쉼표 [0] 4 3 2 2 4 4 2" xfId="19765"/>
    <cellStyle name="쉼표 [0] 4 3 2 2 4 4 2 2" xfId="45117"/>
    <cellStyle name="쉼표 [0] 4 3 2 2 4 4 3" xfId="32445"/>
    <cellStyle name="쉼표 [0] 4 3 2 2 4 5" xfId="13429"/>
    <cellStyle name="쉼표 [0] 4 3 2 2 4 5 2" xfId="38781"/>
    <cellStyle name="쉼표 [0] 4 3 2 2 4 6" xfId="26109"/>
    <cellStyle name="쉼표 [0] 4 3 2 2 4 7" xfId="52062"/>
    <cellStyle name="쉼표 [0] 4 3 2 2 5" xfId="757"/>
    <cellStyle name="쉼표 [0] 4 3 2 2 5 2" xfId="758"/>
    <cellStyle name="쉼표 [0] 4 3 2 2 5 2 2" xfId="3867"/>
    <cellStyle name="쉼표 [0] 4 3 2 2 5 2 2 2" xfId="10203"/>
    <cellStyle name="쉼표 [0] 4 3 2 2 5 2 2 2 2" xfId="22876"/>
    <cellStyle name="쉼표 [0] 4 3 2 2 5 2 2 2 2 2" xfId="48228"/>
    <cellStyle name="쉼표 [0] 4 3 2 2 5 2 2 2 3" xfId="35556"/>
    <cellStyle name="쉼표 [0] 4 3 2 2 5 2 2 3" xfId="16540"/>
    <cellStyle name="쉼표 [0] 4 3 2 2 5 2 2 3 2" xfId="41892"/>
    <cellStyle name="쉼표 [0] 4 3 2 2 5 2 2 4" xfId="29220"/>
    <cellStyle name="쉼표 [0] 4 3 2 2 5 2 2 5" xfId="52063"/>
    <cellStyle name="쉼표 [0] 4 3 2 2 5 2 3" xfId="7095"/>
    <cellStyle name="쉼표 [0] 4 3 2 2 5 2 3 2" xfId="19768"/>
    <cellStyle name="쉼표 [0] 4 3 2 2 5 2 3 2 2" xfId="45120"/>
    <cellStyle name="쉼표 [0] 4 3 2 2 5 2 3 3" xfId="32448"/>
    <cellStyle name="쉼표 [0] 4 3 2 2 5 2 4" xfId="13432"/>
    <cellStyle name="쉼표 [0] 4 3 2 2 5 2 4 2" xfId="38784"/>
    <cellStyle name="쉼표 [0] 4 3 2 2 5 2 5" xfId="26112"/>
    <cellStyle name="쉼표 [0] 4 3 2 2 5 2 6" xfId="52064"/>
    <cellStyle name="쉼표 [0] 4 3 2 2 5 3" xfId="3868"/>
    <cellStyle name="쉼표 [0] 4 3 2 2 5 3 2" xfId="10204"/>
    <cellStyle name="쉼표 [0] 4 3 2 2 5 3 2 2" xfId="22877"/>
    <cellStyle name="쉼표 [0] 4 3 2 2 5 3 2 2 2" xfId="48229"/>
    <cellStyle name="쉼표 [0] 4 3 2 2 5 3 2 3" xfId="35557"/>
    <cellStyle name="쉼표 [0] 4 3 2 2 5 3 3" xfId="16541"/>
    <cellStyle name="쉼표 [0] 4 3 2 2 5 3 3 2" xfId="41893"/>
    <cellStyle name="쉼표 [0] 4 3 2 2 5 3 4" xfId="29221"/>
    <cellStyle name="쉼표 [0] 4 3 2 2 5 3 5" xfId="52065"/>
    <cellStyle name="쉼표 [0] 4 3 2 2 5 4" xfId="7094"/>
    <cellStyle name="쉼표 [0] 4 3 2 2 5 4 2" xfId="19767"/>
    <cellStyle name="쉼표 [0] 4 3 2 2 5 4 2 2" xfId="45119"/>
    <cellStyle name="쉼표 [0] 4 3 2 2 5 4 3" xfId="32447"/>
    <cellStyle name="쉼표 [0] 4 3 2 2 5 5" xfId="13431"/>
    <cellStyle name="쉼표 [0] 4 3 2 2 5 5 2" xfId="38783"/>
    <cellStyle name="쉼표 [0] 4 3 2 2 5 6" xfId="26111"/>
    <cellStyle name="쉼표 [0] 4 3 2 2 5 7" xfId="52066"/>
    <cellStyle name="쉼표 [0] 4 3 2 2 6" xfId="759"/>
    <cellStyle name="쉼표 [0] 4 3 2 2 6 2" xfId="760"/>
    <cellStyle name="쉼표 [0] 4 3 2 2 6 2 2" xfId="3869"/>
    <cellStyle name="쉼표 [0] 4 3 2 2 6 2 2 2" xfId="10205"/>
    <cellStyle name="쉼표 [0] 4 3 2 2 6 2 2 2 2" xfId="22878"/>
    <cellStyle name="쉼표 [0] 4 3 2 2 6 2 2 2 2 2" xfId="48230"/>
    <cellStyle name="쉼표 [0] 4 3 2 2 6 2 2 2 3" xfId="35558"/>
    <cellStyle name="쉼표 [0] 4 3 2 2 6 2 2 3" xfId="16542"/>
    <cellStyle name="쉼표 [0] 4 3 2 2 6 2 2 3 2" xfId="41894"/>
    <cellStyle name="쉼표 [0] 4 3 2 2 6 2 2 4" xfId="29222"/>
    <cellStyle name="쉼표 [0] 4 3 2 2 6 2 2 5" xfId="52067"/>
    <cellStyle name="쉼표 [0] 4 3 2 2 6 2 3" xfId="7097"/>
    <cellStyle name="쉼표 [0] 4 3 2 2 6 2 3 2" xfId="19770"/>
    <cellStyle name="쉼표 [0] 4 3 2 2 6 2 3 2 2" xfId="45122"/>
    <cellStyle name="쉼표 [0] 4 3 2 2 6 2 3 3" xfId="32450"/>
    <cellStyle name="쉼표 [0] 4 3 2 2 6 2 4" xfId="13434"/>
    <cellStyle name="쉼표 [0] 4 3 2 2 6 2 4 2" xfId="38786"/>
    <cellStyle name="쉼표 [0] 4 3 2 2 6 2 5" xfId="26114"/>
    <cellStyle name="쉼표 [0] 4 3 2 2 6 2 6" xfId="52068"/>
    <cellStyle name="쉼표 [0] 4 3 2 2 6 3" xfId="3870"/>
    <cellStyle name="쉼표 [0] 4 3 2 2 6 3 2" xfId="10206"/>
    <cellStyle name="쉼표 [0] 4 3 2 2 6 3 2 2" xfId="22879"/>
    <cellStyle name="쉼표 [0] 4 3 2 2 6 3 2 2 2" xfId="48231"/>
    <cellStyle name="쉼표 [0] 4 3 2 2 6 3 2 3" xfId="35559"/>
    <cellStyle name="쉼표 [0] 4 3 2 2 6 3 3" xfId="16543"/>
    <cellStyle name="쉼표 [0] 4 3 2 2 6 3 3 2" xfId="41895"/>
    <cellStyle name="쉼표 [0] 4 3 2 2 6 3 4" xfId="29223"/>
    <cellStyle name="쉼표 [0] 4 3 2 2 6 3 5" xfId="52069"/>
    <cellStyle name="쉼표 [0] 4 3 2 2 6 4" xfId="7096"/>
    <cellStyle name="쉼표 [0] 4 3 2 2 6 4 2" xfId="19769"/>
    <cellStyle name="쉼표 [0] 4 3 2 2 6 4 2 2" xfId="45121"/>
    <cellStyle name="쉼표 [0] 4 3 2 2 6 4 3" xfId="32449"/>
    <cellStyle name="쉼표 [0] 4 3 2 2 6 5" xfId="13433"/>
    <cellStyle name="쉼표 [0] 4 3 2 2 6 5 2" xfId="38785"/>
    <cellStyle name="쉼표 [0] 4 3 2 2 6 6" xfId="26113"/>
    <cellStyle name="쉼표 [0] 4 3 2 2 6 7" xfId="52070"/>
    <cellStyle name="쉼표 [0] 4 3 2 2 7" xfId="761"/>
    <cellStyle name="쉼표 [0] 4 3 2 2 7 2" xfId="762"/>
    <cellStyle name="쉼표 [0] 4 3 2 2 7 2 2" xfId="3871"/>
    <cellStyle name="쉼표 [0] 4 3 2 2 7 2 2 2" xfId="10207"/>
    <cellStyle name="쉼표 [0] 4 3 2 2 7 2 2 2 2" xfId="22880"/>
    <cellStyle name="쉼표 [0] 4 3 2 2 7 2 2 2 2 2" xfId="48232"/>
    <cellStyle name="쉼표 [0] 4 3 2 2 7 2 2 2 3" xfId="35560"/>
    <cellStyle name="쉼표 [0] 4 3 2 2 7 2 2 3" xfId="16544"/>
    <cellStyle name="쉼표 [0] 4 3 2 2 7 2 2 3 2" xfId="41896"/>
    <cellStyle name="쉼표 [0] 4 3 2 2 7 2 2 4" xfId="29224"/>
    <cellStyle name="쉼표 [0] 4 3 2 2 7 2 2 5" xfId="52071"/>
    <cellStyle name="쉼표 [0] 4 3 2 2 7 2 3" xfId="7099"/>
    <cellStyle name="쉼표 [0] 4 3 2 2 7 2 3 2" xfId="19772"/>
    <cellStyle name="쉼표 [0] 4 3 2 2 7 2 3 2 2" xfId="45124"/>
    <cellStyle name="쉼표 [0] 4 3 2 2 7 2 3 3" xfId="32452"/>
    <cellStyle name="쉼표 [0] 4 3 2 2 7 2 4" xfId="13436"/>
    <cellStyle name="쉼표 [0] 4 3 2 2 7 2 4 2" xfId="38788"/>
    <cellStyle name="쉼표 [0] 4 3 2 2 7 2 5" xfId="26116"/>
    <cellStyle name="쉼표 [0] 4 3 2 2 7 2 6" xfId="52072"/>
    <cellStyle name="쉼표 [0] 4 3 2 2 7 3" xfId="3872"/>
    <cellStyle name="쉼표 [0] 4 3 2 2 7 3 2" xfId="10208"/>
    <cellStyle name="쉼표 [0] 4 3 2 2 7 3 2 2" xfId="22881"/>
    <cellStyle name="쉼표 [0] 4 3 2 2 7 3 2 2 2" xfId="48233"/>
    <cellStyle name="쉼표 [0] 4 3 2 2 7 3 2 3" xfId="35561"/>
    <cellStyle name="쉼표 [0] 4 3 2 2 7 3 3" xfId="16545"/>
    <cellStyle name="쉼표 [0] 4 3 2 2 7 3 3 2" xfId="41897"/>
    <cellStyle name="쉼표 [0] 4 3 2 2 7 3 4" xfId="29225"/>
    <cellStyle name="쉼표 [0] 4 3 2 2 7 3 5" xfId="52073"/>
    <cellStyle name="쉼표 [0] 4 3 2 2 7 4" xfId="7098"/>
    <cellStyle name="쉼표 [0] 4 3 2 2 7 4 2" xfId="19771"/>
    <cellStyle name="쉼표 [0] 4 3 2 2 7 4 2 2" xfId="45123"/>
    <cellStyle name="쉼표 [0] 4 3 2 2 7 4 3" xfId="32451"/>
    <cellStyle name="쉼표 [0] 4 3 2 2 7 5" xfId="13435"/>
    <cellStyle name="쉼표 [0] 4 3 2 2 7 5 2" xfId="38787"/>
    <cellStyle name="쉼표 [0] 4 3 2 2 7 6" xfId="26115"/>
    <cellStyle name="쉼표 [0] 4 3 2 2 7 7" xfId="52074"/>
    <cellStyle name="쉼표 [0] 4 3 2 2 8" xfId="763"/>
    <cellStyle name="쉼표 [0] 4 3 2 2 8 2" xfId="764"/>
    <cellStyle name="쉼표 [0] 4 3 2 2 8 2 2" xfId="3873"/>
    <cellStyle name="쉼표 [0] 4 3 2 2 8 2 2 2" xfId="10209"/>
    <cellStyle name="쉼표 [0] 4 3 2 2 8 2 2 2 2" xfId="22882"/>
    <cellStyle name="쉼표 [0] 4 3 2 2 8 2 2 2 2 2" xfId="48234"/>
    <cellStyle name="쉼표 [0] 4 3 2 2 8 2 2 2 3" xfId="35562"/>
    <cellStyle name="쉼표 [0] 4 3 2 2 8 2 2 3" xfId="16546"/>
    <cellStyle name="쉼표 [0] 4 3 2 2 8 2 2 3 2" xfId="41898"/>
    <cellStyle name="쉼표 [0] 4 3 2 2 8 2 2 4" xfId="29226"/>
    <cellStyle name="쉼표 [0] 4 3 2 2 8 2 2 5" xfId="52075"/>
    <cellStyle name="쉼표 [0] 4 3 2 2 8 2 3" xfId="7101"/>
    <cellStyle name="쉼표 [0] 4 3 2 2 8 2 3 2" xfId="19774"/>
    <cellStyle name="쉼표 [0] 4 3 2 2 8 2 3 2 2" xfId="45126"/>
    <cellStyle name="쉼표 [0] 4 3 2 2 8 2 3 3" xfId="32454"/>
    <cellStyle name="쉼표 [0] 4 3 2 2 8 2 4" xfId="13438"/>
    <cellStyle name="쉼표 [0] 4 3 2 2 8 2 4 2" xfId="38790"/>
    <cellStyle name="쉼표 [0] 4 3 2 2 8 2 5" xfId="26118"/>
    <cellStyle name="쉼표 [0] 4 3 2 2 8 2 6" xfId="52076"/>
    <cellStyle name="쉼표 [0] 4 3 2 2 8 3" xfId="3874"/>
    <cellStyle name="쉼표 [0] 4 3 2 2 8 3 2" xfId="10210"/>
    <cellStyle name="쉼표 [0] 4 3 2 2 8 3 2 2" xfId="22883"/>
    <cellStyle name="쉼표 [0] 4 3 2 2 8 3 2 2 2" xfId="48235"/>
    <cellStyle name="쉼표 [0] 4 3 2 2 8 3 2 3" xfId="35563"/>
    <cellStyle name="쉼표 [0] 4 3 2 2 8 3 3" xfId="16547"/>
    <cellStyle name="쉼표 [0] 4 3 2 2 8 3 3 2" xfId="41899"/>
    <cellStyle name="쉼표 [0] 4 3 2 2 8 3 4" xfId="29227"/>
    <cellStyle name="쉼표 [0] 4 3 2 2 8 3 5" xfId="52077"/>
    <cellStyle name="쉼표 [0] 4 3 2 2 8 4" xfId="7100"/>
    <cellStyle name="쉼표 [0] 4 3 2 2 8 4 2" xfId="19773"/>
    <cellStyle name="쉼표 [0] 4 3 2 2 8 4 2 2" xfId="45125"/>
    <cellStyle name="쉼표 [0] 4 3 2 2 8 4 3" xfId="32453"/>
    <cellStyle name="쉼표 [0] 4 3 2 2 8 5" xfId="13437"/>
    <cellStyle name="쉼표 [0] 4 3 2 2 8 5 2" xfId="38789"/>
    <cellStyle name="쉼표 [0] 4 3 2 2 8 6" xfId="26117"/>
    <cellStyle name="쉼표 [0] 4 3 2 2 8 7" xfId="52078"/>
    <cellStyle name="쉼표 [0] 4 3 2 2 9" xfId="765"/>
    <cellStyle name="쉼표 [0] 4 3 2 2 9 2" xfId="766"/>
    <cellStyle name="쉼표 [0] 4 3 2 2 9 2 2" xfId="3875"/>
    <cellStyle name="쉼표 [0] 4 3 2 2 9 2 2 2" xfId="10211"/>
    <cellStyle name="쉼표 [0] 4 3 2 2 9 2 2 2 2" xfId="22884"/>
    <cellStyle name="쉼표 [0] 4 3 2 2 9 2 2 2 2 2" xfId="48236"/>
    <cellStyle name="쉼표 [0] 4 3 2 2 9 2 2 2 3" xfId="35564"/>
    <cellStyle name="쉼표 [0] 4 3 2 2 9 2 2 3" xfId="16548"/>
    <cellStyle name="쉼표 [0] 4 3 2 2 9 2 2 3 2" xfId="41900"/>
    <cellStyle name="쉼표 [0] 4 3 2 2 9 2 2 4" xfId="29228"/>
    <cellStyle name="쉼표 [0] 4 3 2 2 9 2 2 5" xfId="52079"/>
    <cellStyle name="쉼표 [0] 4 3 2 2 9 2 3" xfId="7103"/>
    <cellStyle name="쉼표 [0] 4 3 2 2 9 2 3 2" xfId="19776"/>
    <cellStyle name="쉼표 [0] 4 3 2 2 9 2 3 2 2" xfId="45128"/>
    <cellStyle name="쉼표 [0] 4 3 2 2 9 2 3 3" xfId="32456"/>
    <cellStyle name="쉼표 [0] 4 3 2 2 9 2 4" xfId="13440"/>
    <cellStyle name="쉼표 [0] 4 3 2 2 9 2 4 2" xfId="38792"/>
    <cellStyle name="쉼표 [0] 4 3 2 2 9 2 5" xfId="26120"/>
    <cellStyle name="쉼표 [0] 4 3 2 2 9 2 6" xfId="52080"/>
    <cellStyle name="쉼표 [0] 4 3 2 2 9 3" xfId="3876"/>
    <cellStyle name="쉼표 [0] 4 3 2 2 9 3 2" xfId="10212"/>
    <cellStyle name="쉼표 [0] 4 3 2 2 9 3 2 2" xfId="22885"/>
    <cellStyle name="쉼표 [0] 4 3 2 2 9 3 2 2 2" xfId="48237"/>
    <cellStyle name="쉼표 [0] 4 3 2 2 9 3 2 3" xfId="35565"/>
    <cellStyle name="쉼표 [0] 4 3 2 2 9 3 3" xfId="16549"/>
    <cellStyle name="쉼표 [0] 4 3 2 2 9 3 3 2" xfId="41901"/>
    <cellStyle name="쉼표 [0] 4 3 2 2 9 3 4" xfId="29229"/>
    <cellStyle name="쉼표 [0] 4 3 2 2 9 3 5" xfId="52081"/>
    <cellStyle name="쉼표 [0] 4 3 2 2 9 4" xfId="7102"/>
    <cellStyle name="쉼표 [0] 4 3 2 2 9 4 2" xfId="19775"/>
    <cellStyle name="쉼표 [0] 4 3 2 2 9 4 2 2" xfId="45127"/>
    <cellStyle name="쉼표 [0] 4 3 2 2 9 4 3" xfId="32455"/>
    <cellStyle name="쉼표 [0] 4 3 2 2 9 5" xfId="13439"/>
    <cellStyle name="쉼표 [0] 4 3 2 2 9 5 2" xfId="38791"/>
    <cellStyle name="쉼표 [0] 4 3 2 2 9 6" xfId="26119"/>
    <cellStyle name="쉼표 [0] 4 3 2 2 9 7" xfId="52082"/>
    <cellStyle name="쉼표 [0] 4 3 2 20" xfId="767"/>
    <cellStyle name="쉼표 [0] 4 3 2 20 2" xfId="768"/>
    <cellStyle name="쉼표 [0] 4 3 2 20 2 2" xfId="3877"/>
    <cellStyle name="쉼표 [0] 4 3 2 20 2 2 2" xfId="10213"/>
    <cellStyle name="쉼표 [0] 4 3 2 20 2 2 2 2" xfId="22886"/>
    <cellStyle name="쉼표 [0] 4 3 2 20 2 2 2 2 2" xfId="48238"/>
    <cellStyle name="쉼표 [0] 4 3 2 20 2 2 2 3" xfId="35566"/>
    <cellStyle name="쉼표 [0] 4 3 2 20 2 2 3" xfId="16550"/>
    <cellStyle name="쉼표 [0] 4 3 2 20 2 2 3 2" xfId="41902"/>
    <cellStyle name="쉼표 [0] 4 3 2 20 2 2 4" xfId="29230"/>
    <cellStyle name="쉼표 [0] 4 3 2 20 2 2 5" xfId="52083"/>
    <cellStyle name="쉼표 [0] 4 3 2 20 2 3" xfId="7105"/>
    <cellStyle name="쉼표 [0] 4 3 2 20 2 3 2" xfId="19778"/>
    <cellStyle name="쉼표 [0] 4 3 2 20 2 3 2 2" xfId="45130"/>
    <cellStyle name="쉼표 [0] 4 3 2 20 2 3 3" xfId="32458"/>
    <cellStyle name="쉼표 [0] 4 3 2 20 2 4" xfId="13442"/>
    <cellStyle name="쉼표 [0] 4 3 2 20 2 4 2" xfId="38794"/>
    <cellStyle name="쉼표 [0] 4 3 2 20 2 5" xfId="26122"/>
    <cellStyle name="쉼표 [0] 4 3 2 20 2 6" xfId="52084"/>
    <cellStyle name="쉼표 [0] 4 3 2 20 3" xfId="3878"/>
    <cellStyle name="쉼표 [0] 4 3 2 20 3 2" xfId="10214"/>
    <cellStyle name="쉼표 [0] 4 3 2 20 3 2 2" xfId="22887"/>
    <cellStyle name="쉼표 [0] 4 3 2 20 3 2 2 2" xfId="48239"/>
    <cellStyle name="쉼표 [0] 4 3 2 20 3 2 3" xfId="35567"/>
    <cellStyle name="쉼표 [0] 4 3 2 20 3 3" xfId="16551"/>
    <cellStyle name="쉼표 [0] 4 3 2 20 3 3 2" xfId="41903"/>
    <cellStyle name="쉼표 [0] 4 3 2 20 3 4" xfId="29231"/>
    <cellStyle name="쉼표 [0] 4 3 2 20 3 5" xfId="52085"/>
    <cellStyle name="쉼표 [0] 4 3 2 20 4" xfId="7104"/>
    <cellStyle name="쉼표 [0] 4 3 2 20 4 2" xfId="19777"/>
    <cellStyle name="쉼표 [0] 4 3 2 20 4 2 2" xfId="45129"/>
    <cellStyle name="쉼표 [0] 4 3 2 20 4 3" xfId="32457"/>
    <cellStyle name="쉼표 [0] 4 3 2 20 5" xfId="13441"/>
    <cellStyle name="쉼표 [0] 4 3 2 20 5 2" xfId="38793"/>
    <cellStyle name="쉼표 [0] 4 3 2 20 6" xfId="26121"/>
    <cellStyle name="쉼표 [0] 4 3 2 20 7" xfId="52086"/>
    <cellStyle name="쉼표 [0] 4 3 2 21" xfId="769"/>
    <cellStyle name="쉼표 [0] 4 3 2 21 2" xfId="770"/>
    <cellStyle name="쉼표 [0] 4 3 2 21 2 2" xfId="3879"/>
    <cellStyle name="쉼표 [0] 4 3 2 21 2 2 2" xfId="10215"/>
    <cellStyle name="쉼표 [0] 4 3 2 21 2 2 2 2" xfId="22888"/>
    <cellStyle name="쉼표 [0] 4 3 2 21 2 2 2 2 2" xfId="48240"/>
    <cellStyle name="쉼표 [0] 4 3 2 21 2 2 2 3" xfId="35568"/>
    <cellStyle name="쉼표 [0] 4 3 2 21 2 2 3" xfId="16552"/>
    <cellStyle name="쉼표 [0] 4 3 2 21 2 2 3 2" xfId="41904"/>
    <cellStyle name="쉼표 [0] 4 3 2 21 2 2 4" xfId="29232"/>
    <cellStyle name="쉼표 [0] 4 3 2 21 2 2 5" xfId="52087"/>
    <cellStyle name="쉼표 [0] 4 3 2 21 2 3" xfId="7107"/>
    <cellStyle name="쉼표 [0] 4 3 2 21 2 3 2" xfId="19780"/>
    <cellStyle name="쉼표 [0] 4 3 2 21 2 3 2 2" xfId="45132"/>
    <cellStyle name="쉼표 [0] 4 3 2 21 2 3 3" xfId="32460"/>
    <cellStyle name="쉼표 [0] 4 3 2 21 2 4" xfId="13444"/>
    <cellStyle name="쉼표 [0] 4 3 2 21 2 4 2" xfId="38796"/>
    <cellStyle name="쉼표 [0] 4 3 2 21 2 5" xfId="26124"/>
    <cellStyle name="쉼표 [0] 4 3 2 21 2 6" xfId="52088"/>
    <cellStyle name="쉼표 [0] 4 3 2 21 3" xfId="3880"/>
    <cellStyle name="쉼표 [0] 4 3 2 21 3 2" xfId="10216"/>
    <cellStyle name="쉼표 [0] 4 3 2 21 3 2 2" xfId="22889"/>
    <cellStyle name="쉼표 [0] 4 3 2 21 3 2 2 2" xfId="48241"/>
    <cellStyle name="쉼표 [0] 4 3 2 21 3 2 3" xfId="35569"/>
    <cellStyle name="쉼표 [0] 4 3 2 21 3 3" xfId="16553"/>
    <cellStyle name="쉼표 [0] 4 3 2 21 3 3 2" xfId="41905"/>
    <cellStyle name="쉼표 [0] 4 3 2 21 3 4" xfId="29233"/>
    <cellStyle name="쉼표 [0] 4 3 2 21 3 5" xfId="52089"/>
    <cellStyle name="쉼표 [0] 4 3 2 21 4" xfId="7106"/>
    <cellStyle name="쉼표 [0] 4 3 2 21 4 2" xfId="19779"/>
    <cellStyle name="쉼표 [0] 4 3 2 21 4 2 2" xfId="45131"/>
    <cellStyle name="쉼표 [0] 4 3 2 21 4 3" xfId="32459"/>
    <cellStyle name="쉼표 [0] 4 3 2 21 5" xfId="13443"/>
    <cellStyle name="쉼표 [0] 4 3 2 21 5 2" xfId="38795"/>
    <cellStyle name="쉼표 [0] 4 3 2 21 6" xfId="26123"/>
    <cellStyle name="쉼표 [0] 4 3 2 21 7" xfId="52090"/>
    <cellStyle name="쉼표 [0] 4 3 2 22" xfId="771"/>
    <cellStyle name="쉼표 [0] 4 3 2 22 2" xfId="772"/>
    <cellStyle name="쉼표 [0] 4 3 2 22 2 2" xfId="3881"/>
    <cellStyle name="쉼표 [0] 4 3 2 22 2 2 2" xfId="10217"/>
    <cellStyle name="쉼표 [0] 4 3 2 22 2 2 2 2" xfId="22890"/>
    <cellStyle name="쉼표 [0] 4 3 2 22 2 2 2 2 2" xfId="48242"/>
    <cellStyle name="쉼표 [0] 4 3 2 22 2 2 2 3" xfId="35570"/>
    <cellStyle name="쉼표 [0] 4 3 2 22 2 2 3" xfId="16554"/>
    <cellStyle name="쉼표 [0] 4 3 2 22 2 2 3 2" xfId="41906"/>
    <cellStyle name="쉼표 [0] 4 3 2 22 2 2 4" xfId="29234"/>
    <cellStyle name="쉼표 [0] 4 3 2 22 2 2 5" xfId="52091"/>
    <cellStyle name="쉼표 [0] 4 3 2 22 2 3" xfId="7109"/>
    <cellStyle name="쉼표 [0] 4 3 2 22 2 3 2" xfId="19782"/>
    <cellStyle name="쉼표 [0] 4 3 2 22 2 3 2 2" xfId="45134"/>
    <cellStyle name="쉼표 [0] 4 3 2 22 2 3 3" xfId="32462"/>
    <cellStyle name="쉼표 [0] 4 3 2 22 2 4" xfId="13446"/>
    <cellStyle name="쉼표 [0] 4 3 2 22 2 4 2" xfId="38798"/>
    <cellStyle name="쉼표 [0] 4 3 2 22 2 5" xfId="26126"/>
    <cellStyle name="쉼표 [0] 4 3 2 22 2 6" xfId="52092"/>
    <cellStyle name="쉼표 [0] 4 3 2 22 3" xfId="3882"/>
    <cellStyle name="쉼표 [0] 4 3 2 22 3 2" xfId="10218"/>
    <cellStyle name="쉼표 [0] 4 3 2 22 3 2 2" xfId="22891"/>
    <cellStyle name="쉼표 [0] 4 3 2 22 3 2 2 2" xfId="48243"/>
    <cellStyle name="쉼표 [0] 4 3 2 22 3 2 3" xfId="35571"/>
    <cellStyle name="쉼표 [0] 4 3 2 22 3 3" xfId="16555"/>
    <cellStyle name="쉼표 [0] 4 3 2 22 3 3 2" xfId="41907"/>
    <cellStyle name="쉼표 [0] 4 3 2 22 3 4" xfId="29235"/>
    <cellStyle name="쉼표 [0] 4 3 2 22 3 5" xfId="52093"/>
    <cellStyle name="쉼표 [0] 4 3 2 22 4" xfId="7108"/>
    <cellStyle name="쉼표 [0] 4 3 2 22 4 2" xfId="19781"/>
    <cellStyle name="쉼표 [0] 4 3 2 22 4 2 2" xfId="45133"/>
    <cellStyle name="쉼표 [0] 4 3 2 22 4 3" xfId="32461"/>
    <cellStyle name="쉼표 [0] 4 3 2 22 5" xfId="13445"/>
    <cellStyle name="쉼표 [0] 4 3 2 22 5 2" xfId="38797"/>
    <cellStyle name="쉼표 [0] 4 3 2 22 6" xfId="26125"/>
    <cellStyle name="쉼표 [0] 4 3 2 22 7" xfId="52094"/>
    <cellStyle name="쉼표 [0] 4 3 2 23" xfId="773"/>
    <cellStyle name="쉼표 [0] 4 3 2 23 2" xfId="774"/>
    <cellStyle name="쉼표 [0] 4 3 2 23 2 2" xfId="3883"/>
    <cellStyle name="쉼표 [0] 4 3 2 23 2 2 2" xfId="10219"/>
    <cellStyle name="쉼표 [0] 4 3 2 23 2 2 2 2" xfId="22892"/>
    <cellStyle name="쉼표 [0] 4 3 2 23 2 2 2 2 2" xfId="48244"/>
    <cellStyle name="쉼표 [0] 4 3 2 23 2 2 2 3" xfId="35572"/>
    <cellStyle name="쉼표 [0] 4 3 2 23 2 2 3" xfId="16556"/>
    <cellStyle name="쉼표 [0] 4 3 2 23 2 2 3 2" xfId="41908"/>
    <cellStyle name="쉼표 [0] 4 3 2 23 2 2 4" xfId="29236"/>
    <cellStyle name="쉼표 [0] 4 3 2 23 2 2 5" xfId="52095"/>
    <cellStyle name="쉼표 [0] 4 3 2 23 2 3" xfId="7111"/>
    <cellStyle name="쉼표 [0] 4 3 2 23 2 3 2" xfId="19784"/>
    <cellStyle name="쉼표 [0] 4 3 2 23 2 3 2 2" xfId="45136"/>
    <cellStyle name="쉼표 [0] 4 3 2 23 2 3 3" xfId="32464"/>
    <cellStyle name="쉼표 [0] 4 3 2 23 2 4" xfId="13448"/>
    <cellStyle name="쉼표 [0] 4 3 2 23 2 4 2" xfId="38800"/>
    <cellStyle name="쉼표 [0] 4 3 2 23 2 5" xfId="26128"/>
    <cellStyle name="쉼표 [0] 4 3 2 23 2 6" xfId="52096"/>
    <cellStyle name="쉼표 [0] 4 3 2 23 3" xfId="3884"/>
    <cellStyle name="쉼표 [0] 4 3 2 23 3 2" xfId="10220"/>
    <cellStyle name="쉼표 [0] 4 3 2 23 3 2 2" xfId="22893"/>
    <cellStyle name="쉼표 [0] 4 3 2 23 3 2 2 2" xfId="48245"/>
    <cellStyle name="쉼표 [0] 4 3 2 23 3 2 3" xfId="35573"/>
    <cellStyle name="쉼표 [0] 4 3 2 23 3 3" xfId="16557"/>
    <cellStyle name="쉼표 [0] 4 3 2 23 3 3 2" xfId="41909"/>
    <cellStyle name="쉼표 [0] 4 3 2 23 3 4" xfId="29237"/>
    <cellStyle name="쉼표 [0] 4 3 2 23 3 5" xfId="52097"/>
    <cellStyle name="쉼표 [0] 4 3 2 23 4" xfId="7110"/>
    <cellStyle name="쉼표 [0] 4 3 2 23 4 2" xfId="19783"/>
    <cellStyle name="쉼표 [0] 4 3 2 23 4 2 2" xfId="45135"/>
    <cellStyle name="쉼표 [0] 4 3 2 23 4 3" xfId="32463"/>
    <cellStyle name="쉼표 [0] 4 3 2 23 5" xfId="13447"/>
    <cellStyle name="쉼표 [0] 4 3 2 23 5 2" xfId="38799"/>
    <cellStyle name="쉼표 [0] 4 3 2 23 6" xfId="26127"/>
    <cellStyle name="쉼표 [0] 4 3 2 23 7" xfId="52098"/>
    <cellStyle name="쉼표 [0] 4 3 2 24" xfId="775"/>
    <cellStyle name="쉼표 [0] 4 3 2 24 2" xfId="776"/>
    <cellStyle name="쉼표 [0] 4 3 2 24 2 2" xfId="3885"/>
    <cellStyle name="쉼표 [0] 4 3 2 24 2 2 2" xfId="10221"/>
    <cellStyle name="쉼표 [0] 4 3 2 24 2 2 2 2" xfId="22894"/>
    <cellStyle name="쉼표 [0] 4 3 2 24 2 2 2 2 2" xfId="48246"/>
    <cellStyle name="쉼표 [0] 4 3 2 24 2 2 2 3" xfId="35574"/>
    <cellStyle name="쉼표 [0] 4 3 2 24 2 2 3" xfId="16558"/>
    <cellStyle name="쉼표 [0] 4 3 2 24 2 2 3 2" xfId="41910"/>
    <cellStyle name="쉼표 [0] 4 3 2 24 2 2 4" xfId="29238"/>
    <cellStyle name="쉼표 [0] 4 3 2 24 2 2 5" xfId="52099"/>
    <cellStyle name="쉼표 [0] 4 3 2 24 2 3" xfId="7113"/>
    <cellStyle name="쉼표 [0] 4 3 2 24 2 3 2" xfId="19786"/>
    <cellStyle name="쉼표 [0] 4 3 2 24 2 3 2 2" xfId="45138"/>
    <cellStyle name="쉼표 [0] 4 3 2 24 2 3 3" xfId="32466"/>
    <cellStyle name="쉼표 [0] 4 3 2 24 2 4" xfId="13450"/>
    <cellStyle name="쉼표 [0] 4 3 2 24 2 4 2" xfId="38802"/>
    <cellStyle name="쉼표 [0] 4 3 2 24 2 5" xfId="26130"/>
    <cellStyle name="쉼표 [0] 4 3 2 24 2 6" xfId="52100"/>
    <cellStyle name="쉼표 [0] 4 3 2 24 3" xfId="3886"/>
    <cellStyle name="쉼표 [0] 4 3 2 24 3 2" xfId="10222"/>
    <cellStyle name="쉼표 [0] 4 3 2 24 3 2 2" xfId="22895"/>
    <cellStyle name="쉼표 [0] 4 3 2 24 3 2 2 2" xfId="48247"/>
    <cellStyle name="쉼표 [0] 4 3 2 24 3 2 3" xfId="35575"/>
    <cellStyle name="쉼표 [0] 4 3 2 24 3 3" xfId="16559"/>
    <cellStyle name="쉼표 [0] 4 3 2 24 3 3 2" xfId="41911"/>
    <cellStyle name="쉼표 [0] 4 3 2 24 3 4" xfId="29239"/>
    <cellStyle name="쉼표 [0] 4 3 2 24 3 5" xfId="52101"/>
    <cellStyle name="쉼표 [0] 4 3 2 24 4" xfId="7112"/>
    <cellStyle name="쉼표 [0] 4 3 2 24 4 2" xfId="19785"/>
    <cellStyle name="쉼표 [0] 4 3 2 24 4 2 2" xfId="45137"/>
    <cellStyle name="쉼표 [0] 4 3 2 24 4 3" xfId="32465"/>
    <cellStyle name="쉼표 [0] 4 3 2 24 5" xfId="13449"/>
    <cellStyle name="쉼표 [0] 4 3 2 24 5 2" xfId="38801"/>
    <cellStyle name="쉼표 [0] 4 3 2 24 6" xfId="26129"/>
    <cellStyle name="쉼표 [0] 4 3 2 24 7" xfId="52102"/>
    <cellStyle name="쉼표 [0] 4 3 2 25" xfId="777"/>
    <cellStyle name="쉼표 [0] 4 3 2 25 2" xfId="778"/>
    <cellStyle name="쉼표 [0] 4 3 2 25 2 2" xfId="3887"/>
    <cellStyle name="쉼표 [0] 4 3 2 25 2 2 2" xfId="10223"/>
    <cellStyle name="쉼표 [0] 4 3 2 25 2 2 2 2" xfId="22896"/>
    <cellStyle name="쉼표 [0] 4 3 2 25 2 2 2 2 2" xfId="48248"/>
    <cellStyle name="쉼표 [0] 4 3 2 25 2 2 2 3" xfId="35576"/>
    <cellStyle name="쉼표 [0] 4 3 2 25 2 2 3" xfId="16560"/>
    <cellStyle name="쉼표 [0] 4 3 2 25 2 2 3 2" xfId="41912"/>
    <cellStyle name="쉼표 [0] 4 3 2 25 2 2 4" xfId="29240"/>
    <cellStyle name="쉼표 [0] 4 3 2 25 2 2 5" xfId="52103"/>
    <cellStyle name="쉼표 [0] 4 3 2 25 2 3" xfId="7115"/>
    <cellStyle name="쉼표 [0] 4 3 2 25 2 3 2" xfId="19788"/>
    <cellStyle name="쉼표 [0] 4 3 2 25 2 3 2 2" xfId="45140"/>
    <cellStyle name="쉼표 [0] 4 3 2 25 2 3 3" xfId="32468"/>
    <cellStyle name="쉼표 [0] 4 3 2 25 2 4" xfId="13452"/>
    <cellStyle name="쉼표 [0] 4 3 2 25 2 4 2" xfId="38804"/>
    <cellStyle name="쉼표 [0] 4 3 2 25 2 5" xfId="26132"/>
    <cellStyle name="쉼표 [0] 4 3 2 25 2 6" xfId="52104"/>
    <cellStyle name="쉼표 [0] 4 3 2 25 3" xfId="3888"/>
    <cellStyle name="쉼표 [0] 4 3 2 25 3 2" xfId="10224"/>
    <cellStyle name="쉼표 [0] 4 3 2 25 3 2 2" xfId="22897"/>
    <cellStyle name="쉼표 [0] 4 3 2 25 3 2 2 2" xfId="48249"/>
    <cellStyle name="쉼표 [0] 4 3 2 25 3 2 3" xfId="35577"/>
    <cellStyle name="쉼표 [0] 4 3 2 25 3 3" xfId="16561"/>
    <cellStyle name="쉼표 [0] 4 3 2 25 3 3 2" xfId="41913"/>
    <cellStyle name="쉼표 [0] 4 3 2 25 3 4" xfId="29241"/>
    <cellStyle name="쉼표 [0] 4 3 2 25 3 5" xfId="52105"/>
    <cellStyle name="쉼표 [0] 4 3 2 25 4" xfId="7114"/>
    <cellStyle name="쉼표 [0] 4 3 2 25 4 2" xfId="19787"/>
    <cellStyle name="쉼표 [0] 4 3 2 25 4 2 2" xfId="45139"/>
    <cellStyle name="쉼표 [0] 4 3 2 25 4 3" xfId="32467"/>
    <cellStyle name="쉼표 [0] 4 3 2 25 5" xfId="13451"/>
    <cellStyle name="쉼표 [0] 4 3 2 25 5 2" xfId="38803"/>
    <cellStyle name="쉼표 [0] 4 3 2 25 6" xfId="26131"/>
    <cellStyle name="쉼표 [0] 4 3 2 25 7" xfId="52106"/>
    <cellStyle name="쉼표 [0] 4 3 2 26" xfId="779"/>
    <cellStyle name="쉼표 [0] 4 3 2 26 2" xfId="780"/>
    <cellStyle name="쉼표 [0] 4 3 2 26 2 2" xfId="3889"/>
    <cellStyle name="쉼표 [0] 4 3 2 26 2 2 2" xfId="10225"/>
    <cellStyle name="쉼표 [0] 4 3 2 26 2 2 2 2" xfId="22898"/>
    <cellStyle name="쉼표 [0] 4 3 2 26 2 2 2 2 2" xfId="48250"/>
    <cellStyle name="쉼표 [0] 4 3 2 26 2 2 2 3" xfId="35578"/>
    <cellStyle name="쉼표 [0] 4 3 2 26 2 2 3" xfId="16562"/>
    <cellStyle name="쉼표 [0] 4 3 2 26 2 2 3 2" xfId="41914"/>
    <cellStyle name="쉼표 [0] 4 3 2 26 2 2 4" xfId="29242"/>
    <cellStyle name="쉼표 [0] 4 3 2 26 2 2 5" xfId="52107"/>
    <cellStyle name="쉼표 [0] 4 3 2 26 2 3" xfId="7117"/>
    <cellStyle name="쉼표 [0] 4 3 2 26 2 3 2" xfId="19790"/>
    <cellStyle name="쉼표 [0] 4 3 2 26 2 3 2 2" xfId="45142"/>
    <cellStyle name="쉼표 [0] 4 3 2 26 2 3 3" xfId="32470"/>
    <cellStyle name="쉼표 [0] 4 3 2 26 2 4" xfId="13454"/>
    <cellStyle name="쉼표 [0] 4 3 2 26 2 4 2" xfId="38806"/>
    <cellStyle name="쉼표 [0] 4 3 2 26 2 5" xfId="26134"/>
    <cellStyle name="쉼표 [0] 4 3 2 26 2 6" xfId="52108"/>
    <cellStyle name="쉼표 [0] 4 3 2 26 3" xfId="3890"/>
    <cellStyle name="쉼표 [0] 4 3 2 26 3 2" xfId="10226"/>
    <cellStyle name="쉼표 [0] 4 3 2 26 3 2 2" xfId="22899"/>
    <cellStyle name="쉼표 [0] 4 3 2 26 3 2 2 2" xfId="48251"/>
    <cellStyle name="쉼표 [0] 4 3 2 26 3 2 3" xfId="35579"/>
    <cellStyle name="쉼표 [0] 4 3 2 26 3 3" xfId="16563"/>
    <cellStyle name="쉼표 [0] 4 3 2 26 3 3 2" xfId="41915"/>
    <cellStyle name="쉼표 [0] 4 3 2 26 3 4" xfId="29243"/>
    <cellStyle name="쉼표 [0] 4 3 2 26 3 5" xfId="52109"/>
    <cellStyle name="쉼표 [0] 4 3 2 26 4" xfId="7116"/>
    <cellStyle name="쉼표 [0] 4 3 2 26 4 2" xfId="19789"/>
    <cellStyle name="쉼표 [0] 4 3 2 26 4 2 2" xfId="45141"/>
    <cellStyle name="쉼표 [0] 4 3 2 26 4 3" xfId="32469"/>
    <cellStyle name="쉼표 [0] 4 3 2 26 5" xfId="13453"/>
    <cellStyle name="쉼표 [0] 4 3 2 26 5 2" xfId="38805"/>
    <cellStyle name="쉼표 [0] 4 3 2 26 6" xfId="26133"/>
    <cellStyle name="쉼표 [0] 4 3 2 26 7" xfId="52110"/>
    <cellStyle name="쉼표 [0] 4 3 2 27" xfId="781"/>
    <cellStyle name="쉼표 [0] 4 3 2 27 2" xfId="782"/>
    <cellStyle name="쉼표 [0] 4 3 2 27 2 2" xfId="3891"/>
    <cellStyle name="쉼표 [0] 4 3 2 27 2 2 2" xfId="10227"/>
    <cellStyle name="쉼표 [0] 4 3 2 27 2 2 2 2" xfId="22900"/>
    <cellStyle name="쉼표 [0] 4 3 2 27 2 2 2 2 2" xfId="48252"/>
    <cellStyle name="쉼표 [0] 4 3 2 27 2 2 2 3" xfId="35580"/>
    <cellStyle name="쉼표 [0] 4 3 2 27 2 2 3" xfId="16564"/>
    <cellStyle name="쉼표 [0] 4 3 2 27 2 2 3 2" xfId="41916"/>
    <cellStyle name="쉼표 [0] 4 3 2 27 2 2 4" xfId="29244"/>
    <cellStyle name="쉼표 [0] 4 3 2 27 2 2 5" xfId="52111"/>
    <cellStyle name="쉼표 [0] 4 3 2 27 2 3" xfId="7119"/>
    <cellStyle name="쉼표 [0] 4 3 2 27 2 3 2" xfId="19792"/>
    <cellStyle name="쉼표 [0] 4 3 2 27 2 3 2 2" xfId="45144"/>
    <cellStyle name="쉼표 [0] 4 3 2 27 2 3 3" xfId="32472"/>
    <cellStyle name="쉼표 [0] 4 3 2 27 2 4" xfId="13456"/>
    <cellStyle name="쉼표 [0] 4 3 2 27 2 4 2" xfId="38808"/>
    <cellStyle name="쉼표 [0] 4 3 2 27 2 5" xfId="26136"/>
    <cellStyle name="쉼표 [0] 4 3 2 27 2 6" xfId="52112"/>
    <cellStyle name="쉼표 [0] 4 3 2 27 3" xfId="3892"/>
    <cellStyle name="쉼표 [0] 4 3 2 27 3 2" xfId="10228"/>
    <cellStyle name="쉼표 [0] 4 3 2 27 3 2 2" xfId="22901"/>
    <cellStyle name="쉼표 [0] 4 3 2 27 3 2 2 2" xfId="48253"/>
    <cellStyle name="쉼표 [0] 4 3 2 27 3 2 3" xfId="35581"/>
    <cellStyle name="쉼표 [0] 4 3 2 27 3 3" xfId="16565"/>
    <cellStyle name="쉼표 [0] 4 3 2 27 3 3 2" xfId="41917"/>
    <cellStyle name="쉼표 [0] 4 3 2 27 3 4" xfId="29245"/>
    <cellStyle name="쉼표 [0] 4 3 2 27 3 5" xfId="52113"/>
    <cellStyle name="쉼표 [0] 4 3 2 27 4" xfId="7118"/>
    <cellStyle name="쉼표 [0] 4 3 2 27 4 2" xfId="19791"/>
    <cellStyle name="쉼표 [0] 4 3 2 27 4 2 2" xfId="45143"/>
    <cellStyle name="쉼표 [0] 4 3 2 27 4 3" xfId="32471"/>
    <cellStyle name="쉼표 [0] 4 3 2 27 5" xfId="13455"/>
    <cellStyle name="쉼표 [0] 4 3 2 27 5 2" xfId="38807"/>
    <cellStyle name="쉼표 [0] 4 3 2 27 6" xfId="26135"/>
    <cellStyle name="쉼표 [0] 4 3 2 27 7" xfId="52114"/>
    <cellStyle name="쉼표 [0] 4 3 2 28" xfId="783"/>
    <cellStyle name="쉼표 [0] 4 3 2 28 2" xfId="784"/>
    <cellStyle name="쉼표 [0] 4 3 2 28 2 2" xfId="3893"/>
    <cellStyle name="쉼표 [0] 4 3 2 28 2 2 2" xfId="10229"/>
    <cellStyle name="쉼표 [0] 4 3 2 28 2 2 2 2" xfId="22902"/>
    <cellStyle name="쉼표 [0] 4 3 2 28 2 2 2 2 2" xfId="48254"/>
    <cellStyle name="쉼표 [0] 4 3 2 28 2 2 2 3" xfId="35582"/>
    <cellStyle name="쉼표 [0] 4 3 2 28 2 2 3" xfId="16566"/>
    <cellStyle name="쉼표 [0] 4 3 2 28 2 2 3 2" xfId="41918"/>
    <cellStyle name="쉼표 [0] 4 3 2 28 2 2 4" xfId="29246"/>
    <cellStyle name="쉼표 [0] 4 3 2 28 2 2 5" xfId="52115"/>
    <cellStyle name="쉼표 [0] 4 3 2 28 2 3" xfId="7121"/>
    <cellStyle name="쉼표 [0] 4 3 2 28 2 3 2" xfId="19794"/>
    <cellStyle name="쉼표 [0] 4 3 2 28 2 3 2 2" xfId="45146"/>
    <cellStyle name="쉼표 [0] 4 3 2 28 2 3 3" xfId="32474"/>
    <cellStyle name="쉼표 [0] 4 3 2 28 2 4" xfId="13458"/>
    <cellStyle name="쉼표 [0] 4 3 2 28 2 4 2" xfId="38810"/>
    <cellStyle name="쉼표 [0] 4 3 2 28 2 5" xfId="26138"/>
    <cellStyle name="쉼표 [0] 4 3 2 28 2 6" xfId="52116"/>
    <cellStyle name="쉼표 [0] 4 3 2 28 3" xfId="3894"/>
    <cellStyle name="쉼표 [0] 4 3 2 28 3 2" xfId="10230"/>
    <cellStyle name="쉼표 [0] 4 3 2 28 3 2 2" xfId="22903"/>
    <cellStyle name="쉼표 [0] 4 3 2 28 3 2 2 2" xfId="48255"/>
    <cellStyle name="쉼표 [0] 4 3 2 28 3 2 3" xfId="35583"/>
    <cellStyle name="쉼표 [0] 4 3 2 28 3 3" xfId="16567"/>
    <cellStyle name="쉼표 [0] 4 3 2 28 3 3 2" xfId="41919"/>
    <cellStyle name="쉼표 [0] 4 3 2 28 3 4" xfId="29247"/>
    <cellStyle name="쉼표 [0] 4 3 2 28 3 5" xfId="52117"/>
    <cellStyle name="쉼표 [0] 4 3 2 28 4" xfId="7120"/>
    <cellStyle name="쉼표 [0] 4 3 2 28 4 2" xfId="19793"/>
    <cellStyle name="쉼표 [0] 4 3 2 28 4 2 2" xfId="45145"/>
    <cellStyle name="쉼표 [0] 4 3 2 28 4 3" xfId="32473"/>
    <cellStyle name="쉼표 [0] 4 3 2 28 5" xfId="13457"/>
    <cellStyle name="쉼표 [0] 4 3 2 28 5 2" xfId="38809"/>
    <cellStyle name="쉼표 [0] 4 3 2 28 6" xfId="26137"/>
    <cellStyle name="쉼표 [0] 4 3 2 28 7" xfId="52118"/>
    <cellStyle name="쉼표 [0] 4 3 2 29" xfId="785"/>
    <cellStyle name="쉼표 [0] 4 3 2 29 2" xfId="786"/>
    <cellStyle name="쉼표 [0] 4 3 2 29 2 2" xfId="3895"/>
    <cellStyle name="쉼표 [0] 4 3 2 29 2 2 2" xfId="10231"/>
    <cellStyle name="쉼표 [0] 4 3 2 29 2 2 2 2" xfId="22904"/>
    <cellStyle name="쉼표 [0] 4 3 2 29 2 2 2 2 2" xfId="48256"/>
    <cellStyle name="쉼표 [0] 4 3 2 29 2 2 2 3" xfId="35584"/>
    <cellStyle name="쉼표 [0] 4 3 2 29 2 2 3" xfId="16568"/>
    <cellStyle name="쉼표 [0] 4 3 2 29 2 2 3 2" xfId="41920"/>
    <cellStyle name="쉼표 [0] 4 3 2 29 2 2 4" xfId="29248"/>
    <cellStyle name="쉼표 [0] 4 3 2 29 2 2 5" xfId="52119"/>
    <cellStyle name="쉼표 [0] 4 3 2 29 2 3" xfId="7123"/>
    <cellStyle name="쉼표 [0] 4 3 2 29 2 3 2" xfId="19796"/>
    <cellStyle name="쉼표 [0] 4 3 2 29 2 3 2 2" xfId="45148"/>
    <cellStyle name="쉼표 [0] 4 3 2 29 2 3 3" xfId="32476"/>
    <cellStyle name="쉼표 [0] 4 3 2 29 2 4" xfId="13460"/>
    <cellStyle name="쉼표 [0] 4 3 2 29 2 4 2" xfId="38812"/>
    <cellStyle name="쉼표 [0] 4 3 2 29 2 5" xfId="26140"/>
    <cellStyle name="쉼표 [0] 4 3 2 29 2 6" xfId="52120"/>
    <cellStyle name="쉼표 [0] 4 3 2 29 3" xfId="3896"/>
    <cellStyle name="쉼표 [0] 4 3 2 29 3 2" xfId="10232"/>
    <cellStyle name="쉼표 [0] 4 3 2 29 3 2 2" xfId="22905"/>
    <cellStyle name="쉼표 [0] 4 3 2 29 3 2 2 2" xfId="48257"/>
    <cellStyle name="쉼표 [0] 4 3 2 29 3 2 3" xfId="35585"/>
    <cellStyle name="쉼표 [0] 4 3 2 29 3 3" xfId="16569"/>
    <cellStyle name="쉼표 [0] 4 3 2 29 3 3 2" xfId="41921"/>
    <cellStyle name="쉼표 [0] 4 3 2 29 3 4" xfId="29249"/>
    <cellStyle name="쉼표 [0] 4 3 2 29 3 5" xfId="52121"/>
    <cellStyle name="쉼표 [0] 4 3 2 29 4" xfId="7122"/>
    <cellStyle name="쉼표 [0] 4 3 2 29 4 2" xfId="19795"/>
    <cellStyle name="쉼표 [0] 4 3 2 29 4 2 2" xfId="45147"/>
    <cellStyle name="쉼표 [0] 4 3 2 29 4 3" xfId="32475"/>
    <cellStyle name="쉼표 [0] 4 3 2 29 5" xfId="13459"/>
    <cellStyle name="쉼표 [0] 4 3 2 29 5 2" xfId="38811"/>
    <cellStyle name="쉼표 [0] 4 3 2 29 6" xfId="26139"/>
    <cellStyle name="쉼표 [0] 4 3 2 29 7" xfId="52122"/>
    <cellStyle name="쉼표 [0] 4 3 2 3" xfId="66"/>
    <cellStyle name="쉼표 [0] 4 3 2 3 2" xfId="787"/>
    <cellStyle name="쉼표 [0] 4 3 2 3 2 2" xfId="3897"/>
    <cellStyle name="쉼표 [0] 4 3 2 3 2 2 2" xfId="10233"/>
    <cellStyle name="쉼표 [0] 4 3 2 3 2 2 2 2" xfId="22906"/>
    <cellStyle name="쉼표 [0] 4 3 2 3 2 2 2 2 2" xfId="48258"/>
    <cellStyle name="쉼표 [0] 4 3 2 3 2 2 2 3" xfId="35586"/>
    <cellStyle name="쉼표 [0] 4 3 2 3 2 2 3" xfId="16570"/>
    <cellStyle name="쉼표 [0] 4 3 2 3 2 2 3 2" xfId="41922"/>
    <cellStyle name="쉼표 [0] 4 3 2 3 2 2 4" xfId="29250"/>
    <cellStyle name="쉼표 [0] 4 3 2 3 2 2 5" xfId="52123"/>
    <cellStyle name="쉼표 [0] 4 3 2 3 2 3" xfId="7124"/>
    <cellStyle name="쉼표 [0] 4 3 2 3 2 3 2" xfId="19797"/>
    <cellStyle name="쉼표 [0] 4 3 2 3 2 3 2 2" xfId="45149"/>
    <cellStyle name="쉼표 [0] 4 3 2 3 2 3 3" xfId="32477"/>
    <cellStyle name="쉼표 [0] 4 3 2 3 2 4" xfId="13461"/>
    <cellStyle name="쉼표 [0] 4 3 2 3 2 4 2" xfId="38813"/>
    <cellStyle name="쉼표 [0] 4 3 2 3 2 5" xfId="26141"/>
    <cellStyle name="쉼표 [0] 4 3 2 3 2 6" xfId="52124"/>
    <cellStyle name="쉼표 [0] 4 3 2 3 3" xfId="3898"/>
    <cellStyle name="쉼표 [0] 4 3 2 3 3 2" xfId="10234"/>
    <cellStyle name="쉼표 [0] 4 3 2 3 3 2 2" xfId="22907"/>
    <cellStyle name="쉼표 [0] 4 3 2 3 3 2 2 2" xfId="48259"/>
    <cellStyle name="쉼표 [0] 4 3 2 3 3 2 3" xfId="35587"/>
    <cellStyle name="쉼표 [0] 4 3 2 3 3 3" xfId="16571"/>
    <cellStyle name="쉼표 [0] 4 3 2 3 3 3 2" xfId="41923"/>
    <cellStyle name="쉼표 [0] 4 3 2 3 3 4" xfId="29251"/>
    <cellStyle name="쉼표 [0] 4 3 2 3 3 5" xfId="52125"/>
    <cellStyle name="쉼표 [0] 4 3 2 3 4" xfId="6404"/>
    <cellStyle name="쉼표 [0] 4 3 2 3 4 2" xfId="19077"/>
    <cellStyle name="쉼표 [0] 4 3 2 3 4 2 2" xfId="44429"/>
    <cellStyle name="쉼표 [0] 4 3 2 3 4 3" xfId="31757"/>
    <cellStyle name="쉼표 [0] 4 3 2 3 5" xfId="12741"/>
    <cellStyle name="쉼표 [0] 4 3 2 3 5 2" xfId="38093"/>
    <cellStyle name="쉼표 [0] 4 3 2 3 6" xfId="25421"/>
    <cellStyle name="쉼표 [0] 4 3 2 3 7" xfId="52126"/>
    <cellStyle name="쉼표 [0] 4 3 2 30" xfId="788"/>
    <cellStyle name="쉼표 [0] 4 3 2 30 2" xfId="789"/>
    <cellStyle name="쉼표 [0] 4 3 2 30 2 2" xfId="3899"/>
    <cellStyle name="쉼표 [0] 4 3 2 30 2 2 2" xfId="10235"/>
    <cellStyle name="쉼표 [0] 4 3 2 30 2 2 2 2" xfId="22908"/>
    <cellStyle name="쉼표 [0] 4 3 2 30 2 2 2 2 2" xfId="48260"/>
    <cellStyle name="쉼표 [0] 4 3 2 30 2 2 2 3" xfId="35588"/>
    <cellStyle name="쉼표 [0] 4 3 2 30 2 2 3" xfId="16572"/>
    <cellStyle name="쉼표 [0] 4 3 2 30 2 2 3 2" xfId="41924"/>
    <cellStyle name="쉼표 [0] 4 3 2 30 2 2 4" xfId="29252"/>
    <cellStyle name="쉼표 [0] 4 3 2 30 2 2 5" xfId="52127"/>
    <cellStyle name="쉼표 [0] 4 3 2 30 2 3" xfId="7126"/>
    <cellStyle name="쉼표 [0] 4 3 2 30 2 3 2" xfId="19799"/>
    <cellStyle name="쉼표 [0] 4 3 2 30 2 3 2 2" xfId="45151"/>
    <cellStyle name="쉼표 [0] 4 3 2 30 2 3 3" xfId="32479"/>
    <cellStyle name="쉼표 [0] 4 3 2 30 2 4" xfId="13463"/>
    <cellStyle name="쉼표 [0] 4 3 2 30 2 4 2" xfId="38815"/>
    <cellStyle name="쉼표 [0] 4 3 2 30 2 5" xfId="26143"/>
    <cellStyle name="쉼표 [0] 4 3 2 30 2 6" xfId="52128"/>
    <cellStyle name="쉼표 [0] 4 3 2 30 3" xfId="3900"/>
    <cellStyle name="쉼표 [0] 4 3 2 30 3 2" xfId="10236"/>
    <cellStyle name="쉼표 [0] 4 3 2 30 3 2 2" xfId="22909"/>
    <cellStyle name="쉼표 [0] 4 3 2 30 3 2 2 2" xfId="48261"/>
    <cellStyle name="쉼표 [0] 4 3 2 30 3 2 3" xfId="35589"/>
    <cellStyle name="쉼표 [0] 4 3 2 30 3 3" xfId="16573"/>
    <cellStyle name="쉼표 [0] 4 3 2 30 3 3 2" xfId="41925"/>
    <cellStyle name="쉼표 [0] 4 3 2 30 3 4" xfId="29253"/>
    <cellStyle name="쉼표 [0] 4 3 2 30 3 5" xfId="52129"/>
    <cellStyle name="쉼표 [0] 4 3 2 30 4" xfId="7125"/>
    <cellStyle name="쉼표 [0] 4 3 2 30 4 2" xfId="19798"/>
    <cellStyle name="쉼표 [0] 4 3 2 30 4 2 2" xfId="45150"/>
    <cellStyle name="쉼표 [0] 4 3 2 30 4 3" xfId="32478"/>
    <cellStyle name="쉼표 [0] 4 3 2 30 5" xfId="13462"/>
    <cellStyle name="쉼표 [0] 4 3 2 30 5 2" xfId="38814"/>
    <cellStyle name="쉼표 [0] 4 3 2 30 6" xfId="26142"/>
    <cellStyle name="쉼표 [0] 4 3 2 30 7" xfId="52130"/>
    <cellStyle name="쉼표 [0] 4 3 2 31" xfId="790"/>
    <cellStyle name="쉼표 [0] 4 3 2 31 2" xfId="791"/>
    <cellStyle name="쉼표 [0] 4 3 2 31 2 2" xfId="3901"/>
    <cellStyle name="쉼표 [0] 4 3 2 31 2 2 2" xfId="10237"/>
    <cellStyle name="쉼표 [0] 4 3 2 31 2 2 2 2" xfId="22910"/>
    <cellStyle name="쉼표 [0] 4 3 2 31 2 2 2 2 2" xfId="48262"/>
    <cellStyle name="쉼표 [0] 4 3 2 31 2 2 2 3" xfId="35590"/>
    <cellStyle name="쉼표 [0] 4 3 2 31 2 2 3" xfId="16574"/>
    <cellStyle name="쉼표 [0] 4 3 2 31 2 2 3 2" xfId="41926"/>
    <cellStyle name="쉼표 [0] 4 3 2 31 2 2 4" xfId="29254"/>
    <cellStyle name="쉼표 [0] 4 3 2 31 2 2 5" xfId="52131"/>
    <cellStyle name="쉼표 [0] 4 3 2 31 2 3" xfId="7128"/>
    <cellStyle name="쉼표 [0] 4 3 2 31 2 3 2" xfId="19801"/>
    <cellStyle name="쉼표 [0] 4 3 2 31 2 3 2 2" xfId="45153"/>
    <cellStyle name="쉼표 [0] 4 3 2 31 2 3 3" xfId="32481"/>
    <cellStyle name="쉼표 [0] 4 3 2 31 2 4" xfId="13465"/>
    <cellStyle name="쉼표 [0] 4 3 2 31 2 4 2" xfId="38817"/>
    <cellStyle name="쉼표 [0] 4 3 2 31 2 5" xfId="26145"/>
    <cellStyle name="쉼표 [0] 4 3 2 31 2 6" xfId="52132"/>
    <cellStyle name="쉼표 [0] 4 3 2 31 3" xfId="3902"/>
    <cellStyle name="쉼표 [0] 4 3 2 31 3 2" xfId="10238"/>
    <cellStyle name="쉼표 [0] 4 3 2 31 3 2 2" xfId="22911"/>
    <cellStyle name="쉼표 [0] 4 3 2 31 3 2 2 2" xfId="48263"/>
    <cellStyle name="쉼표 [0] 4 3 2 31 3 2 3" xfId="35591"/>
    <cellStyle name="쉼표 [0] 4 3 2 31 3 3" xfId="16575"/>
    <cellStyle name="쉼표 [0] 4 3 2 31 3 3 2" xfId="41927"/>
    <cellStyle name="쉼표 [0] 4 3 2 31 3 4" xfId="29255"/>
    <cellStyle name="쉼표 [0] 4 3 2 31 3 5" xfId="52133"/>
    <cellStyle name="쉼표 [0] 4 3 2 31 4" xfId="7127"/>
    <cellStyle name="쉼표 [0] 4 3 2 31 4 2" xfId="19800"/>
    <cellStyle name="쉼표 [0] 4 3 2 31 4 2 2" xfId="45152"/>
    <cellStyle name="쉼표 [0] 4 3 2 31 4 3" xfId="32480"/>
    <cellStyle name="쉼표 [0] 4 3 2 31 5" xfId="13464"/>
    <cellStyle name="쉼표 [0] 4 3 2 31 5 2" xfId="38816"/>
    <cellStyle name="쉼표 [0] 4 3 2 31 6" xfId="26144"/>
    <cellStyle name="쉼표 [0] 4 3 2 31 7" xfId="52134"/>
    <cellStyle name="쉼표 [0] 4 3 2 32" xfId="792"/>
    <cellStyle name="쉼표 [0] 4 3 2 32 2" xfId="793"/>
    <cellStyle name="쉼표 [0] 4 3 2 32 2 2" xfId="3903"/>
    <cellStyle name="쉼표 [0] 4 3 2 32 2 2 2" xfId="10239"/>
    <cellStyle name="쉼표 [0] 4 3 2 32 2 2 2 2" xfId="22912"/>
    <cellStyle name="쉼표 [0] 4 3 2 32 2 2 2 2 2" xfId="48264"/>
    <cellStyle name="쉼표 [0] 4 3 2 32 2 2 2 3" xfId="35592"/>
    <cellStyle name="쉼표 [0] 4 3 2 32 2 2 3" xfId="16576"/>
    <cellStyle name="쉼표 [0] 4 3 2 32 2 2 3 2" xfId="41928"/>
    <cellStyle name="쉼표 [0] 4 3 2 32 2 2 4" xfId="29256"/>
    <cellStyle name="쉼표 [0] 4 3 2 32 2 2 5" xfId="52135"/>
    <cellStyle name="쉼표 [0] 4 3 2 32 2 3" xfId="7130"/>
    <cellStyle name="쉼표 [0] 4 3 2 32 2 3 2" xfId="19803"/>
    <cellStyle name="쉼표 [0] 4 3 2 32 2 3 2 2" xfId="45155"/>
    <cellStyle name="쉼표 [0] 4 3 2 32 2 3 3" xfId="32483"/>
    <cellStyle name="쉼표 [0] 4 3 2 32 2 4" xfId="13467"/>
    <cellStyle name="쉼표 [0] 4 3 2 32 2 4 2" xfId="38819"/>
    <cellStyle name="쉼표 [0] 4 3 2 32 2 5" xfId="26147"/>
    <cellStyle name="쉼표 [0] 4 3 2 32 2 6" xfId="52136"/>
    <cellStyle name="쉼표 [0] 4 3 2 32 3" xfId="3904"/>
    <cellStyle name="쉼표 [0] 4 3 2 32 3 2" xfId="10240"/>
    <cellStyle name="쉼표 [0] 4 3 2 32 3 2 2" xfId="22913"/>
    <cellStyle name="쉼표 [0] 4 3 2 32 3 2 2 2" xfId="48265"/>
    <cellStyle name="쉼표 [0] 4 3 2 32 3 2 3" xfId="35593"/>
    <cellStyle name="쉼표 [0] 4 3 2 32 3 3" xfId="16577"/>
    <cellStyle name="쉼표 [0] 4 3 2 32 3 3 2" xfId="41929"/>
    <cellStyle name="쉼표 [0] 4 3 2 32 3 4" xfId="29257"/>
    <cellStyle name="쉼표 [0] 4 3 2 32 3 5" xfId="52137"/>
    <cellStyle name="쉼표 [0] 4 3 2 32 4" xfId="7129"/>
    <cellStyle name="쉼표 [0] 4 3 2 32 4 2" xfId="19802"/>
    <cellStyle name="쉼표 [0] 4 3 2 32 4 2 2" xfId="45154"/>
    <cellStyle name="쉼표 [0] 4 3 2 32 4 3" xfId="32482"/>
    <cellStyle name="쉼표 [0] 4 3 2 32 5" xfId="13466"/>
    <cellStyle name="쉼표 [0] 4 3 2 32 5 2" xfId="38818"/>
    <cellStyle name="쉼표 [0] 4 3 2 32 6" xfId="26146"/>
    <cellStyle name="쉼표 [0] 4 3 2 32 7" xfId="52138"/>
    <cellStyle name="쉼표 [0] 4 3 2 33" xfId="794"/>
    <cellStyle name="쉼표 [0] 4 3 2 33 2" xfId="795"/>
    <cellStyle name="쉼표 [0] 4 3 2 33 2 2" xfId="3905"/>
    <cellStyle name="쉼표 [0] 4 3 2 33 2 2 2" xfId="10241"/>
    <cellStyle name="쉼표 [0] 4 3 2 33 2 2 2 2" xfId="22914"/>
    <cellStyle name="쉼표 [0] 4 3 2 33 2 2 2 2 2" xfId="48266"/>
    <cellStyle name="쉼표 [0] 4 3 2 33 2 2 2 3" xfId="35594"/>
    <cellStyle name="쉼표 [0] 4 3 2 33 2 2 3" xfId="16578"/>
    <cellStyle name="쉼표 [0] 4 3 2 33 2 2 3 2" xfId="41930"/>
    <cellStyle name="쉼표 [0] 4 3 2 33 2 2 4" xfId="29258"/>
    <cellStyle name="쉼표 [0] 4 3 2 33 2 2 5" xfId="52139"/>
    <cellStyle name="쉼표 [0] 4 3 2 33 2 3" xfId="7132"/>
    <cellStyle name="쉼표 [0] 4 3 2 33 2 3 2" xfId="19805"/>
    <cellStyle name="쉼표 [0] 4 3 2 33 2 3 2 2" xfId="45157"/>
    <cellStyle name="쉼표 [0] 4 3 2 33 2 3 3" xfId="32485"/>
    <cellStyle name="쉼표 [0] 4 3 2 33 2 4" xfId="13469"/>
    <cellStyle name="쉼표 [0] 4 3 2 33 2 4 2" xfId="38821"/>
    <cellStyle name="쉼표 [0] 4 3 2 33 2 5" xfId="26149"/>
    <cellStyle name="쉼표 [0] 4 3 2 33 2 6" xfId="52140"/>
    <cellStyle name="쉼표 [0] 4 3 2 33 3" xfId="3906"/>
    <cellStyle name="쉼표 [0] 4 3 2 33 3 2" xfId="10242"/>
    <cellStyle name="쉼표 [0] 4 3 2 33 3 2 2" xfId="22915"/>
    <cellStyle name="쉼표 [0] 4 3 2 33 3 2 2 2" xfId="48267"/>
    <cellStyle name="쉼표 [0] 4 3 2 33 3 2 3" xfId="35595"/>
    <cellStyle name="쉼표 [0] 4 3 2 33 3 3" xfId="16579"/>
    <cellStyle name="쉼표 [0] 4 3 2 33 3 3 2" xfId="41931"/>
    <cellStyle name="쉼표 [0] 4 3 2 33 3 4" xfId="29259"/>
    <cellStyle name="쉼표 [0] 4 3 2 33 3 5" xfId="52141"/>
    <cellStyle name="쉼표 [0] 4 3 2 33 4" xfId="7131"/>
    <cellStyle name="쉼표 [0] 4 3 2 33 4 2" xfId="19804"/>
    <cellStyle name="쉼표 [0] 4 3 2 33 4 2 2" xfId="45156"/>
    <cellStyle name="쉼표 [0] 4 3 2 33 4 3" xfId="32484"/>
    <cellStyle name="쉼표 [0] 4 3 2 33 5" xfId="13468"/>
    <cellStyle name="쉼표 [0] 4 3 2 33 5 2" xfId="38820"/>
    <cellStyle name="쉼표 [0] 4 3 2 33 6" xfId="26148"/>
    <cellStyle name="쉼표 [0] 4 3 2 33 7" xfId="52142"/>
    <cellStyle name="쉼표 [0] 4 3 2 34" xfId="796"/>
    <cellStyle name="쉼표 [0] 4 3 2 34 2" xfId="797"/>
    <cellStyle name="쉼표 [0] 4 3 2 34 2 2" xfId="3907"/>
    <cellStyle name="쉼표 [0] 4 3 2 34 2 2 2" xfId="10243"/>
    <cellStyle name="쉼표 [0] 4 3 2 34 2 2 2 2" xfId="22916"/>
    <cellStyle name="쉼표 [0] 4 3 2 34 2 2 2 2 2" xfId="48268"/>
    <cellStyle name="쉼표 [0] 4 3 2 34 2 2 2 3" xfId="35596"/>
    <cellStyle name="쉼표 [0] 4 3 2 34 2 2 3" xfId="16580"/>
    <cellStyle name="쉼표 [0] 4 3 2 34 2 2 3 2" xfId="41932"/>
    <cellStyle name="쉼표 [0] 4 3 2 34 2 2 4" xfId="29260"/>
    <cellStyle name="쉼표 [0] 4 3 2 34 2 2 5" xfId="52143"/>
    <cellStyle name="쉼표 [0] 4 3 2 34 2 3" xfId="7134"/>
    <cellStyle name="쉼표 [0] 4 3 2 34 2 3 2" xfId="19807"/>
    <cellStyle name="쉼표 [0] 4 3 2 34 2 3 2 2" xfId="45159"/>
    <cellStyle name="쉼표 [0] 4 3 2 34 2 3 3" xfId="32487"/>
    <cellStyle name="쉼표 [0] 4 3 2 34 2 4" xfId="13471"/>
    <cellStyle name="쉼표 [0] 4 3 2 34 2 4 2" xfId="38823"/>
    <cellStyle name="쉼표 [0] 4 3 2 34 2 5" xfId="26151"/>
    <cellStyle name="쉼표 [0] 4 3 2 34 2 6" xfId="52144"/>
    <cellStyle name="쉼표 [0] 4 3 2 34 3" xfId="3908"/>
    <cellStyle name="쉼표 [0] 4 3 2 34 3 2" xfId="10244"/>
    <cellStyle name="쉼표 [0] 4 3 2 34 3 2 2" xfId="22917"/>
    <cellStyle name="쉼표 [0] 4 3 2 34 3 2 2 2" xfId="48269"/>
    <cellStyle name="쉼표 [0] 4 3 2 34 3 2 3" xfId="35597"/>
    <cellStyle name="쉼표 [0] 4 3 2 34 3 3" xfId="16581"/>
    <cellStyle name="쉼표 [0] 4 3 2 34 3 3 2" xfId="41933"/>
    <cellStyle name="쉼표 [0] 4 3 2 34 3 4" xfId="29261"/>
    <cellStyle name="쉼표 [0] 4 3 2 34 3 5" xfId="52145"/>
    <cellStyle name="쉼표 [0] 4 3 2 34 4" xfId="7133"/>
    <cellStyle name="쉼표 [0] 4 3 2 34 4 2" xfId="19806"/>
    <cellStyle name="쉼표 [0] 4 3 2 34 4 2 2" xfId="45158"/>
    <cellStyle name="쉼표 [0] 4 3 2 34 4 3" xfId="32486"/>
    <cellStyle name="쉼표 [0] 4 3 2 34 5" xfId="13470"/>
    <cellStyle name="쉼표 [0] 4 3 2 34 5 2" xfId="38822"/>
    <cellStyle name="쉼표 [0] 4 3 2 34 6" xfId="26150"/>
    <cellStyle name="쉼표 [0] 4 3 2 34 7" xfId="52146"/>
    <cellStyle name="쉼표 [0] 4 3 2 35" xfId="798"/>
    <cellStyle name="쉼표 [0] 4 3 2 35 2" xfId="3909"/>
    <cellStyle name="쉼표 [0] 4 3 2 35 2 2" xfId="10245"/>
    <cellStyle name="쉼표 [0] 4 3 2 35 2 2 2" xfId="22918"/>
    <cellStyle name="쉼표 [0] 4 3 2 35 2 2 2 2" xfId="48270"/>
    <cellStyle name="쉼표 [0] 4 3 2 35 2 2 3" xfId="35598"/>
    <cellStyle name="쉼표 [0] 4 3 2 35 2 3" xfId="16582"/>
    <cellStyle name="쉼표 [0] 4 3 2 35 2 3 2" xfId="41934"/>
    <cellStyle name="쉼표 [0] 4 3 2 35 2 4" xfId="29262"/>
    <cellStyle name="쉼표 [0] 4 3 2 35 2 5" xfId="52147"/>
    <cellStyle name="쉼표 [0] 4 3 2 35 3" xfId="7135"/>
    <cellStyle name="쉼표 [0] 4 3 2 35 3 2" xfId="19808"/>
    <cellStyle name="쉼표 [0] 4 3 2 35 3 2 2" xfId="45160"/>
    <cellStyle name="쉼표 [0] 4 3 2 35 3 3" xfId="32488"/>
    <cellStyle name="쉼표 [0] 4 3 2 35 4" xfId="13472"/>
    <cellStyle name="쉼표 [0] 4 3 2 35 4 2" xfId="38824"/>
    <cellStyle name="쉼표 [0] 4 3 2 35 5" xfId="26152"/>
    <cellStyle name="쉼표 [0] 4 3 2 35 6" xfId="52148"/>
    <cellStyle name="쉼표 [0] 4 3 2 36" xfId="3910"/>
    <cellStyle name="쉼표 [0] 4 3 2 36 2" xfId="10246"/>
    <cellStyle name="쉼표 [0] 4 3 2 36 2 2" xfId="22919"/>
    <cellStyle name="쉼표 [0] 4 3 2 36 2 2 2" xfId="48271"/>
    <cellStyle name="쉼표 [0] 4 3 2 36 2 3" xfId="35599"/>
    <cellStyle name="쉼표 [0] 4 3 2 36 3" xfId="16583"/>
    <cellStyle name="쉼표 [0] 4 3 2 36 3 2" xfId="41935"/>
    <cellStyle name="쉼표 [0] 4 3 2 36 4" xfId="29263"/>
    <cellStyle name="쉼표 [0] 4 3 2 36 5" xfId="52149"/>
    <cellStyle name="쉼표 [0] 4 3 2 37" xfId="6391"/>
    <cellStyle name="쉼표 [0] 4 3 2 37 2" xfId="19064"/>
    <cellStyle name="쉼표 [0] 4 3 2 37 2 2" xfId="44416"/>
    <cellStyle name="쉼표 [0] 4 3 2 37 3" xfId="31744"/>
    <cellStyle name="쉼표 [0] 4 3 2 38" xfId="12728"/>
    <cellStyle name="쉼표 [0] 4 3 2 38 2" xfId="38080"/>
    <cellStyle name="쉼표 [0] 4 3 2 39" xfId="25408"/>
    <cellStyle name="쉼표 [0] 4 3 2 4" xfId="799"/>
    <cellStyle name="쉼표 [0] 4 3 2 4 2" xfId="800"/>
    <cellStyle name="쉼표 [0] 4 3 2 4 2 2" xfId="3911"/>
    <cellStyle name="쉼표 [0] 4 3 2 4 2 2 2" xfId="10247"/>
    <cellStyle name="쉼표 [0] 4 3 2 4 2 2 2 2" xfId="22920"/>
    <cellStyle name="쉼표 [0] 4 3 2 4 2 2 2 2 2" xfId="48272"/>
    <cellStyle name="쉼표 [0] 4 3 2 4 2 2 2 3" xfId="35600"/>
    <cellStyle name="쉼표 [0] 4 3 2 4 2 2 3" xfId="16584"/>
    <cellStyle name="쉼표 [0] 4 3 2 4 2 2 3 2" xfId="41936"/>
    <cellStyle name="쉼표 [0] 4 3 2 4 2 2 4" xfId="29264"/>
    <cellStyle name="쉼표 [0] 4 3 2 4 2 2 5" xfId="52150"/>
    <cellStyle name="쉼표 [0] 4 3 2 4 2 3" xfId="7137"/>
    <cellStyle name="쉼표 [0] 4 3 2 4 2 3 2" xfId="19810"/>
    <cellStyle name="쉼표 [0] 4 3 2 4 2 3 2 2" xfId="45162"/>
    <cellStyle name="쉼표 [0] 4 3 2 4 2 3 3" xfId="32490"/>
    <cellStyle name="쉼표 [0] 4 3 2 4 2 4" xfId="13474"/>
    <cellStyle name="쉼표 [0] 4 3 2 4 2 4 2" xfId="38826"/>
    <cellStyle name="쉼표 [0] 4 3 2 4 2 5" xfId="26154"/>
    <cellStyle name="쉼표 [0] 4 3 2 4 2 6" xfId="52151"/>
    <cellStyle name="쉼표 [0] 4 3 2 4 3" xfId="3912"/>
    <cellStyle name="쉼표 [0] 4 3 2 4 3 2" xfId="10248"/>
    <cellStyle name="쉼표 [0] 4 3 2 4 3 2 2" xfId="22921"/>
    <cellStyle name="쉼표 [0] 4 3 2 4 3 2 2 2" xfId="48273"/>
    <cellStyle name="쉼표 [0] 4 3 2 4 3 2 3" xfId="35601"/>
    <cellStyle name="쉼표 [0] 4 3 2 4 3 3" xfId="16585"/>
    <cellStyle name="쉼표 [0] 4 3 2 4 3 3 2" xfId="41937"/>
    <cellStyle name="쉼표 [0] 4 3 2 4 3 4" xfId="29265"/>
    <cellStyle name="쉼표 [0] 4 3 2 4 3 5" xfId="52152"/>
    <cellStyle name="쉼표 [0] 4 3 2 4 4" xfId="7136"/>
    <cellStyle name="쉼표 [0] 4 3 2 4 4 2" xfId="19809"/>
    <cellStyle name="쉼표 [0] 4 3 2 4 4 2 2" xfId="45161"/>
    <cellStyle name="쉼표 [0] 4 3 2 4 4 3" xfId="32489"/>
    <cellStyle name="쉼표 [0] 4 3 2 4 5" xfId="13473"/>
    <cellStyle name="쉼표 [0] 4 3 2 4 5 2" xfId="38825"/>
    <cellStyle name="쉼표 [0] 4 3 2 4 6" xfId="26153"/>
    <cellStyle name="쉼표 [0] 4 3 2 4 7" xfId="52153"/>
    <cellStyle name="쉼표 [0] 4 3 2 40" xfId="52154"/>
    <cellStyle name="쉼표 [0] 4 3 2 5" xfId="801"/>
    <cellStyle name="쉼표 [0] 4 3 2 5 2" xfId="802"/>
    <cellStyle name="쉼표 [0] 4 3 2 5 2 2" xfId="3913"/>
    <cellStyle name="쉼표 [0] 4 3 2 5 2 2 2" xfId="10249"/>
    <cellStyle name="쉼표 [0] 4 3 2 5 2 2 2 2" xfId="22922"/>
    <cellStyle name="쉼표 [0] 4 3 2 5 2 2 2 2 2" xfId="48274"/>
    <cellStyle name="쉼표 [0] 4 3 2 5 2 2 2 3" xfId="35602"/>
    <cellStyle name="쉼표 [0] 4 3 2 5 2 2 3" xfId="16586"/>
    <cellStyle name="쉼표 [0] 4 3 2 5 2 2 3 2" xfId="41938"/>
    <cellStyle name="쉼표 [0] 4 3 2 5 2 2 4" xfId="29266"/>
    <cellStyle name="쉼표 [0] 4 3 2 5 2 2 5" xfId="52155"/>
    <cellStyle name="쉼표 [0] 4 3 2 5 2 3" xfId="7139"/>
    <cellStyle name="쉼표 [0] 4 3 2 5 2 3 2" xfId="19812"/>
    <cellStyle name="쉼표 [0] 4 3 2 5 2 3 2 2" xfId="45164"/>
    <cellStyle name="쉼표 [0] 4 3 2 5 2 3 3" xfId="32492"/>
    <cellStyle name="쉼표 [0] 4 3 2 5 2 4" xfId="13476"/>
    <cellStyle name="쉼표 [0] 4 3 2 5 2 4 2" xfId="38828"/>
    <cellStyle name="쉼표 [0] 4 3 2 5 2 5" xfId="26156"/>
    <cellStyle name="쉼표 [0] 4 3 2 5 2 6" xfId="52156"/>
    <cellStyle name="쉼표 [0] 4 3 2 5 3" xfId="3914"/>
    <cellStyle name="쉼표 [0] 4 3 2 5 3 2" xfId="10250"/>
    <cellStyle name="쉼표 [0] 4 3 2 5 3 2 2" xfId="22923"/>
    <cellStyle name="쉼표 [0] 4 3 2 5 3 2 2 2" xfId="48275"/>
    <cellStyle name="쉼표 [0] 4 3 2 5 3 2 3" xfId="35603"/>
    <cellStyle name="쉼표 [0] 4 3 2 5 3 3" xfId="16587"/>
    <cellStyle name="쉼표 [0] 4 3 2 5 3 3 2" xfId="41939"/>
    <cellStyle name="쉼표 [0] 4 3 2 5 3 4" xfId="29267"/>
    <cellStyle name="쉼표 [0] 4 3 2 5 3 5" xfId="52157"/>
    <cellStyle name="쉼표 [0] 4 3 2 5 4" xfId="7138"/>
    <cellStyle name="쉼표 [0] 4 3 2 5 4 2" xfId="19811"/>
    <cellStyle name="쉼표 [0] 4 3 2 5 4 2 2" xfId="45163"/>
    <cellStyle name="쉼표 [0] 4 3 2 5 4 3" xfId="32491"/>
    <cellStyle name="쉼표 [0] 4 3 2 5 5" xfId="13475"/>
    <cellStyle name="쉼표 [0] 4 3 2 5 5 2" xfId="38827"/>
    <cellStyle name="쉼표 [0] 4 3 2 5 6" xfId="26155"/>
    <cellStyle name="쉼표 [0] 4 3 2 5 7" xfId="52158"/>
    <cellStyle name="쉼표 [0] 4 3 2 6" xfId="803"/>
    <cellStyle name="쉼표 [0] 4 3 2 6 2" xfId="804"/>
    <cellStyle name="쉼표 [0] 4 3 2 6 2 2" xfId="3915"/>
    <cellStyle name="쉼표 [0] 4 3 2 6 2 2 2" xfId="10251"/>
    <cellStyle name="쉼표 [0] 4 3 2 6 2 2 2 2" xfId="22924"/>
    <cellStyle name="쉼표 [0] 4 3 2 6 2 2 2 2 2" xfId="48276"/>
    <cellStyle name="쉼표 [0] 4 3 2 6 2 2 2 3" xfId="35604"/>
    <cellStyle name="쉼표 [0] 4 3 2 6 2 2 3" xfId="16588"/>
    <cellStyle name="쉼표 [0] 4 3 2 6 2 2 3 2" xfId="41940"/>
    <cellStyle name="쉼표 [0] 4 3 2 6 2 2 4" xfId="29268"/>
    <cellStyle name="쉼표 [0] 4 3 2 6 2 2 5" xfId="52159"/>
    <cellStyle name="쉼표 [0] 4 3 2 6 2 3" xfId="7141"/>
    <cellStyle name="쉼표 [0] 4 3 2 6 2 3 2" xfId="19814"/>
    <cellStyle name="쉼표 [0] 4 3 2 6 2 3 2 2" xfId="45166"/>
    <cellStyle name="쉼표 [0] 4 3 2 6 2 3 3" xfId="32494"/>
    <cellStyle name="쉼표 [0] 4 3 2 6 2 4" xfId="13478"/>
    <cellStyle name="쉼표 [0] 4 3 2 6 2 4 2" xfId="38830"/>
    <cellStyle name="쉼표 [0] 4 3 2 6 2 5" xfId="26158"/>
    <cellStyle name="쉼표 [0] 4 3 2 6 2 6" xfId="52160"/>
    <cellStyle name="쉼표 [0] 4 3 2 6 3" xfId="3916"/>
    <cellStyle name="쉼표 [0] 4 3 2 6 3 2" xfId="10252"/>
    <cellStyle name="쉼표 [0] 4 3 2 6 3 2 2" xfId="22925"/>
    <cellStyle name="쉼표 [0] 4 3 2 6 3 2 2 2" xfId="48277"/>
    <cellStyle name="쉼표 [0] 4 3 2 6 3 2 3" xfId="35605"/>
    <cellStyle name="쉼표 [0] 4 3 2 6 3 3" xfId="16589"/>
    <cellStyle name="쉼표 [0] 4 3 2 6 3 3 2" xfId="41941"/>
    <cellStyle name="쉼표 [0] 4 3 2 6 3 4" xfId="29269"/>
    <cellStyle name="쉼표 [0] 4 3 2 6 3 5" xfId="52161"/>
    <cellStyle name="쉼표 [0] 4 3 2 6 4" xfId="7140"/>
    <cellStyle name="쉼표 [0] 4 3 2 6 4 2" xfId="19813"/>
    <cellStyle name="쉼표 [0] 4 3 2 6 4 2 2" xfId="45165"/>
    <cellStyle name="쉼표 [0] 4 3 2 6 4 3" xfId="32493"/>
    <cellStyle name="쉼표 [0] 4 3 2 6 5" xfId="13477"/>
    <cellStyle name="쉼표 [0] 4 3 2 6 5 2" xfId="38829"/>
    <cellStyle name="쉼표 [0] 4 3 2 6 6" xfId="26157"/>
    <cellStyle name="쉼표 [0] 4 3 2 6 7" xfId="52162"/>
    <cellStyle name="쉼표 [0] 4 3 2 7" xfId="805"/>
    <cellStyle name="쉼표 [0] 4 3 2 7 2" xfId="806"/>
    <cellStyle name="쉼표 [0] 4 3 2 7 2 2" xfId="3917"/>
    <cellStyle name="쉼표 [0] 4 3 2 7 2 2 2" xfId="10253"/>
    <cellStyle name="쉼표 [0] 4 3 2 7 2 2 2 2" xfId="22926"/>
    <cellStyle name="쉼표 [0] 4 3 2 7 2 2 2 2 2" xfId="48278"/>
    <cellStyle name="쉼표 [0] 4 3 2 7 2 2 2 3" xfId="35606"/>
    <cellStyle name="쉼표 [0] 4 3 2 7 2 2 3" xfId="16590"/>
    <cellStyle name="쉼표 [0] 4 3 2 7 2 2 3 2" xfId="41942"/>
    <cellStyle name="쉼표 [0] 4 3 2 7 2 2 4" xfId="29270"/>
    <cellStyle name="쉼표 [0] 4 3 2 7 2 2 5" xfId="52163"/>
    <cellStyle name="쉼표 [0] 4 3 2 7 2 3" xfId="7143"/>
    <cellStyle name="쉼표 [0] 4 3 2 7 2 3 2" xfId="19816"/>
    <cellStyle name="쉼표 [0] 4 3 2 7 2 3 2 2" xfId="45168"/>
    <cellStyle name="쉼표 [0] 4 3 2 7 2 3 3" xfId="32496"/>
    <cellStyle name="쉼표 [0] 4 3 2 7 2 4" xfId="13480"/>
    <cellStyle name="쉼표 [0] 4 3 2 7 2 4 2" xfId="38832"/>
    <cellStyle name="쉼표 [0] 4 3 2 7 2 5" xfId="26160"/>
    <cellStyle name="쉼표 [0] 4 3 2 7 2 6" xfId="52164"/>
    <cellStyle name="쉼표 [0] 4 3 2 7 3" xfId="3918"/>
    <cellStyle name="쉼표 [0] 4 3 2 7 3 2" xfId="10254"/>
    <cellStyle name="쉼표 [0] 4 3 2 7 3 2 2" xfId="22927"/>
    <cellStyle name="쉼표 [0] 4 3 2 7 3 2 2 2" xfId="48279"/>
    <cellStyle name="쉼표 [0] 4 3 2 7 3 2 3" xfId="35607"/>
    <cellStyle name="쉼표 [0] 4 3 2 7 3 3" xfId="16591"/>
    <cellStyle name="쉼표 [0] 4 3 2 7 3 3 2" xfId="41943"/>
    <cellStyle name="쉼표 [0] 4 3 2 7 3 4" xfId="29271"/>
    <cellStyle name="쉼표 [0] 4 3 2 7 3 5" xfId="52165"/>
    <cellStyle name="쉼표 [0] 4 3 2 7 4" xfId="7142"/>
    <cellStyle name="쉼표 [0] 4 3 2 7 4 2" xfId="19815"/>
    <cellStyle name="쉼표 [0] 4 3 2 7 4 2 2" xfId="45167"/>
    <cellStyle name="쉼표 [0] 4 3 2 7 4 3" xfId="32495"/>
    <cellStyle name="쉼표 [0] 4 3 2 7 5" xfId="13479"/>
    <cellStyle name="쉼표 [0] 4 3 2 7 5 2" xfId="38831"/>
    <cellStyle name="쉼표 [0] 4 3 2 7 6" xfId="26159"/>
    <cellStyle name="쉼표 [0] 4 3 2 7 7" xfId="52166"/>
    <cellStyle name="쉼표 [0] 4 3 2 8" xfId="807"/>
    <cellStyle name="쉼표 [0] 4 3 2 8 2" xfId="808"/>
    <cellStyle name="쉼표 [0] 4 3 2 8 2 2" xfId="3919"/>
    <cellStyle name="쉼표 [0] 4 3 2 8 2 2 2" xfId="10255"/>
    <cellStyle name="쉼표 [0] 4 3 2 8 2 2 2 2" xfId="22928"/>
    <cellStyle name="쉼표 [0] 4 3 2 8 2 2 2 2 2" xfId="48280"/>
    <cellStyle name="쉼표 [0] 4 3 2 8 2 2 2 3" xfId="35608"/>
    <cellStyle name="쉼표 [0] 4 3 2 8 2 2 3" xfId="16592"/>
    <cellStyle name="쉼표 [0] 4 3 2 8 2 2 3 2" xfId="41944"/>
    <cellStyle name="쉼표 [0] 4 3 2 8 2 2 4" xfId="29272"/>
    <cellStyle name="쉼표 [0] 4 3 2 8 2 2 5" xfId="52167"/>
    <cellStyle name="쉼표 [0] 4 3 2 8 2 3" xfId="7145"/>
    <cellStyle name="쉼표 [0] 4 3 2 8 2 3 2" xfId="19818"/>
    <cellStyle name="쉼표 [0] 4 3 2 8 2 3 2 2" xfId="45170"/>
    <cellStyle name="쉼표 [0] 4 3 2 8 2 3 3" xfId="32498"/>
    <cellStyle name="쉼표 [0] 4 3 2 8 2 4" xfId="13482"/>
    <cellStyle name="쉼표 [0] 4 3 2 8 2 4 2" xfId="38834"/>
    <cellStyle name="쉼표 [0] 4 3 2 8 2 5" xfId="26162"/>
    <cellStyle name="쉼표 [0] 4 3 2 8 2 6" xfId="52168"/>
    <cellStyle name="쉼표 [0] 4 3 2 8 3" xfId="3920"/>
    <cellStyle name="쉼표 [0] 4 3 2 8 3 2" xfId="10256"/>
    <cellStyle name="쉼표 [0] 4 3 2 8 3 2 2" xfId="22929"/>
    <cellStyle name="쉼표 [0] 4 3 2 8 3 2 2 2" xfId="48281"/>
    <cellStyle name="쉼표 [0] 4 3 2 8 3 2 3" xfId="35609"/>
    <cellStyle name="쉼표 [0] 4 3 2 8 3 3" xfId="16593"/>
    <cellStyle name="쉼표 [0] 4 3 2 8 3 3 2" xfId="41945"/>
    <cellStyle name="쉼표 [0] 4 3 2 8 3 4" xfId="29273"/>
    <cellStyle name="쉼표 [0] 4 3 2 8 3 5" xfId="52169"/>
    <cellStyle name="쉼표 [0] 4 3 2 8 4" xfId="7144"/>
    <cellStyle name="쉼표 [0] 4 3 2 8 4 2" xfId="19817"/>
    <cellStyle name="쉼표 [0] 4 3 2 8 4 2 2" xfId="45169"/>
    <cellStyle name="쉼표 [0] 4 3 2 8 4 3" xfId="32497"/>
    <cellStyle name="쉼표 [0] 4 3 2 8 5" xfId="13481"/>
    <cellStyle name="쉼표 [0] 4 3 2 8 5 2" xfId="38833"/>
    <cellStyle name="쉼표 [0] 4 3 2 8 6" xfId="26161"/>
    <cellStyle name="쉼표 [0] 4 3 2 8 7" xfId="52170"/>
    <cellStyle name="쉼표 [0] 4 3 2 9" xfId="809"/>
    <cellStyle name="쉼표 [0] 4 3 2 9 2" xfId="810"/>
    <cellStyle name="쉼표 [0] 4 3 2 9 2 2" xfId="3921"/>
    <cellStyle name="쉼표 [0] 4 3 2 9 2 2 2" xfId="10257"/>
    <cellStyle name="쉼표 [0] 4 3 2 9 2 2 2 2" xfId="22930"/>
    <cellStyle name="쉼표 [0] 4 3 2 9 2 2 2 2 2" xfId="48282"/>
    <cellStyle name="쉼표 [0] 4 3 2 9 2 2 2 3" xfId="35610"/>
    <cellStyle name="쉼표 [0] 4 3 2 9 2 2 3" xfId="16594"/>
    <cellStyle name="쉼표 [0] 4 3 2 9 2 2 3 2" xfId="41946"/>
    <cellStyle name="쉼표 [0] 4 3 2 9 2 2 4" xfId="29274"/>
    <cellStyle name="쉼표 [0] 4 3 2 9 2 2 5" xfId="52171"/>
    <cellStyle name="쉼표 [0] 4 3 2 9 2 3" xfId="7147"/>
    <cellStyle name="쉼표 [0] 4 3 2 9 2 3 2" xfId="19820"/>
    <cellStyle name="쉼표 [0] 4 3 2 9 2 3 2 2" xfId="45172"/>
    <cellStyle name="쉼표 [0] 4 3 2 9 2 3 3" xfId="32500"/>
    <cellStyle name="쉼표 [0] 4 3 2 9 2 4" xfId="13484"/>
    <cellStyle name="쉼표 [0] 4 3 2 9 2 4 2" xfId="38836"/>
    <cellStyle name="쉼표 [0] 4 3 2 9 2 5" xfId="26164"/>
    <cellStyle name="쉼표 [0] 4 3 2 9 2 6" xfId="52172"/>
    <cellStyle name="쉼표 [0] 4 3 2 9 3" xfId="3922"/>
    <cellStyle name="쉼표 [0] 4 3 2 9 3 2" xfId="10258"/>
    <cellStyle name="쉼표 [0] 4 3 2 9 3 2 2" xfId="22931"/>
    <cellStyle name="쉼표 [0] 4 3 2 9 3 2 2 2" xfId="48283"/>
    <cellStyle name="쉼표 [0] 4 3 2 9 3 2 3" xfId="35611"/>
    <cellStyle name="쉼표 [0] 4 3 2 9 3 3" xfId="16595"/>
    <cellStyle name="쉼표 [0] 4 3 2 9 3 3 2" xfId="41947"/>
    <cellStyle name="쉼표 [0] 4 3 2 9 3 4" xfId="29275"/>
    <cellStyle name="쉼표 [0] 4 3 2 9 3 5" xfId="52173"/>
    <cellStyle name="쉼표 [0] 4 3 2 9 4" xfId="7146"/>
    <cellStyle name="쉼표 [0] 4 3 2 9 4 2" xfId="19819"/>
    <cellStyle name="쉼표 [0] 4 3 2 9 4 2 2" xfId="45171"/>
    <cellStyle name="쉼표 [0] 4 3 2 9 4 3" xfId="32499"/>
    <cellStyle name="쉼표 [0] 4 3 2 9 5" xfId="13483"/>
    <cellStyle name="쉼표 [0] 4 3 2 9 5 2" xfId="38835"/>
    <cellStyle name="쉼표 [0] 4 3 2 9 6" xfId="26163"/>
    <cellStyle name="쉼표 [0] 4 3 2 9 7" xfId="52174"/>
    <cellStyle name="쉼표 [0] 4 3 20" xfId="811"/>
    <cellStyle name="쉼표 [0] 4 3 20 2" xfId="812"/>
    <cellStyle name="쉼표 [0] 4 3 20 2 2" xfId="3923"/>
    <cellStyle name="쉼표 [0] 4 3 20 2 2 2" xfId="10259"/>
    <cellStyle name="쉼표 [0] 4 3 20 2 2 2 2" xfId="22932"/>
    <cellStyle name="쉼표 [0] 4 3 20 2 2 2 2 2" xfId="48284"/>
    <cellStyle name="쉼표 [0] 4 3 20 2 2 2 3" xfId="35612"/>
    <cellStyle name="쉼표 [0] 4 3 20 2 2 3" xfId="16596"/>
    <cellStyle name="쉼표 [0] 4 3 20 2 2 3 2" xfId="41948"/>
    <cellStyle name="쉼표 [0] 4 3 20 2 2 4" xfId="29276"/>
    <cellStyle name="쉼표 [0] 4 3 20 2 2 5" xfId="52175"/>
    <cellStyle name="쉼표 [0] 4 3 20 2 3" xfId="7149"/>
    <cellStyle name="쉼표 [0] 4 3 20 2 3 2" xfId="19822"/>
    <cellStyle name="쉼표 [0] 4 3 20 2 3 2 2" xfId="45174"/>
    <cellStyle name="쉼표 [0] 4 3 20 2 3 3" xfId="32502"/>
    <cellStyle name="쉼표 [0] 4 3 20 2 4" xfId="13486"/>
    <cellStyle name="쉼표 [0] 4 3 20 2 4 2" xfId="38838"/>
    <cellStyle name="쉼표 [0] 4 3 20 2 5" xfId="26166"/>
    <cellStyle name="쉼표 [0] 4 3 20 2 6" xfId="52176"/>
    <cellStyle name="쉼표 [0] 4 3 20 3" xfId="3924"/>
    <cellStyle name="쉼표 [0] 4 3 20 3 2" xfId="10260"/>
    <cellStyle name="쉼표 [0] 4 3 20 3 2 2" xfId="22933"/>
    <cellStyle name="쉼표 [0] 4 3 20 3 2 2 2" xfId="48285"/>
    <cellStyle name="쉼표 [0] 4 3 20 3 2 3" xfId="35613"/>
    <cellStyle name="쉼표 [0] 4 3 20 3 3" xfId="16597"/>
    <cellStyle name="쉼표 [0] 4 3 20 3 3 2" xfId="41949"/>
    <cellStyle name="쉼표 [0] 4 3 20 3 4" xfId="29277"/>
    <cellStyle name="쉼표 [0] 4 3 20 3 5" xfId="52177"/>
    <cellStyle name="쉼표 [0] 4 3 20 4" xfId="7148"/>
    <cellStyle name="쉼표 [0] 4 3 20 4 2" xfId="19821"/>
    <cellStyle name="쉼표 [0] 4 3 20 4 2 2" xfId="45173"/>
    <cellStyle name="쉼표 [0] 4 3 20 4 3" xfId="32501"/>
    <cellStyle name="쉼표 [0] 4 3 20 5" xfId="13485"/>
    <cellStyle name="쉼표 [0] 4 3 20 5 2" xfId="38837"/>
    <cellStyle name="쉼표 [0] 4 3 20 6" xfId="26165"/>
    <cellStyle name="쉼표 [0] 4 3 20 7" xfId="52178"/>
    <cellStyle name="쉼표 [0] 4 3 21" xfId="813"/>
    <cellStyle name="쉼표 [0] 4 3 21 2" xfId="814"/>
    <cellStyle name="쉼표 [0] 4 3 21 2 2" xfId="3925"/>
    <cellStyle name="쉼표 [0] 4 3 21 2 2 2" xfId="10261"/>
    <cellStyle name="쉼표 [0] 4 3 21 2 2 2 2" xfId="22934"/>
    <cellStyle name="쉼표 [0] 4 3 21 2 2 2 2 2" xfId="48286"/>
    <cellStyle name="쉼표 [0] 4 3 21 2 2 2 3" xfId="35614"/>
    <cellStyle name="쉼표 [0] 4 3 21 2 2 3" xfId="16598"/>
    <cellStyle name="쉼표 [0] 4 3 21 2 2 3 2" xfId="41950"/>
    <cellStyle name="쉼표 [0] 4 3 21 2 2 4" xfId="29278"/>
    <cellStyle name="쉼표 [0] 4 3 21 2 2 5" xfId="52179"/>
    <cellStyle name="쉼표 [0] 4 3 21 2 3" xfId="7151"/>
    <cellStyle name="쉼표 [0] 4 3 21 2 3 2" xfId="19824"/>
    <cellStyle name="쉼표 [0] 4 3 21 2 3 2 2" xfId="45176"/>
    <cellStyle name="쉼표 [0] 4 3 21 2 3 3" xfId="32504"/>
    <cellStyle name="쉼표 [0] 4 3 21 2 4" xfId="13488"/>
    <cellStyle name="쉼표 [0] 4 3 21 2 4 2" xfId="38840"/>
    <cellStyle name="쉼표 [0] 4 3 21 2 5" xfId="26168"/>
    <cellStyle name="쉼표 [0] 4 3 21 2 6" xfId="52180"/>
    <cellStyle name="쉼표 [0] 4 3 21 3" xfId="3926"/>
    <cellStyle name="쉼표 [0] 4 3 21 3 2" xfId="10262"/>
    <cellStyle name="쉼표 [0] 4 3 21 3 2 2" xfId="22935"/>
    <cellStyle name="쉼표 [0] 4 3 21 3 2 2 2" xfId="48287"/>
    <cellStyle name="쉼표 [0] 4 3 21 3 2 3" xfId="35615"/>
    <cellStyle name="쉼표 [0] 4 3 21 3 3" xfId="16599"/>
    <cellStyle name="쉼표 [0] 4 3 21 3 3 2" xfId="41951"/>
    <cellStyle name="쉼표 [0] 4 3 21 3 4" xfId="29279"/>
    <cellStyle name="쉼표 [0] 4 3 21 3 5" xfId="52181"/>
    <cellStyle name="쉼표 [0] 4 3 21 4" xfId="7150"/>
    <cellStyle name="쉼표 [0] 4 3 21 4 2" xfId="19823"/>
    <cellStyle name="쉼표 [0] 4 3 21 4 2 2" xfId="45175"/>
    <cellStyle name="쉼표 [0] 4 3 21 4 3" xfId="32503"/>
    <cellStyle name="쉼표 [0] 4 3 21 5" xfId="13487"/>
    <cellStyle name="쉼표 [0] 4 3 21 5 2" xfId="38839"/>
    <cellStyle name="쉼표 [0] 4 3 21 6" xfId="26167"/>
    <cellStyle name="쉼표 [0] 4 3 21 7" xfId="52182"/>
    <cellStyle name="쉼표 [0] 4 3 22" xfId="815"/>
    <cellStyle name="쉼표 [0] 4 3 22 2" xfId="816"/>
    <cellStyle name="쉼표 [0] 4 3 22 2 2" xfId="3927"/>
    <cellStyle name="쉼표 [0] 4 3 22 2 2 2" xfId="10263"/>
    <cellStyle name="쉼표 [0] 4 3 22 2 2 2 2" xfId="22936"/>
    <cellStyle name="쉼표 [0] 4 3 22 2 2 2 2 2" xfId="48288"/>
    <cellStyle name="쉼표 [0] 4 3 22 2 2 2 3" xfId="35616"/>
    <cellStyle name="쉼표 [0] 4 3 22 2 2 3" xfId="16600"/>
    <cellStyle name="쉼표 [0] 4 3 22 2 2 3 2" xfId="41952"/>
    <cellStyle name="쉼표 [0] 4 3 22 2 2 4" xfId="29280"/>
    <cellStyle name="쉼표 [0] 4 3 22 2 2 5" xfId="52183"/>
    <cellStyle name="쉼표 [0] 4 3 22 2 3" xfId="7153"/>
    <cellStyle name="쉼표 [0] 4 3 22 2 3 2" xfId="19826"/>
    <cellStyle name="쉼표 [0] 4 3 22 2 3 2 2" xfId="45178"/>
    <cellStyle name="쉼표 [0] 4 3 22 2 3 3" xfId="32506"/>
    <cellStyle name="쉼표 [0] 4 3 22 2 4" xfId="13490"/>
    <cellStyle name="쉼표 [0] 4 3 22 2 4 2" xfId="38842"/>
    <cellStyle name="쉼표 [0] 4 3 22 2 5" xfId="26170"/>
    <cellStyle name="쉼표 [0] 4 3 22 2 6" xfId="52184"/>
    <cellStyle name="쉼표 [0] 4 3 22 3" xfId="3928"/>
    <cellStyle name="쉼표 [0] 4 3 22 3 2" xfId="10264"/>
    <cellStyle name="쉼표 [0] 4 3 22 3 2 2" xfId="22937"/>
    <cellStyle name="쉼표 [0] 4 3 22 3 2 2 2" xfId="48289"/>
    <cellStyle name="쉼표 [0] 4 3 22 3 2 3" xfId="35617"/>
    <cellStyle name="쉼표 [0] 4 3 22 3 3" xfId="16601"/>
    <cellStyle name="쉼표 [0] 4 3 22 3 3 2" xfId="41953"/>
    <cellStyle name="쉼표 [0] 4 3 22 3 4" xfId="29281"/>
    <cellStyle name="쉼표 [0] 4 3 22 3 5" xfId="52185"/>
    <cellStyle name="쉼표 [0] 4 3 22 4" xfId="7152"/>
    <cellStyle name="쉼표 [0] 4 3 22 4 2" xfId="19825"/>
    <cellStyle name="쉼표 [0] 4 3 22 4 2 2" xfId="45177"/>
    <cellStyle name="쉼표 [0] 4 3 22 4 3" xfId="32505"/>
    <cellStyle name="쉼표 [0] 4 3 22 5" xfId="13489"/>
    <cellStyle name="쉼표 [0] 4 3 22 5 2" xfId="38841"/>
    <cellStyle name="쉼표 [0] 4 3 22 6" xfId="26169"/>
    <cellStyle name="쉼표 [0] 4 3 22 7" xfId="52186"/>
    <cellStyle name="쉼표 [0] 4 3 23" xfId="817"/>
    <cellStyle name="쉼표 [0] 4 3 23 2" xfId="818"/>
    <cellStyle name="쉼표 [0] 4 3 23 2 2" xfId="3929"/>
    <cellStyle name="쉼표 [0] 4 3 23 2 2 2" xfId="10265"/>
    <cellStyle name="쉼표 [0] 4 3 23 2 2 2 2" xfId="22938"/>
    <cellStyle name="쉼표 [0] 4 3 23 2 2 2 2 2" xfId="48290"/>
    <cellStyle name="쉼표 [0] 4 3 23 2 2 2 3" xfId="35618"/>
    <cellStyle name="쉼표 [0] 4 3 23 2 2 3" xfId="16602"/>
    <cellStyle name="쉼표 [0] 4 3 23 2 2 3 2" xfId="41954"/>
    <cellStyle name="쉼표 [0] 4 3 23 2 2 4" xfId="29282"/>
    <cellStyle name="쉼표 [0] 4 3 23 2 2 5" xfId="52187"/>
    <cellStyle name="쉼표 [0] 4 3 23 2 3" xfId="7155"/>
    <cellStyle name="쉼표 [0] 4 3 23 2 3 2" xfId="19828"/>
    <cellStyle name="쉼표 [0] 4 3 23 2 3 2 2" xfId="45180"/>
    <cellStyle name="쉼표 [0] 4 3 23 2 3 3" xfId="32508"/>
    <cellStyle name="쉼표 [0] 4 3 23 2 4" xfId="13492"/>
    <cellStyle name="쉼표 [0] 4 3 23 2 4 2" xfId="38844"/>
    <cellStyle name="쉼표 [0] 4 3 23 2 5" xfId="26172"/>
    <cellStyle name="쉼표 [0] 4 3 23 2 6" xfId="52188"/>
    <cellStyle name="쉼표 [0] 4 3 23 3" xfId="3930"/>
    <cellStyle name="쉼표 [0] 4 3 23 3 2" xfId="10266"/>
    <cellStyle name="쉼표 [0] 4 3 23 3 2 2" xfId="22939"/>
    <cellStyle name="쉼표 [0] 4 3 23 3 2 2 2" xfId="48291"/>
    <cellStyle name="쉼표 [0] 4 3 23 3 2 3" xfId="35619"/>
    <cellStyle name="쉼표 [0] 4 3 23 3 3" xfId="16603"/>
    <cellStyle name="쉼표 [0] 4 3 23 3 3 2" xfId="41955"/>
    <cellStyle name="쉼표 [0] 4 3 23 3 4" xfId="29283"/>
    <cellStyle name="쉼표 [0] 4 3 23 3 5" xfId="52189"/>
    <cellStyle name="쉼표 [0] 4 3 23 4" xfId="7154"/>
    <cellStyle name="쉼표 [0] 4 3 23 4 2" xfId="19827"/>
    <cellStyle name="쉼표 [0] 4 3 23 4 2 2" xfId="45179"/>
    <cellStyle name="쉼표 [0] 4 3 23 4 3" xfId="32507"/>
    <cellStyle name="쉼표 [0] 4 3 23 5" xfId="13491"/>
    <cellStyle name="쉼표 [0] 4 3 23 5 2" xfId="38843"/>
    <cellStyle name="쉼표 [0] 4 3 23 6" xfId="26171"/>
    <cellStyle name="쉼표 [0] 4 3 23 7" xfId="52190"/>
    <cellStyle name="쉼표 [0] 4 3 24" xfId="819"/>
    <cellStyle name="쉼표 [0] 4 3 24 2" xfId="820"/>
    <cellStyle name="쉼표 [0] 4 3 24 2 2" xfId="3931"/>
    <cellStyle name="쉼표 [0] 4 3 24 2 2 2" xfId="10267"/>
    <cellStyle name="쉼표 [0] 4 3 24 2 2 2 2" xfId="22940"/>
    <cellStyle name="쉼표 [0] 4 3 24 2 2 2 2 2" xfId="48292"/>
    <cellStyle name="쉼표 [0] 4 3 24 2 2 2 3" xfId="35620"/>
    <cellStyle name="쉼표 [0] 4 3 24 2 2 3" xfId="16604"/>
    <cellStyle name="쉼표 [0] 4 3 24 2 2 3 2" xfId="41956"/>
    <cellStyle name="쉼표 [0] 4 3 24 2 2 4" xfId="29284"/>
    <cellStyle name="쉼표 [0] 4 3 24 2 2 5" xfId="52191"/>
    <cellStyle name="쉼표 [0] 4 3 24 2 3" xfId="7157"/>
    <cellStyle name="쉼표 [0] 4 3 24 2 3 2" xfId="19830"/>
    <cellStyle name="쉼표 [0] 4 3 24 2 3 2 2" xfId="45182"/>
    <cellStyle name="쉼표 [0] 4 3 24 2 3 3" xfId="32510"/>
    <cellStyle name="쉼표 [0] 4 3 24 2 4" xfId="13494"/>
    <cellStyle name="쉼표 [0] 4 3 24 2 4 2" xfId="38846"/>
    <cellStyle name="쉼표 [0] 4 3 24 2 5" xfId="26174"/>
    <cellStyle name="쉼표 [0] 4 3 24 2 6" xfId="52192"/>
    <cellStyle name="쉼표 [0] 4 3 24 3" xfId="3932"/>
    <cellStyle name="쉼표 [0] 4 3 24 3 2" xfId="10268"/>
    <cellStyle name="쉼표 [0] 4 3 24 3 2 2" xfId="22941"/>
    <cellStyle name="쉼표 [0] 4 3 24 3 2 2 2" xfId="48293"/>
    <cellStyle name="쉼표 [0] 4 3 24 3 2 3" xfId="35621"/>
    <cellStyle name="쉼표 [0] 4 3 24 3 3" xfId="16605"/>
    <cellStyle name="쉼표 [0] 4 3 24 3 3 2" xfId="41957"/>
    <cellStyle name="쉼표 [0] 4 3 24 3 4" xfId="29285"/>
    <cellStyle name="쉼표 [0] 4 3 24 3 5" xfId="52193"/>
    <cellStyle name="쉼표 [0] 4 3 24 4" xfId="7156"/>
    <cellStyle name="쉼표 [0] 4 3 24 4 2" xfId="19829"/>
    <cellStyle name="쉼표 [0] 4 3 24 4 2 2" xfId="45181"/>
    <cellStyle name="쉼표 [0] 4 3 24 4 3" xfId="32509"/>
    <cellStyle name="쉼표 [0] 4 3 24 5" xfId="13493"/>
    <cellStyle name="쉼표 [0] 4 3 24 5 2" xfId="38845"/>
    <cellStyle name="쉼표 [0] 4 3 24 6" xfId="26173"/>
    <cellStyle name="쉼표 [0] 4 3 24 7" xfId="52194"/>
    <cellStyle name="쉼표 [0] 4 3 25" xfId="821"/>
    <cellStyle name="쉼표 [0] 4 3 25 2" xfId="822"/>
    <cellStyle name="쉼표 [0] 4 3 25 2 2" xfId="3933"/>
    <cellStyle name="쉼표 [0] 4 3 25 2 2 2" xfId="10269"/>
    <cellStyle name="쉼표 [0] 4 3 25 2 2 2 2" xfId="22942"/>
    <cellStyle name="쉼표 [0] 4 3 25 2 2 2 2 2" xfId="48294"/>
    <cellStyle name="쉼표 [0] 4 3 25 2 2 2 3" xfId="35622"/>
    <cellStyle name="쉼표 [0] 4 3 25 2 2 3" xfId="16606"/>
    <cellStyle name="쉼표 [0] 4 3 25 2 2 3 2" xfId="41958"/>
    <cellStyle name="쉼표 [0] 4 3 25 2 2 4" xfId="29286"/>
    <cellStyle name="쉼표 [0] 4 3 25 2 2 5" xfId="52195"/>
    <cellStyle name="쉼표 [0] 4 3 25 2 3" xfId="7159"/>
    <cellStyle name="쉼표 [0] 4 3 25 2 3 2" xfId="19832"/>
    <cellStyle name="쉼표 [0] 4 3 25 2 3 2 2" xfId="45184"/>
    <cellStyle name="쉼표 [0] 4 3 25 2 3 3" xfId="32512"/>
    <cellStyle name="쉼표 [0] 4 3 25 2 4" xfId="13496"/>
    <cellStyle name="쉼표 [0] 4 3 25 2 4 2" xfId="38848"/>
    <cellStyle name="쉼표 [0] 4 3 25 2 5" xfId="26176"/>
    <cellStyle name="쉼표 [0] 4 3 25 2 6" xfId="52196"/>
    <cellStyle name="쉼표 [0] 4 3 25 3" xfId="3934"/>
    <cellStyle name="쉼표 [0] 4 3 25 3 2" xfId="10270"/>
    <cellStyle name="쉼표 [0] 4 3 25 3 2 2" xfId="22943"/>
    <cellStyle name="쉼표 [0] 4 3 25 3 2 2 2" xfId="48295"/>
    <cellStyle name="쉼표 [0] 4 3 25 3 2 3" xfId="35623"/>
    <cellStyle name="쉼표 [0] 4 3 25 3 3" xfId="16607"/>
    <cellStyle name="쉼표 [0] 4 3 25 3 3 2" xfId="41959"/>
    <cellStyle name="쉼표 [0] 4 3 25 3 4" xfId="29287"/>
    <cellStyle name="쉼표 [0] 4 3 25 3 5" xfId="52197"/>
    <cellStyle name="쉼표 [0] 4 3 25 4" xfId="7158"/>
    <cellStyle name="쉼표 [0] 4 3 25 4 2" xfId="19831"/>
    <cellStyle name="쉼표 [0] 4 3 25 4 2 2" xfId="45183"/>
    <cellStyle name="쉼표 [0] 4 3 25 4 3" xfId="32511"/>
    <cellStyle name="쉼표 [0] 4 3 25 5" xfId="13495"/>
    <cellStyle name="쉼표 [0] 4 3 25 5 2" xfId="38847"/>
    <cellStyle name="쉼표 [0] 4 3 25 6" xfId="26175"/>
    <cellStyle name="쉼표 [0] 4 3 25 7" xfId="52198"/>
    <cellStyle name="쉼표 [0] 4 3 26" xfId="823"/>
    <cellStyle name="쉼표 [0] 4 3 26 2" xfId="824"/>
    <cellStyle name="쉼표 [0] 4 3 26 2 2" xfId="3935"/>
    <cellStyle name="쉼표 [0] 4 3 26 2 2 2" xfId="10271"/>
    <cellStyle name="쉼표 [0] 4 3 26 2 2 2 2" xfId="22944"/>
    <cellStyle name="쉼표 [0] 4 3 26 2 2 2 2 2" xfId="48296"/>
    <cellStyle name="쉼표 [0] 4 3 26 2 2 2 3" xfId="35624"/>
    <cellStyle name="쉼표 [0] 4 3 26 2 2 3" xfId="16608"/>
    <cellStyle name="쉼표 [0] 4 3 26 2 2 3 2" xfId="41960"/>
    <cellStyle name="쉼표 [0] 4 3 26 2 2 4" xfId="29288"/>
    <cellStyle name="쉼표 [0] 4 3 26 2 2 5" xfId="52199"/>
    <cellStyle name="쉼표 [0] 4 3 26 2 3" xfId="7161"/>
    <cellStyle name="쉼표 [0] 4 3 26 2 3 2" xfId="19834"/>
    <cellStyle name="쉼표 [0] 4 3 26 2 3 2 2" xfId="45186"/>
    <cellStyle name="쉼표 [0] 4 3 26 2 3 3" xfId="32514"/>
    <cellStyle name="쉼표 [0] 4 3 26 2 4" xfId="13498"/>
    <cellStyle name="쉼표 [0] 4 3 26 2 4 2" xfId="38850"/>
    <cellStyle name="쉼표 [0] 4 3 26 2 5" xfId="26178"/>
    <cellStyle name="쉼표 [0] 4 3 26 2 6" xfId="52200"/>
    <cellStyle name="쉼표 [0] 4 3 26 3" xfId="3936"/>
    <cellStyle name="쉼표 [0] 4 3 26 3 2" xfId="10272"/>
    <cellStyle name="쉼표 [0] 4 3 26 3 2 2" xfId="22945"/>
    <cellStyle name="쉼표 [0] 4 3 26 3 2 2 2" xfId="48297"/>
    <cellStyle name="쉼표 [0] 4 3 26 3 2 3" xfId="35625"/>
    <cellStyle name="쉼표 [0] 4 3 26 3 3" xfId="16609"/>
    <cellStyle name="쉼표 [0] 4 3 26 3 3 2" xfId="41961"/>
    <cellStyle name="쉼표 [0] 4 3 26 3 4" xfId="29289"/>
    <cellStyle name="쉼표 [0] 4 3 26 3 5" xfId="52201"/>
    <cellStyle name="쉼표 [0] 4 3 26 4" xfId="7160"/>
    <cellStyle name="쉼표 [0] 4 3 26 4 2" xfId="19833"/>
    <cellStyle name="쉼표 [0] 4 3 26 4 2 2" xfId="45185"/>
    <cellStyle name="쉼표 [0] 4 3 26 4 3" xfId="32513"/>
    <cellStyle name="쉼표 [0] 4 3 26 5" xfId="13497"/>
    <cellStyle name="쉼표 [0] 4 3 26 5 2" xfId="38849"/>
    <cellStyle name="쉼표 [0] 4 3 26 6" xfId="26177"/>
    <cellStyle name="쉼표 [0] 4 3 26 7" xfId="52202"/>
    <cellStyle name="쉼표 [0] 4 3 27" xfId="825"/>
    <cellStyle name="쉼표 [0] 4 3 27 2" xfId="826"/>
    <cellStyle name="쉼표 [0] 4 3 27 2 2" xfId="3937"/>
    <cellStyle name="쉼표 [0] 4 3 27 2 2 2" xfId="10273"/>
    <cellStyle name="쉼표 [0] 4 3 27 2 2 2 2" xfId="22946"/>
    <cellStyle name="쉼표 [0] 4 3 27 2 2 2 2 2" xfId="48298"/>
    <cellStyle name="쉼표 [0] 4 3 27 2 2 2 3" xfId="35626"/>
    <cellStyle name="쉼표 [0] 4 3 27 2 2 3" xfId="16610"/>
    <cellStyle name="쉼표 [0] 4 3 27 2 2 3 2" xfId="41962"/>
    <cellStyle name="쉼표 [0] 4 3 27 2 2 4" xfId="29290"/>
    <cellStyle name="쉼표 [0] 4 3 27 2 2 5" xfId="52203"/>
    <cellStyle name="쉼표 [0] 4 3 27 2 3" xfId="7163"/>
    <cellStyle name="쉼표 [0] 4 3 27 2 3 2" xfId="19836"/>
    <cellStyle name="쉼표 [0] 4 3 27 2 3 2 2" xfId="45188"/>
    <cellStyle name="쉼표 [0] 4 3 27 2 3 3" xfId="32516"/>
    <cellStyle name="쉼표 [0] 4 3 27 2 4" xfId="13500"/>
    <cellStyle name="쉼표 [0] 4 3 27 2 4 2" xfId="38852"/>
    <cellStyle name="쉼표 [0] 4 3 27 2 5" xfId="26180"/>
    <cellStyle name="쉼표 [0] 4 3 27 2 6" xfId="52204"/>
    <cellStyle name="쉼표 [0] 4 3 27 3" xfId="3938"/>
    <cellStyle name="쉼표 [0] 4 3 27 3 2" xfId="10274"/>
    <cellStyle name="쉼표 [0] 4 3 27 3 2 2" xfId="22947"/>
    <cellStyle name="쉼표 [0] 4 3 27 3 2 2 2" xfId="48299"/>
    <cellStyle name="쉼표 [0] 4 3 27 3 2 3" xfId="35627"/>
    <cellStyle name="쉼표 [0] 4 3 27 3 3" xfId="16611"/>
    <cellStyle name="쉼표 [0] 4 3 27 3 3 2" xfId="41963"/>
    <cellStyle name="쉼표 [0] 4 3 27 3 4" xfId="29291"/>
    <cellStyle name="쉼표 [0] 4 3 27 3 5" xfId="52205"/>
    <cellStyle name="쉼표 [0] 4 3 27 4" xfId="7162"/>
    <cellStyle name="쉼표 [0] 4 3 27 4 2" xfId="19835"/>
    <cellStyle name="쉼표 [0] 4 3 27 4 2 2" xfId="45187"/>
    <cellStyle name="쉼표 [0] 4 3 27 4 3" xfId="32515"/>
    <cellStyle name="쉼표 [0] 4 3 27 5" xfId="13499"/>
    <cellStyle name="쉼표 [0] 4 3 27 5 2" xfId="38851"/>
    <cellStyle name="쉼표 [0] 4 3 27 6" xfId="26179"/>
    <cellStyle name="쉼표 [0] 4 3 27 7" xfId="52206"/>
    <cellStyle name="쉼표 [0] 4 3 28" xfId="827"/>
    <cellStyle name="쉼표 [0] 4 3 28 2" xfId="828"/>
    <cellStyle name="쉼표 [0] 4 3 28 2 2" xfId="3939"/>
    <cellStyle name="쉼표 [0] 4 3 28 2 2 2" xfId="10275"/>
    <cellStyle name="쉼표 [0] 4 3 28 2 2 2 2" xfId="22948"/>
    <cellStyle name="쉼표 [0] 4 3 28 2 2 2 2 2" xfId="48300"/>
    <cellStyle name="쉼표 [0] 4 3 28 2 2 2 3" xfId="35628"/>
    <cellStyle name="쉼표 [0] 4 3 28 2 2 3" xfId="16612"/>
    <cellStyle name="쉼표 [0] 4 3 28 2 2 3 2" xfId="41964"/>
    <cellStyle name="쉼표 [0] 4 3 28 2 2 4" xfId="29292"/>
    <cellStyle name="쉼표 [0] 4 3 28 2 2 5" xfId="52207"/>
    <cellStyle name="쉼표 [0] 4 3 28 2 3" xfId="7165"/>
    <cellStyle name="쉼표 [0] 4 3 28 2 3 2" xfId="19838"/>
    <cellStyle name="쉼표 [0] 4 3 28 2 3 2 2" xfId="45190"/>
    <cellStyle name="쉼표 [0] 4 3 28 2 3 3" xfId="32518"/>
    <cellStyle name="쉼표 [0] 4 3 28 2 4" xfId="13502"/>
    <cellStyle name="쉼표 [0] 4 3 28 2 4 2" xfId="38854"/>
    <cellStyle name="쉼표 [0] 4 3 28 2 5" xfId="26182"/>
    <cellStyle name="쉼표 [0] 4 3 28 2 6" xfId="52208"/>
    <cellStyle name="쉼표 [0] 4 3 28 3" xfId="3940"/>
    <cellStyle name="쉼표 [0] 4 3 28 3 2" xfId="10276"/>
    <cellStyle name="쉼표 [0] 4 3 28 3 2 2" xfId="22949"/>
    <cellStyle name="쉼표 [0] 4 3 28 3 2 2 2" xfId="48301"/>
    <cellStyle name="쉼표 [0] 4 3 28 3 2 3" xfId="35629"/>
    <cellStyle name="쉼표 [0] 4 3 28 3 3" xfId="16613"/>
    <cellStyle name="쉼표 [0] 4 3 28 3 3 2" xfId="41965"/>
    <cellStyle name="쉼표 [0] 4 3 28 3 4" xfId="29293"/>
    <cellStyle name="쉼표 [0] 4 3 28 3 5" xfId="52209"/>
    <cellStyle name="쉼표 [0] 4 3 28 4" xfId="7164"/>
    <cellStyle name="쉼표 [0] 4 3 28 4 2" xfId="19837"/>
    <cellStyle name="쉼표 [0] 4 3 28 4 2 2" xfId="45189"/>
    <cellStyle name="쉼표 [0] 4 3 28 4 3" xfId="32517"/>
    <cellStyle name="쉼표 [0] 4 3 28 5" xfId="13501"/>
    <cellStyle name="쉼표 [0] 4 3 28 5 2" xfId="38853"/>
    <cellStyle name="쉼표 [0] 4 3 28 6" xfId="26181"/>
    <cellStyle name="쉼표 [0] 4 3 28 7" xfId="52210"/>
    <cellStyle name="쉼표 [0] 4 3 29" xfId="829"/>
    <cellStyle name="쉼표 [0] 4 3 29 2" xfId="830"/>
    <cellStyle name="쉼표 [0] 4 3 29 2 2" xfId="3941"/>
    <cellStyle name="쉼표 [0] 4 3 29 2 2 2" xfId="10277"/>
    <cellStyle name="쉼표 [0] 4 3 29 2 2 2 2" xfId="22950"/>
    <cellStyle name="쉼표 [0] 4 3 29 2 2 2 2 2" xfId="48302"/>
    <cellStyle name="쉼표 [0] 4 3 29 2 2 2 3" xfId="35630"/>
    <cellStyle name="쉼표 [0] 4 3 29 2 2 3" xfId="16614"/>
    <cellStyle name="쉼표 [0] 4 3 29 2 2 3 2" xfId="41966"/>
    <cellStyle name="쉼표 [0] 4 3 29 2 2 4" xfId="29294"/>
    <cellStyle name="쉼표 [0] 4 3 29 2 2 5" xfId="52211"/>
    <cellStyle name="쉼표 [0] 4 3 29 2 3" xfId="7167"/>
    <cellStyle name="쉼표 [0] 4 3 29 2 3 2" xfId="19840"/>
    <cellStyle name="쉼표 [0] 4 3 29 2 3 2 2" xfId="45192"/>
    <cellStyle name="쉼표 [0] 4 3 29 2 3 3" xfId="32520"/>
    <cellStyle name="쉼표 [0] 4 3 29 2 4" xfId="13504"/>
    <cellStyle name="쉼표 [0] 4 3 29 2 4 2" xfId="38856"/>
    <cellStyle name="쉼표 [0] 4 3 29 2 5" xfId="26184"/>
    <cellStyle name="쉼표 [0] 4 3 29 2 6" xfId="52212"/>
    <cellStyle name="쉼표 [0] 4 3 29 3" xfId="3942"/>
    <cellStyle name="쉼표 [0] 4 3 29 3 2" xfId="10278"/>
    <cellStyle name="쉼표 [0] 4 3 29 3 2 2" xfId="22951"/>
    <cellStyle name="쉼표 [0] 4 3 29 3 2 2 2" xfId="48303"/>
    <cellStyle name="쉼표 [0] 4 3 29 3 2 3" xfId="35631"/>
    <cellStyle name="쉼표 [0] 4 3 29 3 3" xfId="16615"/>
    <cellStyle name="쉼표 [0] 4 3 29 3 3 2" xfId="41967"/>
    <cellStyle name="쉼표 [0] 4 3 29 3 4" xfId="29295"/>
    <cellStyle name="쉼표 [0] 4 3 29 3 5" xfId="52213"/>
    <cellStyle name="쉼표 [0] 4 3 29 4" xfId="7166"/>
    <cellStyle name="쉼표 [0] 4 3 29 4 2" xfId="19839"/>
    <cellStyle name="쉼표 [0] 4 3 29 4 2 2" xfId="45191"/>
    <cellStyle name="쉼표 [0] 4 3 29 4 3" xfId="32519"/>
    <cellStyle name="쉼표 [0] 4 3 29 5" xfId="13503"/>
    <cellStyle name="쉼표 [0] 4 3 29 5 2" xfId="38855"/>
    <cellStyle name="쉼표 [0] 4 3 29 6" xfId="26183"/>
    <cellStyle name="쉼표 [0] 4 3 29 7" xfId="52214"/>
    <cellStyle name="쉼표 [0] 4 3 3" xfId="67"/>
    <cellStyle name="쉼표 [0] 4 3 3 10" xfId="831"/>
    <cellStyle name="쉼표 [0] 4 3 3 10 2" xfId="832"/>
    <cellStyle name="쉼표 [0] 4 3 3 10 2 2" xfId="3943"/>
    <cellStyle name="쉼표 [0] 4 3 3 10 2 2 2" xfId="10279"/>
    <cellStyle name="쉼표 [0] 4 3 3 10 2 2 2 2" xfId="22952"/>
    <cellStyle name="쉼표 [0] 4 3 3 10 2 2 2 2 2" xfId="48304"/>
    <cellStyle name="쉼표 [0] 4 3 3 10 2 2 2 3" xfId="35632"/>
    <cellStyle name="쉼표 [0] 4 3 3 10 2 2 3" xfId="16616"/>
    <cellStyle name="쉼표 [0] 4 3 3 10 2 2 3 2" xfId="41968"/>
    <cellStyle name="쉼표 [0] 4 3 3 10 2 2 4" xfId="29296"/>
    <cellStyle name="쉼표 [0] 4 3 3 10 2 2 5" xfId="52215"/>
    <cellStyle name="쉼표 [0] 4 3 3 10 2 3" xfId="7169"/>
    <cellStyle name="쉼표 [0] 4 3 3 10 2 3 2" xfId="19842"/>
    <cellStyle name="쉼표 [0] 4 3 3 10 2 3 2 2" xfId="45194"/>
    <cellStyle name="쉼표 [0] 4 3 3 10 2 3 3" xfId="32522"/>
    <cellStyle name="쉼표 [0] 4 3 3 10 2 4" xfId="13506"/>
    <cellStyle name="쉼표 [0] 4 3 3 10 2 4 2" xfId="38858"/>
    <cellStyle name="쉼표 [0] 4 3 3 10 2 5" xfId="26186"/>
    <cellStyle name="쉼표 [0] 4 3 3 10 2 6" xfId="52216"/>
    <cellStyle name="쉼표 [0] 4 3 3 10 3" xfId="3944"/>
    <cellStyle name="쉼표 [0] 4 3 3 10 3 2" xfId="10280"/>
    <cellStyle name="쉼표 [0] 4 3 3 10 3 2 2" xfId="22953"/>
    <cellStyle name="쉼표 [0] 4 3 3 10 3 2 2 2" xfId="48305"/>
    <cellStyle name="쉼표 [0] 4 3 3 10 3 2 3" xfId="35633"/>
    <cellStyle name="쉼표 [0] 4 3 3 10 3 3" xfId="16617"/>
    <cellStyle name="쉼표 [0] 4 3 3 10 3 3 2" xfId="41969"/>
    <cellStyle name="쉼표 [0] 4 3 3 10 3 4" xfId="29297"/>
    <cellStyle name="쉼표 [0] 4 3 3 10 3 5" xfId="52217"/>
    <cellStyle name="쉼표 [0] 4 3 3 10 4" xfId="7168"/>
    <cellStyle name="쉼표 [0] 4 3 3 10 4 2" xfId="19841"/>
    <cellStyle name="쉼표 [0] 4 3 3 10 4 2 2" xfId="45193"/>
    <cellStyle name="쉼표 [0] 4 3 3 10 4 3" xfId="32521"/>
    <cellStyle name="쉼표 [0] 4 3 3 10 5" xfId="13505"/>
    <cellStyle name="쉼표 [0] 4 3 3 10 5 2" xfId="38857"/>
    <cellStyle name="쉼표 [0] 4 3 3 10 6" xfId="26185"/>
    <cellStyle name="쉼표 [0] 4 3 3 10 7" xfId="52218"/>
    <cellStyle name="쉼표 [0] 4 3 3 11" xfId="833"/>
    <cellStyle name="쉼표 [0] 4 3 3 11 2" xfId="834"/>
    <cellStyle name="쉼표 [0] 4 3 3 11 2 2" xfId="3945"/>
    <cellStyle name="쉼표 [0] 4 3 3 11 2 2 2" xfId="10281"/>
    <cellStyle name="쉼표 [0] 4 3 3 11 2 2 2 2" xfId="22954"/>
    <cellStyle name="쉼표 [0] 4 3 3 11 2 2 2 2 2" xfId="48306"/>
    <cellStyle name="쉼표 [0] 4 3 3 11 2 2 2 3" xfId="35634"/>
    <cellStyle name="쉼표 [0] 4 3 3 11 2 2 3" xfId="16618"/>
    <cellStyle name="쉼표 [0] 4 3 3 11 2 2 3 2" xfId="41970"/>
    <cellStyle name="쉼표 [0] 4 3 3 11 2 2 4" xfId="29298"/>
    <cellStyle name="쉼표 [0] 4 3 3 11 2 2 5" xfId="52219"/>
    <cellStyle name="쉼표 [0] 4 3 3 11 2 3" xfId="7171"/>
    <cellStyle name="쉼표 [0] 4 3 3 11 2 3 2" xfId="19844"/>
    <cellStyle name="쉼표 [0] 4 3 3 11 2 3 2 2" xfId="45196"/>
    <cellStyle name="쉼표 [0] 4 3 3 11 2 3 3" xfId="32524"/>
    <cellStyle name="쉼표 [0] 4 3 3 11 2 4" xfId="13508"/>
    <cellStyle name="쉼표 [0] 4 3 3 11 2 4 2" xfId="38860"/>
    <cellStyle name="쉼표 [0] 4 3 3 11 2 5" xfId="26188"/>
    <cellStyle name="쉼표 [0] 4 3 3 11 2 6" xfId="52220"/>
    <cellStyle name="쉼표 [0] 4 3 3 11 3" xfId="3946"/>
    <cellStyle name="쉼표 [0] 4 3 3 11 3 2" xfId="10282"/>
    <cellStyle name="쉼표 [0] 4 3 3 11 3 2 2" xfId="22955"/>
    <cellStyle name="쉼표 [0] 4 3 3 11 3 2 2 2" xfId="48307"/>
    <cellStyle name="쉼표 [0] 4 3 3 11 3 2 3" xfId="35635"/>
    <cellStyle name="쉼표 [0] 4 3 3 11 3 3" xfId="16619"/>
    <cellStyle name="쉼표 [0] 4 3 3 11 3 3 2" xfId="41971"/>
    <cellStyle name="쉼표 [0] 4 3 3 11 3 4" xfId="29299"/>
    <cellStyle name="쉼표 [0] 4 3 3 11 3 5" xfId="52221"/>
    <cellStyle name="쉼표 [0] 4 3 3 11 4" xfId="7170"/>
    <cellStyle name="쉼표 [0] 4 3 3 11 4 2" xfId="19843"/>
    <cellStyle name="쉼표 [0] 4 3 3 11 4 2 2" xfId="45195"/>
    <cellStyle name="쉼표 [0] 4 3 3 11 4 3" xfId="32523"/>
    <cellStyle name="쉼표 [0] 4 3 3 11 5" xfId="13507"/>
    <cellStyle name="쉼표 [0] 4 3 3 11 5 2" xfId="38859"/>
    <cellStyle name="쉼표 [0] 4 3 3 11 6" xfId="26187"/>
    <cellStyle name="쉼표 [0] 4 3 3 11 7" xfId="52222"/>
    <cellStyle name="쉼표 [0] 4 3 3 12" xfId="835"/>
    <cellStyle name="쉼표 [0] 4 3 3 12 2" xfId="836"/>
    <cellStyle name="쉼표 [0] 4 3 3 12 2 2" xfId="3947"/>
    <cellStyle name="쉼표 [0] 4 3 3 12 2 2 2" xfId="10283"/>
    <cellStyle name="쉼표 [0] 4 3 3 12 2 2 2 2" xfId="22956"/>
    <cellStyle name="쉼표 [0] 4 3 3 12 2 2 2 2 2" xfId="48308"/>
    <cellStyle name="쉼표 [0] 4 3 3 12 2 2 2 3" xfId="35636"/>
    <cellStyle name="쉼표 [0] 4 3 3 12 2 2 3" xfId="16620"/>
    <cellStyle name="쉼표 [0] 4 3 3 12 2 2 3 2" xfId="41972"/>
    <cellStyle name="쉼표 [0] 4 3 3 12 2 2 4" xfId="29300"/>
    <cellStyle name="쉼표 [0] 4 3 3 12 2 2 5" xfId="52223"/>
    <cellStyle name="쉼표 [0] 4 3 3 12 2 3" xfId="7173"/>
    <cellStyle name="쉼표 [0] 4 3 3 12 2 3 2" xfId="19846"/>
    <cellStyle name="쉼표 [0] 4 3 3 12 2 3 2 2" xfId="45198"/>
    <cellStyle name="쉼표 [0] 4 3 3 12 2 3 3" xfId="32526"/>
    <cellStyle name="쉼표 [0] 4 3 3 12 2 4" xfId="13510"/>
    <cellStyle name="쉼표 [0] 4 3 3 12 2 4 2" xfId="38862"/>
    <cellStyle name="쉼표 [0] 4 3 3 12 2 5" xfId="26190"/>
    <cellStyle name="쉼표 [0] 4 3 3 12 2 6" xfId="52224"/>
    <cellStyle name="쉼표 [0] 4 3 3 12 3" xfId="3948"/>
    <cellStyle name="쉼표 [0] 4 3 3 12 3 2" xfId="10284"/>
    <cellStyle name="쉼표 [0] 4 3 3 12 3 2 2" xfId="22957"/>
    <cellStyle name="쉼표 [0] 4 3 3 12 3 2 2 2" xfId="48309"/>
    <cellStyle name="쉼표 [0] 4 3 3 12 3 2 3" xfId="35637"/>
    <cellStyle name="쉼표 [0] 4 3 3 12 3 3" xfId="16621"/>
    <cellStyle name="쉼표 [0] 4 3 3 12 3 3 2" xfId="41973"/>
    <cellStyle name="쉼표 [0] 4 3 3 12 3 4" xfId="29301"/>
    <cellStyle name="쉼표 [0] 4 3 3 12 3 5" xfId="52225"/>
    <cellStyle name="쉼표 [0] 4 3 3 12 4" xfId="7172"/>
    <cellStyle name="쉼표 [0] 4 3 3 12 4 2" xfId="19845"/>
    <cellStyle name="쉼표 [0] 4 3 3 12 4 2 2" xfId="45197"/>
    <cellStyle name="쉼표 [0] 4 3 3 12 4 3" xfId="32525"/>
    <cellStyle name="쉼표 [0] 4 3 3 12 5" xfId="13509"/>
    <cellStyle name="쉼표 [0] 4 3 3 12 5 2" xfId="38861"/>
    <cellStyle name="쉼표 [0] 4 3 3 12 6" xfId="26189"/>
    <cellStyle name="쉼표 [0] 4 3 3 12 7" xfId="52226"/>
    <cellStyle name="쉼표 [0] 4 3 3 13" xfId="837"/>
    <cellStyle name="쉼표 [0] 4 3 3 13 2" xfId="838"/>
    <cellStyle name="쉼표 [0] 4 3 3 13 2 2" xfId="3949"/>
    <cellStyle name="쉼표 [0] 4 3 3 13 2 2 2" xfId="10285"/>
    <cellStyle name="쉼표 [0] 4 3 3 13 2 2 2 2" xfId="22958"/>
    <cellStyle name="쉼표 [0] 4 3 3 13 2 2 2 2 2" xfId="48310"/>
    <cellStyle name="쉼표 [0] 4 3 3 13 2 2 2 3" xfId="35638"/>
    <cellStyle name="쉼표 [0] 4 3 3 13 2 2 3" xfId="16622"/>
    <cellStyle name="쉼표 [0] 4 3 3 13 2 2 3 2" xfId="41974"/>
    <cellStyle name="쉼표 [0] 4 3 3 13 2 2 4" xfId="29302"/>
    <cellStyle name="쉼표 [0] 4 3 3 13 2 2 5" xfId="52227"/>
    <cellStyle name="쉼표 [0] 4 3 3 13 2 3" xfId="7175"/>
    <cellStyle name="쉼표 [0] 4 3 3 13 2 3 2" xfId="19848"/>
    <cellStyle name="쉼표 [0] 4 3 3 13 2 3 2 2" xfId="45200"/>
    <cellStyle name="쉼표 [0] 4 3 3 13 2 3 3" xfId="32528"/>
    <cellStyle name="쉼표 [0] 4 3 3 13 2 4" xfId="13512"/>
    <cellStyle name="쉼표 [0] 4 3 3 13 2 4 2" xfId="38864"/>
    <cellStyle name="쉼표 [0] 4 3 3 13 2 5" xfId="26192"/>
    <cellStyle name="쉼표 [0] 4 3 3 13 2 6" xfId="52228"/>
    <cellStyle name="쉼표 [0] 4 3 3 13 3" xfId="3950"/>
    <cellStyle name="쉼표 [0] 4 3 3 13 3 2" xfId="10286"/>
    <cellStyle name="쉼표 [0] 4 3 3 13 3 2 2" xfId="22959"/>
    <cellStyle name="쉼표 [0] 4 3 3 13 3 2 2 2" xfId="48311"/>
    <cellStyle name="쉼표 [0] 4 3 3 13 3 2 3" xfId="35639"/>
    <cellStyle name="쉼표 [0] 4 3 3 13 3 3" xfId="16623"/>
    <cellStyle name="쉼표 [0] 4 3 3 13 3 3 2" xfId="41975"/>
    <cellStyle name="쉼표 [0] 4 3 3 13 3 4" xfId="29303"/>
    <cellStyle name="쉼표 [0] 4 3 3 13 3 5" xfId="52229"/>
    <cellStyle name="쉼표 [0] 4 3 3 13 4" xfId="7174"/>
    <cellStyle name="쉼표 [0] 4 3 3 13 4 2" xfId="19847"/>
    <cellStyle name="쉼표 [0] 4 3 3 13 4 2 2" xfId="45199"/>
    <cellStyle name="쉼표 [0] 4 3 3 13 4 3" xfId="32527"/>
    <cellStyle name="쉼표 [0] 4 3 3 13 5" xfId="13511"/>
    <cellStyle name="쉼표 [0] 4 3 3 13 5 2" xfId="38863"/>
    <cellStyle name="쉼표 [0] 4 3 3 13 6" xfId="26191"/>
    <cellStyle name="쉼표 [0] 4 3 3 13 7" xfId="52230"/>
    <cellStyle name="쉼표 [0] 4 3 3 14" xfId="839"/>
    <cellStyle name="쉼표 [0] 4 3 3 14 2" xfId="840"/>
    <cellStyle name="쉼표 [0] 4 3 3 14 2 2" xfId="3951"/>
    <cellStyle name="쉼표 [0] 4 3 3 14 2 2 2" xfId="10287"/>
    <cellStyle name="쉼표 [0] 4 3 3 14 2 2 2 2" xfId="22960"/>
    <cellStyle name="쉼표 [0] 4 3 3 14 2 2 2 2 2" xfId="48312"/>
    <cellStyle name="쉼표 [0] 4 3 3 14 2 2 2 3" xfId="35640"/>
    <cellStyle name="쉼표 [0] 4 3 3 14 2 2 3" xfId="16624"/>
    <cellStyle name="쉼표 [0] 4 3 3 14 2 2 3 2" xfId="41976"/>
    <cellStyle name="쉼표 [0] 4 3 3 14 2 2 4" xfId="29304"/>
    <cellStyle name="쉼표 [0] 4 3 3 14 2 2 5" xfId="52231"/>
    <cellStyle name="쉼표 [0] 4 3 3 14 2 3" xfId="7177"/>
    <cellStyle name="쉼표 [0] 4 3 3 14 2 3 2" xfId="19850"/>
    <cellStyle name="쉼표 [0] 4 3 3 14 2 3 2 2" xfId="45202"/>
    <cellStyle name="쉼표 [0] 4 3 3 14 2 3 3" xfId="32530"/>
    <cellStyle name="쉼표 [0] 4 3 3 14 2 4" xfId="13514"/>
    <cellStyle name="쉼표 [0] 4 3 3 14 2 4 2" xfId="38866"/>
    <cellStyle name="쉼표 [0] 4 3 3 14 2 5" xfId="26194"/>
    <cellStyle name="쉼표 [0] 4 3 3 14 2 6" xfId="52232"/>
    <cellStyle name="쉼표 [0] 4 3 3 14 3" xfId="3952"/>
    <cellStyle name="쉼표 [0] 4 3 3 14 3 2" xfId="10288"/>
    <cellStyle name="쉼표 [0] 4 3 3 14 3 2 2" xfId="22961"/>
    <cellStyle name="쉼표 [0] 4 3 3 14 3 2 2 2" xfId="48313"/>
    <cellStyle name="쉼표 [0] 4 3 3 14 3 2 3" xfId="35641"/>
    <cellStyle name="쉼표 [0] 4 3 3 14 3 3" xfId="16625"/>
    <cellStyle name="쉼표 [0] 4 3 3 14 3 3 2" xfId="41977"/>
    <cellStyle name="쉼표 [0] 4 3 3 14 3 4" xfId="29305"/>
    <cellStyle name="쉼표 [0] 4 3 3 14 3 5" xfId="52233"/>
    <cellStyle name="쉼표 [0] 4 3 3 14 4" xfId="7176"/>
    <cellStyle name="쉼표 [0] 4 3 3 14 4 2" xfId="19849"/>
    <cellStyle name="쉼표 [0] 4 3 3 14 4 2 2" xfId="45201"/>
    <cellStyle name="쉼표 [0] 4 3 3 14 4 3" xfId="32529"/>
    <cellStyle name="쉼표 [0] 4 3 3 14 5" xfId="13513"/>
    <cellStyle name="쉼표 [0] 4 3 3 14 5 2" xfId="38865"/>
    <cellStyle name="쉼표 [0] 4 3 3 14 6" xfId="26193"/>
    <cellStyle name="쉼표 [0] 4 3 3 14 7" xfId="52234"/>
    <cellStyle name="쉼표 [0] 4 3 3 15" xfId="841"/>
    <cellStyle name="쉼표 [0] 4 3 3 15 2" xfId="842"/>
    <cellStyle name="쉼표 [0] 4 3 3 15 2 2" xfId="3953"/>
    <cellStyle name="쉼표 [0] 4 3 3 15 2 2 2" xfId="10289"/>
    <cellStyle name="쉼표 [0] 4 3 3 15 2 2 2 2" xfId="22962"/>
    <cellStyle name="쉼표 [0] 4 3 3 15 2 2 2 2 2" xfId="48314"/>
    <cellStyle name="쉼표 [0] 4 3 3 15 2 2 2 3" xfId="35642"/>
    <cellStyle name="쉼표 [0] 4 3 3 15 2 2 3" xfId="16626"/>
    <cellStyle name="쉼표 [0] 4 3 3 15 2 2 3 2" xfId="41978"/>
    <cellStyle name="쉼표 [0] 4 3 3 15 2 2 4" xfId="29306"/>
    <cellStyle name="쉼표 [0] 4 3 3 15 2 2 5" xfId="52235"/>
    <cellStyle name="쉼표 [0] 4 3 3 15 2 3" xfId="7179"/>
    <cellStyle name="쉼표 [0] 4 3 3 15 2 3 2" xfId="19852"/>
    <cellStyle name="쉼표 [0] 4 3 3 15 2 3 2 2" xfId="45204"/>
    <cellStyle name="쉼표 [0] 4 3 3 15 2 3 3" xfId="32532"/>
    <cellStyle name="쉼표 [0] 4 3 3 15 2 4" xfId="13516"/>
    <cellStyle name="쉼표 [0] 4 3 3 15 2 4 2" xfId="38868"/>
    <cellStyle name="쉼표 [0] 4 3 3 15 2 5" xfId="26196"/>
    <cellStyle name="쉼표 [0] 4 3 3 15 2 6" xfId="52236"/>
    <cellStyle name="쉼표 [0] 4 3 3 15 3" xfId="3954"/>
    <cellStyle name="쉼표 [0] 4 3 3 15 3 2" xfId="10290"/>
    <cellStyle name="쉼표 [0] 4 3 3 15 3 2 2" xfId="22963"/>
    <cellStyle name="쉼표 [0] 4 3 3 15 3 2 2 2" xfId="48315"/>
    <cellStyle name="쉼표 [0] 4 3 3 15 3 2 3" xfId="35643"/>
    <cellStyle name="쉼표 [0] 4 3 3 15 3 3" xfId="16627"/>
    <cellStyle name="쉼표 [0] 4 3 3 15 3 3 2" xfId="41979"/>
    <cellStyle name="쉼표 [0] 4 3 3 15 3 4" xfId="29307"/>
    <cellStyle name="쉼표 [0] 4 3 3 15 3 5" xfId="52237"/>
    <cellStyle name="쉼표 [0] 4 3 3 15 4" xfId="7178"/>
    <cellStyle name="쉼표 [0] 4 3 3 15 4 2" xfId="19851"/>
    <cellStyle name="쉼표 [0] 4 3 3 15 4 2 2" xfId="45203"/>
    <cellStyle name="쉼표 [0] 4 3 3 15 4 3" xfId="32531"/>
    <cellStyle name="쉼표 [0] 4 3 3 15 5" xfId="13515"/>
    <cellStyle name="쉼표 [0] 4 3 3 15 5 2" xfId="38867"/>
    <cellStyle name="쉼표 [0] 4 3 3 15 6" xfId="26195"/>
    <cellStyle name="쉼표 [0] 4 3 3 15 7" xfId="52238"/>
    <cellStyle name="쉼표 [0] 4 3 3 16" xfId="843"/>
    <cellStyle name="쉼표 [0] 4 3 3 16 2" xfId="844"/>
    <cellStyle name="쉼표 [0] 4 3 3 16 2 2" xfId="3955"/>
    <cellStyle name="쉼표 [0] 4 3 3 16 2 2 2" xfId="10291"/>
    <cellStyle name="쉼표 [0] 4 3 3 16 2 2 2 2" xfId="22964"/>
    <cellStyle name="쉼표 [0] 4 3 3 16 2 2 2 2 2" xfId="48316"/>
    <cellStyle name="쉼표 [0] 4 3 3 16 2 2 2 3" xfId="35644"/>
    <cellStyle name="쉼표 [0] 4 3 3 16 2 2 3" xfId="16628"/>
    <cellStyle name="쉼표 [0] 4 3 3 16 2 2 3 2" xfId="41980"/>
    <cellStyle name="쉼표 [0] 4 3 3 16 2 2 4" xfId="29308"/>
    <cellStyle name="쉼표 [0] 4 3 3 16 2 2 5" xfId="52239"/>
    <cellStyle name="쉼표 [0] 4 3 3 16 2 3" xfId="7181"/>
    <cellStyle name="쉼표 [0] 4 3 3 16 2 3 2" xfId="19854"/>
    <cellStyle name="쉼표 [0] 4 3 3 16 2 3 2 2" xfId="45206"/>
    <cellStyle name="쉼표 [0] 4 3 3 16 2 3 3" xfId="32534"/>
    <cellStyle name="쉼표 [0] 4 3 3 16 2 4" xfId="13518"/>
    <cellStyle name="쉼표 [0] 4 3 3 16 2 4 2" xfId="38870"/>
    <cellStyle name="쉼표 [0] 4 3 3 16 2 5" xfId="26198"/>
    <cellStyle name="쉼표 [0] 4 3 3 16 2 6" xfId="52240"/>
    <cellStyle name="쉼표 [0] 4 3 3 16 3" xfId="3956"/>
    <cellStyle name="쉼표 [0] 4 3 3 16 3 2" xfId="10292"/>
    <cellStyle name="쉼표 [0] 4 3 3 16 3 2 2" xfId="22965"/>
    <cellStyle name="쉼표 [0] 4 3 3 16 3 2 2 2" xfId="48317"/>
    <cellStyle name="쉼표 [0] 4 3 3 16 3 2 3" xfId="35645"/>
    <cellStyle name="쉼표 [0] 4 3 3 16 3 3" xfId="16629"/>
    <cellStyle name="쉼표 [0] 4 3 3 16 3 3 2" xfId="41981"/>
    <cellStyle name="쉼표 [0] 4 3 3 16 3 4" xfId="29309"/>
    <cellStyle name="쉼표 [0] 4 3 3 16 3 5" xfId="52241"/>
    <cellStyle name="쉼표 [0] 4 3 3 16 4" xfId="7180"/>
    <cellStyle name="쉼표 [0] 4 3 3 16 4 2" xfId="19853"/>
    <cellStyle name="쉼표 [0] 4 3 3 16 4 2 2" xfId="45205"/>
    <cellStyle name="쉼표 [0] 4 3 3 16 4 3" xfId="32533"/>
    <cellStyle name="쉼표 [0] 4 3 3 16 5" xfId="13517"/>
    <cellStyle name="쉼표 [0] 4 3 3 16 5 2" xfId="38869"/>
    <cellStyle name="쉼표 [0] 4 3 3 16 6" xfId="26197"/>
    <cellStyle name="쉼표 [0] 4 3 3 16 7" xfId="52242"/>
    <cellStyle name="쉼표 [0] 4 3 3 17" xfId="845"/>
    <cellStyle name="쉼표 [0] 4 3 3 17 2" xfId="846"/>
    <cellStyle name="쉼표 [0] 4 3 3 17 2 2" xfId="3957"/>
    <cellStyle name="쉼표 [0] 4 3 3 17 2 2 2" xfId="10293"/>
    <cellStyle name="쉼표 [0] 4 3 3 17 2 2 2 2" xfId="22966"/>
    <cellStyle name="쉼표 [0] 4 3 3 17 2 2 2 2 2" xfId="48318"/>
    <cellStyle name="쉼표 [0] 4 3 3 17 2 2 2 3" xfId="35646"/>
    <cellStyle name="쉼표 [0] 4 3 3 17 2 2 3" xfId="16630"/>
    <cellStyle name="쉼표 [0] 4 3 3 17 2 2 3 2" xfId="41982"/>
    <cellStyle name="쉼표 [0] 4 3 3 17 2 2 4" xfId="29310"/>
    <cellStyle name="쉼표 [0] 4 3 3 17 2 2 5" xfId="52243"/>
    <cellStyle name="쉼표 [0] 4 3 3 17 2 3" xfId="7183"/>
    <cellStyle name="쉼표 [0] 4 3 3 17 2 3 2" xfId="19856"/>
    <cellStyle name="쉼표 [0] 4 3 3 17 2 3 2 2" xfId="45208"/>
    <cellStyle name="쉼표 [0] 4 3 3 17 2 3 3" xfId="32536"/>
    <cellStyle name="쉼표 [0] 4 3 3 17 2 4" xfId="13520"/>
    <cellStyle name="쉼표 [0] 4 3 3 17 2 4 2" xfId="38872"/>
    <cellStyle name="쉼표 [0] 4 3 3 17 2 5" xfId="26200"/>
    <cellStyle name="쉼표 [0] 4 3 3 17 2 6" xfId="52244"/>
    <cellStyle name="쉼표 [0] 4 3 3 17 3" xfId="3958"/>
    <cellStyle name="쉼표 [0] 4 3 3 17 3 2" xfId="10294"/>
    <cellStyle name="쉼표 [0] 4 3 3 17 3 2 2" xfId="22967"/>
    <cellStyle name="쉼표 [0] 4 3 3 17 3 2 2 2" xfId="48319"/>
    <cellStyle name="쉼표 [0] 4 3 3 17 3 2 3" xfId="35647"/>
    <cellStyle name="쉼표 [0] 4 3 3 17 3 3" xfId="16631"/>
    <cellStyle name="쉼표 [0] 4 3 3 17 3 3 2" xfId="41983"/>
    <cellStyle name="쉼표 [0] 4 3 3 17 3 4" xfId="29311"/>
    <cellStyle name="쉼표 [0] 4 3 3 17 3 5" xfId="52245"/>
    <cellStyle name="쉼표 [0] 4 3 3 17 4" xfId="7182"/>
    <cellStyle name="쉼표 [0] 4 3 3 17 4 2" xfId="19855"/>
    <cellStyle name="쉼표 [0] 4 3 3 17 4 2 2" xfId="45207"/>
    <cellStyle name="쉼표 [0] 4 3 3 17 4 3" xfId="32535"/>
    <cellStyle name="쉼표 [0] 4 3 3 17 5" xfId="13519"/>
    <cellStyle name="쉼표 [0] 4 3 3 17 5 2" xfId="38871"/>
    <cellStyle name="쉼표 [0] 4 3 3 17 6" xfId="26199"/>
    <cellStyle name="쉼표 [0] 4 3 3 17 7" xfId="52246"/>
    <cellStyle name="쉼표 [0] 4 3 3 18" xfId="847"/>
    <cellStyle name="쉼표 [0] 4 3 3 18 2" xfId="848"/>
    <cellStyle name="쉼표 [0] 4 3 3 18 2 2" xfId="3959"/>
    <cellStyle name="쉼표 [0] 4 3 3 18 2 2 2" xfId="10295"/>
    <cellStyle name="쉼표 [0] 4 3 3 18 2 2 2 2" xfId="22968"/>
    <cellStyle name="쉼표 [0] 4 3 3 18 2 2 2 2 2" xfId="48320"/>
    <cellStyle name="쉼표 [0] 4 3 3 18 2 2 2 3" xfId="35648"/>
    <cellStyle name="쉼표 [0] 4 3 3 18 2 2 3" xfId="16632"/>
    <cellStyle name="쉼표 [0] 4 3 3 18 2 2 3 2" xfId="41984"/>
    <cellStyle name="쉼표 [0] 4 3 3 18 2 2 4" xfId="29312"/>
    <cellStyle name="쉼표 [0] 4 3 3 18 2 2 5" xfId="52247"/>
    <cellStyle name="쉼표 [0] 4 3 3 18 2 3" xfId="7185"/>
    <cellStyle name="쉼표 [0] 4 3 3 18 2 3 2" xfId="19858"/>
    <cellStyle name="쉼표 [0] 4 3 3 18 2 3 2 2" xfId="45210"/>
    <cellStyle name="쉼표 [0] 4 3 3 18 2 3 3" xfId="32538"/>
    <cellStyle name="쉼표 [0] 4 3 3 18 2 4" xfId="13522"/>
    <cellStyle name="쉼표 [0] 4 3 3 18 2 4 2" xfId="38874"/>
    <cellStyle name="쉼표 [0] 4 3 3 18 2 5" xfId="26202"/>
    <cellStyle name="쉼표 [0] 4 3 3 18 2 6" xfId="52248"/>
    <cellStyle name="쉼표 [0] 4 3 3 18 3" xfId="3960"/>
    <cellStyle name="쉼표 [0] 4 3 3 18 3 2" xfId="10296"/>
    <cellStyle name="쉼표 [0] 4 3 3 18 3 2 2" xfId="22969"/>
    <cellStyle name="쉼표 [0] 4 3 3 18 3 2 2 2" xfId="48321"/>
    <cellStyle name="쉼표 [0] 4 3 3 18 3 2 3" xfId="35649"/>
    <cellStyle name="쉼표 [0] 4 3 3 18 3 3" xfId="16633"/>
    <cellStyle name="쉼표 [0] 4 3 3 18 3 3 2" xfId="41985"/>
    <cellStyle name="쉼표 [0] 4 3 3 18 3 4" xfId="29313"/>
    <cellStyle name="쉼표 [0] 4 3 3 18 3 5" xfId="52249"/>
    <cellStyle name="쉼표 [0] 4 3 3 18 4" xfId="7184"/>
    <cellStyle name="쉼표 [0] 4 3 3 18 4 2" xfId="19857"/>
    <cellStyle name="쉼표 [0] 4 3 3 18 4 2 2" xfId="45209"/>
    <cellStyle name="쉼표 [0] 4 3 3 18 4 3" xfId="32537"/>
    <cellStyle name="쉼표 [0] 4 3 3 18 5" xfId="13521"/>
    <cellStyle name="쉼표 [0] 4 3 3 18 5 2" xfId="38873"/>
    <cellStyle name="쉼표 [0] 4 3 3 18 6" xfId="26201"/>
    <cellStyle name="쉼표 [0] 4 3 3 18 7" xfId="52250"/>
    <cellStyle name="쉼표 [0] 4 3 3 19" xfId="849"/>
    <cellStyle name="쉼표 [0] 4 3 3 19 2" xfId="850"/>
    <cellStyle name="쉼표 [0] 4 3 3 19 2 2" xfId="3961"/>
    <cellStyle name="쉼표 [0] 4 3 3 19 2 2 2" xfId="10297"/>
    <cellStyle name="쉼표 [0] 4 3 3 19 2 2 2 2" xfId="22970"/>
    <cellStyle name="쉼표 [0] 4 3 3 19 2 2 2 2 2" xfId="48322"/>
    <cellStyle name="쉼표 [0] 4 3 3 19 2 2 2 3" xfId="35650"/>
    <cellStyle name="쉼표 [0] 4 3 3 19 2 2 3" xfId="16634"/>
    <cellStyle name="쉼표 [0] 4 3 3 19 2 2 3 2" xfId="41986"/>
    <cellStyle name="쉼표 [0] 4 3 3 19 2 2 4" xfId="29314"/>
    <cellStyle name="쉼표 [0] 4 3 3 19 2 2 5" xfId="52251"/>
    <cellStyle name="쉼표 [0] 4 3 3 19 2 3" xfId="7187"/>
    <cellStyle name="쉼표 [0] 4 3 3 19 2 3 2" xfId="19860"/>
    <cellStyle name="쉼표 [0] 4 3 3 19 2 3 2 2" xfId="45212"/>
    <cellStyle name="쉼표 [0] 4 3 3 19 2 3 3" xfId="32540"/>
    <cellStyle name="쉼표 [0] 4 3 3 19 2 4" xfId="13524"/>
    <cellStyle name="쉼표 [0] 4 3 3 19 2 4 2" xfId="38876"/>
    <cellStyle name="쉼표 [0] 4 3 3 19 2 5" xfId="26204"/>
    <cellStyle name="쉼표 [0] 4 3 3 19 2 6" xfId="52252"/>
    <cellStyle name="쉼표 [0] 4 3 3 19 3" xfId="3962"/>
    <cellStyle name="쉼표 [0] 4 3 3 19 3 2" xfId="10298"/>
    <cellStyle name="쉼표 [0] 4 3 3 19 3 2 2" xfId="22971"/>
    <cellStyle name="쉼표 [0] 4 3 3 19 3 2 2 2" xfId="48323"/>
    <cellStyle name="쉼표 [0] 4 3 3 19 3 2 3" xfId="35651"/>
    <cellStyle name="쉼표 [0] 4 3 3 19 3 3" xfId="16635"/>
    <cellStyle name="쉼표 [0] 4 3 3 19 3 3 2" xfId="41987"/>
    <cellStyle name="쉼표 [0] 4 3 3 19 3 4" xfId="29315"/>
    <cellStyle name="쉼표 [0] 4 3 3 19 3 5" xfId="52253"/>
    <cellStyle name="쉼표 [0] 4 3 3 19 4" xfId="7186"/>
    <cellStyle name="쉼표 [0] 4 3 3 19 4 2" xfId="19859"/>
    <cellStyle name="쉼표 [0] 4 3 3 19 4 2 2" xfId="45211"/>
    <cellStyle name="쉼표 [0] 4 3 3 19 4 3" xfId="32539"/>
    <cellStyle name="쉼표 [0] 4 3 3 19 5" xfId="13523"/>
    <cellStyle name="쉼표 [0] 4 3 3 19 5 2" xfId="38875"/>
    <cellStyle name="쉼표 [0] 4 3 3 19 6" xfId="26203"/>
    <cellStyle name="쉼표 [0] 4 3 3 19 7" xfId="52254"/>
    <cellStyle name="쉼표 [0] 4 3 3 2" xfId="851"/>
    <cellStyle name="쉼표 [0] 4 3 3 2 2" xfId="852"/>
    <cellStyle name="쉼표 [0] 4 3 3 2 2 2" xfId="3963"/>
    <cellStyle name="쉼표 [0] 4 3 3 2 2 2 2" xfId="10299"/>
    <cellStyle name="쉼표 [0] 4 3 3 2 2 2 2 2" xfId="22972"/>
    <cellStyle name="쉼표 [0] 4 3 3 2 2 2 2 2 2" xfId="48324"/>
    <cellStyle name="쉼표 [0] 4 3 3 2 2 2 2 3" xfId="35652"/>
    <cellStyle name="쉼표 [0] 4 3 3 2 2 2 3" xfId="16636"/>
    <cellStyle name="쉼표 [0] 4 3 3 2 2 2 3 2" xfId="41988"/>
    <cellStyle name="쉼표 [0] 4 3 3 2 2 2 4" xfId="29316"/>
    <cellStyle name="쉼표 [0] 4 3 3 2 2 2 5" xfId="52255"/>
    <cellStyle name="쉼표 [0] 4 3 3 2 2 3" xfId="7189"/>
    <cellStyle name="쉼표 [0] 4 3 3 2 2 3 2" xfId="19862"/>
    <cellStyle name="쉼표 [0] 4 3 3 2 2 3 2 2" xfId="45214"/>
    <cellStyle name="쉼표 [0] 4 3 3 2 2 3 3" xfId="32542"/>
    <cellStyle name="쉼표 [0] 4 3 3 2 2 4" xfId="13526"/>
    <cellStyle name="쉼표 [0] 4 3 3 2 2 4 2" xfId="38878"/>
    <cellStyle name="쉼표 [0] 4 3 3 2 2 5" xfId="26206"/>
    <cellStyle name="쉼표 [0] 4 3 3 2 2 6" xfId="52256"/>
    <cellStyle name="쉼표 [0] 4 3 3 2 3" xfId="3964"/>
    <cellStyle name="쉼표 [0] 4 3 3 2 3 2" xfId="10300"/>
    <cellStyle name="쉼표 [0] 4 3 3 2 3 2 2" xfId="22973"/>
    <cellStyle name="쉼표 [0] 4 3 3 2 3 2 2 2" xfId="48325"/>
    <cellStyle name="쉼표 [0] 4 3 3 2 3 2 3" xfId="35653"/>
    <cellStyle name="쉼표 [0] 4 3 3 2 3 3" xfId="16637"/>
    <cellStyle name="쉼표 [0] 4 3 3 2 3 3 2" xfId="41989"/>
    <cellStyle name="쉼표 [0] 4 3 3 2 3 4" xfId="29317"/>
    <cellStyle name="쉼표 [0] 4 3 3 2 3 5" xfId="52257"/>
    <cellStyle name="쉼표 [0] 4 3 3 2 4" xfId="7188"/>
    <cellStyle name="쉼표 [0] 4 3 3 2 4 2" xfId="19861"/>
    <cellStyle name="쉼표 [0] 4 3 3 2 4 2 2" xfId="45213"/>
    <cellStyle name="쉼표 [0] 4 3 3 2 4 3" xfId="32541"/>
    <cellStyle name="쉼표 [0] 4 3 3 2 5" xfId="13525"/>
    <cellStyle name="쉼표 [0] 4 3 3 2 5 2" xfId="38877"/>
    <cellStyle name="쉼표 [0] 4 3 3 2 6" xfId="26205"/>
    <cellStyle name="쉼표 [0] 4 3 3 2 7" xfId="52258"/>
    <cellStyle name="쉼표 [0] 4 3 3 20" xfId="853"/>
    <cellStyle name="쉼표 [0] 4 3 3 20 2" xfId="854"/>
    <cellStyle name="쉼표 [0] 4 3 3 20 2 2" xfId="3965"/>
    <cellStyle name="쉼표 [0] 4 3 3 20 2 2 2" xfId="10301"/>
    <cellStyle name="쉼표 [0] 4 3 3 20 2 2 2 2" xfId="22974"/>
    <cellStyle name="쉼표 [0] 4 3 3 20 2 2 2 2 2" xfId="48326"/>
    <cellStyle name="쉼표 [0] 4 3 3 20 2 2 2 3" xfId="35654"/>
    <cellStyle name="쉼표 [0] 4 3 3 20 2 2 3" xfId="16638"/>
    <cellStyle name="쉼표 [0] 4 3 3 20 2 2 3 2" xfId="41990"/>
    <cellStyle name="쉼표 [0] 4 3 3 20 2 2 4" xfId="29318"/>
    <cellStyle name="쉼표 [0] 4 3 3 20 2 2 5" xfId="52259"/>
    <cellStyle name="쉼표 [0] 4 3 3 20 2 3" xfId="7191"/>
    <cellStyle name="쉼표 [0] 4 3 3 20 2 3 2" xfId="19864"/>
    <cellStyle name="쉼표 [0] 4 3 3 20 2 3 2 2" xfId="45216"/>
    <cellStyle name="쉼표 [0] 4 3 3 20 2 3 3" xfId="32544"/>
    <cellStyle name="쉼표 [0] 4 3 3 20 2 4" xfId="13528"/>
    <cellStyle name="쉼표 [0] 4 3 3 20 2 4 2" xfId="38880"/>
    <cellStyle name="쉼표 [0] 4 3 3 20 2 5" xfId="26208"/>
    <cellStyle name="쉼표 [0] 4 3 3 20 2 6" xfId="52260"/>
    <cellStyle name="쉼표 [0] 4 3 3 20 3" xfId="3966"/>
    <cellStyle name="쉼표 [0] 4 3 3 20 3 2" xfId="10302"/>
    <cellStyle name="쉼표 [0] 4 3 3 20 3 2 2" xfId="22975"/>
    <cellStyle name="쉼표 [0] 4 3 3 20 3 2 2 2" xfId="48327"/>
    <cellStyle name="쉼표 [0] 4 3 3 20 3 2 3" xfId="35655"/>
    <cellStyle name="쉼표 [0] 4 3 3 20 3 3" xfId="16639"/>
    <cellStyle name="쉼표 [0] 4 3 3 20 3 3 2" xfId="41991"/>
    <cellStyle name="쉼표 [0] 4 3 3 20 3 4" xfId="29319"/>
    <cellStyle name="쉼표 [0] 4 3 3 20 3 5" xfId="52261"/>
    <cellStyle name="쉼표 [0] 4 3 3 20 4" xfId="7190"/>
    <cellStyle name="쉼표 [0] 4 3 3 20 4 2" xfId="19863"/>
    <cellStyle name="쉼표 [0] 4 3 3 20 4 2 2" xfId="45215"/>
    <cellStyle name="쉼표 [0] 4 3 3 20 4 3" xfId="32543"/>
    <cellStyle name="쉼표 [0] 4 3 3 20 5" xfId="13527"/>
    <cellStyle name="쉼표 [0] 4 3 3 20 5 2" xfId="38879"/>
    <cellStyle name="쉼표 [0] 4 3 3 20 6" xfId="26207"/>
    <cellStyle name="쉼표 [0] 4 3 3 20 7" xfId="52262"/>
    <cellStyle name="쉼표 [0] 4 3 3 21" xfId="855"/>
    <cellStyle name="쉼표 [0] 4 3 3 21 2" xfId="856"/>
    <cellStyle name="쉼표 [0] 4 3 3 21 2 2" xfId="3967"/>
    <cellStyle name="쉼표 [0] 4 3 3 21 2 2 2" xfId="10303"/>
    <cellStyle name="쉼표 [0] 4 3 3 21 2 2 2 2" xfId="22976"/>
    <cellStyle name="쉼표 [0] 4 3 3 21 2 2 2 2 2" xfId="48328"/>
    <cellStyle name="쉼표 [0] 4 3 3 21 2 2 2 3" xfId="35656"/>
    <cellStyle name="쉼표 [0] 4 3 3 21 2 2 3" xfId="16640"/>
    <cellStyle name="쉼표 [0] 4 3 3 21 2 2 3 2" xfId="41992"/>
    <cellStyle name="쉼표 [0] 4 3 3 21 2 2 4" xfId="29320"/>
    <cellStyle name="쉼표 [0] 4 3 3 21 2 2 5" xfId="52263"/>
    <cellStyle name="쉼표 [0] 4 3 3 21 2 3" xfId="7193"/>
    <cellStyle name="쉼표 [0] 4 3 3 21 2 3 2" xfId="19866"/>
    <cellStyle name="쉼표 [0] 4 3 3 21 2 3 2 2" xfId="45218"/>
    <cellStyle name="쉼표 [0] 4 3 3 21 2 3 3" xfId="32546"/>
    <cellStyle name="쉼표 [0] 4 3 3 21 2 4" xfId="13530"/>
    <cellStyle name="쉼표 [0] 4 3 3 21 2 4 2" xfId="38882"/>
    <cellStyle name="쉼표 [0] 4 3 3 21 2 5" xfId="26210"/>
    <cellStyle name="쉼표 [0] 4 3 3 21 2 6" xfId="52264"/>
    <cellStyle name="쉼표 [0] 4 3 3 21 3" xfId="3968"/>
    <cellStyle name="쉼표 [0] 4 3 3 21 3 2" xfId="10304"/>
    <cellStyle name="쉼표 [0] 4 3 3 21 3 2 2" xfId="22977"/>
    <cellStyle name="쉼표 [0] 4 3 3 21 3 2 2 2" xfId="48329"/>
    <cellStyle name="쉼표 [0] 4 3 3 21 3 2 3" xfId="35657"/>
    <cellStyle name="쉼표 [0] 4 3 3 21 3 3" xfId="16641"/>
    <cellStyle name="쉼표 [0] 4 3 3 21 3 3 2" xfId="41993"/>
    <cellStyle name="쉼표 [0] 4 3 3 21 3 4" xfId="29321"/>
    <cellStyle name="쉼표 [0] 4 3 3 21 3 5" xfId="52265"/>
    <cellStyle name="쉼표 [0] 4 3 3 21 4" xfId="7192"/>
    <cellStyle name="쉼표 [0] 4 3 3 21 4 2" xfId="19865"/>
    <cellStyle name="쉼표 [0] 4 3 3 21 4 2 2" xfId="45217"/>
    <cellStyle name="쉼표 [0] 4 3 3 21 4 3" xfId="32545"/>
    <cellStyle name="쉼표 [0] 4 3 3 21 5" xfId="13529"/>
    <cellStyle name="쉼표 [0] 4 3 3 21 5 2" xfId="38881"/>
    <cellStyle name="쉼표 [0] 4 3 3 21 6" xfId="26209"/>
    <cellStyle name="쉼표 [0] 4 3 3 21 7" xfId="52266"/>
    <cellStyle name="쉼표 [0] 4 3 3 22" xfId="857"/>
    <cellStyle name="쉼표 [0] 4 3 3 22 2" xfId="858"/>
    <cellStyle name="쉼표 [0] 4 3 3 22 2 2" xfId="3969"/>
    <cellStyle name="쉼표 [0] 4 3 3 22 2 2 2" xfId="10305"/>
    <cellStyle name="쉼표 [0] 4 3 3 22 2 2 2 2" xfId="22978"/>
    <cellStyle name="쉼표 [0] 4 3 3 22 2 2 2 2 2" xfId="48330"/>
    <cellStyle name="쉼표 [0] 4 3 3 22 2 2 2 3" xfId="35658"/>
    <cellStyle name="쉼표 [0] 4 3 3 22 2 2 3" xfId="16642"/>
    <cellStyle name="쉼표 [0] 4 3 3 22 2 2 3 2" xfId="41994"/>
    <cellStyle name="쉼표 [0] 4 3 3 22 2 2 4" xfId="29322"/>
    <cellStyle name="쉼표 [0] 4 3 3 22 2 2 5" xfId="52267"/>
    <cellStyle name="쉼표 [0] 4 3 3 22 2 3" xfId="7195"/>
    <cellStyle name="쉼표 [0] 4 3 3 22 2 3 2" xfId="19868"/>
    <cellStyle name="쉼표 [0] 4 3 3 22 2 3 2 2" xfId="45220"/>
    <cellStyle name="쉼표 [0] 4 3 3 22 2 3 3" xfId="32548"/>
    <cellStyle name="쉼표 [0] 4 3 3 22 2 4" xfId="13532"/>
    <cellStyle name="쉼표 [0] 4 3 3 22 2 4 2" xfId="38884"/>
    <cellStyle name="쉼표 [0] 4 3 3 22 2 5" xfId="26212"/>
    <cellStyle name="쉼표 [0] 4 3 3 22 2 6" xfId="52268"/>
    <cellStyle name="쉼표 [0] 4 3 3 22 3" xfId="3970"/>
    <cellStyle name="쉼표 [0] 4 3 3 22 3 2" xfId="10306"/>
    <cellStyle name="쉼표 [0] 4 3 3 22 3 2 2" xfId="22979"/>
    <cellStyle name="쉼표 [0] 4 3 3 22 3 2 2 2" xfId="48331"/>
    <cellStyle name="쉼표 [0] 4 3 3 22 3 2 3" xfId="35659"/>
    <cellStyle name="쉼표 [0] 4 3 3 22 3 3" xfId="16643"/>
    <cellStyle name="쉼표 [0] 4 3 3 22 3 3 2" xfId="41995"/>
    <cellStyle name="쉼표 [0] 4 3 3 22 3 4" xfId="29323"/>
    <cellStyle name="쉼표 [0] 4 3 3 22 3 5" xfId="52269"/>
    <cellStyle name="쉼표 [0] 4 3 3 22 4" xfId="7194"/>
    <cellStyle name="쉼표 [0] 4 3 3 22 4 2" xfId="19867"/>
    <cellStyle name="쉼표 [0] 4 3 3 22 4 2 2" xfId="45219"/>
    <cellStyle name="쉼표 [0] 4 3 3 22 4 3" xfId="32547"/>
    <cellStyle name="쉼표 [0] 4 3 3 22 5" xfId="13531"/>
    <cellStyle name="쉼표 [0] 4 3 3 22 5 2" xfId="38883"/>
    <cellStyle name="쉼표 [0] 4 3 3 22 6" xfId="26211"/>
    <cellStyle name="쉼표 [0] 4 3 3 22 7" xfId="52270"/>
    <cellStyle name="쉼표 [0] 4 3 3 23" xfId="859"/>
    <cellStyle name="쉼표 [0] 4 3 3 23 2" xfId="860"/>
    <cellStyle name="쉼표 [0] 4 3 3 23 2 2" xfId="3971"/>
    <cellStyle name="쉼표 [0] 4 3 3 23 2 2 2" xfId="10307"/>
    <cellStyle name="쉼표 [0] 4 3 3 23 2 2 2 2" xfId="22980"/>
    <cellStyle name="쉼표 [0] 4 3 3 23 2 2 2 2 2" xfId="48332"/>
    <cellStyle name="쉼표 [0] 4 3 3 23 2 2 2 3" xfId="35660"/>
    <cellStyle name="쉼표 [0] 4 3 3 23 2 2 3" xfId="16644"/>
    <cellStyle name="쉼표 [0] 4 3 3 23 2 2 3 2" xfId="41996"/>
    <cellStyle name="쉼표 [0] 4 3 3 23 2 2 4" xfId="29324"/>
    <cellStyle name="쉼표 [0] 4 3 3 23 2 2 5" xfId="52271"/>
    <cellStyle name="쉼표 [0] 4 3 3 23 2 3" xfId="7197"/>
    <cellStyle name="쉼표 [0] 4 3 3 23 2 3 2" xfId="19870"/>
    <cellStyle name="쉼표 [0] 4 3 3 23 2 3 2 2" xfId="45222"/>
    <cellStyle name="쉼표 [0] 4 3 3 23 2 3 3" xfId="32550"/>
    <cellStyle name="쉼표 [0] 4 3 3 23 2 4" xfId="13534"/>
    <cellStyle name="쉼표 [0] 4 3 3 23 2 4 2" xfId="38886"/>
    <cellStyle name="쉼표 [0] 4 3 3 23 2 5" xfId="26214"/>
    <cellStyle name="쉼표 [0] 4 3 3 23 2 6" xfId="52272"/>
    <cellStyle name="쉼표 [0] 4 3 3 23 3" xfId="3972"/>
    <cellStyle name="쉼표 [0] 4 3 3 23 3 2" xfId="10308"/>
    <cellStyle name="쉼표 [0] 4 3 3 23 3 2 2" xfId="22981"/>
    <cellStyle name="쉼표 [0] 4 3 3 23 3 2 2 2" xfId="48333"/>
    <cellStyle name="쉼표 [0] 4 3 3 23 3 2 3" xfId="35661"/>
    <cellStyle name="쉼표 [0] 4 3 3 23 3 3" xfId="16645"/>
    <cellStyle name="쉼표 [0] 4 3 3 23 3 3 2" xfId="41997"/>
    <cellStyle name="쉼표 [0] 4 3 3 23 3 4" xfId="29325"/>
    <cellStyle name="쉼표 [0] 4 3 3 23 3 5" xfId="52273"/>
    <cellStyle name="쉼표 [0] 4 3 3 23 4" xfId="7196"/>
    <cellStyle name="쉼표 [0] 4 3 3 23 4 2" xfId="19869"/>
    <cellStyle name="쉼표 [0] 4 3 3 23 4 2 2" xfId="45221"/>
    <cellStyle name="쉼표 [0] 4 3 3 23 4 3" xfId="32549"/>
    <cellStyle name="쉼표 [0] 4 3 3 23 5" xfId="13533"/>
    <cellStyle name="쉼표 [0] 4 3 3 23 5 2" xfId="38885"/>
    <cellStyle name="쉼표 [0] 4 3 3 23 6" xfId="26213"/>
    <cellStyle name="쉼표 [0] 4 3 3 23 7" xfId="52274"/>
    <cellStyle name="쉼표 [0] 4 3 3 24" xfId="861"/>
    <cellStyle name="쉼표 [0] 4 3 3 24 2" xfId="862"/>
    <cellStyle name="쉼표 [0] 4 3 3 24 2 2" xfId="3973"/>
    <cellStyle name="쉼표 [0] 4 3 3 24 2 2 2" xfId="10309"/>
    <cellStyle name="쉼표 [0] 4 3 3 24 2 2 2 2" xfId="22982"/>
    <cellStyle name="쉼표 [0] 4 3 3 24 2 2 2 2 2" xfId="48334"/>
    <cellStyle name="쉼표 [0] 4 3 3 24 2 2 2 3" xfId="35662"/>
    <cellStyle name="쉼표 [0] 4 3 3 24 2 2 3" xfId="16646"/>
    <cellStyle name="쉼표 [0] 4 3 3 24 2 2 3 2" xfId="41998"/>
    <cellStyle name="쉼표 [0] 4 3 3 24 2 2 4" xfId="29326"/>
    <cellStyle name="쉼표 [0] 4 3 3 24 2 2 5" xfId="52275"/>
    <cellStyle name="쉼표 [0] 4 3 3 24 2 3" xfId="7199"/>
    <cellStyle name="쉼표 [0] 4 3 3 24 2 3 2" xfId="19872"/>
    <cellStyle name="쉼표 [0] 4 3 3 24 2 3 2 2" xfId="45224"/>
    <cellStyle name="쉼표 [0] 4 3 3 24 2 3 3" xfId="32552"/>
    <cellStyle name="쉼표 [0] 4 3 3 24 2 4" xfId="13536"/>
    <cellStyle name="쉼표 [0] 4 3 3 24 2 4 2" xfId="38888"/>
    <cellStyle name="쉼표 [0] 4 3 3 24 2 5" xfId="26216"/>
    <cellStyle name="쉼표 [0] 4 3 3 24 2 6" xfId="52276"/>
    <cellStyle name="쉼표 [0] 4 3 3 24 3" xfId="3974"/>
    <cellStyle name="쉼표 [0] 4 3 3 24 3 2" xfId="10310"/>
    <cellStyle name="쉼표 [0] 4 3 3 24 3 2 2" xfId="22983"/>
    <cellStyle name="쉼표 [0] 4 3 3 24 3 2 2 2" xfId="48335"/>
    <cellStyle name="쉼표 [0] 4 3 3 24 3 2 3" xfId="35663"/>
    <cellStyle name="쉼표 [0] 4 3 3 24 3 3" xfId="16647"/>
    <cellStyle name="쉼표 [0] 4 3 3 24 3 3 2" xfId="41999"/>
    <cellStyle name="쉼표 [0] 4 3 3 24 3 4" xfId="29327"/>
    <cellStyle name="쉼표 [0] 4 3 3 24 3 5" xfId="52277"/>
    <cellStyle name="쉼표 [0] 4 3 3 24 4" xfId="7198"/>
    <cellStyle name="쉼표 [0] 4 3 3 24 4 2" xfId="19871"/>
    <cellStyle name="쉼표 [0] 4 3 3 24 4 2 2" xfId="45223"/>
    <cellStyle name="쉼표 [0] 4 3 3 24 4 3" xfId="32551"/>
    <cellStyle name="쉼표 [0] 4 3 3 24 5" xfId="13535"/>
    <cellStyle name="쉼표 [0] 4 3 3 24 5 2" xfId="38887"/>
    <cellStyle name="쉼표 [0] 4 3 3 24 6" xfId="26215"/>
    <cellStyle name="쉼표 [0] 4 3 3 24 7" xfId="52278"/>
    <cellStyle name="쉼표 [0] 4 3 3 25" xfId="863"/>
    <cellStyle name="쉼표 [0] 4 3 3 25 2" xfId="864"/>
    <cellStyle name="쉼표 [0] 4 3 3 25 2 2" xfId="3975"/>
    <cellStyle name="쉼표 [0] 4 3 3 25 2 2 2" xfId="10311"/>
    <cellStyle name="쉼표 [0] 4 3 3 25 2 2 2 2" xfId="22984"/>
    <cellStyle name="쉼표 [0] 4 3 3 25 2 2 2 2 2" xfId="48336"/>
    <cellStyle name="쉼표 [0] 4 3 3 25 2 2 2 3" xfId="35664"/>
    <cellStyle name="쉼표 [0] 4 3 3 25 2 2 3" xfId="16648"/>
    <cellStyle name="쉼표 [0] 4 3 3 25 2 2 3 2" xfId="42000"/>
    <cellStyle name="쉼표 [0] 4 3 3 25 2 2 4" xfId="29328"/>
    <cellStyle name="쉼표 [0] 4 3 3 25 2 2 5" xfId="52279"/>
    <cellStyle name="쉼표 [0] 4 3 3 25 2 3" xfId="7201"/>
    <cellStyle name="쉼표 [0] 4 3 3 25 2 3 2" xfId="19874"/>
    <cellStyle name="쉼표 [0] 4 3 3 25 2 3 2 2" xfId="45226"/>
    <cellStyle name="쉼표 [0] 4 3 3 25 2 3 3" xfId="32554"/>
    <cellStyle name="쉼표 [0] 4 3 3 25 2 4" xfId="13538"/>
    <cellStyle name="쉼표 [0] 4 3 3 25 2 4 2" xfId="38890"/>
    <cellStyle name="쉼표 [0] 4 3 3 25 2 5" xfId="26218"/>
    <cellStyle name="쉼표 [0] 4 3 3 25 2 6" xfId="52280"/>
    <cellStyle name="쉼표 [0] 4 3 3 25 3" xfId="3976"/>
    <cellStyle name="쉼표 [0] 4 3 3 25 3 2" xfId="10312"/>
    <cellStyle name="쉼표 [0] 4 3 3 25 3 2 2" xfId="22985"/>
    <cellStyle name="쉼표 [0] 4 3 3 25 3 2 2 2" xfId="48337"/>
    <cellStyle name="쉼표 [0] 4 3 3 25 3 2 3" xfId="35665"/>
    <cellStyle name="쉼표 [0] 4 3 3 25 3 3" xfId="16649"/>
    <cellStyle name="쉼표 [0] 4 3 3 25 3 3 2" xfId="42001"/>
    <cellStyle name="쉼표 [0] 4 3 3 25 3 4" xfId="29329"/>
    <cellStyle name="쉼표 [0] 4 3 3 25 3 5" xfId="52281"/>
    <cellStyle name="쉼표 [0] 4 3 3 25 4" xfId="7200"/>
    <cellStyle name="쉼표 [0] 4 3 3 25 4 2" xfId="19873"/>
    <cellStyle name="쉼표 [0] 4 3 3 25 4 2 2" xfId="45225"/>
    <cellStyle name="쉼표 [0] 4 3 3 25 4 3" xfId="32553"/>
    <cellStyle name="쉼표 [0] 4 3 3 25 5" xfId="13537"/>
    <cellStyle name="쉼표 [0] 4 3 3 25 5 2" xfId="38889"/>
    <cellStyle name="쉼표 [0] 4 3 3 25 6" xfId="26217"/>
    <cellStyle name="쉼표 [0] 4 3 3 25 7" xfId="52282"/>
    <cellStyle name="쉼표 [0] 4 3 3 26" xfId="865"/>
    <cellStyle name="쉼표 [0] 4 3 3 26 2" xfId="866"/>
    <cellStyle name="쉼표 [0] 4 3 3 26 2 2" xfId="3977"/>
    <cellStyle name="쉼표 [0] 4 3 3 26 2 2 2" xfId="10313"/>
    <cellStyle name="쉼표 [0] 4 3 3 26 2 2 2 2" xfId="22986"/>
    <cellStyle name="쉼표 [0] 4 3 3 26 2 2 2 2 2" xfId="48338"/>
    <cellStyle name="쉼표 [0] 4 3 3 26 2 2 2 3" xfId="35666"/>
    <cellStyle name="쉼표 [0] 4 3 3 26 2 2 3" xfId="16650"/>
    <cellStyle name="쉼표 [0] 4 3 3 26 2 2 3 2" xfId="42002"/>
    <cellStyle name="쉼표 [0] 4 3 3 26 2 2 4" xfId="29330"/>
    <cellStyle name="쉼표 [0] 4 3 3 26 2 2 5" xfId="52283"/>
    <cellStyle name="쉼표 [0] 4 3 3 26 2 3" xfId="7203"/>
    <cellStyle name="쉼표 [0] 4 3 3 26 2 3 2" xfId="19876"/>
    <cellStyle name="쉼표 [0] 4 3 3 26 2 3 2 2" xfId="45228"/>
    <cellStyle name="쉼표 [0] 4 3 3 26 2 3 3" xfId="32556"/>
    <cellStyle name="쉼표 [0] 4 3 3 26 2 4" xfId="13540"/>
    <cellStyle name="쉼표 [0] 4 3 3 26 2 4 2" xfId="38892"/>
    <cellStyle name="쉼표 [0] 4 3 3 26 2 5" xfId="26220"/>
    <cellStyle name="쉼표 [0] 4 3 3 26 2 6" xfId="52284"/>
    <cellStyle name="쉼표 [0] 4 3 3 26 3" xfId="3978"/>
    <cellStyle name="쉼표 [0] 4 3 3 26 3 2" xfId="10314"/>
    <cellStyle name="쉼표 [0] 4 3 3 26 3 2 2" xfId="22987"/>
    <cellStyle name="쉼표 [0] 4 3 3 26 3 2 2 2" xfId="48339"/>
    <cellStyle name="쉼표 [0] 4 3 3 26 3 2 3" xfId="35667"/>
    <cellStyle name="쉼표 [0] 4 3 3 26 3 3" xfId="16651"/>
    <cellStyle name="쉼표 [0] 4 3 3 26 3 3 2" xfId="42003"/>
    <cellStyle name="쉼표 [0] 4 3 3 26 3 4" xfId="29331"/>
    <cellStyle name="쉼표 [0] 4 3 3 26 3 5" xfId="52285"/>
    <cellStyle name="쉼표 [0] 4 3 3 26 4" xfId="7202"/>
    <cellStyle name="쉼표 [0] 4 3 3 26 4 2" xfId="19875"/>
    <cellStyle name="쉼표 [0] 4 3 3 26 4 2 2" xfId="45227"/>
    <cellStyle name="쉼표 [0] 4 3 3 26 4 3" xfId="32555"/>
    <cellStyle name="쉼표 [0] 4 3 3 26 5" xfId="13539"/>
    <cellStyle name="쉼표 [0] 4 3 3 26 5 2" xfId="38891"/>
    <cellStyle name="쉼표 [0] 4 3 3 26 6" xfId="26219"/>
    <cellStyle name="쉼표 [0] 4 3 3 26 7" xfId="52286"/>
    <cellStyle name="쉼표 [0] 4 3 3 27" xfId="867"/>
    <cellStyle name="쉼표 [0] 4 3 3 27 2" xfId="868"/>
    <cellStyle name="쉼표 [0] 4 3 3 27 2 2" xfId="3979"/>
    <cellStyle name="쉼표 [0] 4 3 3 27 2 2 2" xfId="10315"/>
    <cellStyle name="쉼표 [0] 4 3 3 27 2 2 2 2" xfId="22988"/>
    <cellStyle name="쉼표 [0] 4 3 3 27 2 2 2 2 2" xfId="48340"/>
    <cellStyle name="쉼표 [0] 4 3 3 27 2 2 2 3" xfId="35668"/>
    <cellStyle name="쉼표 [0] 4 3 3 27 2 2 3" xfId="16652"/>
    <cellStyle name="쉼표 [0] 4 3 3 27 2 2 3 2" xfId="42004"/>
    <cellStyle name="쉼표 [0] 4 3 3 27 2 2 4" xfId="29332"/>
    <cellStyle name="쉼표 [0] 4 3 3 27 2 2 5" xfId="52287"/>
    <cellStyle name="쉼표 [0] 4 3 3 27 2 3" xfId="7205"/>
    <cellStyle name="쉼표 [0] 4 3 3 27 2 3 2" xfId="19878"/>
    <cellStyle name="쉼표 [0] 4 3 3 27 2 3 2 2" xfId="45230"/>
    <cellStyle name="쉼표 [0] 4 3 3 27 2 3 3" xfId="32558"/>
    <cellStyle name="쉼표 [0] 4 3 3 27 2 4" xfId="13542"/>
    <cellStyle name="쉼표 [0] 4 3 3 27 2 4 2" xfId="38894"/>
    <cellStyle name="쉼표 [0] 4 3 3 27 2 5" xfId="26222"/>
    <cellStyle name="쉼표 [0] 4 3 3 27 2 6" xfId="52288"/>
    <cellStyle name="쉼표 [0] 4 3 3 27 3" xfId="3980"/>
    <cellStyle name="쉼표 [0] 4 3 3 27 3 2" xfId="10316"/>
    <cellStyle name="쉼표 [0] 4 3 3 27 3 2 2" xfId="22989"/>
    <cellStyle name="쉼표 [0] 4 3 3 27 3 2 2 2" xfId="48341"/>
    <cellStyle name="쉼표 [0] 4 3 3 27 3 2 3" xfId="35669"/>
    <cellStyle name="쉼표 [0] 4 3 3 27 3 3" xfId="16653"/>
    <cellStyle name="쉼표 [0] 4 3 3 27 3 3 2" xfId="42005"/>
    <cellStyle name="쉼표 [0] 4 3 3 27 3 4" xfId="29333"/>
    <cellStyle name="쉼표 [0] 4 3 3 27 3 5" xfId="52289"/>
    <cellStyle name="쉼표 [0] 4 3 3 27 4" xfId="7204"/>
    <cellStyle name="쉼표 [0] 4 3 3 27 4 2" xfId="19877"/>
    <cellStyle name="쉼표 [0] 4 3 3 27 4 2 2" xfId="45229"/>
    <cellStyle name="쉼표 [0] 4 3 3 27 4 3" xfId="32557"/>
    <cellStyle name="쉼표 [0] 4 3 3 27 5" xfId="13541"/>
    <cellStyle name="쉼표 [0] 4 3 3 27 5 2" xfId="38893"/>
    <cellStyle name="쉼표 [0] 4 3 3 27 6" xfId="26221"/>
    <cellStyle name="쉼표 [0] 4 3 3 27 7" xfId="52290"/>
    <cellStyle name="쉼표 [0] 4 3 3 28" xfId="869"/>
    <cellStyle name="쉼표 [0] 4 3 3 28 2" xfId="870"/>
    <cellStyle name="쉼표 [0] 4 3 3 28 2 2" xfId="3981"/>
    <cellStyle name="쉼표 [0] 4 3 3 28 2 2 2" xfId="10317"/>
    <cellStyle name="쉼표 [0] 4 3 3 28 2 2 2 2" xfId="22990"/>
    <cellStyle name="쉼표 [0] 4 3 3 28 2 2 2 2 2" xfId="48342"/>
    <cellStyle name="쉼표 [0] 4 3 3 28 2 2 2 3" xfId="35670"/>
    <cellStyle name="쉼표 [0] 4 3 3 28 2 2 3" xfId="16654"/>
    <cellStyle name="쉼표 [0] 4 3 3 28 2 2 3 2" xfId="42006"/>
    <cellStyle name="쉼표 [0] 4 3 3 28 2 2 4" xfId="29334"/>
    <cellStyle name="쉼표 [0] 4 3 3 28 2 2 5" xfId="52291"/>
    <cellStyle name="쉼표 [0] 4 3 3 28 2 3" xfId="7207"/>
    <cellStyle name="쉼표 [0] 4 3 3 28 2 3 2" xfId="19880"/>
    <cellStyle name="쉼표 [0] 4 3 3 28 2 3 2 2" xfId="45232"/>
    <cellStyle name="쉼표 [0] 4 3 3 28 2 3 3" xfId="32560"/>
    <cellStyle name="쉼표 [0] 4 3 3 28 2 4" xfId="13544"/>
    <cellStyle name="쉼표 [0] 4 3 3 28 2 4 2" xfId="38896"/>
    <cellStyle name="쉼표 [0] 4 3 3 28 2 5" xfId="26224"/>
    <cellStyle name="쉼표 [0] 4 3 3 28 2 6" xfId="52292"/>
    <cellStyle name="쉼표 [0] 4 3 3 28 3" xfId="3982"/>
    <cellStyle name="쉼표 [0] 4 3 3 28 3 2" xfId="10318"/>
    <cellStyle name="쉼표 [0] 4 3 3 28 3 2 2" xfId="22991"/>
    <cellStyle name="쉼표 [0] 4 3 3 28 3 2 2 2" xfId="48343"/>
    <cellStyle name="쉼표 [0] 4 3 3 28 3 2 3" xfId="35671"/>
    <cellStyle name="쉼표 [0] 4 3 3 28 3 3" xfId="16655"/>
    <cellStyle name="쉼표 [0] 4 3 3 28 3 3 2" xfId="42007"/>
    <cellStyle name="쉼표 [0] 4 3 3 28 3 4" xfId="29335"/>
    <cellStyle name="쉼표 [0] 4 3 3 28 3 5" xfId="52293"/>
    <cellStyle name="쉼표 [0] 4 3 3 28 4" xfId="7206"/>
    <cellStyle name="쉼표 [0] 4 3 3 28 4 2" xfId="19879"/>
    <cellStyle name="쉼표 [0] 4 3 3 28 4 2 2" xfId="45231"/>
    <cellStyle name="쉼표 [0] 4 3 3 28 4 3" xfId="32559"/>
    <cellStyle name="쉼표 [0] 4 3 3 28 5" xfId="13543"/>
    <cellStyle name="쉼표 [0] 4 3 3 28 5 2" xfId="38895"/>
    <cellStyle name="쉼표 [0] 4 3 3 28 6" xfId="26223"/>
    <cellStyle name="쉼표 [0] 4 3 3 28 7" xfId="52294"/>
    <cellStyle name="쉼표 [0] 4 3 3 29" xfId="871"/>
    <cellStyle name="쉼표 [0] 4 3 3 29 2" xfId="872"/>
    <cellStyle name="쉼표 [0] 4 3 3 29 2 2" xfId="3983"/>
    <cellStyle name="쉼표 [0] 4 3 3 29 2 2 2" xfId="10319"/>
    <cellStyle name="쉼표 [0] 4 3 3 29 2 2 2 2" xfId="22992"/>
    <cellStyle name="쉼표 [0] 4 3 3 29 2 2 2 2 2" xfId="48344"/>
    <cellStyle name="쉼표 [0] 4 3 3 29 2 2 2 3" xfId="35672"/>
    <cellStyle name="쉼표 [0] 4 3 3 29 2 2 3" xfId="16656"/>
    <cellStyle name="쉼표 [0] 4 3 3 29 2 2 3 2" xfId="42008"/>
    <cellStyle name="쉼표 [0] 4 3 3 29 2 2 4" xfId="29336"/>
    <cellStyle name="쉼표 [0] 4 3 3 29 2 2 5" xfId="52295"/>
    <cellStyle name="쉼표 [0] 4 3 3 29 2 3" xfId="7209"/>
    <cellStyle name="쉼표 [0] 4 3 3 29 2 3 2" xfId="19882"/>
    <cellStyle name="쉼표 [0] 4 3 3 29 2 3 2 2" xfId="45234"/>
    <cellStyle name="쉼표 [0] 4 3 3 29 2 3 3" xfId="32562"/>
    <cellStyle name="쉼표 [0] 4 3 3 29 2 4" xfId="13546"/>
    <cellStyle name="쉼표 [0] 4 3 3 29 2 4 2" xfId="38898"/>
    <cellStyle name="쉼표 [0] 4 3 3 29 2 5" xfId="26226"/>
    <cellStyle name="쉼표 [0] 4 3 3 29 2 6" xfId="52296"/>
    <cellStyle name="쉼표 [0] 4 3 3 29 3" xfId="3984"/>
    <cellStyle name="쉼표 [0] 4 3 3 29 3 2" xfId="10320"/>
    <cellStyle name="쉼표 [0] 4 3 3 29 3 2 2" xfId="22993"/>
    <cellStyle name="쉼표 [0] 4 3 3 29 3 2 2 2" xfId="48345"/>
    <cellStyle name="쉼표 [0] 4 3 3 29 3 2 3" xfId="35673"/>
    <cellStyle name="쉼표 [0] 4 3 3 29 3 3" xfId="16657"/>
    <cellStyle name="쉼표 [0] 4 3 3 29 3 3 2" xfId="42009"/>
    <cellStyle name="쉼표 [0] 4 3 3 29 3 4" xfId="29337"/>
    <cellStyle name="쉼표 [0] 4 3 3 29 3 5" xfId="52297"/>
    <cellStyle name="쉼표 [0] 4 3 3 29 4" xfId="7208"/>
    <cellStyle name="쉼표 [0] 4 3 3 29 4 2" xfId="19881"/>
    <cellStyle name="쉼표 [0] 4 3 3 29 4 2 2" xfId="45233"/>
    <cellStyle name="쉼표 [0] 4 3 3 29 4 3" xfId="32561"/>
    <cellStyle name="쉼표 [0] 4 3 3 29 5" xfId="13545"/>
    <cellStyle name="쉼표 [0] 4 3 3 29 5 2" xfId="38897"/>
    <cellStyle name="쉼표 [0] 4 3 3 29 6" xfId="26225"/>
    <cellStyle name="쉼표 [0] 4 3 3 29 7" xfId="52298"/>
    <cellStyle name="쉼표 [0] 4 3 3 3" xfId="873"/>
    <cellStyle name="쉼표 [0] 4 3 3 3 2" xfId="874"/>
    <cellStyle name="쉼표 [0] 4 3 3 3 2 2" xfId="3985"/>
    <cellStyle name="쉼표 [0] 4 3 3 3 2 2 2" xfId="10321"/>
    <cellStyle name="쉼표 [0] 4 3 3 3 2 2 2 2" xfId="22994"/>
    <cellStyle name="쉼표 [0] 4 3 3 3 2 2 2 2 2" xfId="48346"/>
    <cellStyle name="쉼표 [0] 4 3 3 3 2 2 2 3" xfId="35674"/>
    <cellStyle name="쉼표 [0] 4 3 3 3 2 2 3" xfId="16658"/>
    <cellStyle name="쉼표 [0] 4 3 3 3 2 2 3 2" xfId="42010"/>
    <cellStyle name="쉼표 [0] 4 3 3 3 2 2 4" xfId="29338"/>
    <cellStyle name="쉼표 [0] 4 3 3 3 2 2 5" xfId="52299"/>
    <cellStyle name="쉼표 [0] 4 3 3 3 2 3" xfId="7211"/>
    <cellStyle name="쉼표 [0] 4 3 3 3 2 3 2" xfId="19884"/>
    <cellStyle name="쉼표 [0] 4 3 3 3 2 3 2 2" xfId="45236"/>
    <cellStyle name="쉼표 [0] 4 3 3 3 2 3 3" xfId="32564"/>
    <cellStyle name="쉼표 [0] 4 3 3 3 2 4" xfId="13548"/>
    <cellStyle name="쉼표 [0] 4 3 3 3 2 4 2" xfId="38900"/>
    <cellStyle name="쉼표 [0] 4 3 3 3 2 5" xfId="26228"/>
    <cellStyle name="쉼표 [0] 4 3 3 3 2 6" xfId="52300"/>
    <cellStyle name="쉼표 [0] 4 3 3 3 3" xfId="3986"/>
    <cellStyle name="쉼표 [0] 4 3 3 3 3 2" xfId="10322"/>
    <cellStyle name="쉼표 [0] 4 3 3 3 3 2 2" xfId="22995"/>
    <cellStyle name="쉼표 [0] 4 3 3 3 3 2 2 2" xfId="48347"/>
    <cellStyle name="쉼표 [0] 4 3 3 3 3 2 3" xfId="35675"/>
    <cellStyle name="쉼표 [0] 4 3 3 3 3 3" xfId="16659"/>
    <cellStyle name="쉼표 [0] 4 3 3 3 3 3 2" xfId="42011"/>
    <cellStyle name="쉼표 [0] 4 3 3 3 3 4" xfId="29339"/>
    <cellStyle name="쉼표 [0] 4 3 3 3 3 5" xfId="52301"/>
    <cellStyle name="쉼표 [0] 4 3 3 3 4" xfId="7210"/>
    <cellStyle name="쉼표 [0] 4 3 3 3 4 2" xfId="19883"/>
    <cellStyle name="쉼표 [0] 4 3 3 3 4 2 2" xfId="45235"/>
    <cellStyle name="쉼표 [0] 4 3 3 3 4 3" xfId="32563"/>
    <cellStyle name="쉼표 [0] 4 3 3 3 5" xfId="13547"/>
    <cellStyle name="쉼표 [0] 4 3 3 3 5 2" xfId="38899"/>
    <cellStyle name="쉼표 [0] 4 3 3 3 6" xfId="26227"/>
    <cellStyle name="쉼표 [0] 4 3 3 3 7" xfId="52302"/>
    <cellStyle name="쉼표 [0] 4 3 3 30" xfId="875"/>
    <cellStyle name="쉼표 [0] 4 3 3 30 2" xfId="876"/>
    <cellStyle name="쉼표 [0] 4 3 3 30 2 2" xfId="3987"/>
    <cellStyle name="쉼표 [0] 4 3 3 30 2 2 2" xfId="10323"/>
    <cellStyle name="쉼표 [0] 4 3 3 30 2 2 2 2" xfId="22996"/>
    <cellStyle name="쉼표 [0] 4 3 3 30 2 2 2 2 2" xfId="48348"/>
    <cellStyle name="쉼표 [0] 4 3 3 30 2 2 2 3" xfId="35676"/>
    <cellStyle name="쉼표 [0] 4 3 3 30 2 2 3" xfId="16660"/>
    <cellStyle name="쉼표 [0] 4 3 3 30 2 2 3 2" xfId="42012"/>
    <cellStyle name="쉼표 [0] 4 3 3 30 2 2 4" xfId="29340"/>
    <cellStyle name="쉼표 [0] 4 3 3 30 2 2 5" xfId="52303"/>
    <cellStyle name="쉼표 [0] 4 3 3 30 2 3" xfId="7213"/>
    <cellStyle name="쉼표 [0] 4 3 3 30 2 3 2" xfId="19886"/>
    <cellStyle name="쉼표 [0] 4 3 3 30 2 3 2 2" xfId="45238"/>
    <cellStyle name="쉼표 [0] 4 3 3 30 2 3 3" xfId="32566"/>
    <cellStyle name="쉼표 [0] 4 3 3 30 2 4" xfId="13550"/>
    <cellStyle name="쉼표 [0] 4 3 3 30 2 4 2" xfId="38902"/>
    <cellStyle name="쉼표 [0] 4 3 3 30 2 5" xfId="26230"/>
    <cellStyle name="쉼표 [0] 4 3 3 30 2 6" xfId="52304"/>
    <cellStyle name="쉼표 [0] 4 3 3 30 3" xfId="3988"/>
    <cellStyle name="쉼표 [0] 4 3 3 30 3 2" xfId="10324"/>
    <cellStyle name="쉼표 [0] 4 3 3 30 3 2 2" xfId="22997"/>
    <cellStyle name="쉼표 [0] 4 3 3 30 3 2 2 2" xfId="48349"/>
    <cellStyle name="쉼표 [0] 4 3 3 30 3 2 3" xfId="35677"/>
    <cellStyle name="쉼표 [0] 4 3 3 30 3 3" xfId="16661"/>
    <cellStyle name="쉼표 [0] 4 3 3 30 3 3 2" xfId="42013"/>
    <cellStyle name="쉼표 [0] 4 3 3 30 3 4" xfId="29341"/>
    <cellStyle name="쉼표 [0] 4 3 3 30 3 5" xfId="52305"/>
    <cellStyle name="쉼표 [0] 4 3 3 30 4" xfId="7212"/>
    <cellStyle name="쉼표 [0] 4 3 3 30 4 2" xfId="19885"/>
    <cellStyle name="쉼표 [0] 4 3 3 30 4 2 2" xfId="45237"/>
    <cellStyle name="쉼표 [0] 4 3 3 30 4 3" xfId="32565"/>
    <cellStyle name="쉼표 [0] 4 3 3 30 5" xfId="13549"/>
    <cellStyle name="쉼표 [0] 4 3 3 30 5 2" xfId="38901"/>
    <cellStyle name="쉼표 [0] 4 3 3 30 6" xfId="26229"/>
    <cellStyle name="쉼표 [0] 4 3 3 30 7" xfId="52306"/>
    <cellStyle name="쉼표 [0] 4 3 3 31" xfId="877"/>
    <cellStyle name="쉼표 [0] 4 3 3 31 2" xfId="878"/>
    <cellStyle name="쉼표 [0] 4 3 3 31 2 2" xfId="3989"/>
    <cellStyle name="쉼표 [0] 4 3 3 31 2 2 2" xfId="10325"/>
    <cellStyle name="쉼표 [0] 4 3 3 31 2 2 2 2" xfId="22998"/>
    <cellStyle name="쉼표 [0] 4 3 3 31 2 2 2 2 2" xfId="48350"/>
    <cellStyle name="쉼표 [0] 4 3 3 31 2 2 2 3" xfId="35678"/>
    <cellStyle name="쉼표 [0] 4 3 3 31 2 2 3" xfId="16662"/>
    <cellStyle name="쉼표 [0] 4 3 3 31 2 2 3 2" xfId="42014"/>
    <cellStyle name="쉼표 [0] 4 3 3 31 2 2 4" xfId="29342"/>
    <cellStyle name="쉼표 [0] 4 3 3 31 2 2 5" xfId="52307"/>
    <cellStyle name="쉼표 [0] 4 3 3 31 2 3" xfId="7215"/>
    <cellStyle name="쉼표 [0] 4 3 3 31 2 3 2" xfId="19888"/>
    <cellStyle name="쉼표 [0] 4 3 3 31 2 3 2 2" xfId="45240"/>
    <cellStyle name="쉼표 [0] 4 3 3 31 2 3 3" xfId="32568"/>
    <cellStyle name="쉼표 [0] 4 3 3 31 2 4" xfId="13552"/>
    <cellStyle name="쉼표 [0] 4 3 3 31 2 4 2" xfId="38904"/>
    <cellStyle name="쉼표 [0] 4 3 3 31 2 5" xfId="26232"/>
    <cellStyle name="쉼표 [0] 4 3 3 31 2 6" xfId="52308"/>
    <cellStyle name="쉼표 [0] 4 3 3 31 3" xfId="3990"/>
    <cellStyle name="쉼표 [0] 4 3 3 31 3 2" xfId="10326"/>
    <cellStyle name="쉼표 [0] 4 3 3 31 3 2 2" xfId="22999"/>
    <cellStyle name="쉼표 [0] 4 3 3 31 3 2 2 2" xfId="48351"/>
    <cellStyle name="쉼표 [0] 4 3 3 31 3 2 3" xfId="35679"/>
    <cellStyle name="쉼표 [0] 4 3 3 31 3 3" xfId="16663"/>
    <cellStyle name="쉼표 [0] 4 3 3 31 3 3 2" xfId="42015"/>
    <cellStyle name="쉼표 [0] 4 3 3 31 3 4" xfId="29343"/>
    <cellStyle name="쉼표 [0] 4 3 3 31 3 5" xfId="52309"/>
    <cellStyle name="쉼표 [0] 4 3 3 31 4" xfId="7214"/>
    <cellStyle name="쉼표 [0] 4 3 3 31 4 2" xfId="19887"/>
    <cellStyle name="쉼표 [0] 4 3 3 31 4 2 2" xfId="45239"/>
    <cellStyle name="쉼표 [0] 4 3 3 31 4 3" xfId="32567"/>
    <cellStyle name="쉼표 [0] 4 3 3 31 5" xfId="13551"/>
    <cellStyle name="쉼표 [0] 4 3 3 31 5 2" xfId="38903"/>
    <cellStyle name="쉼표 [0] 4 3 3 31 6" xfId="26231"/>
    <cellStyle name="쉼표 [0] 4 3 3 31 7" xfId="52310"/>
    <cellStyle name="쉼표 [0] 4 3 3 32" xfId="879"/>
    <cellStyle name="쉼표 [0] 4 3 3 32 2" xfId="880"/>
    <cellStyle name="쉼표 [0] 4 3 3 32 2 2" xfId="3991"/>
    <cellStyle name="쉼표 [0] 4 3 3 32 2 2 2" xfId="10327"/>
    <cellStyle name="쉼표 [0] 4 3 3 32 2 2 2 2" xfId="23000"/>
    <cellStyle name="쉼표 [0] 4 3 3 32 2 2 2 2 2" xfId="48352"/>
    <cellStyle name="쉼표 [0] 4 3 3 32 2 2 2 3" xfId="35680"/>
    <cellStyle name="쉼표 [0] 4 3 3 32 2 2 3" xfId="16664"/>
    <cellStyle name="쉼표 [0] 4 3 3 32 2 2 3 2" xfId="42016"/>
    <cellStyle name="쉼표 [0] 4 3 3 32 2 2 4" xfId="29344"/>
    <cellStyle name="쉼표 [0] 4 3 3 32 2 2 5" xfId="52311"/>
    <cellStyle name="쉼표 [0] 4 3 3 32 2 3" xfId="7217"/>
    <cellStyle name="쉼표 [0] 4 3 3 32 2 3 2" xfId="19890"/>
    <cellStyle name="쉼표 [0] 4 3 3 32 2 3 2 2" xfId="45242"/>
    <cellStyle name="쉼표 [0] 4 3 3 32 2 3 3" xfId="32570"/>
    <cellStyle name="쉼표 [0] 4 3 3 32 2 4" xfId="13554"/>
    <cellStyle name="쉼표 [0] 4 3 3 32 2 4 2" xfId="38906"/>
    <cellStyle name="쉼표 [0] 4 3 3 32 2 5" xfId="26234"/>
    <cellStyle name="쉼표 [0] 4 3 3 32 2 6" xfId="52312"/>
    <cellStyle name="쉼표 [0] 4 3 3 32 3" xfId="3992"/>
    <cellStyle name="쉼표 [0] 4 3 3 32 3 2" xfId="10328"/>
    <cellStyle name="쉼표 [0] 4 3 3 32 3 2 2" xfId="23001"/>
    <cellStyle name="쉼표 [0] 4 3 3 32 3 2 2 2" xfId="48353"/>
    <cellStyle name="쉼표 [0] 4 3 3 32 3 2 3" xfId="35681"/>
    <cellStyle name="쉼표 [0] 4 3 3 32 3 3" xfId="16665"/>
    <cellStyle name="쉼표 [0] 4 3 3 32 3 3 2" xfId="42017"/>
    <cellStyle name="쉼표 [0] 4 3 3 32 3 4" xfId="29345"/>
    <cellStyle name="쉼표 [0] 4 3 3 32 3 5" xfId="52313"/>
    <cellStyle name="쉼표 [0] 4 3 3 32 4" xfId="7216"/>
    <cellStyle name="쉼표 [0] 4 3 3 32 4 2" xfId="19889"/>
    <cellStyle name="쉼표 [0] 4 3 3 32 4 2 2" xfId="45241"/>
    <cellStyle name="쉼표 [0] 4 3 3 32 4 3" xfId="32569"/>
    <cellStyle name="쉼표 [0] 4 3 3 32 5" xfId="13553"/>
    <cellStyle name="쉼표 [0] 4 3 3 32 5 2" xfId="38905"/>
    <cellStyle name="쉼표 [0] 4 3 3 32 6" xfId="26233"/>
    <cellStyle name="쉼표 [0] 4 3 3 32 7" xfId="52314"/>
    <cellStyle name="쉼표 [0] 4 3 3 33" xfId="881"/>
    <cellStyle name="쉼표 [0] 4 3 3 33 2" xfId="882"/>
    <cellStyle name="쉼표 [0] 4 3 3 33 2 2" xfId="3993"/>
    <cellStyle name="쉼표 [0] 4 3 3 33 2 2 2" xfId="10329"/>
    <cellStyle name="쉼표 [0] 4 3 3 33 2 2 2 2" xfId="23002"/>
    <cellStyle name="쉼표 [0] 4 3 3 33 2 2 2 2 2" xfId="48354"/>
    <cellStyle name="쉼표 [0] 4 3 3 33 2 2 2 3" xfId="35682"/>
    <cellStyle name="쉼표 [0] 4 3 3 33 2 2 3" xfId="16666"/>
    <cellStyle name="쉼표 [0] 4 3 3 33 2 2 3 2" xfId="42018"/>
    <cellStyle name="쉼표 [0] 4 3 3 33 2 2 4" xfId="29346"/>
    <cellStyle name="쉼표 [0] 4 3 3 33 2 2 5" xfId="52315"/>
    <cellStyle name="쉼표 [0] 4 3 3 33 2 3" xfId="7219"/>
    <cellStyle name="쉼표 [0] 4 3 3 33 2 3 2" xfId="19892"/>
    <cellStyle name="쉼표 [0] 4 3 3 33 2 3 2 2" xfId="45244"/>
    <cellStyle name="쉼표 [0] 4 3 3 33 2 3 3" xfId="32572"/>
    <cellStyle name="쉼표 [0] 4 3 3 33 2 4" xfId="13556"/>
    <cellStyle name="쉼표 [0] 4 3 3 33 2 4 2" xfId="38908"/>
    <cellStyle name="쉼표 [0] 4 3 3 33 2 5" xfId="26236"/>
    <cellStyle name="쉼표 [0] 4 3 3 33 2 6" xfId="52316"/>
    <cellStyle name="쉼표 [0] 4 3 3 33 3" xfId="3994"/>
    <cellStyle name="쉼표 [0] 4 3 3 33 3 2" xfId="10330"/>
    <cellStyle name="쉼표 [0] 4 3 3 33 3 2 2" xfId="23003"/>
    <cellStyle name="쉼표 [0] 4 3 3 33 3 2 2 2" xfId="48355"/>
    <cellStyle name="쉼표 [0] 4 3 3 33 3 2 3" xfId="35683"/>
    <cellStyle name="쉼표 [0] 4 3 3 33 3 3" xfId="16667"/>
    <cellStyle name="쉼표 [0] 4 3 3 33 3 3 2" xfId="42019"/>
    <cellStyle name="쉼표 [0] 4 3 3 33 3 4" xfId="29347"/>
    <cellStyle name="쉼표 [0] 4 3 3 33 3 5" xfId="52317"/>
    <cellStyle name="쉼표 [0] 4 3 3 33 4" xfId="7218"/>
    <cellStyle name="쉼표 [0] 4 3 3 33 4 2" xfId="19891"/>
    <cellStyle name="쉼표 [0] 4 3 3 33 4 2 2" xfId="45243"/>
    <cellStyle name="쉼표 [0] 4 3 3 33 4 3" xfId="32571"/>
    <cellStyle name="쉼표 [0] 4 3 3 33 5" xfId="13555"/>
    <cellStyle name="쉼표 [0] 4 3 3 33 5 2" xfId="38907"/>
    <cellStyle name="쉼표 [0] 4 3 3 33 6" xfId="26235"/>
    <cellStyle name="쉼표 [0] 4 3 3 33 7" xfId="52318"/>
    <cellStyle name="쉼표 [0] 4 3 3 34" xfId="883"/>
    <cellStyle name="쉼표 [0] 4 3 3 34 2" xfId="3995"/>
    <cellStyle name="쉼표 [0] 4 3 3 34 2 2" xfId="10331"/>
    <cellStyle name="쉼표 [0] 4 3 3 34 2 2 2" xfId="23004"/>
    <cellStyle name="쉼표 [0] 4 3 3 34 2 2 2 2" xfId="48356"/>
    <cellStyle name="쉼표 [0] 4 3 3 34 2 2 3" xfId="35684"/>
    <cellStyle name="쉼표 [0] 4 3 3 34 2 3" xfId="16668"/>
    <cellStyle name="쉼표 [0] 4 3 3 34 2 3 2" xfId="42020"/>
    <cellStyle name="쉼표 [0] 4 3 3 34 2 4" xfId="29348"/>
    <cellStyle name="쉼표 [0] 4 3 3 34 2 5" xfId="52319"/>
    <cellStyle name="쉼표 [0] 4 3 3 34 3" xfId="7220"/>
    <cellStyle name="쉼표 [0] 4 3 3 34 3 2" xfId="19893"/>
    <cellStyle name="쉼표 [0] 4 3 3 34 3 2 2" xfId="45245"/>
    <cellStyle name="쉼표 [0] 4 3 3 34 3 3" xfId="32573"/>
    <cellStyle name="쉼표 [0] 4 3 3 34 4" xfId="13557"/>
    <cellStyle name="쉼표 [0] 4 3 3 34 4 2" xfId="38909"/>
    <cellStyle name="쉼표 [0] 4 3 3 34 5" xfId="26237"/>
    <cellStyle name="쉼표 [0] 4 3 3 34 6" xfId="52320"/>
    <cellStyle name="쉼표 [0] 4 3 3 35" xfId="3996"/>
    <cellStyle name="쉼표 [0] 4 3 3 35 2" xfId="10332"/>
    <cellStyle name="쉼표 [0] 4 3 3 35 2 2" xfId="23005"/>
    <cellStyle name="쉼표 [0] 4 3 3 35 2 2 2" xfId="48357"/>
    <cellStyle name="쉼표 [0] 4 3 3 35 2 3" xfId="35685"/>
    <cellStyle name="쉼표 [0] 4 3 3 35 3" xfId="16669"/>
    <cellStyle name="쉼표 [0] 4 3 3 35 3 2" xfId="42021"/>
    <cellStyle name="쉼표 [0] 4 3 3 35 4" xfId="29349"/>
    <cellStyle name="쉼표 [0] 4 3 3 35 5" xfId="52321"/>
    <cellStyle name="쉼표 [0] 4 3 3 36" xfId="6405"/>
    <cellStyle name="쉼표 [0] 4 3 3 36 2" xfId="19078"/>
    <cellStyle name="쉼표 [0] 4 3 3 36 2 2" xfId="44430"/>
    <cellStyle name="쉼표 [0] 4 3 3 36 3" xfId="31758"/>
    <cellStyle name="쉼표 [0] 4 3 3 37" xfId="12742"/>
    <cellStyle name="쉼표 [0] 4 3 3 37 2" xfId="38094"/>
    <cellStyle name="쉼표 [0] 4 3 3 38" xfId="25422"/>
    <cellStyle name="쉼표 [0] 4 3 3 39" xfId="52322"/>
    <cellStyle name="쉼표 [0] 4 3 3 4" xfId="884"/>
    <cellStyle name="쉼표 [0] 4 3 3 4 2" xfId="885"/>
    <cellStyle name="쉼표 [0] 4 3 3 4 2 2" xfId="3997"/>
    <cellStyle name="쉼표 [0] 4 3 3 4 2 2 2" xfId="10333"/>
    <cellStyle name="쉼표 [0] 4 3 3 4 2 2 2 2" xfId="23006"/>
    <cellStyle name="쉼표 [0] 4 3 3 4 2 2 2 2 2" xfId="48358"/>
    <cellStyle name="쉼표 [0] 4 3 3 4 2 2 2 3" xfId="35686"/>
    <cellStyle name="쉼표 [0] 4 3 3 4 2 2 3" xfId="16670"/>
    <cellStyle name="쉼표 [0] 4 3 3 4 2 2 3 2" xfId="42022"/>
    <cellStyle name="쉼표 [0] 4 3 3 4 2 2 4" xfId="29350"/>
    <cellStyle name="쉼표 [0] 4 3 3 4 2 2 5" xfId="52323"/>
    <cellStyle name="쉼표 [0] 4 3 3 4 2 3" xfId="7222"/>
    <cellStyle name="쉼표 [0] 4 3 3 4 2 3 2" xfId="19895"/>
    <cellStyle name="쉼표 [0] 4 3 3 4 2 3 2 2" xfId="45247"/>
    <cellStyle name="쉼표 [0] 4 3 3 4 2 3 3" xfId="32575"/>
    <cellStyle name="쉼표 [0] 4 3 3 4 2 4" xfId="13559"/>
    <cellStyle name="쉼표 [0] 4 3 3 4 2 4 2" xfId="38911"/>
    <cellStyle name="쉼표 [0] 4 3 3 4 2 5" xfId="26239"/>
    <cellStyle name="쉼표 [0] 4 3 3 4 2 6" xfId="52324"/>
    <cellStyle name="쉼표 [0] 4 3 3 4 3" xfId="3998"/>
    <cellStyle name="쉼표 [0] 4 3 3 4 3 2" xfId="10334"/>
    <cellStyle name="쉼표 [0] 4 3 3 4 3 2 2" xfId="23007"/>
    <cellStyle name="쉼표 [0] 4 3 3 4 3 2 2 2" xfId="48359"/>
    <cellStyle name="쉼표 [0] 4 3 3 4 3 2 3" xfId="35687"/>
    <cellStyle name="쉼표 [0] 4 3 3 4 3 3" xfId="16671"/>
    <cellStyle name="쉼표 [0] 4 3 3 4 3 3 2" xfId="42023"/>
    <cellStyle name="쉼표 [0] 4 3 3 4 3 4" xfId="29351"/>
    <cellStyle name="쉼표 [0] 4 3 3 4 3 5" xfId="52325"/>
    <cellStyle name="쉼표 [0] 4 3 3 4 4" xfId="7221"/>
    <cellStyle name="쉼표 [0] 4 3 3 4 4 2" xfId="19894"/>
    <cellStyle name="쉼표 [0] 4 3 3 4 4 2 2" xfId="45246"/>
    <cellStyle name="쉼표 [0] 4 3 3 4 4 3" xfId="32574"/>
    <cellStyle name="쉼표 [0] 4 3 3 4 5" xfId="13558"/>
    <cellStyle name="쉼표 [0] 4 3 3 4 5 2" xfId="38910"/>
    <cellStyle name="쉼표 [0] 4 3 3 4 6" xfId="26238"/>
    <cellStyle name="쉼표 [0] 4 3 3 4 7" xfId="52326"/>
    <cellStyle name="쉼표 [0] 4 3 3 5" xfId="886"/>
    <cellStyle name="쉼표 [0] 4 3 3 5 2" xfId="887"/>
    <cellStyle name="쉼표 [0] 4 3 3 5 2 2" xfId="3999"/>
    <cellStyle name="쉼표 [0] 4 3 3 5 2 2 2" xfId="10335"/>
    <cellStyle name="쉼표 [0] 4 3 3 5 2 2 2 2" xfId="23008"/>
    <cellStyle name="쉼표 [0] 4 3 3 5 2 2 2 2 2" xfId="48360"/>
    <cellStyle name="쉼표 [0] 4 3 3 5 2 2 2 3" xfId="35688"/>
    <cellStyle name="쉼표 [0] 4 3 3 5 2 2 3" xfId="16672"/>
    <cellStyle name="쉼표 [0] 4 3 3 5 2 2 3 2" xfId="42024"/>
    <cellStyle name="쉼표 [0] 4 3 3 5 2 2 4" xfId="29352"/>
    <cellStyle name="쉼표 [0] 4 3 3 5 2 2 5" xfId="52327"/>
    <cellStyle name="쉼표 [0] 4 3 3 5 2 3" xfId="7224"/>
    <cellStyle name="쉼표 [0] 4 3 3 5 2 3 2" xfId="19897"/>
    <cellStyle name="쉼표 [0] 4 3 3 5 2 3 2 2" xfId="45249"/>
    <cellStyle name="쉼표 [0] 4 3 3 5 2 3 3" xfId="32577"/>
    <cellStyle name="쉼표 [0] 4 3 3 5 2 4" xfId="13561"/>
    <cellStyle name="쉼표 [0] 4 3 3 5 2 4 2" xfId="38913"/>
    <cellStyle name="쉼표 [0] 4 3 3 5 2 5" xfId="26241"/>
    <cellStyle name="쉼표 [0] 4 3 3 5 2 6" xfId="52328"/>
    <cellStyle name="쉼표 [0] 4 3 3 5 3" xfId="4000"/>
    <cellStyle name="쉼표 [0] 4 3 3 5 3 2" xfId="10336"/>
    <cellStyle name="쉼표 [0] 4 3 3 5 3 2 2" xfId="23009"/>
    <cellStyle name="쉼표 [0] 4 3 3 5 3 2 2 2" xfId="48361"/>
    <cellStyle name="쉼표 [0] 4 3 3 5 3 2 3" xfId="35689"/>
    <cellStyle name="쉼표 [0] 4 3 3 5 3 3" xfId="16673"/>
    <cellStyle name="쉼표 [0] 4 3 3 5 3 3 2" xfId="42025"/>
    <cellStyle name="쉼표 [0] 4 3 3 5 3 4" xfId="29353"/>
    <cellStyle name="쉼표 [0] 4 3 3 5 3 5" xfId="52329"/>
    <cellStyle name="쉼표 [0] 4 3 3 5 4" xfId="7223"/>
    <cellStyle name="쉼표 [0] 4 3 3 5 4 2" xfId="19896"/>
    <cellStyle name="쉼표 [0] 4 3 3 5 4 2 2" xfId="45248"/>
    <cellStyle name="쉼표 [0] 4 3 3 5 4 3" xfId="32576"/>
    <cellStyle name="쉼표 [0] 4 3 3 5 5" xfId="13560"/>
    <cellStyle name="쉼표 [0] 4 3 3 5 5 2" xfId="38912"/>
    <cellStyle name="쉼표 [0] 4 3 3 5 6" xfId="26240"/>
    <cellStyle name="쉼표 [0] 4 3 3 5 7" xfId="52330"/>
    <cellStyle name="쉼표 [0] 4 3 3 6" xfId="888"/>
    <cellStyle name="쉼표 [0] 4 3 3 6 2" xfId="889"/>
    <cellStyle name="쉼표 [0] 4 3 3 6 2 2" xfId="4001"/>
    <cellStyle name="쉼표 [0] 4 3 3 6 2 2 2" xfId="10337"/>
    <cellStyle name="쉼표 [0] 4 3 3 6 2 2 2 2" xfId="23010"/>
    <cellStyle name="쉼표 [0] 4 3 3 6 2 2 2 2 2" xfId="48362"/>
    <cellStyle name="쉼표 [0] 4 3 3 6 2 2 2 3" xfId="35690"/>
    <cellStyle name="쉼표 [0] 4 3 3 6 2 2 3" xfId="16674"/>
    <cellStyle name="쉼표 [0] 4 3 3 6 2 2 3 2" xfId="42026"/>
    <cellStyle name="쉼표 [0] 4 3 3 6 2 2 4" xfId="29354"/>
    <cellStyle name="쉼표 [0] 4 3 3 6 2 2 5" xfId="52331"/>
    <cellStyle name="쉼표 [0] 4 3 3 6 2 3" xfId="7226"/>
    <cellStyle name="쉼표 [0] 4 3 3 6 2 3 2" xfId="19899"/>
    <cellStyle name="쉼표 [0] 4 3 3 6 2 3 2 2" xfId="45251"/>
    <cellStyle name="쉼표 [0] 4 3 3 6 2 3 3" xfId="32579"/>
    <cellStyle name="쉼표 [0] 4 3 3 6 2 4" xfId="13563"/>
    <cellStyle name="쉼표 [0] 4 3 3 6 2 4 2" xfId="38915"/>
    <cellStyle name="쉼표 [0] 4 3 3 6 2 5" xfId="26243"/>
    <cellStyle name="쉼표 [0] 4 3 3 6 2 6" xfId="52332"/>
    <cellStyle name="쉼표 [0] 4 3 3 6 3" xfId="4002"/>
    <cellStyle name="쉼표 [0] 4 3 3 6 3 2" xfId="10338"/>
    <cellStyle name="쉼표 [0] 4 3 3 6 3 2 2" xfId="23011"/>
    <cellStyle name="쉼표 [0] 4 3 3 6 3 2 2 2" xfId="48363"/>
    <cellStyle name="쉼표 [0] 4 3 3 6 3 2 3" xfId="35691"/>
    <cellStyle name="쉼표 [0] 4 3 3 6 3 3" xfId="16675"/>
    <cellStyle name="쉼표 [0] 4 3 3 6 3 3 2" xfId="42027"/>
    <cellStyle name="쉼표 [0] 4 3 3 6 3 4" xfId="29355"/>
    <cellStyle name="쉼표 [0] 4 3 3 6 3 5" xfId="52333"/>
    <cellStyle name="쉼표 [0] 4 3 3 6 4" xfId="7225"/>
    <cellStyle name="쉼표 [0] 4 3 3 6 4 2" xfId="19898"/>
    <cellStyle name="쉼표 [0] 4 3 3 6 4 2 2" xfId="45250"/>
    <cellStyle name="쉼표 [0] 4 3 3 6 4 3" xfId="32578"/>
    <cellStyle name="쉼표 [0] 4 3 3 6 5" xfId="13562"/>
    <cellStyle name="쉼표 [0] 4 3 3 6 5 2" xfId="38914"/>
    <cellStyle name="쉼표 [0] 4 3 3 6 6" xfId="26242"/>
    <cellStyle name="쉼표 [0] 4 3 3 6 7" xfId="52334"/>
    <cellStyle name="쉼표 [0] 4 3 3 7" xfId="890"/>
    <cellStyle name="쉼표 [0] 4 3 3 7 2" xfId="891"/>
    <cellStyle name="쉼표 [0] 4 3 3 7 2 2" xfId="4003"/>
    <cellStyle name="쉼표 [0] 4 3 3 7 2 2 2" xfId="10339"/>
    <cellStyle name="쉼표 [0] 4 3 3 7 2 2 2 2" xfId="23012"/>
    <cellStyle name="쉼표 [0] 4 3 3 7 2 2 2 2 2" xfId="48364"/>
    <cellStyle name="쉼표 [0] 4 3 3 7 2 2 2 3" xfId="35692"/>
    <cellStyle name="쉼표 [0] 4 3 3 7 2 2 3" xfId="16676"/>
    <cellStyle name="쉼표 [0] 4 3 3 7 2 2 3 2" xfId="42028"/>
    <cellStyle name="쉼표 [0] 4 3 3 7 2 2 4" xfId="29356"/>
    <cellStyle name="쉼표 [0] 4 3 3 7 2 2 5" xfId="52335"/>
    <cellStyle name="쉼표 [0] 4 3 3 7 2 3" xfId="7228"/>
    <cellStyle name="쉼표 [0] 4 3 3 7 2 3 2" xfId="19901"/>
    <cellStyle name="쉼표 [0] 4 3 3 7 2 3 2 2" xfId="45253"/>
    <cellStyle name="쉼표 [0] 4 3 3 7 2 3 3" xfId="32581"/>
    <cellStyle name="쉼표 [0] 4 3 3 7 2 4" xfId="13565"/>
    <cellStyle name="쉼표 [0] 4 3 3 7 2 4 2" xfId="38917"/>
    <cellStyle name="쉼표 [0] 4 3 3 7 2 5" xfId="26245"/>
    <cellStyle name="쉼표 [0] 4 3 3 7 2 6" xfId="52336"/>
    <cellStyle name="쉼표 [0] 4 3 3 7 3" xfId="4004"/>
    <cellStyle name="쉼표 [0] 4 3 3 7 3 2" xfId="10340"/>
    <cellStyle name="쉼표 [0] 4 3 3 7 3 2 2" xfId="23013"/>
    <cellStyle name="쉼표 [0] 4 3 3 7 3 2 2 2" xfId="48365"/>
    <cellStyle name="쉼표 [0] 4 3 3 7 3 2 3" xfId="35693"/>
    <cellStyle name="쉼표 [0] 4 3 3 7 3 3" xfId="16677"/>
    <cellStyle name="쉼표 [0] 4 3 3 7 3 3 2" xfId="42029"/>
    <cellStyle name="쉼표 [0] 4 3 3 7 3 4" xfId="29357"/>
    <cellStyle name="쉼표 [0] 4 3 3 7 3 5" xfId="52337"/>
    <cellStyle name="쉼표 [0] 4 3 3 7 4" xfId="7227"/>
    <cellStyle name="쉼표 [0] 4 3 3 7 4 2" xfId="19900"/>
    <cellStyle name="쉼표 [0] 4 3 3 7 4 2 2" xfId="45252"/>
    <cellStyle name="쉼표 [0] 4 3 3 7 4 3" xfId="32580"/>
    <cellStyle name="쉼표 [0] 4 3 3 7 5" xfId="13564"/>
    <cellStyle name="쉼표 [0] 4 3 3 7 5 2" xfId="38916"/>
    <cellStyle name="쉼표 [0] 4 3 3 7 6" xfId="26244"/>
    <cellStyle name="쉼표 [0] 4 3 3 7 7" xfId="52338"/>
    <cellStyle name="쉼표 [0] 4 3 3 8" xfId="892"/>
    <cellStyle name="쉼표 [0] 4 3 3 8 2" xfId="893"/>
    <cellStyle name="쉼표 [0] 4 3 3 8 2 2" xfId="4005"/>
    <cellStyle name="쉼표 [0] 4 3 3 8 2 2 2" xfId="10341"/>
    <cellStyle name="쉼표 [0] 4 3 3 8 2 2 2 2" xfId="23014"/>
    <cellStyle name="쉼표 [0] 4 3 3 8 2 2 2 2 2" xfId="48366"/>
    <cellStyle name="쉼표 [0] 4 3 3 8 2 2 2 3" xfId="35694"/>
    <cellStyle name="쉼표 [0] 4 3 3 8 2 2 3" xfId="16678"/>
    <cellStyle name="쉼표 [0] 4 3 3 8 2 2 3 2" xfId="42030"/>
    <cellStyle name="쉼표 [0] 4 3 3 8 2 2 4" xfId="29358"/>
    <cellStyle name="쉼표 [0] 4 3 3 8 2 2 5" xfId="52339"/>
    <cellStyle name="쉼표 [0] 4 3 3 8 2 3" xfId="7230"/>
    <cellStyle name="쉼표 [0] 4 3 3 8 2 3 2" xfId="19903"/>
    <cellStyle name="쉼표 [0] 4 3 3 8 2 3 2 2" xfId="45255"/>
    <cellStyle name="쉼표 [0] 4 3 3 8 2 3 3" xfId="32583"/>
    <cellStyle name="쉼표 [0] 4 3 3 8 2 4" xfId="13567"/>
    <cellStyle name="쉼표 [0] 4 3 3 8 2 4 2" xfId="38919"/>
    <cellStyle name="쉼표 [0] 4 3 3 8 2 5" xfId="26247"/>
    <cellStyle name="쉼표 [0] 4 3 3 8 2 6" xfId="52340"/>
    <cellStyle name="쉼표 [0] 4 3 3 8 3" xfId="4006"/>
    <cellStyle name="쉼표 [0] 4 3 3 8 3 2" xfId="10342"/>
    <cellStyle name="쉼표 [0] 4 3 3 8 3 2 2" xfId="23015"/>
    <cellStyle name="쉼표 [0] 4 3 3 8 3 2 2 2" xfId="48367"/>
    <cellStyle name="쉼표 [0] 4 3 3 8 3 2 3" xfId="35695"/>
    <cellStyle name="쉼표 [0] 4 3 3 8 3 3" xfId="16679"/>
    <cellStyle name="쉼표 [0] 4 3 3 8 3 3 2" xfId="42031"/>
    <cellStyle name="쉼표 [0] 4 3 3 8 3 4" xfId="29359"/>
    <cellStyle name="쉼표 [0] 4 3 3 8 3 5" xfId="52341"/>
    <cellStyle name="쉼표 [0] 4 3 3 8 4" xfId="7229"/>
    <cellStyle name="쉼표 [0] 4 3 3 8 4 2" xfId="19902"/>
    <cellStyle name="쉼표 [0] 4 3 3 8 4 2 2" xfId="45254"/>
    <cellStyle name="쉼표 [0] 4 3 3 8 4 3" xfId="32582"/>
    <cellStyle name="쉼표 [0] 4 3 3 8 5" xfId="13566"/>
    <cellStyle name="쉼표 [0] 4 3 3 8 5 2" xfId="38918"/>
    <cellStyle name="쉼표 [0] 4 3 3 8 6" xfId="26246"/>
    <cellStyle name="쉼표 [0] 4 3 3 8 7" xfId="52342"/>
    <cellStyle name="쉼표 [0] 4 3 3 9" xfId="894"/>
    <cellStyle name="쉼표 [0] 4 3 3 9 2" xfId="895"/>
    <cellStyle name="쉼표 [0] 4 3 3 9 2 2" xfId="4007"/>
    <cellStyle name="쉼표 [0] 4 3 3 9 2 2 2" xfId="10343"/>
    <cellStyle name="쉼표 [0] 4 3 3 9 2 2 2 2" xfId="23016"/>
    <cellStyle name="쉼표 [0] 4 3 3 9 2 2 2 2 2" xfId="48368"/>
    <cellStyle name="쉼표 [0] 4 3 3 9 2 2 2 3" xfId="35696"/>
    <cellStyle name="쉼표 [0] 4 3 3 9 2 2 3" xfId="16680"/>
    <cellStyle name="쉼표 [0] 4 3 3 9 2 2 3 2" xfId="42032"/>
    <cellStyle name="쉼표 [0] 4 3 3 9 2 2 4" xfId="29360"/>
    <cellStyle name="쉼표 [0] 4 3 3 9 2 2 5" xfId="52343"/>
    <cellStyle name="쉼표 [0] 4 3 3 9 2 3" xfId="7232"/>
    <cellStyle name="쉼표 [0] 4 3 3 9 2 3 2" xfId="19905"/>
    <cellStyle name="쉼표 [0] 4 3 3 9 2 3 2 2" xfId="45257"/>
    <cellStyle name="쉼표 [0] 4 3 3 9 2 3 3" xfId="32585"/>
    <cellStyle name="쉼표 [0] 4 3 3 9 2 4" xfId="13569"/>
    <cellStyle name="쉼표 [0] 4 3 3 9 2 4 2" xfId="38921"/>
    <cellStyle name="쉼표 [0] 4 3 3 9 2 5" xfId="26249"/>
    <cellStyle name="쉼표 [0] 4 3 3 9 2 6" xfId="52344"/>
    <cellStyle name="쉼표 [0] 4 3 3 9 3" xfId="4008"/>
    <cellStyle name="쉼표 [0] 4 3 3 9 3 2" xfId="10344"/>
    <cellStyle name="쉼표 [0] 4 3 3 9 3 2 2" xfId="23017"/>
    <cellStyle name="쉼표 [0] 4 3 3 9 3 2 2 2" xfId="48369"/>
    <cellStyle name="쉼표 [0] 4 3 3 9 3 2 3" xfId="35697"/>
    <cellStyle name="쉼표 [0] 4 3 3 9 3 3" xfId="16681"/>
    <cellStyle name="쉼표 [0] 4 3 3 9 3 3 2" xfId="42033"/>
    <cellStyle name="쉼표 [0] 4 3 3 9 3 4" xfId="29361"/>
    <cellStyle name="쉼표 [0] 4 3 3 9 3 5" xfId="52345"/>
    <cellStyle name="쉼표 [0] 4 3 3 9 4" xfId="7231"/>
    <cellStyle name="쉼표 [0] 4 3 3 9 4 2" xfId="19904"/>
    <cellStyle name="쉼표 [0] 4 3 3 9 4 2 2" xfId="45256"/>
    <cellStyle name="쉼표 [0] 4 3 3 9 4 3" xfId="32584"/>
    <cellStyle name="쉼표 [0] 4 3 3 9 5" xfId="13568"/>
    <cellStyle name="쉼표 [0] 4 3 3 9 5 2" xfId="38920"/>
    <cellStyle name="쉼표 [0] 4 3 3 9 6" xfId="26248"/>
    <cellStyle name="쉼표 [0] 4 3 3 9 7" xfId="52346"/>
    <cellStyle name="쉼표 [0] 4 3 30" xfId="896"/>
    <cellStyle name="쉼표 [0] 4 3 30 2" xfId="897"/>
    <cellStyle name="쉼표 [0] 4 3 30 2 2" xfId="4009"/>
    <cellStyle name="쉼표 [0] 4 3 30 2 2 2" xfId="10345"/>
    <cellStyle name="쉼표 [0] 4 3 30 2 2 2 2" xfId="23018"/>
    <cellStyle name="쉼표 [0] 4 3 30 2 2 2 2 2" xfId="48370"/>
    <cellStyle name="쉼표 [0] 4 3 30 2 2 2 3" xfId="35698"/>
    <cellStyle name="쉼표 [0] 4 3 30 2 2 3" xfId="16682"/>
    <cellStyle name="쉼표 [0] 4 3 30 2 2 3 2" xfId="42034"/>
    <cellStyle name="쉼표 [0] 4 3 30 2 2 4" xfId="29362"/>
    <cellStyle name="쉼표 [0] 4 3 30 2 2 5" xfId="52347"/>
    <cellStyle name="쉼표 [0] 4 3 30 2 3" xfId="7234"/>
    <cellStyle name="쉼표 [0] 4 3 30 2 3 2" xfId="19907"/>
    <cellStyle name="쉼표 [0] 4 3 30 2 3 2 2" xfId="45259"/>
    <cellStyle name="쉼표 [0] 4 3 30 2 3 3" xfId="32587"/>
    <cellStyle name="쉼표 [0] 4 3 30 2 4" xfId="13571"/>
    <cellStyle name="쉼표 [0] 4 3 30 2 4 2" xfId="38923"/>
    <cellStyle name="쉼표 [0] 4 3 30 2 5" xfId="26251"/>
    <cellStyle name="쉼표 [0] 4 3 30 2 6" xfId="52348"/>
    <cellStyle name="쉼표 [0] 4 3 30 3" xfId="4010"/>
    <cellStyle name="쉼표 [0] 4 3 30 3 2" xfId="10346"/>
    <cellStyle name="쉼표 [0] 4 3 30 3 2 2" xfId="23019"/>
    <cellStyle name="쉼표 [0] 4 3 30 3 2 2 2" xfId="48371"/>
    <cellStyle name="쉼표 [0] 4 3 30 3 2 3" xfId="35699"/>
    <cellStyle name="쉼표 [0] 4 3 30 3 3" xfId="16683"/>
    <cellStyle name="쉼표 [0] 4 3 30 3 3 2" xfId="42035"/>
    <cellStyle name="쉼표 [0] 4 3 30 3 4" xfId="29363"/>
    <cellStyle name="쉼표 [0] 4 3 30 3 5" xfId="52349"/>
    <cellStyle name="쉼표 [0] 4 3 30 4" xfId="7233"/>
    <cellStyle name="쉼표 [0] 4 3 30 4 2" xfId="19906"/>
    <cellStyle name="쉼표 [0] 4 3 30 4 2 2" xfId="45258"/>
    <cellStyle name="쉼표 [0] 4 3 30 4 3" xfId="32586"/>
    <cellStyle name="쉼표 [0] 4 3 30 5" xfId="13570"/>
    <cellStyle name="쉼표 [0] 4 3 30 5 2" xfId="38922"/>
    <cellStyle name="쉼표 [0] 4 3 30 6" xfId="26250"/>
    <cellStyle name="쉼표 [0] 4 3 30 7" xfId="52350"/>
    <cellStyle name="쉼표 [0] 4 3 31" xfId="898"/>
    <cellStyle name="쉼표 [0] 4 3 31 2" xfId="899"/>
    <cellStyle name="쉼표 [0] 4 3 31 2 2" xfId="4011"/>
    <cellStyle name="쉼표 [0] 4 3 31 2 2 2" xfId="10347"/>
    <cellStyle name="쉼표 [0] 4 3 31 2 2 2 2" xfId="23020"/>
    <cellStyle name="쉼표 [0] 4 3 31 2 2 2 2 2" xfId="48372"/>
    <cellStyle name="쉼표 [0] 4 3 31 2 2 2 3" xfId="35700"/>
    <cellStyle name="쉼표 [0] 4 3 31 2 2 3" xfId="16684"/>
    <cellStyle name="쉼표 [0] 4 3 31 2 2 3 2" xfId="42036"/>
    <cellStyle name="쉼표 [0] 4 3 31 2 2 4" xfId="29364"/>
    <cellStyle name="쉼표 [0] 4 3 31 2 2 5" xfId="52351"/>
    <cellStyle name="쉼표 [0] 4 3 31 2 3" xfId="7236"/>
    <cellStyle name="쉼표 [0] 4 3 31 2 3 2" xfId="19909"/>
    <cellStyle name="쉼표 [0] 4 3 31 2 3 2 2" xfId="45261"/>
    <cellStyle name="쉼표 [0] 4 3 31 2 3 3" xfId="32589"/>
    <cellStyle name="쉼표 [0] 4 3 31 2 4" xfId="13573"/>
    <cellStyle name="쉼표 [0] 4 3 31 2 4 2" xfId="38925"/>
    <cellStyle name="쉼표 [0] 4 3 31 2 5" xfId="26253"/>
    <cellStyle name="쉼표 [0] 4 3 31 2 6" xfId="52352"/>
    <cellStyle name="쉼표 [0] 4 3 31 3" xfId="4012"/>
    <cellStyle name="쉼표 [0] 4 3 31 3 2" xfId="10348"/>
    <cellStyle name="쉼표 [0] 4 3 31 3 2 2" xfId="23021"/>
    <cellStyle name="쉼표 [0] 4 3 31 3 2 2 2" xfId="48373"/>
    <cellStyle name="쉼표 [0] 4 3 31 3 2 3" xfId="35701"/>
    <cellStyle name="쉼표 [0] 4 3 31 3 3" xfId="16685"/>
    <cellStyle name="쉼표 [0] 4 3 31 3 3 2" xfId="42037"/>
    <cellStyle name="쉼표 [0] 4 3 31 3 4" xfId="29365"/>
    <cellStyle name="쉼표 [0] 4 3 31 3 5" xfId="52353"/>
    <cellStyle name="쉼표 [0] 4 3 31 4" xfId="7235"/>
    <cellStyle name="쉼표 [0] 4 3 31 4 2" xfId="19908"/>
    <cellStyle name="쉼표 [0] 4 3 31 4 2 2" xfId="45260"/>
    <cellStyle name="쉼표 [0] 4 3 31 4 3" xfId="32588"/>
    <cellStyle name="쉼표 [0] 4 3 31 5" xfId="13572"/>
    <cellStyle name="쉼표 [0] 4 3 31 5 2" xfId="38924"/>
    <cellStyle name="쉼표 [0] 4 3 31 6" xfId="26252"/>
    <cellStyle name="쉼표 [0] 4 3 31 7" xfId="52354"/>
    <cellStyle name="쉼표 [0] 4 3 32" xfId="900"/>
    <cellStyle name="쉼표 [0] 4 3 32 2" xfId="901"/>
    <cellStyle name="쉼표 [0] 4 3 32 2 2" xfId="4013"/>
    <cellStyle name="쉼표 [0] 4 3 32 2 2 2" xfId="10349"/>
    <cellStyle name="쉼표 [0] 4 3 32 2 2 2 2" xfId="23022"/>
    <cellStyle name="쉼표 [0] 4 3 32 2 2 2 2 2" xfId="48374"/>
    <cellStyle name="쉼표 [0] 4 3 32 2 2 2 3" xfId="35702"/>
    <cellStyle name="쉼표 [0] 4 3 32 2 2 3" xfId="16686"/>
    <cellStyle name="쉼표 [0] 4 3 32 2 2 3 2" xfId="42038"/>
    <cellStyle name="쉼표 [0] 4 3 32 2 2 4" xfId="29366"/>
    <cellStyle name="쉼표 [0] 4 3 32 2 2 5" xfId="52355"/>
    <cellStyle name="쉼표 [0] 4 3 32 2 3" xfId="7238"/>
    <cellStyle name="쉼표 [0] 4 3 32 2 3 2" xfId="19911"/>
    <cellStyle name="쉼표 [0] 4 3 32 2 3 2 2" xfId="45263"/>
    <cellStyle name="쉼표 [0] 4 3 32 2 3 3" xfId="32591"/>
    <cellStyle name="쉼표 [0] 4 3 32 2 4" xfId="13575"/>
    <cellStyle name="쉼표 [0] 4 3 32 2 4 2" xfId="38927"/>
    <cellStyle name="쉼표 [0] 4 3 32 2 5" xfId="26255"/>
    <cellStyle name="쉼표 [0] 4 3 32 2 6" xfId="52356"/>
    <cellStyle name="쉼표 [0] 4 3 32 3" xfId="4014"/>
    <cellStyle name="쉼표 [0] 4 3 32 3 2" xfId="10350"/>
    <cellStyle name="쉼표 [0] 4 3 32 3 2 2" xfId="23023"/>
    <cellStyle name="쉼표 [0] 4 3 32 3 2 2 2" xfId="48375"/>
    <cellStyle name="쉼표 [0] 4 3 32 3 2 3" xfId="35703"/>
    <cellStyle name="쉼표 [0] 4 3 32 3 3" xfId="16687"/>
    <cellStyle name="쉼표 [0] 4 3 32 3 3 2" xfId="42039"/>
    <cellStyle name="쉼표 [0] 4 3 32 3 4" xfId="29367"/>
    <cellStyle name="쉼표 [0] 4 3 32 3 5" xfId="52357"/>
    <cellStyle name="쉼표 [0] 4 3 32 4" xfId="7237"/>
    <cellStyle name="쉼표 [0] 4 3 32 4 2" xfId="19910"/>
    <cellStyle name="쉼표 [0] 4 3 32 4 2 2" xfId="45262"/>
    <cellStyle name="쉼표 [0] 4 3 32 4 3" xfId="32590"/>
    <cellStyle name="쉼표 [0] 4 3 32 5" xfId="13574"/>
    <cellStyle name="쉼표 [0] 4 3 32 5 2" xfId="38926"/>
    <cellStyle name="쉼표 [0] 4 3 32 6" xfId="26254"/>
    <cellStyle name="쉼표 [0] 4 3 32 7" xfId="52358"/>
    <cellStyle name="쉼표 [0] 4 3 33" xfId="902"/>
    <cellStyle name="쉼표 [0] 4 3 33 2" xfId="903"/>
    <cellStyle name="쉼표 [0] 4 3 33 2 2" xfId="4015"/>
    <cellStyle name="쉼표 [0] 4 3 33 2 2 2" xfId="10351"/>
    <cellStyle name="쉼표 [0] 4 3 33 2 2 2 2" xfId="23024"/>
    <cellStyle name="쉼표 [0] 4 3 33 2 2 2 2 2" xfId="48376"/>
    <cellStyle name="쉼표 [0] 4 3 33 2 2 2 3" xfId="35704"/>
    <cellStyle name="쉼표 [0] 4 3 33 2 2 3" xfId="16688"/>
    <cellStyle name="쉼표 [0] 4 3 33 2 2 3 2" xfId="42040"/>
    <cellStyle name="쉼표 [0] 4 3 33 2 2 4" xfId="29368"/>
    <cellStyle name="쉼표 [0] 4 3 33 2 2 5" xfId="52359"/>
    <cellStyle name="쉼표 [0] 4 3 33 2 3" xfId="7240"/>
    <cellStyle name="쉼표 [0] 4 3 33 2 3 2" xfId="19913"/>
    <cellStyle name="쉼표 [0] 4 3 33 2 3 2 2" xfId="45265"/>
    <cellStyle name="쉼표 [0] 4 3 33 2 3 3" xfId="32593"/>
    <cellStyle name="쉼표 [0] 4 3 33 2 4" xfId="13577"/>
    <cellStyle name="쉼표 [0] 4 3 33 2 4 2" xfId="38929"/>
    <cellStyle name="쉼표 [0] 4 3 33 2 5" xfId="26257"/>
    <cellStyle name="쉼표 [0] 4 3 33 2 6" xfId="52360"/>
    <cellStyle name="쉼표 [0] 4 3 33 3" xfId="4016"/>
    <cellStyle name="쉼표 [0] 4 3 33 3 2" xfId="10352"/>
    <cellStyle name="쉼표 [0] 4 3 33 3 2 2" xfId="23025"/>
    <cellStyle name="쉼표 [0] 4 3 33 3 2 2 2" xfId="48377"/>
    <cellStyle name="쉼표 [0] 4 3 33 3 2 3" xfId="35705"/>
    <cellStyle name="쉼표 [0] 4 3 33 3 3" xfId="16689"/>
    <cellStyle name="쉼표 [0] 4 3 33 3 3 2" xfId="42041"/>
    <cellStyle name="쉼표 [0] 4 3 33 3 4" xfId="29369"/>
    <cellStyle name="쉼표 [0] 4 3 33 3 5" xfId="52361"/>
    <cellStyle name="쉼표 [0] 4 3 33 4" xfId="7239"/>
    <cellStyle name="쉼표 [0] 4 3 33 4 2" xfId="19912"/>
    <cellStyle name="쉼표 [0] 4 3 33 4 2 2" xfId="45264"/>
    <cellStyle name="쉼표 [0] 4 3 33 4 3" xfId="32592"/>
    <cellStyle name="쉼표 [0] 4 3 33 5" xfId="13576"/>
    <cellStyle name="쉼표 [0] 4 3 33 5 2" xfId="38928"/>
    <cellStyle name="쉼표 [0] 4 3 33 6" xfId="26256"/>
    <cellStyle name="쉼표 [0] 4 3 33 7" xfId="52362"/>
    <cellStyle name="쉼표 [0] 4 3 34" xfId="904"/>
    <cellStyle name="쉼표 [0] 4 3 34 2" xfId="905"/>
    <cellStyle name="쉼표 [0] 4 3 34 2 2" xfId="4017"/>
    <cellStyle name="쉼표 [0] 4 3 34 2 2 2" xfId="10353"/>
    <cellStyle name="쉼표 [0] 4 3 34 2 2 2 2" xfId="23026"/>
    <cellStyle name="쉼표 [0] 4 3 34 2 2 2 2 2" xfId="48378"/>
    <cellStyle name="쉼표 [0] 4 3 34 2 2 2 3" xfId="35706"/>
    <cellStyle name="쉼표 [0] 4 3 34 2 2 3" xfId="16690"/>
    <cellStyle name="쉼표 [0] 4 3 34 2 2 3 2" xfId="42042"/>
    <cellStyle name="쉼표 [0] 4 3 34 2 2 4" xfId="29370"/>
    <cellStyle name="쉼표 [0] 4 3 34 2 2 5" xfId="52363"/>
    <cellStyle name="쉼표 [0] 4 3 34 2 3" xfId="7242"/>
    <cellStyle name="쉼표 [0] 4 3 34 2 3 2" xfId="19915"/>
    <cellStyle name="쉼표 [0] 4 3 34 2 3 2 2" xfId="45267"/>
    <cellStyle name="쉼표 [0] 4 3 34 2 3 3" xfId="32595"/>
    <cellStyle name="쉼표 [0] 4 3 34 2 4" xfId="13579"/>
    <cellStyle name="쉼표 [0] 4 3 34 2 4 2" xfId="38931"/>
    <cellStyle name="쉼표 [0] 4 3 34 2 5" xfId="26259"/>
    <cellStyle name="쉼표 [0] 4 3 34 2 6" xfId="52364"/>
    <cellStyle name="쉼표 [0] 4 3 34 3" xfId="4018"/>
    <cellStyle name="쉼표 [0] 4 3 34 3 2" xfId="10354"/>
    <cellStyle name="쉼표 [0] 4 3 34 3 2 2" xfId="23027"/>
    <cellStyle name="쉼표 [0] 4 3 34 3 2 2 2" xfId="48379"/>
    <cellStyle name="쉼표 [0] 4 3 34 3 2 3" xfId="35707"/>
    <cellStyle name="쉼표 [0] 4 3 34 3 3" xfId="16691"/>
    <cellStyle name="쉼표 [0] 4 3 34 3 3 2" xfId="42043"/>
    <cellStyle name="쉼표 [0] 4 3 34 3 4" xfId="29371"/>
    <cellStyle name="쉼표 [0] 4 3 34 3 5" xfId="52365"/>
    <cellStyle name="쉼표 [0] 4 3 34 4" xfId="7241"/>
    <cellStyle name="쉼표 [0] 4 3 34 4 2" xfId="19914"/>
    <cellStyle name="쉼표 [0] 4 3 34 4 2 2" xfId="45266"/>
    <cellStyle name="쉼표 [0] 4 3 34 4 3" xfId="32594"/>
    <cellStyle name="쉼표 [0] 4 3 34 5" xfId="13578"/>
    <cellStyle name="쉼표 [0] 4 3 34 5 2" xfId="38930"/>
    <cellStyle name="쉼표 [0] 4 3 34 6" xfId="26258"/>
    <cellStyle name="쉼표 [0] 4 3 34 7" xfId="52366"/>
    <cellStyle name="쉼표 [0] 4 3 35" xfId="906"/>
    <cellStyle name="쉼표 [0] 4 3 35 2" xfId="907"/>
    <cellStyle name="쉼표 [0] 4 3 35 2 2" xfId="4019"/>
    <cellStyle name="쉼표 [0] 4 3 35 2 2 2" xfId="10355"/>
    <cellStyle name="쉼표 [0] 4 3 35 2 2 2 2" xfId="23028"/>
    <cellStyle name="쉼표 [0] 4 3 35 2 2 2 2 2" xfId="48380"/>
    <cellStyle name="쉼표 [0] 4 3 35 2 2 2 3" xfId="35708"/>
    <cellStyle name="쉼표 [0] 4 3 35 2 2 3" xfId="16692"/>
    <cellStyle name="쉼표 [0] 4 3 35 2 2 3 2" xfId="42044"/>
    <cellStyle name="쉼표 [0] 4 3 35 2 2 4" xfId="29372"/>
    <cellStyle name="쉼표 [0] 4 3 35 2 2 5" xfId="52367"/>
    <cellStyle name="쉼표 [0] 4 3 35 2 3" xfId="7244"/>
    <cellStyle name="쉼표 [0] 4 3 35 2 3 2" xfId="19917"/>
    <cellStyle name="쉼표 [0] 4 3 35 2 3 2 2" xfId="45269"/>
    <cellStyle name="쉼표 [0] 4 3 35 2 3 3" xfId="32597"/>
    <cellStyle name="쉼표 [0] 4 3 35 2 4" xfId="13581"/>
    <cellStyle name="쉼표 [0] 4 3 35 2 4 2" xfId="38933"/>
    <cellStyle name="쉼표 [0] 4 3 35 2 5" xfId="26261"/>
    <cellStyle name="쉼표 [0] 4 3 35 2 6" xfId="52368"/>
    <cellStyle name="쉼표 [0] 4 3 35 3" xfId="4020"/>
    <cellStyle name="쉼표 [0] 4 3 35 3 2" xfId="10356"/>
    <cellStyle name="쉼표 [0] 4 3 35 3 2 2" xfId="23029"/>
    <cellStyle name="쉼표 [0] 4 3 35 3 2 2 2" xfId="48381"/>
    <cellStyle name="쉼표 [0] 4 3 35 3 2 3" xfId="35709"/>
    <cellStyle name="쉼표 [0] 4 3 35 3 3" xfId="16693"/>
    <cellStyle name="쉼표 [0] 4 3 35 3 3 2" xfId="42045"/>
    <cellStyle name="쉼표 [0] 4 3 35 3 4" xfId="29373"/>
    <cellStyle name="쉼표 [0] 4 3 35 3 5" xfId="52369"/>
    <cellStyle name="쉼표 [0] 4 3 35 4" xfId="7243"/>
    <cellStyle name="쉼표 [0] 4 3 35 4 2" xfId="19916"/>
    <cellStyle name="쉼표 [0] 4 3 35 4 2 2" xfId="45268"/>
    <cellStyle name="쉼표 [0] 4 3 35 4 3" xfId="32596"/>
    <cellStyle name="쉼표 [0] 4 3 35 5" xfId="13580"/>
    <cellStyle name="쉼표 [0] 4 3 35 5 2" xfId="38932"/>
    <cellStyle name="쉼표 [0] 4 3 35 6" xfId="26260"/>
    <cellStyle name="쉼표 [0] 4 3 35 7" xfId="52370"/>
    <cellStyle name="쉼표 [0] 4 3 36" xfId="908"/>
    <cellStyle name="쉼표 [0] 4 3 36 2" xfId="4021"/>
    <cellStyle name="쉼표 [0] 4 3 36 2 2" xfId="10357"/>
    <cellStyle name="쉼표 [0] 4 3 36 2 2 2" xfId="23030"/>
    <cellStyle name="쉼표 [0] 4 3 36 2 2 2 2" xfId="48382"/>
    <cellStyle name="쉼표 [0] 4 3 36 2 2 3" xfId="35710"/>
    <cellStyle name="쉼표 [0] 4 3 36 2 3" xfId="16694"/>
    <cellStyle name="쉼표 [0] 4 3 36 2 3 2" xfId="42046"/>
    <cellStyle name="쉼표 [0] 4 3 36 2 4" xfId="29374"/>
    <cellStyle name="쉼표 [0] 4 3 36 2 5" xfId="52371"/>
    <cellStyle name="쉼표 [0] 4 3 36 3" xfId="7245"/>
    <cellStyle name="쉼표 [0] 4 3 36 3 2" xfId="19918"/>
    <cellStyle name="쉼표 [0] 4 3 36 3 2 2" xfId="45270"/>
    <cellStyle name="쉼표 [0] 4 3 36 3 3" xfId="32598"/>
    <cellStyle name="쉼표 [0] 4 3 36 4" xfId="13582"/>
    <cellStyle name="쉼표 [0] 4 3 36 4 2" xfId="38934"/>
    <cellStyle name="쉼표 [0] 4 3 36 5" xfId="26262"/>
    <cellStyle name="쉼표 [0] 4 3 36 6" xfId="52372"/>
    <cellStyle name="쉼표 [0] 4 3 37" xfId="4022"/>
    <cellStyle name="쉼표 [0] 4 3 37 2" xfId="10358"/>
    <cellStyle name="쉼표 [0] 4 3 37 2 2" xfId="23031"/>
    <cellStyle name="쉼표 [0] 4 3 37 2 2 2" xfId="48383"/>
    <cellStyle name="쉼표 [0] 4 3 37 2 3" xfId="35711"/>
    <cellStyle name="쉼표 [0] 4 3 37 3" xfId="16695"/>
    <cellStyle name="쉼표 [0] 4 3 37 3 2" xfId="42047"/>
    <cellStyle name="쉼표 [0] 4 3 37 4" xfId="29375"/>
    <cellStyle name="쉼표 [0] 4 3 37 5" xfId="52373"/>
    <cellStyle name="쉼표 [0] 4 3 38" xfId="6379"/>
    <cellStyle name="쉼표 [0] 4 3 38 2" xfId="19052"/>
    <cellStyle name="쉼표 [0] 4 3 38 2 2" xfId="44404"/>
    <cellStyle name="쉼표 [0] 4 3 38 3" xfId="31732"/>
    <cellStyle name="쉼표 [0] 4 3 39" xfId="12716"/>
    <cellStyle name="쉼표 [0] 4 3 39 2" xfId="38068"/>
    <cellStyle name="쉼표 [0] 4 3 4" xfId="68"/>
    <cellStyle name="쉼표 [0] 4 3 4 2" xfId="909"/>
    <cellStyle name="쉼표 [0] 4 3 4 2 2" xfId="4023"/>
    <cellStyle name="쉼표 [0] 4 3 4 2 2 2" xfId="10359"/>
    <cellStyle name="쉼표 [0] 4 3 4 2 2 2 2" xfId="23032"/>
    <cellStyle name="쉼표 [0] 4 3 4 2 2 2 2 2" xfId="48384"/>
    <cellStyle name="쉼표 [0] 4 3 4 2 2 2 3" xfId="35712"/>
    <cellStyle name="쉼표 [0] 4 3 4 2 2 3" xfId="16696"/>
    <cellStyle name="쉼표 [0] 4 3 4 2 2 3 2" xfId="42048"/>
    <cellStyle name="쉼표 [0] 4 3 4 2 2 4" xfId="29376"/>
    <cellStyle name="쉼표 [0] 4 3 4 2 2 5" xfId="52374"/>
    <cellStyle name="쉼표 [0] 4 3 4 2 3" xfId="7246"/>
    <cellStyle name="쉼표 [0] 4 3 4 2 3 2" xfId="19919"/>
    <cellStyle name="쉼표 [0] 4 3 4 2 3 2 2" xfId="45271"/>
    <cellStyle name="쉼표 [0] 4 3 4 2 3 3" xfId="32599"/>
    <cellStyle name="쉼표 [0] 4 3 4 2 4" xfId="13583"/>
    <cellStyle name="쉼표 [0] 4 3 4 2 4 2" xfId="38935"/>
    <cellStyle name="쉼표 [0] 4 3 4 2 5" xfId="26263"/>
    <cellStyle name="쉼표 [0] 4 3 4 2 6" xfId="52375"/>
    <cellStyle name="쉼표 [0] 4 3 4 3" xfId="4024"/>
    <cellStyle name="쉼표 [0] 4 3 4 3 2" xfId="10360"/>
    <cellStyle name="쉼표 [0] 4 3 4 3 2 2" xfId="23033"/>
    <cellStyle name="쉼표 [0] 4 3 4 3 2 2 2" xfId="48385"/>
    <cellStyle name="쉼표 [0] 4 3 4 3 2 3" xfId="35713"/>
    <cellStyle name="쉼표 [0] 4 3 4 3 3" xfId="16697"/>
    <cellStyle name="쉼표 [0] 4 3 4 3 3 2" xfId="42049"/>
    <cellStyle name="쉼표 [0] 4 3 4 3 4" xfId="29377"/>
    <cellStyle name="쉼표 [0] 4 3 4 3 5" xfId="52376"/>
    <cellStyle name="쉼표 [0] 4 3 4 4" xfId="6406"/>
    <cellStyle name="쉼표 [0] 4 3 4 4 2" xfId="19079"/>
    <cellStyle name="쉼표 [0] 4 3 4 4 2 2" xfId="44431"/>
    <cellStyle name="쉼표 [0] 4 3 4 4 3" xfId="31759"/>
    <cellStyle name="쉼표 [0] 4 3 4 5" xfId="12743"/>
    <cellStyle name="쉼표 [0] 4 3 4 5 2" xfId="38095"/>
    <cellStyle name="쉼표 [0] 4 3 4 6" xfId="25423"/>
    <cellStyle name="쉼표 [0] 4 3 4 7" xfId="52377"/>
    <cellStyle name="쉼표 [0] 4 3 40" xfId="25396"/>
    <cellStyle name="쉼표 [0] 4 3 41" xfId="52378"/>
    <cellStyle name="쉼표 [0] 4 3 5" xfId="910"/>
    <cellStyle name="쉼표 [0] 4 3 5 2" xfId="911"/>
    <cellStyle name="쉼표 [0] 4 3 5 2 2" xfId="4025"/>
    <cellStyle name="쉼표 [0] 4 3 5 2 2 2" xfId="10361"/>
    <cellStyle name="쉼표 [0] 4 3 5 2 2 2 2" xfId="23034"/>
    <cellStyle name="쉼표 [0] 4 3 5 2 2 2 2 2" xfId="48386"/>
    <cellStyle name="쉼표 [0] 4 3 5 2 2 2 3" xfId="35714"/>
    <cellStyle name="쉼표 [0] 4 3 5 2 2 3" xfId="16698"/>
    <cellStyle name="쉼표 [0] 4 3 5 2 2 3 2" xfId="42050"/>
    <cellStyle name="쉼표 [0] 4 3 5 2 2 4" xfId="29378"/>
    <cellStyle name="쉼표 [0] 4 3 5 2 2 5" xfId="52379"/>
    <cellStyle name="쉼표 [0] 4 3 5 2 3" xfId="7248"/>
    <cellStyle name="쉼표 [0] 4 3 5 2 3 2" xfId="19921"/>
    <cellStyle name="쉼표 [0] 4 3 5 2 3 2 2" xfId="45273"/>
    <cellStyle name="쉼표 [0] 4 3 5 2 3 3" xfId="32601"/>
    <cellStyle name="쉼표 [0] 4 3 5 2 4" xfId="13585"/>
    <cellStyle name="쉼표 [0] 4 3 5 2 4 2" xfId="38937"/>
    <cellStyle name="쉼표 [0] 4 3 5 2 5" xfId="26265"/>
    <cellStyle name="쉼표 [0] 4 3 5 2 6" xfId="52380"/>
    <cellStyle name="쉼표 [0] 4 3 5 3" xfId="4026"/>
    <cellStyle name="쉼표 [0] 4 3 5 3 2" xfId="10362"/>
    <cellStyle name="쉼표 [0] 4 3 5 3 2 2" xfId="23035"/>
    <cellStyle name="쉼표 [0] 4 3 5 3 2 2 2" xfId="48387"/>
    <cellStyle name="쉼표 [0] 4 3 5 3 2 3" xfId="35715"/>
    <cellStyle name="쉼표 [0] 4 3 5 3 3" xfId="16699"/>
    <cellStyle name="쉼표 [0] 4 3 5 3 3 2" xfId="42051"/>
    <cellStyle name="쉼표 [0] 4 3 5 3 4" xfId="29379"/>
    <cellStyle name="쉼표 [0] 4 3 5 3 5" xfId="52381"/>
    <cellStyle name="쉼표 [0] 4 3 5 4" xfId="7247"/>
    <cellStyle name="쉼표 [0] 4 3 5 4 2" xfId="19920"/>
    <cellStyle name="쉼표 [0] 4 3 5 4 2 2" xfId="45272"/>
    <cellStyle name="쉼표 [0] 4 3 5 4 3" xfId="32600"/>
    <cellStyle name="쉼표 [0] 4 3 5 5" xfId="13584"/>
    <cellStyle name="쉼표 [0] 4 3 5 5 2" xfId="38936"/>
    <cellStyle name="쉼표 [0] 4 3 5 6" xfId="26264"/>
    <cellStyle name="쉼표 [0] 4 3 5 7" xfId="52382"/>
    <cellStyle name="쉼표 [0] 4 3 6" xfId="912"/>
    <cellStyle name="쉼표 [0] 4 3 6 2" xfId="913"/>
    <cellStyle name="쉼표 [0] 4 3 6 2 2" xfId="4027"/>
    <cellStyle name="쉼표 [0] 4 3 6 2 2 2" xfId="10363"/>
    <cellStyle name="쉼표 [0] 4 3 6 2 2 2 2" xfId="23036"/>
    <cellStyle name="쉼표 [0] 4 3 6 2 2 2 2 2" xfId="48388"/>
    <cellStyle name="쉼표 [0] 4 3 6 2 2 2 3" xfId="35716"/>
    <cellStyle name="쉼표 [0] 4 3 6 2 2 3" xfId="16700"/>
    <cellStyle name="쉼표 [0] 4 3 6 2 2 3 2" xfId="42052"/>
    <cellStyle name="쉼표 [0] 4 3 6 2 2 4" xfId="29380"/>
    <cellStyle name="쉼표 [0] 4 3 6 2 2 5" xfId="52383"/>
    <cellStyle name="쉼표 [0] 4 3 6 2 3" xfId="7250"/>
    <cellStyle name="쉼표 [0] 4 3 6 2 3 2" xfId="19923"/>
    <cellStyle name="쉼표 [0] 4 3 6 2 3 2 2" xfId="45275"/>
    <cellStyle name="쉼표 [0] 4 3 6 2 3 3" xfId="32603"/>
    <cellStyle name="쉼표 [0] 4 3 6 2 4" xfId="13587"/>
    <cellStyle name="쉼표 [0] 4 3 6 2 4 2" xfId="38939"/>
    <cellStyle name="쉼표 [0] 4 3 6 2 5" xfId="26267"/>
    <cellStyle name="쉼표 [0] 4 3 6 2 6" xfId="52384"/>
    <cellStyle name="쉼표 [0] 4 3 6 3" xfId="4028"/>
    <cellStyle name="쉼표 [0] 4 3 6 3 2" xfId="10364"/>
    <cellStyle name="쉼표 [0] 4 3 6 3 2 2" xfId="23037"/>
    <cellStyle name="쉼표 [0] 4 3 6 3 2 2 2" xfId="48389"/>
    <cellStyle name="쉼표 [0] 4 3 6 3 2 3" xfId="35717"/>
    <cellStyle name="쉼표 [0] 4 3 6 3 3" xfId="16701"/>
    <cellStyle name="쉼표 [0] 4 3 6 3 3 2" xfId="42053"/>
    <cellStyle name="쉼표 [0] 4 3 6 3 4" xfId="29381"/>
    <cellStyle name="쉼표 [0] 4 3 6 3 5" xfId="52385"/>
    <cellStyle name="쉼표 [0] 4 3 6 4" xfId="7249"/>
    <cellStyle name="쉼표 [0] 4 3 6 4 2" xfId="19922"/>
    <cellStyle name="쉼표 [0] 4 3 6 4 2 2" xfId="45274"/>
    <cellStyle name="쉼표 [0] 4 3 6 4 3" xfId="32602"/>
    <cellStyle name="쉼표 [0] 4 3 6 5" xfId="13586"/>
    <cellStyle name="쉼표 [0] 4 3 6 5 2" xfId="38938"/>
    <cellStyle name="쉼표 [0] 4 3 6 6" xfId="26266"/>
    <cellStyle name="쉼표 [0] 4 3 6 7" xfId="52386"/>
    <cellStyle name="쉼표 [0] 4 3 7" xfId="914"/>
    <cellStyle name="쉼표 [0] 4 3 7 2" xfId="915"/>
    <cellStyle name="쉼표 [0] 4 3 7 2 2" xfId="4029"/>
    <cellStyle name="쉼표 [0] 4 3 7 2 2 2" xfId="10365"/>
    <cellStyle name="쉼표 [0] 4 3 7 2 2 2 2" xfId="23038"/>
    <cellStyle name="쉼표 [0] 4 3 7 2 2 2 2 2" xfId="48390"/>
    <cellStyle name="쉼표 [0] 4 3 7 2 2 2 3" xfId="35718"/>
    <cellStyle name="쉼표 [0] 4 3 7 2 2 3" xfId="16702"/>
    <cellStyle name="쉼표 [0] 4 3 7 2 2 3 2" xfId="42054"/>
    <cellStyle name="쉼표 [0] 4 3 7 2 2 4" xfId="29382"/>
    <cellStyle name="쉼표 [0] 4 3 7 2 2 5" xfId="52387"/>
    <cellStyle name="쉼표 [0] 4 3 7 2 3" xfId="7252"/>
    <cellStyle name="쉼표 [0] 4 3 7 2 3 2" xfId="19925"/>
    <cellStyle name="쉼표 [0] 4 3 7 2 3 2 2" xfId="45277"/>
    <cellStyle name="쉼표 [0] 4 3 7 2 3 3" xfId="32605"/>
    <cellStyle name="쉼표 [0] 4 3 7 2 4" xfId="13589"/>
    <cellStyle name="쉼표 [0] 4 3 7 2 4 2" xfId="38941"/>
    <cellStyle name="쉼표 [0] 4 3 7 2 5" xfId="26269"/>
    <cellStyle name="쉼표 [0] 4 3 7 2 6" xfId="52388"/>
    <cellStyle name="쉼표 [0] 4 3 7 3" xfId="4030"/>
    <cellStyle name="쉼표 [0] 4 3 7 3 2" xfId="10366"/>
    <cellStyle name="쉼표 [0] 4 3 7 3 2 2" xfId="23039"/>
    <cellStyle name="쉼표 [0] 4 3 7 3 2 2 2" xfId="48391"/>
    <cellStyle name="쉼표 [0] 4 3 7 3 2 3" xfId="35719"/>
    <cellStyle name="쉼표 [0] 4 3 7 3 3" xfId="16703"/>
    <cellStyle name="쉼표 [0] 4 3 7 3 3 2" xfId="42055"/>
    <cellStyle name="쉼표 [0] 4 3 7 3 4" xfId="29383"/>
    <cellStyle name="쉼표 [0] 4 3 7 3 5" xfId="52389"/>
    <cellStyle name="쉼표 [0] 4 3 7 4" xfId="7251"/>
    <cellStyle name="쉼표 [0] 4 3 7 4 2" xfId="19924"/>
    <cellStyle name="쉼표 [0] 4 3 7 4 2 2" xfId="45276"/>
    <cellStyle name="쉼표 [0] 4 3 7 4 3" xfId="32604"/>
    <cellStyle name="쉼표 [0] 4 3 7 5" xfId="13588"/>
    <cellStyle name="쉼표 [0] 4 3 7 5 2" xfId="38940"/>
    <cellStyle name="쉼표 [0] 4 3 7 6" xfId="26268"/>
    <cellStyle name="쉼표 [0] 4 3 7 7" xfId="52390"/>
    <cellStyle name="쉼표 [0] 4 3 8" xfId="916"/>
    <cellStyle name="쉼표 [0] 4 3 8 2" xfId="917"/>
    <cellStyle name="쉼표 [0] 4 3 8 2 2" xfId="4031"/>
    <cellStyle name="쉼표 [0] 4 3 8 2 2 2" xfId="10367"/>
    <cellStyle name="쉼표 [0] 4 3 8 2 2 2 2" xfId="23040"/>
    <cellStyle name="쉼표 [0] 4 3 8 2 2 2 2 2" xfId="48392"/>
    <cellStyle name="쉼표 [0] 4 3 8 2 2 2 3" xfId="35720"/>
    <cellStyle name="쉼표 [0] 4 3 8 2 2 3" xfId="16704"/>
    <cellStyle name="쉼표 [0] 4 3 8 2 2 3 2" xfId="42056"/>
    <cellStyle name="쉼표 [0] 4 3 8 2 2 4" xfId="29384"/>
    <cellStyle name="쉼표 [0] 4 3 8 2 2 5" xfId="52391"/>
    <cellStyle name="쉼표 [0] 4 3 8 2 3" xfId="7254"/>
    <cellStyle name="쉼표 [0] 4 3 8 2 3 2" xfId="19927"/>
    <cellStyle name="쉼표 [0] 4 3 8 2 3 2 2" xfId="45279"/>
    <cellStyle name="쉼표 [0] 4 3 8 2 3 3" xfId="32607"/>
    <cellStyle name="쉼표 [0] 4 3 8 2 4" xfId="13591"/>
    <cellStyle name="쉼표 [0] 4 3 8 2 4 2" xfId="38943"/>
    <cellStyle name="쉼표 [0] 4 3 8 2 5" xfId="26271"/>
    <cellStyle name="쉼표 [0] 4 3 8 2 6" xfId="52392"/>
    <cellStyle name="쉼표 [0] 4 3 8 3" xfId="4032"/>
    <cellStyle name="쉼표 [0] 4 3 8 3 2" xfId="10368"/>
    <cellStyle name="쉼표 [0] 4 3 8 3 2 2" xfId="23041"/>
    <cellStyle name="쉼표 [0] 4 3 8 3 2 2 2" xfId="48393"/>
    <cellStyle name="쉼표 [0] 4 3 8 3 2 3" xfId="35721"/>
    <cellStyle name="쉼표 [0] 4 3 8 3 3" xfId="16705"/>
    <cellStyle name="쉼표 [0] 4 3 8 3 3 2" xfId="42057"/>
    <cellStyle name="쉼표 [0] 4 3 8 3 4" xfId="29385"/>
    <cellStyle name="쉼표 [0] 4 3 8 3 5" xfId="52393"/>
    <cellStyle name="쉼표 [0] 4 3 8 4" xfId="7253"/>
    <cellStyle name="쉼표 [0] 4 3 8 4 2" xfId="19926"/>
    <cellStyle name="쉼표 [0] 4 3 8 4 2 2" xfId="45278"/>
    <cellStyle name="쉼표 [0] 4 3 8 4 3" xfId="32606"/>
    <cellStyle name="쉼표 [0] 4 3 8 5" xfId="13590"/>
    <cellStyle name="쉼표 [0] 4 3 8 5 2" xfId="38942"/>
    <cellStyle name="쉼표 [0] 4 3 8 6" xfId="26270"/>
    <cellStyle name="쉼표 [0] 4 3 8 7" xfId="52394"/>
    <cellStyle name="쉼표 [0] 4 3 9" xfId="918"/>
    <cellStyle name="쉼표 [0] 4 3 9 2" xfId="919"/>
    <cellStyle name="쉼표 [0] 4 3 9 2 2" xfId="4033"/>
    <cellStyle name="쉼표 [0] 4 3 9 2 2 2" xfId="10369"/>
    <cellStyle name="쉼표 [0] 4 3 9 2 2 2 2" xfId="23042"/>
    <cellStyle name="쉼표 [0] 4 3 9 2 2 2 2 2" xfId="48394"/>
    <cellStyle name="쉼표 [0] 4 3 9 2 2 2 3" xfId="35722"/>
    <cellStyle name="쉼표 [0] 4 3 9 2 2 3" xfId="16706"/>
    <cellStyle name="쉼표 [0] 4 3 9 2 2 3 2" xfId="42058"/>
    <cellStyle name="쉼표 [0] 4 3 9 2 2 4" xfId="29386"/>
    <cellStyle name="쉼표 [0] 4 3 9 2 2 5" xfId="52395"/>
    <cellStyle name="쉼표 [0] 4 3 9 2 3" xfId="7256"/>
    <cellStyle name="쉼표 [0] 4 3 9 2 3 2" xfId="19929"/>
    <cellStyle name="쉼표 [0] 4 3 9 2 3 2 2" xfId="45281"/>
    <cellStyle name="쉼표 [0] 4 3 9 2 3 3" xfId="32609"/>
    <cellStyle name="쉼표 [0] 4 3 9 2 4" xfId="13593"/>
    <cellStyle name="쉼표 [0] 4 3 9 2 4 2" xfId="38945"/>
    <cellStyle name="쉼표 [0] 4 3 9 2 5" xfId="26273"/>
    <cellStyle name="쉼표 [0] 4 3 9 2 6" xfId="52396"/>
    <cellStyle name="쉼표 [0] 4 3 9 3" xfId="4034"/>
    <cellStyle name="쉼표 [0] 4 3 9 3 2" xfId="10370"/>
    <cellStyle name="쉼표 [0] 4 3 9 3 2 2" xfId="23043"/>
    <cellStyle name="쉼표 [0] 4 3 9 3 2 2 2" xfId="48395"/>
    <cellStyle name="쉼표 [0] 4 3 9 3 2 3" xfId="35723"/>
    <cellStyle name="쉼표 [0] 4 3 9 3 3" xfId="16707"/>
    <cellStyle name="쉼표 [0] 4 3 9 3 3 2" xfId="42059"/>
    <cellStyle name="쉼표 [0] 4 3 9 3 4" xfId="29387"/>
    <cellStyle name="쉼표 [0] 4 3 9 3 5" xfId="52397"/>
    <cellStyle name="쉼표 [0] 4 3 9 4" xfId="7255"/>
    <cellStyle name="쉼표 [0] 4 3 9 4 2" xfId="19928"/>
    <cellStyle name="쉼표 [0] 4 3 9 4 2 2" xfId="45280"/>
    <cellStyle name="쉼표 [0] 4 3 9 4 3" xfId="32608"/>
    <cellStyle name="쉼표 [0] 4 3 9 5" xfId="13592"/>
    <cellStyle name="쉼표 [0] 4 3 9 5 2" xfId="38944"/>
    <cellStyle name="쉼표 [0] 4 3 9 6" xfId="26272"/>
    <cellStyle name="쉼표 [0] 4 3 9 7" xfId="52398"/>
    <cellStyle name="쉼표 [0] 4 30" xfId="920"/>
    <cellStyle name="쉼표 [0] 4 30 2" xfId="921"/>
    <cellStyle name="쉼표 [0] 4 30 2 2" xfId="4035"/>
    <cellStyle name="쉼표 [0] 4 30 2 2 2" xfId="10371"/>
    <cellStyle name="쉼표 [0] 4 30 2 2 2 2" xfId="23044"/>
    <cellStyle name="쉼표 [0] 4 30 2 2 2 2 2" xfId="48396"/>
    <cellStyle name="쉼표 [0] 4 30 2 2 2 3" xfId="35724"/>
    <cellStyle name="쉼표 [0] 4 30 2 2 3" xfId="16708"/>
    <cellStyle name="쉼표 [0] 4 30 2 2 3 2" xfId="42060"/>
    <cellStyle name="쉼표 [0] 4 30 2 2 4" xfId="29388"/>
    <cellStyle name="쉼표 [0] 4 30 2 2 5" xfId="52399"/>
    <cellStyle name="쉼표 [0] 4 30 2 3" xfId="7258"/>
    <cellStyle name="쉼표 [0] 4 30 2 3 2" xfId="19931"/>
    <cellStyle name="쉼표 [0] 4 30 2 3 2 2" xfId="45283"/>
    <cellStyle name="쉼표 [0] 4 30 2 3 3" xfId="32611"/>
    <cellStyle name="쉼표 [0] 4 30 2 4" xfId="13595"/>
    <cellStyle name="쉼표 [0] 4 30 2 4 2" xfId="38947"/>
    <cellStyle name="쉼표 [0] 4 30 2 5" xfId="26275"/>
    <cellStyle name="쉼표 [0] 4 30 2 6" xfId="52400"/>
    <cellStyle name="쉼표 [0] 4 30 3" xfId="4036"/>
    <cellStyle name="쉼표 [0] 4 30 3 2" xfId="10372"/>
    <cellStyle name="쉼표 [0] 4 30 3 2 2" xfId="23045"/>
    <cellStyle name="쉼표 [0] 4 30 3 2 2 2" xfId="48397"/>
    <cellStyle name="쉼표 [0] 4 30 3 2 3" xfId="35725"/>
    <cellStyle name="쉼표 [0] 4 30 3 3" xfId="16709"/>
    <cellStyle name="쉼표 [0] 4 30 3 3 2" xfId="42061"/>
    <cellStyle name="쉼표 [0] 4 30 3 4" xfId="29389"/>
    <cellStyle name="쉼표 [0] 4 30 3 5" xfId="52401"/>
    <cellStyle name="쉼표 [0] 4 30 4" xfId="7257"/>
    <cellStyle name="쉼표 [0] 4 30 4 2" xfId="19930"/>
    <cellStyle name="쉼표 [0] 4 30 4 2 2" xfId="45282"/>
    <cellStyle name="쉼표 [0] 4 30 4 3" xfId="32610"/>
    <cellStyle name="쉼표 [0] 4 30 5" xfId="13594"/>
    <cellStyle name="쉼표 [0] 4 30 5 2" xfId="38946"/>
    <cellStyle name="쉼표 [0] 4 30 6" xfId="26274"/>
    <cellStyle name="쉼표 [0] 4 30 7" xfId="52402"/>
    <cellStyle name="쉼표 [0] 4 31" xfId="922"/>
    <cellStyle name="쉼표 [0] 4 31 2" xfId="923"/>
    <cellStyle name="쉼표 [0] 4 31 2 2" xfId="4037"/>
    <cellStyle name="쉼표 [0] 4 31 2 2 2" xfId="10373"/>
    <cellStyle name="쉼표 [0] 4 31 2 2 2 2" xfId="23046"/>
    <cellStyle name="쉼표 [0] 4 31 2 2 2 2 2" xfId="48398"/>
    <cellStyle name="쉼표 [0] 4 31 2 2 2 3" xfId="35726"/>
    <cellStyle name="쉼표 [0] 4 31 2 2 3" xfId="16710"/>
    <cellStyle name="쉼표 [0] 4 31 2 2 3 2" xfId="42062"/>
    <cellStyle name="쉼표 [0] 4 31 2 2 4" xfId="29390"/>
    <cellStyle name="쉼표 [0] 4 31 2 2 5" xfId="52403"/>
    <cellStyle name="쉼표 [0] 4 31 2 3" xfId="7260"/>
    <cellStyle name="쉼표 [0] 4 31 2 3 2" xfId="19933"/>
    <cellStyle name="쉼표 [0] 4 31 2 3 2 2" xfId="45285"/>
    <cellStyle name="쉼표 [0] 4 31 2 3 3" xfId="32613"/>
    <cellStyle name="쉼표 [0] 4 31 2 4" xfId="13597"/>
    <cellStyle name="쉼표 [0] 4 31 2 4 2" xfId="38949"/>
    <cellStyle name="쉼표 [0] 4 31 2 5" xfId="26277"/>
    <cellStyle name="쉼표 [0] 4 31 2 6" xfId="52404"/>
    <cellStyle name="쉼표 [0] 4 31 3" xfId="4038"/>
    <cellStyle name="쉼표 [0] 4 31 3 2" xfId="10374"/>
    <cellStyle name="쉼표 [0] 4 31 3 2 2" xfId="23047"/>
    <cellStyle name="쉼표 [0] 4 31 3 2 2 2" xfId="48399"/>
    <cellStyle name="쉼표 [0] 4 31 3 2 3" xfId="35727"/>
    <cellStyle name="쉼표 [0] 4 31 3 3" xfId="16711"/>
    <cellStyle name="쉼표 [0] 4 31 3 3 2" xfId="42063"/>
    <cellStyle name="쉼표 [0] 4 31 3 4" xfId="29391"/>
    <cellStyle name="쉼표 [0] 4 31 3 5" xfId="52405"/>
    <cellStyle name="쉼표 [0] 4 31 4" xfId="7259"/>
    <cellStyle name="쉼표 [0] 4 31 4 2" xfId="19932"/>
    <cellStyle name="쉼표 [0] 4 31 4 2 2" xfId="45284"/>
    <cellStyle name="쉼표 [0] 4 31 4 3" xfId="32612"/>
    <cellStyle name="쉼표 [0] 4 31 5" xfId="13596"/>
    <cellStyle name="쉼표 [0] 4 31 5 2" xfId="38948"/>
    <cellStyle name="쉼표 [0] 4 31 6" xfId="26276"/>
    <cellStyle name="쉼표 [0] 4 31 7" xfId="52406"/>
    <cellStyle name="쉼표 [0] 4 32" xfId="924"/>
    <cellStyle name="쉼표 [0] 4 32 2" xfId="925"/>
    <cellStyle name="쉼표 [0] 4 32 2 2" xfId="4039"/>
    <cellStyle name="쉼표 [0] 4 32 2 2 2" xfId="10375"/>
    <cellStyle name="쉼표 [0] 4 32 2 2 2 2" xfId="23048"/>
    <cellStyle name="쉼표 [0] 4 32 2 2 2 2 2" xfId="48400"/>
    <cellStyle name="쉼표 [0] 4 32 2 2 2 3" xfId="35728"/>
    <cellStyle name="쉼표 [0] 4 32 2 2 3" xfId="16712"/>
    <cellStyle name="쉼표 [0] 4 32 2 2 3 2" xfId="42064"/>
    <cellStyle name="쉼표 [0] 4 32 2 2 4" xfId="29392"/>
    <cellStyle name="쉼표 [0] 4 32 2 2 5" xfId="52407"/>
    <cellStyle name="쉼표 [0] 4 32 2 3" xfId="7262"/>
    <cellStyle name="쉼표 [0] 4 32 2 3 2" xfId="19935"/>
    <cellStyle name="쉼표 [0] 4 32 2 3 2 2" xfId="45287"/>
    <cellStyle name="쉼표 [0] 4 32 2 3 3" xfId="32615"/>
    <cellStyle name="쉼표 [0] 4 32 2 4" xfId="13599"/>
    <cellStyle name="쉼표 [0] 4 32 2 4 2" xfId="38951"/>
    <cellStyle name="쉼표 [0] 4 32 2 5" xfId="26279"/>
    <cellStyle name="쉼표 [0] 4 32 2 6" xfId="52408"/>
    <cellStyle name="쉼표 [0] 4 32 3" xfId="4040"/>
    <cellStyle name="쉼표 [0] 4 32 3 2" xfId="10376"/>
    <cellStyle name="쉼표 [0] 4 32 3 2 2" xfId="23049"/>
    <cellStyle name="쉼표 [0] 4 32 3 2 2 2" xfId="48401"/>
    <cellStyle name="쉼표 [0] 4 32 3 2 3" xfId="35729"/>
    <cellStyle name="쉼표 [0] 4 32 3 3" xfId="16713"/>
    <cellStyle name="쉼표 [0] 4 32 3 3 2" xfId="42065"/>
    <cellStyle name="쉼표 [0] 4 32 3 4" xfId="29393"/>
    <cellStyle name="쉼표 [0] 4 32 3 5" xfId="52409"/>
    <cellStyle name="쉼표 [0] 4 32 4" xfId="7261"/>
    <cellStyle name="쉼표 [0] 4 32 4 2" xfId="19934"/>
    <cellStyle name="쉼표 [0] 4 32 4 2 2" xfId="45286"/>
    <cellStyle name="쉼표 [0] 4 32 4 3" xfId="32614"/>
    <cellStyle name="쉼표 [0] 4 32 5" xfId="13598"/>
    <cellStyle name="쉼표 [0] 4 32 5 2" xfId="38950"/>
    <cellStyle name="쉼표 [0] 4 32 6" xfId="26278"/>
    <cellStyle name="쉼표 [0] 4 32 7" xfId="52410"/>
    <cellStyle name="쉼표 [0] 4 33" xfId="926"/>
    <cellStyle name="쉼표 [0] 4 33 2" xfId="927"/>
    <cellStyle name="쉼표 [0] 4 33 2 2" xfId="4041"/>
    <cellStyle name="쉼표 [0] 4 33 2 2 2" xfId="10377"/>
    <cellStyle name="쉼표 [0] 4 33 2 2 2 2" xfId="23050"/>
    <cellStyle name="쉼표 [0] 4 33 2 2 2 2 2" xfId="48402"/>
    <cellStyle name="쉼표 [0] 4 33 2 2 2 3" xfId="35730"/>
    <cellStyle name="쉼표 [0] 4 33 2 2 3" xfId="16714"/>
    <cellStyle name="쉼표 [0] 4 33 2 2 3 2" xfId="42066"/>
    <cellStyle name="쉼표 [0] 4 33 2 2 4" xfId="29394"/>
    <cellStyle name="쉼표 [0] 4 33 2 2 5" xfId="52411"/>
    <cellStyle name="쉼표 [0] 4 33 2 3" xfId="7264"/>
    <cellStyle name="쉼표 [0] 4 33 2 3 2" xfId="19937"/>
    <cellStyle name="쉼표 [0] 4 33 2 3 2 2" xfId="45289"/>
    <cellStyle name="쉼표 [0] 4 33 2 3 3" xfId="32617"/>
    <cellStyle name="쉼표 [0] 4 33 2 4" xfId="13601"/>
    <cellStyle name="쉼표 [0] 4 33 2 4 2" xfId="38953"/>
    <cellStyle name="쉼표 [0] 4 33 2 5" xfId="26281"/>
    <cellStyle name="쉼표 [0] 4 33 2 6" xfId="52412"/>
    <cellStyle name="쉼표 [0] 4 33 3" xfId="4042"/>
    <cellStyle name="쉼표 [0] 4 33 3 2" xfId="10378"/>
    <cellStyle name="쉼표 [0] 4 33 3 2 2" xfId="23051"/>
    <cellStyle name="쉼표 [0] 4 33 3 2 2 2" xfId="48403"/>
    <cellStyle name="쉼표 [0] 4 33 3 2 3" xfId="35731"/>
    <cellStyle name="쉼표 [0] 4 33 3 3" xfId="16715"/>
    <cellStyle name="쉼표 [0] 4 33 3 3 2" xfId="42067"/>
    <cellStyle name="쉼표 [0] 4 33 3 4" xfId="29395"/>
    <cellStyle name="쉼표 [0] 4 33 3 5" xfId="52413"/>
    <cellStyle name="쉼표 [0] 4 33 4" xfId="7263"/>
    <cellStyle name="쉼표 [0] 4 33 4 2" xfId="19936"/>
    <cellStyle name="쉼표 [0] 4 33 4 2 2" xfId="45288"/>
    <cellStyle name="쉼표 [0] 4 33 4 3" xfId="32616"/>
    <cellStyle name="쉼표 [0] 4 33 5" xfId="13600"/>
    <cellStyle name="쉼표 [0] 4 33 5 2" xfId="38952"/>
    <cellStyle name="쉼표 [0] 4 33 6" xfId="26280"/>
    <cellStyle name="쉼표 [0] 4 33 7" xfId="52414"/>
    <cellStyle name="쉼표 [0] 4 34" xfId="928"/>
    <cellStyle name="쉼표 [0] 4 34 2" xfId="929"/>
    <cellStyle name="쉼표 [0] 4 34 2 2" xfId="4043"/>
    <cellStyle name="쉼표 [0] 4 34 2 2 2" xfId="10379"/>
    <cellStyle name="쉼표 [0] 4 34 2 2 2 2" xfId="23052"/>
    <cellStyle name="쉼표 [0] 4 34 2 2 2 2 2" xfId="48404"/>
    <cellStyle name="쉼표 [0] 4 34 2 2 2 3" xfId="35732"/>
    <cellStyle name="쉼표 [0] 4 34 2 2 3" xfId="16716"/>
    <cellStyle name="쉼표 [0] 4 34 2 2 3 2" xfId="42068"/>
    <cellStyle name="쉼표 [0] 4 34 2 2 4" xfId="29396"/>
    <cellStyle name="쉼표 [0] 4 34 2 2 5" xfId="52415"/>
    <cellStyle name="쉼표 [0] 4 34 2 3" xfId="7266"/>
    <cellStyle name="쉼표 [0] 4 34 2 3 2" xfId="19939"/>
    <cellStyle name="쉼표 [0] 4 34 2 3 2 2" xfId="45291"/>
    <cellStyle name="쉼표 [0] 4 34 2 3 3" xfId="32619"/>
    <cellStyle name="쉼표 [0] 4 34 2 4" xfId="13603"/>
    <cellStyle name="쉼표 [0] 4 34 2 4 2" xfId="38955"/>
    <cellStyle name="쉼표 [0] 4 34 2 5" xfId="26283"/>
    <cellStyle name="쉼표 [0] 4 34 2 6" xfId="52416"/>
    <cellStyle name="쉼표 [0] 4 34 3" xfId="4044"/>
    <cellStyle name="쉼표 [0] 4 34 3 2" xfId="10380"/>
    <cellStyle name="쉼표 [0] 4 34 3 2 2" xfId="23053"/>
    <cellStyle name="쉼표 [0] 4 34 3 2 2 2" xfId="48405"/>
    <cellStyle name="쉼표 [0] 4 34 3 2 3" xfId="35733"/>
    <cellStyle name="쉼표 [0] 4 34 3 3" xfId="16717"/>
    <cellStyle name="쉼표 [0] 4 34 3 3 2" xfId="42069"/>
    <cellStyle name="쉼표 [0] 4 34 3 4" xfId="29397"/>
    <cellStyle name="쉼표 [0] 4 34 3 5" xfId="52417"/>
    <cellStyle name="쉼표 [0] 4 34 4" xfId="7265"/>
    <cellStyle name="쉼표 [0] 4 34 4 2" xfId="19938"/>
    <cellStyle name="쉼표 [0] 4 34 4 2 2" xfId="45290"/>
    <cellStyle name="쉼표 [0] 4 34 4 3" xfId="32618"/>
    <cellStyle name="쉼표 [0] 4 34 5" xfId="13602"/>
    <cellStyle name="쉼표 [0] 4 34 5 2" xfId="38954"/>
    <cellStyle name="쉼표 [0] 4 34 6" xfId="26282"/>
    <cellStyle name="쉼표 [0] 4 34 7" xfId="52418"/>
    <cellStyle name="쉼표 [0] 4 35" xfId="930"/>
    <cellStyle name="쉼표 [0] 4 35 2" xfId="931"/>
    <cellStyle name="쉼표 [0] 4 35 2 2" xfId="4045"/>
    <cellStyle name="쉼표 [0] 4 35 2 2 2" xfId="10381"/>
    <cellStyle name="쉼표 [0] 4 35 2 2 2 2" xfId="23054"/>
    <cellStyle name="쉼표 [0] 4 35 2 2 2 2 2" xfId="48406"/>
    <cellStyle name="쉼표 [0] 4 35 2 2 2 3" xfId="35734"/>
    <cellStyle name="쉼표 [0] 4 35 2 2 3" xfId="16718"/>
    <cellStyle name="쉼표 [0] 4 35 2 2 3 2" xfId="42070"/>
    <cellStyle name="쉼표 [0] 4 35 2 2 4" xfId="29398"/>
    <cellStyle name="쉼표 [0] 4 35 2 2 5" xfId="52419"/>
    <cellStyle name="쉼표 [0] 4 35 2 3" xfId="7268"/>
    <cellStyle name="쉼표 [0] 4 35 2 3 2" xfId="19941"/>
    <cellStyle name="쉼표 [0] 4 35 2 3 2 2" xfId="45293"/>
    <cellStyle name="쉼표 [0] 4 35 2 3 3" xfId="32621"/>
    <cellStyle name="쉼표 [0] 4 35 2 4" xfId="13605"/>
    <cellStyle name="쉼표 [0] 4 35 2 4 2" xfId="38957"/>
    <cellStyle name="쉼표 [0] 4 35 2 5" xfId="26285"/>
    <cellStyle name="쉼표 [0] 4 35 2 6" xfId="52420"/>
    <cellStyle name="쉼표 [0] 4 35 3" xfId="4046"/>
    <cellStyle name="쉼표 [0] 4 35 3 2" xfId="10382"/>
    <cellStyle name="쉼표 [0] 4 35 3 2 2" xfId="23055"/>
    <cellStyle name="쉼표 [0] 4 35 3 2 2 2" xfId="48407"/>
    <cellStyle name="쉼표 [0] 4 35 3 2 3" xfId="35735"/>
    <cellStyle name="쉼표 [0] 4 35 3 3" xfId="16719"/>
    <cellStyle name="쉼표 [0] 4 35 3 3 2" xfId="42071"/>
    <cellStyle name="쉼표 [0] 4 35 3 4" xfId="29399"/>
    <cellStyle name="쉼표 [0] 4 35 3 5" xfId="52421"/>
    <cellStyle name="쉼표 [0] 4 35 4" xfId="7267"/>
    <cellStyle name="쉼표 [0] 4 35 4 2" xfId="19940"/>
    <cellStyle name="쉼표 [0] 4 35 4 2 2" xfId="45292"/>
    <cellStyle name="쉼표 [0] 4 35 4 3" xfId="32620"/>
    <cellStyle name="쉼표 [0] 4 35 5" xfId="13604"/>
    <cellStyle name="쉼표 [0] 4 35 5 2" xfId="38956"/>
    <cellStyle name="쉼표 [0] 4 35 6" xfId="26284"/>
    <cellStyle name="쉼표 [0] 4 35 7" xfId="52422"/>
    <cellStyle name="쉼표 [0] 4 36" xfId="932"/>
    <cellStyle name="쉼표 [0] 4 36 2" xfId="933"/>
    <cellStyle name="쉼표 [0] 4 36 2 2" xfId="4047"/>
    <cellStyle name="쉼표 [0] 4 36 2 2 2" xfId="10383"/>
    <cellStyle name="쉼표 [0] 4 36 2 2 2 2" xfId="23056"/>
    <cellStyle name="쉼표 [0] 4 36 2 2 2 2 2" xfId="48408"/>
    <cellStyle name="쉼표 [0] 4 36 2 2 2 3" xfId="35736"/>
    <cellStyle name="쉼표 [0] 4 36 2 2 3" xfId="16720"/>
    <cellStyle name="쉼표 [0] 4 36 2 2 3 2" xfId="42072"/>
    <cellStyle name="쉼표 [0] 4 36 2 2 4" xfId="29400"/>
    <cellStyle name="쉼표 [0] 4 36 2 2 5" xfId="52423"/>
    <cellStyle name="쉼표 [0] 4 36 2 3" xfId="7270"/>
    <cellStyle name="쉼표 [0] 4 36 2 3 2" xfId="19943"/>
    <cellStyle name="쉼표 [0] 4 36 2 3 2 2" xfId="45295"/>
    <cellStyle name="쉼표 [0] 4 36 2 3 3" xfId="32623"/>
    <cellStyle name="쉼표 [0] 4 36 2 4" xfId="13607"/>
    <cellStyle name="쉼표 [0] 4 36 2 4 2" xfId="38959"/>
    <cellStyle name="쉼표 [0] 4 36 2 5" xfId="26287"/>
    <cellStyle name="쉼표 [0] 4 36 2 6" xfId="52424"/>
    <cellStyle name="쉼표 [0] 4 36 3" xfId="4048"/>
    <cellStyle name="쉼표 [0] 4 36 3 2" xfId="10384"/>
    <cellStyle name="쉼표 [0] 4 36 3 2 2" xfId="23057"/>
    <cellStyle name="쉼표 [0] 4 36 3 2 2 2" xfId="48409"/>
    <cellStyle name="쉼표 [0] 4 36 3 2 3" xfId="35737"/>
    <cellStyle name="쉼표 [0] 4 36 3 3" xfId="16721"/>
    <cellStyle name="쉼표 [0] 4 36 3 3 2" xfId="42073"/>
    <cellStyle name="쉼표 [0] 4 36 3 4" xfId="29401"/>
    <cellStyle name="쉼표 [0] 4 36 3 5" xfId="52425"/>
    <cellStyle name="쉼표 [0] 4 36 4" xfId="7269"/>
    <cellStyle name="쉼표 [0] 4 36 4 2" xfId="19942"/>
    <cellStyle name="쉼표 [0] 4 36 4 2 2" xfId="45294"/>
    <cellStyle name="쉼표 [0] 4 36 4 3" xfId="32622"/>
    <cellStyle name="쉼표 [0] 4 36 5" xfId="13606"/>
    <cellStyle name="쉼표 [0] 4 36 5 2" xfId="38958"/>
    <cellStyle name="쉼표 [0] 4 36 6" xfId="26286"/>
    <cellStyle name="쉼표 [0] 4 36 7" xfId="52426"/>
    <cellStyle name="쉼표 [0] 4 37" xfId="934"/>
    <cellStyle name="쉼표 [0] 4 37 2" xfId="935"/>
    <cellStyle name="쉼표 [0] 4 37 2 2" xfId="4049"/>
    <cellStyle name="쉼표 [0] 4 37 2 2 2" xfId="10385"/>
    <cellStyle name="쉼표 [0] 4 37 2 2 2 2" xfId="23058"/>
    <cellStyle name="쉼표 [0] 4 37 2 2 2 2 2" xfId="48410"/>
    <cellStyle name="쉼표 [0] 4 37 2 2 2 3" xfId="35738"/>
    <cellStyle name="쉼표 [0] 4 37 2 2 3" xfId="16722"/>
    <cellStyle name="쉼표 [0] 4 37 2 2 3 2" xfId="42074"/>
    <cellStyle name="쉼표 [0] 4 37 2 2 4" xfId="29402"/>
    <cellStyle name="쉼표 [0] 4 37 2 2 5" xfId="52427"/>
    <cellStyle name="쉼표 [0] 4 37 2 3" xfId="7272"/>
    <cellStyle name="쉼표 [0] 4 37 2 3 2" xfId="19945"/>
    <cellStyle name="쉼표 [0] 4 37 2 3 2 2" xfId="45297"/>
    <cellStyle name="쉼표 [0] 4 37 2 3 3" xfId="32625"/>
    <cellStyle name="쉼표 [0] 4 37 2 4" xfId="13609"/>
    <cellStyle name="쉼표 [0] 4 37 2 4 2" xfId="38961"/>
    <cellStyle name="쉼표 [0] 4 37 2 5" xfId="26289"/>
    <cellStyle name="쉼표 [0] 4 37 2 6" xfId="52428"/>
    <cellStyle name="쉼표 [0] 4 37 3" xfId="4050"/>
    <cellStyle name="쉼표 [0] 4 37 3 2" xfId="10386"/>
    <cellStyle name="쉼표 [0] 4 37 3 2 2" xfId="23059"/>
    <cellStyle name="쉼표 [0] 4 37 3 2 2 2" xfId="48411"/>
    <cellStyle name="쉼표 [0] 4 37 3 2 3" xfId="35739"/>
    <cellStyle name="쉼표 [0] 4 37 3 3" xfId="16723"/>
    <cellStyle name="쉼표 [0] 4 37 3 3 2" xfId="42075"/>
    <cellStyle name="쉼표 [0] 4 37 3 4" xfId="29403"/>
    <cellStyle name="쉼표 [0] 4 37 3 5" xfId="52429"/>
    <cellStyle name="쉼표 [0] 4 37 4" xfId="7271"/>
    <cellStyle name="쉼표 [0] 4 37 4 2" xfId="19944"/>
    <cellStyle name="쉼표 [0] 4 37 4 2 2" xfId="45296"/>
    <cellStyle name="쉼표 [0] 4 37 4 3" xfId="32624"/>
    <cellStyle name="쉼표 [0] 4 37 5" xfId="13608"/>
    <cellStyle name="쉼표 [0] 4 37 5 2" xfId="38960"/>
    <cellStyle name="쉼표 [0] 4 37 6" xfId="26288"/>
    <cellStyle name="쉼표 [0] 4 37 7" xfId="52430"/>
    <cellStyle name="쉼표 [0] 4 38" xfId="936"/>
    <cellStyle name="쉼표 [0] 4 38 2" xfId="4051"/>
    <cellStyle name="쉼표 [0] 4 38 2 2" xfId="10387"/>
    <cellStyle name="쉼표 [0] 4 38 2 2 2" xfId="23060"/>
    <cellStyle name="쉼표 [0] 4 38 2 2 2 2" xfId="48412"/>
    <cellStyle name="쉼표 [0] 4 38 2 2 3" xfId="35740"/>
    <cellStyle name="쉼표 [0] 4 38 2 3" xfId="16724"/>
    <cellStyle name="쉼표 [0] 4 38 2 3 2" xfId="42076"/>
    <cellStyle name="쉼표 [0] 4 38 2 4" xfId="29404"/>
    <cellStyle name="쉼표 [0] 4 38 2 5" xfId="52431"/>
    <cellStyle name="쉼표 [0] 4 38 3" xfId="7273"/>
    <cellStyle name="쉼표 [0] 4 38 3 2" xfId="19946"/>
    <cellStyle name="쉼표 [0] 4 38 3 2 2" xfId="45298"/>
    <cellStyle name="쉼표 [0] 4 38 3 3" xfId="32626"/>
    <cellStyle name="쉼표 [0] 4 38 4" xfId="13610"/>
    <cellStyle name="쉼표 [0] 4 38 4 2" xfId="38962"/>
    <cellStyle name="쉼표 [0] 4 38 5" xfId="26290"/>
    <cellStyle name="쉼표 [0] 4 38 6" xfId="52432"/>
    <cellStyle name="쉼표 [0] 4 39" xfId="4052"/>
    <cellStyle name="쉼표 [0] 4 39 2" xfId="10388"/>
    <cellStyle name="쉼표 [0] 4 39 2 2" xfId="23061"/>
    <cellStyle name="쉼표 [0] 4 39 2 2 2" xfId="48413"/>
    <cellStyle name="쉼표 [0] 4 39 2 3" xfId="35741"/>
    <cellStyle name="쉼표 [0] 4 39 3" xfId="16725"/>
    <cellStyle name="쉼표 [0] 4 39 3 2" xfId="42077"/>
    <cellStyle name="쉼표 [0] 4 39 4" xfId="29405"/>
    <cellStyle name="쉼표 [0] 4 39 5" xfId="52433"/>
    <cellStyle name="쉼표 [0] 4 4" xfId="25"/>
    <cellStyle name="쉼표 [0] 4 4 10" xfId="937"/>
    <cellStyle name="쉼표 [0] 4 4 10 2" xfId="938"/>
    <cellStyle name="쉼표 [0] 4 4 10 2 2" xfId="4053"/>
    <cellStyle name="쉼표 [0] 4 4 10 2 2 2" xfId="10389"/>
    <cellStyle name="쉼표 [0] 4 4 10 2 2 2 2" xfId="23062"/>
    <cellStyle name="쉼표 [0] 4 4 10 2 2 2 2 2" xfId="48414"/>
    <cellStyle name="쉼표 [0] 4 4 10 2 2 2 3" xfId="35742"/>
    <cellStyle name="쉼표 [0] 4 4 10 2 2 3" xfId="16726"/>
    <cellStyle name="쉼표 [0] 4 4 10 2 2 3 2" xfId="42078"/>
    <cellStyle name="쉼표 [0] 4 4 10 2 2 4" xfId="29406"/>
    <cellStyle name="쉼표 [0] 4 4 10 2 2 5" xfId="52434"/>
    <cellStyle name="쉼표 [0] 4 4 10 2 3" xfId="7275"/>
    <cellStyle name="쉼표 [0] 4 4 10 2 3 2" xfId="19948"/>
    <cellStyle name="쉼표 [0] 4 4 10 2 3 2 2" xfId="45300"/>
    <cellStyle name="쉼표 [0] 4 4 10 2 3 3" xfId="32628"/>
    <cellStyle name="쉼표 [0] 4 4 10 2 4" xfId="13612"/>
    <cellStyle name="쉼표 [0] 4 4 10 2 4 2" xfId="38964"/>
    <cellStyle name="쉼표 [0] 4 4 10 2 5" xfId="26292"/>
    <cellStyle name="쉼표 [0] 4 4 10 2 6" xfId="52435"/>
    <cellStyle name="쉼표 [0] 4 4 10 3" xfId="4054"/>
    <cellStyle name="쉼표 [0] 4 4 10 3 2" xfId="10390"/>
    <cellStyle name="쉼표 [0] 4 4 10 3 2 2" xfId="23063"/>
    <cellStyle name="쉼표 [0] 4 4 10 3 2 2 2" xfId="48415"/>
    <cellStyle name="쉼표 [0] 4 4 10 3 2 3" xfId="35743"/>
    <cellStyle name="쉼표 [0] 4 4 10 3 3" xfId="16727"/>
    <cellStyle name="쉼표 [0] 4 4 10 3 3 2" xfId="42079"/>
    <cellStyle name="쉼표 [0] 4 4 10 3 4" xfId="29407"/>
    <cellStyle name="쉼표 [0] 4 4 10 3 5" xfId="52436"/>
    <cellStyle name="쉼표 [0] 4 4 10 4" xfId="7274"/>
    <cellStyle name="쉼표 [0] 4 4 10 4 2" xfId="19947"/>
    <cellStyle name="쉼표 [0] 4 4 10 4 2 2" xfId="45299"/>
    <cellStyle name="쉼표 [0] 4 4 10 4 3" xfId="32627"/>
    <cellStyle name="쉼표 [0] 4 4 10 5" xfId="13611"/>
    <cellStyle name="쉼표 [0] 4 4 10 5 2" xfId="38963"/>
    <cellStyle name="쉼표 [0] 4 4 10 6" xfId="26291"/>
    <cellStyle name="쉼표 [0] 4 4 10 7" xfId="52437"/>
    <cellStyle name="쉼표 [0] 4 4 11" xfId="939"/>
    <cellStyle name="쉼표 [0] 4 4 11 2" xfId="940"/>
    <cellStyle name="쉼표 [0] 4 4 11 2 2" xfId="4055"/>
    <cellStyle name="쉼표 [0] 4 4 11 2 2 2" xfId="10391"/>
    <cellStyle name="쉼표 [0] 4 4 11 2 2 2 2" xfId="23064"/>
    <cellStyle name="쉼표 [0] 4 4 11 2 2 2 2 2" xfId="48416"/>
    <cellStyle name="쉼표 [0] 4 4 11 2 2 2 3" xfId="35744"/>
    <cellStyle name="쉼표 [0] 4 4 11 2 2 3" xfId="16728"/>
    <cellStyle name="쉼표 [0] 4 4 11 2 2 3 2" xfId="42080"/>
    <cellStyle name="쉼표 [0] 4 4 11 2 2 4" xfId="29408"/>
    <cellStyle name="쉼표 [0] 4 4 11 2 2 5" xfId="52438"/>
    <cellStyle name="쉼표 [0] 4 4 11 2 3" xfId="7277"/>
    <cellStyle name="쉼표 [0] 4 4 11 2 3 2" xfId="19950"/>
    <cellStyle name="쉼표 [0] 4 4 11 2 3 2 2" xfId="45302"/>
    <cellStyle name="쉼표 [0] 4 4 11 2 3 3" xfId="32630"/>
    <cellStyle name="쉼표 [0] 4 4 11 2 4" xfId="13614"/>
    <cellStyle name="쉼표 [0] 4 4 11 2 4 2" xfId="38966"/>
    <cellStyle name="쉼표 [0] 4 4 11 2 5" xfId="26294"/>
    <cellStyle name="쉼표 [0] 4 4 11 2 6" xfId="52439"/>
    <cellStyle name="쉼표 [0] 4 4 11 3" xfId="4056"/>
    <cellStyle name="쉼표 [0] 4 4 11 3 2" xfId="10392"/>
    <cellStyle name="쉼표 [0] 4 4 11 3 2 2" xfId="23065"/>
    <cellStyle name="쉼표 [0] 4 4 11 3 2 2 2" xfId="48417"/>
    <cellStyle name="쉼표 [0] 4 4 11 3 2 3" xfId="35745"/>
    <cellStyle name="쉼표 [0] 4 4 11 3 3" xfId="16729"/>
    <cellStyle name="쉼표 [0] 4 4 11 3 3 2" xfId="42081"/>
    <cellStyle name="쉼표 [0] 4 4 11 3 4" xfId="29409"/>
    <cellStyle name="쉼표 [0] 4 4 11 3 5" xfId="52440"/>
    <cellStyle name="쉼표 [0] 4 4 11 4" xfId="7276"/>
    <cellStyle name="쉼표 [0] 4 4 11 4 2" xfId="19949"/>
    <cellStyle name="쉼표 [0] 4 4 11 4 2 2" xfId="45301"/>
    <cellStyle name="쉼표 [0] 4 4 11 4 3" xfId="32629"/>
    <cellStyle name="쉼표 [0] 4 4 11 5" xfId="13613"/>
    <cellStyle name="쉼표 [0] 4 4 11 5 2" xfId="38965"/>
    <cellStyle name="쉼표 [0] 4 4 11 6" xfId="26293"/>
    <cellStyle name="쉼표 [0] 4 4 11 7" xfId="52441"/>
    <cellStyle name="쉼표 [0] 4 4 12" xfId="941"/>
    <cellStyle name="쉼표 [0] 4 4 12 2" xfId="942"/>
    <cellStyle name="쉼표 [0] 4 4 12 2 2" xfId="4057"/>
    <cellStyle name="쉼표 [0] 4 4 12 2 2 2" xfId="10393"/>
    <cellStyle name="쉼표 [0] 4 4 12 2 2 2 2" xfId="23066"/>
    <cellStyle name="쉼표 [0] 4 4 12 2 2 2 2 2" xfId="48418"/>
    <cellStyle name="쉼표 [0] 4 4 12 2 2 2 3" xfId="35746"/>
    <cellStyle name="쉼표 [0] 4 4 12 2 2 3" xfId="16730"/>
    <cellStyle name="쉼표 [0] 4 4 12 2 2 3 2" xfId="42082"/>
    <cellStyle name="쉼표 [0] 4 4 12 2 2 4" xfId="29410"/>
    <cellStyle name="쉼표 [0] 4 4 12 2 2 5" xfId="52442"/>
    <cellStyle name="쉼표 [0] 4 4 12 2 3" xfId="7279"/>
    <cellStyle name="쉼표 [0] 4 4 12 2 3 2" xfId="19952"/>
    <cellStyle name="쉼표 [0] 4 4 12 2 3 2 2" xfId="45304"/>
    <cellStyle name="쉼표 [0] 4 4 12 2 3 3" xfId="32632"/>
    <cellStyle name="쉼표 [0] 4 4 12 2 4" xfId="13616"/>
    <cellStyle name="쉼표 [0] 4 4 12 2 4 2" xfId="38968"/>
    <cellStyle name="쉼표 [0] 4 4 12 2 5" xfId="26296"/>
    <cellStyle name="쉼표 [0] 4 4 12 2 6" xfId="52443"/>
    <cellStyle name="쉼표 [0] 4 4 12 3" xfId="4058"/>
    <cellStyle name="쉼표 [0] 4 4 12 3 2" xfId="10394"/>
    <cellStyle name="쉼표 [0] 4 4 12 3 2 2" xfId="23067"/>
    <cellStyle name="쉼표 [0] 4 4 12 3 2 2 2" xfId="48419"/>
    <cellStyle name="쉼표 [0] 4 4 12 3 2 3" xfId="35747"/>
    <cellStyle name="쉼표 [0] 4 4 12 3 3" xfId="16731"/>
    <cellStyle name="쉼표 [0] 4 4 12 3 3 2" xfId="42083"/>
    <cellStyle name="쉼표 [0] 4 4 12 3 4" xfId="29411"/>
    <cellStyle name="쉼표 [0] 4 4 12 3 5" xfId="52444"/>
    <cellStyle name="쉼표 [0] 4 4 12 4" xfId="7278"/>
    <cellStyle name="쉼표 [0] 4 4 12 4 2" xfId="19951"/>
    <cellStyle name="쉼표 [0] 4 4 12 4 2 2" xfId="45303"/>
    <cellStyle name="쉼표 [0] 4 4 12 4 3" xfId="32631"/>
    <cellStyle name="쉼표 [0] 4 4 12 5" xfId="13615"/>
    <cellStyle name="쉼표 [0] 4 4 12 5 2" xfId="38967"/>
    <cellStyle name="쉼표 [0] 4 4 12 6" xfId="26295"/>
    <cellStyle name="쉼표 [0] 4 4 12 7" xfId="52445"/>
    <cellStyle name="쉼표 [0] 4 4 13" xfId="943"/>
    <cellStyle name="쉼표 [0] 4 4 13 2" xfId="944"/>
    <cellStyle name="쉼표 [0] 4 4 13 2 2" xfId="4059"/>
    <cellStyle name="쉼표 [0] 4 4 13 2 2 2" xfId="10395"/>
    <cellStyle name="쉼표 [0] 4 4 13 2 2 2 2" xfId="23068"/>
    <cellStyle name="쉼표 [0] 4 4 13 2 2 2 2 2" xfId="48420"/>
    <cellStyle name="쉼표 [0] 4 4 13 2 2 2 3" xfId="35748"/>
    <cellStyle name="쉼표 [0] 4 4 13 2 2 3" xfId="16732"/>
    <cellStyle name="쉼표 [0] 4 4 13 2 2 3 2" xfId="42084"/>
    <cellStyle name="쉼표 [0] 4 4 13 2 2 4" xfId="29412"/>
    <cellStyle name="쉼표 [0] 4 4 13 2 2 5" xfId="52446"/>
    <cellStyle name="쉼표 [0] 4 4 13 2 3" xfId="7281"/>
    <cellStyle name="쉼표 [0] 4 4 13 2 3 2" xfId="19954"/>
    <cellStyle name="쉼표 [0] 4 4 13 2 3 2 2" xfId="45306"/>
    <cellStyle name="쉼표 [0] 4 4 13 2 3 3" xfId="32634"/>
    <cellStyle name="쉼표 [0] 4 4 13 2 4" xfId="13618"/>
    <cellStyle name="쉼표 [0] 4 4 13 2 4 2" xfId="38970"/>
    <cellStyle name="쉼표 [0] 4 4 13 2 5" xfId="26298"/>
    <cellStyle name="쉼표 [0] 4 4 13 2 6" xfId="52447"/>
    <cellStyle name="쉼표 [0] 4 4 13 3" xfId="4060"/>
    <cellStyle name="쉼표 [0] 4 4 13 3 2" xfId="10396"/>
    <cellStyle name="쉼표 [0] 4 4 13 3 2 2" xfId="23069"/>
    <cellStyle name="쉼표 [0] 4 4 13 3 2 2 2" xfId="48421"/>
    <cellStyle name="쉼표 [0] 4 4 13 3 2 3" xfId="35749"/>
    <cellStyle name="쉼표 [0] 4 4 13 3 3" xfId="16733"/>
    <cellStyle name="쉼표 [0] 4 4 13 3 3 2" xfId="42085"/>
    <cellStyle name="쉼표 [0] 4 4 13 3 4" xfId="29413"/>
    <cellStyle name="쉼표 [0] 4 4 13 3 5" xfId="52448"/>
    <cellStyle name="쉼표 [0] 4 4 13 4" xfId="7280"/>
    <cellStyle name="쉼표 [0] 4 4 13 4 2" xfId="19953"/>
    <cellStyle name="쉼표 [0] 4 4 13 4 2 2" xfId="45305"/>
    <cellStyle name="쉼표 [0] 4 4 13 4 3" xfId="32633"/>
    <cellStyle name="쉼표 [0] 4 4 13 5" xfId="13617"/>
    <cellStyle name="쉼표 [0] 4 4 13 5 2" xfId="38969"/>
    <cellStyle name="쉼표 [0] 4 4 13 6" xfId="26297"/>
    <cellStyle name="쉼표 [0] 4 4 13 7" xfId="52449"/>
    <cellStyle name="쉼표 [0] 4 4 14" xfId="945"/>
    <cellStyle name="쉼표 [0] 4 4 14 2" xfId="946"/>
    <cellStyle name="쉼표 [0] 4 4 14 2 2" xfId="4061"/>
    <cellStyle name="쉼표 [0] 4 4 14 2 2 2" xfId="10397"/>
    <cellStyle name="쉼표 [0] 4 4 14 2 2 2 2" xfId="23070"/>
    <cellStyle name="쉼표 [0] 4 4 14 2 2 2 2 2" xfId="48422"/>
    <cellStyle name="쉼표 [0] 4 4 14 2 2 2 3" xfId="35750"/>
    <cellStyle name="쉼표 [0] 4 4 14 2 2 3" xfId="16734"/>
    <cellStyle name="쉼표 [0] 4 4 14 2 2 3 2" xfId="42086"/>
    <cellStyle name="쉼표 [0] 4 4 14 2 2 4" xfId="29414"/>
    <cellStyle name="쉼표 [0] 4 4 14 2 2 5" xfId="52450"/>
    <cellStyle name="쉼표 [0] 4 4 14 2 3" xfId="7283"/>
    <cellStyle name="쉼표 [0] 4 4 14 2 3 2" xfId="19956"/>
    <cellStyle name="쉼표 [0] 4 4 14 2 3 2 2" xfId="45308"/>
    <cellStyle name="쉼표 [0] 4 4 14 2 3 3" xfId="32636"/>
    <cellStyle name="쉼표 [0] 4 4 14 2 4" xfId="13620"/>
    <cellStyle name="쉼표 [0] 4 4 14 2 4 2" xfId="38972"/>
    <cellStyle name="쉼표 [0] 4 4 14 2 5" xfId="26300"/>
    <cellStyle name="쉼표 [0] 4 4 14 2 6" xfId="52451"/>
    <cellStyle name="쉼표 [0] 4 4 14 3" xfId="4062"/>
    <cellStyle name="쉼표 [0] 4 4 14 3 2" xfId="10398"/>
    <cellStyle name="쉼표 [0] 4 4 14 3 2 2" xfId="23071"/>
    <cellStyle name="쉼표 [0] 4 4 14 3 2 2 2" xfId="48423"/>
    <cellStyle name="쉼표 [0] 4 4 14 3 2 3" xfId="35751"/>
    <cellStyle name="쉼표 [0] 4 4 14 3 3" xfId="16735"/>
    <cellStyle name="쉼표 [0] 4 4 14 3 3 2" xfId="42087"/>
    <cellStyle name="쉼표 [0] 4 4 14 3 4" xfId="29415"/>
    <cellStyle name="쉼표 [0] 4 4 14 3 5" xfId="52452"/>
    <cellStyle name="쉼표 [0] 4 4 14 4" xfId="7282"/>
    <cellStyle name="쉼표 [0] 4 4 14 4 2" xfId="19955"/>
    <cellStyle name="쉼표 [0] 4 4 14 4 2 2" xfId="45307"/>
    <cellStyle name="쉼표 [0] 4 4 14 4 3" xfId="32635"/>
    <cellStyle name="쉼표 [0] 4 4 14 5" xfId="13619"/>
    <cellStyle name="쉼표 [0] 4 4 14 5 2" xfId="38971"/>
    <cellStyle name="쉼표 [0] 4 4 14 6" xfId="26299"/>
    <cellStyle name="쉼표 [0] 4 4 14 7" xfId="52453"/>
    <cellStyle name="쉼표 [0] 4 4 15" xfId="947"/>
    <cellStyle name="쉼표 [0] 4 4 15 2" xfId="948"/>
    <cellStyle name="쉼표 [0] 4 4 15 2 2" xfId="4063"/>
    <cellStyle name="쉼표 [0] 4 4 15 2 2 2" xfId="10399"/>
    <cellStyle name="쉼표 [0] 4 4 15 2 2 2 2" xfId="23072"/>
    <cellStyle name="쉼표 [0] 4 4 15 2 2 2 2 2" xfId="48424"/>
    <cellStyle name="쉼표 [0] 4 4 15 2 2 2 3" xfId="35752"/>
    <cellStyle name="쉼표 [0] 4 4 15 2 2 3" xfId="16736"/>
    <cellStyle name="쉼표 [0] 4 4 15 2 2 3 2" xfId="42088"/>
    <cellStyle name="쉼표 [0] 4 4 15 2 2 4" xfId="29416"/>
    <cellStyle name="쉼표 [0] 4 4 15 2 2 5" xfId="52454"/>
    <cellStyle name="쉼표 [0] 4 4 15 2 3" xfId="7285"/>
    <cellStyle name="쉼표 [0] 4 4 15 2 3 2" xfId="19958"/>
    <cellStyle name="쉼표 [0] 4 4 15 2 3 2 2" xfId="45310"/>
    <cellStyle name="쉼표 [0] 4 4 15 2 3 3" xfId="32638"/>
    <cellStyle name="쉼표 [0] 4 4 15 2 4" xfId="13622"/>
    <cellStyle name="쉼표 [0] 4 4 15 2 4 2" xfId="38974"/>
    <cellStyle name="쉼표 [0] 4 4 15 2 5" xfId="26302"/>
    <cellStyle name="쉼표 [0] 4 4 15 2 6" xfId="52455"/>
    <cellStyle name="쉼표 [0] 4 4 15 3" xfId="4064"/>
    <cellStyle name="쉼표 [0] 4 4 15 3 2" xfId="10400"/>
    <cellStyle name="쉼표 [0] 4 4 15 3 2 2" xfId="23073"/>
    <cellStyle name="쉼표 [0] 4 4 15 3 2 2 2" xfId="48425"/>
    <cellStyle name="쉼표 [0] 4 4 15 3 2 3" xfId="35753"/>
    <cellStyle name="쉼표 [0] 4 4 15 3 3" xfId="16737"/>
    <cellStyle name="쉼표 [0] 4 4 15 3 3 2" xfId="42089"/>
    <cellStyle name="쉼표 [0] 4 4 15 3 4" xfId="29417"/>
    <cellStyle name="쉼표 [0] 4 4 15 3 5" xfId="52456"/>
    <cellStyle name="쉼표 [0] 4 4 15 4" xfId="7284"/>
    <cellStyle name="쉼표 [0] 4 4 15 4 2" xfId="19957"/>
    <cellStyle name="쉼표 [0] 4 4 15 4 2 2" xfId="45309"/>
    <cellStyle name="쉼표 [0] 4 4 15 4 3" xfId="32637"/>
    <cellStyle name="쉼표 [0] 4 4 15 5" xfId="13621"/>
    <cellStyle name="쉼표 [0] 4 4 15 5 2" xfId="38973"/>
    <cellStyle name="쉼표 [0] 4 4 15 6" xfId="26301"/>
    <cellStyle name="쉼표 [0] 4 4 15 7" xfId="52457"/>
    <cellStyle name="쉼표 [0] 4 4 16" xfId="949"/>
    <cellStyle name="쉼표 [0] 4 4 16 2" xfId="950"/>
    <cellStyle name="쉼표 [0] 4 4 16 2 2" xfId="4065"/>
    <cellStyle name="쉼표 [0] 4 4 16 2 2 2" xfId="10401"/>
    <cellStyle name="쉼표 [0] 4 4 16 2 2 2 2" xfId="23074"/>
    <cellStyle name="쉼표 [0] 4 4 16 2 2 2 2 2" xfId="48426"/>
    <cellStyle name="쉼표 [0] 4 4 16 2 2 2 3" xfId="35754"/>
    <cellStyle name="쉼표 [0] 4 4 16 2 2 3" xfId="16738"/>
    <cellStyle name="쉼표 [0] 4 4 16 2 2 3 2" xfId="42090"/>
    <cellStyle name="쉼표 [0] 4 4 16 2 2 4" xfId="29418"/>
    <cellStyle name="쉼표 [0] 4 4 16 2 2 5" xfId="52458"/>
    <cellStyle name="쉼표 [0] 4 4 16 2 3" xfId="7287"/>
    <cellStyle name="쉼표 [0] 4 4 16 2 3 2" xfId="19960"/>
    <cellStyle name="쉼표 [0] 4 4 16 2 3 2 2" xfId="45312"/>
    <cellStyle name="쉼표 [0] 4 4 16 2 3 3" xfId="32640"/>
    <cellStyle name="쉼표 [0] 4 4 16 2 4" xfId="13624"/>
    <cellStyle name="쉼표 [0] 4 4 16 2 4 2" xfId="38976"/>
    <cellStyle name="쉼표 [0] 4 4 16 2 5" xfId="26304"/>
    <cellStyle name="쉼표 [0] 4 4 16 2 6" xfId="52459"/>
    <cellStyle name="쉼표 [0] 4 4 16 3" xfId="4066"/>
    <cellStyle name="쉼표 [0] 4 4 16 3 2" xfId="10402"/>
    <cellStyle name="쉼표 [0] 4 4 16 3 2 2" xfId="23075"/>
    <cellStyle name="쉼표 [0] 4 4 16 3 2 2 2" xfId="48427"/>
    <cellStyle name="쉼표 [0] 4 4 16 3 2 3" xfId="35755"/>
    <cellStyle name="쉼표 [0] 4 4 16 3 3" xfId="16739"/>
    <cellStyle name="쉼표 [0] 4 4 16 3 3 2" xfId="42091"/>
    <cellStyle name="쉼표 [0] 4 4 16 3 4" xfId="29419"/>
    <cellStyle name="쉼표 [0] 4 4 16 3 5" xfId="52460"/>
    <cellStyle name="쉼표 [0] 4 4 16 4" xfId="7286"/>
    <cellStyle name="쉼표 [0] 4 4 16 4 2" xfId="19959"/>
    <cellStyle name="쉼표 [0] 4 4 16 4 2 2" xfId="45311"/>
    <cellStyle name="쉼표 [0] 4 4 16 4 3" xfId="32639"/>
    <cellStyle name="쉼표 [0] 4 4 16 5" xfId="13623"/>
    <cellStyle name="쉼표 [0] 4 4 16 5 2" xfId="38975"/>
    <cellStyle name="쉼표 [0] 4 4 16 6" xfId="26303"/>
    <cellStyle name="쉼표 [0] 4 4 16 7" xfId="52461"/>
    <cellStyle name="쉼표 [0] 4 4 17" xfId="951"/>
    <cellStyle name="쉼표 [0] 4 4 17 2" xfId="952"/>
    <cellStyle name="쉼표 [0] 4 4 17 2 2" xfId="4067"/>
    <cellStyle name="쉼표 [0] 4 4 17 2 2 2" xfId="10403"/>
    <cellStyle name="쉼표 [0] 4 4 17 2 2 2 2" xfId="23076"/>
    <cellStyle name="쉼표 [0] 4 4 17 2 2 2 2 2" xfId="48428"/>
    <cellStyle name="쉼표 [0] 4 4 17 2 2 2 3" xfId="35756"/>
    <cellStyle name="쉼표 [0] 4 4 17 2 2 3" xfId="16740"/>
    <cellStyle name="쉼표 [0] 4 4 17 2 2 3 2" xfId="42092"/>
    <cellStyle name="쉼표 [0] 4 4 17 2 2 4" xfId="29420"/>
    <cellStyle name="쉼표 [0] 4 4 17 2 2 5" xfId="52462"/>
    <cellStyle name="쉼표 [0] 4 4 17 2 3" xfId="7289"/>
    <cellStyle name="쉼표 [0] 4 4 17 2 3 2" xfId="19962"/>
    <cellStyle name="쉼표 [0] 4 4 17 2 3 2 2" xfId="45314"/>
    <cellStyle name="쉼표 [0] 4 4 17 2 3 3" xfId="32642"/>
    <cellStyle name="쉼표 [0] 4 4 17 2 4" xfId="13626"/>
    <cellStyle name="쉼표 [0] 4 4 17 2 4 2" xfId="38978"/>
    <cellStyle name="쉼표 [0] 4 4 17 2 5" xfId="26306"/>
    <cellStyle name="쉼표 [0] 4 4 17 2 6" xfId="52463"/>
    <cellStyle name="쉼표 [0] 4 4 17 3" xfId="4068"/>
    <cellStyle name="쉼표 [0] 4 4 17 3 2" xfId="10404"/>
    <cellStyle name="쉼표 [0] 4 4 17 3 2 2" xfId="23077"/>
    <cellStyle name="쉼표 [0] 4 4 17 3 2 2 2" xfId="48429"/>
    <cellStyle name="쉼표 [0] 4 4 17 3 2 3" xfId="35757"/>
    <cellStyle name="쉼표 [0] 4 4 17 3 3" xfId="16741"/>
    <cellStyle name="쉼표 [0] 4 4 17 3 3 2" xfId="42093"/>
    <cellStyle name="쉼표 [0] 4 4 17 3 4" xfId="29421"/>
    <cellStyle name="쉼표 [0] 4 4 17 3 5" xfId="52464"/>
    <cellStyle name="쉼표 [0] 4 4 17 4" xfId="7288"/>
    <cellStyle name="쉼표 [0] 4 4 17 4 2" xfId="19961"/>
    <cellStyle name="쉼표 [0] 4 4 17 4 2 2" xfId="45313"/>
    <cellStyle name="쉼표 [0] 4 4 17 4 3" xfId="32641"/>
    <cellStyle name="쉼표 [0] 4 4 17 5" xfId="13625"/>
    <cellStyle name="쉼표 [0] 4 4 17 5 2" xfId="38977"/>
    <cellStyle name="쉼표 [0] 4 4 17 6" xfId="26305"/>
    <cellStyle name="쉼표 [0] 4 4 17 7" xfId="52465"/>
    <cellStyle name="쉼표 [0] 4 4 18" xfId="953"/>
    <cellStyle name="쉼표 [0] 4 4 18 2" xfId="954"/>
    <cellStyle name="쉼표 [0] 4 4 18 2 2" xfId="4069"/>
    <cellStyle name="쉼표 [0] 4 4 18 2 2 2" xfId="10405"/>
    <cellStyle name="쉼표 [0] 4 4 18 2 2 2 2" xfId="23078"/>
    <cellStyle name="쉼표 [0] 4 4 18 2 2 2 2 2" xfId="48430"/>
    <cellStyle name="쉼표 [0] 4 4 18 2 2 2 3" xfId="35758"/>
    <cellStyle name="쉼표 [0] 4 4 18 2 2 3" xfId="16742"/>
    <cellStyle name="쉼표 [0] 4 4 18 2 2 3 2" xfId="42094"/>
    <cellStyle name="쉼표 [0] 4 4 18 2 2 4" xfId="29422"/>
    <cellStyle name="쉼표 [0] 4 4 18 2 2 5" xfId="52466"/>
    <cellStyle name="쉼표 [0] 4 4 18 2 3" xfId="7291"/>
    <cellStyle name="쉼표 [0] 4 4 18 2 3 2" xfId="19964"/>
    <cellStyle name="쉼표 [0] 4 4 18 2 3 2 2" xfId="45316"/>
    <cellStyle name="쉼표 [0] 4 4 18 2 3 3" xfId="32644"/>
    <cellStyle name="쉼표 [0] 4 4 18 2 4" xfId="13628"/>
    <cellStyle name="쉼표 [0] 4 4 18 2 4 2" xfId="38980"/>
    <cellStyle name="쉼표 [0] 4 4 18 2 5" xfId="26308"/>
    <cellStyle name="쉼표 [0] 4 4 18 2 6" xfId="52467"/>
    <cellStyle name="쉼표 [0] 4 4 18 3" xfId="4070"/>
    <cellStyle name="쉼표 [0] 4 4 18 3 2" xfId="10406"/>
    <cellStyle name="쉼표 [0] 4 4 18 3 2 2" xfId="23079"/>
    <cellStyle name="쉼표 [0] 4 4 18 3 2 2 2" xfId="48431"/>
    <cellStyle name="쉼표 [0] 4 4 18 3 2 3" xfId="35759"/>
    <cellStyle name="쉼표 [0] 4 4 18 3 3" xfId="16743"/>
    <cellStyle name="쉼표 [0] 4 4 18 3 3 2" xfId="42095"/>
    <cellStyle name="쉼표 [0] 4 4 18 3 4" xfId="29423"/>
    <cellStyle name="쉼표 [0] 4 4 18 3 5" xfId="52468"/>
    <cellStyle name="쉼표 [0] 4 4 18 4" xfId="7290"/>
    <cellStyle name="쉼표 [0] 4 4 18 4 2" xfId="19963"/>
    <cellStyle name="쉼표 [0] 4 4 18 4 2 2" xfId="45315"/>
    <cellStyle name="쉼표 [0] 4 4 18 4 3" xfId="32643"/>
    <cellStyle name="쉼표 [0] 4 4 18 5" xfId="13627"/>
    <cellStyle name="쉼표 [0] 4 4 18 5 2" xfId="38979"/>
    <cellStyle name="쉼표 [0] 4 4 18 6" xfId="26307"/>
    <cellStyle name="쉼표 [0] 4 4 18 7" xfId="52469"/>
    <cellStyle name="쉼표 [0] 4 4 19" xfId="955"/>
    <cellStyle name="쉼표 [0] 4 4 19 2" xfId="956"/>
    <cellStyle name="쉼표 [0] 4 4 19 2 2" xfId="4071"/>
    <cellStyle name="쉼표 [0] 4 4 19 2 2 2" xfId="10407"/>
    <cellStyle name="쉼표 [0] 4 4 19 2 2 2 2" xfId="23080"/>
    <cellStyle name="쉼표 [0] 4 4 19 2 2 2 2 2" xfId="48432"/>
    <cellStyle name="쉼표 [0] 4 4 19 2 2 2 3" xfId="35760"/>
    <cellStyle name="쉼표 [0] 4 4 19 2 2 3" xfId="16744"/>
    <cellStyle name="쉼표 [0] 4 4 19 2 2 3 2" xfId="42096"/>
    <cellStyle name="쉼표 [0] 4 4 19 2 2 4" xfId="29424"/>
    <cellStyle name="쉼표 [0] 4 4 19 2 2 5" xfId="52470"/>
    <cellStyle name="쉼표 [0] 4 4 19 2 3" xfId="7293"/>
    <cellStyle name="쉼표 [0] 4 4 19 2 3 2" xfId="19966"/>
    <cellStyle name="쉼표 [0] 4 4 19 2 3 2 2" xfId="45318"/>
    <cellStyle name="쉼표 [0] 4 4 19 2 3 3" xfId="32646"/>
    <cellStyle name="쉼표 [0] 4 4 19 2 4" xfId="13630"/>
    <cellStyle name="쉼표 [0] 4 4 19 2 4 2" xfId="38982"/>
    <cellStyle name="쉼표 [0] 4 4 19 2 5" xfId="26310"/>
    <cellStyle name="쉼표 [0] 4 4 19 2 6" xfId="52471"/>
    <cellStyle name="쉼표 [0] 4 4 19 3" xfId="4072"/>
    <cellStyle name="쉼표 [0] 4 4 19 3 2" xfId="10408"/>
    <cellStyle name="쉼표 [0] 4 4 19 3 2 2" xfId="23081"/>
    <cellStyle name="쉼표 [0] 4 4 19 3 2 2 2" xfId="48433"/>
    <cellStyle name="쉼표 [0] 4 4 19 3 2 3" xfId="35761"/>
    <cellStyle name="쉼표 [0] 4 4 19 3 3" xfId="16745"/>
    <cellStyle name="쉼표 [0] 4 4 19 3 3 2" xfId="42097"/>
    <cellStyle name="쉼표 [0] 4 4 19 3 4" xfId="29425"/>
    <cellStyle name="쉼표 [0] 4 4 19 3 5" xfId="52472"/>
    <cellStyle name="쉼표 [0] 4 4 19 4" xfId="7292"/>
    <cellStyle name="쉼표 [0] 4 4 19 4 2" xfId="19965"/>
    <cellStyle name="쉼표 [0] 4 4 19 4 2 2" xfId="45317"/>
    <cellStyle name="쉼표 [0] 4 4 19 4 3" xfId="32645"/>
    <cellStyle name="쉼표 [0] 4 4 19 5" xfId="13629"/>
    <cellStyle name="쉼표 [0] 4 4 19 5 2" xfId="38981"/>
    <cellStyle name="쉼표 [0] 4 4 19 6" xfId="26309"/>
    <cellStyle name="쉼표 [0] 4 4 19 7" xfId="52473"/>
    <cellStyle name="쉼표 [0] 4 4 2" xfId="69"/>
    <cellStyle name="쉼표 [0] 4 4 2 10" xfId="957"/>
    <cellStyle name="쉼표 [0] 4 4 2 10 2" xfId="958"/>
    <cellStyle name="쉼표 [0] 4 4 2 10 2 2" xfId="4073"/>
    <cellStyle name="쉼표 [0] 4 4 2 10 2 2 2" xfId="10409"/>
    <cellStyle name="쉼표 [0] 4 4 2 10 2 2 2 2" xfId="23082"/>
    <cellStyle name="쉼표 [0] 4 4 2 10 2 2 2 2 2" xfId="48434"/>
    <cellStyle name="쉼표 [0] 4 4 2 10 2 2 2 3" xfId="35762"/>
    <cellStyle name="쉼표 [0] 4 4 2 10 2 2 3" xfId="16746"/>
    <cellStyle name="쉼표 [0] 4 4 2 10 2 2 3 2" xfId="42098"/>
    <cellStyle name="쉼표 [0] 4 4 2 10 2 2 4" xfId="29426"/>
    <cellStyle name="쉼표 [0] 4 4 2 10 2 2 5" xfId="52474"/>
    <cellStyle name="쉼표 [0] 4 4 2 10 2 3" xfId="7295"/>
    <cellStyle name="쉼표 [0] 4 4 2 10 2 3 2" xfId="19968"/>
    <cellStyle name="쉼표 [0] 4 4 2 10 2 3 2 2" xfId="45320"/>
    <cellStyle name="쉼표 [0] 4 4 2 10 2 3 3" xfId="32648"/>
    <cellStyle name="쉼표 [0] 4 4 2 10 2 4" xfId="13632"/>
    <cellStyle name="쉼표 [0] 4 4 2 10 2 4 2" xfId="38984"/>
    <cellStyle name="쉼표 [0] 4 4 2 10 2 5" xfId="26312"/>
    <cellStyle name="쉼표 [0] 4 4 2 10 2 6" xfId="52475"/>
    <cellStyle name="쉼표 [0] 4 4 2 10 3" xfId="4074"/>
    <cellStyle name="쉼표 [0] 4 4 2 10 3 2" xfId="10410"/>
    <cellStyle name="쉼표 [0] 4 4 2 10 3 2 2" xfId="23083"/>
    <cellStyle name="쉼표 [0] 4 4 2 10 3 2 2 2" xfId="48435"/>
    <cellStyle name="쉼표 [0] 4 4 2 10 3 2 3" xfId="35763"/>
    <cellStyle name="쉼표 [0] 4 4 2 10 3 3" xfId="16747"/>
    <cellStyle name="쉼표 [0] 4 4 2 10 3 3 2" xfId="42099"/>
    <cellStyle name="쉼표 [0] 4 4 2 10 3 4" xfId="29427"/>
    <cellStyle name="쉼표 [0] 4 4 2 10 3 5" xfId="52476"/>
    <cellStyle name="쉼표 [0] 4 4 2 10 4" xfId="7294"/>
    <cellStyle name="쉼표 [0] 4 4 2 10 4 2" xfId="19967"/>
    <cellStyle name="쉼표 [0] 4 4 2 10 4 2 2" xfId="45319"/>
    <cellStyle name="쉼표 [0] 4 4 2 10 4 3" xfId="32647"/>
    <cellStyle name="쉼표 [0] 4 4 2 10 5" xfId="13631"/>
    <cellStyle name="쉼표 [0] 4 4 2 10 5 2" xfId="38983"/>
    <cellStyle name="쉼표 [0] 4 4 2 10 6" xfId="26311"/>
    <cellStyle name="쉼표 [0] 4 4 2 10 7" xfId="52477"/>
    <cellStyle name="쉼표 [0] 4 4 2 11" xfId="959"/>
    <cellStyle name="쉼표 [0] 4 4 2 11 2" xfId="960"/>
    <cellStyle name="쉼표 [0] 4 4 2 11 2 2" xfId="4075"/>
    <cellStyle name="쉼표 [0] 4 4 2 11 2 2 2" xfId="10411"/>
    <cellStyle name="쉼표 [0] 4 4 2 11 2 2 2 2" xfId="23084"/>
    <cellStyle name="쉼표 [0] 4 4 2 11 2 2 2 2 2" xfId="48436"/>
    <cellStyle name="쉼표 [0] 4 4 2 11 2 2 2 3" xfId="35764"/>
    <cellStyle name="쉼표 [0] 4 4 2 11 2 2 3" xfId="16748"/>
    <cellStyle name="쉼표 [0] 4 4 2 11 2 2 3 2" xfId="42100"/>
    <cellStyle name="쉼표 [0] 4 4 2 11 2 2 4" xfId="29428"/>
    <cellStyle name="쉼표 [0] 4 4 2 11 2 2 5" xfId="52478"/>
    <cellStyle name="쉼표 [0] 4 4 2 11 2 3" xfId="7297"/>
    <cellStyle name="쉼표 [0] 4 4 2 11 2 3 2" xfId="19970"/>
    <cellStyle name="쉼표 [0] 4 4 2 11 2 3 2 2" xfId="45322"/>
    <cellStyle name="쉼표 [0] 4 4 2 11 2 3 3" xfId="32650"/>
    <cellStyle name="쉼표 [0] 4 4 2 11 2 4" xfId="13634"/>
    <cellStyle name="쉼표 [0] 4 4 2 11 2 4 2" xfId="38986"/>
    <cellStyle name="쉼표 [0] 4 4 2 11 2 5" xfId="26314"/>
    <cellStyle name="쉼표 [0] 4 4 2 11 2 6" xfId="52479"/>
    <cellStyle name="쉼표 [0] 4 4 2 11 3" xfId="4076"/>
    <cellStyle name="쉼표 [0] 4 4 2 11 3 2" xfId="10412"/>
    <cellStyle name="쉼표 [0] 4 4 2 11 3 2 2" xfId="23085"/>
    <cellStyle name="쉼표 [0] 4 4 2 11 3 2 2 2" xfId="48437"/>
    <cellStyle name="쉼표 [0] 4 4 2 11 3 2 3" xfId="35765"/>
    <cellStyle name="쉼표 [0] 4 4 2 11 3 3" xfId="16749"/>
    <cellStyle name="쉼표 [0] 4 4 2 11 3 3 2" xfId="42101"/>
    <cellStyle name="쉼표 [0] 4 4 2 11 3 4" xfId="29429"/>
    <cellStyle name="쉼표 [0] 4 4 2 11 3 5" xfId="52480"/>
    <cellStyle name="쉼표 [0] 4 4 2 11 4" xfId="7296"/>
    <cellStyle name="쉼표 [0] 4 4 2 11 4 2" xfId="19969"/>
    <cellStyle name="쉼표 [0] 4 4 2 11 4 2 2" xfId="45321"/>
    <cellStyle name="쉼표 [0] 4 4 2 11 4 3" xfId="32649"/>
    <cellStyle name="쉼표 [0] 4 4 2 11 5" xfId="13633"/>
    <cellStyle name="쉼표 [0] 4 4 2 11 5 2" xfId="38985"/>
    <cellStyle name="쉼표 [0] 4 4 2 11 6" xfId="26313"/>
    <cellStyle name="쉼표 [0] 4 4 2 11 7" xfId="52481"/>
    <cellStyle name="쉼표 [0] 4 4 2 12" xfId="961"/>
    <cellStyle name="쉼표 [0] 4 4 2 12 2" xfId="962"/>
    <cellStyle name="쉼표 [0] 4 4 2 12 2 2" xfId="4077"/>
    <cellStyle name="쉼표 [0] 4 4 2 12 2 2 2" xfId="10413"/>
    <cellStyle name="쉼표 [0] 4 4 2 12 2 2 2 2" xfId="23086"/>
    <cellStyle name="쉼표 [0] 4 4 2 12 2 2 2 2 2" xfId="48438"/>
    <cellStyle name="쉼표 [0] 4 4 2 12 2 2 2 3" xfId="35766"/>
    <cellStyle name="쉼표 [0] 4 4 2 12 2 2 3" xfId="16750"/>
    <cellStyle name="쉼표 [0] 4 4 2 12 2 2 3 2" xfId="42102"/>
    <cellStyle name="쉼표 [0] 4 4 2 12 2 2 4" xfId="29430"/>
    <cellStyle name="쉼표 [0] 4 4 2 12 2 2 5" xfId="52482"/>
    <cellStyle name="쉼표 [0] 4 4 2 12 2 3" xfId="7299"/>
    <cellStyle name="쉼표 [0] 4 4 2 12 2 3 2" xfId="19972"/>
    <cellStyle name="쉼표 [0] 4 4 2 12 2 3 2 2" xfId="45324"/>
    <cellStyle name="쉼표 [0] 4 4 2 12 2 3 3" xfId="32652"/>
    <cellStyle name="쉼표 [0] 4 4 2 12 2 4" xfId="13636"/>
    <cellStyle name="쉼표 [0] 4 4 2 12 2 4 2" xfId="38988"/>
    <cellStyle name="쉼표 [0] 4 4 2 12 2 5" xfId="26316"/>
    <cellStyle name="쉼표 [0] 4 4 2 12 2 6" xfId="52483"/>
    <cellStyle name="쉼표 [0] 4 4 2 12 3" xfId="4078"/>
    <cellStyle name="쉼표 [0] 4 4 2 12 3 2" xfId="10414"/>
    <cellStyle name="쉼표 [0] 4 4 2 12 3 2 2" xfId="23087"/>
    <cellStyle name="쉼표 [0] 4 4 2 12 3 2 2 2" xfId="48439"/>
    <cellStyle name="쉼표 [0] 4 4 2 12 3 2 3" xfId="35767"/>
    <cellStyle name="쉼표 [0] 4 4 2 12 3 3" xfId="16751"/>
    <cellStyle name="쉼표 [0] 4 4 2 12 3 3 2" xfId="42103"/>
    <cellStyle name="쉼표 [0] 4 4 2 12 3 4" xfId="29431"/>
    <cellStyle name="쉼표 [0] 4 4 2 12 3 5" xfId="52484"/>
    <cellStyle name="쉼표 [0] 4 4 2 12 4" xfId="7298"/>
    <cellStyle name="쉼표 [0] 4 4 2 12 4 2" xfId="19971"/>
    <cellStyle name="쉼표 [0] 4 4 2 12 4 2 2" xfId="45323"/>
    <cellStyle name="쉼표 [0] 4 4 2 12 4 3" xfId="32651"/>
    <cellStyle name="쉼표 [0] 4 4 2 12 5" xfId="13635"/>
    <cellStyle name="쉼표 [0] 4 4 2 12 5 2" xfId="38987"/>
    <cellStyle name="쉼표 [0] 4 4 2 12 6" xfId="26315"/>
    <cellStyle name="쉼표 [0] 4 4 2 12 7" xfId="52485"/>
    <cellStyle name="쉼표 [0] 4 4 2 13" xfId="963"/>
    <cellStyle name="쉼표 [0] 4 4 2 13 2" xfId="964"/>
    <cellStyle name="쉼표 [0] 4 4 2 13 2 2" xfId="4079"/>
    <cellStyle name="쉼표 [0] 4 4 2 13 2 2 2" xfId="10415"/>
    <cellStyle name="쉼표 [0] 4 4 2 13 2 2 2 2" xfId="23088"/>
    <cellStyle name="쉼표 [0] 4 4 2 13 2 2 2 2 2" xfId="48440"/>
    <cellStyle name="쉼표 [0] 4 4 2 13 2 2 2 3" xfId="35768"/>
    <cellStyle name="쉼표 [0] 4 4 2 13 2 2 3" xfId="16752"/>
    <cellStyle name="쉼표 [0] 4 4 2 13 2 2 3 2" xfId="42104"/>
    <cellStyle name="쉼표 [0] 4 4 2 13 2 2 4" xfId="29432"/>
    <cellStyle name="쉼표 [0] 4 4 2 13 2 2 5" xfId="52486"/>
    <cellStyle name="쉼표 [0] 4 4 2 13 2 3" xfId="7301"/>
    <cellStyle name="쉼표 [0] 4 4 2 13 2 3 2" xfId="19974"/>
    <cellStyle name="쉼표 [0] 4 4 2 13 2 3 2 2" xfId="45326"/>
    <cellStyle name="쉼표 [0] 4 4 2 13 2 3 3" xfId="32654"/>
    <cellStyle name="쉼표 [0] 4 4 2 13 2 4" xfId="13638"/>
    <cellStyle name="쉼표 [0] 4 4 2 13 2 4 2" xfId="38990"/>
    <cellStyle name="쉼표 [0] 4 4 2 13 2 5" xfId="26318"/>
    <cellStyle name="쉼표 [0] 4 4 2 13 2 6" xfId="52487"/>
    <cellStyle name="쉼표 [0] 4 4 2 13 3" xfId="4080"/>
    <cellStyle name="쉼표 [0] 4 4 2 13 3 2" xfId="10416"/>
    <cellStyle name="쉼표 [0] 4 4 2 13 3 2 2" xfId="23089"/>
    <cellStyle name="쉼표 [0] 4 4 2 13 3 2 2 2" xfId="48441"/>
    <cellStyle name="쉼표 [0] 4 4 2 13 3 2 3" xfId="35769"/>
    <cellStyle name="쉼표 [0] 4 4 2 13 3 3" xfId="16753"/>
    <cellStyle name="쉼표 [0] 4 4 2 13 3 3 2" xfId="42105"/>
    <cellStyle name="쉼표 [0] 4 4 2 13 3 4" xfId="29433"/>
    <cellStyle name="쉼표 [0] 4 4 2 13 3 5" xfId="52488"/>
    <cellStyle name="쉼표 [0] 4 4 2 13 4" xfId="7300"/>
    <cellStyle name="쉼표 [0] 4 4 2 13 4 2" xfId="19973"/>
    <cellStyle name="쉼표 [0] 4 4 2 13 4 2 2" xfId="45325"/>
    <cellStyle name="쉼표 [0] 4 4 2 13 4 3" xfId="32653"/>
    <cellStyle name="쉼표 [0] 4 4 2 13 5" xfId="13637"/>
    <cellStyle name="쉼표 [0] 4 4 2 13 5 2" xfId="38989"/>
    <cellStyle name="쉼표 [0] 4 4 2 13 6" xfId="26317"/>
    <cellStyle name="쉼표 [0] 4 4 2 13 7" xfId="52489"/>
    <cellStyle name="쉼표 [0] 4 4 2 14" xfId="965"/>
    <cellStyle name="쉼표 [0] 4 4 2 14 2" xfId="966"/>
    <cellStyle name="쉼표 [0] 4 4 2 14 2 2" xfId="4081"/>
    <cellStyle name="쉼표 [0] 4 4 2 14 2 2 2" xfId="10417"/>
    <cellStyle name="쉼표 [0] 4 4 2 14 2 2 2 2" xfId="23090"/>
    <cellStyle name="쉼표 [0] 4 4 2 14 2 2 2 2 2" xfId="48442"/>
    <cellStyle name="쉼표 [0] 4 4 2 14 2 2 2 3" xfId="35770"/>
    <cellStyle name="쉼표 [0] 4 4 2 14 2 2 3" xfId="16754"/>
    <cellStyle name="쉼표 [0] 4 4 2 14 2 2 3 2" xfId="42106"/>
    <cellStyle name="쉼표 [0] 4 4 2 14 2 2 4" xfId="29434"/>
    <cellStyle name="쉼표 [0] 4 4 2 14 2 2 5" xfId="52490"/>
    <cellStyle name="쉼표 [0] 4 4 2 14 2 3" xfId="7303"/>
    <cellStyle name="쉼표 [0] 4 4 2 14 2 3 2" xfId="19976"/>
    <cellStyle name="쉼표 [0] 4 4 2 14 2 3 2 2" xfId="45328"/>
    <cellStyle name="쉼표 [0] 4 4 2 14 2 3 3" xfId="32656"/>
    <cellStyle name="쉼표 [0] 4 4 2 14 2 4" xfId="13640"/>
    <cellStyle name="쉼표 [0] 4 4 2 14 2 4 2" xfId="38992"/>
    <cellStyle name="쉼표 [0] 4 4 2 14 2 5" xfId="26320"/>
    <cellStyle name="쉼표 [0] 4 4 2 14 2 6" xfId="52491"/>
    <cellStyle name="쉼표 [0] 4 4 2 14 3" xfId="4082"/>
    <cellStyle name="쉼표 [0] 4 4 2 14 3 2" xfId="10418"/>
    <cellStyle name="쉼표 [0] 4 4 2 14 3 2 2" xfId="23091"/>
    <cellStyle name="쉼표 [0] 4 4 2 14 3 2 2 2" xfId="48443"/>
    <cellStyle name="쉼표 [0] 4 4 2 14 3 2 3" xfId="35771"/>
    <cellStyle name="쉼표 [0] 4 4 2 14 3 3" xfId="16755"/>
    <cellStyle name="쉼표 [0] 4 4 2 14 3 3 2" xfId="42107"/>
    <cellStyle name="쉼표 [0] 4 4 2 14 3 4" xfId="29435"/>
    <cellStyle name="쉼표 [0] 4 4 2 14 3 5" xfId="52492"/>
    <cellStyle name="쉼표 [0] 4 4 2 14 4" xfId="7302"/>
    <cellStyle name="쉼표 [0] 4 4 2 14 4 2" xfId="19975"/>
    <cellStyle name="쉼표 [0] 4 4 2 14 4 2 2" xfId="45327"/>
    <cellStyle name="쉼표 [0] 4 4 2 14 4 3" xfId="32655"/>
    <cellStyle name="쉼표 [0] 4 4 2 14 5" xfId="13639"/>
    <cellStyle name="쉼표 [0] 4 4 2 14 5 2" xfId="38991"/>
    <cellStyle name="쉼표 [0] 4 4 2 14 6" xfId="26319"/>
    <cellStyle name="쉼표 [0] 4 4 2 14 7" xfId="52493"/>
    <cellStyle name="쉼표 [0] 4 4 2 15" xfId="967"/>
    <cellStyle name="쉼표 [0] 4 4 2 15 2" xfId="968"/>
    <cellStyle name="쉼표 [0] 4 4 2 15 2 2" xfId="4083"/>
    <cellStyle name="쉼표 [0] 4 4 2 15 2 2 2" xfId="10419"/>
    <cellStyle name="쉼표 [0] 4 4 2 15 2 2 2 2" xfId="23092"/>
    <cellStyle name="쉼표 [0] 4 4 2 15 2 2 2 2 2" xfId="48444"/>
    <cellStyle name="쉼표 [0] 4 4 2 15 2 2 2 3" xfId="35772"/>
    <cellStyle name="쉼표 [0] 4 4 2 15 2 2 3" xfId="16756"/>
    <cellStyle name="쉼표 [0] 4 4 2 15 2 2 3 2" xfId="42108"/>
    <cellStyle name="쉼표 [0] 4 4 2 15 2 2 4" xfId="29436"/>
    <cellStyle name="쉼표 [0] 4 4 2 15 2 2 5" xfId="52494"/>
    <cellStyle name="쉼표 [0] 4 4 2 15 2 3" xfId="7305"/>
    <cellStyle name="쉼표 [0] 4 4 2 15 2 3 2" xfId="19978"/>
    <cellStyle name="쉼표 [0] 4 4 2 15 2 3 2 2" xfId="45330"/>
    <cellStyle name="쉼표 [0] 4 4 2 15 2 3 3" xfId="32658"/>
    <cellStyle name="쉼표 [0] 4 4 2 15 2 4" xfId="13642"/>
    <cellStyle name="쉼표 [0] 4 4 2 15 2 4 2" xfId="38994"/>
    <cellStyle name="쉼표 [0] 4 4 2 15 2 5" xfId="26322"/>
    <cellStyle name="쉼표 [0] 4 4 2 15 2 6" xfId="52495"/>
    <cellStyle name="쉼표 [0] 4 4 2 15 3" xfId="4084"/>
    <cellStyle name="쉼표 [0] 4 4 2 15 3 2" xfId="10420"/>
    <cellStyle name="쉼표 [0] 4 4 2 15 3 2 2" xfId="23093"/>
    <cellStyle name="쉼표 [0] 4 4 2 15 3 2 2 2" xfId="48445"/>
    <cellStyle name="쉼표 [0] 4 4 2 15 3 2 3" xfId="35773"/>
    <cellStyle name="쉼표 [0] 4 4 2 15 3 3" xfId="16757"/>
    <cellStyle name="쉼표 [0] 4 4 2 15 3 3 2" xfId="42109"/>
    <cellStyle name="쉼표 [0] 4 4 2 15 3 4" xfId="29437"/>
    <cellStyle name="쉼표 [0] 4 4 2 15 3 5" xfId="52496"/>
    <cellStyle name="쉼표 [0] 4 4 2 15 4" xfId="7304"/>
    <cellStyle name="쉼표 [0] 4 4 2 15 4 2" xfId="19977"/>
    <cellStyle name="쉼표 [0] 4 4 2 15 4 2 2" xfId="45329"/>
    <cellStyle name="쉼표 [0] 4 4 2 15 4 3" xfId="32657"/>
    <cellStyle name="쉼표 [0] 4 4 2 15 5" xfId="13641"/>
    <cellStyle name="쉼표 [0] 4 4 2 15 5 2" xfId="38993"/>
    <cellStyle name="쉼표 [0] 4 4 2 15 6" xfId="26321"/>
    <cellStyle name="쉼표 [0] 4 4 2 15 7" xfId="52497"/>
    <cellStyle name="쉼표 [0] 4 4 2 16" xfId="969"/>
    <cellStyle name="쉼표 [0] 4 4 2 16 2" xfId="970"/>
    <cellStyle name="쉼표 [0] 4 4 2 16 2 2" xfId="4085"/>
    <cellStyle name="쉼표 [0] 4 4 2 16 2 2 2" xfId="10421"/>
    <cellStyle name="쉼표 [0] 4 4 2 16 2 2 2 2" xfId="23094"/>
    <cellStyle name="쉼표 [0] 4 4 2 16 2 2 2 2 2" xfId="48446"/>
    <cellStyle name="쉼표 [0] 4 4 2 16 2 2 2 3" xfId="35774"/>
    <cellStyle name="쉼표 [0] 4 4 2 16 2 2 3" xfId="16758"/>
    <cellStyle name="쉼표 [0] 4 4 2 16 2 2 3 2" xfId="42110"/>
    <cellStyle name="쉼표 [0] 4 4 2 16 2 2 4" xfId="29438"/>
    <cellStyle name="쉼표 [0] 4 4 2 16 2 2 5" xfId="52498"/>
    <cellStyle name="쉼표 [0] 4 4 2 16 2 3" xfId="7307"/>
    <cellStyle name="쉼표 [0] 4 4 2 16 2 3 2" xfId="19980"/>
    <cellStyle name="쉼표 [0] 4 4 2 16 2 3 2 2" xfId="45332"/>
    <cellStyle name="쉼표 [0] 4 4 2 16 2 3 3" xfId="32660"/>
    <cellStyle name="쉼표 [0] 4 4 2 16 2 4" xfId="13644"/>
    <cellStyle name="쉼표 [0] 4 4 2 16 2 4 2" xfId="38996"/>
    <cellStyle name="쉼표 [0] 4 4 2 16 2 5" xfId="26324"/>
    <cellStyle name="쉼표 [0] 4 4 2 16 2 6" xfId="52499"/>
    <cellStyle name="쉼표 [0] 4 4 2 16 3" xfId="4086"/>
    <cellStyle name="쉼표 [0] 4 4 2 16 3 2" xfId="10422"/>
    <cellStyle name="쉼표 [0] 4 4 2 16 3 2 2" xfId="23095"/>
    <cellStyle name="쉼표 [0] 4 4 2 16 3 2 2 2" xfId="48447"/>
    <cellStyle name="쉼표 [0] 4 4 2 16 3 2 3" xfId="35775"/>
    <cellStyle name="쉼표 [0] 4 4 2 16 3 3" xfId="16759"/>
    <cellStyle name="쉼표 [0] 4 4 2 16 3 3 2" xfId="42111"/>
    <cellStyle name="쉼표 [0] 4 4 2 16 3 4" xfId="29439"/>
    <cellStyle name="쉼표 [0] 4 4 2 16 3 5" xfId="52500"/>
    <cellStyle name="쉼표 [0] 4 4 2 16 4" xfId="7306"/>
    <cellStyle name="쉼표 [0] 4 4 2 16 4 2" xfId="19979"/>
    <cellStyle name="쉼표 [0] 4 4 2 16 4 2 2" xfId="45331"/>
    <cellStyle name="쉼표 [0] 4 4 2 16 4 3" xfId="32659"/>
    <cellStyle name="쉼표 [0] 4 4 2 16 5" xfId="13643"/>
    <cellStyle name="쉼표 [0] 4 4 2 16 5 2" xfId="38995"/>
    <cellStyle name="쉼표 [0] 4 4 2 16 6" xfId="26323"/>
    <cellStyle name="쉼표 [0] 4 4 2 16 7" xfId="52501"/>
    <cellStyle name="쉼표 [0] 4 4 2 17" xfId="971"/>
    <cellStyle name="쉼표 [0] 4 4 2 17 2" xfId="972"/>
    <cellStyle name="쉼표 [0] 4 4 2 17 2 2" xfId="4087"/>
    <cellStyle name="쉼표 [0] 4 4 2 17 2 2 2" xfId="10423"/>
    <cellStyle name="쉼표 [0] 4 4 2 17 2 2 2 2" xfId="23096"/>
    <cellStyle name="쉼표 [0] 4 4 2 17 2 2 2 2 2" xfId="48448"/>
    <cellStyle name="쉼표 [0] 4 4 2 17 2 2 2 3" xfId="35776"/>
    <cellStyle name="쉼표 [0] 4 4 2 17 2 2 3" xfId="16760"/>
    <cellStyle name="쉼표 [0] 4 4 2 17 2 2 3 2" xfId="42112"/>
    <cellStyle name="쉼표 [0] 4 4 2 17 2 2 4" xfId="29440"/>
    <cellStyle name="쉼표 [0] 4 4 2 17 2 2 5" xfId="52502"/>
    <cellStyle name="쉼표 [0] 4 4 2 17 2 3" xfId="7309"/>
    <cellStyle name="쉼표 [0] 4 4 2 17 2 3 2" xfId="19982"/>
    <cellStyle name="쉼표 [0] 4 4 2 17 2 3 2 2" xfId="45334"/>
    <cellStyle name="쉼표 [0] 4 4 2 17 2 3 3" xfId="32662"/>
    <cellStyle name="쉼표 [0] 4 4 2 17 2 4" xfId="13646"/>
    <cellStyle name="쉼표 [0] 4 4 2 17 2 4 2" xfId="38998"/>
    <cellStyle name="쉼표 [0] 4 4 2 17 2 5" xfId="26326"/>
    <cellStyle name="쉼표 [0] 4 4 2 17 2 6" xfId="52503"/>
    <cellStyle name="쉼표 [0] 4 4 2 17 3" xfId="4088"/>
    <cellStyle name="쉼표 [0] 4 4 2 17 3 2" xfId="10424"/>
    <cellStyle name="쉼표 [0] 4 4 2 17 3 2 2" xfId="23097"/>
    <cellStyle name="쉼표 [0] 4 4 2 17 3 2 2 2" xfId="48449"/>
    <cellStyle name="쉼표 [0] 4 4 2 17 3 2 3" xfId="35777"/>
    <cellStyle name="쉼표 [0] 4 4 2 17 3 3" xfId="16761"/>
    <cellStyle name="쉼표 [0] 4 4 2 17 3 3 2" xfId="42113"/>
    <cellStyle name="쉼표 [0] 4 4 2 17 3 4" xfId="29441"/>
    <cellStyle name="쉼표 [0] 4 4 2 17 3 5" xfId="52504"/>
    <cellStyle name="쉼표 [0] 4 4 2 17 4" xfId="7308"/>
    <cellStyle name="쉼표 [0] 4 4 2 17 4 2" xfId="19981"/>
    <cellStyle name="쉼표 [0] 4 4 2 17 4 2 2" xfId="45333"/>
    <cellStyle name="쉼표 [0] 4 4 2 17 4 3" xfId="32661"/>
    <cellStyle name="쉼표 [0] 4 4 2 17 5" xfId="13645"/>
    <cellStyle name="쉼표 [0] 4 4 2 17 5 2" xfId="38997"/>
    <cellStyle name="쉼표 [0] 4 4 2 17 6" xfId="26325"/>
    <cellStyle name="쉼표 [0] 4 4 2 17 7" xfId="52505"/>
    <cellStyle name="쉼표 [0] 4 4 2 18" xfId="973"/>
    <cellStyle name="쉼표 [0] 4 4 2 18 2" xfId="974"/>
    <cellStyle name="쉼표 [0] 4 4 2 18 2 2" xfId="4089"/>
    <cellStyle name="쉼표 [0] 4 4 2 18 2 2 2" xfId="10425"/>
    <cellStyle name="쉼표 [0] 4 4 2 18 2 2 2 2" xfId="23098"/>
    <cellStyle name="쉼표 [0] 4 4 2 18 2 2 2 2 2" xfId="48450"/>
    <cellStyle name="쉼표 [0] 4 4 2 18 2 2 2 3" xfId="35778"/>
    <cellStyle name="쉼표 [0] 4 4 2 18 2 2 3" xfId="16762"/>
    <cellStyle name="쉼표 [0] 4 4 2 18 2 2 3 2" xfId="42114"/>
    <cellStyle name="쉼표 [0] 4 4 2 18 2 2 4" xfId="29442"/>
    <cellStyle name="쉼표 [0] 4 4 2 18 2 2 5" xfId="52506"/>
    <cellStyle name="쉼표 [0] 4 4 2 18 2 3" xfId="7311"/>
    <cellStyle name="쉼표 [0] 4 4 2 18 2 3 2" xfId="19984"/>
    <cellStyle name="쉼표 [0] 4 4 2 18 2 3 2 2" xfId="45336"/>
    <cellStyle name="쉼표 [0] 4 4 2 18 2 3 3" xfId="32664"/>
    <cellStyle name="쉼표 [0] 4 4 2 18 2 4" xfId="13648"/>
    <cellStyle name="쉼표 [0] 4 4 2 18 2 4 2" xfId="39000"/>
    <cellStyle name="쉼표 [0] 4 4 2 18 2 5" xfId="26328"/>
    <cellStyle name="쉼표 [0] 4 4 2 18 2 6" xfId="52507"/>
    <cellStyle name="쉼표 [0] 4 4 2 18 3" xfId="4090"/>
    <cellStyle name="쉼표 [0] 4 4 2 18 3 2" xfId="10426"/>
    <cellStyle name="쉼표 [0] 4 4 2 18 3 2 2" xfId="23099"/>
    <cellStyle name="쉼표 [0] 4 4 2 18 3 2 2 2" xfId="48451"/>
    <cellStyle name="쉼표 [0] 4 4 2 18 3 2 3" xfId="35779"/>
    <cellStyle name="쉼표 [0] 4 4 2 18 3 3" xfId="16763"/>
    <cellStyle name="쉼표 [0] 4 4 2 18 3 3 2" xfId="42115"/>
    <cellStyle name="쉼표 [0] 4 4 2 18 3 4" xfId="29443"/>
    <cellStyle name="쉼표 [0] 4 4 2 18 3 5" xfId="52508"/>
    <cellStyle name="쉼표 [0] 4 4 2 18 4" xfId="7310"/>
    <cellStyle name="쉼표 [0] 4 4 2 18 4 2" xfId="19983"/>
    <cellStyle name="쉼표 [0] 4 4 2 18 4 2 2" xfId="45335"/>
    <cellStyle name="쉼표 [0] 4 4 2 18 4 3" xfId="32663"/>
    <cellStyle name="쉼표 [0] 4 4 2 18 5" xfId="13647"/>
    <cellStyle name="쉼표 [0] 4 4 2 18 5 2" xfId="38999"/>
    <cellStyle name="쉼표 [0] 4 4 2 18 6" xfId="26327"/>
    <cellStyle name="쉼표 [0] 4 4 2 18 7" xfId="52509"/>
    <cellStyle name="쉼표 [0] 4 4 2 19" xfId="975"/>
    <cellStyle name="쉼표 [0] 4 4 2 19 2" xfId="976"/>
    <cellStyle name="쉼표 [0] 4 4 2 19 2 2" xfId="4091"/>
    <cellStyle name="쉼표 [0] 4 4 2 19 2 2 2" xfId="10427"/>
    <cellStyle name="쉼표 [0] 4 4 2 19 2 2 2 2" xfId="23100"/>
    <cellStyle name="쉼표 [0] 4 4 2 19 2 2 2 2 2" xfId="48452"/>
    <cellStyle name="쉼표 [0] 4 4 2 19 2 2 2 3" xfId="35780"/>
    <cellStyle name="쉼표 [0] 4 4 2 19 2 2 3" xfId="16764"/>
    <cellStyle name="쉼표 [0] 4 4 2 19 2 2 3 2" xfId="42116"/>
    <cellStyle name="쉼표 [0] 4 4 2 19 2 2 4" xfId="29444"/>
    <cellStyle name="쉼표 [0] 4 4 2 19 2 2 5" xfId="52510"/>
    <cellStyle name="쉼표 [0] 4 4 2 19 2 3" xfId="7313"/>
    <cellStyle name="쉼표 [0] 4 4 2 19 2 3 2" xfId="19986"/>
    <cellStyle name="쉼표 [0] 4 4 2 19 2 3 2 2" xfId="45338"/>
    <cellStyle name="쉼표 [0] 4 4 2 19 2 3 3" xfId="32666"/>
    <cellStyle name="쉼표 [0] 4 4 2 19 2 4" xfId="13650"/>
    <cellStyle name="쉼표 [0] 4 4 2 19 2 4 2" xfId="39002"/>
    <cellStyle name="쉼표 [0] 4 4 2 19 2 5" xfId="26330"/>
    <cellStyle name="쉼표 [0] 4 4 2 19 2 6" xfId="52511"/>
    <cellStyle name="쉼표 [0] 4 4 2 19 3" xfId="4092"/>
    <cellStyle name="쉼표 [0] 4 4 2 19 3 2" xfId="10428"/>
    <cellStyle name="쉼표 [0] 4 4 2 19 3 2 2" xfId="23101"/>
    <cellStyle name="쉼표 [0] 4 4 2 19 3 2 2 2" xfId="48453"/>
    <cellStyle name="쉼표 [0] 4 4 2 19 3 2 3" xfId="35781"/>
    <cellStyle name="쉼표 [0] 4 4 2 19 3 3" xfId="16765"/>
    <cellStyle name="쉼표 [0] 4 4 2 19 3 3 2" xfId="42117"/>
    <cellStyle name="쉼표 [0] 4 4 2 19 3 4" xfId="29445"/>
    <cellStyle name="쉼표 [0] 4 4 2 19 3 5" xfId="52512"/>
    <cellStyle name="쉼표 [0] 4 4 2 19 4" xfId="7312"/>
    <cellStyle name="쉼표 [0] 4 4 2 19 4 2" xfId="19985"/>
    <cellStyle name="쉼표 [0] 4 4 2 19 4 2 2" xfId="45337"/>
    <cellStyle name="쉼표 [0] 4 4 2 19 4 3" xfId="32665"/>
    <cellStyle name="쉼표 [0] 4 4 2 19 5" xfId="13649"/>
    <cellStyle name="쉼표 [0] 4 4 2 19 5 2" xfId="39001"/>
    <cellStyle name="쉼표 [0] 4 4 2 19 6" xfId="26329"/>
    <cellStyle name="쉼표 [0] 4 4 2 19 7" xfId="52513"/>
    <cellStyle name="쉼표 [0] 4 4 2 2" xfId="977"/>
    <cellStyle name="쉼표 [0] 4 4 2 2 2" xfId="978"/>
    <cellStyle name="쉼표 [0] 4 4 2 2 2 2" xfId="4093"/>
    <cellStyle name="쉼표 [0] 4 4 2 2 2 2 2" xfId="10429"/>
    <cellStyle name="쉼표 [0] 4 4 2 2 2 2 2 2" xfId="23102"/>
    <cellStyle name="쉼표 [0] 4 4 2 2 2 2 2 2 2" xfId="48454"/>
    <cellStyle name="쉼표 [0] 4 4 2 2 2 2 2 3" xfId="35782"/>
    <cellStyle name="쉼표 [0] 4 4 2 2 2 2 3" xfId="16766"/>
    <cellStyle name="쉼표 [0] 4 4 2 2 2 2 3 2" xfId="42118"/>
    <cellStyle name="쉼표 [0] 4 4 2 2 2 2 4" xfId="29446"/>
    <cellStyle name="쉼표 [0] 4 4 2 2 2 2 5" xfId="52514"/>
    <cellStyle name="쉼표 [0] 4 4 2 2 2 3" xfId="7315"/>
    <cellStyle name="쉼표 [0] 4 4 2 2 2 3 2" xfId="19988"/>
    <cellStyle name="쉼표 [0] 4 4 2 2 2 3 2 2" xfId="45340"/>
    <cellStyle name="쉼표 [0] 4 4 2 2 2 3 3" xfId="32668"/>
    <cellStyle name="쉼표 [0] 4 4 2 2 2 4" xfId="13652"/>
    <cellStyle name="쉼표 [0] 4 4 2 2 2 4 2" xfId="39004"/>
    <cellStyle name="쉼표 [0] 4 4 2 2 2 5" xfId="26332"/>
    <cellStyle name="쉼표 [0] 4 4 2 2 2 6" xfId="52515"/>
    <cellStyle name="쉼표 [0] 4 4 2 2 3" xfId="4094"/>
    <cellStyle name="쉼표 [0] 4 4 2 2 3 2" xfId="10430"/>
    <cellStyle name="쉼표 [0] 4 4 2 2 3 2 2" xfId="23103"/>
    <cellStyle name="쉼표 [0] 4 4 2 2 3 2 2 2" xfId="48455"/>
    <cellStyle name="쉼표 [0] 4 4 2 2 3 2 3" xfId="35783"/>
    <cellStyle name="쉼표 [0] 4 4 2 2 3 3" xfId="16767"/>
    <cellStyle name="쉼표 [0] 4 4 2 2 3 3 2" xfId="42119"/>
    <cellStyle name="쉼표 [0] 4 4 2 2 3 4" xfId="29447"/>
    <cellStyle name="쉼표 [0] 4 4 2 2 3 5" xfId="52516"/>
    <cellStyle name="쉼표 [0] 4 4 2 2 4" xfId="7314"/>
    <cellStyle name="쉼표 [0] 4 4 2 2 4 2" xfId="19987"/>
    <cellStyle name="쉼표 [0] 4 4 2 2 4 2 2" xfId="45339"/>
    <cellStyle name="쉼표 [0] 4 4 2 2 4 3" xfId="32667"/>
    <cellStyle name="쉼표 [0] 4 4 2 2 5" xfId="13651"/>
    <cellStyle name="쉼표 [0] 4 4 2 2 5 2" xfId="39003"/>
    <cellStyle name="쉼표 [0] 4 4 2 2 6" xfId="26331"/>
    <cellStyle name="쉼표 [0] 4 4 2 2 7" xfId="52517"/>
    <cellStyle name="쉼표 [0] 4 4 2 20" xfId="979"/>
    <cellStyle name="쉼표 [0] 4 4 2 20 2" xfId="980"/>
    <cellStyle name="쉼표 [0] 4 4 2 20 2 2" xfId="4095"/>
    <cellStyle name="쉼표 [0] 4 4 2 20 2 2 2" xfId="10431"/>
    <cellStyle name="쉼표 [0] 4 4 2 20 2 2 2 2" xfId="23104"/>
    <cellStyle name="쉼표 [0] 4 4 2 20 2 2 2 2 2" xfId="48456"/>
    <cellStyle name="쉼표 [0] 4 4 2 20 2 2 2 3" xfId="35784"/>
    <cellStyle name="쉼표 [0] 4 4 2 20 2 2 3" xfId="16768"/>
    <cellStyle name="쉼표 [0] 4 4 2 20 2 2 3 2" xfId="42120"/>
    <cellStyle name="쉼표 [0] 4 4 2 20 2 2 4" xfId="29448"/>
    <cellStyle name="쉼표 [0] 4 4 2 20 2 2 5" xfId="52518"/>
    <cellStyle name="쉼표 [0] 4 4 2 20 2 3" xfId="7317"/>
    <cellStyle name="쉼표 [0] 4 4 2 20 2 3 2" xfId="19990"/>
    <cellStyle name="쉼표 [0] 4 4 2 20 2 3 2 2" xfId="45342"/>
    <cellStyle name="쉼표 [0] 4 4 2 20 2 3 3" xfId="32670"/>
    <cellStyle name="쉼표 [0] 4 4 2 20 2 4" xfId="13654"/>
    <cellStyle name="쉼표 [0] 4 4 2 20 2 4 2" xfId="39006"/>
    <cellStyle name="쉼표 [0] 4 4 2 20 2 5" xfId="26334"/>
    <cellStyle name="쉼표 [0] 4 4 2 20 2 6" xfId="52519"/>
    <cellStyle name="쉼표 [0] 4 4 2 20 3" xfId="4096"/>
    <cellStyle name="쉼표 [0] 4 4 2 20 3 2" xfId="10432"/>
    <cellStyle name="쉼표 [0] 4 4 2 20 3 2 2" xfId="23105"/>
    <cellStyle name="쉼표 [0] 4 4 2 20 3 2 2 2" xfId="48457"/>
    <cellStyle name="쉼표 [0] 4 4 2 20 3 2 3" xfId="35785"/>
    <cellStyle name="쉼표 [0] 4 4 2 20 3 3" xfId="16769"/>
    <cellStyle name="쉼표 [0] 4 4 2 20 3 3 2" xfId="42121"/>
    <cellStyle name="쉼표 [0] 4 4 2 20 3 4" xfId="29449"/>
    <cellStyle name="쉼표 [0] 4 4 2 20 3 5" xfId="52520"/>
    <cellStyle name="쉼표 [0] 4 4 2 20 4" xfId="7316"/>
    <cellStyle name="쉼표 [0] 4 4 2 20 4 2" xfId="19989"/>
    <cellStyle name="쉼표 [0] 4 4 2 20 4 2 2" xfId="45341"/>
    <cellStyle name="쉼표 [0] 4 4 2 20 4 3" xfId="32669"/>
    <cellStyle name="쉼표 [0] 4 4 2 20 5" xfId="13653"/>
    <cellStyle name="쉼표 [0] 4 4 2 20 5 2" xfId="39005"/>
    <cellStyle name="쉼표 [0] 4 4 2 20 6" xfId="26333"/>
    <cellStyle name="쉼표 [0] 4 4 2 20 7" xfId="52521"/>
    <cellStyle name="쉼표 [0] 4 4 2 21" xfId="981"/>
    <cellStyle name="쉼표 [0] 4 4 2 21 2" xfId="982"/>
    <cellStyle name="쉼표 [0] 4 4 2 21 2 2" xfId="4097"/>
    <cellStyle name="쉼표 [0] 4 4 2 21 2 2 2" xfId="10433"/>
    <cellStyle name="쉼표 [0] 4 4 2 21 2 2 2 2" xfId="23106"/>
    <cellStyle name="쉼표 [0] 4 4 2 21 2 2 2 2 2" xfId="48458"/>
    <cellStyle name="쉼표 [0] 4 4 2 21 2 2 2 3" xfId="35786"/>
    <cellStyle name="쉼표 [0] 4 4 2 21 2 2 3" xfId="16770"/>
    <cellStyle name="쉼표 [0] 4 4 2 21 2 2 3 2" xfId="42122"/>
    <cellStyle name="쉼표 [0] 4 4 2 21 2 2 4" xfId="29450"/>
    <cellStyle name="쉼표 [0] 4 4 2 21 2 2 5" xfId="52522"/>
    <cellStyle name="쉼표 [0] 4 4 2 21 2 3" xfId="7319"/>
    <cellStyle name="쉼표 [0] 4 4 2 21 2 3 2" xfId="19992"/>
    <cellStyle name="쉼표 [0] 4 4 2 21 2 3 2 2" xfId="45344"/>
    <cellStyle name="쉼표 [0] 4 4 2 21 2 3 3" xfId="32672"/>
    <cellStyle name="쉼표 [0] 4 4 2 21 2 4" xfId="13656"/>
    <cellStyle name="쉼표 [0] 4 4 2 21 2 4 2" xfId="39008"/>
    <cellStyle name="쉼표 [0] 4 4 2 21 2 5" xfId="26336"/>
    <cellStyle name="쉼표 [0] 4 4 2 21 2 6" xfId="52523"/>
    <cellStyle name="쉼표 [0] 4 4 2 21 3" xfId="4098"/>
    <cellStyle name="쉼표 [0] 4 4 2 21 3 2" xfId="10434"/>
    <cellStyle name="쉼표 [0] 4 4 2 21 3 2 2" xfId="23107"/>
    <cellStyle name="쉼표 [0] 4 4 2 21 3 2 2 2" xfId="48459"/>
    <cellStyle name="쉼표 [0] 4 4 2 21 3 2 3" xfId="35787"/>
    <cellStyle name="쉼표 [0] 4 4 2 21 3 3" xfId="16771"/>
    <cellStyle name="쉼표 [0] 4 4 2 21 3 3 2" xfId="42123"/>
    <cellStyle name="쉼표 [0] 4 4 2 21 3 4" xfId="29451"/>
    <cellStyle name="쉼표 [0] 4 4 2 21 3 5" xfId="52524"/>
    <cellStyle name="쉼표 [0] 4 4 2 21 4" xfId="7318"/>
    <cellStyle name="쉼표 [0] 4 4 2 21 4 2" xfId="19991"/>
    <cellStyle name="쉼표 [0] 4 4 2 21 4 2 2" xfId="45343"/>
    <cellStyle name="쉼표 [0] 4 4 2 21 4 3" xfId="32671"/>
    <cellStyle name="쉼표 [0] 4 4 2 21 5" xfId="13655"/>
    <cellStyle name="쉼표 [0] 4 4 2 21 5 2" xfId="39007"/>
    <cellStyle name="쉼표 [0] 4 4 2 21 6" xfId="26335"/>
    <cellStyle name="쉼표 [0] 4 4 2 21 7" xfId="52525"/>
    <cellStyle name="쉼표 [0] 4 4 2 22" xfId="983"/>
    <cellStyle name="쉼표 [0] 4 4 2 22 2" xfId="984"/>
    <cellStyle name="쉼표 [0] 4 4 2 22 2 2" xfId="4099"/>
    <cellStyle name="쉼표 [0] 4 4 2 22 2 2 2" xfId="10435"/>
    <cellStyle name="쉼표 [0] 4 4 2 22 2 2 2 2" xfId="23108"/>
    <cellStyle name="쉼표 [0] 4 4 2 22 2 2 2 2 2" xfId="48460"/>
    <cellStyle name="쉼표 [0] 4 4 2 22 2 2 2 3" xfId="35788"/>
    <cellStyle name="쉼표 [0] 4 4 2 22 2 2 3" xfId="16772"/>
    <cellStyle name="쉼표 [0] 4 4 2 22 2 2 3 2" xfId="42124"/>
    <cellStyle name="쉼표 [0] 4 4 2 22 2 2 4" xfId="29452"/>
    <cellStyle name="쉼표 [0] 4 4 2 22 2 2 5" xfId="52526"/>
    <cellStyle name="쉼표 [0] 4 4 2 22 2 3" xfId="7321"/>
    <cellStyle name="쉼표 [0] 4 4 2 22 2 3 2" xfId="19994"/>
    <cellStyle name="쉼표 [0] 4 4 2 22 2 3 2 2" xfId="45346"/>
    <cellStyle name="쉼표 [0] 4 4 2 22 2 3 3" xfId="32674"/>
    <cellStyle name="쉼표 [0] 4 4 2 22 2 4" xfId="13658"/>
    <cellStyle name="쉼표 [0] 4 4 2 22 2 4 2" xfId="39010"/>
    <cellStyle name="쉼표 [0] 4 4 2 22 2 5" xfId="26338"/>
    <cellStyle name="쉼표 [0] 4 4 2 22 2 6" xfId="52527"/>
    <cellStyle name="쉼표 [0] 4 4 2 22 3" xfId="4100"/>
    <cellStyle name="쉼표 [0] 4 4 2 22 3 2" xfId="10436"/>
    <cellStyle name="쉼표 [0] 4 4 2 22 3 2 2" xfId="23109"/>
    <cellStyle name="쉼표 [0] 4 4 2 22 3 2 2 2" xfId="48461"/>
    <cellStyle name="쉼표 [0] 4 4 2 22 3 2 3" xfId="35789"/>
    <cellStyle name="쉼표 [0] 4 4 2 22 3 3" xfId="16773"/>
    <cellStyle name="쉼표 [0] 4 4 2 22 3 3 2" xfId="42125"/>
    <cellStyle name="쉼표 [0] 4 4 2 22 3 4" xfId="29453"/>
    <cellStyle name="쉼표 [0] 4 4 2 22 3 5" xfId="52528"/>
    <cellStyle name="쉼표 [0] 4 4 2 22 4" xfId="7320"/>
    <cellStyle name="쉼표 [0] 4 4 2 22 4 2" xfId="19993"/>
    <cellStyle name="쉼표 [0] 4 4 2 22 4 2 2" xfId="45345"/>
    <cellStyle name="쉼표 [0] 4 4 2 22 4 3" xfId="32673"/>
    <cellStyle name="쉼표 [0] 4 4 2 22 5" xfId="13657"/>
    <cellStyle name="쉼표 [0] 4 4 2 22 5 2" xfId="39009"/>
    <cellStyle name="쉼표 [0] 4 4 2 22 6" xfId="26337"/>
    <cellStyle name="쉼표 [0] 4 4 2 22 7" xfId="52529"/>
    <cellStyle name="쉼표 [0] 4 4 2 23" xfId="985"/>
    <cellStyle name="쉼표 [0] 4 4 2 23 2" xfId="986"/>
    <cellStyle name="쉼표 [0] 4 4 2 23 2 2" xfId="4101"/>
    <cellStyle name="쉼표 [0] 4 4 2 23 2 2 2" xfId="10437"/>
    <cellStyle name="쉼표 [0] 4 4 2 23 2 2 2 2" xfId="23110"/>
    <cellStyle name="쉼표 [0] 4 4 2 23 2 2 2 2 2" xfId="48462"/>
    <cellStyle name="쉼표 [0] 4 4 2 23 2 2 2 3" xfId="35790"/>
    <cellStyle name="쉼표 [0] 4 4 2 23 2 2 3" xfId="16774"/>
    <cellStyle name="쉼표 [0] 4 4 2 23 2 2 3 2" xfId="42126"/>
    <cellStyle name="쉼표 [0] 4 4 2 23 2 2 4" xfId="29454"/>
    <cellStyle name="쉼표 [0] 4 4 2 23 2 2 5" xfId="52530"/>
    <cellStyle name="쉼표 [0] 4 4 2 23 2 3" xfId="7323"/>
    <cellStyle name="쉼표 [0] 4 4 2 23 2 3 2" xfId="19996"/>
    <cellStyle name="쉼표 [0] 4 4 2 23 2 3 2 2" xfId="45348"/>
    <cellStyle name="쉼표 [0] 4 4 2 23 2 3 3" xfId="32676"/>
    <cellStyle name="쉼표 [0] 4 4 2 23 2 4" xfId="13660"/>
    <cellStyle name="쉼표 [0] 4 4 2 23 2 4 2" xfId="39012"/>
    <cellStyle name="쉼표 [0] 4 4 2 23 2 5" xfId="26340"/>
    <cellStyle name="쉼표 [0] 4 4 2 23 2 6" xfId="52531"/>
    <cellStyle name="쉼표 [0] 4 4 2 23 3" xfId="4102"/>
    <cellStyle name="쉼표 [0] 4 4 2 23 3 2" xfId="10438"/>
    <cellStyle name="쉼표 [0] 4 4 2 23 3 2 2" xfId="23111"/>
    <cellStyle name="쉼표 [0] 4 4 2 23 3 2 2 2" xfId="48463"/>
    <cellStyle name="쉼표 [0] 4 4 2 23 3 2 3" xfId="35791"/>
    <cellStyle name="쉼표 [0] 4 4 2 23 3 3" xfId="16775"/>
    <cellStyle name="쉼표 [0] 4 4 2 23 3 3 2" xfId="42127"/>
    <cellStyle name="쉼표 [0] 4 4 2 23 3 4" xfId="29455"/>
    <cellStyle name="쉼표 [0] 4 4 2 23 3 5" xfId="52532"/>
    <cellStyle name="쉼표 [0] 4 4 2 23 4" xfId="7322"/>
    <cellStyle name="쉼표 [0] 4 4 2 23 4 2" xfId="19995"/>
    <cellStyle name="쉼표 [0] 4 4 2 23 4 2 2" xfId="45347"/>
    <cellStyle name="쉼표 [0] 4 4 2 23 4 3" xfId="32675"/>
    <cellStyle name="쉼표 [0] 4 4 2 23 5" xfId="13659"/>
    <cellStyle name="쉼표 [0] 4 4 2 23 5 2" xfId="39011"/>
    <cellStyle name="쉼표 [0] 4 4 2 23 6" xfId="26339"/>
    <cellStyle name="쉼표 [0] 4 4 2 23 7" xfId="52533"/>
    <cellStyle name="쉼표 [0] 4 4 2 24" xfId="987"/>
    <cellStyle name="쉼표 [0] 4 4 2 24 2" xfId="988"/>
    <cellStyle name="쉼표 [0] 4 4 2 24 2 2" xfId="4103"/>
    <cellStyle name="쉼표 [0] 4 4 2 24 2 2 2" xfId="10439"/>
    <cellStyle name="쉼표 [0] 4 4 2 24 2 2 2 2" xfId="23112"/>
    <cellStyle name="쉼표 [0] 4 4 2 24 2 2 2 2 2" xfId="48464"/>
    <cellStyle name="쉼표 [0] 4 4 2 24 2 2 2 3" xfId="35792"/>
    <cellStyle name="쉼표 [0] 4 4 2 24 2 2 3" xfId="16776"/>
    <cellStyle name="쉼표 [0] 4 4 2 24 2 2 3 2" xfId="42128"/>
    <cellStyle name="쉼표 [0] 4 4 2 24 2 2 4" xfId="29456"/>
    <cellStyle name="쉼표 [0] 4 4 2 24 2 2 5" xfId="52534"/>
    <cellStyle name="쉼표 [0] 4 4 2 24 2 3" xfId="7325"/>
    <cellStyle name="쉼표 [0] 4 4 2 24 2 3 2" xfId="19998"/>
    <cellStyle name="쉼표 [0] 4 4 2 24 2 3 2 2" xfId="45350"/>
    <cellStyle name="쉼표 [0] 4 4 2 24 2 3 3" xfId="32678"/>
    <cellStyle name="쉼표 [0] 4 4 2 24 2 4" xfId="13662"/>
    <cellStyle name="쉼표 [0] 4 4 2 24 2 4 2" xfId="39014"/>
    <cellStyle name="쉼표 [0] 4 4 2 24 2 5" xfId="26342"/>
    <cellStyle name="쉼표 [0] 4 4 2 24 2 6" xfId="52535"/>
    <cellStyle name="쉼표 [0] 4 4 2 24 3" xfId="4104"/>
    <cellStyle name="쉼표 [0] 4 4 2 24 3 2" xfId="10440"/>
    <cellStyle name="쉼표 [0] 4 4 2 24 3 2 2" xfId="23113"/>
    <cellStyle name="쉼표 [0] 4 4 2 24 3 2 2 2" xfId="48465"/>
    <cellStyle name="쉼표 [0] 4 4 2 24 3 2 3" xfId="35793"/>
    <cellStyle name="쉼표 [0] 4 4 2 24 3 3" xfId="16777"/>
    <cellStyle name="쉼표 [0] 4 4 2 24 3 3 2" xfId="42129"/>
    <cellStyle name="쉼표 [0] 4 4 2 24 3 4" xfId="29457"/>
    <cellStyle name="쉼표 [0] 4 4 2 24 3 5" xfId="52536"/>
    <cellStyle name="쉼표 [0] 4 4 2 24 4" xfId="7324"/>
    <cellStyle name="쉼표 [0] 4 4 2 24 4 2" xfId="19997"/>
    <cellStyle name="쉼표 [0] 4 4 2 24 4 2 2" xfId="45349"/>
    <cellStyle name="쉼표 [0] 4 4 2 24 4 3" xfId="32677"/>
    <cellStyle name="쉼표 [0] 4 4 2 24 5" xfId="13661"/>
    <cellStyle name="쉼표 [0] 4 4 2 24 5 2" xfId="39013"/>
    <cellStyle name="쉼표 [0] 4 4 2 24 6" xfId="26341"/>
    <cellStyle name="쉼표 [0] 4 4 2 24 7" xfId="52537"/>
    <cellStyle name="쉼표 [0] 4 4 2 25" xfId="989"/>
    <cellStyle name="쉼표 [0] 4 4 2 25 2" xfId="990"/>
    <cellStyle name="쉼표 [0] 4 4 2 25 2 2" xfId="4105"/>
    <cellStyle name="쉼표 [0] 4 4 2 25 2 2 2" xfId="10441"/>
    <cellStyle name="쉼표 [0] 4 4 2 25 2 2 2 2" xfId="23114"/>
    <cellStyle name="쉼표 [0] 4 4 2 25 2 2 2 2 2" xfId="48466"/>
    <cellStyle name="쉼표 [0] 4 4 2 25 2 2 2 3" xfId="35794"/>
    <cellStyle name="쉼표 [0] 4 4 2 25 2 2 3" xfId="16778"/>
    <cellStyle name="쉼표 [0] 4 4 2 25 2 2 3 2" xfId="42130"/>
    <cellStyle name="쉼표 [0] 4 4 2 25 2 2 4" xfId="29458"/>
    <cellStyle name="쉼표 [0] 4 4 2 25 2 2 5" xfId="52538"/>
    <cellStyle name="쉼표 [0] 4 4 2 25 2 3" xfId="7327"/>
    <cellStyle name="쉼표 [0] 4 4 2 25 2 3 2" xfId="20000"/>
    <cellStyle name="쉼표 [0] 4 4 2 25 2 3 2 2" xfId="45352"/>
    <cellStyle name="쉼표 [0] 4 4 2 25 2 3 3" xfId="32680"/>
    <cellStyle name="쉼표 [0] 4 4 2 25 2 4" xfId="13664"/>
    <cellStyle name="쉼표 [0] 4 4 2 25 2 4 2" xfId="39016"/>
    <cellStyle name="쉼표 [0] 4 4 2 25 2 5" xfId="26344"/>
    <cellStyle name="쉼표 [0] 4 4 2 25 2 6" xfId="52539"/>
    <cellStyle name="쉼표 [0] 4 4 2 25 3" xfId="4106"/>
    <cellStyle name="쉼표 [0] 4 4 2 25 3 2" xfId="10442"/>
    <cellStyle name="쉼표 [0] 4 4 2 25 3 2 2" xfId="23115"/>
    <cellStyle name="쉼표 [0] 4 4 2 25 3 2 2 2" xfId="48467"/>
    <cellStyle name="쉼표 [0] 4 4 2 25 3 2 3" xfId="35795"/>
    <cellStyle name="쉼표 [0] 4 4 2 25 3 3" xfId="16779"/>
    <cellStyle name="쉼표 [0] 4 4 2 25 3 3 2" xfId="42131"/>
    <cellStyle name="쉼표 [0] 4 4 2 25 3 4" xfId="29459"/>
    <cellStyle name="쉼표 [0] 4 4 2 25 3 5" xfId="52540"/>
    <cellStyle name="쉼표 [0] 4 4 2 25 4" xfId="7326"/>
    <cellStyle name="쉼표 [0] 4 4 2 25 4 2" xfId="19999"/>
    <cellStyle name="쉼표 [0] 4 4 2 25 4 2 2" xfId="45351"/>
    <cellStyle name="쉼표 [0] 4 4 2 25 4 3" xfId="32679"/>
    <cellStyle name="쉼표 [0] 4 4 2 25 5" xfId="13663"/>
    <cellStyle name="쉼표 [0] 4 4 2 25 5 2" xfId="39015"/>
    <cellStyle name="쉼표 [0] 4 4 2 25 6" xfId="26343"/>
    <cellStyle name="쉼표 [0] 4 4 2 25 7" xfId="52541"/>
    <cellStyle name="쉼표 [0] 4 4 2 26" xfId="991"/>
    <cellStyle name="쉼표 [0] 4 4 2 26 2" xfId="992"/>
    <cellStyle name="쉼표 [0] 4 4 2 26 2 2" xfId="4107"/>
    <cellStyle name="쉼표 [0] 4 4 2 26 2 2 2" xfId="10443"/>
    <cellStyle name="쉼표 [0] 4 4 2 26 2 2 2 2" xfId="23116"/>
    <cellStyle name="쉼표 [0] 4 4 2 26 2 2 2 2 2" xfId="48468"/>
    <cellStyle name="쉼표 [0] 4 4 2 26 2 2 2 3" xfId="35796"/>
    <cellStyle name="쉼표 [0] 4 4 2 26 2 2 3" xfId="16780"/>
    <cellStyle name="쉼표 [0] 4 4 2 26 2 2 3 2" xfId="42132"/>
    <cellStyle name="쉼표 [0] 4 4 2 26 2 2 4" xfId="29460"/>
    <cellStyle name="쉼표 [0] 4 4 2 26 2 2 5" xfId="52542"/>
    <cellStyle name="쉼표 [0] 4 4 2 26 2 3" xfId="7329"/>
    <cellStyle name="쉼표 [0] 4 4 2 26 2 3 2" xfId="20002"/>
    <cellStyle name="쉼표 [0] 4 4 2 26 2 3 2 2" xfId="45354"/>
    <cellStyle name="쉼표 [0] 4 4 2 26 2 3 3" xfId="32682"/>
    <cellStyle name="쉼표 [0] 4 4 2 26 2 4" xfId="13666"/>
    <cellStyle name="쉼표 [0] 4 4 2 26 2 4 2" xfId="39018"/>
    <cellStyle name="쉼표 [0] 4 4 2 26 2 5" xfId="26346"/>
    <cellStyle name="쉼표 [0] 4 4 2 26 2 6" xfId="52543"/>
    <cellStyle name="쉼표 [0] 4 4 2 26 3" xfId="4108"/>
    <cellStyle name="쉼표 [0] 4 4 2 26 3 2" xfId="10444"/>
    <cellStyle name="쉼표 [0] 4 4 2 26 3 2 2" xfId="23117"/>
    <cellStyle name="쉼표 [0] 4 4 2 26 3 2 2 2" xfId="48469"/>
    <cellStyle name="쉼표 [0] 4 4 2 26 3 2 3" xfId="35797"/>
    <cellStyle name="쉼표 [0] 4 4 2 26 3 3" xfId="16781"/>
    <cellStyle name="쉼표 [0] 4 4 2 26 3 3 2" xfId="42133"/>
    <cellStyle name="쉼표 [0] 4 4 2 26 3 4" xfId="29461"/>
    <cellStyle name="쉼표 [0] 4 4 2 26 3 5" xfId="52544"/>
    <cellStyle name="쉼표 [0] 4 4 2 26 4" xfId="7328"/>
    <cellStyle name="쉼표 [0] 4 4 2 26 4 2" xfId="20001"/>
    <cellStyle name="쉼표 [0] 4 4 2 26 4 2 2" xfId="45353"/>
    <cellStyle name="쉼표 [0] 4 4 2 26 4 3" xfId="32681"/>
    <cellStyle name="쉼표 [0] 4 4 2 26 5" xfId="13665"/>
    <cellStyle name="쉼표 [0] 4 4 2 26 5 2" xfId="39017"/>
    <cellStyle name="쉼표 [0] 4 4 2 26 6" xfId="26345"/>
    <cellStyle name="쉼표 [0] 4 4 2 26 7" xfId="52545"/>
    <cellStyle name="쉼표 [0] 4 4 2 27" xfId="993"/>
    <cellStyle name="쉼표 [0] 4 4 2 27 2" xfId="994"/>
    <cellStyle name="쉼표 [0] 4 4 2 27 2 2" xfId="4109"/>
    <cellStyle name="쉼표 [0] 4 4 2 27 2 2 2" xfId="10445"/>
    <cellStyle name="쉼표 [0] 4 4 2 27 2 2 2 2" xfId="23118"/>
    <cellStyle name="쉼표 [0] 4 4 2 27 2 2 2 2 2" xfId="48470"/>
    <cellStyle name="쉼표 [0] 4 4 2 27 2 2 2 3" xfId="35798"/>
    <cellStyle name="쉼표 [0] 4 4 2 27 2 2 3" xfId="16782"/>
    <cellStyle name="쉼표 [0] 4 4 2 27 2 2 3 2" xfId="42134"/>
    <cellStyle name="쉼표 [0] 4 4 2 27 2 2 4" xfId="29462"/>
    <cellStyle name="쉼표 [0] 4 4 2 27 2 2 5" xfId="52546"/>
    <cellStyle name="쉼표 [0] 4 4 2 27 2 3" xfId="7331"/>
    <cellStyle name="쉼표 [0] 4 4 2 27 2 3 2" xfId="20004"/>
    <cellStyle name="쉼표 [0] 4 4 2 27 2 3 2 2" xfId="45356"/>
    <cellStyle name="쉼표 [0] 4 4 2 27 2 3 3" xfId="32684"/>
    <cellStyle name="쉼표 [0] 4 4 2 27 2 4" xfId="13668"/>
    <cellStyle name="쉼표 [0] 4 4 2 27 2 4 2" xfId="39020"/>
    <cellStyle name="쉼표 [0] 4 4 2 27 2 5" xfId="26348"/>
    <cellStyle name="쉼표 [0] 4 4 2 27 2 6" xfId="52547"/>
    <cellStyle name="쉼표 [0] 4 4 2 27 3" xfId="4110"/>
    <cellStyle name="쉼표 [0] 4 4 2 27 3 2" xfId="10446"/>
    <cellStyle name="쉼표 [0] 4 4 2 27 3 2 2" xfId="23119"/>
    <cellStyle name="쉼표 [0] 4 4 2 27 3 2 2 2" xfId="48471"/>
    <cellStyle name="쉼표 [0] 4 4 2 27 3 2 3" xfId="35799"/>
    <cellStyle name="쉼표 [0] 4 4 2 27 3 3" xfId="16783"/>
    <cellStyle name="쉼표 [0] 4 4 2 27 3 3 2" xfId="42135"/>
    <cellStyle name="쉼표 [0] 4 4 2 27 3 4" xfId="29463"/>
    <cellStyle name="쉼표 [0] 4 4 2 27 3 5" xfId="52548"/>
    <cellStyle name="쉼표 [0] 4 4 2 27 4" xfId="7330"/>
    <cellStyle name="쉼표 [0] 4 4 2 27 4 2" xfId="20003"/>
    <cellStyle name="쉼표 [0] 4 4 2 27 4 2 2" xfId="45355"/>
    <cellStyle name="쉼표 [0] 4 4 2 27 4 3" xfId="32683"/>
    <cellStyle name="쉼표 [0] 4 4 2 27 5" xfId="13667"/>
    <cellStyle name="쉼표 [0] 4 4 2 27 5 2" xfId="39019"/>
    <cellStyle name="쉼표 [0] 4 4 2 27 6" xfId="26347"/>
    <cellStyle name="쉼표 [0] 4 4 2 27 7" xfId="52549"/>
    <cellStyle name="쉼표 [0] 4 4 2 28" xfId="995"/>
    <cellStyle name="쉼표 [0] 4 4 2 28 2" xfId="996"/>
    <cellStyle name="쉼표 [0] 4 4 2 28 2 2" xfId="4111"/>
    <cellStyle name="쉼표 [0] 4 4 2 28 2 2 2" xfId="10447"/>
    <cellStyle name="쉼표 [0] 4 4 2 28 2 2 2 2" xfId="23120"/>
    <cellStyle name="쉼표 [0] 4 4 2 28 2 2 2 2 2" xfId="48472"/>
    <cellStyle name="쉼표 [0] 4 4 2 28 2 2 2 3" xfId="35800"/>
    <cellStyle name="쉼표 [0] 4 4 2 28 2 2 3" xfId="16784"/>
    <cellStyle name="쉼표 [0] 4 4 2 28 2 2 3 2" xfId="42136"/>
    <cellStyle name="쉼표 [0] 4 4 2 28 2 2 4" xfId="29464"/>
    <cellStyle name="쉼표 [0] 4 4 2 28 2 2 5" xfId="52550"/>
    <cellStyle name="쉼표 [0] 4 4 2 28 2 3" xfId="7333"/>
    <cellStyle name="쉼표 [0] 4 4 2 28 2 3 2" xfId="20006"/>
    <cellStyle name="쉼표 [0] 4 4 2 28 2 3 2 2" xfId="45358"/>
    <cellStyle name="쉼표 [0] 4 4 2 28 2 3 3" xfId="32686"/>
    <cellStyle name="쉼표 [0] 4 4 2 28 2 4" xfId="13670"/>
    <cellStyle name="쉼표 [0] 4 4 2 28 2 4 2" xfId="39022"/>
    <cellStyle name="쉼표 [0] 4 4 2 28 2 5" xfId="26350"/>
    <cellStyle name="쉼표 [0] 4 4 2 28 2 6" xfId="52551"/>
    <cellStyle name="쉼표 [0] 4 4 2 28 3" xfId="4112"/>
    <cellStyle name="쉼표 [0] 4 4 2 28 3 2" xfId="10448"/>
    <cellStyle name="쉼표 [0] 4 4 2 28 3 2 2" xfId="23121"/>
    <cellStyle name="쉼표 [0] 4 4 2 28 3 2 2 2" xfId="48473"/>
    <cellStyle name="쉼표 [0] 4 4 2 28 3 2 3" xfId="35801"/>
    <cellStyle name="쉼표 [0] 4 4 2 28 3 3" xfId="16785"/>
    <cellStyle name="쉼표 [0] 4 4 2 28 3 3 2" xfId="42137"/>
    <cellStyle name="쉼표 [0] 4 4 2 28 3 4" xfId="29465"/>
    <cellStyle name="쉼표 [0] 4 4 2 28 3 5" xfId="52552"/>
    <cellStyle name="쉼표 [0] 4 4 2 28 4" xfId="7332"/>
    <cellStyle name="쉼표 [0] 4 4 2 28 4 2" xfId="20005"/>
    <cellStyle name="쉼표 [0] 4 4 2 28 4 2 2" xfId="45357"/>
    <cellStyle name="쉼표 [0] 4 4 2 28 4 3" xfId="32685"/>
    <cellStyle name="쉼표 [0] 4 4 2 28 5" xfId="13669"/>
    <cellStyle name="쉼표 [0] 4 4 2 28 5 2" xfId="39021"/>
    <cellStyle name="쉼표 [0] 4 4 2 28 6" xfId="26349"/>
    <cellStyle name="쉼표 [0] 4 4 2 28 7" xfId="52553"/>
    <cellStyle name="쉼표 [0] 4 4 2 29" xfId="997"/>
    <cellStyle name="쉼표 [0] 4 4 2 29 2" xfId="998"/>
    <cellStyle name="쉼표 [0] 4 4 2 29 2 2" xfId="4113"/>
    <cellStyle name="쉼표 [0] 4 4 2 29 2 2 2" xfId="10449"/>
    <cellStyle name="쉼표 [0] 4 4 2 29 2 2 2 2" xfId="23122"/>
    <cellStyle name="쉼표 [0] 4 4 2 29 2 2 2 2 2" xfId="48474"/>
    <cellStyle name="쉼표 [0] 4 4 2 29 2 2 2 3" xfId="35802"/>
    <cellStyle name="쉼표 [0] 4 4 2 29 2 2 3" xfId="16786"/>
    <cellStyle name="쉼표 [0] 4 4 2 29 2 2 3 2" xfId="42138"/>
    <cellStyle name="쉼표 [0] 4 4 2 29 2 2 4" xfId="29466"/>
    <cellStyle name="쉼표 [0] 4 4 2 29 2 2 5" xfId="52554"/>
    <cellStyle name="쉼표 [0] 4 4 2 29 2 3" xfId="7335"/>
    <cellStyle name="쉼표 [0] 4 4 2 29 2 3 2" xfId="20008"/>
    <cellStyle name="쉼표 [0] 4 4 2 29 2 3 2 2" xfId="45360"/>
    <cellStyle name="쉼표 [0] 4 4 2 29 2 3 3" xfId="32688"/>
    <cellStyle name="쉼표 [0] 4 4 2 29 2 4" xfId="13672"/>
    <cellStyle name="쉼표 [0] 4 4 2 29 2 4 2" xfId="39024"/>
    <cellStyle name="쉼표 [0] 4 4 2 29 2 5" xfId="26352"/>
    <cellStyle name="쉼표 [0] 4 4 2 29 2 6" xfId="52555"/>
    <cellStyle name="쉼표 [0] 4 4 2 29 3" xfId="4114"/>
    <cellStyle name="쉼표 [0] 4 4 2 29 3 2" xfId="10450"/>
    <cellStyle name="쉼표 [0] 4 4 2 29 3 2 2" xfId="23123"/>
    <cellStyle name="쉼표 [0] 4 4 2 29 3 2 2 2" xfId="48475"/>
    <cellStyle name="쉼표 [0] 4 4 2 29 3 2 3" xfId="35803"/>
    <cellStyle name="쉼표 [0] 4 4 2 29 3 3" xfId="16787"/>
    <cellStyle name="쉼표 [0] 4 4 2 29 3 3 2" xfId="42139"/>
    <cellStyle name="쉼표 [0] 4 4 2 29 3 4" xfId="29467"/>
    <cellStyle name="쉼표 [0] 4 4 2 29 3 5" xfId="52556"/>
    <cellStyle name="쉼표 [0] 4 4 2 29 4" xfId="7334"/>
    <cellStyle name="쉼표 [0] 4 4 2 29 4 2" xfId="20007"/>
    <cellStyle name="쉼표 [0] 4 4 2 29 4 2 2" xfId="45359"/>
    <cellStyle name="쉼표 [0] 4 4 2 29 4 3" xfId="32687"/>
    <cellStyle name="쉼표 [0] 4 4 2 29 5" xfId="13671"/>
    <cellStyle name="쉼표 [0] 4 4 2 29 5 2" xfId="39023"/>
    <cellStyle name="쉼표 [0] 4 4 2 29 6" xfId="26351"/>
    <cellStyle name="쉼표 [0] 4 4 2 29 7" xfId="52557"/>
    <cellStyle name="쉼표 [0] 4 4 2 3" xfId="999"/>
    <cellStyle name="쉼표 [0] 4 4 2 3 2" xfId="1000"/>
    <cellStyle name="쉼표 [0] 4 4 2 3 2 2" xfId="4115"/>
    <cellStyle name="쉼표 [0] 4 4 2 3 2 2 2" xfId="10451"/>
    <cellStyle name="쉼표 [0] 4 4 2 3 2 2 2 2" xfId="23124"/>
    <cellStyle name="쉼표 [0] 4 4 2 3 2 2 2 2 2" xfId="48476"/>
    <cellStyle name="쉼표 [0] 4 4 2 3 2 2 2 3" xfId="35804"/>
    <cellStyle name="쉼표 [0] 4 4 2 3 2 2 3" xfId="16788"/>
    <cellStyle name="쉼표 [0] 4 4 2 3 2 2 3 2" xfId="42140"/>
    <cellStyle name="쉼표 [0] 4 4 2 3 2 2 4" xfId="29468"/>
    <cellStyle name="쉼표 [0] 4 4 2 3 2 2 5" xfId="52558"/>
    <cellStyle name="쉼표 [0] 4 4 2 3 2 3" xfId="7337"/>
    <cellStyle name="쉼표 [0] 4 4 2 3 2 3 2" xfId="20010"/>
    <cellStyle name="쉼표 [0] 4 4 2 3 2 3 2 2" xfId="45362"/>
    <cellStyle name="쉼표 [0] 4 4 2 3 2 3 3" xfId="32690"/>
    <cellStyle name="쉼표 [0] 4 4 2 3 2 4" xfId="13674"/>
    <cellStyle name="쉼표 [0] 4 4 2 3 2 4 2" xfId="39026"/>
    <cellStyle name="쉼표 [0] 4 4 2 3 2 5" xfId="26354"/>
    <cellStyle name="쉼표 [0] 4 4 2 3 2 6" xfId="52559"/>
    <cellStyle name="쉼표 [0] 4 4 2 3 3" xfId="4116"/>
    <cellStyle name="쉼표 [0] 4 4 2 3 3 2" xfId="10452"/>
    <cellStyle name="쉼표 [0] 4 4 2 3 3 2 2" xfId="23125"/>
    <cellStyle name="쉼표 [0] 4 4 2 3 3 2 2 2" xfId="48477"/>
    <cellStyle name="쉼표 [0] 4 4 2 3 3 2 3" xfId="35805"/>
    <cellStyle name="쉼표 [0] 4 4 2 3 3 3" xfId="16789"/>
    <cellStyle name="쉼표 [0] 4 4 2 3 3 3 2" xfId="42141"/>
    <cellStyle name="쉼표 [0] 4 4 2 3 3 4" xfId="29469"/>
    <cellStyle name="쉼표 [0] 4 4 2 3 3 5" xfId="52560"/>
    <cellStyle name="쉼표 [0] 4 4 2 3 4" xfId="7336"/>
    <cellStyle name="쉼표 [0] 4 4 2 3 4 2" xfId="20009"/>
    <cellStyle name="쉼표 [0] 4 4 2 3 4 2 2" xfId="45361"/>
    <cellStyle name="쉼표 [0] 4 4 2 3 4 3" xfId="32689"/>
    <cellStyle name="쉼표 [0] 4 4 2 3 5" xfId="13673"/>
    <cellStyle name="쉼표 [0] 4 4 2 3 5 2" xfId="39025"/>
    <cellStyle name="쉼표 [0] 4 4 2 3 6" xfId="26353"/>
    <cellStyle name="쉼표 [0] 4 4 2 3 7" xfId="52561"/>
    <cellStyle name="쉼표 [0] 4 4 2 30" xfId="1001"/>
    <cellStyle name="쉼표 [0] 4 4 2 30 2" xfId="1002"/>
    <cellStyle name="쉼표 [0] 4 4 2 30 2 2" xfId="4117"/>
    <cellStyle name="쉼표 [0] 4 4 2 30 2 2 2" xfId="10453"/>
    <cellStyle name="쉼표 [0] 4 4 2 30 2 2 2 2" xfId="23126"/>
    <cellStyle name="쉼표 [0] 4 4 2 30 2 2 2 2 2" xfId="48478"/>
    <cellStyle name="쉼표 [0] 4 4 2 30 2 2 2 3" xfId="35806"/>
    <cellStyle name="쉼표 [0] 4 4 2 30 2 2 3" xfId="16790"/>
    <cellStyle name="쉼표 [0] 4 4 2 30 2 2 3 2" xfId="42142"/>
    <cellStyle name="쉼표 [0] 4 4 2 30 2 2 4" xfId="29470"/>
    <cellStyle name="쉼표 [0] 4 4 2 30 2 2 5" xfId="52562"/>
    <cellStyle name="쉼표 [0] 4 4 2 30 2 3" xfId="7339"/>
    <cellStyle name="쉼표 [0] 4 4 2 30 2 3 2" xfId="20012"/>
    <cellStyle name="쉼표 [0] 4 4 2 30 2 3 2 2" xfId="45364"/>
    <cellStyle name="쉼표 [0] 4 4 2 30 2 3 3" xfId="32692"/>
    <cellStyle name="쉼표 [0] 4 4 2 30 2 4" xfId="13676"/>
    <cellStyle name="쉼표 [0] 4 4 2 30 2 4 2" xfId="39028"/>
    <cellStyle name="쉼표 [0] 4 4 2 30 2 5" xfId="26356"/>
    <cellStyle name="쉼표 [0] 4 4 2 30 2 6" xfId="52563"/>
    <cellStyle name="쉼표 [0] 4 4 2 30 3" xfId="4118"/>
    <cellStyle name="쉼표 [0] 4 4 2 30 3 2" xfId="10454"/>
    <cellStyle name="쉼표 [0] 4 4 2 30 3 2 2" xfId="23127"/>
    <cellStyle name="쉼표 [0] 4 4 2 30 3 2 2 2" xfId="48479"/>
    <cellStyle name="쉼표 [0] 4 4 2 30 3 2 3" xfId="35807"/>
    <cellStyle name="쉼표 [0] 4 4 2 30 3 3" xfId="16791"/>
    <cellStyle name="쉼표 [0] 4 4 2 30 3 3 2" xfId="42143"/>
    <cellStyle name="쉼표 [0] 4 4 2 30 3 4" xfId="29471"/>
    <cellStyle name="쉼표 [0] 4 4 2 30 3 5" xfId="52564"/>
    <cellStyle name="쉼표 [0] 4 4 2 30 4" xfId="7338"/>
    <cellStyle name="쉼표 [0] 4 4 2 30 4 2" xfId="20011"/>
    <cellStyle name="쉼표 [0] 4 4 2 30 4 2 2" xfId="45363"/>
    <cellStyle name="쉼표 [0] 4 4 2 30 4 3" xfId="32691"/>
    <cellStyle name="쉼표 [0] 4 4 2 30 5" xfId="13675"/>
    <cellStyle name="쉼표 [0] 4 4 2 30 5 2" xfId="39027"/>
    <cellStyle name="쉼표 [0] 4 4 2 30 6" xfId="26355"/>
    <cellStyle name="쉼표 [0] 4 4 2 30 7" xfId="52565"/>
    <cellStyle name="쉼표 [0] 4 4 2 31" xfId="1003"/>
    <cellStyle name="쉼표 [0] 4 4 2 31 2" xfId="1004"/>
    <cellStyle name="쉼표 [0] 4 4 2 31 2 2" xfId="4119"/>
    <cellStyle name="쉼표 [0] 4 4 2 31 2 2 2" xfId="10455"/>
    <cellStyle name="쉼표 [0] 4 4 2 31 2 2 2 2" xfId="23128"/>
    <cellStyle name="쉼표 [0] 4 4 2 31 2 2 2 2 2" xfId="48480"/>
    <cellStyle name="쉼표 [0] 4 4 2 31 2 2 2 3" xfId="35808"/>
    <cellStyle name="쉼표 [0] 4 4 2 31 2 2 3" xfId="16792"/>
    <cellStyle name="쉼표 [0] 4 4 2 31 2 2 3 2" xfId="42144"/>
    <cellStyle name="쉼표 [0] 4 4 2 31 2 2 4" xfId="29472"/>
    <cellStyle name="쉼표 [0] 4 4 2 31 2 2 5" xfId="52566"/>
    <cellStyle name="쉼표 [0] 4 4 2 31 2 3" xfId="7341"/>
    <cellStyle name="쉼표 [0] 4 4 2 31 2 3 2" xfId="20014"/>
    <cellStyle name="쉼표 [0] 4 4 2 31 2 3 2 2" xfId="45366"/>
    <cellStyle name="쉼표 [0] 4 4 2 31 2 3 3" xfId="32694"/>
    <cellStyle name="쉼표 [0] 4 4 2 31 2 4" xfId="13678"/>
    <cellStyle name="쉼표 [0] 4 4 2 31 2 4 2" xfId="39030"/>
    <cellStyle name="쉼표 [0] 4 4 2 31 2 5" xfId="26358"/>
    <cellStyle name="쉼표 [0] 4 4 2 31 2 6" xfId="52567"/>
    <cellStyle name="쉼표 [0] 4 4 2 31 3" xfId="4120"/>
    <cellStyle name="쉼표 [0] 4 4 2 31 3 2" xfId="10456"/>
    <cellStyle name="쉼표 [0] 4 4 2 31 3 2 2" xfId="23129"/>
    <cellStyle name="쉼표 [0] 4 4 2 31 3 2 2 2" xfId="48481"/>
    <cellStyle name="쉼표 [0] 4 4 2 31 3 2 3" xfId="35809"/>
    <cellStyle name="쉼표 [0] 4 4 2 31 3 3" xfId="16793"/>
    <cellStyle name="쉼표 [0] 4 4 2 31 3 3 2" xfId="42145"/>
    <cellStyle name="쉼표 [0] 4 4 2 31 3 4" xfId="29473"/>
    <cellStyle name="쉼표 [0] 4 4 2 31 3 5" xfId="52568"/>
    <cellStyle name="쉼표 [0] 4 4 2 31 4" xfId="7340"/>
    <cellStyle name="쉼표 [0] 4 4 2 31 4 2" xfId="20013"/>
    <cellStyle name="쉼표 [0] 4 4 2 31 4 2 2" xfId="45365"/>
    <cellStyle name="쉼표 [0] 4 4 2 31 4 3" xfId="32693"/>
    <cellStyle name="쉼표 [0] 4 4 2 31 5" xfId="13677"/>
    <cellStyle name="쉼표 [0] 4 4 2 31 5 2" xfId="39029"/>
    <cellStyle name="쉼표 [0] 4 4 2 31 6" xfId="26357"/>
    <cellStyle name="쉼표 [0] 4 4 2 31 7" xfId="52569"/>
    <cellStyle name="쉼표 [0] 4 4 2 32" xfId="1005"/>
    <cellStyle name="쉼표 [0] 4 4 2 32 2" xfId="1006"/>
    <cellStyle name="쉼표 [0] 4 4 2 32 2 2" xfId="4121"/>
    <cellStyle name="쉼표 [0] 4 4 2 32 2 2 2" xfId="10457"/>
    <cellStyle name="쉼표 [0] 4 4 2 32 2 2 2 2" xfId="23130"/>
    <cellStyle name="쉼표 [0] 4 4 2 32 2 2 2 2 2" xfId="48482"/>
    <cellStyle name="쉼표 [0] 4 4 2 32 2 2 2 3" xfId="35810"/>
    <cellStyle name="쉼표 [0] 4 4 2 32 2 2 3" xfId="16794"/>
    <cellStyle name="쉼표 [0] 4 4 2 32 2 2 3 2" xfId="42146"/>
    <cellStyle name="쉼표 [0] 4 4 2 32 2 2 4" xfId="29474"/>
    <cellStyle name="쉼표 [0] 4 4 2 32 2 2 5" xfId="52570"/>
    <cellStyle name="쉼표 [0] 4 4 2 32 2 3" xfId="7343"/>
    <cellStyle name="쉼표 [0] 4 4 2 32 2 3 2" xfId="20016"/>
    <cellStyle name="쉼표 [0] 4 4 2 32 2 3 2 2" xfId="45368"/>
    <cellStyle name="쉼표 [0] 4 4 2 32 2 3 3" xfId="32696"/>
    <cellStyle name="쉼표 [0] 4 4 2 32 2 4" xfId="13680"/>
    <cellStyle name="쉼표 [0] 4 4 2 32 2 4 2" xfId="39032"/>
    <cellStyle name="쉼표 [0] 4 4 2 32 2 5" xfId="26360"/>
    <cellStyle name="쉼표 [0] 4 4 2 32 2 6" xfId="52571"/>
    <cellStyle name="쉼표 [0] 4 4 2 32 3" xfId="4122"/>
    <cellStyle name="쉼표 [0] 4 4 2 32 3 2" xfId="10458"/>
    <cellStyle name="쉼표 [0] 4 4 2 32 3 2 2" xfId="23131"/>
    <cellStyle name="쉼표 [0] 4 4 2 32 3 2 2 2" xfId="48483"/>
    <cellStyle name="쉼표 [0] 4 4 2 32 3 2 3" xfId="35811"/>
    <cellStyle name="쉼표 [0] 4 4 2 32 3 3" xfId="16795"/>
    <cellStyle name="쉼표 [0] 4 4 2 32 3 3 2" xfId="42147"/>
    <cellStyle name="쉼표 [0] 4 4 2 32 3 4" xfId="29475"/>
    <cellStyle name="쉼표 [0] 4 4 2 32 3 5" xfId="52572"/>
    <cellStyle name="쉼표 [0] 4 4 2 32 4" xfId="7342"/>
    <cellStyle name="쉼표 [0] 4 4 2 32 4 2" xfId="20015"/>
    <cellStyle name="쉼표 [0] 4 4 2 32 4 2 2" xfId="45367"/>
    <cellStyle name="쉼표 [0] 4 4 2 32 4 3" xfId="32695"/>
    <cellStyle name="쉼표 [0] 4 4 2 32 5" xfId="13679"/>
    <cellStyle name="쉼표 [0] 4 4 2 32 5 2" xfId="39031"/>
    <cellStyle name="쉼표 [0] 4 4 2 32 6" xfId="26359"/>
    <cellStyle name="쉼표 [0] 4 4 2 32 7" xfId="52573"/>
    <cellStyle name="쉼표 [0] 4 4 2 33" xfId="1007"/>
    <cellStyle name="쉼표 [0] 4 4 2 33 2" xfId="1008"/>
    <cellStyle name="쉼표 [0] 4 4 2 33 2 2" xfId="4123"/>
    <cellStyle name="쉼표 [0] 4 4 2 33 2 2 2" xfId="10459"/>
    <cellStyle name="쉼표 [0] 4 4 2 33 2 2 2 2" xfId="23132"/>
    <cellStyle name="쉼표 [0] 4 4 2 33 2 2 2 2 2" xfId="48484"/>
    <cellStyle name="쉼표 [0] 4 4 2 33 2 2 2 3" xfId="35812"/>
    <cellStyle name="쉼표 [0] 4 4 2 33 2 2 3" xfId="16796"/>
    <cellStyle name="쉼표 [0] 4 4 2 33 2 2 3 2" xfId="42148"/>
    <cellStyle name="쉼표 [0] 4 4 2 33 2 2 4" xfId="29476"/>
    <cellStyle name="쉼표 [0] 4 4 2 33 2 2 5" xfId="52574"/>
    <cellStyle name="쉼표 [0] 4 4 2 33 2 3" xfId="7345"/>
    <cellStyle name="쉼표 [0] 4 4 2 33 2 3 2" xfId="20018"/>
    <cellStyle name="쉼표 [0] 4 4 2 33 2 3 2 2" xfId="45370"/>
    <cellStyle name="쉼표 [0] 4 4 2 33 2 3 3" xfId="32698"/>
    <cellStyle name="쉼표 [0] 4 4 2 33 2 4" xfId="13682"/>
    <cellStyle name="쉼표 [0] 4 4 2 33 2 4 2" xfId="39034"/>
    <cellStyle name="쉼표 [0] 4 4 2 33 2 5" xfId="26362"/>
    <cellStyle name="쉼표 [0] 4 4 2 33 2 6" xfId="52575"/>
    <cellStyle name="쉼표 [0] 4 4 2 33 3" xfId="4124"/>
    <cellStyle name="쉼표 [0] 4 4 2 33 3 2" xfId="10460"/>
    <cellStyle name="쉼표 [0] 4 4 2 33 3 2 2" xfId="23133"/>
    <cellStyle name="쉼표 [0] 4 4 2 33 3 2 2 2" xfId="48485"/>
    <cellStyle name="쉼표 [0] 4 4 2 33 3 2 3" xfId="35813"/>
    <cellStyle name="쉼표 [0] 4 4 2 33 3 3" xfId="16797"/>
    <cellStyle name="쉼표 [0] 4 4 2 33 3 3 2" xfId="42149"/>
    <cellStyle name="쉼표 [0] 4 4 2 33 3 4" xfId="29477"/>
    <cellStyle name="쉼표 [0] 4 4 2 33 3 5" xfId="52576"/>
    <cellStyle name="쉼표 [0] 4 4 2 33 4" xfId="7344"/>
    <cellStyle name="쉼표 [0] 4 4 2 33 4 2" xfId="20017"/>
    <cellStyle name="쉼표 [0] 4 4 2 33 4 2 2" xfId="45369"/>
    <cellStyle name="쉼표 [0] 4 4 2 33 4 3" xfId="32697"/>
    <cellStyle name="쉼표 [0] 4 4 2 33 5" xfId="13681"/>
    <cellStyle name="쉼표 [0] 4 4 2 33 5 2" xfId="39033"/>
    <cellStyle name="쉼표 [0] 4 4 2 33 6" xfId="26361"/>
    <cellStyle name="쉼표 [0] 4 4 2 33 7" xfId="52577"/>
    <cellStyle name="쉼표 [0] 4 4 2 34" xfId="1009"/>
    <cellStyle name="쉼표 [0] 4 4 2 34 2" xfId="4125"/>
    <cellStyle name="쉼표 [0] 4 4 2 34 2 2" xfId="10461"/>
    <cellStyle name="쉼표 [0] 4 4 2 34 2 2 2" xfId="23134"/>
    <cellStyle name="쉼표 [0] 4 4 2 34 2 2 2 2" xfId="48486"/>
    <cellStyle name="쉼표 [0] 4 4 2 34 2 2 3" xfId="35814"/>
    <cellStyle name="쉼표 [0] 4 4 2 34 2 3" xfId="16798"/>
    <cellStyle name="쉼표 [0] 4 4 2 34 2 3 2" xfId="42150"/>
    <cellStyle name="쉼표 [0] 4 4 2 34 2 4" xfId="29478"/>
    <cellStyle name="쉼표 [0] 4 4 2 34 2 5" xfId="52578"/>
    <cellStyle name="쉼표 [0] 4 4 2 34 3" xfId="7346"/>
    <cellStyle name="쉼표 [0] 4 4 2 34 3 2" xfId="20019"/>
    <cellStyle name="쉼표 [0] 4 4 2 34 3 2 2" xfId="45371"/>
    <cellStyle name="쉼표 [0] 4 4 2 34 3 3" xfId="32699"/>
    <cellStyle name="쉼표 [0] 4 4 2 34 4" xfId="13683"/>
    <cellStyle name="쉼표 [0] 4 4 2 34 4 2" xfId="39035"/>
    <cellStyle name="쉼표 [0] 4 4 2 34 5" xfId="26363"/>
    <cellStyle name="쉼표 [0] 4 4 2 34 6" xfId="52579"/>
    <cellStyle name="쉼표 [0] 4 4 2 35" xfId="4126"/>
    <cellStyle name="쉼표 [0] 4 4 2 35 2" xfId="10462"/>
    <cellStyle name="쉼표 [0] 4 4 2 35 2 2" xfId="23135"/>
    <cellStyle name="쉼표 [0] 4 4 2 35 2 2 2" xfId="48487"/>
    <cellStyle name="쉼표 [0] 4 4 2 35 2 3" xfId="35815"/>
    <cellStyle name="쉼표 [0] 4 4 2 35 3" xfId="16799"/>
    <cellStyle name="쉼표 [0] 4 4 2 35 3 2" xfId="42151"/>
    <cellStyle name="쉼표 [0] 4 4 2 35 4" xfId="29479"/>
    <cellStyle name="쉼표 [0] 4 4 2 35 5" xfId="52580"/>
    <cellStyle name="쉼표 [0] 4 4 2 36" xfId="6407"/>
    <cellStyle name="쉼표 [0] 4 4 2 36 2" xfId="19080"/>
    <cellStyle name="쉼표 [0] 4 4 2 36 2 2" xfId="44432"/>
    <cellStyle name="쉼표 [0] 4 4 2 36 3" xfId="31760"/>
    <cellStyle name="쉼표 [0] 4 4 2 37" xfId="12744"/>
    <cellStyle name="쉼표 [0] 4 4 2 37 2" xfId="38096"/>
    <cellStyle name="쉼표 [0] 4 4 2 38" xfId="25424"/>
    <cellStyle name="쉼표 [0] 4 4 2 39" xfId="52581"/>
    <cellStyle name="쉼표 [0] 4 4 2 4" xfId="1010"/>
    <cellStyle name="쉼표 [0] 4 4 2 4 2" xfId="1011"/>
    <cellStyle name="쉼표 [0] 4 4 2 4 2 2" xfId="4127"/>
    <cellStyle name="쉼표 [0] 4 4 2 4 2 2 2" xfId="10463"/>
    <cellStyle name="쉼표 [0] 4 4 2 4 2 2 2 2" xfId="23136"/>
    <cellStyle name="쉼표 [0] 4 4 2 4 2 2 2 2 2" xfId="48488"/>
    <cellStyle name="쉼표 [0] 4 4 2 4 2 2 2 3" xfId="35816"/>
    <cellStyle name="쉼표 [0] 4 4 2 4 2 2 3" xfId="16800"/>
    <cellStyle name="쉼표 [0] 4 4 2 4 2 2 3 2" xfId="42152"/>
    <cellStyle name="쉼표 [0] 4 4 2 4 2 2 4" xfId="29480"/>
    <cellStyle name="쉼표 [0] 4 4 2 4 2 2 5" xfId="52582"/>
    <cellStyle name="쉼표 [0] 4 4 2 4 2 3" xfId="7348"/>
    <cellStyle name="쉼표 [0] 4 4 2 4 2 3 2" xfId="20021"/>
    <cellStyle name="쉼표 [0] 4 4 2 4 2 3 2 2" xfId="45373"/>
    <cellStyle name="쉼표 [0] 4 4 2 4 2 3 3" xfId="32701"/>
    <cellStyle name="쉼표 [0] 4 4 2 4 2 4" xfId="13685"/>
    <cellStyle name="쉼표 [0] 4 4 2 4 2 4 2" xfId="39037"/>
    <cellStyle name="쉼표 [0] 4 4 2 4 2 5" xfId="26365"/>
    <cellStyle name="쉼표 [0] 4 4 2 4 2 6" xfId="52583"/>
    <cellStyle name="쉼표 [0] 4 4 2 4 3" xfId="4128"/>
    <cellStyle name="쉼표 [0] 4 4 2 4 3 2" xfId="10464"/>
    <cellStyle name="쉼표 [0] 4 4 2 4 3 2 2" xfId="23137"/>
    <cellStyle name="쉼표 [0] 4 4 2 4 3 2 2 2" xfId="48489"/>
    <cellStyle name="쉼표 [0] 4 4 2 4 3 2 3" xfId="35817"/>
    <cellStyle name="쉼표 [0] 4 4 2 4 3 3" xfId="16801"/>
    <cellStyle name="쉼표 [0] 4 4 2 4 3 3 2" xfId="42153"/>
    <cellStyle name="쉼표 [0] 4 4 2 4 3 4" xfId="29481"/>
    <cellStyle name="쉼표 [0] 4 4 2 4 3 5" xfId="52584"/>
    <cellStyle name="쉼표 [0] 4 4 2 4 4" xfId="7347"/>
    <cellStyle name="쉼표 [0] 4 4 2 4 4 2" xfId="20020"/>
    <cellStyle name="쉼표 [0] 4 4 2 4 4 2 2" xfId="45372"/>
    <cellStyle name="쉼표 [0] 4 4 2 4 4 3" xfId="32700"/>
    <cellStyle name="쉼표 [0] 4 4 2 4 5" xfId="13684"/>
    <cellStyle name="쉼표 [0] 4 4 2 4 5 2" xfId="39036"/>
    <cellStyle name="쉼표 [0] 4 4 2 4 6" xfId="26364"/>
    <cellStyle name="쉼표 [0] 4 4 2 4 7" xfId="52585"/>
    <cellStyle name="쉼표 [0] 4 4 2 5" xfId="1012"/>
    <cellStyle name="쉼표 [0] 4 4 2 5 2" xfId="1013"/>
    <cellStyle name="쉼표 [0] 4 4 2 5 2 2" xfId="4129"/>
    <cellStyle name="쉼표 [0] 4 4 2 5 2 2 2" xfId="10465"/>
    <cellStyle name="쉼표 [0] 4 4 2 5 2 2 2 2" xfId="23138"/>
    <cellStyle name="쉼표 [0] 4 4 2 5 2 2 2 2 2" xfId="48490"/>
    <cellStyle name="쉼표 [0] 4 4 2 5 2 2 2 3" xfId="35818"/>
    <cellStyle name="쉼표 [0] 4 4 2 5 2 2 3" xfId="16802"/>
    <cellStyle name="쉼표 [0] 4 4 2 5 2 2 3 2" xfId="42154"/>
    <cellStyle name="쉼표 [0] 4 4 2 5 2 2 4" xfId="29482"/>
    <cellStyle name="쉼표 [0] 4 4 2 5 2 2 5" xfId="52586"/>
    <cellStyle name="쉼표 [0] 4 4 2 5 2 3" xfId="7350"/>
    <cellStyle name="쉼표 [0] 4 4 2 5 2 3 2" xfId="20023"/>
    <cellStyle name="쉼표 [0] 4 4 2 5 2 3 2 2" xfId="45375"/>
    <cellStyle name="쉼표 [0] 4 4 2 5 2 3 3" xfId="32703"/>
    <cellStyle name="쉼표 [0] 4 4 2 5 2 4" xfId="13687"/>
    <cellStyle name="쉼표 [0] 4 4 2 5 2 4 2" xfId="39039"/>
    <cellStyle name="쉼표 [0] 4 4 2 5 2 5" xfId="26367"/>
    <cellStyle name="쉼표 [0] 4 4 2 5 2 6" xfId="52587"/>
    <cellStyle name="쉼표 [0] 4 4 2 5 3" xfId="4130"/>
    <cellStyle name="쉼표 [0] 4 4 2 5 3 2" xfId="10466"/>
    <cellStyle name="쉼표 [0] 4 4 2 5 3 2 2" xfId="23139"/>
    <cellStyle name="쉼표 [0] 4 4 2 5 3 2 2 2" xfId="48491"/>
    <cellStyle name="쉼표 [0] 4 4 2 5 3 2 3" xfId="35819"/>
    <cellStyle name="쉼표 [0] 4 4 2 5 3 3" xfId="16803"/>
    <cellStyle name="쉼표 [0] 4 4 2 5 3 3 2" xfId="42155"/>
    <cellStyle name="쉼표 [0] 4 4 2 5 3 4" xfId="29483"/>
    <cellStyle name="쉼표 [0] 4 4 2 5 3 5" xfId="52588"/>
    <cellStyle name="쉼표 [0] 4 4 2 5 4" xfId="7349"/>
    <cellStyle name="쉼표 [0] 4 4 2 5 4 2" xfId="20022"/>
    <cellStyle name="쉼표 [0] 4 4 2 5 4 2 2" xfId="45374"/>
    <cellStyle name="쉼표 [0] 4 4 2 5 4 3" xfId="32702"/>
    <cellStyle name="쉼표 [0] 4 4 2 5 5" xfId="13686"/>
    <cellStyle name="쉼표 [0] 4 4 2 5 5 2" xfId="39038"/>
    <cellStyle name="쉼표 [0] 4 4 2 5 6" xfId="26366"/>
    <cellStyle name="쉼표 [0] 4 4 2 5 7" xfId="52589"/>
    <cellStyle name="쉼표 [0] 4 4 2 6" xfId="1014"/>
    <cellStyle name="쉼표 [0] 4 4 2 6 2" xfId="1015"/>
    <cellStyle name="쉼표 [0] 4 4 2 6 2 2" xfId="4131"/>
    <cellStyle name="쉼표 [0] 4 4 2 6 2 2 2" xfId="10467"/>
    <cellStyle name="쉼표 [0] 4 4 2 6 2 2 2 2" xfId="23140"/>
    <cellStyle name="쉼표 [0] 4 4 2 6 2 2 2 2 2" xfId="48492"/>
    <cellStyle name="쉼표 [0] 4 4 2 6 2 2 2 3" xfId="35820"/>
    <cellStyle name="쉼표 [0] 4 4 2 6 2 2 3" xfId="16804"/>
    <cellStyle name="쉼표 [0] 4 4 2 6 2 2 3 2" xfId="42156"/>
    <cellStyle name="쉼표 [0] 4 4 2 6 2 2 4" xfId="29484"/>
    <cellStyle name="쉼표 [0] 4 4 2 6 2 2 5" xfId="52590"/>
    <cellStyle name="쉼표 [0] 4 4 2 6 2 3" xfId="7352"/>
    <cellStyle name="쉼표 [0] 4 4 2 6 2 3 2" xfId="20025"/>
    <cellStyle name="쉼표 [0] 4 4 2 6 2 3 2 2" xfId="45377"/>
    <cellStyle name="쉼표 [0] 4 4 2 6 2 3 3" xfId="32705"/>
    <cellStyle name="쉼표 [0] 4 4 2 6 2 4" xfId="13689"/>
    <cellStyle name="쉼표 [0] 4 4 2 6 2 4 2" xfId="39041"/>
    <cellStyle name="쉼표 [0] 4 4 2 6 2 5" xfId="26369"/>
    <cellStyle name="쉼표 [0] 4 4 2 6 2 6" xfId="52591"/>
    <cellStyle name="쉼표 [0] 4 4 2 6 3" xfId="4132"/>
    <cellStyle name="쉼표 [0] 4 4 2 6 3 2" xfId="10468"/>
    <cellStyle name="쉼표 [0] 4 4 2 6 3 2 2" xfId="23141"/>
    <cellStyle name="쉼표 [0] 4 4 2 6 3 2 2 2" xfId="48493"/>
    <cellStyle name="쉼표 [0] 4 4 2 6 3 2 3" xfId="35821"/>
    <cellStyle name="쉼표 [0] 4 4 2 6 3 3" xfId="16805"/>
    <cellStyle name="쉼표 [0] 4 4 2 6 3 3 2" xfId="42157"/>
    <cellStyle name="쉼표 [0] 4 4 2 6 3 4" xfId="29485"/>
    <cellStyle name="쉼표 [0] 4 4 2 6 3 5" xfId="52592"/>
    <cellStyle name="쉼표 [0] 4 4 2 6 4" xfId="7351"/>
    <cellStyle name="쉼표 [0] 4 4 2 6 4 2" xfId="20024"/>
    <cellStyle name="쉼표 [0] 4 4 2 6 4 2 2" xfId="45376"/>
    <cellStyle name="쉼표 [0] 4 4 2 6 4 3" xfId="32704"/>
    <cellStyle name="쉼표 [0] 4 4 2 6 5" xfId="13688"/>
    <cellStyle name="쉼표 [0] 4 4 2 6 5 2" xfId="39040"/>
    <cellStyle name="쉼표 [0] 4 4 2 6 6" xfId="26368"/>
    <cellStyle name="쉼표 [0] 4 4 2 6 7" xfId="52593"/>
    <cellStyle name="쉼표 [0] 4 4 2 7" xfId="1016"/>
    <cellStyle name="쉼표 [0] 4 4 2 7 2" xfId="1017"/>
    <cellStyle name="쉼표 [0] 4 4 2 7 2 2" xfId="4133"/>
    <cellStyle name="쉼표 [0] 4 4 2 7 2 2 2" xfId="10469"/>
    <cellStyle name="쉼표 [0] 4 4 2 7 2 2 2 2" xfId="23142"/>
    <cellStyle name="쉼표 [0] 4 4 2 7 2 2 2 2 2" xfId="48494"/>
    <cellStyle name="쉼표 [0] 4 4 2 7 2 2 2 3" xfId="35822"/>
    <cellStyle name="쉼표 [0] 4 4 2 7 2 2 3" xfId="16806"/>
    <cellStyle name="쉼표 [0] 4 4 2 7 2 2 3 2" xfId="42158"/>
    <cellStyle name="쉼표 [0] 4 4 2 7 2 2 4" xfId="29486"/>
    <cellStyle name="쉼표 [0] 4 4 2 7 2 2 5" xfId="52594"/>
    <cellStyle name="쉼표 [0] 4 4 2 7 2 3" xfId="7354"/>
    <cellStyle name="쉼표 [0] 4 4 2 7 2 3 2" xfId="20027"/>
    <cellStyle name="쉼표 [0] 4 4 2 7 2 3 2 2" xfId="45379"/>
    <cellStyle name="쉼표 [0] 4 4 2 7 2 3 3" xfId="32707"/>
    <cellStyle name="쉼표 [0] 4 4 2 7 2 4" xfId="13691"/>
    <cellStyle name="쉼표 [0] 4 4 2 7 2 4 2" xfId="39043"/>
    <cellStyle name="쉼표 [0] 4 4 2 7 2 5" xfId="26371"/>
    <cellStyle name="쉼표 [0] 4 4 2 7 2 6" xfId="52595"/>
    <cellStyle name="쉼표 [0] 4 4 2 7 3" xfId="4134"/>
    <cellStyle name="쉼표 [0] 4 4 2 7 3 2" xfId="10470"/>
    <cellStyle name="쉼표 [0] 4 4 2 7 3 2 2" xfId="23143"/>
    <cellStyle name="쉼표 [0] 4 4 2 7 3 2 2 2" xfId="48495"/>
    <cellStyle name="쉼표 [0] 4 4 2 7 3 2 3" xfId="35823"/>
    <cellStyle name="쉼표 [0] 4 4 2 7 3 3" xfId="16807"/>
    <cellStyle name="쉼표 [0] 4 4 2 7 3 3 2" xfId="42159"/>
    <cellStyle name="쉼표 [0] 4 4 2 7 3 4" xfId="29487"/>
    <cellStyle name="쉼표 [0] 4 4 2 7 3 5" xfId="52596"/>
    <cellStyle name="쉼표 [0] 4 4 2 7 4" xfId="7353"/>
    <cellStyle name="쉼표 [0] 4 4 2 7 4 2" xfId="20026"/>
    <cellStyle name="쉼표 [0] 4 4 2 7 4 2 2" xfId="45378"/>
    <cellStyle name="쉼표 [0] 4 4 2 7 4 3" xfId="32706"/>
    <cellStyle name="쉼표 [0] 4 4 2 7 5" xfId="13690"/>
    <cellStyle name="쉼표 [0] 4 4 2 7 5 2" xfId="39042"/>
    <cellStyle name="쉼표 [0] 4 4 2 7 6" xfId="26370"/>
    <cellStyle name="쉼표 [0] 4 4 2 7 7" xfId="52597"/>
    <cellStyle name="쉼표 [0] 4 4 2 8" xfId="1018"/>
    <cellStyle name="쉼표 [0] 4 4 2 8 2" xfId="1019"/>
    <cellStyle name="쉼표 [0] 4 4 2 8 2 2" xfId="4135"/>
    <cellStyle name="쉼표 [0] 4 4 2 8 2 2 2" xfId="10471"/>
    <cellStyle name="쉼표 [0] 4 4 2 8 2 2 2 2" xfId="23144"/>
    <cellStyle name="쉼표 [0] 4 4 2 8 2 2 2 2 2" xfId="48496"/>
    <cellStyle name="쉼표 [0] 4 4 2 8 2 2 2 3" xfId="35824"/>
    <cellStyle name="쉼표 [0] 4 4 2 8 2 2 3" xfId="16808"/>
    <cellStyle name="쉼표 [0] 4 4 2 8 2 2 3 2" xfId="42160"/>
    <cellStyle name="쉼표 [0] 4 4 2 8 2 2 4" xfId="29488"/>
    <cellStyle name="쉼표 [0] 4 4 2 8 2 2 5" xfId="52598"/>
    <cellStyle name="쉼표 [0] 4 4 2 8 2 3" xfId="7356"/>
    <cellStyle name="쉼표 [0] 4 4 2 8 2 3 2" xfId="20029"/>
    <cellStyle name="쉼표 [0] 4 4 2 8 2 3 2 2" xfId="45381"/>
    <cellStyle name="쉼표 [0] 4 4 2 8 2 3 3" xfId="32709"/>
    <cellStyle name="쉼표 [0] 4 4 2 8 2 4" xfId="13693"/>
    <cellStyle name="쉼표 [0] 4 4 2 8 2 4 2" xfId="39045"/>
    <cellStyle name="쉼표 [0] 4 4 2 8 2 5" xfId="26373"/>
    <cellStyle name="쉼표 [0] 4 4 2 8 2 6" xfId="52599"/>
    <cellStyle name="쉼표 [0] 4 4 2 8 3" xfId="4136"/>
    <cellStyle name="쉼표 [0] 4 4 2 8 3 2" xfId="10472"/>
    <cellStyle name="쉼표 [0] 4 4 2 8 3 2 2" xfId="23145"/>
    <cellStyle name="쉼표 [0] 4 4 2 8 3 2 2 2" xfId="48497"/>
    <cellStyle name="쉼표 [0] 4 4 2 8 3 2 3" xfId="35825"/>
    <cellStyle name="쉼표 [0] 4 4 2 8 3 3" xfId="16809"/>
    <cellStyle name="쉼표 [0] 4 4 2 8 3 3 2" xfId="42161"/>
    <cellStyle name="쉼표 [0] 4 4 2 8 3 4" xfId="29489"/>
    <cellStyle name="쉼표 [0] 4 4 2 8 3 5" xfId="52600"/>
    <cellStyle name="쉼표 [0] 4 4 2 8 4" xfId="7355"/>
    <cellStyle name="쉼표 [0] 4 4 2 8 4 2" xfId="20028"/>
    <cellStyle name="쉼표 [0] 4 4 2 8 4 2 2" xfId="45380"/>
    <cellStyle name="쉼표 [0] 4 4 2 8 4 3" xfId="32708"/>
    <cellStyle name="쉼표 [0] 4 4 2 8 5" xfId="13692"/>
    <cellStyle name="쉼표 [0] 4 4 2 8 5 2" xfId="39044"/>
    <cellStyle name="쉼표 [0] 4 4 2 8 6" xfId="26372"/>
    <cellStyle name="쉼표 [0] 4 4 2 8 7" xfId="52601"/>
    <cellStyle name="쉼표 [0] 4 4 2 9" xfId="1020"/>
    <cellStyle name="쉼표 [0] 4 4 2 9 2" xfId="1021"/>
    <cellStyle name="쉼표 [0] 4 4 2 9 2 2" xfId="4137"/>
    <cellStyle name="쉼표 [0] 4 4 2 9 2 2 2" xfId="10473"/>
    <cellStyle name="쉼표 [0] 4 4 2 9 2 2 2 2" xfId="23146"/>
    <cellStyle name="쉼표 [0] 4 4 2 9 2 2 2 2 2" xfId="48498"/>
    <cellStyle name="쉼표 [0] 4 4 2 9 2 2 2 3" xfId="35826"/>
    <cellStyle name="쉼표 [0] 4 4 2 9 2 2 3" xfId="16810"/>
    <cellStyle name="쉼표 [0] 4 4 2 9 2 2 3 2" xfId="42162"/>
    <cellStyle name="쉼표 [0] 4 4 2 9 2 2 4" xfId="29490"/>
    <cellStyle name="쉼표 [0] 4 4 2 9 2 2 5" xfId="52602"/>
    <cellStyle name="쉼표 [0] 4 4 2 9 2 3" xfId="7358"/>
    <cellStyle name="쉼표 [0] 4 4 2 9 2 3 2" xfId="20031"/>
    <cellStyle name="쉼표 [0] 4 4 2 9 2 3 2 2" xfId="45383"/>
    <cellStyle name="쉼표 [0] 4 4 2 9 2 3 3" xfId="32711"/>
    <cellStyle name="쉼표 [0] 4 4 2 9 2 4" xfId="13695"/>
    <cellStyle name="쉼표 [0] 4 4 2 9 2 4 2" xfId="39047"/>
    <cellStyle name="쉼표 [0] 4 4 2 9 2 5" xfId="26375"/>
    <cellStyle name="쉼표 [0] 4 4 2 9 2 6" xfId="52603"/>
    <cellStyle name="쉼표 [0] 4 4 2 9 3" xfId="4138"/>
    <cellStyle name="쉼표 [0] 4 4 2 9 3 2" xfId="10474"/>
    <cellStyle name="쉼표 [0] 4 4 2 9 3 2 2" xfId="23147"/>
    <cellStyle name="쉼표 [0] 4 4 2 9 3 2 2 2" xfId="48499"/>
    <cellStyle name="쉼표 [0] 4 4 2 9 3 2 3" xfId="35827"/>
    <cellStyle name="쉼표 [0] 4 4 2 9 3 3" xfId="16811"/>
    <cellStyle name="쉼표 [0] 4 4 2 9 3 3 2" xfId="42163"/>
    <cellStyle name="쉼표 [0] 4 4 2 9 3 4" xfId="29491"/>
    <cellStyle name="쉼표 [0] 4 4 2 9 3 5" xfId="52604"/>
    <cellStyle name="쉼표 [0] 4 4 2 9 4" xfId="7357"/>
    <cellStyle name="쉼표 [0] 4 4 2 9 4 2" xfId="20030"/>
    <cellStyle name="쉼표 [0] 4 4 2 9 4 2 2" xfId="45382"/>
    <cellStyle name="쉼표 [0] 4 4 2 9 4 3" xfId="32710"/>
    <cellStyle name="쉼표 [0] 4 4 2 9 5" xfId="13694"/>
    <cellStyle name="쉼표 [0] 4 4 2 9 5 2" xfId="39046"/>
    <cellStyle name="쉼표 [0] 4 4 2 9 6" xfId="26374"/>
    <cellStyle name="쉼표 [0] 4 4 2 9 7" xfId="52605"/>
    <cellStyle name="쉼표 [0] 4 4 20" xfId="1022"/>
    <cellStyle name="쉼표 [0] 4 4 20 2" xfId="1023"/>
    <cellStyle name="쉼표 [0] 4 4 20 2 2" xfId="4139"/>
    <cellStyle name="쉼표 [0] 4 4 20 2 2 2" xfId="10475"/>
    <cellStyle name="쉼표 [0] 4 4 20 2 2 2 2" xfId="23148"/>
    <cellStyle name="쉼표 [0] 4 4 20 2 2 2 2 2" xfId="48500"/>
    <cellStyle name="쉼표 [0] 4 4 20 2 2 2 3" xfId="35828"/>
    <cellStyle name="쉼표 [0] 4 4 20 2 2 3" xfId="16812"/>
    <cellStyle name="쉼표 [0] 4 4 20 2 2 3 2" xfId="42164"/>
    <cellStyle name="쉼표 [0] 4 4 20 2 2 4" xfId="29492"/>
    <cellStyle name="쉼표 [0] 4 4 20 2 2 5" xfId="52606"/>
    <cellStyle name="쉼표 [0] 4 4 20 2 3" xfId="7360"/>
    <cellStyle name="쉼표 [0] 4 4 20 2 3 2" xfId="20033"/>
    <cellStyle name="쉼표 [0] 4 4 20 2 3 2 2" xfId="45385"/>
    <cellStyle name="쉼표 [0] 4 4 20 2 3 3" xfId="32713"/>
    <cellStyle name="쉼표 [0] 4 4 20 2 4" xfId="13697"/>
    <cellStyle name="쉼표 [0] 4 4 20 2 4 2" xfId="39049"/>
    <cellStyle name="쉼표 [0] 4 4 20 2 5" xfId="26377"/>
    <cellStyle name="쉼표 [0] 4 4 20 2 6" xfId="52607"/>
    <cellStyle name="쉼표 [0] 4 4 20 3" xfId="4140"/>
    <cellStyle name="쉼표 [0] 4 4 20 3 2" xfId="10476"/>
    <cellStyle name="쉼표 [0] 4 4 20 3 2 2" xfId="23149"/>
    <cellStyle name="쉼표 [0] 4 4 20 3 2 2 2" xfId="48501"/>
    <cellStyle name="쉼표 [0] 4 4 20 3 2 3" xfId="35829"/>
    <cellStyle name="쉼표 [0] 4 4 20 3 3" xfId="16813"/>
    <cellStyle name="쉼표 [0] 4 4 20 3 3 2" xfId="42165"/>
    <cellStyle name="쉼표 [0] 4 4 20 3 4" xfId="29493"/>
    <cellStyle name="쉼표 [0] 4 4 20 3 5" xfId="52608"/>
    <cellStyle name="쉼표 [0] 4 4 20 4" xfId="7359"/>
    <cellStyle name="쉼표 [0] 4 4 20 4 2" xfId="20032"/>
    <cellStyle name="쉼표 [0] 4 4 20 4 2 2" xfId="45384"/>
    <cellStyle name="쉼표 [0] 4 4 20 4 3" xfId="32712"/>
    <cellStyle name="쉼표 [0] 4 4 20 5" xfId="13696"/>
    <cellStyle name="쉼표 [0] 4 4 20 5 2" xfId="39048"/>
    <cellStyle name="쉼표 [0] 4 4 20 6" xfId="26376"/>
    <cellStyle name="쉼표 [0] 4 4 20 7" xfId="52609"/>
    <cellStyle name="쉼표 [0] 4 4 21" xfId="1024"/>
    <cellStyle name="쉼표 [0] 4 4 21 2" xfId="1025"/>
    <cellStyle name="쉼표 [0] 4 4 21 2 2" xfId="4141"/>
    <cellStyle name="쉼표 [0] 4 4 21 2 2 2" xfId="10477"/>
    <cellStyle name="쉼표 [0] 4 4 21 2 2 2 2" xfId="23150"/>
    <cellStyle name="쉼표 [0] 4 4 21 2 2 2 2 2" xfId="48502"/>
    <cellStyle name="쉼표 [0] 4 4 21 2 2 2 3" xfId="35830"/>
    <cellStyle name="쉼표 [0] 4 4 21 2 2 3" xfId="16814"/>
    <cellStyle name="쉼표 [0] 4 4 21 2 2 3 2" xfId="42166"/>
    <cellStyle name="쉼표 [0] 4 4 21 2 2 4" xfId="29494"/>
    <cellStyle name="쉼표 [0] 4 4 21 2 2 5" xfId="52610"/>
    <cellStyle name="쉼표 [0] 4 4 21 2 3" xfId="7362"/>
    <cellStyle name="쉼표 [0] 4 4 21 2 3 2" xfId="20035"/>
    <cellStyle name="쉼표 [0] 4 4 21 2 3 2 2" xfId="45387"/>
    <cellStyle name="쉼표 [0] 4 4 21 2 3 3" xfId="32715"/>
    <cellStyle name="쉼표 [0] 4 4 21 2 4" xfId="13699"/>
    <cellStyle name="쉼표 [0] 4 4 21 2 4 2" xfId="39051"/>
    <cellStyle name="쉼표 [0] 4 4 21 2 5" xfId="26379"/>
    <cellStyle name="쉼표 [0] 4 4 21 2 6" xfId="52611"/>
    <cellStyle name="쉼표 [0] 4 4 21 3" xfId="4142"/>
    <cellStyle name="쉼표 [0] 4 4 21 3 2" xfId="10478"/>
    <cellStyle name="쉼표 [0] 4 4 21 3 2 2" xfId="23151"/>
    <cellStyle name="쉼표 [0] 4 4 21 3 2 2 2" xfId="48503"/>
    <cellStyle name="쉼표 [0] 4 4 21 3 2 3" xfId="35831"/>
    <cellStyle name="쉼표 [0] 4 4 21 3 3" xfId="16815"/>
    <cellStyle name="쉼표 [0] 4 4 21 3 3 2" xfId="42167"/>
    <cellStyle name="쉼표 [0] 4 4 21 3 4" xfId="29495"/>
    <cellStyle name="쉼표 [0] 4 4 21 3 5" xfId="52612"/>
    <cellStyle name="쉼표 [0] 4 4 21 4" xfId="7361"/>
    <cellStyle name="쉼표 [0] 4 4 21 4 2" xfId="20034"/>
    <cellStyle name="쉼표 [0] 4 4 21 4 2 2" xfId="45386"/>
    <cellStyle name="쉼표 [0] 4 4 21 4 3" xfId="32714"/>
    <cellStyle name="쉼표 [0] 4 4 21 5" xfId="13698"/>
    <cellStyle name="쉼표 [0] 4 4 21 5 2" xfId="39050"/>
    <cellStyle name="쉼표 [0] 4 4 21 6" xfId="26378"/>
    <cellStyle name="쉼표 [0] 4 4 21 7" xfId="52613"/>
    <cellStyle name="쉼표 [0] 4 4 22" xfId="1026"/>
    <cellStyle name="쉼표 [0] 4 4 22 2" xfId="1027"/>
    <cellStyle name="쉼표 [0] 4 4 22 2 2" xfId="4143"/>
    <cellStyle name="쉼표 [0] 4 4 22 2 2 2" xfId="10479"/>
    <cellStyle name="쉼표 [0] 4 4 22 2 2 2 2" xfId="23152"/>
    <cellStyle name="쉼표 [0] 4 4 22 2 2 2 2 2" xfId="48504"/>
    <cellStyle name="쉼표 [0] 4 4 22 2 2 2 3" xfId="35832"/>
    <cellStyle name="쉼표 [0] 4 4 22 2 2 3" xfId="16816"/>
    <cellStyle name="쉼표 [0] 4 4 22 2 2 3 2" xfId="42168"/>
    <cellStyle name="쉼표 [0] 4 4 22 2 2 4" xfId="29496"/>
    <cellStyle name="쉼표 [0] 4 4 22 2 2 5" xfId="52614"/>
    <cellStyle name="쉼표 [0] 4 4 22 2 3" xfId="7364"/>
    <cellStyle name="쉼표 [0] 4 4 22 2 3 2" xfId="20037"/>
    <cellStyle name="쉼표 [0] 4 4 22 2 3 2 2" xfId="45389"/>
    <cellStyle name="쉼표 [0] 4 4 22 2 3 3" xfId="32717"/>
    <cellStyle name="쉼표 [0] 4 4 22 2 4" xfId="13701"/>
    <cellStyle name="쉼표 [0] 4 4 22 2 4 2" xfId="39053"/>
    <cellStyle name="쉼표 [0] 4 4 22 2 5" xfId="26381"/>
    <cellStyle name="쉼표 [0] 4 4 22 2 6" xfId="52615"/>
    <cellStyle name="쉼표 [0] 4 4 22 3" xfId="4144"/>
    <cellStyle name="쉼표 [0] 4 4 22 3 2" xfId="10480"/>
    <cellStyle name="쉼표 [0] 4 4 22 3 2 2" xfId="23153"/>
    <cellStyle name="쉼표 [0] 4 4 22 3 2 2 2" xfId="48505"/>
    <cellStyle name="쉼표 [0] 4 4 22 3 2 3" xfId="35833"/>
    <cellStyle name="쉼표 [0] 4 4 22 3 3" xfId="16817"/>
    <cellStyle name="쉼표 [0] 4 4 22 3 3 2" xfId="42169"/>
    <cellStyle name="쉼표 [0] 4 4 22 3 4" xfId="29497"/>
    <cellStyle name="쉼표 [0] 4 4 22 3 5" xfId="52616"/>
    <cellStyle name="쉼표 [0] 4 4 22 4" xfId="7363"/>
    <cellStyle name="쉼표 [0] 4 4 22 4 2" xfId="20036"/>
    <cellStyle name="쉼표 [0] 4 4 22 4 2 2" xfId="45388"/>
    <cellStyle name="쉼표 [0] 4 4 22 4 3" xfId="32716"/>
    <cellStyle name="쉼표 [0] 4 4 22 5" xfId="13700"/>
    <cellStyle name="쉼표 [0] 4 4 22 5 2" xfId="39052"/>
    <cellStyle name="쉼표 [0] 4 4 22 6" xfId="26380"/>
    <cellStyle name="쉼표 [0] 4 4 22 7" xfId="52617"/>
    <cellStyle name="쉼표 [0] 4 4 23" xfId="1028"/>
    <cellStyle name="쉼표 [0] 4 4 23 2" xfId="1029"/>
    <cellStyle name="쉼표 [0] 4 4 23 2 2" xfId="4145"/>
    <cellStyle name="쉼표 [0] 4 4 23 2 2 2" xfId="10481"/>
    <cellStyle name="쉼표 [0] 4 4 23 2 2 2 2" xfId="23154"/>
    <cellStyle name="쉼표 [0] 4 4 23 2 2 2 2 2" xfId="48506"/>
    <cellStyle name="쉼표 [0] 4 4 23 2 2 2 3" xfId="35834"/>
    <cellStyle name="쉼표 [0] 4 4 23 2 2 3" xfId="16818"/>
    <cellStyle name="쉼표 [0] 4 4 23 2 2 3 2" xfId="42170"/>
    <cellStyle name="쉼표 [0] 4 4 23 2 2 4" xfId="29498"/>
    <cellStyle name="쉼표 [0] 4 4 23 2 2 5" xfId="52618"/>
    <cellStyle name="쉼표 [0] 4 4 23 2 3" xfId="7366"/>
    <cellStyle name="쉼표 [0] 4 4 23 2 3 2" xfId="20039"/>
    <cellStyle name="쉼표 [0] 4 4 23 2 3 2 2" xfId="45391"/>
    <cellStyle name="쉼표 [0] 4 4 23 2 3 3" xfId="32719"/>
    <cellStyle name="쉼표 [0] 4 4 23 2 4" xfId="13703"/>
    <cellStyle name="쉼표 [0] 4 4 23 2 4 2" xfId="39055"/>
    <cellStyle name="쉼표 [0] 4 4 23 2 5" xfId="26383"/>
    <cellStyle name="쉼표 [0] 4 4 23 2 6" xfId="52619"/>
    <cellStyle name="쉼표 [0] 4 4 23 3" xfId="4146"/>
    <cellStyle name="쉼표 [0] 4 4 23 3 2" xfId="10482"/>
    <cellStyle name="쉼표 [0] 4 4 23 3 2 2" xfId="23155"/>
    <cellStyle name="쉼표 [0] 4 4 23 3 2 2 2" xfId="48507"/>
    <cellStyle name="쉼표 [0] 4 4 23 3 2 3" xfId="35835"/>
    <cellStyle name="쉼표 [0] 4 4 23 3 3" xfId="16819"/>
    <cellStyle name="쉼표 [0] 4 4 23 3 3 2" xfId="42171"/>
    <cellStyle name="쉼표 [0] 4 4 23 3 4" xfId="29499"/>
    <cellStyle name="쉼표 [0] 4 4 23 3 5" xfId="52620"/>
    <cellStyle name="쉼표 [0] 4 4 23 4" xfId="7365"/>
    <cellStyle name="쉼표 [0] 4 4 23 4 2" xfId="20038"/>
    <cellStyle name="쉼표 [0] 4 4 23 4 2 2" xfId="45390"/>
    <cellStyle name="쉼표 [0] 4 4 23 4 3" xfId="32718"/>
    <cellStyle name="쉼표 [0] 4 4 23 5" xfId="13702"/>
    <cellStyle name="쉼표 [0] 4 4 23 5 2" xfId="39054"/>
    <cellStyle name="쉼표 [0] 4 4 23 6" xfId="26382"/>
    <cellStyle name="쉼표 [0] 4 4 23 7" xfId="52621"/>
    <cellStyle name="쉼표 [0] 4 4 24" xfId="1030"/>
    <cellStyle name="쉼표 [0] 4 4 24 2" xfId="1031"/>
    <cellStyle name="쉼표 [0] 4 4 24 2 2" xfId="4147"/>
    <cellStyle name="쉼표 [0] 4 4 24 2 2 2" xfId="10483"/>
    <cellStyle name="쉼표 [0] 4 4 24 2 2 2 2" xfId="23156"/>
    <cellStyle name="쉼표 [0] 4 4 24 2 2 2 2 2" xfId="48508"/>
    <cellStyle name="쉼표 [0] 4 4 24 2 2 2 3" xfId="35836"/>
    <cellStyle name="쉼표 [0] 4 4 24 2 2 3" xfId="16820"/>
    <cellStyle name="쉼표 [0] 4 4 24 2 2 3 2" xfId="42172"/>
    <cellStyle name="쉼표 [0] 4 4 24 2 2 4" xfId="29500"/>
    <cellStyle name="쉼표 [0] 4 4 24 2 2 5" xfId="52622"/>
    <cellStyle name="쉼표 [0] 4 4 24 2 3" xfId="7368"/>
    <cellStyle name="쉼표 [0] 4 4 24 2 3 2" xfId="20041"/>
    <cellStyle name="쉼표 [0] 4 4 24 2 3 2 2" xfId="45393"/>
    <cellStyle name="쉼표 [0] 4 4 24 2 3 3" xfId="32721"/>
    <cellStyle name="쉼표 [0] 4 4 24 2 4" xfId="13705"/>
    <cellStyle name="쉼표 [0] 4 4 24 2 4 2" xfId="39057"/>
    <cellStyle name="쉼표 [0] 4 4 24 2 5" xfId="26385"/>
    <cellStyle name="쉼표 [0] 4 4 24 2 6" xfId="52623"/>
    <cellStyle name="쉼표 [0] 4 4 24 3" xfId="4148"/>
    <cellStyle name="쉼표 [0] 4 4 24 3 2" xfId="10484"/>
    <cellStyle name="쉼표 [0] 4 4 24 3 2 2" xfId="23157"/>
    <cellStyle name="쉼표 [0] 4 4 24 3 2 2 2" xfId="48509"/>
    <cellStyle name="쉼표 [0] 4 4 24 3 2 3" xfId="35837"/>
    <cellStyle name="쉼표 [0] 4 4 24 3 3" xfId="16821"/>
    <cellStyle name="쉼표 [0] 4 4 24 3 3 2" xfId="42173"/>
    <cellStyle name="쉼표 [0] 4 4 24 3 4" xfId="29501"/>
    <cellStyle name="쉼표 [0] 4 4 24 3 5" xfId="52624"/>
    <cellStyle name="쉼표 [0] 4 4 24 4" xfId="7367"/>
    <cellStyle name="쉼표 [0] 4 4 24 4 2" xfId="20040"/>
    <cellStyle name="쉼표 [0] 4 4 24 4 2 2" xfId="45392"/>
    <cellStyle name="쉼표 [0] 4 4 24 4 3" xfId="32720"/>
    <cellStyle name="쉼표 [0] 4 4 24 5" xfId="13704"/>
    <cellStyle name="쉼표 [0] 4 4 24 5 2" xfId="39056"/>
    <cellStyle name="쉼표 [0] 4 4 24 6" xfId="26384"/>
    <cellStyle name="쉼표 [0] 4 4 24 7" xfId="52625"/>
    <cellStyle name="쉼표 [0] 4 4 25" xfId="1032"/>
    <cellStyle name="쉼표 [0] 4 4 25 2" xfId="1033"/>
    <cellStyle name="쉼표 [0] 4 4 25 2 2" xfId="4149"/>
    <cellStyle name="쉼표 [0] 4 4 25 2 2 2" xfId="10485"/>
    <cellStyle name="쉼표 [0] 4 4 25 2 2 2 2" xfId="23158"/>
    <cellStyle name="쉼표 [0] 4 4 25 2 2 2 2 2" xfId="48510"/>
    <cellStyle name="쉼표 [0] 4 4 25 2 2 2 3" xfId="35838"/>
    <cellStyle name="쉼표 [0] 4 4 25 2 2 3" xfId="16822"/>
    <cellStyle name="쉼표 [0] 4 4 25 2 2 3 2" xfId="42174"/>
    <cellStyle name="쉼표 [0] 4 4 25 2 2 4" xfId="29502"/>
    <cellStyle name="쉼표 [0] 4 4 25 2 2 5" xfId="52626"/>
    <cellStyle name="쉼표 [0] 4 4 25 2 3" xfId="7370"/>
    <cellStyle name="쉼표 [0] 4 4 25 2 3 2" xfId="20043"/>
    <cellStyle name="쉼표 [0] 4 4 25 2 3 2 2" xfId="45395"/>
    <cellStyle name="쉼표 [0] 4 4 25 2 3 3" xfId="32723"/>
    <cellStyle name="쉼표 [0] 4 4 25 2 4" xfId="13707"/>
    <cellStyle name="쉼표 [0] 4 4 25 2 4 2" xfId="39059"/>
    <cellStyle name="쉼표 [0] 4 4 25 2 5" xfId="26387"/>
    <cellStyle name="쉼표 [0] 4 4 25 2 6" xfId="52627"/>
    <cellStyle name="쉼표 [0] 4 4 25 3" xfId="4150"/>
    <cellStyle name="쉼표 [0] 4 4 25 3 2" xfId="10486"/>
    <cellStyle name="쉼표 [0] 4 4 25 3 2 2" xfId="23159"/>
    <cellStyle name="쉼표 [0] 4 4 25 3 2 2 2" xfId="48511"/>
    <cellStyle name="쉼표 [0] 4 4 25 3 2 3" xfId="35839"/>
    <cellStyle name="쉼표 [0] 4 4 25 3 3" xfId="16823"/>
    <cellStyle name="쉼표 [0] 4 4 25 3 3 2" xfId="42175"/>
    <cellStyle name="쉼표 [0] 4 4 25 3 4" xfId="29503"/>
    <cellStyle name="쉼표 [0] 4 4 25 3 5" xfId="52628"/>
    <cellStyle name="쉼표 [0] 4 4 25 4" xfId="7369"/>
    <cellStyle name="쉼표 [0] 4 4 25 4 2" xfId="20042"/>
    <cellStyle name="쉼표 [0] 4 4 25 4 2 2" xfId="45394"/>
    <cellStyle name="쉼표 [0] 4 4 25 4 3" xfId="32722"/>
    <cellStyle name="쉼표 [0] 4 4 25 5" xfId="13706"/>
    <cellStyle name="쉼표 [0] 4 4 25 5 2" xfId="39058"/>
    <cellStyle name="쉼표 [0] 4 4 25 6" xfId="26386"/>
    <cellStyle name="쉼표 [0] 4 4 25 7" xfId="52629"/>
    <cellStyle name="쉼표 [0] 4 4 26" xfId="1034"/>
    <cellStyle name="쉼표 [0] 4 4 26 2" xfId="1035"/>
    <cellStyle name="쉼표 [0] 4 4 26 2 2" xfId="4151"/>
    <cellStyle name="쉼표 [0] 4 4 26 2 2 2" xfId="10487"/>
    <cellStyle name="쉼표 [0] 4 4 26 2 2 2 2" xfId="23160"/>
    <cellStyle name="쉼표 [0] 4 4 26 2 2 2 2 2" xfId="48512"/>
    <cellStyle name="쉼표 [0] 4 4 26 2 2 2 3" xfId="35840"/>
    <cellStyle name="쉼표 [0] 4 4 26 2 2 3" xfId="16824"/>
    <cellStyle name="쉼표 [0] 4 4 26 2 2 3 2" xfId="42176"/>
    <cellStyle name="쉼표 [0] 4 4 26 2 2 4" xfId="29504"/>
    <cellStyle name="쉼표 [0] 4 4 26 2 2 5" xfId="52630"/>
    <cellStyle name="쉼표 [0] 4 4 26 2 3" xfId="7372"/>
    <cellStyle name="쉼표 [0] 4 4 26 2 3 2" xfId="20045"/>
    <cellStyle name="쉼표 [0] 4 4 26 2 3 2 2" xfId="45397"/>
    <cellStyle name="쉼표 [0] 4 4 26 2 3 3" xfId="32725"/>
    <cellStyle name="쉼표 [0] 4 4 26 2 4" xfId="13709"/>
    <cellStyle name="쉼표 [0] 4 4 26 2 4 2" xfId="39061"/>
    <cellStyle name="쉼표 [0] 4 4 26 2 5" xfId="26389"/>
    <cellStyle name="쉼표 [0] 4 4 26 2 6" xfId="52631"/>
    <cellStyle name="쉼표 [0] 4 4 26 3" xfId="4152"/>
    <cellStyle name="쉼표 [0] 4 4 26 3 2" xfId="10488"/>
    <cellStyle name="쉼표 [0] 4 4 26 3 2 2" xfId="23161"/>
    <cellStyle name="쉼표 [0] 4 4 26 3 2 2 2" xfId="48513"/>
    <cellStyle name="쉼표 [0] 4 4 26 3 2 3" xfId="35841"/>
    <cellStyle name="쉼표 [0] 4 4 26 3 3" xfId="16825"/>
    <cellStyle name="쉼표 [0] 4 4 26 3 3 2" xfId="42177"/>
    <cellStyle name="쉼표 [0] 4 4 26 3 4" xfId="29505"/>
    <cellStyle name="쉼표 [0] 4 4 26 3 5" xfId="52632"/>
    <cellStyle name="쉼표 [0] 4 4 26 4" xfId="7371"/>
    <cellStyle name="쉼표 [0] 4 4 26 4 2" xfId="20044"/>
    <cellStyle name="쉼표 [0] 4 4 26 4 2 2" xfId="45396"/>
    <cellStyle name="쉼표 [0] 4 4 26 4 3" xfId="32724"/>
    <cellStyle name="쉼표 [0] 4 4 26 5" xfId="13708"/>
    <cellStyle name="쉼표 [0] 4 4 26 5 2" xfId="39060"/>
    <cellStyle name="쉼표 [0] 4 4 26 6" xfId="26388"/>
    <cellStyle name="쉼표 [0] 4 4 26 7" xfId="52633"/>
    <cellStyle name="쉼표 [0] 4 4 27" xfId="1036"/>
    <cellStyle name="쉼표 [0] 4 4 27 2" xfId="1037"/>
    <cellStyle name="쉼표 [0] 4 4 27 2 2" xfId="4153"/>
    <cellStyle name="쉼표 [0] 4 4 27 2 2 2" xfId="10489"/>
    <cellStyle name="쉼표 [0] 4 4 27 2 2 2 2" xfId="23162"/>
    <cellStyle name="쉼표 [0] 4 4 27 2 2 2 2 2" xfId="48514"/>
    <cellStyle name="쉼표 [0] 4 4 27 2 2 2 3" xfId="35842"/>
    <cellStyle name="쉼표 [0] 4 4 27 2 2 3" xfId="16826"/>
    <cellStyle name="쉼표 [0] 4 4 27 2 2 3 2" xfId="42178"/>
    <cellStyle name="쉼표 [0] 4 4 27 2 2 4" xfId="29506"/>
    <cellStyle name="쉼표 [0] 4 4 27 2 2 5" xfId="52634"/>
    <cellStyle name="쉼표 [0] 4 4 27 2 3" xfId="7374"/>
    <cellStyle name="쉼표 [0] 4 4 27 2 3 2" xfId="20047"/>
    <cellStyle name="쉼표 [0] 4 4 27 2 3 2 2" xfId="45399"/>
    <cellStyle name="쉼표 [0] 4 4 27 2 3 3" xfId="32727"/>
    <cellStyle name="쉼표 [0] 4 4 27 2 4" xfId="13711"/>
    <cellStyle name="쉼표 [0] 4 4 27 2 4 2" xfId="39063"/>
    <cellStyle name="쉼표 [0] 4 4 27 2 5" xfId="26391"/>
    <cellStyle name="쉼표 [0] 4 4 27 2 6" xfId="52635"/>
    <cellStyle name="쉼표 [0] 4 4 27 3" xfId="4154"/>
    <cellStyle name="쉼표 [0] 4 4 27 3 2" xfId="10490"/>
    <cellStyle name="쉼표 [0] 4 4 27 3 2 2" xfId="23163"/>
    <cellStyle name="쉼표 [0] 4 4 27 3 2 2 2" xfId="48515"/>
    <cellStyle name="쉼표 [0] 4 4 27 3 2 3" xfId="35843"/>
    <cellStyle name="쉼표 [0] 4 4 27 3 3" xfId="16827"/>
    <cellStyle name="쉼표 [0] 4 4 27 3 3 2" xfId="42179"/>
    <cellStyle name="쉼표 [0] 4 4 27 3 4" xfId="29507"/>
    <cellStyle name="쉼표 [0] 4 4 27 3 5" xfId="52636"/>
    <cellStyle name="쉼표 [0] 4 4 27 4" xfId="7373"/>
    <cellStyle name="쉼표 [0] 4 4 27 4 2" xfId="20046"/>
    <cellStyle name="쉼표 [0] 4 4 27 4 2 2" xfId="45398"/>
    <cellStyle name="쉼표 [0] 4 4 27 4 3" xfId="32726"/>
    <cellStyle name="쉼표 [0] 4 4 27 5" xfId="13710"/>
    <cellStyle name="쉼표 [0] 4 4 27 5 2" xfId="39062"/>
    <cellStyle name="쉼표 [0] 4 4 27 6" xfId="26390"/>
    <cellStyle name="쉼표 [0] 4 4 27 7" xfId="52637"/>
    <cellStyle name="쉼표 [0] 4 4 28" xfId="1038"/>
    <cellStyle name="쉼표 [0] 4 4 28 2" xfId="1039"/>
    <cellStyle name="쉼표 [0] 4 4 28 2 2" xfId="4155"/>
    <cellStyle name="쉼표 [0] 4 4 28 2 2 2" xfId="10491"/>
    <cellStyle name="쉼표 [0] 4 4 28 2 2 2 2" xfId="23164"/>
    <cellStyle name="쉼표 [0] 4 4 28 2 2 2 2 2" xfId="48516"/>
    <cellStyle name="쉼표 [0] 4 4 28 2 2 2 3" xfId="35844"/>
    <cellStyle name="쉼표 [0] 4 4 28 2 2 3" xfId="16828"/>
    <cellStyle name="쉼표 [0] 4 4 28 2 2 3 2" xfId="42180"/>
    <cellStyle name="쉼표 [0] 4 4 28 2 2 4" xfId="29508"/>
    <cellStyle name="쉼표 [0] 4 4 28 2 2 5" xfId="52638"/>
    <cellStyle name="쉼표 [0] 4 4 28 2 3" xfId="7376"/>
    <cellStyle name="쉼표 [0] 4 4 28 2 3 2" xfId="20049"/>
    <cellStyle name="쉼표 [0] 4 4 28 2 3 2 2" xfId="45401"/>
    <cellStyle name="쉼표 [0] 4 4 28 2 3 3" xfId="32729"/>
    <cellStyle name="쉼표 [0] 4 4 28 2 4" xfId="13713"/>
    <cellStyle name="쉼표 [0] 4 4 28 2 4 2" xfId="39065"/>
    <cellStyle name="쉼표 [0] 4 4 28 2 5" xfId="26393"/>
    <cellStyle name="쉼표 [0] 4 4 28 2 6" xfId="52639"/>
    <cellStyle name="쉼표 [0] 4 4 28 3" xfId="4156"/>
    <cellStyle name="쉼표 [0] 4 4 28 3 2" xfId="10492"/>
    <cellStyle name="쉼표 [0] 4 4 28 3 2 2" xfId="23165"/>
    <cellStyle name="쉼표 [0] 4 4 28 3 2 2 2" xfId="48517"/>
    <cellStyle name="쉼표 [0] 4 4 28 3 2 3" xfId="35845"/>
    <cellStyle name="쉼표 [0] 4 4 28 3 3" xfId="16829"/>
    <cellStyle name="쉼표 [0] 4 4 28 3 3 2" xfId="42181"/>
    <cellStyle name="쉼표 [0] 4 4 28 3 4" xfId="29509"/>
    <cellStyle name="쉼표 [0] 4 4 28 3 5" xfId="52640"/>
    <cellStyle name="쉼표 [0] 4 4 28 4" xfId="7375"/>
    <cellStyle name="쉼표 [0] 4 4 28 4 2" xfId="20048"/>
    <cellStyle name="쉼표 [0] 4 4 28 4 2 2" xfId="45400"/>
    <cellStyle name="쉼표 [0] 4 4 28 4 3" xfId="32728"/>
    <cellStyle name="쉼표 [0] 4 4 28 5" xfId="13712"/>
    <cellStyle name="쉼표 [0] 4 4 28 5 2" xfId="39064"/>
    <cellStyle name="쉼표 [0] 4 4 28 6" xfId="26392"/>
    <cellStyle name="쉼표 [0] 4 4 28 7" xfId="52641"/>
    <cellStyle name="쉼표 [0] 4 4 29" xfId="1040"/>
    <cellStyle name="쉼표 [0] 4 4 29 2" xfId="1041"/>
    <cellStyle name="쉼표 [0] 4 4 29 2 2" xfId="4157"/>
    <cellStyle name="쉼표 [0] 4 4 29 2 2 2" xfId="10493"/>
    <cellStyle name="쉼표 [0] 4 4 29 2 2 2 2" xfId="23166"/>
    <cellStyle name="쉼표 [0] 4 4 29 2 2 2 2 2" xfId="48518"/>
    <cellStyle name="쉼표 [0] 4 4 29 2 2 2 3" xfId="35846"/>
    <cellStyle name="쉼표 [0] 4 4 29 2 2 3" xfId="16830"/>
    <cellStyle name="쉼표 [0] 4 4 29 2 2 3 2" xfId="42182"/>
    <cellStyle name="쉼표 [0] 4 4 29 2 2 4" xfId="29510"/>
    <cellStyle name="쉼표 [0] 4 4 29 2 2 5" xfId="52642"/>
    <cellStyle name="쉼표 [0] 4 4 29 2 3" xfId="7378"/>
    <cellStyle name="쉼표 [0] 4 4 29 2 3 2" xfId="20051"/>
    <cellStyle name="쉼표 [0] 4 4 29 2 3 2 2" xfId="45403"/>
    <cellStyle name="쉼표 [0] 4 4 29 2 3 3" xfId="32731"/>
    <cellStyle name="쉼표 [0] 4 4 29 2 4" xfId="13715"/>
    <cellStyle name="쉼표 [0] 4 4 29 2 4 2" xfId="39067"/>
    <cellStyle name="쉼표 [0] 4 4 29 2 5" xfId="26395"/>
    <cellStyle name="쉼표 [0] 4 4 29 2 6" xfId="52643"/>
    <cellStyle name="쉼표 [0] 4 4 29 3" xfId="4158"/>
    <cellStyle name="쉼표 [0] 4 4 29 3 2" xfId="10494"/>
    <cellStyle name="쉼표 [0] 4 4 29 3 2 2" xfId="23167"/>
    <cellStyle name="쉼표 [0] 4 4 29 3 2 2 2" xfId="48519"/>
    <cellStyle name="쉼표 [0] 4 4 29 3 2 3" xfId="35847"/>
    <cellStyle name="쉼표 [0] 4 4 29 3 3" xfId="16831"/>
    <cellStyle name="쉼표 [0] 4 4 29 3 3 2" xfId="42183"/>
    <cellStyle name="쉼표 [0] 4 4 29 3 4" xfId="29511"/>
    <cellStyle name="쉼표 [0] 4 4 29 3 5" xfId="52644"/>
    <cellStyle name="쉼표 [0] 4 4 29 4" xfId="7377"/>
    <cellStyle name="쉼표 [0] 4 4 29 4 2" xfId="20050"/>
    <cellStyle name="쉼표 [0] 4 4 29 4 2 2" xfId="45402"/>
    <cellStyle name="쉼표 [0] 4 4 29 4 3" xfId="32730"/>
    <cellStyle name="쉼표 [0] 4 4 29 5" xfId="13714"/>
    <cellStyle name="쉼표 [0] 4 4 29 5 2" xfId="39066"/>
    <cellStyle name="쉼표 [0] 4 4 29 6" xfId="26394"/>
    <cellStyle name="쉼표 [0] 4 4 29 7" xfId="52645"/>
    <cellStyle name="쉼표 [0] 4 4 3" xfId="70"/>
    <cellStyle name="쉼표 [0] 4 4 3 2" xfId="1042"/>
    <cellStyle name="쉼표 [0] 4 4 3 2 2" xfId="4159"/>
    <cellStyle name="쉼표 [0] 4 4 3 2 2 2" xfId="10495"/>
    <cellStyle name="쉼표 [0] 4 4 3 2 2 2 2" xfId="23168"/>
    <cellStyle name="쉼표 [0] 4 4 3 2 2 2 2 2" xfId="48520"/>
    <cellStyle name="쉼표 [0] 4 4 3 2 2 2 3" xfId="35848"/>
    <cellStyle name="쉼표 [0] 4 4 3 2 2 3" xfId="16832"/>
    <cellStyle name="쉼표 [0] 4 4 3 2 2 3 2" xfId="42184"/>
    <cellStyle name="쉼표 [0] 4 4 3 2 2 4" xfId="29512"/>
    <cellStyle name="쉼표 [0] 4 4 3 2 2 5" xfId="52646"/>
    <cellStyle name="쉼표 [0] 4 4 3 2 3" xfId="7379"/>
    <cellStyle name="쉼표 [0] 4 4 3 2 3 2" xfId="20052"/>
    <cellStyle name="쉼표 [0] 4 4 3 2 3 2 2" xfId="45404"/>
    <cellStyle name="쉼표 [0] 4 4 3 2 3 3" xfId="32732"/>
    <cellStyle name="쉼표 [0] 4 4 3 2 4" xfId="13716"/>
    <cellStyle name="쉼표 [0] 4 4 3 2 4 2" xfId="39068"/>
    <cellStyle name="쉼표 [0] 4 4 3 2 5" xfId="26396"/>
    <cellStyle name="쉼표 [0] 4 4 3 2 6" xfId="52647"/>
    <cellStyle name="쉼표 [0] 4 4 3 3" xfId="4160"/>
    <cellStyle name="쉼표 [0] 4 4 3 3 2" xfId="10496"/>
    <cellStyle name="쉼표 [0] 4 4 3 3 2 2" xfId="23169"/>
    <cellStyle name="쉼표 [0] 4 4 3 3 2 2 2" xfId="48521"/>
    <cellStyle name="쉼표 [0] 4 4 3 3 2 3" xfId="35849"/>
    <cellStyle name="쉼표 [0] 4 4 3 3 3" xfId="16833"/>
    <cellStyle name="쉼표 [0] 4 4 3 3 3 2" xfId="42185"/>
    <cellStyle name="쉼표 [0] 4 4 3 3 4" xfId="29513"/>
    <cellStyle name="쉼표 [0] 4 4 3 3 5" xfId="52648"/>
    <cellStyle name="쉼표 [0] 4 4 3 4" xfId="6408"/>
    <cellStyle name="쉼표 [0] 4 4 3 4 2" xfId="19081"/>
    <cellStyle name="쉼표 [0] 4 4 3 4 2 2" xfId="44433"/>
    <cellStyle name="쉼표 [0] 4 4 3 4 3" xfId="31761"/>
    <cellStyle name="쉼표 [0] 4 4 3 5" xfId="12745"/>
    <cellStyle name="쉼표 [0] 4 4 3 5 2" xfId="38097"/>
    <cellStyle name="쉼표 [0] 4 4 3 6" xfId="25425"/>
    <cellStyle name="쉼표 [0] 4 4 3 7" xfId="52649"/>
    <cellStyle name="쉼표 [0] 4 4 30" xfId="1043"/>
    <cellStyle name="쉼표 [0] 4 4 30 2" xfId="1044"/>
    <cellStyle name="쉼표 [0] 4 4 30 2 2" xfId="4161"/>
    <cellStyle name="쉼표 [0] 4 4 30 2 2 2" xfId="10497"/>
    <cellStyle name="쉼표 [0] 4 4 30 2 2 2 2" xfId="23170"/>
    <cellStyle name="쉼표 [0] 4 4 30 2 2 2 2 2" xfId="48522"/>
    <cellStyle name="쉼표 [0] 4 4 30 2 2 2 3" xfId="35850"/>
    <cellStyle name="쉼표 [0] 4 4 30 2 2 3" xfId="16834"/>
    <cellStyle name="쉼표 [0] 4 4 30 2 2 3 2" xfId="42186"/>
    <cellStyle name="쉼표 [0] 4 4 30 2 2 4" xfId="29514"/>
    <cellStyle name="쉼표 [0] 4 4 30 2 2 5" xfId="52650"/>
    <cellStyle name="쉼표 [0] 4 4 30 2 3" xfId="7381"/>
    <cellStyle name="쉼표 [0] 4 4 30 2 3 2" xfId="20054"/>
    <cellStyle name="쉼표 [0] 4 4 30 2 3 2 2" xfId="45406"/>
    <cellStyle name="쉼표 [0] 4 4 30 2 3 3" xfId="32734"/>
    <cellStyle name="쉼표 [0] 4 4 30 2 4" xfId="13718"/>
    <cellStyle name="쉼표 [0] 4 4 30 2 4 2" xfId="39070"/>
    <cellStyle name="쉼표 [0] 4 4 30 2 5" xfId="26398"/>
    <cellStyle name="쉼표 [0] 4 4 30 2 6" xfId="52651"/>
    <cellStyle name="쉼표 [0] 4 4 30 3" xfId="4162"/>
    <cellStyle name="쉼표 [0] 4 4 30 3 2" xfId="10498"/>
    <cellStyle name="쉼표 [0] 4 4 30 3 2 2" xfId="23171"/>
    <cellStyle name="쉼표 [0] 4 4 30 3 2 2 2" xfId="48523"/>
    <cellStyle name="쉼표 [0] 4 4 30 3 2 3" xfId="35851"/>
    <cellStyle name="쉼표 [0] 4 4 30 3 3" xfId="16835"/>
    <cellStyle name="쉼표 [0] 4 4 30 3 3 2" xfId="42187"/>
    <cellStyle name="쉼표 [0] 4 4 30 3 4" xfId="29515"/>
    <cellStyle name="쉼표 [0] 4 4 30 3 5" xfId="52652"/>
    <cellStyle name="쉼표 [0] 4 4 30 4" xfId="7380"/>
    <cellStyle name="쉼표 [0] 4 4 30 4 2" xfId="20053"/>
    <cellStyle name="쉼표 [0] 4 4 30 4 2 2" xfId="45405"/>
    <cellStyle name="쉼표 [0] 4 4 30 4 3" xfId="32733"/>
    <cellStyle name="쉼표 [0] 4 4 30 5" xfId="13717"/>
    <cellStyle name="쉼표 [0] 4 4 30 5 2" xfId="39069"/>
    <cellStyle name="쉼표 [0] 4 4 30 6" xfId="26397"/>
    <cellStyle name="쉼표 [0] 4 4 30 7" xfId="52653"/>
    <cellStyle name="쉼표 [0] 4 4 31" xfId="1045"/>
    <cellStyle name="쉼표 [0] 4 4 31 2" xfId="1046"/>
    <cellStyle name="쉼표 [0] 4 4 31 2 2" xfId="4163"/>
    <cellStyle name="쉼표 [0] 4 4 31 2 2 2" xfId="10499"/>
    <cellStyle name="쉼표 [0] 4 4 31 2 2 2 2" xfId="23172"/>
    <cellStyle name="쉼표 [0] 4 4 31 2 2 2 2 2" xfId="48524"/>
    <cellStyle name="쉼표 [0] 4 4 31 2 2 2 3" xfId="35852"/>
    <cellStyle name="쉼표 [0] 4 4 31 2 2 3" xfId="16836"/>
    <cellStyle name="쉼표 [0] 4 4 31 2 2 3 2" xfId="42188"/>
    <cellStyle name="쉼표 [0] 4 4 31 2 2 4" xfId="29516"/>
    <cellStyle name="쉼표 [0] 4 4 31 2 2 5" xfId="52654"/>
    <cellStyle name="쉼표 [0] 4 4 31 2 3" xfId="7383"/>
    <cellStyle name="쉼표 [0] 4 4 31 2 3 2" xfId="20056"/>
    <cellStyle name="쉼표 [0] 4 4 31 2 3 2 2" xfId="45408"/>
    <cellStyle name="쉼표 [0] 4 4 31 2 3 3" xfId="32736"/>
    <cellStyle name="쉼표 [0] 4 4 31 2 4" xfId="13720"/>
    <cellStyle name="쉼표 [0] 4 4 31 2 4 2" xfId="39072"/>
    <cellStyle name="쉼표 [0] 4 4 31 2 5" xfId="26400"/>
    <cellStyle name="쉼표 [0] 4 4 31 2 6" xfId="52655"/>
    <cellStyle name="쉼표 [0] 4 4 31 3" xfId="4164"/>
    <cellStyle name="쉼표 [0] 4 4 31 3 2" xfId="10500"/>
    <cellStyle name="쉼표 [0] 4 4 31 3 2 2" xfId="23173"/>
    <cellStyle name="쉼표 [0] 4 4 31 3 2 2 2" xfId="48525"/>
    <cellStyle name="쉼표 [0] 4 4 31 3 2 3" xfId="35853"/>
    <cellStyle name="쉼표 [0] 4 4 31 3 3" xfId="16837"/>
    <cellStyle name="쉼표 [0] 4 4 31 3 3 2" xfId="42189"/>
    <cellStyle name="쉼표 [0] 4 4 31 3 4" xfId="29517"/>
    <cellStyle name="쉼표 [0] 4 4 31 3 5" xfId="52656"/>
    <cellStyle name="쉼표 [0] 4 4 31 4" xfId="7382"/>
    <cellStyle name="쉼표 [0] 4 4 31 4 2" xfId="20055"/>
    <cellStyle name="쉼표 [0] 4 4 31 4 2 2" xfId="45407"/>
    <cellStyle name="쉼표 [0] 4 4 31 4 3" xfId="32735"/>
    <cellStyle name="쉼표 [0] 4 4 31 5" xfId="13719"/>
    <cellStyle name="쉼표 [0] 4 4 31 5 2" xfId="39071"/>
    <cellStyle name="쉼표 [0] 4 4 31 6" xfId="26399"/>
    <cellStyle name="쉼표 [0] 4 4 31 7" xfId="52657"/>
    <cellStyle name="쉼표 [0] 4 4 32" xfId="1047"/>
    <cellStyle name="쉼표 [0] 4 4 32 2" xfId="1048"/>
    <cellStyle name="쉼표 [0] 4 4 32 2 2" xfId="4165"/>
    <cellStyle name="쉼표 [0] 4 4 32 2 2 2" xfId="10501"/>
    <cellStyle name="쉼표 [0] 4 4 32 2 2 2 2" xfId="23174"/>
    <cellStyle name="쉼표 [0] 4 4 32 2 2 2 2 2" xfId="48526"/>
    <cellStyle name="쉼표 [0] 4 4 32 2 2 2 3" xfId="35854"/>
    <cellStyle name="쉼표 [0] 4 4 32 2 2 3" xfId="16838"/>
    <cellStyle name="쉼표 [0] 4 4 32 2 2 3 2" xfId="42190"/>
    <cellStyle name="쉼표 [0] 4 4 32 2 2 4" xfId="29518"/>
    <cellStyle name="쉼표 [0] 4 4 32 2 2 5" xfId="52658"/>
    <cellStyle name="쉼표 [0] 4 4 32 2 3" xfId="7385"/>
    <cellStyle name="쉼표 [0] 4 4 32 2 3 2" xfId="20058"/>
    <cellStyle name="쉼표 [0] 4 4 32 2 3 2 2" xfId="45410"/>
    <cellStyle name="쉼표 [0] 4 4 32 2 3 3" xfId="32738"/>
    <cellStyle name="쉼표 [0] 4 4 32 2 4" xfId="13722"/>
    <cellStyle name="쉼표 [0] 4 4 32 2 4 2" xfId="39074"/>
    <cellStyle name="쉼표 [0] 4 4 32 2 5" xfId="26402"/>
    <cellStyle name="쉼표 [0] 4 4 32 2 6" xfId="52659"/>
    <cellStyle name="쉼표 [0] 4 4 32 3" xfId="4166"/>
    <cellStyle name="쉼표 [0] 4 4 32 3 2" xfId="10502"/>
    <cellStyle name="쉼표 [0] 4 4 32 3 2 2" xfId="23175"/>
    <cellStyle name="쉼표 [0] 4 4 32 3 2 2 2" xfId="48527"/>
    <cellStyle name="쉼표 [0] 4 4 32 3 2 3" xfId="35855"/>
    <cellStyle name="쉼표 [0] 4 4 32 3 3" xfId="16839"/>
    <cellStyle name="쉼표 [0] 4 4 32 3 3 2" xfId="42191"/>
    <cellStyle name="쉼표 [0] 4 4 32 3 4" xfId="29519"/>
    <cellStyle name="쉼표 [0] 4 4 32 3 5" xfId="52660"/>
    <cellStyle name="쉼표 [0] 4 4 32 4" xfId="7384"/>
    <cellStyle name="쉼표 [0] 4 4 32 4 2" xfId="20057"/>
    <cellStyle name="쉼표 [0] 4 4 32 4 2 2" xfId="45409"/>
    <cellStyle name="쉼표 [0] 4 4 32 4 3" xfId="32737"/>
    <cellStyle name="쉼표 [0] 4 4 32 5" xfId="13721"/>
    <cellStyle name="쉼표 [0] 4 4 32 5 2" xfId="39073"/>
    <cellStyle name="쉼표 [0] 4 4 32 6" xfId="26401"/>
    <cellStyle name="쉼표 [0] 4 4 32 7" xfId="52661"/>
    <cellStyle name="쉼표 [0] 4 4 33" xfId="1049"/>
    <cellStyle name="쉼표 [0] 4 4 33 2" xfId="1050"/>
    <cellStyle name="쉼표 [0] 4 4 33 2 2" xfId="4167"/>
    <cellStyle name="쉼표 [0] 4 4 33 2 2 2" xfId="10503"/>
    <cellStyle name="쉼표 [0] 4 4 33 2 2 2 2" xfId="23176"/>
    <cellStyle name="쉼표 [0] 4 4 33 2 2 2 2 2" xfId="48528"/>
    <cellStyle name="쉼표 [0] 4 4 33 2 2 2 3" xfId="35856"/>
    <cellStyle name="쉼표 [0] 4 4 33 2 2 3" xfId="16840"/>
    <cellStyle name="쉼표 [0] 4 4 33 2 2 3 2" xfId="42192"/>
    <cellStyle name="쉼표 [0] 4 4 33 2 2 4" xfId="29520"/>
    <cellStyle name="쉼표 [0] 4 4 33 2 2 5" xfId="52662"/>
    <cellStyle name="쉼표 [0] 4 4 33 2 3" xfId="7387"/>
    <cellStyle name="쉼표 [0] 4 4 33 2 3 2" xfId="20060"/>
    <cellStyle name="쉼표 [0] 4 4 33 2 3 2 2" xfId="45412"/>
    <cellStyle name="쉼표 [0] 4 4 33 2 3 3" xfId="32740"/>
    <cellStyle name="쉼표 [0] 4 4 33 2 4" xfId="13724"/>
    <cellStyle name="쉼표 [0] 4 4 33 2 4 2" xfId="39076"/>
    <cellStyle name="쉼표 [0] 4 4 33 2 5" xfId="26404"/>
    <cellStyle name="쉼표 [0] 4 4 33 2 6" xfId="52663"/>
    <cellStyle name="쉼표 [0] 4 4 33 3" xfId="4168"/>
    <cellStyle name="쉼표 [0] 4 4 33 3 2" xfId="10504"/>
    <cellStyle name="쉼표 [0] 4 4 33 3 2 2" xfId="23177"/>
    <cellStyle name="쉼표 [0] 4 4 33 3 2 2 2" xfId="48529"/>
    <cellStyle name="쉼표 [0] 4 4 33 3 2 3" xfId="35857"/>
    <cellStyle name="쉼표 [0] 4 4 33 3 3" xfId="16841"/>
    <cellStyle name="쉼표 [0] 4 4 33 3 3 2" xfId="42193"/>
    <cellStyle name="쉼표 [0] 4 4 33 3 4" xfId="29521"/>
    <cellStyle name="쉼표 [0] 4 4 33 3 5" xfId="52664"/>
    <cellStyle name="쉼표 [0] 4 4 33 4" xfId="7386"/>
    <cellStyle name="쉼표 [0] 4 4 33 4 2" xfId="20059"/>
    <cellStyle name="쉼표 [0] 4 4 33 4 2 2" xfId="45411"/>
    <cellStyle name="쉼표 [0] 4 4 33 4 3" xfId="32739"/>
    <cellStyle name="쉼표 [0] 4 4 33 5" xfId="13723"/>
    <cellStyle name="쉼표 [0] 4 4 33 5 2" xfId="39075"/>
    <cellStyle name="쉼표 [0] 4 4 33 6" xfId="26403"/>
    <cellStyle name="쉼표 [0] 4 4 33 7" xfId="52665"/>
    <cellStyle name="쉼표 [0] 4 4 34" xfId="1051"/>
    <cellStyle name="쉼표 [0] 4 4 34 2" xfId="1052"/>
    <cellStyle name="쉼표 [0] 4 4 34 2 2" xfId="4169"/>
    <cellStyle name="쉼표 [0] 4 4 34 2 2 2" xfId="10505"/>
    <cellStyle name="쉼표 [0] 4 4 34 2 2 2 2" xfId="23178"/>
    <cellStyle name="쉼표 [0] 4 4 34 2 2 2 2 2" xfId="48530"/>
    <cellStyle name="쉼표 [0] 4 4 34 2 2 2 3" xfId="35858"/>
    <cellStyle name="쉼표 [0] 4 4 34 2 2 3" xfId="16842"/>
    <cellStyle name="쉼표 [0] 4 4 34 2 2 3 2" xfId="42194"/>
    <cellStyle name="쉼표 [0] 4 4 34 2 2 4" xfId="29522"/>
    <cellStyle name="쉼표 [0] 4 4 34 2 2 5" xfId="52666"/>
    <cellStyle name="쉼표 [0] 4 4 34 2 3" xfId="7389"/>
    <cellStyle name="쉼표 [0] 4 4 34 2 3 2" xfId="20062"/>
    <cellStyle name="쉼표 [0] 4 4 34 2 3 2 2" xfId="45414"/>
    <cellStyle name="쉼표 [0] 4 4 34 2 3 3" xfId="32742"/>
    <cellStyle name="쉼표 [0] 4 4 34 2 4" xfId="13726"/>
    <cellStyle name="쉼표 [0] 4 4 34 2 4 2" xfId="39078"/>
    <cellStyle name="쉼표 [0] 4 4 34 2 5" xfId="26406"/>
    <cellStyle name="쉼표 [0] 4 4 34 2 6" xfId="52667"/>
    <cellStyle name="쉼표 [0] 4 4 34 3" xfId="4170"/>
    <cellStyle name="쉼표 [0] 4 4 34 3 2" xfId="10506"/>
    <cellStyle name="쉼표 [0] 4 4 34 3 2 2" xfId="23179"/>
    <cellStyle name="쉼표 [0] 4 4 34 3 2 2 2" xfId="48531"/>
    <cellStyle name="쉼표 [0] 4 4 34 3 2 3" xfId="35859"/>
    <cellStyle name="쉼표 [0] 4 4 34 3 3" xfId="16843"/>
    <cellStyle name="쉼표 [0] 4 4 34 3 3 2" xfId="42195"/>
    <cellStyle name="쉼표 [0] 4 4 34 3 4" xfId="29523"/>
    <cellStyle name="쉼표 [0] 4 4 34 3 5" xfId="52668"/>
    <cellStyle name="쉼표 [0] 4 4 34 4" xfId="7388"/>
    <cellStyle name="쉼표 [0] 4 4 34 4 2" xfId="20061"/>
    <cellStyle name="쉼표 [0] 4 4 34 4 2 2" xfId="45413"/>
    <cellStyle name="쉼표 [0] 4 4 34 4 3" xfId="32741"/>
    <cellStyle name="쉼표 [0] 4 4 34 5" xfId="13725"/>
    <cellStyle name="쉼표 [0] 4 4 34 5 2" xfId="39077"/>
    <cellStyle name="쉼표 [0] 4 4 34 6" xfId="26405"/>
    <cellStyle name="쉼표 [0] 4 4 34 7" xfId="52669"/>
    <cellStyle name="쉼표 [0] 4 4 35" xfId="1053"/>
    <cellStyle name="쉼표 [0] 4 4 35 2" xfId="4171"/>
    <cellStyle name="쉼표 [0] 4 4 35 2 2" xfId="10507"/>
    <cellStyle name="쉼표 [0] 4 4 35 2 2 2" xfId="23180"/>
    <cellStyle name="쉼표 [0] 4 4 35 2 2 2 2" xfId="48532"/>
    <cellStyle name="쉼표 [0] 4 4 35 2 2 3" xfId="35860"/>
    <cellStyle name="쉼표 [0] 4 4 35 2 3" xfId="16844"/>
    <cellStyle name="쉼표 [0] 4 4 35 2 3 2" xfId="42196"/>
    <cellStyle name="쉼표 [0] 4 4 35 2 4" xfId="29524"/>
    <cellStyle name="쉼표 [0] 4 4 35 2 5" xfId="52670"/>
    <cellStyle name="쉼표 [0] 4 4 35 3" xfId="7390"/>
    <cellStyle name="쉼표 [0] 4 4 35 3 2" xfId="20063"/>
    <cellStyle name="쉼표 [0] 4 4 35 3 2 2" xfId="45415"/>
    <cellStyle name="쉼표 [0] 4 4 35 3 3" xfId="32743"/>
    <cellStyle name="쉼표 [0] 4 4 35 4" xfId="13727"/>
    <cellStyle name="쉼표 [0] 4 4 35 4 2" xfId="39079"/>
    <cellStyle name="쉼표 [0] 4 4 35 5" xfId="26407"/>
    <cellStyle name="쉼표 [0] 4 4 35 6" xfId="52671"/>
    <cellStyle name="쉼표 [0] 4 4 36" xfId="4172"/>
    <cellStyle name="쉼표 [0] 4 4 36 2" xfId="10508"/>
    <cellStyle name="쉼표 [0] 4 4 36 2 2" xfId="23181"/>
    <cellStyle name="쉼표 [0] 4 4 36 2 2 2" xfId="48533"/>
    <cellStyle name="쉼표 [0] 4 4 36 2 3" xfId="35861"/>
    <cellStyle name="쉼표 [0] 4 4 36 3" xfId="16845"/>
    <cellStyle name="쉼표 [0] 4 4 36 3 2" xfId="42197"/>
    <cellStyle name="쉼표 [0] 4 4 36 4" xfId="29525"/>
    <cellStyle name="쉼표 [0] 4 4 36 5" xfId="52672"/>
    <cellStyle name="쉼표 [0] 4 4 37" xfId="6385"/>
    <cellStyle name="쉼표 [0] 4 4 37 2" xfId="19058"/>
    <cellStyle name="쉼표 [0] 4 4 37 2 2" xfId="44410"/>
    <cellStyle name="쉼표 [0] 4 4 37 3" xfId="31738"/>
    <cellStyle name="쉼표 [0] 4 4 38" xfId="12722"/>
    <cellStyle name="쉼표 [0] 4 4 38 2" xfId="38074"/>
    <cellStyle name="쉼표 [0] 4 4 39" xfId="25402"/>
    <cellStyle name="쉼표 [0] 4 4 4" xfId="1054"/>
    <cellStyle name="쉼표 [0] 4 4 4 2" xfId="1055"/>
    <cellStyle name="쉼표 [0] 4 4 4 2 2" xfId="4173"/>
    <cellStyle name="쉼표 [0] 4 4 4 2 2 2" xfId="10509"/>
    <cellStyle name="쉼표 [0] 4 4 4 2 2 2 2" xfId="23182"/>
    <cellStyle name="쉼표 [0] 4 4 4 2 2 2 2 2" xfId="48534"/>
    <cellStyle name="쉼표 [0] 4 4 4 2 2 2 3" xfId="35862"/>
    <cellStyle name="쉼표 [0] 4 4 4 2 2 3" xfId="16846"/>
    <cellStyle name="쉼표 [0] 4 4 4 2 2 3 2" xfId="42198"/>
    <cellStyle name="쉼표 [0] 4 4 4 2 2 4" xfId="29526"/>
    <cellStyle name="쉼표 [0] 4 4 4 2 2 5" xfId="52673"/>
    <cellStyle name="쉼표 [0] 4 4 4 2 3" xfId="7392"/>
    <cellStyle name="쉼표 [0] 4 4 4 2 3 2" xfId="20065"/>
    <cellStyle name="쉼표 [0] 4 4 4 2 3 2 2" xfId="45417"/>
    <cellStyle name="쉼표 [0] 4 4 4 2 3 3" xfId="32745"/>
    <cellStyle name="쉼표 [0] 4 4 4 2 4" xfId="13729"/>
    <cellStyle name="쉼표 [0] 4 4 4 2 4 2" xfId="39081"/>
    <cellStyle name="쉼표 [0] 4 4 4 2 5" xfId="26409"/>
    <cellStyle name="쉼표 [0] 4 4 4 2 6" xfId="52674"/>
    <cellStyle name="쉼표 [0] 4 4 4 3" xfId="4174"/>
    <cellStyle name="쉼표 [0] 4 4 4 3 2" xfId="10510"/>
    <cellStyle name="쉼표 [0] 4 4 4 3 2 2" xfId="23183"/>
    <cellStyle name="쉼표 [0] 4 4 4 3 2 2 2" xfId="48535"/>
    <cellStyle name="쉼표 [0] 4 4 4 3 2 3" xfId="35863"/>
    <cellStyle name="쉼표 [0] 4 4 4 3 3" xfId="16847"/>
    <cellStyle name="쉼표 [0] 4 4 4 3 3 2" xfId="42199"/>
    <cellStyle name="쉼표 [0] 4 4 4 3 4" xfId="29527"/>
    <cellStyle name="쉼표 [0] 4 4 4 3 5" xfId="52675"/>
    <cellStyle name="쉼표 [0] 4 4 4 4" xfId="7391"/>
    <cellStyle name="쉼표 [0] 4 4 4 4 2" xfId="20064"/>
    <cellStyle name="쉼표 [0] 4 4 4 4 2 2" xfId="45416"/>
    <cellStyle name="쉼표 [0] 4 4 4 4 3" xfId="32744"/>
    <cellStyle name="쉼표 [0] 4 4 4 5" xfId="13728"/>
    <cellStyle name="쉼표 [0] 4 4 4 5 2" xfId="39080"/>
    <cellStyle name="쉼표 [0] 4 4 4 6" xfId="26408"/>
    <cellStyle name="쉼표 [0] 4 4 4 7" xfId="52676"/>
    <cellStyle name="쉼표 [0] 4 4 40" xfId="52677"/>
    <cellStyle name="쉼표 [0] 4 4 5" xfId="1056"/>
    <cellStyle name="쉼표 [0] 4 4 5 2" xfId="1057"/>
    <cellStyle name="쉼표 [0] 4 4 5 2 2" xfId="4175"/>
    <cellStyle name="쉼표 [0] 4 4 5 2 2 2" xfId="10511"/>
    <cellStyle name="쉼표 [0] 4 4 5 2 2 2 2" xfId="23184"/>
    <cellStyle name="쉼표 [0] 4 4 5 2 2 2 2 2" xfId="48536"/>
    <cellStyle name="쉼표 [0] 4 4 5 2 2 2 3" xfId="35864"/>
    <cellStyle name="쉼표 [0] 4 4 5 2 2 3" xfId="16848"/>
    <cellStyle name="쉼표 [0] 4 4 5 2 2 3 2" xfId="42200"/>
    <cellStyle name="쉼표 [0] 4 4 5 2 2 4" xfId="29528"/>
    <cellStyle name="쉼표 [0] 4 4 5 2 2 5" xfId="52678"/>
    <cellStyle name="쉼표 [0] 4 4 5 2 3" xfId="7394"/>
    <cellStyle name="쉼표 [0] 4 4 5 2 3 2" xfId="20067"/>
    <cellStyle name="쉼표 [0] 4 4 5 2 3 2 2" xfId="45419"/>
    <cellStyle name="쉼표 [0] 4 4 5 2 3 3" xfId="32747"/>
    <cellStyle name="쉼표 [0] 4 4 5 2 4" xfId="13731"/>
    <cellStyle name="쉼표 [0] 4 4 5 2 4 2" xfId="39083"/>
    <cellStyle name="쉼표 [0] 4 4 5 2 5" xfId="26411"/>
    <cellStyle name="쉼표 [0] 4 4 5 2 6" xfId="52679"/>
    <cellStyle name="쉼표 [0] 4 4 5 3" xfId="4176"/>
    <cellStyle name="쉼표 [0] 4 4 5 3 2" xfId="10512"/>
    <cellStyle name="쉼표 [0] 4 4 5 3 2 2" xfId="23185"/>
    <cellStyle name="쉼표 [0] 4 4 5 3 2 2 2" xfId="48537"/>
    <cellStyle name="쉼표 [0] 4 4 5 3 2 3" xfId="35865"/>
    <cellStyle name="쉼표 [0] 4 4 5 3 3" xfId="16849"/>
    <cellStyle name="쉼표 [0] 4 4 5 3 3 2" xfId="42201"/>
    <cellStyle name="쉼표 [0] 4 4 5 3 4" xfId="29529"/>
    <cellStyle name="쉼표 [0] 4 4 5 3 5" xfId="52680"/>
    <cellStyle name="쉼표 [0] 4 4 5 4" xfId="7393"/>
    <cellStyle name="쉼표 [0] 4 4 5 4 2" xfId="20066"/>
    <cellStyle name="쉼표 [0] 4 4 5 4 2 2" xfId="45418"/>
    <cellStyle name="쉼표 [0] 4 4 5 4 3" xfId="32746"/>
    <cellStyle name="쉼표 [0] 4 4 5 5" xfId="13730"/>
    <cellStyle name="쉼표 [0] 4 4 5 5 2" xfId="39082"/>
    <cellStyle name="쉼표 [0] 4 4 5 6" xfId="26410"/>
    <cellStyle name="쉼표 [0] 4 4 5 7" xfId="52681"/>
    <cellStyle name="쉼표 [0] 4 4 6" xfId="1058"/>
    <cellStyle name="쉼표 [0] 4 4 6 2" xfId="1059"/>
    <cellStyle name="쉼표 [0] 4 4 6 2 2" xfId="4177"/>
    <cellStyle name="쉼표 [0] 4 4 6 2 2 2" xfId="10513"/>
    <cellStyle name="쉼표 [0] 4 4 6 2 2 2 2" xfId="23186"/>
    <cellStyle name="쉼표 [0] 4 4 6 2 2 2 2 2" xfId="48538"/>
    <cellStyle name="쉼표 [0] 4 4 6 2 2 2 3" xfId="35866"/>
    <cellStyle name="쉼표 [0] 4 4 6 2 2 3" xfId="16850"/>
    <cellStyle name="쉼표 [0] 4 4 6 2 2 3 2" xfId="42202"/>
    <cellStyle name="쉼표 [0] 4 4 6 2 2 4" xfId="29530"/>
    <cellStyle name="쉼표 [0] 4 4 6 2 2 5" xfId="52682"/>
    <cellStyle name="쉼표 [0] 4 4 6 2 3" xfId="7396"/>
    <cellStyle name="쉼표 [0] 4 4 6 2 3 2" xfId="20069"/>
    <cellStyle name="쉼표 [0] 4 4 6 2 3 2 2" xfId="45421"/>
    <cellStyle name="쉼표 [0] 4 4 6 2 3 3" xfId="32749"/>
    <cellStyle name="쉼표 [0] 4 4 6 2 4" xfId="13733"/>
    <cellStyle name="쉼표 [0] 4 4 6 2 4 2" xfId="39085"/>
    <cellStyle name="쉼표 [0] 4 4 6 2 5" xfId="26413"/>
    <cellStyle name="쉼표 [0] 4 4 6 2 6" xfId="52683"/>
    <cellStyle name="쉼표 [0] 4 4 6 3" xfId="4178"/>
    <cellStyle name="쉼표 [0] 4 4 6 3 2" xfId="10514"/>
    <cellStyle name="쉼표 [0] 4 4 6 3 2 2" xfId="23187"/>
    <cellStyle name="쉼표 [0] 4 4 6 3 2 2 2" xfId="48539"/>
    <cellStyle name="쉼표 [0] 4 4 6 3 2 3" xfId="35867"/>
    <cellStyle name="쉼표 [0] 4 4 6 3 3" xfId="16851"/>
    <cellStyle name="쉼표 [0] 4 4 6 3 3 2" xfId="42203"/>
    <cellStyle name="쉼표 [0] 4 4 6 3 4" xfId="29531"/>
    <cellStyle name="쉼표 [0] 4 4 6 3 5" xfId="52684"/>
    <cellStyle name="쉼표 [0] 4 4 6 4" xfId="7395"/>
    <cellStyle name="쉼표 [0] 4 4 6 4 2" xfId="20068"/>
    <cellStyle name="쉼표 [0] 4 4 6 4 2 2" xfId="45420"/>
    <cellStyle name="쉼표 [0] 4 4 6 4 3" xfId="32748"/>
    <cellStyle name="쉼표 [0] 4 4 6 5" xfId="13732"/>
    <cellStyle name="쉼표 [0] 4 4 6 5 2" xfId="39084"/>
    <cellStyle name="쉼표 [0] 4 4 6 6" xfId="26412"/>
    <cellStyle name="쉼표 [0] 4 4 6 7" xfId="52685"/>
    <cellStyle name="쉼표 [0] 4 4 7" xfId="1060"/>
    <cellStyle name="쉼표 [0] 4 4 7 2" xfId="1061"/>
    <cellStyle name="쉼표 [0] 4 4 7 2 2" xfId="4179"/>
    <cellStyle name="쉼표 [0] 4 4 7 2 2 2" xfId="10515"/>
    <cellStyle name="쉼표 [0] 4 4 7 2 2 2 2" xfId="23188"/>
    <cellStyle name="쉼표 [0] 4 4 7 2 2 2 2 2" xfId="48540"/>
    <cellStyle name="쉼표 [0] 4 4 7 2 2 2 3" xfId="35868"/>
    <cellStyle name="쉼표 [0] 4 4 7 2 2 3" xfId="16852"/>
    <cellStyle name="쉼표 [0] 4 4 7 2 2 3 2" xfId="42204"/>
    <cellStyle name="쉼표 [0] 4 4 7 2 2 4" xfId="29532"/>
    <cellStyle name="쉼표 [0] 4 4 7 2 2 5" xfId="52686"/>
    <cellStyle name="쉼표 [0] 4 4 7 2 3" xfId="7398"/>
    <cellStyle name="쉼표 [0] 4 4 7 2 3 2" xfId="20071"/>
    <cellStyle name="쉼표 [0] 4 4 7 2 3 2 2" xfId="45423"/>
    <cellStyle name="쉼표 [0] 4 4 7 2 3 3" xfId="32751"/>
    <cellStyle name="쉼표 [0] 4 4 7 2 4" xfId="13735"/>
    <cellStyle name="쉼표 [0] 4 4 7 2 4 2" xfId="39087"/>
    <cellStyle name="쉼표 [0] 4 4 7 2 5" xfId="26415"/>
    <cellStyle name="쉼표 [0] 4 4 7 2 6" xfId="52687"/>
    <cellStyle name="쉼표 [0] 4 4 7 3" xfId="4180"/>
    <cellStyle name="쉼표 [0] 4 4 7 3 2" xfId="10516"/>
    <cellStyle name="쉼표 [0] 4 4 7 3 2 2" xfId="23189"/>
    <cellStyle name="쉼표 [0] 4 4 7 3 2 2 2" xfId="48541"/>
    <cellStyle name="쉼표 [0] 4 4 7 3 2 3" xfId="35869"/>
    <cellStyle name="쉼표 [0] 4 4 7 3 3" xfId="16853"/>
    <cellStyle name="쉼표 [0] 4 4 7 3 3 2" xfId="42205"/>
    <cellStyle name="쉼표 [0] 4 4 7 3 4" xfId="29533"/>
    <cellStyle name="쉼표 [0] 4 4 7 3 5" xfId="52688"/>
    <cellStyle name="쉼표 [0] 4 4 7 4" xfId="7397"/>
    <cellStyle name="쉼표 [0] 4 4 7 4 2" xfId="20070"/>
    <cellStyle name="쉼표 [0] 4 4 7 4 2 2" xfId="45422"/>
    <cellStyle name="쉼표 [0] 4 4 7 4 3" xfId="32750"/>
    <cellStyle name="쉼표 [0] 4 4 7 5" xfId="13734"/>
    <cellStyle name="쉼표 [0] 4 4 7 5 2" xfId="39086"/>
    <cellStyle name="쉼표 [0] 4 4 7 6" xfId="26414"/>
    <cellStyle name="쉼표 [0] 4 4 7 7" xfId="52689"/>
    <cellStyle name="쉼표 [0] 4 4 8" xfId="1062"/>
    <cellStyle name="쉼표 [0] 4 4 8 2" xfId="1063"/>
    <cellStyle name="쉼표 [0] 4 4 8 2 2" xfId="4181"/>
    <cellStyle name="쉼표 [0] 4 4 8 2 2 2" xfId="10517"/>
    <cellStyle name="쉼표 [0] 4 4 8 2 2 2 2" xfId="23190"/>
    <cellStyle name="쉼표 [0] 4 4 8 2 2 2 2 2" xfId="48542"/>
    <cellStyle name="쉼표 [0] 4 4 8 2 2 2 3" xfId="35870"/>
    <cellStyle name="쉼표 [0] 4 4 8 2 2 3" xfId="16854"/>
    <cellStyle name="쉼표 [0] 4 4 8 2 2 3 2" xfId="42206"/>
    <cellStyle name="쉼표 [0] 4 4 8 2 2 4" xfId="29534"/>
    <cellStyle name="쉼표 [0] 4 4 8 2 2 5" xfId="52690"/>
    <cellStyle name="쉼표 [0] 4 4 8 2 3" xfId="7400"/>
    <cellStyle name="쉼표 [0] 4 4 8 2 3 2" xfId="20073"/>
    <cellStyle name="쉼표 [0] 4 4 8 2 3 2 2" xfId="45425"/>
    <cellStyle name="쉼표 [0] 4 4 8 2 3 3" xfId="32753"/>
    <cellStyle name="쉼표 [0] 4 4 8 2 4" xfId="13737"/>
    <cellStyle name="쉼표 [0] 4 4 8 2 4 2" xfId="39089"/>
    <cellStyle name="쉼표 [0] 4 4 8 2 5" xfId="26417"/>
    <cellStyle name="쉼표 [0] 4 4 8 2 6" xfId="52691"/>
    <cellStyle name="쉼표 [0] 4 4 8 3" xfId="4182"/>
    <cellStyle name="쉼표 [0] 4 4 8 3 2" xfId="10518"/>
    <cellStyle name="쉼표 [0] 4 4 8 3 2 2" xfId="23191"/>
    <cellStyle name="쉼표 [0] 4 4 8 3 2 2 2" xfId="48543"/>
    <cellStyle name="쉼표 [0] 4 4 8 3 2 3" xfId="35871"/>
    <cellStyle name="쉼표 [0] 4 4 8 3 3" xfId="16855"/>
    <cellStyle name="쉼표 [0] 4 4 8 3 3 2" xfId="42207"/>
    <cellStyle name="쉼표 [0] 4 4 8 3 4" xfId="29535"/>
    <cellStyle name="쉼표 [0] 4 4 8 3 5" xfId="52692"/>
    <cellStyle name="쉼표 [0] 4 4 8 4" xfId="7399"/>
    <cellStyle name="쉼표 [0] 4 4 8 4 2" xfId="20072"/>
    <cellStyle name="쉼표 [0] 4 4 8 4 2 2" xfId="45424"/>
    <cellStyle name="쉼표 [0] 4 4 8 4 3" xfId="32752"/>
    <cellStyle name="쉼표 [0] 4 4 8 5" xfId="13736"/>
    <cellStyle name="쉼표 [0] 4 4 8 5 2" xfId="39088"/>
    <cellStyle name="쉼표 [0] 4 4 8 6" xfId="26416"/>
    <cellStyle name="쉼표 [0] 4 4 8 7" xfId="52693"/>
    <cellStyle name="쉼표 [0] 4 4 9" xfId="1064"/>
    <cellStyle name="쉼표 [0] 4 4 9 2" xfId="1065"/>
    <cellStyle name="쉼표 [0] 4 4 9 2 2" xfId="4183"/>
    <cellStyle name="쉼표 [0] 4 4 9 2 2 2" xfId="10519"/>
    <cellStyle name="쉼표 [0] 4 4 9 2 2 2 2" xfId="23192"/>
    <cellStyle name="쉼표 [0] 4 4 9 2 2 2 2 2" xfId="48544"/>
    <cellStyle name="쉼표 [0] 4 4 9 2 2 2 3" xfId="35872"/>
    <cellStyle name="쉼표 [0] 4 4 9 2 2 3" xfId="16856"/>
    <cellStyle name="쉼표 [0] 4 4 9 2 2 3 2" xfId="42208"/>
    <cellStyle name="쉼표 [0] 4 4 9 2 2 4" xfId="29536"/>
    <cellStyle name="쉼표 [0] 4 4 9 2 2 5" xfId="52694"/>
    <cellStyle name="쉼표 [0] 4 4 9 2 3" xfId="7402"/>
    <cellStyle name="쉼표 [0] 4 4 9 2 3 2" xfId="20075"/>
    <cellStyle name="쉼표 [0] 4 4 9 2 3 2 2" xfId="45427"/>
    <cellStyle name="쉼표 [0] 4 4 9 2 3 3" xfId="32755"/>
    <cellStyle name="쉼표 [0] 4 4 9 2 4" xfId="13739"/>
    <cellStyle name="쉼표 [0] 4 4 9 2 4 2" xfId="39091"/>
    <cellStyle name="쉼표 [0] 4 4 9 2 5" xfId="26419"/>
    <cellStyle name="쉼표 [0] 4 4 9 2 6" xfId="52695"/>
    <cellStyle name="쉼표 [0] 4 4 9 3" xfId="4184"/>
    <cellStyle name="쉼표 [0] 4 4 9 3 2" xfId="10520"/>
    <cellStyle name="쉼표 [0] 4 4 9 3 2 2" xfId="23193"/>
    <cellStyle name="쉼표 [0] 4 4 9 3 2 2 2" xfId="48545"/>
    <cellStyle name="쉼표 [0] 4 4 9 3 2 3" xfId="35873"/>
    <cellStyle name="쉼표 [0] 4 4 9 3 3" xfId="16857"/>
    <cellStyle name="쉼표 [0] 4 4 9 3 3 2" xfId="42209"/>
    <cellStyle name="쉼표 [0] 4 4 9 3 4" xfId="29537"/>
    <cellStyle name="쉼표 [0] 4 4 9 3 5" xfId="52696"/>
    <cellStyle name="쉼표 [0] 4 4 9 4" xfId="7401"/>
    <cellStyle name="쉼표 [0] 4 4 9 4 2" xfId="20074"/>
    <cellStyle name="쉼표 [0] 4 4 9 4 2 2" xfId="45426"/>
    <cellStyle name="쉼표 [0] 4 4 9 4 3" xfId="32754"/>
    <cellStyle name="쉼표 [0] 4 4 9 5" xfId="13738"/>
    <cellStyle name="쉼표 [0] 4 4 9 5 2" xfId="39090"/>
    <cellStyle name="쉼표 [0] 4 4 9 6" xfId="26418"/>
    <cellStyle name="쉼표 [0] 4 4 9 7" xfId="52697"/>
    <cellStyle name="쉼표 [0] 4 40" xfId="6373"/>
    <cellStyle name="쉼표 [0] 4 40 2" xfId="19046"/>
    <cellStyle name="쉼표 [0] 4 40 2 2" xfId="44398"/>
    <cellStyle name="쉼표 [0] 4 40 3" xfId="31726"/>
    <cellStyle name="쉼표 [0] 4 41" xfId="12710"/>
    <cellStyle name="쉼표 [0] 4 41 2" xfId="38062"/>
    <cellStyle name="쉼표 [0] 4 42" xfId="25390"/>
    <cellStyle name="쉼표 [0] 4 43" xfId="52698"/>
    <cellStyle name="쉼표 [0] 4 5" xfId="71"/>
    <cellStyle name="쉼표 [0] 4 5 10" xfId="1066"/>
    <cellStyle name="쉼표 [0] 4 5 10 2" xfId="1067"/>
    <cellStyle name="쉼표 [0] 4 5 10 2 2" xfId="4185"/>
    <cellStyle name="쉼표 [0] 4 5 10 2 2 2" xfId="10521"/>
    <cellStyle name="쉼표 [0] 4 5 10 2 2 2 2" xfId="23194"/>
    <cellStyle name="쉼표 [0] 4 5 10 2 2 2 2 2" xfId="48546"/>
    <cellStyle name="쉼표 [0] 4 5 10 2 2 2 3" xfId="35874"/>
    <cellStyle name="쉼표 [0] 4 5 10 2 2 3" xfId="16858"/>
    <cellStyle name="쉼표 [0] 4 5 10 2 2 3 2" xfId="42210"/>
    <cellStyle name="쉼표 [0] 4 5 10 2 2 4" xfId="29538"/>
    <cellStyle name="쉼표 [0] 4 5 10 2 2 5" xfId="52699"/>
    <cellStyle name="쉼표 [0] 4 5 10 2 3" xfId="7404"/>
    <cellStyle name="쉼표 [0] 4 5 10 2 3 2" xfId="20077"/>
    <cellStyle name="쉼표 [0] 4 5 10 2 3 2 2" xfId="45429"/>
    <cellStyle name="쉼표 [0] 4 5 10 2 3 3" xfId="32757"/>
    <cellStyle name="쉼표 [0] 4 5 10 2 4" xfId="13741"/>
    <cellStyle name="쉼표 [0] 4 5 10 2 4 2" xfId="39093"/>
    <cellStyle name="쉼표 [0] 4 5 10 2 5" xfId="26421"/>
    <cellStyle name="쉼표 [0] 4 5 10 2 6" xfId="52700"/>
    <cellStyle name="쉼표 [0] 4 5 10 3" xfId="4186"/>
    <cellStyle name="쉼표 [0] 4 5 10 3 2" xfId="10522"/>
    <cellStyle name="쉼표 [0] 4 5 10 3 2 2" xfId="23195"/>
    <cellStyle name="쉼표 [0] 4 5 10 3 2 2 2" xfId="48547"/>
    <cellStyle name="쉼표 [0] 4 5 10 3 2 3" xfId="35875"/>
    <cellStyle name="쉼표 [0] 4 5 10 3 3" xfId="16859"/>
    <cellStyle name="쉼표 [0] 4 5 10 3 3 2" xfId="42211"/>
    <cellStyle name="쉼표 [0] 4 5 10 3 4" xfId="29539"/>
    <cellStyle name="쉼표 [0] 4 5 10 3 5" xfId="52701"/>
    <cellStyle name="쉼표 [0] 4 5 10 4" xfId="7403"/>
    <cellStyle name="쉼표 [0] 4 5 10 4 2" xfId="20076"/>
    <cellStyle name="쉼표 [0] 4 5 10 4 2 2" xfId="45428"/>
    <cellStyle name="쉼표 [0] 4 5 10 4 3" xfId="32756"/>
    <cellStyle name="쉼표 [0] 4 5 10 5" xfId="13740"/>
    <cellStyle name="쉼표 [0] 4 5 10 5 2" xfId="39092"/>
    <cellStyle name="쉼표 [0] 4 5 10 6" xfId="26420"/>
    <cellStyle name="쉼표 [0] 4 5 10 7" xfId="52702"/>
    <cellStyle name="쉼표 [0] 4 5 11" xfId="1068"/>
    <cellStyle name="쉼표 [0] 4 5 11 2" xfId="1069"/>
    <cellStyle name="쉼표 [0] 4 5 11 2 2" xfId="4187"/>
    <cellStyle name="쉼표 [0] 4 5 11 2 2 2" xfId="10523"/>
    <cellStyle name="쉼표 [0] 4 5 11 2 2 2 2" xfId="23196"/>
    <cellStyle name="쉼표 [0] 4 5 11 2 2 2 2 2" xfId="48548"/>
    <cellStyle name="쉼표 [0] 4 5 11 2 2 2 3" xfId="35876"/>
    <cellStyle name="쉼표 [0] 4 5 11 2 2 3" xfId="16860"/>
    <cellStyle name="쉼표 [0] 4 5 11 2 2 3 2" xfId="42212"/>
    <cellStyle name="쉼표 [0] 4 5 11 2 2 4" xfId="29540"/>
    <cellStyle name="쉼표 [0] 4 5 11 2 2 5" xfId="52703"/>
    <cellStyle name="쉼표 [0] 4 5 11 2 3" xfId="7406"/>
    <cellStyle name="쉼표 [0] 4 5 11 2 3 2" xfId="20079"/>
    <cellStyle name="쉼표 [0] 4 5 11 2 3 2 2" xfId="45431"/>
    <cellStyle name="쉼표 [0] 4 5 11 2 3 3" xfId="32759"/>
    <cellStyle name="쉼표 [0] 4 5 11 2 4" xfId="13743"/>
    <cellStyle name="쉼표 [0] 4 5 11 2 4 2" xfId="39095"/>
    <cellStyle name="쉼표 [0] 4 5 11 2 5" xfId="26423"/>
    <cellStyle name="쉼표 [0] 4 5 11 2 6" xfId="52704"/>
    <cellStyle name="쉼표 [0] 4 5 11 3" xfId="4188"/>
    <cellStyle name="쉼표 [0] 4 5 11 3 2" xfId="10524"/>
    <cellStyle name="쉼표 [0] 4 5 11 3 2 2" xfId="23197"/>
    <cellStyle name="쉼표 [0] 4 5 11 3 2 2 2" xfId="48549"/>
    <cellStyle name="쉼표 [0] 4 5 11 3 2 3" xfId="35877"/>
    <cellStyle name="쉼표 [0] 4 5 11 3 3" xfId="16861"/>
    <cellStyle name="쉼표 [0] 4 5 11 3 3 2" xfId="42213"/>
    <cellStyle name="쉼표 [0] 4 5 11 3 4" xfId="29541"/>
    <cellStyle name="쉼표 [0] 4 5 11 3 5" xfId="52705"/>
    <cellStyle name="쉼표 [0] 4 5 11 4" xfId="7405"/>
    <cellStyle name="쉼표 [0] 4 5 11 4 2" xfId="20078"/>
    <cellStyle name="쉼표 [0] 4 5 11 4 2 2" xfId="45430"/>
    <cellStyle name="쉼표 [0] 4 5 11 4 3" xfId="32758"/>
    <cellStyle name="쉼표 [0] 4 5 11 5" xfId="13742"/>
    <cellStyle name="쉼표 [0] 4 5 11 5 2" xfId="39094"/>
    <cellStyle name="쉼표 [0] 4 5 11 6" xfId="26422"/>
    <cellStyle name="쉼표 [0] 4 5 11 7" xfId="52706"/>
    <cellStyle name="쉼표 [0] 4 5 12" xfId="1070"/>
    <cellStyle name="쉼표 [0] 4 5 12 2" xfId="1071"/>
    <cellStyle name="쉼표 [0] 4 5 12 2 2" xfId="4189"/>
    <cellStyle name="쉼표 [0] 4 5 12 2 2 2" xfId="10525"/>
    <cellStyle name="쉼표 [0] 4 5 12 2 2 2 2" xfId="23198"/>
    <cellStyle name="쉼표 [0] 4 5 12 2 2 2 2 2" xfId="48550"/>
    <cellStyle name="쉼표 [0] 4 5 12 2 2 2 3" xfId="35878"/>
    <cellStyle name="쉼표 [0] 4 5 12 2 2 3" xfId="16862"/>
    <cellStyle name="쉼표 [0] 4 5 12 2 2 3 2" xfId="42214"/>
    <cellStyle name="쉼표 [0] 4 5 12 2 2 4" xfId="29542"/>
    <cellStyle name="쉼표 [0] 4 5 12 2 2 5" xfId="52707"/>
    <cellStyle name="쉼표 [0] 4 5 12 2 3" xfId="7408"/>
    <cellStyle name="쉼표 [0] 4 5 12 2 3 2" xfId="20081"/>
    <cellStyle name="쉼표 [0] 4 5 12 2 3 2 2" xfId="45433"/>
    <cellStyle name="쉼표 [0] 4 5 12 2 3 3" xfId="32761"/>
    <cellStyle name="쉼표 [0] 4 5 12 2 4" xfId="13745"/>
    <cellStyle name="쉼표 [0] 4 5 12 2 4 2" xfId="39097"/>
    <cellStyle name="쉼표 [0] 4 5 12 2 5" xfId="26425"/>
    <cellStyle name="쉼표 [0] 4 5 12 2 6" xfId="52708"/>
    <cellStyle name="쉼표 [0] 4 5 12 3" xfId="4190"/>
    <cellStyle name="쉼표 [0] 4 5 12 3 2" xfId="10526"/>
    <cellStyle name="쉼표 [0] 4 5 12 3 2 2" xfId="23199"/>
    <cellStyle name="쉼표 [0] 4 5 12 3 2 2 2" xfId="48551"/>
    <cellStyle name="쉼표 [0] 4 5 12 3 2 3" xfId="35879"/>
    <cellStyle name="쉼표 [0] 4 5 12 3 3" xfId="16863"/>
    <cellStyle name="쉼표 [0] 4 5 12 3 3 2" xfId="42215"/>
    <cellStyle name="쉼표 [0] 4 5 12 3 4" xfId="29543"/>
    <cellStyle name="쉼표 [0] 4 5 12 3 5" xfId="52709"/>
    <cellStyle name="쉼표 [0] 4 5 12 4" xfId="7407"/>
    <cellStyle name="쉼표 [0] 4 5 12 4 2" xfId="20080"/>
    <cellStyle name="쉼표 [0] 4 5 12 4 2 2" xfId="45432"/>
    <cellStyle name="쉼표 [0] 4 5 12 4 3" xfId="32760"/>
    <cellStyle name="쉼표 [0] 4 5 12 5" xfId="13744"/>
    <cellStyle name="쉼표 [0] 4 5 12 5 2" xfId="39096"/>
    <cellStyle name="쉼표 [0] 4 5 12 6" xfId="26424"/>
    <cellStyle name="쉼표 [0] 4 5 12 7" xfId="52710"/>
    <cellStyle name="쉼표 [0] 4 5 13" xfId="1072"/>
    <cellStyle name="쉼표 [0] 4 5 13 2" xfId="1073"/>
    <cellStyle name="쉼표 [0] 4 5 13 2 2" xfId="4191"/>
    <cellStyle name="쉼표 [0] 4 5 13 2 2 2" xfId="10527"/>
    <cellStyle name="쉼표 [0] 4 5 13 2 2 2 2" xfId="23200"/>
    <cellStyle name="쉼표 [0] 4 5 13 2 2 2 2 2" xfId="48552"/>
    <cellStyle name="쉼표 [0] 4 5 13 2 2 2 3" xfId="35880"/>
    <cellStyle name="쉼표 [0] 4 5 13 2 2 3" xfId="16864"/>
    <cellStyle name="쉼표 [0] 4 5 13 2 2 3 2" xfId="42216"/>
    <cellStyle name="쉼표 [0] 4 5 13 2 2 4" xfId="29544"/>
    <cellStyle name="쉼표 [0] 4 5 13 2 2 5" xfId="52711"/>
    <cellStyle name="쉼표 [0] 4 5 13 2 3" xfId="7410"/>
    <cellStyle name="쉼표 [0] 4 5 13 2 3 2" xfId="20083"/>
    <cellStyle name="쉼표 [0] 4 5 13 2 3 2 2" xfId="45435"/>
    <cellStyle name="쉼표 [0] 4 5 13 2 3 3" xfId="32763"/>
    <cellStyle name="쉼표 [0] 4 5 13 2 4" xfId="13747"/>
    <cellStyle name="쉼표 [0] 4 5 13 2 4 2" xfId="39099"/>
    <cellStyle name="쉼표 [0] 4 5 13 2 5" xfId="26427"/>
    <cellStyle name="쉼표 [0] 4 5 13 2 6" xfId="52712"/>
    <cellStyle name="쉼표 [0] 4 5 13 3" xfId="4192"/>
    <cellStyle name="쉼표 [0] 4 5 13 3 2" xfId="10528"/>
    <cellStyle name="쉼표 [0] 4 5 13 3 2 2" xfId="23201"/>
    <cellStyle name="쉼표 [0] 4 5 13 3 2 2 2" xfId="48553"/>
    <cellStyle name="쉼표 [0] 4 5 13 3 2 3" xfId="35881"/>
    <cellStyle name="쉼표 [0] 4 5 13 3 3" xfId="16865"/>
    <cellStyle name="쉼표 [0] 4 5 13 3 3 2" xfId="42217"/>
    <cellStyle name="쉼표 [0] 4 5 13 3 4" xfId="29545"/>
    <cellStyle name="쉼표 [0] 4 5 13 3 5" xfId="52713"/>
    <cellStyle name="쉼표 [0] 4 5 13 4" xfId="7409"/>
    <cellStyle name="쉼표 [0] 4 5 13 4 2" xfId="20082"/>
    <cellStyle name="쉼표 [0] 4 5 13 4 2 2" xfId="45434"/>
    <cellStyle name="쉼표 [0] 4 5 13 4 3" xfId="32762"/>
    <cellStyle name="쉼표 [0] 4 5 13 5" xfId="13746"/>
    <cellStyle name="쉼표 [0] 4 5 13 5 2" xfId="39098"/>
    <cellStyle name="쉼표 [0] 4 5 13 6" xfId="26426"/>
    <cellStyle name="쉼표 [0] 4 5 13 7" xfId="52714"/>
    <cellStyle name="쉼표 [0] 4 5 14" xfId="1074"/>
    <cellStyle name="쉼표 [0] 4 5 14 2" xfId="1075"/>
    <cellStyle name="쉼표 [0] 4 5 14 2 2" xfId="4193"/>
    <cellStyle name="쉼표 [0] 4 5 14 2 2 2" xfId="10529"/>
    <cellStyle name="쉼표 [0] 4 5 14 2 2 2 2" xfId="23202"/>
    <cellStyle name="쉼표 [0] 4 5 14 2 2 2 2 2" xfId="48554"/>
    <cellStyle name="쉼표 [0] 4 5 14 2 2 2 3" xfId="35882"/>
    <cellStyle name="쉼표 [0] 4 5 14 2 2 3" xfId="16866"/>
    <cellStyle name="쉼표 [0] 4 5 14 2 2 3 2" xfId="42218"/>
    <cellStyle name="쉼표 [0] 4 5 14 2 2 4" xfId="29546"/>
    <cellStyle name="쉼표 [0] 4 5 14 2 2 5" xfId="52715"/>
    <cellStyle name="쉼표 [0] 4 5 14 2 3" xfId="7412"/>
    <cellStyle name="쉼표 [0] 4 5 14 2 3 2" xfId="20085"/>
    <cellStyle name="쉼표 [0] 4 5 14 2 3 2 2" xfId="45437"/>
    <cellStyle name="쉼표 [0] 4 5 14 2 3 3" xfId="32765"/>
    <cellStyle name="쉼표 [0] 4 5 14 2 4" xfId="13749"/>
    <cellStyle name="쉼표 [0] 4 5 14 2 4 2" xfId="39101"/>
    <cellStyle name="쉼표 [0] 4 5 14 2 5" xfId="26429"/>
    <cellStyle name="쉼표 [0] 4 5 14 2 6" xfId="52716"/>
    <cellStyle name="쉼표 [0] 4 5 14 3" xfId="4194"/>
    <cellStyle name="쉼표 [0] 4 5 14 3 2" xfId="10530"/>
    <cellStyle name="쉼표 [0] 4 5 14 3 2 2" xfId="23203"/>
    <cellStyle name="쉼표 [0] 4 5 14 3 2 2 2" xfId="48555"/>
    <cellStyle name="쉼표 [0] 4 5 14 3 2 3" xfId="35883"/>
    <cellStyle name="쉼표 [0] 4 5 14 3 3" xfId="16867"/>
    <cellStyle name="쉼표 [0] 4 5 14 3 3 2" xfId="42219"/>
    <cellStyle name="쉼표 [0] 4 5 14 3 4" xfId="29547"/>
    <cellStyle name="쉼표 [0] 4 5 14 3 5" xfId="52717"/>
    <cellStyle name="쉼표 [0] 4 5 14 4" xfId="7411"/>
    <cellStyle name="쉼표 [0] 4 5 14 4 2" xfId="20084"/>
    <cellStyle name="쉼표 [0] 4 5 14 4 2 2" xfId="45436"/>
    <cellStyle name="쉼표 [0] 4 5 14 4 3" xfId="32764"/>
    <cellStyle name="쉼표 [0] 4 5 14 5" xfId="13748"/>
    <cellStyle name="쉼표 [0] 4 5 14 5 2" xfId="39100"/>
    <cellStyle name="쉼표 [0] 4 5 14 6" xfId="26428"/>
    <cellStyle name="쉼표 [0] 4 5 14 7" xfId="52718"/>
    <cellStyle name="쉼표 [0] 4 5 15" xfId="1076"/>
    <cellStyle name="쉼표 [0] 4 5 15 2" xfId="1077"/>
    <cellStyle name="쉼표 [0] 4 5 15 2 2" xfId="4195"/>
    <cellStyle name="쉼표 [0] 4 5 15 2 2 2" xfId="10531"/>
    <cellStyle name="쉼표 [0] 4 5 15 2 2 2 2" xfId="23204"/>
    <cellStyle name="쉼표 [0] 4 5 15 2 2 2 2 2" xfId="48556"/>
    <cellStyle name="쉼표 [0] 4 5 15 2 2 2 3" xfId="35884"/>
    <cellStyle name="쉼표 [0] 4 5 15 2 2 3" xfId="16868"/>
    <cellStyle name="쉼표 [0] 4 5 15 2 2 3 2" xfId="42220"/>
    <cellStyle name="쉼표 [0] 4 5 15 2 2 4" xfId="29548"/>
    <cellStyle name="쉼표 [0] 4 5 15 2 2 5" xfId="52719"/>
    <cellStyle name="쉼표 [0] 4 5 15 2 3" xfId="7414"/>
    <cellStyle name="쉼표 [0] 4 5 15 2 3 2" xfId="20087"/>
    <cellStyle name="쉼표 [0] 4 5 15 2 3 2 2" xfId="45439"/>
    <cellStyle name="쉼표 [0] 4 5 15 2 3 3" xfId="32767"/>
    <cellStyle name="쉼표 [0] 4 5 15 2 4" xfId="13751"/>
    <cellStyle name="쉼표 [0] 4 5 15 2 4 2" xfId="39103"/>
    <cellStyle name="쉼표 [0] 4 5 15 2 5" xfId="26431"/>
    <cellStyle name="쉼표 [0] 4 5 15 2 6" xfId="52720"/>
    <cellStyle name="쉼표 [0] 4 5 15 3" xfId="4196"/>
    <cellStyle name="쉼표 [0] 4 5 15 3 2" xfId="10532"/>
    <cellStyle name="쉼표 [0] 4 5 15 3 2 2" xfId="23205"/>
    <cellStyle name="쉼표 [0] 4 5 15 3 2 2 2" xfId="48557"/>
    <cellStyle name="쉼표 [0] 4 5 15 3 2 3" xfId="35885"/>
    <cellStyle name="쉼표 [0] 4 5 15 3 3" xfId="16869"/>
    <cellStyle name="쉼표 [0] 4 5 15 3 3 2" xfId="42221"/>
    <cellStyle name="쉼표 [0] 4 5 15 3 4" xfId="29549"/>
    <cellStyle name="쉼표 [0] 4 5 15 3 5" xfId="52721"/>
    <cellStyle name="쉼표 [0] 4 5 15 4" xfId="7413"/>
    <cellStyle name="쉼표 [0] 4 5 15 4 2" xfId="20086"/>
    <cellStyle name="쉼표 [0] 4 5 15 4 2 2" xfId="45438"/>
    <cellStyle name="쉼표 [0] 4 5 15 4 3" xfId="32766"/>
    <cellStyle name="쉼표 [0] 4 5 15 5" xfId="13750"/>
    <cellStyle name="쉼표 [0] 4 5 15 5 2" xfId="39102"/>
    <cellStyle name="쉼표 [0] 4 5 15 6" xfId="26430"/>
    <cellStyle name="쉼표 [0] 4 5 15 7" xfId="52722"/>
    <cellStyle name="쉼표 [0] 4 5 16" xfId="1078"/>
    <cellStyle name="쉼표 [0] 4 5 16 2" xfId="1079"/>
    <cellStyle name="쉼표 [0] 4 5 16 2 2" xfId="4197"/>
    <cellStyle name="쉼표 [0] 4 5 16 2 2 2" xfId="10533"/>
    <cellStyle name="쉼표 [0] 4 5 16 2 2 2 2" xfId="23206"/>
    <cellStyle name="쉼표 [0] 4 5 16 2 2 2 2 2" xfId="48558"/>
    <cellStyle name="쉼표 [0] 4 5 16 2 2 2 3" xfId="35886"/>
    <cellStyle name="쉼표 [0] 4 5 16 2 2 3" xfId="16870"/>
    <cellStyle name="쉼표 [0] 4 5 16 2 2 3 2" xfId="42222"/>
    <cellStyle name="쉼표 [0] 4 5 16 2 2 4" xfId="29550"/>
    <cellStyle name="쉼표 [0] 4 5 16 2 2 5" xfId="52723"/>
    <cellStyle name="쉼표 [0] 4 5 16 2 3" xfId="7416"/>
    <cellStyle name="쉼표 [0] 4 5 16 2 3 2" xfId="20089"/>
    <cellStyle name="쉼표 [0] 4 5 16 2 3 2 2" xfId="45441"/>
    <cellStyle name="쉼표 [0] 4 5 16 2 3 3" xfId="32769"/>
    <cellStyle name="쉼표 [0] 4 5 16 2 4" xfId="13753"/>
    <cellStyle name="쉼표 [0] 4 5 16 2 4 2" xfId="39105"/>
    <cellStyle name="쉼표 [0] 4 5 16 2 5" xfId="26433"/>
    <cellStyle name="쉼표 [0] 4 5 16 2 6" xfId="52724"/>
    <cellStyle name="쉼표 [0] 4 5 16 3" xfId="4198"/>
    <cellStyle name="쉼표 [0] 4 5 16 3 2" xfId="10534"/>
    <cellStyle name="쉼표 [0] 4 5 16 3 2 2" xfId="23207"/>
    <cellStyle name="쉼표 [0] 4 5 16 3 2 2 2" xfId="48559"/>
    <cellStyle name="쉼표 [0] 4 5 16 3 2 3" xfId="35887"/>
    <cellStyle name="쉼표 [0] 4 5 16 3 3" xfId="16871"/>
    <cellStyle name="쉼표 [0] 4 5 16 3 3 2" xfId="42223"/>
    <cellStyle name="쉼표 [0] 4 5 16 3 4" xfId="29551"/>
    <cellStyle name="쉼표 [0] 4 5 16 3 5" xfId="52725"/>
    <cellStyle name="쉼표 [0] 4 5 16 4" xfId="7415"/>
    <cellStyle name="쉼표 [0] 4 5 16 4 2" xfId="20088"/>
    <cellStyle name="쉼표 [0] 4 5 16 4 2 2" xfId="45440"/>
    <cellStyle name="쉼표 [0] 4 5 16 4 3" xfId="32768"/>
    <cellStyle name="쉼표 [0] 4 5 16 5" xfId="13752"/>
    <cellStyle name="쉼표 [0] 4 5 16 5 2" xfId="39104"/>
    <cellStyle name="쉼표 [0] 4 5 16 6" xfId="26432"/>
    <cellStyle name="쉼표 [0] 4 5 16 7" xfId="52726"/>
    <cellStyle name="쉼표 [0] 4 5 17" xfId="1080"/>
    <cellStyle name="쉼표 [0] 4 5 17 2" xfId="1081"/>
    <cellStyle name="쉼표 [0] 4 5 17 2 2" xfId="4199"/>
    <cellStyle name="쉼표 [0] 4 5 17 2 2 2" xfId="10535"/>
    <cellStyle name="쉼표 [0] 4 5 17 2 2 2 2" xfId="23208"/>
    <cellStyle name="쉼표 [0] 4 5 17 2 2 2 2 2" xfId="48560"/>
    <cellStyle name="쉼표 [0] 4 5 17 2 2 2 3" xfId="35888"/>
    <cellStyle name="쉼표 [0] 4 5 17 2 2 3" xfId="16872"/>
    <cellStyle name="쉼표 [0] 4 5 17 2 2 3 2" xfId="42224"/>
    <cellStyle name="쉼표 [0] 4 5 17 2 2 4" xfId="29552"/>
    <cellStyle name="쉼표 [0] 4 5 17 2 2 5" xfId="52727"/>
    <cellStyle name="쉼표 [0] 4 5 17 2 3" xfId="7418"/>
    <cellStyle name="쉼표 [0] 4 5 17 2 3 2" xfId="20091"/>
    <cellStyle name="쉼표 [0] 4 5 17 2 3 2 2" xfId="45443"/>
    <cellStyle name="쉼표 [0] 4 5 17 2 3 3" xfId="32771"/>
    <cellStyle name="쉼표 [0] 4 5 17 2 4" xfId="13755"/>
    <cellStyle name="쉼표 [0] 4 5 17 2 4 2" xfId="39107"/>
    <cellStyle name="쉼표 [0] 4 5 17 2 5" xfId="26435"/>
    <cellStyle name="쉼표 [0] 4 5 17 2 6" xfId="52728"/>
    <cellStyle name="쉼표 [0] 4 5 17 3" xfId="4200"/>
    <cellStyle name="쉼표 [0] 4 5 17 3 2" xfId="10536"/>
    <cellStyle name="쉼표 [0] 4 5 17 3 2 2" xfId="23209"/>
    <cellStyle name="쉼표 [0] 4 5 17 3 2 2 2" xfId="48561"/>
    <cellStyle name="쉼표 [0] 4 5 17 3 2 3" xfId="35889"/>
    <cellStyle name="쉼표 [0] 4 5 17 3 3" xfId="16873"/>
    <cellStyle name="쉼표 [0] 4 5 17 3 3 2" xfId="42225"/>
    <cellStyle name="쉼표 [0] 4 5 17 3 4" xfId="29553"/>
    <cellStyle name="쉼표 [0] 4 5 17 3 5" xfId="52729"/>
    <cellStyle name="쉼표 [0] 4 5 17 4" xfId="7417"/>
    <cellStyle name="쉼표 [0] 4 5 17 4 2" xfId="20090"/>
    <cellStyle name="쉼표 [0] 4 5 17 4 2 2" xfId="45442"/>
    <cellStyle name="쉼표 [0] 4 5 17 4 3" xfId="32770"/>
    <cellStyle name="쉼표 [0] 4 5 17 5" xfId="13754"/>
    <cellStyle name="쉼표 [0] 4 5 17 5 2" xfId="39106"/>
    <cellStyle name="쉼표 [0] 4 5 17 6" xfId="26434"/>
    <cellStyle name="쉼표 [0] 4 5 17 7" xfId="52730"/>
    <cellStyle name="쉼표 [0] 4 5 18" xfId="1082"/>
    <cellStyle name="쉼표 [0] 4 5 18 2" xfId="1083"/>
    <cellStyle name="쉼표 [0] 4 5 18 2 2" xfId="4201"/>
    <cellStyle name="쉼표 [0] 4 5 18 2 2 2" xfId="10537"/>
    <cellStyle name="쉼표 [0] 4 5 18 2 2 2 2" xfId="23210"/>
    <cellStyle name="쉼표 [0] 4 5 18 2 2 2 2 2" xfId="48562"/>
    <cellStyle name="쉼표 [0] 4 5 18 2 2 2 3" xfId="35890"/>
    <cellStyle name="쉼표 [0] 4 5 18 2 2 3" xfId="16874"/>
    <cellStyle name="쉼표 [0] 4 5 18 2 2 3 2" xfId="42226"/>
    <cellStyle name="쉼표 [0] 4 5 18 2 2 4" xfId="29554"/>
    <cellStyle name="쉼표 [0] 4 5 18 2 2 5" xfId="52731"/>
    <cellStyle name="쉼표 [0] 4 5 18 2 3" xfId="7420"/>
    <cellStyle name="쉼표 [0] 4 5 18 2 3 2" xfId="20093"/>
    <cellStyle name="쉼표 [0] 4 5 18 2 3 2 2" xfId="45445"/>
    <cellStyle name="쉼표 [0] 4 5 18 2 3 3" xfId="32773"/>
    <cellStyle name="쉼표 [0] 4 5 18 2 4" xfId="13757"/>
    <cellStyle name="쉼표 [0] 4 5 18 2 4 2" xfId="39109"/>
    <cellStyle name="쉼표 [0] 4 5 18 2 5" xfId="26437"/>
    <cellStyle name="쉼표 [0] 4 5 18 2 6" xfId="52732"/>
    <cellStyle name="쉼표 [0] 4 5 18 3" xfId="4202"/>
    <cellStyle name="쉼표 [0] 4 5 18 3 2" xfId="10538"/>
    <cellStyle name="쉼표 [0] 4 5 18 3 2 2" xfId="23211"/>
    <cellStyle name="쉼표 [0] 4 5 18 3 2 2 2" xfId="48563"/>
    <cellStyle name="쉼표 [0] 4 5 18 3 2 3" xfId="35891"/>
    <cellStyle name="쉼표 [0] 4 5 18 3 3" xfId="16875"/>
    <cellStyle name="쉼표 [0] 4 5 18 3 3 2" xfId="42227"/>
    <cellStyle name="쉼표 [0] 4 5 18 3 4" xfId="29555"/>
    <cellStyle name="쉼표 [0] 4 5 18 3 5" xfId="52733"/>
    <cellStyle name="쉼표 [0] 4 5 18 4" xfId="7419"/>
    <cellStyle name="쉼표 [0] 4 5 18 4 2" xfId="20092"/>
    <cellStyle name="쉼표 [0] 4 5 18 4 2 2" xfId="45444"/>
    <cellStyle name="쉼표 [0] 4 5 18 4 3" xfId="32772"/>
    <cellStyle name="쉼표 [0] 4 5 18 5" xfId="13756"/>
    <cellStyle name="쉼표 [0] 4 5 18 5 2" xfId="39108"/>
    <cellStyle name="쉼표 [0] 4 5 18 6" xfId="26436"/>
    <cellStyle name="쉼표 [0] 4 5 18 7" xfId="52734"/>
    <cellStyle name="쉼표 [0] 4 5 19" xfId="1084"/>
    <cellStyle name="쉼표 [0] 4 5 19 2" xfId="1085"/>
    <cellStyle name="쉼표 [0] 4 5 19 2 2" xfId="4203"/>
    <cellStyle name="쉼표 [0] 4 5 19 2 2 2" xfId="10539"/>
    <cellStyle name="쉼표 [0] 4 5 19 2 2 2 2" xfId="23212"/>
    <cellStyle name="쉼표 [0] 4 5 19 2 2 2 2 2" xfId="48564"/>
    <cellStyle name="쉼표 [0] 4 5 19 2 2 2 3" xfId="35892"/>
    <cellStyle name="쉼표 [0] 4 5 19 2 2 3" xfId="16876"/>
    <cellStyle name="쉼표 [0] 4 5 19 2 2 3 2" xfId="42228"/>
    <cellStyle name="쉼표 [0] 4 5 19 2 2 4" xfId="29556"/>
    <cellStyle name="쉼표 [0] 4 5 19 2 2 5" xfId="52735"/>
    <cellStyle name="쉼표 [0] 4 5 19 2 3" xfId="7422"/>
    <cellStyle name="쉼표 [0] 4 5 19 2 3 2" xfId="20095"/>
    <cellStyle name="쉼표 [0] 4 5 19 2 3 2 2" xfId="45447"/>
    <cellStyle name="쉼표 [0] 4 5 19 2 3 3" xfId="32775"/>
    <cellStyle name="쉼표 [0] 4 5 19 2 4" xfId="13759"/>
    <cellStyle name="쉼표 [0] 4 5 19 2 4 2" xfId="39111"/>
    <cellStyle name="쉼표 [0] 4 5 19 2 5" xfId="26439"/>
    <cellStyle name="쉼표 [0] 4 5 19 2 6" xfId="52736"/>
    <cellStyle name="쉼표 [0] 4 5 19 3" xfId="4204"/>
    <cellStyle name="쉼표 [0] 4 5 19 3 2" xfId="10540"/>
    <cellStyle name="쉼표 [0] 4 5 19 3 2 2" xfId="23213"/>
    <cellStyle name="쉼표 [0] 4 5 19 3 2 2 2" xfId="48565"/>
    <cellStyle name="쉼표 [0] 4 5 19 3 2 3" xfId="35893"/>
    <cellStyle name="쉼표 [0] 4 5 19 3 3" xfId="16877"/>
    <cellStyle name="쉼표 [0] 4 5 19 3 3 2" xfId="42229"/>
    <cellStyle name="쉼표 [0] 4 5 19 3 4" xfId="29557"/>
    <cellStyle name="쉼표 [0] 4 5 19 3 5" xfId="52737"/>
    <cellStyle name="쉼표 [0] 4 5 19 4" xfId="7421"/>
    <cellStyle name="쉼표 [0] 4 5 19 4 2" xfId="20094"/>
    <cellStyle name="쉼표 [0] 4 5 19 4 2 2" xfId="45446"/>
    <cellStyle name="쉼표 [0] 4 5 19 4 3" xfId="32774"/>
    <cellStyle name="쉼표 [0] 4 5 19 5" xfId="13758"/>
    <cellStyle name="쉼표 [0] 4 5 19 5 2" xfId="39110"/>
    <cellStyle name="쉼표 [0] 4 5 19 6" xfId="26438"/>
    <cellStyle name="쉼표 [0] 4 5 19 7" xfId="52738"/>
    <cellStyle name="쉼표 [0] 4 5 2" xfId="1086"/>
    <cellStyle name="쉼표 [0] 4 5 2 2" xfId="1087"/>
    <cellStyle name="쉼표 [0] 4 5 2 2 2" xfId="4205"/>
    <cellStyle name="쉼표 [0] 4 5 2 2 2 2" xfId="10541"/>
    <cellStyle name="쉼표 [0] 4 5 2 2 2 2 2" xfId="23214"/>
    <cellStyle name="쉼표 [0] 4 5 2 2 2 2 2 2" xfId="48566"/>
    <cellStyle name="쉼표 [0] 4 5 2 2 2 2 3" xfId="35894"/>
    <cellStyle name="쉼표 [0] 4 5 2 2 2 3" xfId="16878"/>
    <cellStyle name="쉼표 [0] 4 5 2 2 2 3 2" xfId="42230"/>
    <cellStyle name="쉼표 [0] 4 5 2 2 2 4" xfId="29558"/>
    <cellStyle name="쉼표 [0] 4 5 2 2 2 5" xfId="52739"/>
    <cellStyle name="쉼표 [0] 4 5 2 2 3" xfId="7424"/>
    <cellStyle name="쉼표 [0] 4 5 2 2 3 2" xfId="20097"/>
    <cellStyle name="쉼표 [0] 4 5 2 2 3 2 2" xfId="45449"/>
    <cellStyle name="쉼표 [0] 4 5 2 2 3 3" xfId="32777"/>
    <cellStyle name="쉼표 [0] 4 5 2 2 4" xfId="13761"/>
    <cellStyle name="쉼표 [0] 4 5 2 2 4 2" xfId="39113"/>
    <cellStyle name="쉼표 [0] 4 5 2 2 5" xfId="26441"/>
    <cellStyle name="쉼표 [0] 4 5 2 2 6" xfId="52740"/>
    <cellStyle name="쉼표 [0] 4 5 2 3" xfId="4206"/>
    <cellStyle name="쉼표 [0] 4 5 2 3 2" xfId="10542"/>
    <cellStyle name="쉼표 [0] 4 5 2 3 2 2" xfId="23215"/>
    <cellStyle name="쉼표 [0] 4 5 2 3 2 2 2" xfId="48567"/>
    <cellStyle name="쉼표 [0] 4 5 2 3 2 3" xfId="35895"/>
    <cellStyle name="쉼표 [0] 4 5 2 3 3" xfId="16879"/>
    <cellStyle name="쉼표 [0] 4 5 2 3 3 2" xfId="42231"/>
    <cellStyle name="쉼표 [0] 4 5 2 3 4" xfId="29559"/>
    <cellStyle name="쉼표 [0] 4 5 2 3 5" xfId="52741"/>
    <cellStyle name="쉼표 [0] 4 5 2 4" xfId="7423"/>
    <cellStyle name="쉼표 [0] 4 5 2 4 2" xfId="20096"/>
    <cellStyle name="쉼표 [0] 4 5 2 4 2 2" xfId="45448"/>
    <cellStyle name="쉼표 [0] 4 5 2 4 3" xfId="32776"/>
    <cellStyle name="쉼표 [0] 4 5 2 5" xfId="13760"/>
    <cellStyle name="쉼표 [0] 4 5 2 5 2" xfId="39112"/>
    <cellStyle name="쉼표 [0] 4 5 2 6" xfId="26440"/>
    <cellStyle name="쉼표 [0] 4 5 2 7" xfId="52742"/>
    <cellStyle name="쉼표 [0] 4 5 20" xfId="1088"/>
    <cellStyle name="쉼표 [0] 4 5 20 2" xfId="1089"/>
    <cellStyle name="쉼표 [0] 4 5 20 2 2" xfId="4207"/>
    <cellStyle name="쉼표 [0] 4 5 20 2 2 2" xfId="10543"/>
    <cellStyle name="쉼표 [0] 4 5 20 2 2 2 2" xfId="23216"/>
    <cellStyle name="쉼표 [0] 4 5 20 2 2 2 2 2" xfId="48568"/>
    <cellStyle name="쉼표 [0] 4 5 20 2 2 2 3" xfId="35896"/>
    <cellStyle name="쉼표 [0] 4 5 20 2 2 3" xfId="16880"/>
    <cellStyle name="쉼표 [0] 4 5 20 2 2 3 2" xfId="42232"/>
    <cellStyle name="쉼표 [0] 4 5 20 2 2 4" xfId="29560"/>
    <cellStyle name="쉼표 [0] 4 5 20 2 2 5" xfId="52743"/>
    <cellStyle name="쉼표 [0] 4 5 20 2 3" xfId="7426"/>
    <cellStyle name="쉼표 [0] 4 5 20 2 3 2" xfId="20099"/>
    <cellStyle name="쉼표 [0] 4 5 20 2 3 2 2" xfId="45451"/>
    <cellStyle name="쉼표 [0] 4 5 20 2 3 3" xfId="32779"/>
    <cellStyle name="쉼표 [0] 4 5 20 2 4" xfId="13763"/>
    <cellStyle name="쉼표 [0] 4 5 20 2 4 2" xfId="39115"/>
    <cellStyle name="쉼표 [0] 4 5 20 2 5" xfId="26443"/>
    <cellStyle name="쉼표 [0] 4 5 20 2 6" xfId="52744"/>
    <cellStyle name="쉼표 [0] 4 5 20 3" xfId="4208"/>
    <cellStyle name="쉼표 [0] 4 5 20 3 2" xfId="10544"/>
    <cellStyle name="쉼표 [0] 4 5 20 3 2 2" xfId="23217"/>
    <cellStyle name="쉼표 [0] 4 5 20 3 2 2 2" xfId="48569"/>
    <cellStyle name="쉼표 [0] 4 5 20 3 2 3" xfId="35897"/>
    <cellStyle name="쉼표 [0] 4 5 20 3 3" xfId="16881"/>
    <cellStyle name="쉼표 [0] 4 5 20 3 3 2" xfId="42233"/>
    <cellStyle name="쉼표 [0] 4 5 20 3 4" xfId="29561"/>
    <cellStyle name="쉼표 [0] 4 5 20 3 5" xfId="52745"/>
    <cellStyle name="쉼표 [0] 4 5 20 4" xfId="7425"/>
    <cellStyle name="쉼표 [0] 4 5 20 4 2" xfId="20098"/>
    <cellStyle name="쉼표 [0] 4 5 20 4 2 2" xfId="45450"/>
    <cellStyle name="쉼표 [0] 4 5 20 4 3" xfId="32778"/>
    <cellStyle name="쉼표 [0] 4 5 20 5" xfId="13762"/>
    <cellStyle name="쉼표 [0] 4 5 20 5 2" xfId="39114"/>
    <cellStyle name="쉼표 [0] 4 5 20 6" xfId="26442"/>
    <cellStyle name="쉼표 [0] 4 5 20 7" xfId="52746"/>
    <cellStyle name="쉼표 [0] 4 5 21" xfId="1090"/>
    <cellStyle name="쉼표 [0] 4 5 21 2" xfId="1091"/>
    <cellStyle name="쉼표 [0] 4 5 21 2 2" xfId="4209"/>
    <cellStyle name="쉼표 [0] 4 5 21 2 2 2" xfId="10545"/>
    <cellStyle name="쉼표 [0] 4 5 21 2 2 2 2" xfId="23218"/>
    <cellStyle name="쉼표 [0] 4 5 21 2 2 2 2 2" xfId="48570"/>
    <cellStyle name="쉼표 [0] 4 5 21 2 2 2 3" xfId="35898"/>
    <cellStyle name="쉼표 [0] 4 5 21 2 2 3" xfId="16882"/>
    <cellStyle name="쉼표 [0] 4 5 21 2 2 3 2" xfId="42234"/>
    <cellStyle name="쉼표 [0] 4 5 21 2 2 4" xfId="29562"/>
    <cellStyle name="쉼표 [0] 4 5 21 2 2 5" xfId="52747"/>
    <cellStyle name="쉼표 [0] 4 5 21 2 3" xfId="7428"/>
    <cellStyle name="쉼표 [0] 4 5 21 2 3 2" xfId="20101"/>
    <cellStyle name="쉼표 [0] 4 5 21 2 3 2 2" xfId="45453"/>
    <cellStyle name="쉼표 [0] 4 5 21 2 3 3" xfId="32781"/>
    <cellStyle name="쉼표 [0] 4 5 21 2 4" xfId="13765"/>
    <cellStyle name="쉼표 [0] 4 5 21 2 4 2" xfId="39117"/>
    <cellStyle name="쉼표 [0] 4 5 21 2 5" xfId="26445"/>
    <cellStyle name="쉼표 [0] 4 5 21 2 6" xfId="52748"/>
    <cellStyle name="쉼표 [0] 4 5 21 3" xfId="4210"/>
    <cellStyle name="쉼표 [0] 4 5 21 3 2" xfId="10546"/>
    <cellStyle name="쉼표 [0] 4 5 21 3 2 2" xfId="23219"/>
    <cellStyle name="쉼표 [0] 4 5 21 3 2 2 2" xfId="48571"/>
    <cellStyle name="쉼표 [0] 4 5 21 3 2 3" xfId="35899"/>
    <cellStyle name="쉼표 [0] 4 5 21 3 3" xfId="16883"/>
    <cellStyle name="쉼표 [0] 4 5 21 3 3 2" xfId="42235"/>
    <cellStyle name="쉼표 [0] 4 5 21 3 4" xfId="29563"/>
    <cellStyle name="쉼표 [0] 4 5 21 3 5" xfId="52749"/>
    <cellStyle name="쉼표 [0] 4 5 21 4" xfId="7427"/>
    <cellStyle name="쉼표 [0] 4 5 21 4 2" xfId="20100"/>
    <cellStyle name="쉼표 [0] 4 5 21 4 2 2" xfId="45452"/>
    <cellStyle name="쉼표 [0] 4 5 21 4 3" xfId="32780"/>
    <cellStyle name="쉼표 [0] 4 5 21 5" xfId="13764"/>
    <cellStyle name="쉼표 [0] 4 5 21 5 2" xfId="39116"/>
    <cellStyle name="쉼표 [0] 4 5 21 6" xfId="26444"/>
    <cellStyle name="쉼표 [0] 4 5 21 7" xfId="52750"/>
    <cellStyle name="쉼표 [0] 4 5 22" xfId="1092"/>
    <cellStyle name="쉼표 [0] 4 5 22 2" xfId="1093"/>
    <cellStyle name="쉼표 [0] 4 5 22 2 2" xfId="4211"/>
    <cellStyle name="쉼표 [0] 4 5 22 2 2 2" xfId="10547"/>
    <cellStyle name="쉼표 [0] 4 5 22 2 2 2 2" xfId="23220"/>
    <cellStyle name="쉼표 [0] 4 5 22 2 2 2 2 2" xfId="48572"/>
    <cellStyle name="쉼표 [0] 4 5 22 2 2 2 3" xfId="35900"/>
    <cellStyle name="쉼표 [0] 4 5 22 2 2 3" xfId="16884"/>
    <cellStyle name="쉼표 [0] 4 5 22 2 2 3 2" xfId="42236"/>
    <cellStyle name="쉼표 [0] 4 5 22 2 2 4" xfId="29564"/>
    <cellStyle name="쉼표 [0] 4 5 22 2 2 5" xfId="52751"/>
    <cellStyle name="쉼표 [0] 4 5 22 2 3" xfId="7430"/>
    <cellStyle name="쉼표 [0] 4 5 22 2 3 2" xfId="20103"/>
    <cellStyle name="쉼표 [0] 4 5 22 2 3 2 2" xfId="45455"/>
    <cellStyle name="쉼표 [0] 4 5 22 2 3 3" xfId="32783"/>
    <cellStyle name="쉼표 [0] 4 5 22 2 4" xfId="13767"/>
    <cellStyle name="쉼표 [0] 4 5 22 2 4 2" xfId="39119"/>
    <cellStyle name="쉼표 [0] 4 5 22 2 5" xfId="26447"/>
    <cellStyle name="쉼표 [0] 4 5 22 2 6" xfId="52752"/>
    <cellStyle name="쉼표 [0] 4 5 22 3" xfId="4212"/>
    <cellStyle name="쉼표 [0] 4 5 22 3 2" xfId="10548"/>
    <cellStyle name="쉼표 [0] 4 5 22 3 2 2" xfId="23221"/>
    <cellStyle name="쉼표 [0] 4 5 22 3 2 2 2" xfId="48573"/>
    <cellStyle name="쉼표 [0] 4 5 22 3 2 3" xfId="35901"/>
    <cellStyle name="쉼표 [0] 4 5 22 3 3" xfId="16885"/>
    <cellStyle name="쉼표 [0] 4 5 22 3 3 2" xfId="42237"/>
    <cellStyle name="쉼표 [0] 4 5 22 3 4" xfId="29565"/>
    <cellStyle name="쉼표 [0] 4 5 22 3 5" xfId="52753"/>
    <cellStyle name="쉼표 [0] 4 5 22 4" xfId="7429"/>
    <cellStyle name="쉼표 [0] 4 5 22 4 2" xfId="20102"/>
    <cellStyle name="쉼표 [0] 4 5 22 4 2 2" xfId="45454"/>
    <cellStyle name="쉼표 [0] 4 5 22 4 3" xfId="32782"/>
    <cellStyle name="쉼표 [0] 4 5 22 5" xfId="13766"/>
    <cellStyle name="쉼표 [0] 4 5 22 5 2" xfId="39118"/>
    <cellStyle name="쉼표 [0] 4 5 22 6" xfId="26446"/>
    <cellStyle name="쉼표 [0] 4 5 22 7" xfId="52754"/>
    <cellStyle name="쉼표 [0] 4 5 23" xfId="1094"/>
    <cellStyle name="쉼표 [0] 4 5 23 2" xfId="1095"/>
    <cellStyle name="쉼표 [0] 4 5 23 2 2" xfId="4213"/>
    <cellStyle name="쉼표 [0] 4 5 23 2 2 2" xfId="10549"/>
    <cellStyle name="쉼표 [0] 4 5 23 2 2 2 2" xfId="23222"/>
    <cellStyle name="쉼표 [0] 4 5 23 2 2 2 2 2" xfId="48574"/>
    <cellStyle name="쉼표 [0] 4 5 23 2 2 2 3" xfId="35902"/>
    <cellStyle name="쉼표 [0] 4 5 23 2 2 3" xfId="16886"/>
    <cellStyle name="쉼표 [0] 4 5 23 2 2 3 2" xfId="42238"/>
    <cellStyle name="쉼표 [0] 4 5 23 2 2 4" xfId="29566"/>
    <cellStyle name="쉼표 [0] 4 5 23 2 2 5" xfId="52755"/>
    <cellStyle name="쉼표 [0] 4 5 23 2 3" xfId="7432"/>
    <cellStyle name="쉼표 [0] 4 5 23 2 3 2" xfId="20105"/>
    <cellStyle name="쉼표 [0] 4 5 23 2 3 2 2" xfId="45457"/>
    <cellStyle name="쉼표 [0] 4 5 23 2 3 3" xfId="32785"/>
    <cellStyle name="쉼표 [0] 4 5 23 2 4" xfId="13769"/>
    <cellStyle name="쉼표 [0] 4 5 23 2 4 2" xfId="39121"/>
    <cellStyle name="쉼표 [0] 4 5 23 2 5" xfId="26449"/>
    <cellStyle name="쉼표 [0] 4 5 23 2 6" xfId="52756"/>
    <cellStyle name="쉼표 [0] 4 5 23 3" xfId="4214"/>
    <cellStyle name="쉼표 [0] 4 5 23 3 2" xfId="10550"/>
    <cellStyle name="쉼표 [0] 4 5 23 3 2 2" xfId="23223"/>
    <cellStyle name="쉼표 [0] 4 5 23 3 2 2 2" xfId="48575"/>
    <cellStyle name="쉼표 [0] 4 5 23 3 2 3" xfId="35903"/>
    <cellStyle name="쉼표 [0] 4 5 23 3 3" xfId="16887"/>
    <cellStyle name="쉼표 [0] 4 5 23 3 3 2" xfId="42239"/>
    <cellStyle name="쉼표 [0] 4 5 23 3 4" xfId="29567"/>
    <cellStyle name="쉼표 [0] 4 5 23 3 5" xfId="52757"/>
    <cellStyle name="쉼표 [0] 4 5 23 4" xfId="7431"/>
    <cellStyle name="쉼표 [0] 4 5 23 4 2" xfId="20104"/>
    <cellStyle name="쉼표 [0] 4 5 23 4 2 2" xfId="45456"/>
    <cellStyle name="쉼표 [0] 4 5 23 4 3" xfId="32784"/>
    <cellStyle name="쉼표 [0] 4 5 23 5" xfId="13768"/>
    <cellStyle name="쉼표 [0] 4 5 23 5 2" xfId="39120"/>
    <cellStyle name="쉼표 [0] 4 5 23 6" xfId="26448"/>
    <cellStyle name="쉼표 [0] 4 5 23 7" xfId="52758"/>
    <cellStyle name="쉼표 [0] 4 5 24" xfId="1096"/>
    <cellStyle name="쉼표 [0] 4 5 24 2" xfId="1097"/>
    <cellStyle name="쉼표 [0] 4 5 24 2 2" xfId="4215"/>
    <cellStyle name="쉼표 [0] 4 5 24 2 2 2" xfId="10551"/>
    <cellStyle name="쉼표 [0] 4 5 24 2 2 2 2" xfId="23224"/>
    <cellStyle name="쉼표 [0] 4 5 24 2 2 2 2 2" xfId="48576"/>
    <cellStyle name="쉼표 [0] 4 5 24 2 2 2 3" xfId="35904"/>
    <cellStyle name="쉼표 [0] 4 5 24 2 2 3" xfId="16888"/>
    <cellStyle name="쉼표 [0] 4 5 24 2 2 3 2" xfId="42240"/>
    <cellStyle name="쉼표 [0] 4 5 24 2 2 4" xfId="29568"/>
    <cellStyle name="쉼표 [0] 4 5 24 2 2 5" xfId="52759"/>
    <cellStyle name="쉼표 [0] 4 5 24 2 3" xfId="7434"/>
    <cellStyle name="쉼표 [0] 4 5 24 2 3 2" xfId="20107"/>
    <cellStyle name="쉼표 [0] 4 5 24 2 3 2 2" xfId="45459"/>
    <cellStyle name="쉼표 [0] 4 5 24 2 3 3" xfId="32787"/>
    <cellStyle name="쉼표 [0] 4 5 24 2 4" xfId="13771"/>
    <cellStyle name="쉼표 [0] 4 5 24 2 4 2" xfId="39123"/>
    <cellStyle name="쉼표 [0] 4 5 24 2 5" xfId="26451"/>
    <cellStyle name="쉼표 [0] 4 5 24 2 6" xfId="52760"/>
    <cellStyle name="쉼표 [0] 4 5 24 3" xfId="4216"/>
    <cellStyle name="쉼표 [0] 4 5 24 3 2" xfId="10552"/>
    <cellStyle name="쉼표 [0] 4 5 24 3 2 2" xfId="23225"/>
    <cellStyle name="쉼표 [0] 4 5 24 3 2 2 2" xfId="48577"/>
    <cellStyle name="쉼표 [0] 4 5 24 3 2 3" xfId="35905"/>
    <cellStyle name="쉼표 [0] 4 5 24 3 3" xfId="16889"/>
    <cellStyle name="쉼표 [0] 4 5 24 3 3 2" xfId="42241"/>
    <cellStyle name="쉼표 [0] 4 5 24 3 4" xfId="29569"/>
    <cellStyle name="쉼표 [0] 4 5 24 3 5" xfId="52761"/>
    <cellStyle name="쉼표 [0] 4 5 24 4" xfId="7433"/>
    <cellStyle name="쉼표 [0] 4 5 24 4 2" xfId="20106"/>
    <cellStyle name="쉼표 [0] 4 5 24 4 2 2" xfId="45458"/>
    <cellStyle name="쉼표 [0] 4 5 24 4 3" xfId="32786"/>
    <cellStyle name="쉼표 [0] 4 5 24 5" xfId="13770"/>
    <cellStyle name="쉼표 [0] 4 5 24 5 2" xfId="39122"/>
    <cellStyle name="쉼표 [0] 4 5 24 6" xfId="26450"/>
    <cellStyle name="쉼표 [0] 4 5 24 7" xfId="52762"/>
    <cellStyle name="쉼표 [0] 4 5 25" xfId="1098"/>
    <cellStyle name="쉼표 [0] 4 5 25 2" xfId="1099"/>
    <cellStyle name="쉼표 [0] 4 5 25 2 2" xfId="4217"/>
    <cellStyle name="쉼표 [0] 4 5 25 2 2 2" xfId="10553"/>
    <cellStyle name="쉼표 [0] 4 5 25 2 2 2 2" xfId="23226"/>
    <cellStyle name="쉼표 [0] 4 5 25 2 2 2 2 2" xfId="48578"/>
    <cellStyle name="쉼표 [0] 4 5 25 2 2 2 3" xfId="35906"/>
    <cellStyle name="쉼표 [0] 4 5 25 2 2 3" xfId="16890"/>
    <cellStyle name="쉼표 [0] 4 5 25 2 2 3 2" xfId="42242"/>
    <cellStyle name="쉼표 [0] 4 5 25 2 2 4" xfId="29570"/>
    <cellStyle name="쉼표 [0] 4 5 25 2 2 5" xfId="52763"/>
    <cellStyle name="쉼표 [0] 4 5 25 2 3" xfId="7436"/>
    <cellStyle name="쉼표 [0] 4 5 25 2 3 2" xfId="20109"/>
    <cellStyle name="쉼표 [0] 4 5 25 2 3 2 2" xfId="45461"/>
    <cellStyle name="쉼표 [0] 4 5 25 2 3 3" xfId="32789"/>
    <cellStyle name="쉼표 [0] 4 5 25 2 4" xfId="13773"/>
    <cellStyle name="쉼표 [0] 4 5 25 2 4 2" xfId="39125"/>
    <cellStyle name="쉼표 [0] 4 5 25 2 5" xfId="26453"/>
    <cellStyle name="쉼표 [0] 4 5 25 2 6" xfId="52764"/>
    <cellStyle name="쉼표 [0] 4 5 25 3" xfId="4218"/>
    <cellStyle name="쉼표 [0] 4 5 25 3 2" xfId="10554"/>
    <cellStyle name="쉼표 [0] 4 5 25 3 2 2" xfId="23227"/>
    <cellStyle name="쉼표 [0] 4 5 25 3 2 2 2" xfId="48579"/>
    <cellStyle name="쉼표 [0] 4 5 25 3 2 3" xfId="35907"/>
    <cellStyle name="쉼표 [0] 4 5 25 3 3" xfId="16891"/>
    <cellStyle name="쉼표 [0] 4 5 25 3 3 2" xfId="42243"/>
    <cellStyle name="쉼표 [0] 4 5 25 3 4" xfId="29571"/>
    <cellStyle name="쉼표 [0] 4 5 25 3 5" xfId="52765"/>
    <cellStyle name="쉼표 [0] 4 5 25 4" xfId="7435"/>
    <cellStyle name="쉼표 [0] 4 5 25 4 2" xfId="20108"/>
    <cellStyle name="쉼표 [0] 4 5 25 4 2 2" xfId="45460"/>
    <cellStyle name="쉼표 [0] 4 5 25 4 3" xfId="32788"/>
    <cellStyle name="쉼표 [0] 4 5 25 5" xfId="13772"/>
    <cellStyle name="쉼표 [0] 4 5 25 5 2" xfId="39124"/>
    <cellStyle name="쉼표 [0] 4 5 25 6" xfId="26452"/>
    <cellStyle name="쉼표 [0] 4 5 25 7" xfId="52766"/>
    <cellStyle name="쉼표 [0] 4 5 26" xfId="1100"/>
    <cellStyle name="쉼표 [0] 4 5 26 2" xfId="1101"/>
    <cellStyle name="쉼표 [0] 4 5 26 2 2" xfId="4219"/>
    <cellStyle name="쉼표 [0] 4 5 26 2 2 2" xfId="10555"/>
    <cellStyle name="쉼표 [0] 4 5 26 2 2 2 2" xfId="23228"/>
    <cellStyle name="쉼표 [0] 4 5 26 2 2 2 2 2" xfId="48580"/>
    <cellStyle name="쉼표 [0] 4 5 26 2 2 2 3" xfId="35908"/>
    <cellStyle name="쉼표 [0] 4 5 26 2 2 3" xfId="16892"/>
    <cellStyle name="쉼표 [0] 4 5 26 2 2 3 2" xfId="42244"/>
    <cellStyle name="쉼표 [0] 4 5 26 2 2 4" xfId="29572"/>
    <cellStyle name="쉼표 [0] 4 5 26 2 2 5" xfId="52767"/>
    <cellStyle name="쉼표 [0] 4 5 26 2 3" xfId="7438"/>
    <cellStyle name="쉼표 [0] 4 5 26 2 3 2" xfId="20111"/>
    <cellStyle name="쉼표 [0] 4 5 26 2 3 2 2" xfId="45463"/>
    <cellStyle name="쉼표 [0] 4 5 26 2 3 3" xfId="32791"/>
    <cellStyle name="쉼표 [0] 4 5 26 2 4" xfId="13775"/>
    <cellStyle name="쉼표 [0] 4 5 26 2 4 2" xfId="39127"/>
    <cellStyle name="쉼표 [0] 4 5 26 2 5" xfId="26455"/>
    <cellStyle name="쉼표 [0] 4 5 26 2 6" xfId="52768"/>
    <cellStyle name="쉼표 [0] 4 5 26 3" xfId="4220"/>
    <cellStyle name="쉼표 [0] 4 5 26 3 2" xfId="10556"/>
    <cellStyle name="쉼표 [0] 4 5 26 3 2 2" xfId="23229"/>
    <cellStyle name="쉼표 [0] 4 5 26 3 2 2 2" xfId="48581"/>
    <cellStyle name="쉼표 [0] 4 5 26 3 2 3" xfId="35909"/>
    <cellStyle name="쉼표 [0] 4 5 26 3 3" xfId="16893"/>
    <cellStyle name="쉼표 [0] 4 5 26 3 3 2" xfId="42245"/>
    <cellStyle name="쉼표 [0] 4 5 26 3 4" xfId="29573"/>
    <cellStyle name="쉼표 [0] 4 5 26 3 5" xfId="52769"/>
    <cellStyle name="쉼표 [0] 4 5 26 4" xfId="7437"/>
    <cellStyle name="쉼표 [0] 4 5 26 4 2" xfId="20110"/>
    <cellStyle name="쉼표 [0] 4 5 26 4 2 2" xfId="45462"/>
    <cellStyle name="쉼표 [0] 4 5 26 4 3" xfId="32790"/>
    <cellStyle name="쉼표 [0] 4 5 26 5" xfId="13774"/>
    <cellStyle name="쉼표 [0] 4 5 26 5 2" xfId="39126"/>
    <cellStyle name="쉼표 [0] 4 5 26 6" xfId="26454"/>
    <cellStyle name="쉼표 [0] 4 5 26 7" xfId="52770"/>
    <cellStyle name="쉼표 [0] 4 5 27" xfId="1102"/>
    <cellStyle name="쉼표 [0] 4 5 27 2" xfId="1103"/>
    <cellStyle name="쉼표 [0] 4 5 27 2 2" xfId="4221"/>
    <cellStyle name="쉼표 [0] 4 5 27 2 2 2" xfId="10557"/>
    <cellStyle name="쉼표 [0] 4 5 27 2 2 2 2" xfId="23230"/>
    <cellStyle name="쉼표 [0] 4 5 27 2 2 2 2 2" xfId="48582"/>
    <cellStyle name="쉼표 [0] 4 5 27 2 2 2 3" xfId="35910"/>
    <cellStyle name="쉼표 [0] 4 5 27 2 2 3" xfId="16894"/>
    <cellStyle name="쉼표 [0] 4 5 27 2 2 3 2" xfId="42246"/>
    <cellStyle name="쉼표 [0] 4 5 27 2 2 4" xfId="29574"/>
    <cellStyle name="쉼표 [0] 4 5 27 2 2 5" xfId="52771"/>
    <cellStyle name="쉼표 [0] 4 5 27 2 3" xfId="7440"/>
    <cellStyle name="쉼표 [0] 4 5 27 2 3 2" xfId="20113"/>
    <cellStyle name="쉼표 [0] 4 5 27 2 3 2 2" xfId="45465"/>
    <cellStyle name="쉼표 [0] 4 5 27 2 3 3" xfId="32793"/>
    <cellStyle name="쉼표 [0] 4 5 27 2 4" xfId="13777"/>
    <cellStyle name="쉼표 [0] 4 5 27 2 4 2" xfId="39129"/>
    <cellStyle name="쉼표 [0] 4 5 27 2 5" xfId="26457"/>
    <cellStyle name="쉼표 [0] 4 5 27 2 6" xfId="52772"/>
    <cellStyle name="쉼표 [0] 4 5 27 3" xfId="4222"/>
    <cellStyle name="쉼표 [0] 4 5 27 3 2" xfId="10558"/>
    <cellStyle name="쉼표 [0] 4 5 27 3 2 2" xfId="23231"/>
    <cellStyle name="쉼표 [0] 4 5 27 3 2 2 2" xfId="48583"/>
    <cellStyle name="쉼표 [0] 4 5 27 3 2 3" xfId="35911"/>
    <cellStyle name="쉼표 [0] 4 5 27 3 3" xfId="16895"/>
    <cellStyle name="쉼표 [0] 4 5 27 3 3 2" xfId="42247"/>
    <cellStyle name="쉼표 [0] 4 5 27 3 4" xfId="29575"/>
    <cellStyle name="쉼표 [0] 4 5 27 3 5" xfId="52773"/>
    <cellStyle name="쉼표 [0] 4 5 27 4" xfId="7439"/>
    <cellStyle name="쉼표 [0] 4 5 27 4 2" xfId="20112"/>
    <cellStyle name="쉼표 [0] 4 5 27 4 2 2" xfId="45464"/>
    <cellStyle name="쉼표 [0] 4 5 27 4 3" xfId="32792"/>
    <cellStyle name="쉼표 [0] 4 5 27 5" xfId="13776"/>
    <cellStyle name="쉼표 [0] 4 5 27 5 2" xfId="39128"/>
    <cellStyle name="쉼표 [0] 4 5 27 6" xfId="26456"/>
    <cellStyle name="쉼표 [0] 4 5 27 7" xfId="52774"/>
    <cellStyle name="쉼표 [0] 4 5 28" xfId="1104"/>
    <cellStyle name="쉼표 [0] 4 5 28 2" xfId="1105"/>
    <cellStyle name="쉼표 [0] 4 5 28 2 2" xfId="4223"/>
    <cellStyle name="쉼표 [0] 4 5 28 2 2 2" xfId="10559"/>
    <cellStyle name="쉼표 [0] 4 5 28 2 2 2 2" xfId="23232"/>
    <cellStyle name="쉼표 [0] 4 5 28 2 2 2 2 2" xfId="48584"/>
    <cellStyle name="쉼표 [0] 4 5 28 2 2 2 3" xfId="35912"/>
    <cellStyle name="쉼표 [0] 4 5 28 2 2 3" xfId="16896"/>
    <cellStyle name="쉼표 [0] 4 5 28 2 2 3 2" xfId="42248"/>
    <cellStyle name="쉼표 [0] 4 5 28 2 2 4" xfId="29576"/>
    <cellStyle name="쉼표 [0] 4 5 28 2 2 5" xfId="52775"/>
    <cellStyle name="쉼표 [0] 4 5 28 2 3" xfId="7442"/>
    <cellStyle name="쉼표 [0] 4 5 28 2 3 2" xfId="20115"/>
    <cellStyle name="쉼표 [0] 4 5 28 2 3 2 2" xfId="45467"/>
    <cellStyle name="쉼표 [0] 4 5 28 2 3 3" xfId="32795"/>
    <cellStyle name="쉼표 [0] 4 5 28 2 4" xfId="13779"/>
    <cellStyle name="쉼표 [0] 4 5 28 2 4 2" xfId="39131"/>
    <cellStyle name="쉼표 [0] 4 5 28 2 5" xfId="26459"/>
    <cellStyle name="쉼표 [0] 4 5 28 2 6" xfId="52776"/>
    <cellStyle name="쉼표 [0] 4 5 28 3" xfId="4224"/>
    <cellStyle name="쉼표 [0] 4 5 28 3 2" xfId="10560"/>
    <cellStyle name="쉼표 [0] 4 5 28 3 2 2" xfId="23233"/>
    <cellStyle name="쉼표 [0] 4 5 28 3 2 2 2" xfId="48585"/>
    <cellStyle name="쉼표 [0] 4 5 28 3 2 3" xfId="35913"/>
    <cellStyle name="쉼표 [0] 4 5 28 3 3" xfId="16897"/>
    <cellStyle name="쉼표 [0] 4 5 28 3 3 2" xfId="42249"/>
    <cellStyle name="쉼표 [0] 4 5 28 3 4" xfId="29577"/>
    <cellStyle name="쉼표 [0] 4 5 28 3 5" xfId="52777"/>
    <cellStyle name="쉼표 [0] 4 5 28 4" xfId="7441"/>
    <cellStyle name="쉼표 [0] 4 5 28 4 2" xfId="20114"/>
    <cellStyle name="쉼표 [0] 4 5 28 4 2 2" xfId="45466"/>
    <cellStyle name="쉼표 [0] 4 5 28 4 3" xfId="32794"/>
    <cellStyle name="쉼표 [0] 4 5 28 5" xfId="13778"/>
    <cellStyle name="쉼표 [0] 4 5 28 5 2" xfId="39130"/>
    <cellStyle name="쉼표 [0] 4 5 28 6" xfId="26458"/>
    <cellStyle name="쉼표 [0] 4 5 28 7" xfId="52778"/>
    <cellStyle name="쉼표 [0] 4 5 29" xfId="1106"/>
    <cellStyle name="쉼표 [0] 4 5 29 2" xfId="1107"/>
    <cellStyle name="쉼표 [0] 4 5 29 2 2" xfId="4225"/>
    <cellStyle name="쉼표 [0] 4 5 29 2 2 2" xfId="10561"/>
    <cellStyle name="쉼표 [0] 4 5 29 2 2 2 2" xfId="23234"/>
    <cellStyle name="쉼표 [0] 4 5 29 2 2 2 2 2" xfId="48586"/>
    <cellStyle name="쉼표 [0] 4 5 29 2 2 2 3" xfId="35914"/>
    <cellStyle name="쉼표 [0] 4 5 29 2 2 3" xfId="16898"/>
    <cellStyle name="쉼표 [0] 4 5 29 2 2 3 2" xfId="42250"/>
    <cellStyle name="쉼표 [0] 4 5 29 2 2 4" xfId="29578"/>
    <cellStyle name="쉼표 [0] 4 5 29 2 2 5" xfId="52779"/>
    <cellStyle name="쉼표 [0] 4 5 29 2 3" xfId="7444"/>
    <cellStyle name="쉼표 [0] 4 5 29 2 3 2" xfId="20117"/>
    <cellStyle name="쉼표 [0] 4 5 29 2 3 2 2" xfId="45469"/>
    <cellStyle name="쉼표 [0] 4 5 29 2 3 3" xfId="32797"/>
    <cellStyle name="쉼표 [0] 4 5 29 2 4" xfId="13781"/>
    <cellStyle name="쉼표 [0] 4 5 29 2 4 2" xfId="39133"/>
    <cellStyle name="쉼표 [0] 4 5 29 2 5" xfId="26461"/>
    <cellStyle name="쉼표 [0] 4 5 29 2 6" xfId="52780"/>
    <cellStyle name="쉼표 [0] 4 5 29 3" xfId="4226"/>
    <cellStyle name="쉼표 [0] 4 5 29 3 2" xfId="10562"/>
    <cellStyle name="쉼표 [0] 4 5 29 3 2 2" xfId="23235"/>
    <cellStyle name="쉼표 [0] 4 5 29 3 2 2 2" xfId="48587"/>
    <cellStyle name="쉼표 [0] 4 5 29 3 2 3" xfId="35915"/>
    <cellStyle name="쉼표 [0] 4 5 29 3 3" xfId="16899"/>
    <cellStyle name="쉼표 [0] 4 5 29 3 3 2" xfId="42251"/>
    <cellStyle name="쉼표 [0] 4 5 29 3 4" xfId="29579"/>
    <cellStyle name="쉼표 [0] 4 5 29 3 5" xfId="52781"/>
    <cellStyle name="쉼표 [0] 4 5 29 4" xfId="7443"/>
    <cellStyle name="쉼표 [0] 4 5 29 4 2" xfId="20116"/>
    <cellStyle name="쉼표 [0] 4 5 29 4 2 2" xfId="45468"/>
    <cellStyle name="쉼표 [0] 4 5 29 4 3" xfId="32796"/>
    <cellStyle name="쉼표 [0] 4 5 29 5" xfId="13780"/>
    <cellStyle name="쉼표 [0] 4 5 29 5 2" xfId="39132"/>
    <cellStyle name="쉼표 [0] 4 5 29 6" xfId="26460"/>
    <cellStyle name="쉼표 [0] 4 5 29 7" xfId="52782"/>
    <cellStyle name="쉼표 [0] 4 5 3" xfId="1108"/>
    <cellStyle name="쉼표 [0] 4 5 3 2" xfId="1109"/>
    <cellStyle name="쉼표 [0] 4 5 3 2 2" xfId="4227"/>
    <cellStyle name="쉼표 [0] 4 5 3 2 2 2" xfId="10563"/>
    <cellStyle name="쉼표 [0] 4 5 3 2 2 2 2" xfId="23236"/>
    <cellStyle name="쉼표 [0] 4 5 3 2 2 2 2 2" xfId="48588"/>
    <cellStyle name="쉼표 [0] 4 5 3 2 2 2 3" xfId="35916"/>
    <cellStyle name="쉼표 [0] 4 5 3 2 2 3" xfId="16900"/>
    <cellStyle name="쉼표 [0] 4 5 3 2 2 3 2" xfId="42252"/>
    <cellStyle name="쉼표 [0] 4 5 3 2 2 4" xfId="29580"/>
    <cellStyle name="쉼표 [0] 4 5 3 2 2 5" xfId="52783"/>
    <cellStyle name="쉼표 [0] 4 5 3 2 3" xfId="7446"/>
    <cellStyle name="쉼표 [0] 4 5 3 2 3 2" xfId="20119"/>
    <cellStyle name="쉼표 [0] 4 5 3 2 3 2 2" xfId="45471"/>
    <cellStyle name="쉼표 [0] 4 5 3 2 3 3" xfId="32799"/>
    <cellStyle name="쉼표 [0] 4 5 3 2 4" xfId="13783"/>
    <cellStyle name="쉼표 [0] 4 5 3 2 4 2" xfId="39135"/>
    <cellStyle name="쉼표 [0] 4 5 3 2 5" xfId="26463"/>
    <cellStyle name="쉼표 [0] 4 5 3 2 6" xfId="52784"/>
    <cellStyle name="쉼표 [0] 4 5 3 3" xfId="4228"/>
    <cellStyle name="쉼표 [0] 4 5 3 3 2" xfId="10564"/>
    <cellStyle name="쉼표 [0] 4 5 3 3 2 2" xfId="23237"/>
    <cellStyle name="쉼표 [0] 4 5 3 3 2 2 2" xfId="48589"/>
    <cellStyle name="쉼표 [0] 4 5 3 3 2 3" xfId="35917"/>
    <cellStyle name="쉼표 [0] 4 5 3 3 3" xfId="16901"/>
    <cellStyle name="쉼표 [0] 4 5 3 3 3 2" xfId="42253"/>
    <cellStyle name="쉼표 [0] 4 5 3 3 4" xfId="29581"/>
    <cellStyle name="쉼표 [0] 4 5 3 3 5" xfId="52785"/>
    <cellStyle name="쉼표 [0] 4 5 3 4" xfId="7445"/>
    <cellStyle name="쉼표 [0] 4 5 3 4 2" xfId="20118"/>
    <cellStyle name="쉼표 [0] 4 5 3 4 2 2" xfId="45470"/>
    <cellStyle name="쉼표 [0] 4 5 3 4 3" xfId="32798"/>
    <cellStyle name="쉼표 [0] 4 5 3 5" xfId="13782"/>
    <cellStyle name="쉼표 [0] 4 5 3 5 2" xfId="39134"/>
    <cellStyle name="쉼표 [0] 4 5 3 6" xfId="26462"/>
    <cellStyle name="쉼표 [0] 4 5 3 7" xfId="52786"/>
    <cellStyle name="쉼표 [0] 4 5 30" xfId="1110"/>
    <cellStyle name="쉼표 [0] 4 5 30 2" xfId="1111"/>
    <cellStyle name="쉼표 [0] 4 5 30 2 2" xfId="4229"/>
    <cellStyle name="쉼표 [0] 4 5 30 2 2 2" xfId="10565"/>
    <cellStyle name="쉼표 [0] 4 5 30 2 2 2 2" xfId="23238"/>
    <cellStyle name="쉼표 [0] 4 5 30 2 2 2 2 2" xfId="48590"/>
    <cellStyle name="쉼표 [0] 4 5 30 2 2 2 3" xfId="35918"/>
    <cellStyle name="쉼표 [0] 4 5 30 2 2 3" xfId="16902"/>
    <cellStyle name="쉼표 [0] 4 5 30 2 2 3 2" xfId="42254"/>
    <cellStyle name="쉼표 [0] 4 5 30 2 2 4" xfId="29582"/>
    <cellStyle name="쉼표 [0] 4 5 30 2 2 5" xfId="52787"/>
    <cellStyle name="쉼표 [0] 4 5 30 2 3" xfId="7448"/>
    <cellStyle name="쉼표 [0] 4 5 30 2 3 2" xfId="20121"/>
    <cellStyle name="쉼표 [0] 4 5 30 2 3 2 2" xfId="45473"/>
    <cellStyle name="쉼표 [0] 4 5 30 2 3 3" xfId="32801"/>
    <cellStyle name="쉼표 [0] 4 5 30 2 4" xfId="13785"/>
    <cellStyle name="쉼표 [0] 4 5 30 2 4 2" xfId="39137"/>
    <cellStyle name="쉼표 [0] 4 5 30 2 5" xfId="26465"/>
    <cellStyle name="쉼표 [0] 4 5 30 2 6" xfId="52788"/>
    <cellStyle name="쉼표 [0] 4 5 30 3" xfId="4230"/>
    <cellStyle name="쉼표 [0] 4 5 30 3 2" xfId="10566"/>
    <cellStyle name="쉼표 [0] 4 5 30 3 2 2" xfId="23239"/>
    <cellStyle name="쉼표 [0] 4 5 30 3 2 2 2" xfId="48591"/>
    <cellStyle name="쉼표 [0] 4 5 30 3 2 3" xfId="35919"/>
    <cellStyle name="쉼표 [0] 4 5 30 3 3" xfId="16903"/>
    <cellStyle name="쉼표 [0] 4 5 30 3 3 2" xfId="42255"/>
    <cellStyle name="쉼표 [0] 4 5 30 3 4" xfId="29583"/>
    <cellStyle name="쉼표 [0] 4 5 30 3 5" xfId="52789"/>
    <cellStyle name="쉼표 [0] 4 5 30 4" xfId="7447"/>
    <cellStyle name="쉼표 [0] 4 5 30 4 2" xfId="20120"/>
    <cellStyle name="쉼표 [0] 4 5 30 4 2 2" xfId="45472"/>
    <cellStyle name="쉼표 [0] 4 5 30 4 3" xfId="32800"/>
    <cellStyle name="쉼표 [0] 4 5 30 5" xfId="13784"/>
    <cellStyle name="쉼표 [0] 4 5 30 5 2" xfId="39136"/>
    <cellStyle name="쉼표 [0] 4 5 30 6" xfId="26464"/>
    <cellStyle name="쉼표 [0] 4 5 30 7" xfId="52790"/>
    <cellStyle name="쉼표 [0] 4 5 31" xfId="1112"/>
    <cellStyle name="쉼표 [0] 4 5 31 2" xfId="1113"/>
    <cellStyle name="쉼표 [0] 4 5 31 2 2" xfId="4231"/>
    <cellStyle name="쉼표 [0] 4 5 31 2 2 2" xfId="10567"/>
    <cellStyle name="쉼표 [0] 4 5 31 2 2 2 2" xfId="23240"/>
    <cellStyle name="쉼표 [0] 4 5 31 2 2 2 2 2" xfId="48592"/>
    <cellStyle name="쉼표 [0] 4 5 31 2 2 2 3" xfId="35920"/>
    <cellStyle name="쉼표 [0] 4 5 31 2 2 3" xfId="16904"/>
    <cellStyle name="쉼표 [0] 4 5 31 2 2 3 2" xfId="42256"/>
    <cellStyle name="쉼표 [0] 4 5 31 2 2 4" xfId="29584"/>
    <cellStyle name="쉼표 [0] 4 5 31 2 2 5" xfId="52791"/>
    <cellStyle name="쉼표 [0] 4 5 31 2 3" xfId="7450"/>
    <cellStyle name="쉼표 [0] 4 5 31 2 3 2" xfId="20123"/>
    <cellStyle name="쉼표 [0] 4 5 31 2 3 2 2" xfId="45475"/>
    <cellStyle name="쉼표 [0] 4 5 31 2 3 3" xfId="32803"/>
    <cellStyle name="쉼표 [0] 4 5 31 2 4" xfId="13787"/>
    <cellStyle name="쉼표 [0] 4 5 31 2 4 2" xfId="39139"/>
    <cellStyle name="쉼표 [0] 4 5 31 2 5" xfId="26467"/>
    <cellStyle name="쉼표 [0] 4 5 31 2 6" xfId="52792"/>
    <cellStyle name="쉼표 [0] 4 5 31 3" xfId="4232"/>
    <cellStyle name="쉼표 [0] 4 5 31 3 2" xfId="10568"/>
    <cellStyle name="쉼표 [0] 4 5 31 3 2 2" xfId="23241"/>
    <cellStyle name="쉼표 [0] 4 5 31 3 2 2 2" xfId="48593"/>
    <cellStyle name="쉼표 [0] 4 5 31 3 2 3" xfId="35921"/>
    <cellStyle name="쉼표 [0] 4 5 31 3 3" xfId="16905"/>
    <cellStyle name="쉼표 [0] 4 5 31 3 3 2" xfId="42257"/>
    <cellStyle name="쉼표 [0] 4 5 31 3 4" xfId="29585"/>
    <cellStyle name="쉼표 [0] 4 5 31 3 5" xfId="52793"/>
    <cellStyle name="쉼표 [0] 4 5 31 4" xfId="7449"/>
    <cellStyle name="쉼표 [0] 4 5 31 4 2" xfId="20122"/>
    <cellStyle name="쉼표 [0] 4 5 31 4 2 2" xfId="45474"/>
    <cellStyle name="쉼표 [0] 4 5 31 4 3" xfId="32802"/>
    <cellStyle name="쉼표 [0] 4 5 31 5" xfId="13786"/>
    <cellStyle name="쉼표 [0] 4 5 31 5 2" xfId="39138"/>
    <cellStyle name="쉼표 [0] 4 5 31 6" xfId="26466"/>
    <cellStyle name="쉼표 [0] 4 5 31 7" xfId="52794"/>
    <cellStyle name="쉼표 [0] 4 5 32" xfId="1114"/>
    <cellStyle name="쉼표 [0] 4 5 32 2" xfId="1115"/>
    <cellStyle name="쉼표 [0] 4 5 32 2 2" xfId="4233"/>
    <cellStyle name="쉼표 [0] 4 5 32 2 2 2" xfId="10569"/>
    <cellStyle name="쉼표 [0] 4 5 32 2 2 2 2" xfId="23242"/>
    <cellStyle name="쉼표 [0] 4 5 32 2 2 2 2 2" xfId="48594"/>
    <cellStyle name="쉼표 [0] 4 5 32 2 2 2 3" xfId="35922"/>
    <cellStyle name="쉼표 [0] 4 5 32 2 2 3" xfId="16906"/>
    <cellStyle name="쉼표 [0] 4 5 32 2 2 3 2" xfId="42258"/>
    <cellStyle name="쉼표 [0] 4 5 32 2 2 4" xfId="29586"/>
    <cellStyle name="쉼표 [0] 4 5 32 2 2 5" xfId="52795"/>
    <cellStyle name="쉼표 [0] 4 5 32 2 3" xfId="7452"/>
    <cellStyle name="쉼표 [0] 4 5 32 2 3 2" xfId="20125"/>
    <cellStyle name="쉼표 [0] 4 5 32 2 3 2 2" xfId="45477"/>
    <cellStyle name="쉼표 [0] 4 5 32 2 3 3" xfId="32805"/>
    <cellStyle name="쉼표 [0] 4 5 32 2 4" xfId="13789"/>
    <cellStyle name="쉼표 [0] 4 5 32 2 4 2" xfId="39141"/>
    <cellStyle name="쉼표 [0] 4 5 32 2 5" xfId="26469"/>
    <cellStyle name="쉼표 [0] 4 5 32 2 6" xfId="52796"/>
    <cellStyle name="쉼표 [0] 4 5 32 3" xfId="4234"/>
    <cellStyle name="쉼표 [0] 4 5 32 3 2" xfId="10570"/>
    <cellStyle name="쉼표 [0] 4 5 32 3 2 2" xfId="23243"/>
    <cellStyle name="쉼표 [0] 4 5 32 3 2 2 2" xfId="48595"/>
    <cellStyle name="쉼표 [0] 4 5 32 3 2 3" xfId="35923"/>
    <cellStyle name="쉼표 [0] 4 5 32 3 3" xfId="16907"/>
    <cellStyle name="쉼표 [0] 4 5 32 3 3 2" xfId="42259"/>
    <cellStyle name="쉼표 [0] 4 5 32 3 4" xfId="29587"/>
    <cellStyle name="쉼표 [0] 4 5 32 3 5" xfId="52797"/>
    <cellStyle name="쉼표 [0] 4 5 32 4" xfId="7451"/>
    <cellStyle name="쉼표 [0] 4 5 32 4 2" xfId="20124"/>
    <cellStyle name="쉼표 [0] 4 5 32 4 2 2" xfId="45476"/>
    <cellStyle name="쉼표 [0] 4 5 32 4 3" xfId="32804"/>
    <cellStyle name="쉼표 [0] 4 5 32 5" xfId="13788"/>
    <cellStyle name="쉼표 [0] 4 5 32 5 2" xfId="39140"/>
    <cellStyle name="쉼표 [0] 4 5 32 6" xfId="26468"/>
    <cellStyle name="쉼표 [0] 4 5 32 7" xfId="52798"/>
    <cellStyle name="쉼표 [0] 4 5 33" xfId="1116"/>
    <cellStyle name="쉼표 [0] 4 5 33 2" xfId="1117"/>
    <cellStyle name="쉼표 [0] 4 5 33 2 2" xfId="4235"/>
    <cellStyle name="쉼표 [0] 4 5 33 2 2 2" xfId="10571"/>
    <cellStyle name="쉼표 [0] 4 5 33 2 2 2 2" xfId="23244"/>
    <cellStyle name="쉼표 [0] 4 5 33 2 2 2 2 2" xfId="48596"/>
    <cellStyle name="쉼표 [0] 4 5 33 2 2 2 3" xfId="35924"/>
    <cellStyle name="쉼표 [0] 4 5 33 2 2 3" xfId="16908"/>
    <cellStyle name="쉼표 [0] 4 5 33 2 2 3 2" xfId="42260"/>
    <cellStyle name="쉼표 [0] 4 5 33 2 2 4" xfId="29588"/>
    <cellStyle name="쉼표 [0] 4 5 33 2 2 5" xfId="52799"/>
    <cellStyle name="쉼표 [0] 4 5 33 2 3" xfId="7454"/>
    <cellStyle name="쉼표 [0] 4 5 33 2 3 2" xfId="20127"/>
    <cellStyle name="쉼표 [0] 4 5 33 2 3 2 2" xfId="45479"/>
    <cellStyle name="쉼표 [0] 4 5 33 2 3 3" xfId="32807"/>
    <cellStyle name="쉼표 [0] 4 5 33 2 4" xfId="13791"/>
    <cellStyle name="쉼표 [0] 4 5 33 2 4 2" xfId="39143"/>
    <cellStyle name="쉼표 [0] 4 5 33 2 5" xfId="26471"/>
    <cellStyle name="쉼표 [0] 4 5 33 2 6" xfId="52800"/>
    <cellStyle name="쉼표 [0] 4 5 33 3" xfId="4236"/>
    <cellStyle name="쉼표 [0] 4 5 33 3 2" xfId="10572"/>
    <cellStyle name="쉼표 [0] 4 5 33 3 2 2" xfId="23245"/>
    <cellStyle name="쉼표 [0] 4 5 33 3 2 2 2" xfId="48597"/>
    <cellStyle name="쉼표 [0] 4 5 33 3 2 3" xfId="35925"/>
    <cellStyle name="쉼표 [0] 4 5 33 3 3" xfId="16909"/>
    <cellStyle name="쉼표 [0] 4 5 33 3 3 2" xfId="42261"/>
    <cellStyle name="쉼표 [0] 4 5 33 3 4" xfId="29589"/>
    <cellStyle name="쉼표 [0] 4 5 33 3 5" xfId="52801"/>
    <cellStyle name="쉼표 [0] 4 5 33 4" xfId="7453"/>
    <cellStyle name="쉼표 [0] 4 5 33 4 2" xfId="20126"/>
    <cellStyle name="쉼표 [0] 4 5 33 4 2 2" xfId="45478"/>
    <cellStyle name="쉼표 [0] 4 5 33 4 3" xfId="32806"/>
    <cellStyle name="쉼표 [0] 4 5 33 5" xfId="13790"/>
    <cellStyle name="쉼표 [0] 4 5 33 5 2" xfId="39142"/>
    <cellStyle name="쉼표 [0] 4 5 33 6" xfId="26470"/>
    <cellStyle name="쉼표 [0] 4 5 33 7" xfId="52802"/>
    <cellStyle name="쉼표 [0] 4 5 34" xfId="1118"/>
    <cellStyle name="쉼표 [0] 4 5 34 2" xfId="4237"/>
    <cellStyle name="쉼표 [0] 4 5 34 2 2" xfId="10573"/>
    <cellStyle name="쉼표 [0] 4 5 34 2 2 2" xfId="23246"/>
    <cellStyle name="쉼표 [0] 4 5 34 2 2 2 2" xfId="48598"/>
    <cellStyle name="쉼표 [0] 4 5 34 2 2 3" xfId="35926"/>
    <cellStyle name="쉼표 [0] 4 5 34 2 3" xfId="16910"/>
    <cellStyle name="쉼표 [0] 4 5 34 2 3 2" xfId="42262"/>
    <cellStyle name="쉼표 [0] 4 5 34 2 4" xfId="29590"/>
    <cellStyle name="쉼표 [0] 4 5 34 2 5" xfId="52803"/>
    <cellStyle name="쉼표 [0] 4 5 34 3" xfId="7455"/>
    <cellStyle name="쉼표 [0] 4 5 34 3 2" xfId="20128"/>
    <cellStyle name="쉼표 [0] 4 5 34 3 2 2" xfId="45480"/>
    <cellStyle name="쉼표 [0] 4 5 34 3 3" xfId="32808"/>
    <cellStyle name="쉼표 [0] 4 5 34 4" xfId="13792"/>
    <cellStyle name="쉼표 [0] 4 5 34 4 2" xfId="39144"/>
    <cellStyle name="쉼표 [0] 4 5 34 5" xfId="26472"/>
    <cellStyle name="쉼표 [0] 4 5 34 6" xfId="52804"/>
    <cellStyle name="쉼표 [0] 4 5 35" xfId="4238"/>
    <cellStyle name="쉼표 [0] 4 5 35 2" xfId="10574"/>
    <cellStyle name="쉼표 [0] 4 5 35 2 2" xfId="23247"/>
    <cellStyle name="쉼표 [0] 4 5 35 2 2 2" xfId="48599"/>
    <cellStyle name="쉼표 [0] 4 5 35 2 3" xfId="35927"/>
    <cellStyle name="쉼표 [0] 4 5 35 3" xfId="16911"/>
    <cellStyle name="쉼표 [0] 4 5 35 3 2" xfId="42263"/>
    <cellStyle name="쉼표 [0] 4 5 35 4" xfId="29591"/>
    <cellStyle name="쉼표 [0] 4 5 35 5" xfId="52805"/>
    <cellStyle name="쉼표 [0] 4 5 36" xfId="6409"/>
    <cellStyle name="쉼표 [0] 4 5 36 2" xfId="19082"/>
    <cellStyle name="쉼표 [0] 4 5 36 2 2" xfId="44434"/>
    <cellStyle name="쉼표 [0] 4 5 36 3" xfId="31762"/>
    <cellStyle name="쉼표 [0] 4 5 37" xfId="12746"/>
    <cellStyle name="쉼표 [0] 4 5 37 2" xfId="38098"/>
    <cellStyle name="쉼표 [0] 4 5 38" xfId="25426"/>
    <cellStyle name="쉼표 [0] 4 5 39" xfId="52806"/>
    <cellStyle name="쉼표 [0] 4 5 4" xfId="1119"/>
    <cellStyle name="쉼표 [0] 4 5 4 2" xfId="1120"/>
    <cellStyle name="쉼표 [0] 4 5 4 2 2" xfId="4239"/>
    <cellStyle name="쉼표 [0] 4 5 4 2 2 2" xfId="10575"/>
    <cellStyle name="쉼표 [0] 4 5 4 2 2 2 2" xfId="23248"/>
    <cellStyle name="쉼표 [0] 4 5 4 2 2 2 2 2" xfId="48600"/>
    <cellStyle name="쉼표 [0] 4 5 4 2 2 2 3" xfId="35928"/>
    <cellStyle name="쉼표 [0] 4 5 4 2 2 3" xfId="16912"/>
    <cellStyle name="쉼표 [0] 4 5 4 2 2 3 2" xfId="42264"/>
    <cellStyle name="쉼표 [0] 4 5 4 2 2 4" xfId="29592"/>
    <cellStyle name="쉼표 [0] 4 5 4 2 2 5" xfId="52807"/>
    <cellStyle name="쉼표 [0] 4 5 4 2 3" xfId="7457"/>
    <cellStyle name="쉼표 [0] 4 5 4 2 3 2" xfId="20130"/>
    <cellStyle name="쉼표 [0] 4 5 4 2 3 2 2" xfId="45482"/>
    <cellStyle name="쉼표 [0] 4 5 4 2 3 3" xfId="32810"/>
    <cellStyle name="쉼표 [0] 4 5 4 2 4" xfId="13794"/>
    <cellStyle name="쉼표 [0] 4 5 4 2 4 2" xfId="39146"/>
    <cellStyle name="쉼표 [0] 4 5 4 2 5" xfId="26474"/>
    <cellStyle name="쉼표 [0] 4 5 4 2 6" xfId="52808"/>
    <cellStyle name="쉼표 [0] 4 5 4 3" xfId="4240"/>
    <cellStyle name="쉼표 [0] 4 5 4 3 2" xfId="10576"/>
    <cellStyle name="쉼표 [0] 4 5 4 3 2 2" xfId="23249"/>
    <cellStyle name="쉼표 [0] 4 5 4 3 2 2 2" xfId="48601"/>
    <cellStyle name="쉼표 [0] 4 5 4 3 2 3" xfId="35929"/>
    <cellStyle name="쉼표 [0] 4 5 4 3 3" xfId="16913"/>
    <cellStyle name="쉼표 [0] 4 5 4 3 3 2" xfId="42265"/>
    <cellStyle name="쉼표 [0] 4 5 4 3 4" xfId="29593"/>
    <cellStyle name="쉼표 [0] 4 5 4 3 5" xfId="52809"/>
    <cellStyle name="쉼표 [0] 4 5 4 4" xfId="7456"/>
    <cellStyle name="쉼표 [0] 4 5 4 4 2" xfId="20129"/>
    <cellStyle name="쉼표 [0] 4 5 4 4 2 2" xfId="45481"/>
    <cellStyle name="쉼표 [0] 4 5 4 4 3" xfId="32809"/>
    <cellStyle name="쉼표 [0] 4 5 4 5" xfId="13793"/>
    <cellStyle name="쉼표 [0] 4 5 4 5 2" xfId="39145"/>
    <cellStyle name="쉼표 [0] 4 5 4 6" xfId="26473"/>
    <cellStyle name="쉼표 [0] 4 5 4 7" xfId="52810"/>
    <cellStyle name="쉼표 [0] 4 5 5" xfId="1121"/>
    <cellStyle name="쉼표 [0] 4 5 5 2" xfId="1122"/>
    <cellStyle name="쉼표 [0] 4 5 5 2 2" xfId="4241"/>
    <cellStyle name="쉼표 [0] 4 5 5 2 2 2" xfId="10577"/>
    <cellStyle name="쉼표 [0] 4 5 5 2 2 2 2" xfId="23250"/>
    <cellStyle name="쉼표 [0] 4 5 5 2 2 2 2 2" xfId="48602"/>
    <cellStyle name="쉼표 [0] 4 5 5 2 2 2 3" xfId="35930"/>
    <cellStyle name="쉼표 [0] 4 5 5 2 2 3" xfId="16914"/>
    <cellStyle name="쉼표 [0] 4 5 5 2 2 3 2" xfId="42266"/>
    <cellStyle name="쉼표 [0] 4 5 5 2 2 4" xfId="29594"/>
    <cellStyle name="쉼표 [0] 4 5 5 2 2 5" xfId="52811"/>
    <cellStyle name="쉼표 [0] 4 5 5 2 3" xfId="7459"/>
    <cellStyle name="쉼표 [0] 4 5 5 2 3 2" xfId="20132"/>
    <cellStyle name="쉼표 [0] 4 5 5 2 3 2 2" xfId="45484"/>
    <cellStyle name="쉼표 [0] 4 5 5 2 3 3" xfId="32812"/>
    <cellStyle name="쉼표 [0] 4 5 5 2 4" xfId="13796"/>
    <cellStyle name="쉼표 [0] 4 5 5 2 4 2" xfId="39148"/>
    <cellStyle name="쉼표 [0] 4 5 5 2 5" xfId="26476"/>
    <cellStyle name="쉼표 [0] 4 5 5 2 6" xfId="52812"/>
    <cellStyle name="쉼표 [0] 4 5 5 3" xfId="4242"/>
    <cellStyle name="쉼표 [0] 4 5 5 3 2" xfId="10578"/>
    <cellStyle name="쉼표 [0] 4 5 5 3 2 2" xfId="23251"/>
    <cellStyle name="쉼표 [0] 4 5 5 3 2 2 2" xfId="48603"/>
    <cellStyle name="쉼표 [0] 4 5 5 3 2 3" xfId="35931"/>
    <cellStyle name="쉼표 [0] 4 5 5 3 3" xfId="16915"/>
    <cellStyle name="쉼표 [0] 4 5 5 3 3 2" xfId="42267"/>
    <cellStyle name="쉼표 [0] 4 5 5 3 4" xfId="29595"/>
    <cellStyle name="쉼표 [0] 4 5 5 3 5" xfId="52813"/>
    <cellStyle name="쉼표 [0] 4 5 5 4" xfId="7458"/>
    <cellStyle name="쉼표 [0] 4 5 5 4 2" xfId="20131"/>
    <cellStyle name="쉼표 [0] 4 5 5 4 2 2" xfId="45483"/>
    <cellStyle name="쉼표 [0] 4 5 5 4 3" xfId="32811"/>
    <cellStyle name="쉼표 [0] 4 5 5 5" xfId="13795"/>
    <cellStyle name="쉼표 [0] 4 5 5 5 2" xfId="39147"/>
    <cellStyle name="쉼표 [0] 4 5 5 6" xfId="26475"/>
    <cellStyle name="쉼표 [0] 4 5 5 7" xfId="52814"/>
    <cellStyle name="쉼표 [0] 4 5 6" xfId="1123"/>
    <cellStyle name="쉼표 [0] 4 5 6 2" xfId="1124"/>
    <cellStyle name="쉼표 [0] 4 5 6 2 2" xfId="4243"/>
    <cellStyle name="쉼표 [0] 4 5 6 2 2 2" xfId="10579"/>
    <cellStyle name="쉼표 [0] 4 5 6 2 2 2 2" xfId="23252"/>
    <cellStyle name="쉼표 [0] 4 5 6 2 2 2 2 2" xfId="48604"/>
    <cellStyle name="쉼표 [0] 4 5 6 2 2 2 3" xfId="35932"/>
    <cellStyle name="쉼표 [0] 4 5 6 2 2 3" xfId="16916"/>
    <cellStyle name="쉼표 [0] 4 5 6 2 2 3 2" xfId="42268"/>
    <cellStyle name="쉼표 [0] 4 5 6 2 2 4" xfId="29596"/>
    <cellStyle name="쉼표 [0] 4 5 6 2 2 5" xfId="52815"/>
    <cellStyle name="쉼표 [0] 4 5 6 2 3" xfId="7461"/>
    <cellStyle name="쉼표 [0] 4 5 6 2 3 2" xfId="20134"/>
    <cellStyle name="쉼표 [0] 4 5 6 2 3 2 2" xfId="45486"/>
    <cellStyle name="쉼표 [0] 4 5 6 2 3 3" xfId="32814"/>
    <cellStyle name="쉼표 [0] 4 5 6 2 4" xfId="13798"/>
    <cellStyle name="쉼표 [0] 4 5 6 2 4 2" xfId="39150"/>
    <cellStyle name="쉼표 [0] 4 5 6 2 5" xfId="26478"/>
    <cellStyle name="쉼표 [0] 4 5 6 2 6" xfId="52816"/>
    <cellStyle name="쉼표 [0] 4 5 6 3" xfId="4244"/>
    <cellStyle name="쉼표 [0] 4 5 6 3 2" xfId="10580"/>
    <cellStyle name="쉼표 [0] 4 5 6 3 2 2" xfId="23253"/>
    <cellStyle name="쉼표 [0] 4 5 6 3 2 2 2" xfId="48605"/>
    <cellStyle name="쉼표 [0] 4 5 6 3 2 3" xfId="35933"/>
    <cellStyle name="쉼표 [0] 4 5 6 3 3" xfId="16917"/>
    <cellStyle name="쉼표 [0] 4 5 6 3 3 2" xfId="42269"/>
    <cellStyle name="쉼표 [0] 4 5 6 3 4" xfId="29597"/>
    <cellStyle name="쉼표 [0] 4 5 6 3 5" xfId="52817"/>
    <cellStyle name="쉼표 [0] 4 5 6 4" xfId="7460"/>
    <cellStyle name="쉼표 [0] 4 5 6 4 2" xfId="20133"/>
    <cellStyle name="쉼표 [0] 4 5 6 4 2 2" xfId="45485"/>
    <cellStyle name="쉼표 [0] 4 5 6 4 3" xfId="32813"/>
    <cellStyle name="쉼표 [0] 4 5 6 5" xfId="13797"/>
    <cellStyle name="쉼표 [0] 4 5 6 5 2" xfId="39149"/>
    <cellStyle name="쉼표 [0] 4 5 6 6" xfId="26477"/>
    <cellStyle name="쉼표 [0] 4 5 6 7" xfId="52818"/>
    <cellStyle name="쉼표 [0] 4 5 7" xfId="1125"/>
    <cellStyle name="쉼표 [0] 4 5 7 2" xfId="1126"/>
    <cellStyle name="쉼표 [0] 4 5 7 2 2" xfId="4245"/>
    <cellStyle name="쉼표 [0] 4 5 7 2 2 2" xfId="10581"/>
    <cellStyle name="쉼표 [0] 4 5 7 2 2 2 2" xfId="23254"/>
    <cellStyle name="쉼표 [0] 4 5 7 2 2 2 2 2" xfId="48606"/>
    <cellStyle name="쉼표 [0] 4 5 7 2 2 2 3" xfId="35934"/>
    <cellStyle name="쉼표 [0] 4 5 7 2 2 3" xfId="16918"/>
    <cellStyle name="쉼표 [0] 4 5 7 2 2 3 2" xfId="42270"/>
    <cellStyle name="쉼표 [0] 4 5 7 2 2 4" xfId="29598"/>
    <cellStyle name="쉼표 [0] 4 5 7 2 2 5" xfId="52819"/>
    <cellStyle name="쉼표 [0] 4 5 7 2 3" xfId="7463"/>
    <cellStyle name="쉼표 [0] 4 5 7 2 3 2" xfId="20136"/>
    <cellStyle name="쉼표 [0] 4 5 7 2 3 2 2" xfId="45488"/>
    <cellStyle name="쉼표 [0] 4 5 7 2 3 3" xfId="32816"/>
    <cellStyle name="쉼표 [0] 4 5 7 2 4" xfId="13800"/>
    <cellStyle name="쉼표 [0] 4 5 7 2 4 2" xfId="39152"/>
    <cellStyle name="쉼표 [0] 4 5 7 2 5" xfId="26480"/>
    <cellStyle name="쉼표 [0] 4 5 7 2 6" xfId="52820"/>
    <cellStyle name="쉼표 [0] 4 5 7 3" xfId="4246"/>
    <cellStyle name="쉼표 [0] 4 5 7 3 2" xfId="10582"/>
    <cellStyle name="쉼표 [0] 4 5 7 3 2 2" xfId="23255"/>
    <cellStyle name="쉼표 [0] 4 5 7 3 2 2 2" xfId="48607"/>
    <cellStyle name="쉼표 [0] 4 5 7 3 2 3" xfId="35935"/>
    <cellStyle name="쉼표 [0] 4 5 7 3 3" xfId="16919"/>
    <cellStyle name="쉼표 [0] 4 5 7 3 3 2" xfId="42271"/>
    <cellStyle name="쉼표 [0] 4 5 7 3 4" xfId="29599"/>
    <cellStyle name="쉼표 [0] 4 5 7 3 5" xfId="52821"/>
    <cellStyle name="쉼표 [0] 4 5 7 4" xfId="7462"/>
    <cellStyle name="쉼표 [0] 4 5 7 4 2" xfId="20135"/>
    <cellStyle name="쉼표 [0] 4 5 7 4 2 2" xfId="45487"/>
    <cellStyle name="쉼표 [0] 4 5 7 4 3" xfId="32815"/>
    <cellStyle name="쉼표 [0] 4 5 7 5" xfId="13799"/>
    <cellStyle name="쉼표 [0] 4 5 7 5 2" xfId="39151"/>
    <cellStyle name="쉼표 [0] 4 5 7 6" xfId="26479"/>
    <cellStyle name="쉼표 [0] 4 5 7 7" xfId="52822"/>
    <cellStyle name="쉼표 [0] 4 5 8" xfId="1127"/>
    <cellStyle name="쉼표 [0] 4 5 8 2" xfId="1128"/>
    <cellStyle name="쉼표 [0] 4 5 8 2 2" xfId="4247"/>
    <cellStyle name="쉼표 [0] 4 5 8 2 2 2" xfId="10583"/>
    <cellStyle name="쉼표 [0] 4 5 8 2 2 2 2" xfId="23256"/>
    <cellStyle name="쉼표 [0] 4 5 8 2 2 2 2 2" xfId="48608"/>
    <cellStyle name="쉼표 [0] 4 5 8 2 2 2 3" xfId="35936"/>
    <cellStyle name="쉼표 [0] 4 5 8 2 2 3" xfId="16920"/>
    <cellStyle name="쉼표 [0] 4 5 8 2 2 3 2" xfId="42272"/>
    <cellStyle name="쉼표 [0] 4 5 8 2 2 4" xfId="29600"/>
    <cellStyle name="쉼표 [0] 4 5 8 2 2 5" xfId="52823"/>
    <cellStyle name="쉼표 [0] 4 5 8 2 3" xfId="7465"/>
    <cellStyle name="쉼표 [0] 4 5 8 2 3 2" xfId="20138"/>
    <cellStyle name="쉼표 [0] 4 5 8 2 3 2 2" xfId="45490"/>
    <cellStyle name="쉼표 [0] 4 5 8 2 3 3" xfId="32818"/>
    <cellStyle name="쉼표 [0] 4 5 8 2 4" xfId="13802"/>
    <cellStyle name="쉼표 [0] 4 5 8 2 4 2" xfId="39154"/>
    <cellStyle name="쉼표 [0] 4 5 8 2 5" xfId="26482"/>
    <cellStyle name="쉼표 [0] 4 5 8 2 6" xfId="52824"/>
    <cellStyle name="쉼표 [0] 4 5 8 3" xfId="4248"/>
    <cellStyle name="쉼표 [0] 4 5 8 3 2" xfId="10584"/>
    <cellStyle name="쉼표 [0] 4 5 8 3 2 2" xfId="23257"/>
    <cellStyle name="쉼표 [0] 4 5 8 3 2 2 2" xfId="48609"/>
    <cellStyle name="쉼표 [0] 4 5 8 3 2 3" xfId="35937"/>
    <cellStyle name="쉼표 [0] 4 5 8 3 3" xfId="16921"/>
    <cellStyle name="쉼표 [0] 4 5 8 3 3 2" xfId="42273"/>
    <cellStyle name="쉼표 [0] 4 5 8 3 4" xfId="29601"/>
    <cellStyle name="쉼표 [0] 4 5 8 3 5" xfId="52825"/>
    <cellStyle name="쉼표 [0] 4 5 8 4" xfId="7464"/>
    <cellStyle name="쉼표 [0] 4 5 8 4 2" xfId="20137"/>
    <cellStyle name="쉼표 [0] 4 5 8 4 2 2" xfId="45489"/>
    <cellStyle name="쉼표 [0] 4 5 8 4 3" xfId="32817"/>
    <cellStyle name="쉼표 [0] 4 5 8 5" xfId="13801"/>
    <cellStyle name="쉼표 [0] 4 5 8 5 2" xfId="39153"/>
    <cellStyle name="쉼표 [0] 4 5 8 6" xfId="26481"/>
    <cellStyle name="쉼표 [0] 4 5 8 7" xfId="52826"/>
    <cellStyle name="쉼표 [0] 4 5 9" xfId="1129"/>
    <cellStyle name="쉼표 [0] 4 5 9 2" xfId="1130"/>
    <cellStyle name="쉼표 [0] 4 5 9 2 2" xfId="4249"/>
    <cellStyle name="쉼표 [0] 4 5 9 2 2 2" xfId="10585"/>
    <cellStyle name="쉼표 [0] 4 5 9 2 2 2 2" xfId="23258"/>
    <cellStyle name="쉼표 [0] 4 5 9 2 2 2 2 2" xfId="48610"/>
    <cellStyle name="쉼표 [0] 4 5 9 2 2 2 3" xfId="35938"/>
    <cellStyle name="쉼표 [0] 4 5 9 2 2 3" xfId="16922"/>
    <cellStyle name="쉼표 [0] 4 5 9 2 2 3 2" xfId="42274"/>
    <cellStyle name="쉼표 [0] 4 5 9 2 2 4" xfId="29602"/>
    <cellStyle name="쉼표 [0] 4 5 9 2 2 5" xfId="52827"/>
    <cellStyle name="쉼표 [0] 4 5 9 2 3" xfId="7467"/>
    <cellStyle name="쉼표 [0] 4 5 9 2 3 2" xfId="20140"/>
    <cellStyle name="쉼표 [0] 4 5 9 2 3 2 2" xfId="45492"/>
    <cellStyle name="쉼표 [0] 4 5 9 2 3 3" xfId="32820"/>
    <cellStyle name="쉼표 [0] 4 5 9 2 4" xfId="13804"/>
    <cellStyle name="쉼표 [0] 4 5 9 2 4 2" xfId="39156"/>
    <cellStyle name="쉼표 [0] 4 5 9 2 5" xfId="26484"/>
    <cellStyle name="쉼표 [0] 4 5 9 2 6" xfId="52828"/>
    <cellStyle name="쉼표 [0] 4 5 9 3" xfId="4250"/>
    <cellStyle name="쉼표 [0] 4 5 9 3 2" xfId="10586"/>
    <cellStyle name="쉼표 [0] 4 5 9 3 2 2" xfId="23259"/>
    <cellStyle name="쉼표 [0] 4 5 9 3 2 2 2" xfId="48611"/>
    <cellStyle name="쉼표 [0] 4 5 9 3 2 3" xfId="35939"/>
    <cellStyle name="쉼표 [0] 4 5 9 3 3" xfId="16923"/>
    <cellStyle name="쉼표 [0] 4 5 9 3 3 2" xfId="42275"/>
    <cellStyle name="쉼표 [0] 4 5 9 3 4" xfId="29603"/>
    <cellStyle name="쉼표 [0] 4 5 9 3 5" xfId="52829"/>
    <cellStyle name="쉼표 [0] 4 5 9 4" xfId="7466"/>
    <cellStyle name="쉼표 [0] 4 5 9 4 2" xfId="20139"/>
    <cellStyle name="쉼표 [0] 4 5 9 4 2 2" xfId="45491"/>
    <cellStyle name="쉼표 [0] 4 5 9 4 3" xfId="32819"/>
    <cellStyle name="쉼표 [0] 4 5 9 5" xfId="13803"/>
    <cellStyle name="쉼표 [0] 4 5 9 5 2" xfId="39155"/>
    <cellStyle name="쉼표 [0] 4 5 9 6" xfId="26483"/>
    <cellStyle name="쉼표 [0] 4 5 9 7" xfId="52830"/>
    <cellStyle name="쉼표 [0] 4 6" xfId="72"/>
    <cellStyle name="쉼표 [0] 4 6 2" xfId="1131"/>
    <cellStyle name="쉼표 [0] 4 6 2 2" xfId="4251"/>
    <cellStyle name="쉼표 [0] 4 6 2 2 2" xfId="10587"/>
    <cellStyle name="쉼표 [0] 4 6 2 2 2 2" xfId="23260"/>
    <cellStyle name="쉼표 [0] 4 6 2 2 2 2 2" xfId="48612"/>
    <cellStyle name="쉼표 [0] 4 6 2 2 2 3" xfId="35940"/>
    <cellStyle name="쉼표 [0] 4 6 2 2 3" xfId="16924"/>
    <cellStyle name="쉼표 [0] 4 6 2 2 3 2" xfId="42276"/>
    <cellStyle name="쉼표 [0] 4 6 2 2 4" xfId="29604"/>
    <cellStyle name="쉼표 [0] 4 6 2 2 5" xfId="52831"/>
    <cellStyle name="쉼표 [0] 4 6 2 3" xfId="7468"/>
    <cellStyle name="쉼표 [0] 4 6 2 3 2" xfId="20141"/>
    <cellStyle name="쉼표 [0] 4 6 2 3 2 2" xfId="45493"/>
    <cellStyle name="쉼표 [0] 4 6 2 3 3" xfId="32821"/>
    <cellStyle name="쉼표 [0] 4 6 2 4" xfId="13805"/>
    <cellStyle name="쉼표 [0] 4 6 2 4 2" xfId="39157"/>
    <cellStyle name="쉼표 [0] 4 6 2 5" xfId="26485"/>
    <cellStyle name="쉼표 [0] 4 6 2 6" xfId="52832"/>
    <cellStyle name="쉼표 [0] 4 6 3" xfId="4252"/>
    <cellStyle name="쉼표 [0] 4 6 3 2" xfId="10588"/>
    <cellStyle name="쉼표 [0] 4 6 3 2 2" xfId="23261"/>
    <cellStyle name="쉼표 [0] 4 6 3 2 2 2" xfId="48613"/>
    <cellStyle name="쉼표 [0] 4 6 3 2 3" xfId="35941"/>
    <cellStyle name="쉼표 [0] 4 6 3 3" xfId="16925"/>
    <cellStyle name="쉼표 [0] 4 6 3 3 2" xfId="42277"/>
    <cellStyle name="쉼표 [0] 4 6 3 4" xfId="29605"/>
    <cellStyle name="쉼표 [0] 4 6 3 5" xfId="52833"/>
    <cellStyle name="쉼표 [0] 4 6 4" xfId="6410"/>
    <cellStyle name="쉼표 [0] 4 6 4 2" xfId="19083"/>
    <cellStyle name="쉼표 [0] 4 6 4 2 2" xfId="44435"/>
    <cellStyle name="쉼표 [0] 4 6 4 3" xfId="31763"/>
    <cellStyle name="쉼표 [0] 4 6 5" xfId="12747"/>
    <cellStyle name="쉼표 [0] 4 6 5 2" xfId="38099"/>
    <cellStyle name="쉼표 [0] 4 6 6" xfId="25427"/>
    <cellStyle name="쉼표 [0] 4 6 7" xfId="52834"/>
    <cellStyle name="쉼표 [0] 4 7" xfId="1132"/>
    <cellStyle name="쉼표 [0] 4 7 2" xfId="1133"/>
    <cellStyle name="쉼표 [0] 4 7 2 2" xfId="4253"/>
    <cellStyle name="쉼표 [0] 4 7 2 2 2" xfId="10589"/>
    <cellStyle name="쉼표 [0] 4 7 2 2 2 2" xfId="23262"/>
    <cellStyle name="쉼표 [0] 4 7 2 2 2 2 2" xfId="48614"/>
    <cellStyle name="쉼표 [0] 4 7 2 2 2 3" xfId="35942"/>
    <cellStyle name="쉼표 [0] 4 7 2 2 3" xfId="16926"/>
    <cellStyle name="쉼표 [0] 4 7 2 2 3 2" xfId="42278"/>
    <cellStyle name="쉼표 [0] 4 7 2 2 4" xfId="29606"/>
    <cellStyle name="쉼표 [0] 4 7 2 2 5" xfId="52835"/>
    <cellStyle name="쉼표 [0] 4 7 2 3" xfId="7470"/>
    <cellStyle name="쉼표 [0] 4 7 2 3 2" xfId="20143"/>
    <cellStyle name="쉼표 [0] 4 7 2 3 2 2" xfId="45495"/>
    <cellStyle name="쉼표 [0] 4 7 2 3 3" xfId="32823"/>
    <cellStyle name="쉼표 [0] 4 7 2 4" xfId="13807"/>
    <cellStyle name="쉼표 [0] 4 7 2 4 2" xfId="39159"/>
    <cellStyle name="쉼표 [0] 4 7 2 5" xfId="26487"/>
    <cellStyle name="쉼표 [0] 4 7 2 6" xfId="52836"/>
    <cellStyle name="쉼표 [0] 4 7 3" xfId="4254"/>
    <cellStyle name="쉼표 [0] 4 7 3 2" xfId="10590"/>
    <cellStyle name="쉼표 [0] 4 7 3 2 2" xfId="23263"/>
    <cellStyle name="쉼표 [0] 4 7 3 2 2 2" xfId="48615"/>
    <cellStyle name="쉼표 [0] 4 7 3 2 3" xfId="35943"/>
    <cellStyle name="쉼표 [0] 4 7 3 3" xfId="16927"/>
    <cellStyle name="쉼표 [0] 4 7 3 3 2" xfId="42279"/>
    <cellStyle name="쉼표 [0] 4 7 3 4" xfId="29607"/>
    <cellStyle name="쉼표 [0] 4 7 3 5" xfId="52837"/>
    <cellStyle name="쉼표 [0] 4 7 4" xfId="7469"/>
    <cellStyle name="쉼표 [0] 4 7 4 2" xfId="20142"/>
    <cellStyle name="쉼표 [0] 4 7 4 2 2" xfId="45494"/>
    <cellStyle name="쉼표 [0] 4 7 4 3" xfId="32822"/>
    <cellStyle name="쉼표 [0] 4 7 5" xfId="13806"/>
    <cellStyle name="쉼표 [0] 4 7 5 2" xfId="39158"/>
    <cellStyle name="쉼표 [0] 4 7 6" xfId="26486"/>
    <cellStyle name="쉼표 [0] 4 7 7" xfId="52838"/>
    <cellStyle name="쉼표 [0] 4 8" xfId="1134"/>
    <cellStyle name="쉼표 [0] 4 8 2" xfId="1135"/>
    <cellStyle name="쉼표 [0] 4 8 2 2" xfId="4255"/>
    <cellStyle name="쉼표 [0] 4 8 2 2 2" xfId="10591"/>
    <cellStyle name="쉼표 [0] 4 8 2 2 2 2" xfId="23264"/>
    <cellStyle name="쉼표 [0] 4 8 2 2 2 2 2" xfId="48616"/>
    <cellStyle name="쉼표 [0] 4 8 2 2 2 3" xfId="35944"/>
    <cellStyle name="쉼표 [0] 4 8 2 2 3" xfId="16928"/>
    <cellStyle name="쉼표 [0] 4 8 2 2 3 2" xfId="42280"/>
    <cellStyle name="쉼표 [0] 4 8 2 2 4" xfId="29608"/>
    <cellStyle name="쉼표 [0] 4 8 2 2 5" xfId="52839"/>
    <cellStyle name="쉼표 [0] 4 8 2 3" xfId="7472"/>
    <cellStyle name="쉼표 [0] 4 8 2 3 2" xfId="20145"/>
    <cellStyle name="쉼표 [0] 4 8 2 3 2 2" xfId="45497"/>
    <cellStyle name="쉼표 [0] 4 8 2 3 3" xfId="32825"/>
    <cellStyle name="쉼표 [0] 4 8 2 4" xfId="13809"/>
    <cellStyle name="쉼표 [0] 4 8 2 4 2" xfId="39161"/>
    <cellStyle name="쉼표 [0] 4 8 2 5" xfId="26489"/>
    <cellStyle name="쉼표 [0] 4 8 2 6" xfId="52840"/>
    <cellStyle name="쉼표 [0] 4 8 3" xfId="4256"/>
    <cellStyle name="쉼표 [0] 4 8 3 2" xfId="10592"/>
    <cellStyle name="쉼표 [0] 4 8 3 2 2" xfId="23265"/>
    <cellStyle name="쉼표 [0] 4 8 3 2 2 2" xfId="48617"/>
    <cellStyle name="쉼표 [0] 4 8 3 2 3" xfId="35945"/>
    <cellStyle name="쉼표 [0] 4 8 3 3" xfId="16929"/>
    <cellStyle name="쉼표 [0] 4 8 3 3 2" xfId="42281"/>
    <cellStyle name="쉼표 [0] 4 8 3 4" xfId="29609"/>
    <cellStyle name="쉼표 [0] 4 8 3 5" xfId="52841"/>
    <cellStyle name="쉼표 [0] 4 8 4" xfId="7471"/>
    <cellStyle name="쉼표 [0] 4 8 4 2" xfId="20144"/>
    <cellStyle name="쉼표 [0] 4 8 4 2 2" xfId="45496"/>
    <cellStyle name="쉼표 [0] 4 8 4 3" xfId="32824"/>
    <cellStyle name="쉼표 [0] 4 8 5" xfId="13808"/>
    <cellStyle name="쉼표 [0] 4 8 5 2" xfId="39160"/>
    <cellStyle name="쉼표 [0] 4 8 6" xfId="26488"/>
    <cellStyle name="쉼표 [0] 4 8 7" xfId="52842"/>
    <cellStyle name="쉼표 [0] 4 9" xfId="1136"/>
    <cellStyle name="쉼표 [0] 4 9 2" xfId="1137"/>
    <cellStyle name="쉼표 [0] 4 9 2 2" xfId="4257"/>
    <cellStyle name="쉼표 [0] 4 9 2 2 2" xfId="10593"/>
    <cellStyle name="쉼표 [0] 4 9 2 2 2 2" xfId="23266"/>
    <cellStyle name="쉼표 [0] 4 9 2 2 2 2 2" xfId="48618"/>
    <cellStyle name="쉼표 [0] 4 9 2 2 2 3" xfId="35946"/>
    <cellStyle name="쉼표 [0] 4 9 2 2 3" xfId="16930"/>
    <cellStyle name="쉼표 [0] 4 9 2 2 3 2" xfId="42282"/>
    <cellStyle name="쉼표 [0] 4 9 2 2 4" xfId="29610"/>
    <cellStyle name="쉼표 [0] 4 9 2 2 5" xfId="52843"/>
    <cellStyle name="쉼표 [0] 4 9 2 3" xfId="7474"/>
    <cellStyle name="쉼표 [0] 4 9 2 3 2" xfId="20147"/>
    <cellStyle name="쉼표 [0] 4 9 2 3 2 2" xfId="45499"/>
    <cellStyle name="쉼표 [0] 4 9 2 3 3" xfId="32827"/>
    <cellStyle name="쉼표 [0] 4 9 2 4" xfId="13811"/>
    <cellStyle name="쉼표 [0] 4 9 2 4 2" xfId="39163"/>
    <cellStyle name="쉼표 [0] 4 9 2 5" xfId="26491"/>
    <cellStyle name="쉼표 [0] 4 9 2 6" xfId="52844"/>
    <cellStyle name="쉼표 [0] 4 9 3" xfId="4258"/>
    <cellStyle name="쉼표 [0] 4 9 3 2" xfId="10594"/>
    <cellStyle name="쉼표 [0] 4 9 3 2 2" xfId="23267"/>
    <cellStyle name="쉼표 [0] 4 9 3 2 2 2" xfId="48619"/>
    <cellStyle name="쉼표 [0] 4 9 3 2 3" xfId="35947"/>
    <cellStyle name="쉼표 [0] 4 9 3 3" xfId="16931"/>
    <cellStyle name="쉼표 [0] 4 9 3 3 2" xfId="42283"/>
    <cellStyle name="쉼표 [0] 4 9 3 4" xfId="29611"/>
    <cellStyle name="쉼표 [0] 4 9 3 5" xfId="52845"/>
    <cellStyle name="쉼표 [0] 4 9 4" xfId="7473"/>
    <cellStyle name="쉼표 [0] 4 9 4 2" xfId="20146"/>
    <cellStyle name="쉼표 [0] 4 9 4 2 2" xfId="45498"/>
    <cellStyle name="쉼표 [0] 4 9 4 3" xfId="32826"/>
    <cellStyle name="쉼표 [0] 4 9 5" xfId="13810"/>
    <cellStyle name="쉼표 [0] 4 9 5 2" xfId="39162"/>
    <cellStyle name="쉼표 [0] 4 9 6" xfId="26490"/>
    <cellStyle name="쉼표 [0] 4 9 7" xfId="52846"/>
    <cellStyle name="쉼표 [0] 5" xfId="35"/>
    <cellStyle name="쉼표 [0] 6" xfId="105"/>
    <cellStyle name="쉼표 [0] 7" xfId="57072"/>
    <cellStyle name="쉼표 [0] 8" xfId="25386"/>
    <cellStyle name="쉼표 [0] 9" xfId="25387"/>
    <cellStyle name="콤마 [0]_05계속비조서" xfId="55"/>
    <cellStyle name="콤마_05계속비조서" xfId="56"/>
    <cellStyle name="표준" xfId="0" builtinId="0"/>
    <cellStyle name="표준 10" xfId="57071"/>
    <cellStyle name="표준 11" xfId="57073"/>
    <cellStyle name="표준 12" xfId="57075"/>
    <cellStyle name="표준 13" xfId="57077"/>
    <cellStyle name="표준 14" xfId="57079"/>
    <cellStyle name="표준 15" xfId="57081"/>
    <cellStyle name="표준 16" xfId="57083"/>
    <cellStyle name="표준 2" xfId="4"/>
    <cellStyle name="표준 3" xfId="5"/>
    <cellStyle name="표준 4" xfId="7"/>
    <cellStyle name="표준 5" xfId="8"/>
    <cellStyle name="표준 5 10" xfId="1138"/>
    <cellStyle name="표준 5 10 2" xfId="1139"/>
    <cellStyle name="표준 5 10 2 2" xfId="4259"/>
    <cellStyle name="표준 5 10 2 2 2" xfId="10595"/>
    <cellStyle name="표준 5 10 2 2 2 2" xfId="23268"/>
    <cellStyle name="표준 5 10 2 2 2 2 2" xfId="48620"/>
    <cellStyle name="표준 5 10 2 2 2 3" xfId="35948"/>
    <cellStyle name="표준 5 10 2 2 3" xfId="16932"/>
    <cellStyle name="표준 5 10 2 2 3 2" xfId="42284"/>
    <cellStyle name="표준 5 10 2 2 4" xfId="29612"/>
    <cellStyle name="표준 5 10 2 2 5" xfId="52847"/>
    <cellStyle name="표준 5 10 2 3" xfId="7476"/>
    <cellStyle name="표준 5 10 2 3 2" xfId="20149"/>
    <cellStyle name="표준 5 10 2 3 2 2" xfId="45501"/>
    <cellStyle name="표준 5 10 2 3 3" xfId="32829"/>
    <cellStyle name="표준 5 10 2 4" xfId="13813"/>
    <cellStyle name="표준 5 10 2 4 2" xfId="39165"/>
    <cellStyle name="표준 5 10 2 5" xfId="26493"/>
    <cellStyle name="표준 5 10 2 6" xfId="52848"/>
    <cellStyle name="표준 5 10 3" xfId="4260"/>
    <cellStyle name="표준 5 10 3 2" xfId="10596"/>
    <cellStyle name="표준 5 10 3 2 2" xfId="23269"/>
    <cellStyle name="표준 5 10 3 2 2 2" xfId="48621"/>
    <cellStyle name="표준 5 10 3 2 3" xfId="35949"/>
    <cellStyle name="표준 5 10 3 3" xfId="16933"/>
    <cellStyle name="표준 5 10 3 3 2" xfId="42285"/>
    <cellStyle name="표준 5 10 3 4" xfId="29613"/>
    <cellStyle name="표준 5 10 3 5" xfId="52849"/>
    <cellStyle name="표준 5 10 4" xfId="7475"/>
    <cellStyle name="표준 5 10 4 2" xfId="20148"/>
    <cellStyle name="표준 5 10 4 2 2" xfId="45500"/>
    <cellStyle name="표준 5 10 4 3" xfId="32828"/>
    <cellStyle name="표준 5 10 5" xfId="13812"/>
    <cellStyle name="표준 5 10 5 2" xfId="39164"/>
    <cellStyle name="표준 5 10 6" xfId="26492"/>
    <cellStyle name="표준 5 10 7" xfId="52850"/>
    <cellStyle name="표준 5 11" xfId="1140"/>
    <cellStyle name="표준 5 11 2" xfId="1141"/>
    <cellStyle name="표준 5 11 2 2" xfId="4261"/>
    <cellStyle name="표준 5 11 2 2 2" xfId="10597"/>
    <cellStyle name="표준 5 11 2 2 2 2" xfId="23270"/>
    <cellStyle name="표준 5 11 2 2 2 2 2" xfId="48622"/>
    <cellStyle name="표준 5 11 2 2 2 3" xfId="35950"/>
    <cellStyle name="표준 5 11 2 2 3" xfId="16934"/>
    <cellStyle name="표준 5 11 2 2 3 2" xfId="42286"/>
    <cellStyle name="표준 5 11 2 2 4" xfId="29614"/>
    <cellStyle name="표준 5 11 2 2 5" xfId="52851"/>
    <cellStyle name="표준 5 11 2 3" xfId="7478"/>
    <cellStyle name="표준 5 11 2 3 2" xfId="20151"/>
    <cellStyle name="표준 5 11 2 3 2 2" xfId="45503"/>
    <cellStyle name="표준 5 11 2 3 3" xfId="32831"/>
    <cellStyle name="표준 5 11 2 4" xfId="13815"/>
    <cellStyle name="표준 5 11 2 4 2" xfId="39167"/>
    <cellStyle name="표준 5 11 2 5" xfId="26495"/>
    <cellStyle name="표준 5 11 2 6" xfId="52852"/>
    <cellStyle name="표준 5 11 3" xfId="4262"/>
    <cellStyle name="표준 5 11 3 2" xfId="10598"/>
    <cellStyle name="표준 5 11 3 2 2" xfId="23271"/>
    <cellStyle name="표준 5 11 3 2 2 2" xfId="48623"/>
    <cellStyle name="표준 5 11 3 2 3" xfId="35951"/>
    <cellStyle name="표준 5 11 3 3" xfId="16935"/>
    <cellStyle name="표준 5 11 3 3 2" xfId="42287"/>
    <cellStyle name="표준 5 11 3 4" xfId="29615"/>
    <cellStyle name="표준 5 11 3 5" xfId="52853"/>
    <cellStyle name="표준 5 11 4" xfId="7477"/>
    <cellStyle name="표준 5 11 4 2" xfId="20150"/>
    <cellStyle name="표준 5 11 4 2 2" xfId="45502"/>
    <cellStyle name="표준 5 11 4 3" xfId="32830"/>
    <cellStyle name="표준 5 11 5" xfId="13814"/>
    <cellStyle name="표준 5 11 5 2" xfId="39166"/>
    <cellStyle name="표준 5 11 6" xfId="26494"/>
    <cellStyle name="표준 5 11 7" xfId="52854"/>
    <cellStyle name="표준 5 12" xfId="1142"/>
    <cellStyle name="표준 5 12 2" xfId="1143"/>
    <cellStyle name="표준 5 12 2 2" xfId="4263"/>
    <cellStyle name="표준 5 12 2 2 2" xfId="10599"/>
    <cellStyle name="표준 5 12 2 2 2 2" xfId="23272"/>
    <cellStyle name="표준 5 12 2 2 2 2 2" xfId="48624"/>
    <cellStyle name="표준 5 12 2 2 2 3" xfId="35952"/>
    <cellStyle name="표준 5 12 2 2 3" xfId="16936"/>
    <cellStyle name="표준 5 12 2 2 3 2" xfId="42288"/>
    <cellStyle name="표준 5 12 2 2 4" xfId="29616"/>
    <cellStyle name="표준 5 12 2 2 5" xfId="52855"/>
    <cellStyle name="표준 5 12 2 3" xfId="7480"/>
    <cellStyle name="표준 5 12 2 3 2" xfId="20153"/>
    <cellStyle name="표준 5 12 2 3 2 2" xfId="45505"/>
    <cellStyle name="표준 5 12 2 3 3" xfId="32833"/>
    <cellStyle name="표준 5 12 2 4" xfId="13817"/>
    <cellStyle name="표준 5 12 2 4 2" xfId="39169"/>
    <cellStyle name="표준 5 12 2 5" xfId="26497"/>
    <cellStyle name="표준 5 12 2 6" xfId="52856"/>
    <cellStyle name="표준 5 12 3" xfId="4264"/>
    <cellStyle name="표준 5 12 3 2" xfId="10600"/>
    <cellStyle name="표준 5 12 3 2 2" xfId="23273"/>
    <cellStyle name="표준 5 12 3 2 2 2" xfId="48625"/>
    <cellStyle name="표준 5 12 3 2 3" xfId="35953"/>
    <cellStyle name="표준 5 12 3 3" xfId="16937"/>
    <cellStyle name="표준 5 12 3 3 2" xfId="42289"/>
    <cellStyle name="표준 5 12 3 4" xfId="29617"/>
    <cellStyle name="표준 5 12 3 5" xfId="52857"/>
    <cellStyle name="표준 5 12 4" xfId="7479"/>
    <cellStyle name="표준 5 12 4 2" xfId="20152"/>
    <cellStyle name="표준 5 12 4 2 2" xfId="45504"/>
    <cellStyle name="표준 5 12 4 3" xfId="32832"/>
    <cellStyle name="표준 5 12 5" xfId="13816"/>
    <cellStyle name="표준 5 12 5 2" xfId="39168"/>
    <cellStyle name="표준 5 12 6" xfId="26496"/>
    <cellStyle name="표준 5 12 7" xfId="52858"/>
    <cellStyle name="표준 5 13" xfId="1144"/>
    <cellStyle name="표준 5 13 2" xfId="1145"/>
    <cellStyle name="표준 5 13 2 2" xfId="4265"/>
    <cellStyle name="표준 5 13 2 2 2" xfId="10601"/>
    <cellStyle name="표준 5 13 2 2 2 2" xfId="23274"/>
    <cellStyle name="표준 5 13 2 2 2 2 2" xfId="48626"/>
    <cellStyle name="표준 5 13 2 2 2 3" xfId="35954"/>
    <cellStyle name="표준 5 13 2 2 3" xfId="16938"/>
    <cellStyle name="표준 5 13 2 2 3 2" xfId="42290"/>
    <cellStyle name="표준 5 13 2 2 4" xfId="29618"/>
    <cellStyle name="표준 5 13 2 2 5" xfId="52859"/>
    <cellStyle name="표준 5 13 2 3" xfId="7482"/>
    <cellStyle name="표준 5 13 2 3 2" xfId="20155"/>
    <cellStyle name="표준 5 13 2 3 2 2" xfId="45507"/>
    <cellStyle name="표준 5 13 2 3 3" xfId="32835"/>
    <cellStyle name="표준 5 13 2 4" xfId="13819"/>
    <cellStyle name="표준 5 13 2 4 2" xfId="39171"/>
    <cellStyle name="표준 5 13 2 5" xfId="26499"/>
    <cellStyle name="표준 5 13 2 6" xfId="52860"/>
    <cellStyle name="표준 5 13 3" xfId="4266"/>
    <cellStyle name="표준 5 13 3 2" xfId="10602"/>
    <cellStyle name="표준 5 13 3 2 2" xfId="23275"/>
    <cellStyle name="표준 5 13 3 2 2 2" xfId="48627"/>
    <cellStyle name="표준 5 13 3 2 3" xfId="35955"/>
    <cellStyle name="표준 5 13 3 3" xfId="16939"/>
    <cellStyle name="표준 5 13 3 3 2" xfId="42291"/>
    <cellStyle name="표준 5 13 3 4" xfId="29619"/>
    <cellStyle name="표준 5 13 3 5" xfId="52861"/>
    <cellStyle name="표준 5 13 4" xfId="7481"/>
    <cellStyle name="표준 5 13 4 2" xfId="20154"/>
    <cellStyle name="표준 5 13 4 2 2" xfId="45506"/>
    <cellStyle name="표준 5 13 4 3" xfId="32834"/>
    <cellStyle name="표준 5 13 5" xfId="13818"/>
    <cellStyle name="표준 5 13 5 2" xfId="39170"/>
    <cellStyle name="표준 5 13 6" xfId="26498"/>
    <cellStyle name="표준 5 13 7" xfId="52862"/>
    <cellStyle name="표준 5 14" xfId="1146"/>
    <cellStyle name="표준 5 14 2" xfId="1147"/>
    <cellStyle name="표준 5 14 2 2" xfId="4267"/>
    <cellStyle name="표준 5 14 2 2 2" xfId="10603"/>
    <cellStyle name="표준 5 14 2 2 2 2" xfId="23276"/>
    <cellStyle name="표준 5 14 2 2 2 2 2" xfId="48628"/>
    <cellStyle name="표준 5 14 2 2 2 3" xfId="35956"/>
    <cellStyle name="표준 5 14 2 2 3" xfId="16940"/>
    <cellStyle name="표준 5 14 2 2 3 2" xfId="42292"/>
    <cellStyle name="표준 5 14 2 2 4" xfId="29620"/>
    <cellStyle name="표준 5 14 2 2 5" xfId="52863"/>
    <cellStyle name="표준 5 14 2 3" xfId="7484"/>
    <cellStyle name="표준 5 14 2 3 2" xfId="20157"/>
    <cellStyle name="표준 5 14 2 3 2 2" xfId="45509"/>
    <cellStyle name="표준 5 14 2 3 3" xfId="32837"/>
    <cellStyle name="표준 5 14 2 4" xfId="13821"/>
    <cellStyle name="표준 5 14 2 4 2" xfId="39173"/>
    <cellStyle name="표준 5 14 2 5" xfId="26501"/>
    <cellStyle name="표준 5 14 2 6" xfId="52864"/>
    <cellStyle name="표준 5 14 3" xfId="4268"/>
    <cellStyle name="표준 5 14 3 2" xfId="10604"/>
    <cellStyle name="표준 5 14 3 2 2" xfId="23277"/>
    <cellStyle name="표준 5 14 3 2 2 2" xfId="48629"/>
    <cellStyle name="표준 5 14 3 2 3" xfId="35957"/>
    <cellStyle name="표준 5 14 3 3" xfId="16941"/>
    <cellStyle name="표준 5 14 3 3 2" xfId="42293"/>
    <cellStyle name="표준 5 14 3 4" xfId="29621"/>
    <cellStyle name="표준 5 14 3 5" xfId="52865"/>
    <cellStyle name="표준 5 14 4" xfId="7483"/>
    <cellStyle name="표준 5 14 4 2" xfId="20156"/>
    <cellStyle name="표준 5 14 4 2 2" xfId="45508"/>
    <cellStyle name="표준 5 14 4 3" xfId="32836"/>
    <cellStyle name="표준 5 14 5" xfId="13820"/>
    <cellStyle name="표준 5 14 5 2" xfId="39172"/>
    <cellStyle name="표준 5 14 6" xfId="26500"/>
    <cellStyle name="표준 5 14 7" xfId="52866"/>
    <cellStyle name="표준 5 15" xfId="1148"/>
    <cellStyle name="표준 5 15 2" xfId="1149"/>
    <cellStyle name="표준 5 15 2 2" xfId="4269"/>
    <cellStyle name="표준 5 15 2 2 2" xfId="10605"/>
    <cellStyle name="표준 5 15 2 2 2 2" xfId="23278"/>
    <cellStyle name="표준 5 15 2 2 2 2 2" xfId="48630"/>
    <cellStyle name="표준 5 15 2 2 2 3" xfId="35958"/>
    <cellStyle name="표준 5 15 2 2 3" xfId="16942"/>
    <cellStyle name="표준 5 15 2 2 3 2" xfId="42294"/>
    <cellStyle name="표준 5 15 2 2 4" xfId="29622"/>
    <cellStyle name="표준 5 15 2 2 5" xfId="52867"/>
    <cellStyle name="표준 5 15 2 3" xfId="7486"/>
    <cellStyle name="표준 5 15 2 3 2" xfId="20159"/>
    <cellStyle name="표준 5 15 2 3 2 2" xfId="45511"/>
    <cellStyle name="표준 5 15 2 3 3" xfId="32839"/>
    <cellStyle name="표준 5 15 2 4" xfId="13823"/>
    <cellStyle name="표준 5 15 2 4 2" xfId="39175"/>
    <cellStyle name="표준 5 15 2 5" xfId="26503"/>
    <cellStyle name="표준 5 15 2 6" xfId="52868"/>
    <cellStyle name="표준 5 15 3" xfId="4270"/>
    <cellStyle name="표준 5 15 3 2" xfId="10606"/>
    <cellStyle name="표준 5 15 3 2 2" xfId="23279"/>
    <cellStyle name="표준 5 15 3 2 2 2" xfId="48631"/>
    <cellStyle name="표준 5 15 3 2 3" xfId="35959"/>
    <cellStyle name="표준 5 15 3 3" xfId="16943"/>
    <cellStyle name="표준 5 15 3 3 2" xfId="42295"/>
    <cellStyle name="표준 5 15 3 4" xfId="29623"/>
    <cellStyle name="표준 5 15 3 5" xfId="52869"/>
    <cellStyle name="표준 5 15 4" xfId="7485"/>
    <cellStyle name="표준 5 15 4 2" xfId="20158"/>
    <cellStyle name="표준 5 15 4 2 2" xfId="45510"/>
    <cellStyle name="표준 5 15 4 3" xfId="32838"/>
    <cellStyle name="표준 5 15 5" xfId="13822"/>
    <cellStyle name="표준 5 15 5 2" xfId="39174"/>
    <cellStyle name="표준 5 15 6" xfId="26502"/>
    <cellStyle name="표준 5 15 7" xfId="52870"/>
    <cellStyle name="표준 5 16" xfId="1150"/>
    <cellStyle name="표준 5 16 2" xfId="1151"/>
    <cellStyle name="표준 5 16 2 2" xfId="4271"/>
    <cellStyle name="표준 5 16 2 2 2" xfId="10607"/>
    <cellStyle name="표준 5 16 2 2 2 2" xfId="23280"/>
    <cellStyle name="표준 5 16 2 2 2 2 2" xfId="48632"/>
    <cellStyle name="표준 5 16 2 2 2 3" xfId="35960"/>
    <cellStyle name="표준 5 16 2 2 3" xfId="16944"/>
    <cellStyle name="표준 5 16 2 2 3 2" xfId="42296"/>
    <cellStyle name="표준 5 16 2 2 4" xfId="29624"/>
    <cellStyle name="표준 5 16 2 2 5" xfId="52871"/>
    <cellStyle name="표준 5 16 2 3" xfId="7488"/>
    <cellStyle name="표준 5 16 2 3 2" xfId="20161"/>
    <cellStyle name="표준 5 16 2 3 2 2" xfId="45513"/>
    <cellStyle name="표준 5 16 2 3 3" xfId="32841"/>
    <cellStyle name="표준 5 16 2 4" xfId="13825"/>
    <cellStyle name="표준 5 16 2 4 2" xfId="39177"/>
    <cellStyle name="표준 5 16 2 5" xfId="26505"/>
    <cellStyle name="표준 5 16 2 6" xfId="52872"/>
    <cellStyle name="표준 5 16 3" xfId="4272"/>
    <cellStyle name="표준 5 16 3 2" xfId="10608"/>
    <cellStyle name="표준 5 16 3 2 2" xfId="23281"/>
    <cellStyle name="표준 5 16 3 2 2 2" xfId="48633"/>
    <cellStyle name="표준 5 16 3 2 3" xfId="35961"/>
    <cellStyle name="표준 5 16 3 3" xfId="16945"/>
    <cellStyle name="표준 5 16 3 3 2" xfId="42297"/>
    <cellStyle name="표준 5 16 3 4" xfId="29625"/>
    <cellStyle name="표준 5 16 3 5" xfId="52873"/>
    <cellStyle name="표준 5 16 4" xfId="7487"/>
    <cellStyle name="표준 5 16 4 2" xfId="20160"/>
    <cellStyle name="표준 5 16 4 2 2" xfId="45512"/>
    <cellStyle name="표준 5 16 4 3" xfId="32840"/>
    <cellStyle name="표준 5 16 5" xfId="13824"/>
    <cellStyle name="표준 5 16 5 2" xfId="39176"/>
    <cellStyle name="표준 5 16 6" xfId="26504"/>
    <cellStyle name="표준 5 16 7" xfId="52874"/>
    <cellStyle name="표준 5 17" xfId="1152"/>
    <cellStyle name="표준 5 17 2" xfId="1153"/>
    <cellStyle name="표준 5 17 2 2" xfId="4273"/>
    <cellStyle name="표준 5 17 2 2 2" xfId="10609"/>
    <cellStyle name="표준 5 17 2 2 2 2" xfId="23282"/>
    <cellStyle name="표준 5 17 2 2 2 2 2" xfId="48634"/>
    <cellStyle name="표준 5 17 2 2 2 3" xfId="35962"/>
    <cellStyle name="표준 5 17 2 2 3" xfId="16946"/>
    <cellStyle name="표준 5 17 2 2 3 2" xfId="42298"/>
    <cellStyle name="표준 5 17 2 2 4" xfId="29626"/>
    <cellStyle name="표준 5 17 2 2 5" xfId="52875"/>
    <cellStyle name="표준 5 17 2 3" xfId="7490"/>
    <cellStyle name="표준 5 17 2 3 2" xfId="20163"/>
    <cellStyle name="표준 5 17 2 3 2 2" xfId="45515"/>
    <cellStyle name="표준 5 17 2 3 3" xfId="32843"/>
    <cellStyle name="표준 5 17 2 4" xfId="13827"/>
    <cellStyle name="표준 5 17 2 4 2" xfId="39179"/>
    <cellStyle name="표준 5 17 2 5" xfId="26507"/>
    <cellStyle name="표준 5 17 2 6" xfId="52876"/>
    <cellStyle name="표준 5 17 3" xfId="4274"/>
    <cellStyle name="표준 5 17 3 2" xfId="10610"/>
    <cellStyle name="표준 5 17 3 2 2" xfId="23283"/>
    <cellStyle name="표준 5 17 3 2 2 2" xfId="48635"/>
    <cellStyle name="표준 5 17 3 2 3" xfId="35963"/>
    <cellStyle name="표준 5 17 3 3" xfId="16947"/>
    <cellStyle name="표준 5 17 3 3 2" xfId="42299"/>
    <cellStyle name="표준 5 17 3 4" xfId="29627"/>
    <cellStyle name="표준 5 17 3 5" xfId="52877"/>
    <cellStyle name="표준 5 17 4" xfId="7489"/>
    <cellStyle name="표준 5 17 4 2" xfId="20162"/>
    <cellStyle name="표준 5 17 4 2 2" xfId="45514"/>
    <cellStyle name="표준 5 17 4 3" xfId="32842"/>
    <cellStyle name="표준 5 17 5" xfId="13826"/>
    <cellStyle name="표준 5 17 5 2" xfId="39178"/>
    <cellStyle name="표준 5 17 6" xfId="26506"/>
    <cellStyle name="표준 5 17 7" xfId="52878"/>
    <cellStyle name="표준 5 18" xfId="1154"/>
    <cellStyle name="표준 5 18 2" xfId="1155"/>
    <cellStyle name="표준 5 18 2 2" xfId="4275"/>
    <cellStyle name="표준 5 18 2 2 2" xfId="10611"/>
    <cellStyle name="표준 5 18 2 2 2 2" xfId="23284"/>
    <cellStyle name="표준 5 18 2 2 2 2 2" xfId="48636"/>
    <cellStyle name="표준 5 18 2 2 2 3" xfId="35964"/>
    <cellStyle name="표준 5 18 2 2 3" xfId="16948"/>
    <cellStyle name="표준 5 18 2 2 3 2" xfId="42300"/>
    <cellStyle name="표준 5 18 2 2 4" xfId="29628"/>
    <cellStyle name="표준 5 18 2 2 5" xfId="52879"/>
    <cellStyle name="표준 5 18 2 3" xfId="7492"/>
    <cellStyle name="표준 5 18 2 3 2" xfId="20165"/>
    <cellStyle name="표준 5 18 2 3 2 2" xfId="45517"/>
    <cellStyle name="표준 5 18 2 3 3" xfId="32845"/>
    <cellStyle name="표준 5 18 2 4" xfId="13829"/>
    <cellStyle name="표준 5 18 2 4 2" xfId="39181"/>
    <cellStyle name="표준 5 18 2 5" xfId="26509"/>
    <cellStyle name="표준 5 18 2 6" xfId="52880"/>
    <cellStyle name="표준 5 18 3" xfId="4276"/>
    <cellStyle name="표준 5 18 3 2" xfId="10612"/>
    <cellStyle name="표준 5 18 3 2 2" xfId="23285"/>
    <cellStyle name="표준 5 18 3 2 2 2" xfId="48637"/>
    <cellStyle name="표준 5 18 3 2 3" xfId="35965"/>
    <cellStyle name="표준 5 18 3 3" xfId="16949"/>
    <cellStyle name="표준 5 18 3 3 2" xfId="42301"/>
    <cellStyle name="표준 5 18 3 4" xfId="29629"/>
    <cellStyle name="표준 5 18 3 5" xfId="52881"/>
    <cellStyle name="표준 5 18 4" xfId="7491"/>
    <cellStyle name="표준 5 18 4 2" xfId="20164"/>
    <cellStyle name="표준 5 18 4 2 2" xfId="45516"/>
    <cellStyle name="표준 5 18 4 3" xfId="32844"/>
    <cellStyle name="표준 5 18 5" xfId="13828"/>
    <cellStyle name="표준 5 18 5 2" xfId="39180"/>
    <cellStyle name="표준 5 18 6" xfId="26508"/>
    <cellStyle name="표준 5 18 7" xfId="52882"/>
    <cellStyle name="표준 5 19" xfId="1156"/>
    <cellStyle name="표준 5 19 2" xfId="1157"/>
    <cellStyle name="표준 5 19 2 2" xfId="4277"/>
    <cellStyle name="표준 5 19 2 2 2" xfId="10613"/>
    <cellStyle name="표준 5 19 2 2 2 2" xfId="23286"/>
    <cellStyle name="표준 5 19 2 2 2 2 2" xfId="48638"/>
    <cellStyle name="표준 5 19 2 2 2 3" xfId="35966"/>
    <cellStyle name="표준 5 19 2 2 3" xfId="16950"/>
    <cellStyle name="표준 5 19 2 2 3 2" xfId="42302"/>
    <cellStyle name="표준 5 19 2 2 4" xfId="29630"/>
    <cellStyle name="표준 5 19 2 2 5" xfId="52883"/>
    <cellStyle name="표준 5 19 2 3" xfId="7494"/>
    <cellStyle name="표준 5 19 2 3 2" xfId="20167"/>
    <cellStyle name="표준 5 19 2 3 2 2" xfId="45519"/>
    <cellStyle name="표준 5 19 2 3 3" xfId="32847"/>
    <cellStyle name="표준 5 19 2 4" xfId="13831"/>
    <cellStyle name="표준 5 19 2 4 2" xfId="39183"/>
    <cellStyle name="표준 5 19 2 5" xfId="26511"/>
    <cellStyle name="표준 5 19 2 6" xfId="52884"/>
    <cellStyle name="표준 5 19 3" xfId="4278"/>
    <cellStyle name="표준 5 19 3 2" xfId="10614"/>
    <cellStyle name="표준 5 19 3 2 2" xfId="23287"/>
    <cellStyle name="표준 5 19 3 2 2 2" xfId="48639"/>
    <cellStyle name="표준 5 19 3 2 3" xfId="35967"/>
    <cellStyle name="표준 5 19 3 3" xfId="16951"/>
    <cellStyle name="표준 5 19 3 3 2" xfId="42303"/>
    <cellStyle name="표준 5 19 3 4" xfId="29631"/>
    <cellStyle name="표준 5 19 3 5" xfId="52885"/>
    <cellStyle name="표준 5 19 4" xfId="7493"/>
    <cellStyle name="표준 5 19 4 2" xfId="20166"/>
    <cellStyle name="표준 5 19 4 2 2" xfId="45518"/>
    <cellStyle name="표준 5 19 4 3" xfId="32846"/>
    <cellStyle name="표준 5 19 5" xfId="13830"/>
    <cellStyle name="표준 5 19 5 2" xfId="39182"/>
    <cellStyle name="표준 5 19 6" xfId="26510"/>
    <cellStyle name="표준 5 19 7" xfId="52886"/>
    <cellStyle name="표준 5 2" xfId="15"/>
    <cellStyle name="표준 5 2 10" xfId="1158"/>
    <cellStyle name="표준 5 2 10 2" xfId="1159"/>
    <cellStyle name="표준 5 2 10 2 2" xfId="4279"/>
    <cellStyle name="표준 5 2 10 2 2 2" xfId="10615"/>
    <cellStyle name="표준 5 2 10 2 2 2 2" xfId="23288"/>
    <cellStyle name="표준 5 2 10 2 2 2 2 2" xfId="48640"/>
    <cellStyle name="표준 5 2 10 2 2 2 3" xfId="35968"/>
    <cellStyle name="표준 5 2 10 2 2 3" xfId="16952"/>
    <cellStyle name="표준 5 2 10 2 2 3 2" xfId="42304"/>
    <cellStyle name="표준 5 2 10 2 2 4" xfId="29632"/>
    <cellStyle name="표준 5 2 10 2 2 5" xfId="52887"/>
    <cellStyle name="표준 5 2 10 2 3" xfId="7496"/>
    <cellStyle name="표준 5 2 10 2 3 2" xfId="20169"/>
    <cellStyle name="표준 5 2 10 2 3 2 2" xfId="45521"/>
    <cellStyle name="표준 5 2 10 2 3 3" xfId="32849"/>
    <cellStyle name="표준 5 2 10 2 4" xfId="13833"/>
    <cellStyle name="표준 5 2 10 2 4 2" xfId="39185"/>
    <cellStyle name="표준 5 2 10 2 5" xfId="26513"/>
    <cellStyle name="표준 5 2 10 2 6" xfId="52888"/>
    <cellStyle name="표준 5 2 10 3" xfId="4280"/>
    <cellStyle name="표준 5 2 10 3 2" xfId="10616"/>
    <cellStyle name="표준 5 2 10 3 2 2" xfId="23289"/>
    <cellStyle name="표준 5 2 10 3 2 2 2" xfId="48641"/>
    <cellStyle name="표준 5 2 10 3 2 3" xfId="35969"/>
    <cellStyle name="표준 5 2 10 3 3" xfId="16953"/>
    <cellStyle name="표준 5 2 10 3 3 2" xfId="42305"/>
    <cellStyle name="표준 5 2 10 3 4" xfId="29633"/>
    <cellStyle name="표준 5 2 10 3 5" xfId="52889"/>
    <cellStyle name="표준 5 2 10 4" xfId="7495"/>
    <cellStyle name="표준 5 2 10 4 2" xfId="20168"/>
    <cellStyle name="표준 5 2 10 4 2 2" xfId="45520"/>
    <cellStyle name="표준 5 2 10 4 3" xfId="32848"/>
    <cellStyle name="표준 5 2 10 5" xfId="13832"/>
    <cellStyle name="표준 5 2 10 5 2" xfId="39184"/>
    <cellStyle name="표준 5 2 10 6" xfId="26512"/>
    <cellStyle name="표준 5 2 10 7" xfId="52890"/>
    <cellStyle name="표준 5 2 11" xfId="1160"/>
    <cellStyle name="표준 5 2 11 2" xfId="1161"/>
    <cellStyle name="표준 5 2 11 2 2" xfId="4281"/>
    <cellStyle name="표준 5 2 11 2 2 2" xfId="10617"/>
    <cellStyle name="표준 5 2 11 2 2 2 2" xfId="23290"/>
    <cellStyle name="표준 5 2 11 2 2 2 2 2" xfId="48642"/>
    <cellStyle name="표준 5 2 11 2 2 2 3" xfId="35970"/>
    <cellStyle name="표준 5 2 11 2 2 3" xfId="16954"/>
    <cellStyle name="표준 5 2 11 2 2 3 2" xfId="42306"/>
    <cellStyle name="표준 5 2 11 2 2 4" xfId="29634"/>
    <cellStyle name="표준 5 2 11 2 2 5" xfId="52891"/>
    <cellStyle name="표준 5 2 11 2 3" xfId="7498"/>
    <cellStyle name="표준 5 2 11 2 3 2" xfId="20171"/>
    <cellStyle name="표준 5 2 11 2 3 2 2" xfId="45523"/>
    <cellStyle name="표준 5 2 11 2 3 3" xfId="32851"/>
    <cellStyle name="표준 5 2 11 2 4" xfId="13835"/>
    <cellStyle name="표준 5 2 11 2 4 2" xfId="39187"/>
    <cellStyle name="표준 5 2 11 2 5" xfId="26515"/>
    <cellStyle name="표준 5 2 11 2 6" xfId="52892"/>
    <cellStyle name="표준 5 2 11 3" xfId="4282"/>
    <cellStyle name="표준 5 2 11 3 2" xfId="10618"/>
    <cellStyle name="표준 5 2 11 3 2 2" xfId="23291"/>
    <cellStyle name="표준 5 2 11 3 2 2 2" xfId="48643"/>
    <cellStyle name="표준 5 2 11 3 2 3" xfId="35971"/>
    <cellStyle name="표준 5 2 11 3 3" xfId="16955"/>
    <cellStyle name="표준 5 2 11 3 3 2" xfId="42307"/>
    <cellStyle name="표준 5 2 11 3 4" xfId="29635"/>
    <cellStyle name="표준 5 2 11 3 5" xfId="52893"/>
    <cellStyle name="표준 5 2 11 4" xfId="7497"/>
    <cellStyle name="표준 5 2 11 4 2" xfId="20170"/>
    <cellStyle name="표준 5 2 11 4 2 2" xfId="45522"/>
    <cellStyle name="표준 5 2 11 4 3" xfId="32850"/>
    <cellStyle name="표준 5 2 11 5" xfId="13834"/>
    <cellStyle name="표준 5 2 11 5 2" xfId="39186"/>
    <cellStyle name="표준 5 2 11 6" xfId="26514"/>
    <cellStyle name="표준 5 2 11 7" xfId="52894"/>
    <cellStyle name="표준 5 2 12" xfId="1162"/>
    <cellStyle name="표준 5 2 12 2" xfId="1163"/>
    <cellStyle name="표준 5 2 12 2 2" xfId="4283"/>
    <cellStyle name="표준 5 2 12 2 2 2" xfId="10619"/>
    <cellStyle name="표준 5 2 12 2 2 2 2" xfId="23292"/>
    <cellStyle name="표준 5 2 12 2 2 2 2 2" xfId="48644"/>
    <cellStyle name="표준 5 2 12 2 2 2 3" xfId="35972"/>
    <cellStyle name="표준 5 2 12 2 2 3" xfId="16956"/>
    <cellStyle name="표준 5 2 12 2 2 3 2" xfId="42308"/>
    <cellStyle name="표준 5 2 12 2 2 4" xfId="29636"/>
    <cellStyle name="표준 5 2 12 2 2 5" xfId="52895"/>
    <cellStyle name="표준 5 2 12 2 3" xfId="7500"/>
    <cellStyle name="표준 5 2 12 2 3 2" xfId="20173"/>
    <cellStyle name="표준 5 2 12 2 3 2 2" xfId="45525"/>
    <cellStyle name="표준 5 2 12 2 3 3" xfId="32853"/>
    <cellStyle name="표준 5 2 12 2 4" xfId="13837"/>
    <cellStyle name="표준 5 2 12 2 4 2" xfId="39189"/>
    <cellStyle name="표준 5 2 12 2 5" xfId="26517"/>
    <cellStyle name="표준 5 2 12 2 6" xfId="52896"/>
    <cellStyle name="표준 5 2 12 3" xfId="4284"/>
    <cellStyle name="표준 5 2 12 3 2" xfId="10620"/>
    <cellStyle name="표준 5 2 12 3 2 2" xfId="23293"/>
    <cellStyle name="표준 5 2 12 3 2 2 2" xfId="48645"/>
    <cellStyle name="표준 5 2 12 3 2 3" xfId="35973"/>
    <cellStyle name="표준 5 2 12 3 3" xfId="16957"/>
    <cellStyle name="표준 5 2 12 3 3 2" xfId="42309"/>
    <cellStyle name="표준 5 2 12 3 4" xfId="29637"/>
    <cellStyle name="표준 5 2 12 3 5" xfId="52897"/>
    <cellStyle name="표준 5 2 12 4" xfId="7499"/>
    <cellStyle name="표준 5 2 12 4 2" xfId="20172"/>
    <cellStyle name="표준 5 2 12 4 2 2" xfId="45524"/>
    <cellStyle name="표준 5 2 12 4 3" xfId="32852"/>
    <cellStyle name="표준 5 2 12 5" xfId="13836"/>
    <cellStyle name="표준 5 2 12 5 2" xfId="39188"/>
    <cellStyle name="표준 5 2 12 6" xfId="26516"/>
    <cellStyle name="표준 5 2 12 7" xfId="52898"/>
    <cellStyle name="표준 5 2 13" xfId="1164"/>
    <cellStyle name="표준 5 2 13 2" xfId="1165"/>
    <cellStyle name="표준 5 2 13 2 2" xfId="4285"/>
    <cellStyle name="표준 5 2 13 2 2 2" xfId="10621"/>
    <cellStyle name="표준 5 2 13 2 2 2 2" xfId="23294"/>
    <cellStyle name="표준 5 2 13 2 2 2 2 2" xfId="48646"/>
    <cellStyle name="표준 5 2 13 2 2 2 3" xfId="35974"/>
    <cellStyle name="표준 5 2 13 2 2 3" xfId="16958"/>
    <cellStyle name="표준 5 2 13 2 2 3 2" xfId="42310"/>
    <cellStyle name="표준 5 2 13 2 2 4" xfId="29638"/>
    <cellStyle name="표준 5 2 13 2 2 5" xfId="52899"/>
    <cellStyle name="표준 5 2 13 2 3" xfId="7502"/>
    <cellStyle name="표준 5 2 13 2 3 2" xfId="20175"/>
    <cellStyle name="표준 5 2 13 2 3 2 2" xfId="45527"/>
    <cellStyle name="표준 5 2 13 2 3 3" xfId="32855"/>
    <cellStyle name="표준 5 2 13 2 4" xfId="13839"/>
    <cellStyle name="표준 5 2 13 2 4 2" xfId="39191"/>
    <cellStyle name="표준 5 2 13 2 5" xfId="26519"/>
    <cellStyle name="표준 5 2 13 2 6" xfId="52900"/>
    <cellStyle name="표준 5 2 13 3" xfId="4286"/>
    <cellStyle name="표준 5 2 13 3 2" xfId="10622"/>
    <cellStyle name="표준 5 2 13 3 2 2" xfId="23295"/>
    <cellStyle name="표준 5 2 13 3 2 2 2" xfId="48647"/>
    <cellStyle name="표준 5 2 13 3 2 3" xfId="35975"/>
    <cellStyle name="표준 5 2 13 3 3" xfId="16959"/>
    <cellStyle name="표준 5 2 13 3 3 2" xfId="42311"/>
    <cellStyle name="표준 5 2 13 3 4" xfId="29639"/>
    <cellStyle name="표준 5 2 13 3 5" xfId="52901"/>
    <cellStyle name="표준 5 2 13 4" xfId="7501"/>
    <cellStyle name="표준 5 2 13 4 2" xfId="20174"/>
    <cellStyle name="표준 5 2 13 4 2 2" xfId="45526"/>
    <cellStyle name="표준 5 2 13 4 3" xfId="32854"/>
    <cellStyle name="표준 5 2 13 5" xfId="13838"/>
    <cellStyle name="표준 5 2 13 5 2" xfId="39190"/>
    <cellStyle name="표준 5 2 13 6" xfId="26518"/>
    <cellStyle name="표준 5 2 13 7" xfId="52902"/>
    <cellStyle name="표준 5 2 14" xfId="1166"/>
    <cellStyle name="표준 5 2 14 2" xfId="1167"/>
    <cellStyle name="표준 5 2 14 2 2" xfId="4287"/>
    <cellStyle name="표준 5 2 14 2 2 2" xfId="10623"/>
    <cellStyle name="표준 5 2 14 2 2 2 2" xfId="23296"/>
    <cellStyle name="표준 5 2 14 2 2 2 2 2" xfId="48648"/>
    <cellStyle name="표준 5 2 14 2 2 2 3" xfId="35976"/>
    <cellStyle name="표준 5 2 14 2 2 3" xfId="16960"/>
    <cellStyle name="표준 5 2 14 2 2 3 2" xfId="42312"/>
    <cellStyle name="표준 5 2 14 2 2 4" xfId="29640"/>
    <cellStyle name="표준 5 2 14 2 2 5" xfId="52903"/>
    <cellStyle name="표준 5 2 14 2 3" xfId="7504"/>
    <cellStyle name="표준 5 2 14 2 3 2" xfId="20177"/>
    <cellStyle name="표준 5 2 14 2 3 2 2" xfId="45529"/>
    <cellStyle name="표준 5 2 14 2 3 3" xfId="32857"/>
    <cellStyle name="표준 5 2 14 2 4" xfId="13841"/>
    <cellStyle name="표준 5 2 14 2 4 2" xfId="39193"/>
    <cellStyle name="표준 5 2 14 2 5" xfId="26521"/>
    <cellStyle name="표준 5 2 14 2 6" xfId="52904"/>
    <cellStyle name="표준 5 2 14 3" xfId="4288"/>
    <cellStyle name="표준 5 2 14 3 2" xfId="10624"/>
    <cellStyle name="표준 5 2 14 3 2 2" xfId="23297"/>
    <cellStyle name="표준 5 2 14 3 2 2 2" xfId="48649"/>
    <cellStyle name="표준 5 2 14 3 2 3" xfId="35977"/>
    <cellStyle name="표준 5 2 14 3 3" xfId="16961"/>
    <cellStyle name="표준 5 2 14 3 3 2" xfId="42313"/>
    <cellStyle name="표준 5 2 14 3 4" xfId="29641"/>
    <cellStyle name="표준 5 2 14 3 5" xfId="52905"/>
    <cellStyle name="표준 5 2 14 4" xfId="7503"/>
    <cellStyle name="표준 5 2 14 4 2" xfId="20176"/>
    <cellStyle name="표준 5 2 14 4 2 2" xfId="45528"/>
    <cellStyle name="표준 5 2 14 4 3" xfId="32856"/>
    <cellStyle name="표준 5 2 14 5" xfId="13840"/>
    <cellStyle name="표준 5 2 14 5 2" xfId="39192"/>
    <cellStyle name="표준 5 2 14 6" xfId="26520"/>
    <cellStyle name="표준 5 2 14 7" xfId="52906"/>
    <cellStyle name="표준 5 2 15" xfId="1168"/>
    <cellStyle name="표준 5 2 15 2" xfId="1169"/>
    <cellStyle name="표준 5 2 15 2 2" xfId="4289"/>
    <cellStyle name="표준 5 2 15 2 2 2" xfId="10625"/>
    <cellStyle name="표준 5 2 15 2 2 2 2" xfId="23298"/>
    <cellStyle name="표준 5 2 15 2 2 2 2 2" xfId="48650"/>
    <cellStyle name="표준 5 2 15 2 2 2 3" xfId="35978"/>
    <cellStyle name="표준 5 2 15 2 2 3" xfId="16962"/>
    <cellStyle name="표준 5 2 15 2 2 3 2" xfId="42314"/>
    <cellStyle name="표준 5 2 15 2 2 4" xfId="29642"/>
    <cellStyle name="표준 5 2 15 2 2 5" xfId="52907"/>
    <cellStyle name="표준 5 2 15 2 3" xfId="7506"/>
    <cellStyle name="표준 5 2 15 2 3 2" xfId="20179"/>
    <cellStyle name="표준 5 2 15 2 3 2 2" xfId="45531"/>
    <cellStyle name="표준 5 2 15 2 3 3" xfId="32859"/>
    <cellStyle name="표준 5 2 15 2 4" xfId="13843"/>
    <cellStyle name="표준 5 2 15 2 4 2" xfId="39195"/>
    <cellStyle name="표준 5 2 15 2 5" xfId="26523"/>
    <cellStyle name="표준 5 2 15 2 6" xfId="52908"/>
    <cellStyle name="표준 5 2 15 3" xfId="4290"/>
    <cellStyle name="표준 5 2 15 3 2" xfId="10626"/>
    <cellStyle name="표준 5 2 15 3 2 2" xfId="23299"/>
    <cellStyle name="표준 5 2 15 3 2 2 2" xfId="48651"/>
    <cellStyle name="표준 5 2 15 3 2 3" xfId="35979"/>
    <cellStyle name="표준 5 2 15 3 3" xfId="16963"/>
    <cellStyle name="표준 5 2 15 3 3 2" xfId="42315"/>
    <cellStyle name="표준 5 2 15 3 4" xfId="29643"/>
    <cellStyle name="표준 5 2 15 3 5" xfId="52909"/>
    <cellStyle name="표준 5 2 15 4" xfId="7505"/>
    <cellStyle name="표준 5 2 15 4 2" xfId="20178"/>
    <cellStyle name="표준 5 2 15 4 2 2" xfId="45530"/>
    <cellStyle name="표준 5 2 15 4 3" xfId="32858"/>
    <cellStyle name="표준 5 2 15 5" xfId="13842"/>
    <cellStyle name="표준 5 2 15 5 2" xfId="39194"/>
    <cellStyle name="표준 5 2 15 6" xfId="26522"/>
    <cellStyle name="표준 5 2 15 7" xfId="52910"/>
    <cellStyle name="표준 5 2 16" xfId="1170"/>
    <cellStyle name="표준 5 2 16 2" xfId="1171"/>
    <cellStyle name="표준 5 2 16 2 2" xfId="4291"/>
    <cellStyle name="표준 5 2 16 2 2 2" xfId="10627"/>
    <cellStyle name="표준 5 2 16 2 2 2 2" xfId="23300"/>
    <cellStyle name="표준 5 2 16 2 2 2 2 2" xfId="48652"/>
    <cellStyle name="표준 5 2 16 2 2 2 3" xfId="35980"/>
    <cellStyle name="표준 5 2 16 2 2 3" xfId="16964"/>
    <cellStyle name="표준 5 2 16 2 2 3 2" xfId="42316"/>
    <cellStyle name="표준 5 2 16 2 2 4" xfId="29644"/>
    <cellStyle name="표준 5 2 16 2 2 5" xfId="52911"/>
    <cellStyle name="표준 5 2 16 2 3" xfId="7508"/>
    <cellStyle name="표준 5 2 16 2 3 2" xfId="20181"/>
    <cellStyle name="표준 5 2 16 2 3 2 2" xfId="45533"/>
    <cellStyle name="표준 5 2 16 2 3 3" xfId="32861"/>
    <cellStyle name="표준 5 2 16 2 4" xfId="13845"/>
    <cellStyle name="표준 5 2 16 2 4 2" xfId="39197"/>
    <cellStyle name="표준 5 2 16 2 5" xfId="26525"/>
    <cellStyle name="표준 5 2 16 2 6" xfId="52912"/>
    <cellStyle name="표준 5 2 16 3" xfId="4292"/>
    <cellStyle name="표준 5 2 16 3 2" xfId="10628"/>
    <cellStyle name="표준 5 2 16 3 2 2" xfId="23301"/>
    <cellStyle name="표준 5 2 16 3 2 2 2" xfId="48653"/>
    <cellStyle name="표준 5 2 16 3 2 3" xfId="35981"/>
    <cellStyle name="표준 5 2 16 3 3" xfId="16965"/>
    <cellStyle name="표준 5 2 16 3 3 2" xfId="42317"/>
    <cellStyle name="표준 5 2 16 3 4" xfId="29645"/>
    <cellStyle name="표준 5 2 16 3 5" xfId="52913"/>
    <cellStyle name="표준 5 2 16 4" xfId="7507"/>
    <cellStyle name="표준 5 2 16 4 2" xfId="20180"/>
    <cellStyle name="표준 5 2 16 4 2 2" xfId="45532"/>
    <cellStyle name="표준 5 2 16 4 3" xfId="32860"/>
    <cellStyle name="표준 5 2 16 5" xfId="13844"/>
    <cellStyle name="표준 5 2 16 5 2" xfId="39196"/>
    <cellStyle name="표준 5 2 16 6" xfId="26524"/>
    <cellStyle name="표준 5 2 16 7" xfId="52914"/>
    <cellStyle name="표준 5 2 17" xfId="1172"/>
    <cellStyle name="표준 5 2 17 2" xfId="1173"/>
    <cellStyle name="표준 5 2 17 2 2" xfId="4293"/>
    <cellStyle name="표준 5 2 17 2 2 2" xfId="10629"/>
    <cellStyle name="표준 5 2 17 2 2 2 2" xfId="23302"/>
    <cellStyle name="표준 5 2 17 2 2 2 2 2" xfId="48654"/>
    <cellStyle name="표준 5 2 17 2 2 2 3" xfId="35982"/>
    <cellStyle name="표준 5 2 17 2 2 3" xfId="16966"/>
    <cellStyle name="표준 5 2 17 2 2 3 2" xfId="42318"/>
    <cellStyle name="표준 5 2 17 2 2 4" xfId="29646"/>
    <cellStyle name="표준 5 2 17 2 2 5" xfId="52915"/>
    <cellStyle name="표준 5 2 17 2 3" xfId="7510"/>
    <cellStyle name="표준 5 2 17 2 3 2" xfId="20183"/>
    <cellStyle name="표준 5 2 17 2 3 2 2" xfId="45535"/>
    <cellStyle name="표준 5 2 17 2 3 3" xfId="32863"/>
    <cellStyle name="표준 5 2 17 2 4" xfId="13847"/>
    <cellStyle name="표준 5 2 17 2 4 2" xfId="39199"/>
    <cellStyle name="표준 5 2 17 2 5" xfId="26527"/>
    <cellStyle name="표준 5 2 17 2 6" xfId="52916"/>
    <cellStyle name="표준 5 2 17 3" xfId="4294"/>
    <cellStyle name="표준 5 2 17 3 2" xfId="10630"/>
    <cellStyle name="표준 5 2 17 3 2 2" xfId="23303"/>
    <cellStyle name="표준 5 2 17 3 2 2 2" xfId="48655"/>
    <cellStyle name="표준 5 2 17 3 2 3" xfId="35983"/>
    <cellStyle name="표준 5 2 17 3 3" xfId="16967"/>
    <cellStyle name="표준 5 2 17 3 3 2" xfId="42319"/>
    <cellStyle name="표준 5 2 17 3 4" xfId="29647"/>
    <cellStyle name="표준 5 2 17 3 5" xfId="52917"/>
    <cellStyle name="표준 5 2 17 4" xfId="7509"/>
    <cellStyle name="표준 5 2 17 4 2" xfId="20182"/>
    <cellStyle name="표준 5 2 17 4 2 2" xfId="45534"/>
    <cellStyle name="표준 5 2 17 4 3" xfId="32862"/>
    <cellStyle name="표준 5 2 17 5" xfId="13846"/>
    <cellStyle name="표준 5 2 17 5 2" xfId="39198"/>
    <cellStyle name="표준 5 2 17 6" xfId="26526"/>
    <cellStyle name="표준 5 2 17 7" xfId="52918"/>
    <cellStyle name="표준 5 2 18" xfId="1174"/>
    <cellStyle name="표준 5 2 18 2" xfId="1175"/>
    <cellStyle name="표준 5 2 18 2 2" xfId="4295"/>
    <cellStyle name="표준 5 2 18 2 2 2" xfId="10631"/>
    <cellStyle name="표준 5 2 18 2 2 2 2" xfId="23304"/>
    <cellStyle name="표준 5 2 18 2 2 2 2 2" xfId="48656"/>
    <cellStyle name="표준 5 2 18 2 2 2 3" xfId="35984"/>
    <cellStyle name="표준 5 2 18 2 2 3" xfId="16968"/>
    <cellStyle name="표준 5 2 18 2 2 3 2" xfId="42320"/>
    <cellStyle name="표준 5 2 18 2 2 4" xfId="29648"/>
    <cellStyle name="표준 5 2 18 2 2 5" xfId="52919"/>
    <cellStyle name="표준 5 2 18 2 3" xfId="7512"/>
    <cellStyle name="표준 5 2 18 2 3 2" xfId="20185"/>
    <cellStyle name="표준 5 2 18 2 3 2 2" xfId="45537"/>
    <cellStyle name="표준 5 2 18 2 3 3" xfId="32865"/>
    <cellStyle name="표준 5 2 18 2 4" xfId="13849"/>
    <cellStyle name="표준 5 2 18 2 4 2" xfId="39201"/>
    <cellStyle name="표준 5 2 18 2 5" xfId="26529"/>
    <cellStyle name="표준 5 2 18 2 6" xfId="52920"/>
    <cellStyle name="표준 5 2 18 3" xfId="4296"/>
    <cellStyle name="표준 5 2 18 3 2" xfId="10632"/>
    <cellStyle name="표준 5 2 18 3 2 2" xfId="23305"/>
    <cellStyle name="표준 5 2 18 3 2 2 2" xfId="48657"/>
    <cellStyle name="표준 5 2 18 3 2 3" xfId="35985"/>
    <cellStyle name="표준 5 2 18 3 3" xfId="16969"/>
    <cellStyle name="표준 5 2 18 3 3 2" xfId="42321"/>
    <cellStyle name="표준 5 2 18 3 4" xfId="29649"/>
    <cellStyle name="표준 5 2 18 3 5" xfId="52921"/>
    <cellStyle name="표준 5 2 18 4" xfId="7511"/>
    <cellStyle name="표준 5 2 18 4 2" xfId="20184"/>
    <cellStyle name="표준 5 2 18 4 2 2" xfId="45536"/>
    <cellStyle name="표준 5 2 18 4 3" xfId="32864"/>
    <cellStyle name="표준 5 2 18 5" xfId="13848"/>
    <cellStyle name="표준 5 2 18 5 2" xfId="39200"/>
    <cellStyle name="표준 5 2 18 6" xfId="26528"/>
    <cellStyle name="표준 5 2 18 7" xfId="52922"/>
    <cellStyle name="표준 5 2 19" xfId="1176"/>
    <cellStyle name="표준 5 2 19 2" xfId="1177"/>
    <cellStyle name="표준 5 2 19 2 2" xfId="4297"/>
    <cellStyle name="표준 5 2 19 2 2 2" xfId="10633"/>
    <cellStyle name="표준 5 2 19 2 2 2 2" xfId="23306"/>
    <cellStyle name="표준 5 2 19 2 2 2 2 2" xfId="48658"/>
    <cellStyle name="표준 5 2 19 2 2 2 3" xfId="35986"/>
    <cellStyle name="표준 5 2 19 2 2 3" xfId="16970"/>
    <cellStyle name="표준 5 2 19 2 2 3 2" xfId="42322"/>
    <cellStyle name="표준 5 2 19 2 2 4" xfId="29650"/>
    <cellStyle name="표준 5 2 19 2 2 5" xfId="52923"/>
    <cellStyle name="표준 5 2 19 2 3" xfId="7514"/>
    <cellStyle name="표준 5 2 19 2 3 2" xfId="20187"/>
    <cellStyle name="표준 5 2 19 2 3 2 2" xfId="45539"/>
    <cellStyle name="표준 5 2 19 2 3 3" xfId="32867"/>
    <cellStyle name="표준 5 2 19 2 4" xfId="13851"/>
    <cellStyle name="표준 5 2 19 2 4 2" xfId="39203"/>
    <cellStyle name="표준 5 2 19 2 5" xfId="26531"/>
    <cellStyle name="표준 5 2 19 2 6" xfId="52924"/>
    <cellStyle name="표준 5 2 19 3" xfId="4298"/>
    <cellStyle name="표준 5 2 19 3 2" xfId="10634"/>
    <cellStyle name="표준 5 2 19 3 2 2" xfId="23307"/>
    <cellStyle name="표준 5 2 19 3 2 2 2" xfId="48659"/>
    <cellStyle name="표준 5 2 19 3 2 3" xfId="35987"/>
    <cellStyle name="표준 5 2 19 3 3" xfId="16971"/>
    <cellStyle name="표준 5 2 19 3 3 2" xfId="42323"/>
    <cellStyle name="표준 5 2 19 3 4" xfId="29651"/>
    <cellStyle name="표준 5 2 19 3 5" xfId="52925"/>
    <cellStyle name="표준 5 2 19 4" xfId="7513"/>
    <cellStyle name="표준 5 2 19 4 2" xfId="20186"/>
    <cellStyle name="표준 5 2 19 4 2 2" xfId="45538"/>
    <cellStyle name="표준 5 2 19 4 3" xfId="32866"/>
    <cellStyle name="표준 5 2 19 5" xfId="13850"/>
    <cellStyle name="표준 5 2 19 5 2" xfId="39202"/>
    <cellStyle name="표준 5 2 19 6" xfId="26530"/>
    <cellStyle name="표준 5 2 19 7" xfId="52926"/>
    <cellStyle name="표준 5 2 2" xfId="21"/>
    <cellStyle name="표준 5 2 2 10" xfId="1178"/>
    <cellStyle name="표준 5 2 2 10 2" xfId="1179"/>
    <cellStyle name="표준 5 2 2 10 2 2" xfId="4299"/>
    <cellStyle name="표준 5 2 2 10 2 2 2" xfId="10635"/>
    <cellStyle name="표준 5 2 2 10 2 2 2 2" xfId="23308"/>
    <cellStyle name="표준 5 2 2 10 2 2 2 2 2" xfId="48660"/>
    <cellStyle name="표준 5 2 2 10 2 2 2 3" xfId="35988"/>
    <cellStyle name="표준 5 2 2 10 2 2 3" xfId="16972"/>
    <cellStyle name="표준 5 2 2 10 2 2 3 2" xfId="42324"/>
    <cellStyle name="표준 5 2 2 10 2 2 4" xfId="29652"/>
    <cellStyle name="표준 5 2 2 10 2 2 5" xfId="52927"/>
    <cellStyle name="표준 5 2 2 10 2 3" xfId="7516"/>
    <cellStyle name="표준 5 2 2 10 2 3 2" xfId="20189"/>
    <cellStyle name="표준 5 2 2 10 2 3 2 2" xfId="45541"/>
    <cellStyle name="표준 5 2 2 10 2 3 3" xfId="32869"/>
    <cellStyle name="표준 5 2 2 10 2 4" xfId="13853"/>
    <cellStyle name="표준 5 2 2 10 2 4 2" xfId="39205"/>
    <cellStyle name="표준 5 2 2 10 2 5" xfId="26533"/>
    <cellStyle name="표준 5 2 2 10 2 6" xfId="52928"/>
    <cellStyle name="표준 5 2 2 10 3" xfId="4300"/>
    <cellStyle name="표준 5 2 2 10 3 2" xfId="10636"/>
    <cellStyle name="표준 5 2 2 10 3 2 2" xfId="23309"/>
    <cellStyle name="표준 5 2 2 10 3 2 2 2" xfId="48661"/>
    <cellStyle name="표준 5 2 2 10 3 2 3" xfId="35989"/>
    <cellStyle name="표준 5 2 2 10 3 3" xfId="16973"/>
    <cellStyle name="표준 5 2 2 10 3 3 2" xfId="42325"/>
    <cellStyle name="표준 5 2 2 10 3 4" xfId="29653"/>
    <cellStyle name="표준 5 2 2 10 3 5" xfId="52929"/>
    <cellStyle name="표준 5 2 2 10 4" xfId="7515"/>
    <cellStyle name="표준 5 2 2 10 4 2" xfId="20188"/>
    <cellStyle name="표준 5 2 2 10 4 2 2" xfId="45540"/>
    <cellStyle name="표준 5 2 2 10 4 3" xfId="32868"/>
    <cellStyle name="표준 5 2 2 10 5" xfId="13852"/>
    <cellStyle name="표준 5 2 2 10 5 2" xfId="39204"/>
    <cellStyle name="표준 5 2 2 10 6" xfId="26532"/>
    <cellStyle name="표준 5 2 2 10 7" xfId="52930"/>
    <cellStyle name="표준 5 2 2 11" xfId="1180"/>
    <cellStyle name="표준 5 2 2 11 2" xfId="1181"/>
    <cellStyle name="표준 5 2 2 11 2 2" xfId="4301"/>
    <cellStyle name="표준 5 2 2 11 2 2 2" xfId="10637"/>
    <cellStyle name="표준 5 2 2 11 2 2 2 2" xfId="23310"/>
    <cellStyle name="표준 5 2 2 11 2 2 2 2 2" xfId="48662"/>
    <cellStyle name="표준 5 2 2 11 2 2 2 3" xfId="35990"/>
    <cellStyle name="표준 5 2 2 11 2 2 3" xfId="16974"/>
    <cellStyle name="표준 5 2 2 11 2 2 3 2" xfId="42326"/>
    <cellStyle name="표준 5 2 2 11 2 2 4" xfId="29654"/>
    <cellStyle name="표준 5 2 2 11 2 2 5" xfId="52931"/>
    <cellStyle name="표준 5 2 2 11 2 3" xfId="7518"/>
    <cellStyle name="표준 5 2 2 11 2 3 2" xfId="20191"/>
    <cellStyle name="표준 5 2 2 11 2 3 2 2" xfId="45543"/>
    <cellStyle name="표준 5 2 2 11 2 3 3" xfId="32871"/>
    <cellStyle name="표준 5 2 2 11 2 4" xfId="13855"/>
    <cellStyle name="표준 5 2 2 11 2 4 2" xfId="39207"/>
    <cellStyle name="표준 5 2 2 11 2 5" xfId="26535"/>
    <cellStyle name="표준 5 2 2 11 2 6" xfId="52932"/>
    <cellStyle name="표준 5 2 2 11 3" xfId="4302"/>
    <cellStyle name="표준 5 2 2 11 3 2" xfId="10638"/>
    <cellStyle name="표준 5 2 2 11 3 2 2" xfId="23311"/>
    <cellStyle name="표준 5 2 2 11 3 2 2 2" xfId="48663"/>
    <cellStyle name="표준 5 2 2 11 3 2 3" xfId="35991"/>
    <cellStyle name="표준 5 2 2 11 3 3" xfId="16975"/>
    <cellStyle name="표준 5 2 2 11 3 3 2" xfId="42327"/>
    <cellStyle name="표준 5 2 2 11 3 4" xfId="29655"/>
    <cellStyle name="표준 5 2 2 11 3 5" xfId="52933"/>
    <cellStyle name="표준 5 2 2 11 4" xfId="7517"/>
    <cellStyle name="표준 5 2 2 11 4 2" xfId="20190"/>
    <cellStyle name="표준 5 2 2 11 4 2 2" xfId="45542"/>
    <cellStyle name="표준 5 2 2 11 4 3" xfId="32870"/>
    <cellStyle name="표준 5 2 2 11 5" xfId="13854"/>
    <cellStyle name="표준 5 2 2 11 5 2" xfId="39206"/>
    <cellStyle name="표준 5 2 2 11 6" xfId="26534"/>
    <cellStyle name="표준 5 2 2 11 7" xfId="52934"/>
    <cellStyle name="표준 5 2 2 12" xfId="1182"/>
    <cellStyle name="표준 5 2 2 12 2" xfId="1183"/>
    <cellStyle name="표준 5 2 2 12 2 2" xfId="4303"/>
    <cellStyle name="표준 5 2 2 12 2 2 2" xfId="10639"/>
    <cellStyle name="표준 5 2 2 12 2 2 2 2" xfId="23312"/>
    <cellStyle name="표준 5 2 2 12 2 2 2 2 2" xfId="48664"/>
    <cellStyle name="표준 5 2 2 12 2 2 2 3" xfId="35992"/>
    <cellStyle name="표준 5 2 2 12 2 2 3" xfId="16976"/>
    <cellStyle name="표준 5 2 2 12 2 2 3 2" xfId="42328"/>
    <cellStyle name="표준 5 2 2 12 2 2 4" xfId="29656"/>
    <cellStyle name="표준 5 2 2 12 2 2 5" xfId="52935"/>
    <cellStyle name="표준 5 2 2 12 2 3" xfId="7520"/>
    <cellStyle name="표준 5 2 2 12 2 3 2" xfId="20193"/>
    <cellStyle name="표준 5 2 2 12 2 3 2 2" xfId="45545"/>
    <cellStyle name="표준 5 2 2 12 2 3 3" xfId="32873"/>
    <cellStyle name="표준 5 2 2 12 2 4" xfId="13857"/>
    <cellStyle name="표준 5 2 2 12 2 4 2" xfId="39209"/>
    <cellStyle name="표준 5 2 2 12 2 5" xfId="26537"/>
    <cellStyle name="표준 5 2 2 12 2 6" xfId="52936"/>
    <cellStyle name="표준 5 2 2 12 3" xfId="4304"/>
    <cellStyle name="표준 5 2 2 12 3 2" xfId="10640"/>
    <cellStyle name="표준 5 2 2 12 3 2 2" xfId="23313"/>
    <cellStyle name="표준 5 2 2 12 3 2 2 2" xfId="48665"/>
    <cellStyle name="표준 5 2 2 12 3 2 3" xfId="35993"/>
    <cellStyle name="표준 5 2 2 12 3 3" xfId="16977"/>
    <cellStyle name="표준 5 2 2 12 3 3 2" xfId="42329"/>
    <cellStyle name="표준 5 2 2 12 3 4" xfId="29657"/>
    <cellStyle name="표준 5 2 2 12 3 5" xfId="52937"/>
    <cellStyle name="표준 5 2 2 12 4" xfId="7519"/>
    <cellStyle name="표준 5 2 2 12 4 2" xfId="20192"/>
    <cellStyle name="표준 5 2 2 12 4 2 2" xfId="45544"/>
    <cellStyle name="표준 5 2 2 12 4 3" xfId="32872"/>
    <cellStyle name="표준 5 2 2 12 5" xfId="13856"/>
    <cellStyle name="표준 5 2 2 12 5 2" xfId="39208"/>
    <cellStyle name="표준 5 2 2 12 6" xfId="26536"/>
    <cellStyle name="표준 5 2 2 12 7" xfId="52938"/>
    <cellStyle name="표준 5 2 2 13" xfId="1184"/>
    <cellStyle name="표준 5 2 2 13 2" xfId="1185"/>
    <cellStyle name="표준 5 2 2 13 2 2" xfId="4305"/>
    <cellStyle name="표준 5 2 2 13 2 2 2" xfId="10641"/>
    <cellStyle name="표준 5 2 2 13 2 2 2 2" xfId="23314"/>
    <cellStyle name="표준 5 2 2 13 2 2 2 2 2" xfId="48666"/>
    <cellStyle name="표준 5 2 2 13 2 2 2 3" xfId="35994"/>
    <cellStyle name="표준 5 2 2 13 2 2 3" xfId="16978"/>
    <cellStyle name="표준 5 2 2 13 2 2 3 2" xfId="42330"/>
    <cellStyle name="표준 5 2 2 13 2 2 4" xfId="29658"/>
    <cellStyle name="표준 5 2 2 13 2 2 5" xfId="52939"/>
    <cellStyle name="표준 5 2 2 13 2 3" xfId="7522"/>
    <cellStyle name="표준 5 2 2 13 2 3 2" xfId="20195"/>
    <cellStyle name="표준 5 2 2 13 2 3 2 2" xfId="45547"/>
    <cellStyle name="표준 5 2 2 13 2 3 3" xfId="32875"/>
    <cellStyle name="표준 5 2 2 13 2 4" xfId="13859"/>
    <cellStyle name="표준 5 2 2 13 2 4 2" xfId="39211"/>
    <cellStyle name="표준 5 2 2 13 2 5" xfId="26539"/>
    <cellStyle name="표준 5 2 2 13 2 6" xfId="52940"/>
    <cellStyle name="표준 5 2 2 13 3" xfId="4306"/>
    <cellStyle name="표준 5 2 2 13 3 2" xfId="10642"/>
    <cellStyle name="표준 5 2 2 13 3 2 2" xfId="23315"/>
    <cellStyle name="표준 5 2 2 13 3 2 2 2" xfId="48667"/>
    <cellStyle name="표준 5 2 2 13 3 2 3" xfId="35995"/>
    <cellStyle name="표준 5 2 2 13 3 3" xfId="16979"/>
    <cellStyle name="표준 5 2 2 13 3 3 2" xfId="42331"/>
    <cellStyle name="표준 5 2 2 13 3 4" xfId="29659"/>
    <cellStyle name="표준 5 2 2 13 3 5" xfId="52941"/>
    <cellStyle name="표준 5 2 2 13 4" xfId="7521"/>
    <cellStyle name="표준 5 2 2 13 4 2" xfId="20194"/>
    <cellStyle name="표준 5 2 2 13 4 2 2" xfId="45546"/>
    <cellStyle name="표준 5 2 2 13 4 3" xfId="32874"/>
    <cellStyle name="표준 5 2 2 13 5" xfId="13858"/>
    <cellStyle name="표준 5 2 2 13 5 2" xfId="39210"/>
    <cellStyle name="표준 5 2 2 13 6" xfId="26538"/>
    <cellStyle name="표준 5 2 2 13 7" xfId="52942"/>
    <cellStyle name="표준 5 2 2 14" xfId="1186"/>
    <cellStyle name="표준 5 2 2 14 2" xfId="1187"/>
    <cellStyle name="표준 5 2 2 14 2 2" xfId="4307"/>
    <cellStyle name="표준 5 2 2 14 2 2 2" xfId="10643"/>
    <cellStyle name="표준 5 2 2 14 2 2 2 2" xfId="23316"/>
    <cellStyle name="표준 5 2 2 14 2 2 2 2 2" xfId="48668"/>
    <cellStyle name="표준 5 2 2 14 2 2 2 3" xfId="35996"/>
    <cellStyle name="표준 5 2 2 14 2 2 3" xfId="16980"/>
    <cellStyle name="표준 5 2 2 14 2 2 3 2" xfId="42332"/>
    <cellStyle name="표준 5 2 2 14 2 2 4" xfId="29660"/>
    <cellStyle name="표준 5 2 2 14 2 2 5" xfId="52943"/>
    <cellStyle name="표준 5 2 2 14 2 3" xfId="7524"/>
    <cellStyle name="표준 5 2 2 14 2 3 2" xfId="20197"/>
    <cellStyle name="표준 5 2 2 14 2 3 2 2" xfId="45549"/>
    <cellStyle name="표준 5 2 2 14 2 3 3" xfId="32877"/>
    <cellStyle name="표준 5 2 2 14 2 4" xfId="13861"/>
    <cellStyle name="표준 5 2 2 14 2 4 2" xfId="39213"/>
    <cellStyle name="표준 5 2 2 14 2 5" xfId="26541"/>
    <cellStyle name="표준 5 2 2 14 2 6" xfId="52944"/>
    <cellStyle name="표준 5 2 2 14 3" xfId="4308"/>
    <cellStyle name="표준 5 2 2 14 3 2" xfId="10644"/>
    <cellStyle name="표준 5 2 2 14 3 2 2" xfId="23317"/>
    <cellStyle name="표준 5 2 2 14 3 2 2 2" xfId="48669"/>
    <cellStyle name="표준 5 2 2 14 3 2 3" xfId="35997"/>
    <cellStyle name="표준 5 2 2 14 3 3" xfId="16981"/>
    <cellStyle name="표준 5 2 2 14 3 3 2" xfId="42333"/>
    <cellStyle name="표준 5 2 2 14 3 4" xfId="29661"/>
    <cellStyle name="표준 5 2 2 14 3 5" xfId="52945"/>
    <cellStyle name="표준 5 2 2 14 4" xfId="7523"/>
    <cellStyle name="표준 5 2 2 14 4 2" xfId="20196"/>
    <cellStyle name="표준 5 2 2 14 4 2 2" xfId="45548"/>
    <cellStyle name="표준 5 2 2 14 4 3" xfId="32876"/>
    <cellStyle name="표준 5 2 2 14 5" xfId="13860"/>
    <cellStyle name="표준 5 2 2 14 5 2" xfId="39212"/>
    <cellStyle name="표준 5 2 2 14 6" xfId="26540"/>
    <cellStyle name="표준 5 2 2 14 7" xfId="52946"/>
    <cellStyle name="표준 5 2 2 15" xfId="1188"/>
    <cellStyle name="표준 5 2 2 15 2" xfId="1189"/>
    <cellStyle name="표준 5 2 2 15 2 2" xfId="4309"/>
    <cellStyle name="표준 5 2 2 15 2 2 2" xfId="10645"/>
    <cellStyle name="표준 5 2 2 15 2 2 2 2" xfId="23318"/>
    <cellStyle name="표준 5 2 2 15 2 2 2 2 2" xfId="48670"/>
    <cellStyle name="표준 5 2 2 15 2 2 2 3" xfId="35998"/>
    <cellStyle name="표준 5 2 2 15 2 2 3" xfId="16982"/>
    <cellStyle name="표준 5 2 2 15 2 2 3 2" xfId="42334"/>
    <cellStyle name="표준 5 2 2 15 2 2 4" xfId="29662"/>
    <cellStyle name="표준 5 2 2 15 2 2 5" xfId="52947"/>
    <cellStyle name="표준 5 2 2 15 2 3" xfId="7526"/>
    <cellStyle name="표준 5 2 2 15 2 3 2" xfId="20199"/>
    <cellStyle name="표준 5 2 2 15 2 3 2 2" xfId="45551"/>
    <cellStyle name="표준 5 2 2 15 2 3 3" xfId="32879"/>
    <cellStyle name="표준 5 2 2 15 2 4" xfId="13863"/>
    <cellStyle name="표준 5 2 2 15 2 4 2" xfId="39215"/>
    <cellStyle name="표준 5 2 2 15 2 5" xfId="26543"/>
    <cellStyle name="표준 5 2 2 15 2 6" xfId="52948"/>
    <cellStyle name="표준 5 2 2 15 3" xfId="4310"/>
    <cellStyle name="표준 5 2 2 15 3 2" xfId="10646"/>
    <cellStyle name="표준 5 2 2 15 3 2 2" xfId="23319"/>
    <cellStyle name="표준 5 2 2 15 3 2 2 2" xfId="48671"/>
    <cellStyle name="표준 5 2 2 15 3 2 3" xfId="35999"/>
    <cellStyle name="표준 5 2 2 15 3 3" xfId="16983"/>
    <cellStyle name="표준 5 2 2 15 3 3 2" xfId="42335"/>
    <cellStyle name="표준 5 2 2 15 3 4" xfId="29663"/>
    <cellStyle name="표준 5 2 2 15 3 5" xfId="52949"/>
    <cellStyle name="표준 5 2 2 15 4" xfId="7525"/>
    <cellStyle name="표준 5 2 2 15 4 2" xfId="20198"/>
    <cellStyle name="표준 5 2 2 15 4 2 2" xfId="45550"/>
    <cellStyle name="표준 5 2 2 15 4 3" xfId="32878"/>
    <cellStyle name="표준 5 2 2 15 5" xfId="13862"/>
    <cellStyle name="표준 5 2 2 15 5 2" xfId="39214"/>
    <cellStyle name="표준 5 2 2 15 6" xfId="26542"/>
    <cellStyle name="표준 5 2 2 15 7" xfId="52950"/>
    <cellStyle name="표준 5 2 2 16" xfId="1190"/>
    <cellStyle name="표준 5 2 2 16 2" xfId="1191"/>
    <cellStyle name="표준 5 2 2 16 2 2" xfId="4311"/>
    <cellStyle name="표준 5 2 2 16 2 2 2" xfId="10647"/>
    <cellStyle name="표준 5 2 2 16 2 2 2 2" xfId="23320"/>
    <cellStyle name="표준 5 2 2 16 2 2 2 2 2" xfId="48672"/>
    <cellStyle name="표준 5 2 2 16 2 2 2 3" xfId="36000"/>
    <cellStyle name="표준 5 2 2 16 2 2 3" xfId="16984"/>
    <cellStyle name="표준 5 2 2 16 2 2 3 2" xfId="42336"/>
    <cellStyle name="표준 5 2 2 16 2 2 4" xfId="29664"/>
    <cellStyle name="표준 5 2 2 16 2 2 5" xfId="52951"/>
    <cellStyle name="표준 5 2 2 16 2 3" xfId="7528"/>
    <cellStyle name="표준 5 2 2 16 2 3 2" xfId="20201"/>
    <cellStyle name="표준 5 2 2 16 2 3 2 2" xfId="45553"/>
    <cellStyle name="표준 5 2 2 16 2 3 3" xfId="32881"/>
    <cellStyle name="표준 5 2 2 16 2 4" xfId="13865"/>
    <cellStyle name="표준 5 2 2 16 2 4 2" xfId="39217"/>
    <cellStyle name="표준 5 2 2 16 2 5" xfId="26545"/>
    <cellStyle name="표준 5 2 2 16 2 6" xfId="52952"/>
    <cellStyle name="표준 5 2 2 16 3" xfId="4312"/>
    <cellStyle name="표준 5 2 2 16 3 2" xfId="10648"/>
    <cellStyle name="표준 5 2 2 16 3 2 2" xfId="23321"/>
    <cellStyle name="표준 5 2 2 16 3 2 2 2" xfId="48673"/>
    <cellStyle name="표준 5 2 2 16 3 2 3" xfId="36001"/>
    <cellStyle name="표준 5 2 2 16 3 3" xfId="16985"/>
    <cellStyle name="표준 5 2 2 16 3 3 2" xfId="42337"/>
    <cellStyle name="표준 5 2 2 16 3 4" xfId="29665"/>
    <cellStyle name="표준 5 2 2 16 3 5" xfId="52953"/>
    <cellStyle name="표준 5 2 2 16 4" xfId="7527"/>
    <cellStyle name="표준 5 2 2 16 4 2" xfId="20200"/>
    <cellStyle name="표준 5 2 2 16 4 2 2" xfId="45552"/>
    <cellStyle name="표준 5 2 2 16 4 3" xfId="32880"/>
    <cellStyle name="표준 5 2 2 16 5" xfId="13864"/>
    <cellStyle name="표준 5 2 2 16 5 2" xfId="39216"/>
    <cellStyle name="표준 5 2 2 16 6" xfId="26544"/>
    <cellStyle name="표준 5 2 2 16 7" xfId="52954"/>
    <cellStyle name="표준 5 2 2 17" xfId="1192"/>
    <cellStyle name="표준 5 2 2 17 2" xfId="1193"/>
    <cellStyle name="표준 5 2 2 17 2 2" xfId="4313"/>
    <cellStyle name="표준 5 2 2 17 2 2 2" xfId="10649"/>
    <cellStyle name="표준 5 2 2 17 2 2 2 2" xfId="23322"/>
    <cellStyle name="표준 5 2 2 17 2 2 2 2 2" xfId="48674"/>
    <cellStyle name="표준 5 2 2 17 2 2 2 3" xfId="36002"/>
    <cellStyle name="표준 5 2 2 17 2 2 3" xfId="16986"/>
    <cellStyle name="표준 5 2 2 17 2 2 3 2" xfId="42338"/>
    <cellStyle name="표준 5 2 2 17 2 2 4" xfId="29666"/>
    <cellStyle name="표준 5 2 2 17 2 2 5" xfId="52955"/>
    <cellStyle name="표준 5 2 2 17 2 3" xfId="7530"/>
    <cellStyle name="표준 5 2 2 17 2 3 2" xfId="20203"/>
    <cellStyle name="표준 5 2 2 17 2 3 2 2" xfId="45555"/>
    <cellStyle name="표준 5 2 2 17 2 3 3" xfId="32883"/>
    <cellStyle name="표준 5 2 2 17 2 4" xfId="13867"/>
    <cellStyle name="표준 5 2 2 17 2 4 2" xfId="39219"/>
    <cellStyle name="표준 5 2 2 17 2 5" xfId="26547"/>
    <cellStyle name="표준 5 2 2 17 2 6" xfId="52956"/>
    <cellStyle name="표준 5 2 2 17 3" xfId="4314"/>
    <cellStyle name="표준 5 2 2 17 3 2" xfId="10650"/>
    <cellStyle name="표준 5 2 2 17 3 2 2" xfId="23323"/>
    <cellStyle name="표준 5 2 2 17 3 2 2 2" xfId="48675"/>
    <cellStyle name="표준 5 2 2 17 3 2 3" xfId="36003"/>
    <cellStyle name="표준 5 2 2 17 3 3" xfId="16987"/>
    <cellStyle name="표준 5 2 2 17 3 3 2" xfId="42339"/>
    <cellStyle name="표준 5 2 2 17 3 4" xfId="29667"/>
    <cellStyle name="표준 5 2 2 17 3 5" xfId="52957"/>
    <cellStyle name="표준 5 2 2 17 4" xfId="7529"/>
    <cellStyle name="표준 5 2 2 17 4 2" xfId="20202"/>
    <cellStyle name="표준 5 2 2 17 4 2 2" xfId="45554"/>
    <cellStyle name="표준 5 2 2 17 4 3" xfId="32882"/>
    <cellStyle name="표준 5 2 2 17 5" xfId="13866"/>
    <cellStyle name="표준 5 2 2 17 5 2" xfId="39218"/>
    <cellStyle name="표준 5 2 2 17 6" xfId="26546"/>
    <cellStyle name="표준 5 2 2 17 7" xfId="52958"/>
    <cellStyle name="표준 5 2 2 18" xfId="1194"/>
    <cellStyle name="표준 5 2 2 18 2" xfId="1195"/>
    <cellStyle name="표준 5 2 2 18 2 2" xfId="4315"/>
    <cellStyle name="표준 5 2 2 18 2 2 2" xfId="10651"/>
    <cellStyle name="표준 5 2 2 18 2 2 2 2" xfId="23324"/>
    <cellStyle name="표준 5 2 2 18 2 2 2 2 2" xfId="48676"/>
    <cellStyle name="표준 5 2 2 18 2 2 2 3" xfId="36004"/>
    <cellStyle name="표준 5 2 2 18 2 2 3" xfId="16988"/>
    <cellStyle name="표준 5 2 2 18 2 2 3 2" xfId="42340"/>
    <cellStyle name="표준 5 2 2 18 2 2 4" xfId="29668"/>
    <cellStyle name="표준 5 2 2 18 2 2 5" xfId="52959"/>
    <cellStyle name="표준 5 2 2 18 2 3" xfId="7532"/>
    <cellStyle name="표준 5 2 2 18 2 3 2" xfId="20205"/>
    <cellStyle name="표준 5 2 2 18 2 3 2 2" xfId="45557"/>
    <cellStyle name="표준 5 2 2 18 2 3 3" xfId="32885"/>
    <cellStyle name="표준 5 2 2 18 2 4" xfId="13869"/>
    <cellStyle name="표준 5 2 2 18 2 4 2" xfId="39221"/>
    <cellStyle name="표준 5 2 2 18 2 5" xfId="26549"/>
    <cellStyle name="표준 5 2 2 18 2 6" xfId="52960"/>
    <cellStyle name="표준 5 2 2 18 3" xfId="4316"/>
    <cellStyle name="표준 5 2 2 18 3 2" xfId="10652"/>
    <cellStyle name="표준 5 2 2 18 3 2 2" xfId="23325"/>
    <cellStyle name="표준 5 2 2 18 3 2 2 2" xfId="48677"/>
    <cellStyle name="표준 5 2 2 18 3 2 3" xfId="36005"/>
    <cellStyle name="표준 5 2 2 18 3 3" xfId="16989"/>
    <cellStyle name="표준 5 2 2 18 3 3 2" xfId="42341"/>
    <cellStyle name="표준 5 2 2 18 3 4" xfId="29669"/>
    <cellStyle name="표준 5 2 2 18 3 5" xfId="52961"/>
    <cellStyle name="표준 5 2 2 18 4" xfId="7531"/>
    <cellStyle name="표준 5 2 2 18 4 2" xfId="20204"/>
    <cellStyle name="표준 5 2 2 18 4 2 2" xfId="45556"/>
    <cellStyle name="표준 5 2 2 18 4 3" xfId="32884"/>
    <cellStyle name="표준 5 2 2 18 5" xfId="13868"/>
    <cellStyle name="표준 5 2 2 18 5 2" xfId="39220"/>
    <cellStyle name="표준 5 2 2 18 6" xfId="26548"/>
    <cellStyle name="표준 5 2 2 18 7" xfId="52962"/>
    <cellStyle name="표준 5 2 2 19" xfId="1196"/>
    <cellStyle name="표준 5 2 2 19 2" xfId="1197"/>
    <cellStyle name="표준 5 2 2 19 2 2" xfId="4317"/>
    <cellStyle name="표준 5 2 2 19 2 2 2" xfId="10653"/>
    <cellStyle name="표준 5 2 2 19 2 2 2 2" xfId="23326"/>
    <cellStyle name="표준 5 2 2 19 2 2 2 2 2" xfId="48678"/>
    <cellStyle name="표준 5 2 2 19 2 2 2 3" xfId="36006"/>
    <cellStyle name="표준 5 2 2 19 2 2 3" xfId="16990"/>
    <cellStyle name="표준 5 2 2 19 2 2 3 2" xfId="42342"/>
    <cellStyle name="표준 5 2 2 19 2 2 4" xfId="29670"/>
    <cellStyle name="표준 5 2 2 19 2 2 5" xfId="52963"/>
    <cellStyle name="표준 5 2 2 19 2 3" xfId="7534"/>
    <cellStyle name="표준 5 2 2 19 2 3 2" xfId="20207"/>
    <cellStyle name="표준 5 2 2 19 2 3 2 2" xfId="45559"/>
    <cellStyle name="표준 5 2 2 19 2 3 3" xfId="32887"/>
    <cellStyle name="표준 5 2 2 19 2 4" xfId="13871"/>
    <cellStyle name="표준 5 2 2 19 2 4 2" xfId="39223"/>
    <cellStyle name="표준 5 2 2 19 2 5" xfId="26551"/>
    <cellStyle name="표준 5 2 2 19 2 6" xfId="52964"/>
    <cellStyle name="표준 5 2 2 19 3" xfId="4318"/>
    <cellStyle name="표준 5 2 2 19 3 2" xfId="10654"/>
    <cellStyle name="표준 5 2 2 19 3 2 2" xfId="23327"/>
    <cellStyle name="표준 5 2 2 19 3 2 2 2" xfId="48679"/>
    <cellStyle name="표준 5 2 2 19 3 2 3" xfId="36007"/>
    <cellStyle name="표준 5 2 2 19 3 3" xfId="16991"/>
    <cellStyle name="표준 5 2 2 19 3 3 2" xfId="42343"/>
    <cellStyle name="표준 5 2 2 19 3 4" xfId="29671"/>
    <cellStyle name="표준 5 2 2 19 3 5" xfId="52965"/>
    <cellStyle name="표준 5 2 2 19 4" xfId="7533"/>
    <cellStyle name="표준 5 2 2 19 4 2" xfId="20206"/>
    <cellStyle name="표준 5 2 2 19 4 2 2" xfId="45558"/>
    <cellStyle name="표준 5 2 2 19 4 3" xfId="32886"/>
    <cellStyle name="표준 5 2 2 19 5" xfId="13870"/>
    <cellStyle name="표준 5 2 2 19 5 2" xfId="39222"/>
    <cellStyle name="표준 5 2 2 19 6" xfId="26550"/>
    <cellStyle name="표준 5 2 2 19 7" xfId="52966"/>
    <cellStyle name="표준 5 2 2 2" xfId="33"/>
    <cellStyle name="표준 5 2 2 2 10" xfId="1198"/>
    <cellStyle name="표준 5 2 2 2 10 2" xfId="1199"/>
    <cellStyle name="표준 5 2 2 2 10 2 2" xfId="4319"/>
    <cellStyle name="표준 5 2 2 2 10 2 2 2" xfId="10655"/>
    <cellStyle name="표준 5 2 2 2 10 2 2 2 2" xfId="23328"/>
    <cellStyle name="표준 5 2 2 2 10 2 2 2 2 2" xfId="48680"/>
    <cellStyle name="표준 5 2 2 2 10 2 2 2 3" xfId="36008"/>
    <cellStyle name="표준 5 2 2 2 10 2 2 3" xfId="16992"/>
    <cellStyle name="표준 5 2 2 2 10 2 2 3 2" xfId="42344"/>
    <cellStyle name="표준 5 2 2 2 10 2 2 4" xfId="29672"/>
    <cellStyle name="표준 5 2 2 2 10 2 2 5" xfId="52967"/>
    <cellStyle name="표준 5 2 2 2 10 2 3" xfId="7536"/>
    <cellStyle name="표준 5 2 2 2 10 2 3 2" xfId="20209"/>
    <cellStyle name="표준 5 2 2 2 10 2 3 2 2" xfId="45561"/>
    <cellStyle name="표준 5 2 2 2 10 2 3 3" xfId="32889"/>
    <cellStyle name="표준 5 2 2 2 10 2 4" xfId="13873"/>
    <cellStyle name="표준 5 2 2 2 10 2 4 2" xfId="39225"/>
    <cellStyle name="표준 5 2 2 2 10 2 5" xfId="26553"/>
    <cellStyle name="표준 5 2 2 2 10 2 6" xfId="52968"/>
    <cellStyle name="표준 5 2 2 2 10 3" xfId="4320"/>
    <cellStyle name="표준 5 2 2 2 10 3 2" xfId="10656"/>
    <cellStyle name="표준 5 2 2 2 10 3 2 2" xfId="23329"/>
    <cellStyle name="표준 5 2 2 2 10 3 2 2 2" xfId="48681"/>
    <cellStyle name="표준 5 2 2 2 10 3 2 3" xfId="36009"/>
    <cellStyle name="표준 5 2 2 2 10 3 3" xfId="16993"/>
    <cellStyle name="표준 5 2 2 2 10 3 3 2" xfId="42345"/>
    <cellStyle name="표준 5 2 2 2 10 3 4" xfId="29673"/>
    <cellStyle name="표준 5 2 2 2 10 3 5" xfId="52969"/>
    <cellStyle name="표준 5 2 2 2 10 4" xfId="7535"/>
    <cellStyle name="표준 5 2 2 2 10 4 2" xfId="20208"/>
    <cellStyle name="표준 5 2 2 2 10 4 2 2" xfId="45560"/>
    <cellStyle name="표준 5 2 2 2 10 4 3" xfId="32888"/>
    <cellStyle name="표준 5 2 2 2 10 5" xfId="13872"/>
    <cellStyle name="표준 5 2 2 2 10 5 2" xfId="39224"/>
    <cellStyle name="표준 5 2 2 2 10 6" xfId="26552"/>
    <cellStyle name="표준 5 2 2 2 10 7" xfId="52970"/>
    <cellStyle name="표준 5 2 2 2 11" xfId="1200"/>
    <cellStyle name="표준 5 2 2 2 11 2" xfId="1201"/>
    <cellStyle name="표준 5 2 2 2 11 2 2" xfId="4321"/>
    <cellStyle name="표준 5 2 2 2 11 2 2 2" xfId="10657"/>
    <cellStyle name="표준 5 2 2 2 11 2 2 2 2" xfId="23330"/>
    <cellStyle name="표준 5 2 2 2 11 2 2 2 2 2" xfId="48682"/>
    <cellStyle name="표준 5 2 2 2 11 2 2 2 3" xfId="36010"/>
    <cellStyle name="표준 5 2 2 2 11 2 2 3" xfId="16994"/>
    <cellStyle name="표준 5 2 2 2 11 2 2 3 2" xfId="42346"/>
    <cellStyle name="표준 5 2 2 2 11 2 2 4" xfId="29674"/>
    <cellStyle name="표준 5 2 2 2 11 2 2 5" xfId="52971"/>
    <cellStyle name="표준 5 2 2 2 11 2 3" xfId="7538"/>
    <cellStyle name="표준 5 2 2 2 11 2 3 2" xfId="20211"/>
    <cellStyle name="표준 5 2 2 2 11 2 3 2 2" xfId="45563"/>
    <cellStyle name="표준 5 2 2 2 11 2 3 3" xfId="32891"/>
    <cellStyle name="표준 5 2 2 2 11 2 4" xfId="13875"/>
    <cellStyle name="표준 5 2 2 2 11 2 4 2" xfId="39227"/>
    <cellStyle name="표준 5 2 2 2 11 2 5" xfId="26555"/>
    <cellStyle name="표준 5 2 2 2 11 2 6" xfId="52972"/>
    <cellStyle name="표준 5 2 2 2 11 3" xfId="4322"/>
    <cellStyle name="표준 5 2 2 2 11 3 2" xfId="10658"/>
    <cellStyle name="표준 5 2 2 2 11 3 2 2" xfId="23331"/>
    <cellStyle name="표준 5 2 2 2 11 3 2 2 2" xfId="48683"/>
    <cellStyle name="표준 5 2 2 2 11 3 2 3" xfId="36011"/>
    <cellStyle name="표준 5 2 2 2 11 3 3" xfId="16995"/>
    <cellStyle name="표준 5 2 2 2 11 3 3 2" xfId="42347"/>
    <cellStyle name="표준 5 2 2 2 11 3 4" xfId="29675"/>
    <cellStyle name="표준 5 2 2 2 11 3 5" xfId="52973"/>
    <cellStyle name="표준 5 2 2 2 11 4" xfId="7537"/>
    <cellStyle name="표준 5 2 2 2 11 4 2" xfId="20210"/>
    <cellStyle name="표준 5 2 2 2 11 4 2 2" xfId="45562"/>
    <cellStyle name="표준 5 2 2 2 11 4 3" xfId="32890"/>
    <cellStyle name="표준 5 2 2 2 11 5" xfId="13874"/>
    <cellStyle name="표준 5 2 2 2 11 5 2" xfId="39226"/>
    <cellStyle name="표준 5 2 2 2 11 6" xfId="26554"/>
    <cellStyle name="표준 5 2 2 2 11 7" xfId="52974"/>
    <cellStyle name="표준 5 2 2 2 12" xfId="1202"/>
    <cellStyle name="표준 5 2 2 2 12 2" xfId="1203"/>
    <cellStyle name="표준 5 2 2 2 12 2 2" xfId="4323"/>
    <cellStyle name="표준 5 2 2 2 12 2 2 2" xfId="10659"/>
    <cellStyle name="표준 5 2 2 2 12 2 2 2 2" xfId="23332"/>
    <cellStyle name="표준 5 2 2 2 12 2 2 2 2 2" xfId="48684"/>
    <cellStyle name="표준 5 2 2 2 12 2 2 2 3" xfId="36012"/>
    <cellStyle name="표준 5 2 2 2 12 2 2 3" xfId="16996"/>
    <cellStyle name="표준 5 2 2 2 12 2 2 3 2" xfId="42348"/>
    <cellStyle name="표준 5 2 2 2 12 2 2 4" xfId="29676"/>
    <cellStyle name="표준 5 2 2 2 12 2 2 5" xfId="52975"/>
    <cellStyle name="표준 5 2 2 2 12 2 3" xfId="7540"/>
    <cellStyle name="표준 5 2 2 2 12 2 3 2" xfId="20213"/>
    <cellStyle name="표준 5 2 2 2 12 2 3 2 2" xfId="45565"/>
    <cellStyle name="표준 5 2 2 2 12 2 3 3" xfId="32893"/>
    <cellStyle name="표준 5 2 2 2 12 2 4" xfId="13877"/>
    <cellStyle name="표준 5 2 2 2 12 2 4 2" xfId="39229"/>
    <cellStyle name="표준 5 2 2 2 12 2 5" xfId="26557"/>
    <cellStyle name="표준 5 2 2 2 12 2 6" xfId="52976"/>
    <cellStyle name="표준 5 2 2 2 12 3" xfId="4324"/>
    <cellStyle name="표준 5 2 2 2 12 3 2" xfId="10660"/>
    <cellStyle name="표준 5 2 2 2 12 3 2 2" xfId="23333"/>
    <cellStyle name="표준 5 2 2 2 12 3 2 2 2" xfId="48685"/>
    <cellStyle name="표준 5 2 2 2 12 3 2 3" xfId="36013"/>
    <cellStyle name="표준 5 2 2 2 12 3 3" xfId="16997"/>
    <cellStyle name="표준 5 2 2 2 12 3 3 2" xfId="42349"/>
    <cellStyle name="표준 5 2 2 2 12 3 4" xfId="29677"/>
    <cellStyle name="표준 5 2 2 2 12 3 5" xfId="52977"/>
    <cellStyle name="표준 5 2 2 2 12 4" xfId="7539"/>
    <cellStyle name="표준 5 2 2 2 12 4 2" xfId="20212"/>
    <cellStyle name="표준 5 2 2 2 12 4 2 2" xfId="45564"/>
    <cellStyle name="표준 5 2 2 2 12 4 3" xfId="32892"/>
    <cellStyle name="표준 5 2 2 2 12 5" xfId="13876"/>
    <cellStyle name="표준 5 2 2 2 12 5 2" xfId="39228"/>
    <cellStyle name="표준 5 2 2 2 12 6" xfId="26556"/>
    <cellStyle name="표준 5 2 2 2 12 7" xfId="52978"/>
    <cellStyle name="표준 5 2 2 2 13" xfId="1204"/>
    <cellStyle name="표준 5 2 2 2 13 2" xfId="1205"/>
    <cellStyle name="표준 5 2 2 2 13 2 2" xfId="4325"/>
    <cellStyle name="표준 5 2 2 2 13 2 2 2" xfId="10661"/>
    <cellStyle name="표준 5 2 2 2 13 2 2 2 2" xfId="23334"/>
    <cellStyle name="표준 5 2 2 2 13 2 2 2 2 2" xfId="48686"/>
    <cellStyle name="표준 5 2 2 2 13 2 2 2 3" xfId="36014"/>
    <cellStyle name="표준 5 2 2 2 13 2 2 3" xfId="16998"/>
    <cellStyle name="표준 5 2 2 2 13 2 2 3 2" xfId="42350"/>
    <cellStyle name="표준 5 2 2 2 13 2 2 4" xfId="29678"/>
    <cellStyle name="표준 5 2 2 2 13 2 2 5" xfId="52979"/>
    <cellStyle name="표준 5 2 2 2 13 2 3" xfId="7542"/>
    <cellStyle name="표준 5 2 2 2 13 2 3 2" xfId="20215"/>
    <cellStyle name="표준 5 2 2 2 13 2 3 2 2" xfId="45567"/>
    <cellStyle name="표준 5 2 2 2 13 2 3 3" xfId="32895"/>
    <cellStyle name="표준 5 2 2 2 13 2 4" xfId="13879"/>
    <cellStyle name="표준 5 2 2 2 13 2 4 2" xfId="39231"/>
    <cellStyle name="표준 5 2 2 2 13 2 5" xfId="26559"/>
    <cellStyle name="표준 5 2 2 2 13 2 6" xfId="52980"/>
    <cellStyle name="표준 5 2 2 2 13 3" xfId="4326"/>
    <cellStyle name="표준 5 2 2 2 13 3 2" xfId="10662"/>
    <cellStyle name="표준 5 2 2 2 13 3 2 2" xfId="23335"/>
    <cellStyle name="표준 5 2 2 2 13 3 2 2 2" xfId="48687"/>
    <cellStyle name="표준 5 2 2 2 13 3 2 3" xfId="36015"/>
    <cellStyle name="표준 5 2 2 2 13 3 3" xfId="16999"/>
    <cellStyle name="표준 5 2 2 2 13 3 3 2" xfId="42351"/>
    <cellStyle name="표준 5 2 2 2 13 3 4" xfId="29679"/>
    <cellStyle name="표준 5 2 2 2 13 3 5" xfId="52981"/>
    <cellStyle name="표준 5 2 2 2 13 4" xfId="7541"/>
    <cellStyle name="표준 5 2 2 2 13 4 2" xfId="20214"/>
    <cellStyle name="표준 5 2 2 2 13 4 2 2" xfId="45566"/>
    <cellStyle name="표준 5 2 2 2 13 4 3" xfId="32894"/>
    <cellStyle name="표준 5 2 2 2 13 5" xfId="13878"/>
    <cellStyle name="표준 5 2 2 2 13 5 2" xfId="39230"/>
    <cellStyle name="표준 5 2 2 2 13 6" xfId="26558"/>
    <cellStyle name="표준 5 2 2 2 13 7" xfId="52982"/>
    <cellStyle name="표준 5 2 2 2 14" xfId="1206"/>
    <cellStyle name="표준 5 2 2 2 14 2" xfId="1207"/>
    <cellStyle name="표준 5 2 2 2 14 2 2" xfId="4327"/>
    <cellStyle name="표준 5 2 2 2 14 2 2 2" xfId="10663"/>
    <cellStyle name="표준 5 2 2 2 14 2 2 2 2" xfId="23336"/>
    <cellStyle name="표준 5 2 2 2 14 2 2 2 2 2" xfId="48688"/>
    <cellStyle name="표준 5 2 2 2 14 2 2 2 3" xfId="36016"/>
    <cellStyle name="표준 5 2 2 2 14 2 2 3" xfId="17000"/>
    <cellStyle name="표준 5 2 2 2 14 2 2 3 2" xfId="42352"/>
    <cellStyle name="표준 5 2 2 2 14 2 2 4" xfId="29680"/>
    <cellStyle name="표준 5 2 2 2 14 2 2 5" xfId="52983"/>
    <cellStyle name="표준 5 2 2 2 14 2 3" xfId="7544"/>
    <cellStyle name="표준 5 2 2 2 14 2 3 2" xfId="20217"/>
    <cellStyle name="표준 5 2 2 2 14 2 3 2 2" xfId="45569"/>
    <cellStyle name="표준 5 2 2 2 14 2 3 3" xfId="32897"/>
    <cellStyle name="표준 5 2 2 2 14 2 4" xfId="13881"/>
    <cellStyle name="표준 5 2 2 2 14 2 4 2" xfId="39233"/>
    <cellStyle name="표준 5 2 2 2 14 2 5" xfId="26561"/>
    <cellStyle name="표준 5 2 2 2 14 2 6" xfId="52984"/>
    <cellStyle name="표준 5 2 2 2 14 3" xfId="4328"/>
    <cellStyle name="표준 5 2 2 2 14 3 2" xfId="10664"/>
    <cellStyle name="표준 5 2 2 2 14 3 2 2" xfId="23337"/>
    <cellStyle name="표준 5 2 2 2 14 3 2 2 2" xfId="48689"/>
    <cellStyle name="표준 5 2 2 2 14 3 2 3" xfId="36017"/>
    <cellStyle name="표준 5 2 2 2 14 3 3" xfId="17001"/>
    <cellStyle name="표준 5 2 2 2 14 3 3 2" xfId="42353"/>
    <cellStyle name="표준 5 2 2 2 14 3 4" xfId="29681"/>
    <cellStyle name="표준 5 2 2 2 14 3 5" xfId="52985"/>
    <cellStyle name="표준 5 2 2 2 14 4" xfId="7543"/>
    <cellStyle name="표준 5 2 2 2 14 4 2" xfId="20216"/>
    <cellStyle name="표준 5 2 2 2 14 4 2 2" xfId="45568"/>
    <cellStyle name="표준 5 2 2 2 14 4 3" xfId="32896"/>
    <cellStyle name="표준 5 2 2 2 14 5" xfId="13880"/>
    <cellStyle name="표준 5 2 2 2 14 5 2" xfId="39232"/>
    <cellStyle name="표준 5 2 2 2 14 6" xfId="26560"/>
    <cellStyle name="표준 5 2 2 2 14 7" xfId="52986"/>
    <cellStyle name="표준 5 2 2 2 15" xfId="1208"/>
    <cellStyle name="표준 5 2 2 2 15 2" xfId="1209"/>
    <cellStyle name="표준 5 2 2 2 15 2 2" xfId="4329"/>
    <cellStyle name="표준 5 2 2 2 15 2 2 2" xfId="10665"/>
    <cellStyle name="표준 5 2 2 2 15 2 2 2 2" xfId="23338"/>
    <cellStyle name="표준 5 2 2 2 15 2 2 2 2 2" xfId="48690"/>
    <cellStyle name="표준 5 2 2 2 15 2 2 2 3" xfId="36018"/>
    <cellStyle name="표준 5 2 2 2 15 2 2 3" xfId="17002"/>
    <cellStyle name="표준 5 2 2 2 15 2 2 3 2" xfId="42354"/>
    <cellStyle name="표준 5 2 2 2 15 2 2 4" xfId="29682"/>
    <cellStyle name="표준 5 2 2 2 15 2 2 5" xfId="52987"/>
    <cellStyle name="표준 5 2 2 2 15 2 3" xfId="7546"/>
    <cellStyle name="표준 5 2 2 2 15 2 3 2" xfId="20219"/>
    <cellStyle name="표준 5 2 2 2 15 2 3 2 2" xfId="45571"/>
    <cellStyle name="표준 5 2 2 2 15 2 3 3" xfId="32899"/>
    <cellStyle name="표준 5 2 2 2 15 2 4" xfId="13883"/>
    <cellStyle name="표준 5 2 2 2 15 2 4 2" xfId="39235"/>
    <cellStyle name="표준 5 2 2 2 15 2 5" xfId="26563"/>
    <cellStyle name="표준 5 2 2 2 15 2 6" xfId="52988"/>
    <cellStyle name="표준 5 2 2 2 15 3" xfId="4330"/>
    <cellStyle name="표준 5 2 2 2 15 3 2" xfId="10666"/>
    <cellStyle name="표준 5 2 2 2 15 3 2 2" xfId="23339"/>
    <cellStyle name="표준 5 2 2 2 15 3 2 2 2" xfId="48691"/>
    <cellStyle name="표준 5 2 2 2 15 3 2 3" xfId="36019"/>
    <cellStyle name="표준 5 2 2 2 15 3 3" xfId="17003"/>
    <cellStyle name="표준 5 2 2 2 15 3 3 2" xfId="42355"/>
    <cellStyle name="표준 5 2 2 2 15 3 4" xfId="29683"/>
    <cellStyle name="표준 5 2 2 2 15 3 5" xfId="52989"/>
    <cellStyle name="표준 5 2 2 2 15 4" xfId="7545"/>
    <cellStyle name="표준 5 2 2 2 15 4 2" xfId="20218"/>
    <cellStyle name="표준 5 2 2 2 15 4 2 2" xfId="45570"/>
    <cellStyle name="표준 5 2 2 2 15 4 3" xfId="32898"/>
    <cellStyle name="표준 5 2 2 2 15 5" xfId="13882"/>
    <cellStyle name="표준 5 2 2 2 15 5 2" xfId="39234"/>
    <cellStyle name="표준 5 2 2 2 15 6" xfId="26562"/>
    <cellStyle name="표준 5 2 2 2 15 7" xfId="52990"/>
    <cellStyle name="표준 5 2 2 2 16" xfId="1210"/>
    <cellStyle name="표준 5 2 2 2 16 2" xfId="1211"/>
    <cellStyle name="표준 5 2 2 2 16 2 2" xfId="4331"/>
    <cellStyle name="표준 5 2 2 2 16 2 2 2" xfId="10667"/>
    <cellStyle name="표준 5 2 2 2 16 2 2 2 2" xfId="23340"/>
    <cellStyle name="표준 5 2 2 2 16 2 2 2 2 2" xfId="48692"/>
    <cellStyle name="표준 5 2 2 2 16 2 2 2 3" xfId="36020"/>
    <cellStyle name="표준 5 2 2 2 16 2 2 3" xfId="17004"/>
    <cellStyle name="표준 5 2 2 2 16 2 2 3 2" xfId="42356"/>
    <cellStyle name="표준 5 2 2 2 16 2 2 4" xfId="29684"/>
    <cellStyle name="표준 5 2 2 2 16 2 2 5" xfId="52991"/>
    <cellStyle name="표준 5 2 2 2 16 2 3" xfId="7548"/>
    <cellStyle name="표준 5 2 2 2 16 2 3 2" xfId="20221"/>
    <cellStyle name="표준 5 2 2 2 16 2 3 2 2" xfId="45573"/>
    <cellStyle name="표준 5 2 2 2 16 2 3 3" xfId="32901"/>
    <cellStyle name="표준 5 2 2 2 16 2 4" xfId="13885"/>
    <cellStyle name="표준 5 2 2 2 16 2 4 2" xfId="39237"/>
    <cellStyle name="표준 5 2 2 2 16 2 5" xfId="26565"/>
    <cellStyle name="표준 5 2 2 2 16 2 6" xfId="52992"/>
    <cellStyle name="표준 5 2 2 2 16 3" xfId="4332"/>
    <cellStyle name="표준 5 2 2 2 16 3 2" xfId="10668"/>
    <cellStyle name="표준 5 2 2 2 16 3 2 2" xfId="23341"/>
    <cellStyle name="표준 5 2 2 2 16 3 2 2 2" xfId="48693"/>
    <cellStyle name="표준 5 2 2 2 16 3 2 3" xfId="36021"/>
    <cellStyle name="표준 5 2 2 2 16 3 3" xfId="17005"/>
    <cellStyle name="표준 5 2 2 2 16 3 3 2" xfId="42357"/>
    <cellStyle name="표준 5 2 2 2 16 3 4" xfId="29685"/>
    <cellStyle name="표준 5 2 2 2 16 3 5" xfId="52993"/>
    <cellStyle name="표준 5 2 2 2 16 4" xfId="7547"/>
    <cellStyle name="표준 5 2 2 2 16 4 2" xfId="20220"/>
    <cellStyle name="표준 5 2 2 2 16 4 2 2" xfId="45572"/>
    <cellStyle name="표준 5 2 2 2 16 4 3" xfId="32900"/>
    <cellStyle name="표준 5 2 2 2 16 5" xfId="13884"/>
    <cellStyle name="표준 5 2 2 2 16 5 2" xfId="39236"/>
    <cellStyle name="표준 5 2 2 2 16 6" xfId="26564"/>
    <cellStyle name="표준 5 2 2 2 16 7" xfId="52994"/>
    <cellStyle name="표준 5 2 2 2 17" xfId="1212"/>
    <cellStyle name="표준 5 2 2 2 17 2" xfId="1213"/>
    <cellStyle name="표준 5 2 2 2 17 2 2" xfId="4333"/>
    <cellStyle name="표준 5 2 2 2 17 2 2 2" xfId="10669"/>
    <cellStyle name="표준 5 2 2 2 17 2 2 2 2" xfId="23342"/>
    <cellStyle name="표준 5 2 2 2 17 2 2 2 2 2" xfId="48694"/>
    <cellStyle name="표준 5 2 2 2 17 2 2 2 3" xfId="36022"/>
    <cellStyle name="표준 5 2 2 2 17 2 2 3" xfId="17006"/>
    <cellStyle name="표준 5 2 2 2 17 2 2 3 2" xfId="42358"/>
    <cellStyle name="표준 5 2 2 2 17 2 2 4" xfId="29686"/>
    <cellStyle name="표준 5 2 2 2 17 2 2 5" xfId="52995"/>
    <cellStyle name="표준 5 2 2 2 17 2 3" xfId="7550"/>
    <cellStyle name="표준 5 2 2 2 17 2 3 2" xfId="20223"/>
    <cellStyle name="표준 5 2 2 2 17 2 3 2 2" xfId="45575"/>
    <cellStyle name="표준 5 2 2 2 17 2 3 3" xfId="32903"/>
    <cellStyle name="표준 5 2 2 2 17 2 4" xfId="13887"/>
    <cellStyle name="표준 5 2 2 2 17 2 4 2" xfId="39239"/>
    <cellStyle name="표준 5 2 2 2 17 2 5" xfId="26567"/>
    <cellStyle name="표준 5 2 2 2 17 2 6" xfId="52996"/>
    <cellStyle name="표준 5 2 2 2 17 3" xfId="4334"/>
    <cellStyle name="표준 5 2 2 2 17 3 2" xfId="10670"/>
    <cellStyle name="표준 5 2 2 2 17 3 2 2" xfId="23343"/>
    <cellStyle name="표준 5 2 2 2 17 3 2 2 2" xfId="48695"/>
    <cellStyle name="표준 5 2 2 2 17 3 2 3" xfId="36023"/>
    <cellStyle name="표준 5 2 2 2 17 3 3" xfId="17007"/>
    <cellStyle name="표준 5 2 2 2 17 3 3 2" xfId="42359"/>
    <cellStyle name="표준 5 2 2 2 17 3 4" xfId="29687"/>
    <cellStyle name="표준 5 2 2 2 17 3 5" xfId="52997"/>
    <cellStyle name="표준 5 2 2 2 17 4" xfId="7549"/>
    <cellStyle name="표준 5 2 2 2 17 4 2" xfId="20222"/>
    <cellStyle name="표준 5 2 2 2 17 4 2 2" xfId="45574"/>
    <cellStyle name="표준 5 2 2 2 17 4 3" xfId="32902"/>
    <cellStyle name="표준 5 2 2 2 17 5" xfId="13886"/>
    <cellStyle name="표준 5 2 2 2 17 5 2" xfId="39238"/>
    <cellStyle name="표준 5 2 2 2 17 6" xfId="26566"/>
    <cellStyle name="표준 5 2 2 2 17 7" xfId="52998"/>
    <cellStyle name="표준 5 2 2 2 18" xfId="1214"/>
    <cellStyle name="표준 5 2 2 2 18 2" xfId="1215"/>
    <cellStyle name="표준 5 2 2 2 18 2 2" xfId="4335"/>
    <cellStyle name="표준 5 2 2 2 18 2 2 2" xfId="10671"/>
    <cellStyle name="표준 5 2 2 2 18 2 2 2 2" xfId="23344"/>
    <cellStyle name="표준 5 2 2 2 18 2 2 2 2 2" xfId="48696"/>
    <cellStyle name="표준 5 2 2 2 18 2 2 2 3" xfId="36024"/>
    <cellStyle name="표준 5 2 2 2 18 2 2 3" xfId="17008"/>
    <cellStyle name="표준 5 2 2 2 18 2 2 3 2" xfId="42360"/>
    <cellStyle name="표준 5 2 2 2 18 2 2 4" xfId="29688"/>
    <cellStyle name="표준 5 2 2 2 18 2 2 5" xfId="52999"/>
    <cellStyle name="표준 5 2 2 2 18 2 3" xfId="7552"/>
    <cellStyle name="표준 5 2 2 2 18 2 3 2" xfId="20225"/>
    <cellStyle name="표준 5 2 2 2 18 2 3 2 2" xfId="45577"/>
    <cellStyle name="표준 5 2 2 2 18 2 3 3" xfId="32905"/>
    <cellStyle name="표준 5 2 2 2 18 2 4" xfId="13889"/>
    <cellStyle name="표준 5 2 2 2 18 2 4 2" xfId="39241"/>
    <cellStyle name="표준 5 2 2 2 18 2 5" xfId="26569"/>
    <cellStyle name="표준 5 2 2 2 18 2 6" xfId="53000"/>
    <cellStyle name="표준 5 2 2 2 18 3" xfId="4336"/>
    <cellStyle name="표준 5 2 2 2 18 3 2" xfId="10672"/>
    <cellStyle name="표준 5 2 2 2 18 3 2 2" xfId="23345"/>
    <cellStyle name="표준 5 2 2 2 18 3 2 2 2" xfId="48697"/>
    <cellStyle name="표준 5 2 2 2 18 3 2 3" xfId="36025"/>
    <cellStyle name="표준 5 2 2 2 18 3 3" xfId="17009"/>
    <cellStyle name="표준 5 2 2 2 18 3 3 2" xfId="42361"/>
    <cellStyle name="표준 5 2 2 2 18 3 4" xfId="29689"/>
    <cellStyle name="표준 5 2 2 2 18 3 5" xfId="53001"/>
    <cellStyle name="표준 5 2 2 2 18 4" xfId="7551"/>
    <cellStyle name="표준 5 2 2 2 18 4 2" xfId="20224"/>
    <cellStyle name="표준 5 2 2 2 18 4 2 2" xfId="45576"/>
    <cellStyle name="표준 5 2 2 2 18 4 3" xfId="32904"/>
    <cellStyle name="표준 5 2 2 2 18 5" xfId="13888"/>
    <cellStyle name="표준 5 2 2 2 18 5 2" xfId="39240"/>
    <cellStyle name="표준 5 2 2 2 18 6" xfId="26568"/>
    <cellStyle name="표준 5 2 2 2 18 7" xfId="53002"/>
    <cellStyle name="표준 5 2 2 2 19" xfId="1216"/>
    <cellStyle name="표준 5 2 2 2 19 2" xfId="1217"/>
    <cellStyle name="표준 5 2 2 2 19 2 2" xfId="4337"/>
    <cellStyle name="표준 5 2 2 2 19 2 2 2" xfId="10673"/>
    <cellStyle name="표준 5 2 2 2 19 2 2 2 2" xfId="23346"/>
    <cellStyle name="표준 5 2 2 2 19 2 2 2 2 2" xfId="48698"/>
    <cellStyle name="표준 5 2 2 2 19 2 2 2 3" xfId="36026"/>
    <cellStyle name="표준 5 2 2 2 19 2 2 3" xfId="17010"/>
    <cellStyle name="표준 5 2 2 2 19 2 2 3 2" xfId="42362"/>
    <cellStyle name="표준 5 2 2 2 19 2 2 4" xfId="29690"/>
    <cellStyle name="표준 5 2 2 2 19 2 2 5" xfId="53003"/>
    <cellStyle name="표준 5 2 2 2 19 2 3" xfId="7554"/>
    <cellStyle name="표준 5 2 2 2 19 2 3 2" xfId="20227"/>
    <cellStyle name="표준 5 2 2 2 19 2 3 2 2" xfId="45579"/>
    <cellStyle name="표준 5 2 2 2 19 2 3 3" xfId="32907"/>
    <cellStyle name="표준 5 2 2 2 19 2 4" xfId="13891"/>
    <cellStyle name="표준 5 2 2 2 19 2 4 2" xfId="39243"/>
    <cellStyle name="표준 5 2 2 2 19 2 5" xfId="26571"/>
    <cellStyle name="표준 5 2 2 2 19 2 6" xfId="53004"/>
    <cellStyle name="표준 5 2 2 2 19 3" xfId="4338"/>
    <cellStyle name="표준 5 2 2 2 19 3 2" xfId="10674"/>
    <cellStyle name="표준 5 2 2 2 19 3 2 2" xfId="23347"/>
    <cellStyle name="표준 5 2 2 2 19 3 2 2 2" xfId="48699"/>
    <cellStyle name="표준 5 2 2 2 19 3 2 3" xfId="36027"/>
    <cellStyle name="표준 5 2 2 2 19 3 3" xfId="17011"/>
    <cellStyle name="표준 5 2 2 2 19 3 3 2" xfId="42363"/>
    <cellStyle name="표준 5 2 2 2 19 3 4" xfId="29691"/>
    <cellStyle name="표준 5 2 2 2 19 3 5" xfId="53005"/>
    <cellStyle name="표준 5 2 2 2 19 4" xfId="7553"/>
    <cellStyle name="표준 5 2 2 2 19 4 2" xfId="20226"/>
    <cellStyle name="표준 5 2 2 2 19 4 2 2" xfId="45578"/>
    <cellStyle name="표준 5 2 2 2 19 4 3" xfId="32906"/>
    <cellStyle name="표준 5 2 2 2 19 5" xfId="13890"/>
    <cellStyle name="표준 5 2 2 2 19 5 2" xfId="39242"/>
    <cellStyle name="표준 5 2 2 2 19 6" xfId="26570"/>
    <cellStyle name="표준 5 2 2 2 19 7" xfId="53006"/>
    <cellStyle name="표준 5 2 2 2 2" xfId="73"/>
    <cellStyle name="표준 5 2 2 2 2 10" xfId="1218"/>
    <cellStyle name="표준 5 2 2 2 2 10 2" xfId="1219"/>
    <cellStyle name="표준 5 2 2 2 2 10 2 2" xfId="4339"/>
    <cellStyle name="표준 5 2 2 2 2 10 2 2 2" xfId="10675"/>
    <cellStyle name="표준 5 2 2 2 2 10 2 2 2 2" xfId="23348"/>
    <cellStyle name="표준 5 2 2 2 2 10 2 2 2 2 2" xfId="48700"/>
    <cellStyle name="표준 5 2 2 2 2 10 2 2 2 3" xfId="36028"/>
    <cellStyle name="표준 5 2 2 2 2 10 2 2 3" xfId="17012"/>
    <cellStyle name="표준 5 2 2 2 2 10 2 2 3 2" xfId="42364"/>
    <cellStyle name="표준 5 2 2 2 2 10 2 2 4" xfId="29692"/>
    <cellStyle name="표준 5 2 2 2 2 10 2 2 5" xfId="53007"/>
    <cellStyle name="표준 5 2 2 2 2 10 2 3" xfId="7556"/>
    <cellStyle name="표준 5 2 2 2 2 10 2 3 2" xfId="20229"/>
    <cellStyle name="표준 5 2 2 2 2 10 2 3 2 2" xfId="45581"/>
    <cellStyle name="표준 5 2 2 2 2 10 2 3 3" xfId="32909"/>
    <cellStyle name="표준 5 2 2 2 2 10 2 4" xfId="13893"/>
    <cellStyle name="표준 5 2 2 2 2 10 2 4 2" xfId="39245"/>
    <cellStyle name="표준 5 2 2 2 2 10 2 5" xfId="26573"/>
    <cellStyle name="표준 5 2 2 2 2 10 2 6" xfId="53008"/>
    <cellStyle name="표준 5 2 2 2 2 10 3" xfId="4340"/>
    <cellStyle name="표준 5 2 2 2 2 10 3 2" xfId="10676"/>
    <cellStyle name="표준 5 2 2 2 2 10 3 2 2" xfId="23349"/>
    <cellStyle name="표준 5 2 2 2 2 10 3 2 2 2" xfId="48701"/>
    <cellStyle name="표준 5 2 2 2 2 10 3 2 3" xfId="36029"/>
    <cellStyle name="표준 5 2 2 2 2 10 3 3" xfId="17013"/>
    <cellStyle name="표준 5 2 2 2 2 10 3 3 2" xfId="42365"/>
    <cellStyle name="표준 5 2 2 2 2 10 3 4" xfId="29693"/>
    <cellStyle name="표준 5 2 2 2 2 10 3 5" xfId="53009"/>
    <cellStyle name="표준 5 2 2 2 2 10 4" xfId="7555"/>
    <cellStyle name="표준 5 2 2 2 2 10 4 2" xfId="20228"/>
    <cellStyle name="표준 5 2 2 2 2 10 4 2 2" xfId="45580"/>
    <cellStyle name="표준 5 2 2 2 2 10 4 3" xfId="32908"/>
    <cellStyle name="표준 5 2 2 2 2 10 5" xfId="13892"/>
    <cellStyle name="표준 5 2 2 2 2 10 5 2" xfId="39244"/>
    <cellStyle name="표준 5 2 2 2 2 10 6" xfId="26572"/>
    <cellStyle name="표준 5 2 2 2 2 10 7" xfId="53010"/>
    <cellStyle name="표준 5 2 2 2 2 11" xfId="1220"/>
    <cellStyle name="표준 5 2 2 2 2 11 2" xfId="1221"/>
    <cellStyle name="표준 5 2 2 2 2 11 2 2" xfId="4341"/>
    <cellStyle name="표준 5 2 2 2 2 11 2 2 2" xfId="10677"/>
    <cellStyle name="표준 5 2 2 2 2 11 2 2 2 2" xfId="23350"/>
    <cellStyle name="표준 5 2 2 2 2 11 2 2 2 2 2" xfId="48702"/>
    <cellStyle name="표준 5 2 2 2 2 11 2 2 2 3" xfId="36030"/>
    <cellStyle name="표준 5 2 2 2 2 11 2 2 3" xfId="17014"/>
    <cellStyle name="표준 5 2 2 2 2 11 2 2 3 2" xfId="42366"/>
    <cellStyle name="표준 5 2 2 2 2 11 2 2 4" xfId="29694"/>
    <cellStyle name="표준 5 2 2 2 2 11 2 2 5" xfId="53011"/>
    <cellStyle name="표준 5 2 2 2 2 11 2 3" xfId="7558"/>
    <cellStyle name="표준 5 2 2 2 2 11 2 3 2" xfId="20231"/>
    <cellStyle name="표준 5 2 2 2 2 11 2 3 2 2" xfId="45583"/>
    <cellStyle name="표준 5 2 2 2 2 11 2 3 3" xfId="32911"/>
    <cellStyle name="표준 5 2 2 2 2 11 2 4" xfId="13895"/>
    <cellStyle name="표준 5 2 2 2 2 11 2 4 2" xfId="39247"/>
    <cellStyle name="표준 5 2 2 2 2 11 2 5" xfId="26575"/>
    <cellStyle name="표준 5 2 2 2 2 11 2 6" xfId="53012"/>
    <cellStyle name="표준 5 2 2 2 2 11 3" xfId="4342"/>
    <cellStyle name="표준 5 2 2 2 2 11 3 2" xfId="10678"/>
    <cellStyle name="표준 5 2 2 2 2 11 3 2 2" xfId="23351"/>
    <cellStyle name="표준 5 2 2 2 2 11 3 2 2 2" xfId="48703"/>
    <cellStyle name="표준 5 2 2 2 2 11 3 2 3" xfId="36031"/>
    <cellStyle name="표준 5 2 2 2 2 11 3 3" xfId="17015"/>
    <cellStyle name="표준 5 2 2 2 2 11 3 3 2" xfId="42367"/>
    <cellStyle name="표준 5 2 2 2 2 11 3 4" xfId="29695"/>
    <cellStyle name="표준 5 2 2 2 2 11 3 5" xfId="53013"/>
    <cellStyle name="표준 5 2 2 2 2 11 4" xfId="7557"/>
    <cellStyle name="표준 5 2 2 2 2 11 4 2" xfId="20230"/>
    <cellStyle name="표준 5 2 2 2 2 11 4 2 2" xfId="45582"/>
    <cellStyle name="표준 5 2 2 2 2 11 4 3" xfId="32910"/>
    <cellStyle name="표준 5 2 2 2 2 11 5" xfId="13894"/>
    <cellStyle name="표준 5 2 2 2 2 11 5 2" xfId="39246"/>
    <cellStyle name="표준 5 2 2 2 2 11 6" xfId="26574"/>
    <cellStyle name="표준 5 2 2 2 2 11 7" xfId="53014"/>
    <cellStyle name="표준 5 2 2 2 2 12" xfId="1222"/>
    <cellStyle name="표준 5 2 2 2 2 12 2" xfId="1223"/>
    <cellStyle name="표준 5 2 2 2 2 12 2 2" xfId="4343"/>
    <cellStyle name="표준 5 2 2 2 2 12 2 2 2" xfId="10679"/>
    <cellStyle name="표준 5 2 2 2 2 12 2 2 2 2" xfId="23352"/>
    <cellStyle name="표준 5 2 2 2 2 12 2 2 2 2 2" xfId="48704"/>
    <cellStyle name="표준 5 2 2 2 2 12 2 2 2 3" xfId="36032"/>
    <cellStyle name="표준 5 2 2 2 2 12 2 2 3" xfId="17016"/>
    <cellStyle name="표준 5 2 2 2 2 12 2 2 3 2" xfId="42368"/>
    <cellStyle name="표준 5 2 2 2 2 12 2 2 4" xfId="29696"/>
    <cellStyle name="표준 5 2 2 2 2 12 2 2 5" xfId="53015"/>
    <cellStyle name="표준 5 2 2 2 2 12 2 3" xfId="7560"/>
    <cellStyle name="표준 5 2 2 2 2 12 2 3 2" xfId="20233"/>
    <cellStyle name="표준 5 2 2 2 2 12 2 3 2 2" xfId="45585"/>
    <cellStyle name="표준 5 2 2 2 2 12 2 3 3" xfId="32913"/>
    <cellStyle name="표준 5 2 2 2 2 12 2 4" xfId="13897"/>
    <cellStyle name="표준 5 2 2 2 2 12 2 4 2" xfId="39249"/>
    <cellStyle name="표준 5 2 2 2 2 12 2 5" xfId="26577"/>
    <cellStyle name="표준 5 2 2 2 2 12 2 6" xfId="53016"/>
    <cellStyle name="표준 5 2 2 2 2 12 3" xfId="4344"/>
    <cellStyle name="표준 5 2 2 2 2 12 3 2" xfId="10680"/>
    <cellStyle name="표준 5 2 2 2 2 12 3 2 2" xfId="23353"/>
    <cellStyle name="표준 5 2 2 2 2 12 3 2 2 2" xfId="48705"/>
    <cellStyle name="표준 5 2 2 2 2 12 3 2 3" xfId="36033"/>
    <cellStyle name="표준 5 2 2 2 2 12 3 3" xfId="17017"/>
    <cellStyle name="표준 5 2 2 2 2 12 3 3 2" xfId="42369"/>
    <cellStyle name="표준 5 2 2 2 2 12 3 4" xfId="29697"/>
    <cellStyle name="표준 5 2 2 2 2 12 3 5" xfId="53017"/>
    <cellStyle name="표준 5 2 2 2 2 12 4" xfId="7559"/>
    <cellStyle name="표준 5 2 2 2 2 12 4 2" xfId="20232"/>
    <cellStyle name="표준 5 2 2 2 2 12 4 2 2" xfId="45584"/>
    <cellStyle name="표준 5 2 2 2 2 12 4 3" xfId="32912"/>
    <cellStyle name="표준 5 2 2 2 2 12 5" xfId="13896"/>
    <cellStyle name="표준 5 2 2 2 2 12 5 2" xfId="39248"/>
    <cellStyle name="표준 5 2 2 2 2 12 6" xfId="26576"/>
    <cellStyle name="표준 5 2 2 2 2 12 7" xfId="53018"/>
    <cellStyle name="표준 5 2 2 2 2 13" xfId="1224"/>
    <cellStyle name="표준 5 2 2 2 2 13 2" xfId="1225"/>
    <cellStyle name="표준 5 2 2 2 2 13 2 2" xfId="4345"/>
    <cellStyle name="표준 5 2 2 2 2 13 2 2 2" xfId="10681"/>
    <cellStyle name="표준 5 2 2 2 2 13 2 2 2 2" xfId="23354"/>
    <cellStyle name="표준 5 2 2 2 2 13 2 2 2 2 2" xfId="48706"/>
    <cellStyle name="표준 5 2 2 2 2 13 2 2 2 3" xfId="36034"/>
    <cellStyle name="표준 5 2 2 2 2 13 2 2 3" xfId="17018"/>
    <cellStyle name="표준 5 2 2 2 2 13 2 2 3 2" xfId="42370"/>
    <cellStyle name="표준 5 2 2 2 2 13 2 2 4" xfId="29698"/>
    <cellStyle name="표준 5 2 2 2 2 13 2 2 5" xfId="53019"/>
    <cellStyle name="표준 5 2 2 2 2 13 2 3" xfId="7562"/>
    <cellStyle name="표준 5 2 2 2 2 13 2 3 2" xfId="20235"/>
    <cellStyle name="표준 5 2 2 2 2 13 2 3 2 2" xfId="45587"/>
    <cellStyle name="표준 5 2 2 2 2 13 2 3 3" xfId="32915"/>
    <cellStyle name="표준 5 2 2 2 2 13 2 4" xfId="13899"/>
    <cellStyle name="표준 5 2 2 2 2 13 2 4 2" xfId="39251"/>
    <cellStyle name="표준 5 2 2 2 2 13 2 5" xfId="26579"/>
    <cellStyle name="표준 5 2 2 2 2 13 2 6" xfId="53020"/>
    <cellStyle name="표준 5 2 2 2 2 13 3" xfId="4346"/>
    <cellStyle name="표준 5 2 2 2 2 13 3 2" xfId="10682"/>
    <cellStyle name="표준 5 2 2 2 2 13 3 2 2" xfId="23355"/>
    <cellStyle name="표준 5 2 2 2 2 13 3 2 2 2" xfId="48707"/>
    <cellStyle name="표준 5 2 2 2 2 13 3 2 3" xfId="36035"/>
    <cellStyle name="표준 5 2 2 2 2 13 3 3" xfId="17019"/>
    <cellStyle name="표준 5 2 2 2 2 13 3 3 2" xfId="42371"/>
    <cellStyle name="표준 5 2 2 2 2 13 3 4" xfId="29699"/>
    <cellStyle name="표준 5 2 2 2 2 13 3 5" xfId="53021"/>
    <cellStyle name="표준 5 2 2 2 2 13 4" xfId="7561"/>
    <cellStyle name="표준 5 2 2 2 2 13 4 2" xfId="20234"/>
    <cellStyle name="표준 5 2 2 2 2 13 4 2 2" xfId="45586"/>
    <cellStyle name="표준 5 2 2 2 2 13 4 3" xfId="32914"/>
    <cellStyle name="표준 5 2 2 2 2 13 5" xfId="13898"/>
    <cellStyle name="표준 5 2 2 2 2 13 5 2" xfId="39250"/>
    <cellStyle name="표준 5 2 2 2 2 13 6" xfId="26578"/>
    <cellStyle name="표준 5 2 2 2 2 13 7" xfId="53022"/>
    <cellStyle name="표준 5 2 2 2 2 14" xfId="1226"/>
    <cellStyle name="표준 5 2 2 2 2 14 2" xfId="1227"/>
    <cellStyle name="표준 5 2 2 2 2 14 2 2" xfId="4347"/>
    <cellStyle name="표준 5 2 2 2 2 14 2 2 2" xfId="10683"/>
    <cellStyle name="표준 5 2 2 2 2 14 2 2 2 2" xfId="23356"/>
    <cellStyle name="표준 5 2 2 2 2 14 2 2 2 2 2" xfId="48708"/>
    <cellStyle name="표준 5 2 2 2 2 14 2 2 2 3" xfId="36036"/>
    <cellStyle name="표준 5 2 2 2 2 14 2 2 3" xfId="17020"/>
    <cellStyle name="표준 5 2 2 2 2 14 2 2 3 2" xfId="42372"/>
    <cellStyle name="표준 5 2 2 2 2 14 2 2 4" xfId="29700"/>
    <cellStyle name="표준 5 2 2 2 2 14 2 2 5" xfId="53023"/>
    <cellStyle name="표준 5 2 2 2 2 14 2 3" xfId="7564"/>
    <cellStyle name="표준 5 2 2 2 2 14 2 3 2" xfId="20237"/>
    <cellStyle name="표준 5 2 2 2 2 14 2 3 2 2" xfId="45589"/>
    <cellStyle name="표준 5 2 2 2 2 14 2 3 3" xfId="32917"/>
    <cellStyle name="표준 5 2 2 2 2 14 2 4" xfId="13901"/>
    <cellStyle name="표준 5 2 2 2 2 14 2 4 2" xfId="39253"/>
    <cellStyle name="표준 5 2 2 2 2 14 2 5" xfId="26581"/>
    <cellStyle name="표준 5 2 2 2 2 14 2 6" xfId="53024"/>
    <cellStyle name="표준 5 2 2 2 2 14 3" xfId="4348"/>
    <cellStyle name="표준 5 2 2 2 2 14 3 2" xfId="10684"/>
    <cellStyle name="표준 5 2 2 2 2 14 3 2 2" xfId="23357"/>
    <cellStyle name="표준 5 2 2 2 2 14 3 2 2 2" xfId="48709"/>
    <cellStyle name="표준 5 2 2 2 2 14 3 2 3" xfId="36037"/>
    <cellStyle name="표준 5 2 2 2 2 14 3 3" xfId="17021"/>
    <cellStyle name="표준 5 2 2 2 2 14 3 3 2" xfId="42373"/>
    <cellStyle name="표준 5 2 2 2 2 14 3 4" xfId="29701"/>
    <cellStyle name="표준 5 2 2 2 2 14 3 5" xfId="53025"/>
    <cellStyle name="표준 5 2 2 2 2 14 4" xfId="7563"/>
    <cellStyle name="표준 5 2 2 2 2 14 4 2" xfId="20236"/>
    <cellStyle name="표준 5 2 2 2 2 14 4 2 2" xfId="45588"/>
    <cellStyle name="표준 5 2 2 2 2 14 4 3" xfId="32916"/>
    <cellStyle name="표준 5 2 2 2 2 14 5" xfId="13900"/>
    <cellStyle name="표준 5 2 2 2 2 14 5 2" xfId="39252"/>
    <cellStyle name="표준 5 2 2 2 2 14 6" xfId="26580"/>
    <cellStyle name="표준 5 2 2 2 2 14 7" xfId="53026"/>
    <cellStyle name="표준 5 2 2 2 2 15" xfId="1228"/>
    <cellStyle name="표준 5 2 2 2 2 15 2" xfId="1229"/>
    <cellStyle name="표준 5 2 2 2 2 15 2 2" xfId="4349"/>
    <cellStyle name="표준 5 2 2 2 2 15 2 2 2" xfId="10685"/>
    <cellStyle name="표준 5 2 2 2 2 15 2 2 2 2" xfId="23358"/>
    <cellStyle name="표준 5 2 2 2 2 15 2 2 2 2 2" xfId="48710"/>
    <cellStyle name="표준 5 2 2 2 2 15 2 2 2 3" xfId="36038"/>
    <cellStyle name="표준 5 2 2 2 2 15 2 2 3" xfId="17022"/>
    <cellStyle name="표준 5 2 2 2 2 15 2 2 3 2" xfId="42374"/>
    <cellStyle name="표준 5 2 2 2 2 15 2 2 4" xfId="29702"/>
    <cellStyle name="표준 5 2 2 2 2 15 2 2 5" xfId="53027"/>
    <cellStyle name="표준 5 2 2 2 2 15 2 3" xfId="7566"/>
    <cellStyle name="표준 5 2 2 2 2 15 2 3 2" xfId="20239"/>
    <cellStyle name="표준 5 2 2 2 2 15 2 3 2 2" xfId="45591"/>
    <cellStyle name="표준 5 2 2 2 2 15 2 3 3" xfId="32919"/>
    <cellStyle name="표준 5 2 2 2 2 15 2 4" xfId="13903"/>
    <cellStyle name="표준 5 2 2 2 2 15 2 4 2" xfId="39255"/>
    <cellStyle name="표준 5 2 2 2 2 15 2 5" xfId="26583"/>
    <cellStyle name="표준 5 2 2 2 2 15 2 6" xfId="53028"/>
    <cellStyle name="표준 5 2 2 2 2 15 3" xfId="4350"/>
    <cellStyle name="표준 5 2 2 2 2 15 3 2" xfId="10686"/>
    <cellStyle name="표준 5 2 2 2 2 15 3 2 2" xfId="23359"/>
    <cellStyle name="표준 5 2 2 2 2 15 3 2 2 2" xfId="48711"/>
    <cellStyle name="표준 5 2 2 2 2 15 3 2 3" xfId="36039"/>
    <cellStyle name="표준 5 2 2 2 2 15 3 3" xfId="17023"/>
    <cellStyle name="표준 5 2 2 2 2 15 3 3 2" xfId="42375"/>
    <cellStyle name="표준 5 2 2 2 2 15 3 4" xfId="29703"/>
    <cellStyle name="표준 5 2 2 2 2 15 3 5" xfId="53029"/>
    <cellStyle name="표준 5 2 2 2 2 15 4" xfId="7565"/>
    <cellStyle name="표준 5 2 2 2 2 15 4 2" xfId="20238"/>
    <cellStyle name="표준 5 2 2 2 2 15 4 2 2" xfId="45590"/>
    <cellStyle name="표준 5 2 2 2 2 15 4 3" xfId="32918"/>
    <cellStyle name="표준 5 2 2 2 2 15 5" xfId="13902"/>
    <cellStyle name="표준 5 2 2 2 2 15 5 2" xfId="39254"/>
    <cellStyle name="표준 5 2 2 2 2 15 6" xfId="26582"/>
    <cellStyle name="표준 5 2 2 2 2 15 7" xfId="53030"/>
    <cellStyle name="표준 5 2 2 2 2 16" xfId="1230"/>
    <cellStyle name="표준 5 2 2 2 2 16 2" xfId="1231"/>
    <cellStyle name="표준 5 2 2 2 2 16 2 2" xfId="4351"/>
    <cellStyle name="표준 5 2 2 2 2 16 2 2 2" xfId="10687"/>
    <cellStyle name="표준 5 2 2 2 2 16 2 2 2 2" xfId="23360"/>
    <cellStyle name="표준 5 2 2 2 2 16 2 2 2 2 2" xfId="48712"/>
    <cellStyle name="표준 5 2 2 2 2 16 2 2 2 3" xfId="36040"/>
    <cellStyle name="표준 5 2 2 2 2 16 2 2 3" xfId="17024"/>
    <cellStyle name="표준 5 2 2 2 2 16 2 2 3 2" xfId="42376"/>
    <cellStyle name="표준 5 2 2 2 2 16 2 2 4" xfId="29704"/>
    <cellStyle name="표준 5 2 2 2 2 16 2 2 5" xfId="53031"/>
    <cellStyle name="표준 5 2 2 2 2 16 2 3" xfId="7568"/>
    <cellStyle name="표준 5 2 2 2 2 16 2 3 2" xfId="20241"/>
    <cellStyle name="표준 5 2 2 2 2 16 2 3 2 2" xfId="45593"/>
    <cellStyle name="표준 5 2 2 2 2 16 2 3 3" xfId="32921"/>
    <cellStyle name="표준 5 2 2 2 2 16 2 4" xfId="13905"/>
    <cellStyle name="표준 5 2 2 2 2 16 2 4 2" xfId="39257"/>
    <cellStyle name="표준 5 2 2 2 2 16 2 5" xfId="26585"/>
    <cellStyle name="표준 5 2 2 2 2 16 2 6" xfId="53032"/>
    <cellStyle name="표준 5 2 2 2 2 16 3" xfId="4352"/>
    <cellStyle name="표준 5 2 2 2 2 16 3 2" xfId="10688"/>
    <cellStyle name="표준 5 2 2 2 2 16 3 2 2" xfId="23361"/>
    <cellStyle name="표준 5 2 2 2 2 16 3 2 2 2" xfId="48713"/>
    <cellStyle name="표준 5 2 2 2 2 16 3 2 3" xfId="36041"/>
    <cellStyle name="표준 5 2 2 2 2 16 3 3" xfId="17025"/>
    <cellStyle name="표준 5 2 2 2 2 16 3 3 2" xfId="42377"/>
    <cellStyle name="표준 5 2 2 2 2 16 3 4" xfId="29705"/>
    <cellStyle name="표준 5 2 2 2 2 16 3 5" xfId="53033"/>
    <cellStyle name="표준 5 2 2 2 2 16 4" xfId="7567"/>
    <cellStyle name="표준 5 2 2 2 2 16 4 2" xfId="20240"/>
    <cellStyle name="표준 5 2 2 2 2 16 4 2 2" xfId="45592"/>
    <cellStyle name="표준 5 2 2 2 2 16 4 3" xfId="32920"/>
    <cellStyle name="표준 5 2 2 2 2 16 5" xfId="13904"/>
    <cellStyle name="표준 5 2 2 2 2 16 5 2" xfId="39256"/>
    <cellStyle name="표준 5 2 2 2 2 16 6" xfId="26584"/>
    <cellStyle name="표준 5 2 2 2 2 16 7" xfId="53034"/>
    <cellStyle name="표준 5 2 2 2 2 17" xfId="1232"/>
    <cellStyle name="표준 5 2 2 2 2 17 2" xfId="1233"/>
    <cellStyle name="표준 5 2 2 2 2 17 2 2" xfId="4353"/>
    <cellStyle name="표준 5 2 2 2 2 17 2 2 2" xfId="10689"/>
    <cellStyle name="표준 5 2 2 2 2 17 2 2 2 2" xfId="23362"/>
    <cellStyle name="표준 5 2 2 2 2 17 2 2 2 2 2" xfId="48714"/>
    <cellStyle name="표준 5 2 2 2 2 17 2 2 2 3" xfId="36042"/>
    <cellStyle name="표준 5 2 2 2 2 17 2 2 3" xfId="17026"/>
    <cellStyle name="표준 5 2 2 2 2 17 2 2 3 2" xfId="42378"/>
    <cellStyle name="표준 5 2 2 2 2 17 2 2 4" xfId="29706"/>
    <cellStyle name="표준 5 2 2 2 2 17 2 2 5" xfId="53035"/>
    <cellStyle name="표준 5 2 2 2 2 17 2 3" xfId="7570"/>
    <cellStyle name="표준 5 2 2 2 2 17 2 3 2" xfId="20243"/>
    <cellStyle name="표준 5 2 2 2 2 17 2 3 2 2" xfId="45595"/>
    <cellStyle name="표준 5 2 2 2 2 17 2 3 3" xfId="32923"/>
    <cellStyle name="표준 5 2 2 2 2 17 2 4" xfId="13907"/>
    <cellStyle name="표준 5 2 2 2 2 17 2 4 2" xfId="39259"/>
    <cellStyle name="표준 5 2 2 2 2 17 2 5" xfId="26587"/>
    <cellStyle name="표준 5 2 2 2 2 17 2 6" xfId="53036"/>
    <cellStyle name="표준 5 2 2 2 2 17 3" xfId="4354"/>
    <cellStyle name="표준 5 2 2 2 2 17 3 2" xfId="10690"/>
    <cellStyle name="표준 5 2 2 2 2 17 3 2 2" xfId="23363"/>
    <cellStyle name="표준 5 2 2 2 2 17 3 2 2 2" xfId="48715"/>
    <cellStyle name="표준 5 2 2 2 2 17 3 2 3" xfId="36043"/>
    <cellStyle name="표준 5 2 2 2 2 17 3 3" xfId="17027"/>
    <cellStyle name="표준 5 2 2 2 2 17 3 3 2" xfId="42379"/>
    <cellStyle name="표준 5 2 2 2 2 17 3 4" xfId="29707"/>
    <cellStyle name="표준 5 2 2 2 2 17 3 5" xfId="53037"/>
    <cellStyle name="표준 5 2 2 2 2 17 4" xfId="7569"/>
    <cellStyle name="표준 5 2 2 2 2 17 4 2" xfId="20242"/>
    <cellStyle name="표준 5 2 2 2 2 17 4 2 2" xfId="45594"/>
    <cellStyle name="표준 5 2 2 2 2 17 4 3" xfId="32922"/>
    <cellStyle name="표준 5 2 2 2 2 17 5" xfId="13906"/>
    <cellStyle name="표준 5 2 2 2 2 17 5 2" xfId="39258"/>
    <cellStyle name="표준 5 2 2 2 2 17 6" xfId="26586"/>
    <cellStyle name="표준 5 2 2 2 2 17 7" xfId="53038"/>
    <cellStyle name="표준 5 2 2 2 2 18" xfId="1234"/>
    <cellStyle name="표준 5 2 2 2 2 18 2" xfId="1235"/>
    <cellStyle name="표준 5 2 2 2 2 18 2 2" xfId="4355"/>
    <cellStyle name="표준 5 2 2 2 2 18 2 2 2" xfId="10691"/>
    <cellStyle name="표준 5 2 2 2 2 18 2 2 2 2" xfId="23364"/>
    <cellStyle name="표준 5 2 2 2 2 18 2 2 2 2 2" xfId="48716"/>
    <cellStyle name="표준 5 2 2 2 2 18 2 2 2 3" xfId="36044"/>
    <cellStyle name="표준 5 2 2 2 2 18 2 2 3" xfId="17028"/>
    <cellStyle name="표준 5 2 2 2 2 18 2 2 3 2" xfId="42380"/>
    <cellStyle name="표준 5 2 2 2 2 18 2 2 4" xfId="29708"/>
    <cellStyle name="표준 5 2 2 2 2 18 2 2 5" xfId="53039"/>
    <cellStyle name="표준 5 2 2 2 2 18 2 3" xfId="7572"/>
    <cellStyle name="표준 5 2 2 2 2 18 2 3 2" xfId="20245"/>
    <cellStyle name="표준 5 2 2 2 2 18 2 3 2 2" xfId="45597"/>
    <cellStyle name="표준 5 2 2 2 2 18 2 3 3" xfId="32925"/>
    <cellStyle name="표준 5 2 2 2 2 18 2 4" xfId="13909"/>
    <cellStyle name="표준 5 2 2 2 2 18 2 4 2" xfId="39261"/>
    <cellStyle name="표준 5 2 2 2 2 18 2 5" xfId="26589"/>
    <cellStyle name="표준 5 2 2 2 2 18 2 6" xfId="53040"/>
    <cellStyle name="표준 5 2 2 2 2 18 3" xfId="4356"/>
    <cellStyle name="표준 5 2 2 2 2 18 3 2" xfId="10692"/>
    <cellStyle name="표준 5 2 2 2 2 18 3 2 2" xfId="23365"/>
    <cellStyle name="표준 5 2 2 2 2 18 3 2 2 2" xfId="48717"/>
    <cellStyle name="표준 5 2 2 2 2 18 3 2 3" xfId="36045"/>
    <cellStyle name="표준 5 2 2 2 2 18 3 3" xfId="17029"/>
    <cellStyle name="표준 5 2 2 2 2 18 3 3 2" xfId="42381"/>
    <cellStyle name="표준 5 2 2 2 2 18 3 4" xfId="29709"/>
    <cellStyle name="표준 5 2 2 2 2 18 3 5" xfId="53041"/>
    <cellStyle name="표준 5 2 2 2 2 18 4" xfId="7571"/>
    <cellStyle name="표준 5 2 2 2 2 18 4 2" xfId="20244"/>
    <cellStyle name="표준 5 2 2 2 2 18 4 2 2" xfId="45596"/>
    <cellStyle name="표준 5 2 2 2 2 18 4 3" xfId="32924"/>
    <cellStyle name="표준 5 2 2 2 2 18 5" xfId="13908"/>
    <cellStyle name="표준 5 2 2 2 2 18 5 2" xfId="39260"/>
    <cellStyle name="표준 5 2 2 2 2 18 6" xfId="26588"/>
    <cellStyle name="표준 5 2 2 2 2 18 7" xfId="53042"/>
    <cellStyle name="표준 5 2 2 2 2 19" xfId="1236"/>
    <cellStyle name="표준 5 2 2 2 2 19 2" xfId="1237"/>
    <cellStyle name="표준 5 2 2 2 2 19 2 2" xfId="4357"/>
    <cellStyle name="표준 5 2 2 2 2 19 2 2 2" xfId="10693"/>
    <cellStyle name="표준 5 2 2 2 2 19 2 2 2 2" xfId="23366"/>
    <cellStyle name="표준 5 2 2 2 2 19 2 2 2 2 2" xfId="48718"/>
    <cellStyle name="표준 5 2 2 2 2 19 2 2 2 3" xfId="36046"/>
    <cellStyle name="표준 5 2 2 2 2 19 2 2 3" xfId="17030"/>
    <cellStyle name="표준 5 2 2 2 2 19 2 2 3 2" xfId="42382"/>
    <cellStyle name="표준 5 2 2 2 2 19 2 2 4" xfId="29710"/>
    <cellStyle name="표준 5 2 2 2 2 19 2 2 5" xfId="53043"/>
    <cellStyle name="표준 5 2 2 2 2 19 2 3" xfId="7574"/>
    <cellStyle name="표준 5 2 2 2 2 19 2 3 2" xfId="20247"/>
    <cellStyle name="표준 5 2 2 2 2 19 2 3 2 2" xfId="45599"/>
    <cellStyle name="표준 5 2 2 2 2 19 2 3 3" xfId="32927"/>
    <cellStyle name="표준 5 2 2 2 2 19 2 4" xfId="13911"/>
    <cellStyle name="표준 5 2 2 2 2 19 2 4 2" xfId="39263"/>
    <cellStyle name="표준 5 2 2 2 2 19 2 5" xfId="26591"/>
    <cellStyle name="표준 5 2 2 2 2 19 2 6" xfId="53044"/>
    <cellStyle name="표준 5 2 2 2 2 19 3" xfId="4358"/>
    <cellStyle name="표준 5 2 2 2 2 19 3 2" xfId="10694"/>
    <cellStyle name="표준 5 2 2 2 2 19 3 2 2" xfId="23367"/>
    <cellStyle name="표준 5 2 2 2 2 19 3 2 2 2" xfId="48719"/>
    <cellStyle name="표준 5 2 2 2 2 19 3 2 3" xfId="36047"/>
    <cellStyle name="표준 5 2 2 2 2 19 3 3" xfId="17031"/>
    <cellStyle name="표준 5 2 2 2 2 19 3 3 2" xfId="42383"/>
    <cellStyle name="표준 5 2 2 2 2 19 3 4" xfId="29711"/>
    <cellStyle name="표준 5 2 2 2 2 19 3 5" xfId="53045"/>
    <cellStyle name="표준 5 2 2 2 2 19 4" xfId="7573"/>
    <cellStyle name="표준 5 2 2 2 2 19 4 2" xfId="20246"/>
    <cellStyle name="표준 5 2 2 2 2 19 4 2 2" xfId="45598"/>
    <cellStyle name="표준 5 2 2 2 2 19 4 3" xfId="32926"/>
    <cellStyle name="표준 5 2 2 2 2 19 5" xfId="13910"/>
    <cellStyle name="표준 5 2 2 2 2 19 5 2" xfId="39262"/>
    <cellStyle name="표준 5 2 2 2 2 19 6" xfId="26590"/>
    <cellStyle name="표준 5 2 2 2 2 19 7" xfId="53046"/>
    <cellStyle name="표준 5 2 2 2 2 2" xfId="1238"/>
    <cellStyle name="표준 5 2 2 2 2 2 2" xfId="1239"/>
    <cellStyle name="표준 5 2 2 2 2 2 2 2" xfId="4359"/>
    <cellStyle name="표준 5 2 2 2 2 2 2 2 2" xfId="10695"/>
    <cellStyle name="표준 5 2 2 2 2 2 2 2 2 2" xfId="23368"/>
    <cellStyle name="표준 5 2 2 2 2 2 2 2 2 2 2" xfId="48720"/>
    <cellStyle name="표준 5 2 2 2 2 2 2 2 2 3" xfId="36048"/>
    <cellStyle name="표준 5 2 2 2 2 2 2 2 3" xfId="17032"/>
    <cellStyle name="표준 5 2 2 2 2 2 2 2 3 2" xfId="42384"/>
    <cellStyle name="표준 5 2 2 2 2 2 2 2 4" xfId="29712"/>
    <cellStyle name="표준 5 2 2 2 2 2 2 2 5" xfId="53047"/>
    <cellStyle name="표준 5 2 2 2 2 2 2 3" xfId="7576"/>
    <cellStyle name="표준 5 2 2 2 2 2 2 3 2" xfId="20249"/>
    <cellStyle name="표준 5 2 2 2 2 2 2 3 2 2" xfId="45601"/>
    <cellStyle name="표준 5 2 2 2 2 2 2 3 3" xfId="32929"/>
    <cellStyle name="표준 5 2 2 2 2 2 2 4" xfId="13913"/>
    <cellStyle name="표준 5 2 2 2 2 2 2 4 2" xfId="39265"/>
    <cellStyle name="표준 5 2 2 2 2 2 2 5" xfId="26593"/>
    <cellStyle name="표준 5 2 2 2 2 2 2 6" xfId="53048"/>
    <cellStyle name="표준 5 2 2 2 2 2 3" xfId="4360"/>
    <cellStyle name="표준 5 2 2 2 2 2 3 2" xfId="10696"/>
    <cellStyle name="표준 5 2 2 2 2 2 3 2 2" xfId="23369"/>
    <cellStyle name="표준 5 2 2 2 2 2 3 2 2 2" xfId="48721"/>
    <cellStyle name="표준 5 2 2 2 2 2 3 2 3" xfId="36049"/>
    <cellStyle name="표준 5 2 2 2 2 2 3 3" xfId="17033"/>
    <cellStyle name="표준 5 2 2 2 2 2 3 3 2" xfId="42385"/>
    <cellStyle name="표준 5 2 2 2 2 2 3 4" xfId="29713"/>
    <cellStyle name="표준 5 2 2 2 2 2 3 5" xfId="53049"/>
    <cellStyle name="표준 5 2 2 2 2 2 4" xfId="7575"/>
    <cellStyle name="표준 5 2 2 2 2 2 4 2" xfId="20248"/>
    <cellStyle name="표준 5 2 2 2 2 2 4 2 2" xfId="45600"/>
    <cellStyle name="표준 5 2 2 2 2 2 4 3" xfId="32928"/>
    <cellStyle name="표준 5 2 2 2 2 2 5" xfId="13912"/>
    <cellStyle name="표준 5 2 2 2 2 2 5 2" xfId="39264"/>
    <cellStyle name="표준 5 2 2 2 2 2 6" xfId="26592"/>
    <cellStyle name="표준 5 2 2 2 2 2 7" xfId="53050"/>
    <cellStyle name="표준 5 2 2 2 2 20" xfId="1240"/>
    <cellStyle name="표준 5 2 2 2 2 20 2" xfId="1241"/>
    <cellStyle name="표준 5 2 2 2 2 20 2 2" xfId="4361"/>
    <cellStyle name="표준 5 2 2 2 2 20 2 2 2" xfId="10697"/>
    <cellStyle name="표준 5 2 2 2 2 20 2 2 2 2" xfId="23370"/>
    <cellStyle name="표준 5 2 2 2 2 20 2 2 2 2 2" xfId="48722"/>
    <cellStyle name="표준 5 2 2 2 2 20 2 2 2 3" xfId="36050"/>
    <cellStyle name="표준 5 2 2 2 2 20 2 2 3" xfId="17034"/>
    <cellStyle name="표준 5 2 2 2 2 20 2 2 3 2" xfId="42386"/>
    <cellStyle name="표준 5 2 2 2 2 20 2 2 4" xfId="29714"/>
    <cellStyle name="표준 5 2 2 2 2 20 2 2 5" xfId="53051"/>
    <cellStyle name="표준 5 2 2 2 2 20 2 3" xfId="7578"/>
    <cellStyle name="표준 5 2 2 2 2 20 2 3 2" xfId="20251"/>
    <cellStyle name="표준 5 2 2 2 2 20 2 3 2 2" xfId="45603"/>
    <cellStyle name="표준 5 2 2 2 2 20 2 3 3" xfId="32931"/>
    <cellStyle name="표준 5 2 2 2 2 20 2 4" xfId="13915"/>
    <cellStyle name="표준 5 2 2 2 2 20 2 4 2" xfId="39267"/>
    <cellStyle name="표준 5 2 2 2 2 20 2 5" xfId="26595"/>
    <cellStyle name="표준 5 2 2 2 2 20 2 6" xfId="53052"/>
    <cellStyle name="표준 5 2 2 2 2 20 3" xfId="4362"/>
    <cellStyle name="표준 5 2 2 2 2 20 3 2" xfId="10698"/>
    <cellStyle name="표준 5 2 2 2 2 20 3 2 2" xfId="23371"/>
    <cellStyle name="표준 5 2 2 2 2 20 3 2 2 2" xfId="48723"/>
    <cellStyle name="표준 5 2 2 2 2 20 3 2 3" xfId="36051"/>
    <cellStyle name="표준 5 2 2 2 2 20 3 3" xfId="17035"/>
    <cellStyle name="표준 5 2 2 2 2 20 3 3 2" xfId="42387"/>
    <cellStyle name="표준 5 2 2 2 2 20 3 4" xfId="29715"/>
    <cellStyle name="표준 5 2 2 2 2 20 3 5" xfId="53053"/>
    <cellStyle name="표준 5 2 2 2 2 20 4" xfId="7577"/>
    <cellStyle name="표준 5 2 2 2 2 20 4 2" xfId="20250"/>
    <cellStyle name="표준 5 2 2 2 2 20 4 2 2" xfId="45602"/>
    <cellStyle name="표준 5 2 2 2 2 20 4 3" xfId="32930"/>
    <cellStyle name="표준 5 2 2 2 2 20 5" xfId="13914"/>
    <cellStyle name="표준 5 2 2 2 2 20 5 2" xfId="39266"/>
    <cellStyle name="표준 5 2 2 2 2 20 6" xfId="26594"/>
    <cellStyle name="표준 5 2 2 2 2 20 7" xfId="53054"/>
    <cellStyle name="표준 5 2 2 2 2 21" xfId="1242"/>
    <cellStyle name="표준 5 2 2 2 2 21 2" xfId="1243"/>
    <cellStyle name="표준 5 2 2 2 2 21 2 2" xfId="4363"/>
    <cellStyle name="표준 5 2 2 2 2 21 2 2 2" xfId="10699"/>
    <cellStyle name="표준 5 2 2 2 2 21 2 2 2 2" xfId="23372"/>
    <cellStyle name="표준 5 2 2 2 2 21 2 2 2 2 2" xfId="48724"/>
    <cellStyle name="표준 5 2 2 2 2 21 2 2 2 3" xfId="36052"/>
    <cellStyle name="표준 5 2 2 2 2 21 2 2 3" xfId="17036"/>
    <cellStyle name="표준 5 2 2 2 2 21 2 2 3 2" xfId="42388"/>
    <cellStyle name="표준 5 2 2 2 2 21 2 2 4" xfId="29716"/>
    <cellStyle name="표준 5 2 2 2 2 21 2 2 5" xfId="53055"/>
    <cellStyle name="표준 5 2 2 2 2 21 2 3" xfId="7580"/>
    <cellStyle name="표준 5 2 2 2 2 21 2 3 2" xfId="20253"/>
    <cellStyle name="표준 5 2 2 2 2 21 2 3 2 2" xfId="45605"/>
    <cellStyle name="표준 5 2 2 2 2 21 2 3 3" xfId="32933"/>
    <cellStyle name="표준 5 2 2 2 2 21 2 4" xfId="13917"/>
    <cellStyle name="표준 5 2 2 2 2 21 2 4 2" xfId="39269"/>
    <cellStyle name="표준 5 2 2 2 2 21 2 5" xfId="26597"/>
    <cellStyle name="표준 5 2 2 2 2 21 2 6" xfId="53056"/>
    <cellStyle name="표준 5 2 2 2 2 21 3" xfId="4364"/>
    <cellStyle name="표준 5 2 2 2 2 21 3 2" xfId="10700"/>
    <cellStyle name="표준 5 2 2 2 2 21 3 2 2" xfId="23373"/>
    <cellStyle name="표준 5 2 2 2 2 21 3 2 2 2" xfId="48725"/>
    <cellStyle name="표준 5 2 2 2 2 21 3 2 3" xfId="36053"/>
    <cellStyle name="표준 5 2 2 2 2 21 3 3" xfId="17037"/>
    <cellStyle name="표준 5 2 2 2 2 21 3 3 2" xfId="42389"/>
    <cellStyle name="표준 5 2 2 2 2 21 3 4" xfId="29717"/>
    <cellStyle name="표준 5 2 2 2 2 21 3 5" xfId="53057"/>
    <cellStyle name="표준 5 2 2 2 2 21 4" xfId="7579"/>
    <cellStyle name="표준 5 2 2 2 2 21 4 2" xfId="20252"/>
    <cellStyle name="표준 5 2 2 2 2 21 4 2 2" xfId="45604"/>
    <cellStyle name="표준 5 2 2 2 2 21 4 3" xfId="32932"/>
    <cellStyle name="표준 5 2 2 2 2 21 5" xfId="13916"/>
    <cellStyle name="표준 5 2 2 2 2 21 5 2" xfId="39268"/>
    <cellStyle name="표준 5 2 2 2 2 21 6" xfId="26596"/>
    <cellStyle name="표준 5 2 2 2 2 21 7" xfId="53058"/>
    <cellStyle name="표준 5 2 2 2 2 22" xfId="1244"/>
    <cellStyle name="표준 5 2 2 2 2 22 2" xfId="1245"/>
    <cellStyle name="표준 5 2 2 2 2 22 2 2" xfId="4365"/>
    <cellStyle name="표준 5 2 2 2 2 22 2 2 2" xfId="10701"/>
    <cellStyle name="표준 5 2 2 2 2 22 2 2 2 2" xfId="23374"/>
    <cellStyle name="표준 5 2 2 2 2 22 2 2 2 2 2" xfId="48726"/>
    <cellStyle name="표준 5 2 2 2 2 22 2 2 2 3" xfId="36054"/>
    <cellStyle name="표준 5 2 2 2 2 22 2 2 3" xfId="17038"/>
    <cellStyle name="표준 5 2 2 2 2 22 2 2 3 2" xfId="42390"/>
    <cellStyle name="표준 5 2 2 2 2 22 2 2 4" xfId="29718"/>
    <cellStyle name="표준 5 2 2 2 2 22 2 2 5" xfId="53059"/>
    <cellStyle name="표준 5 2 2 2 2 22 2 3" xfId="7582"/>
    <cellStyle name="표준 5 2 2 2 2 22 2 3 2" xfId="20255"/>
    <cellStyle name="표준 5 2 2 2 2 22 2 3 2 2" xfId="45607"/>
    <cellStyle name="표준 5 2 2 2 2 22 2 3 3" xfId="32935"/>
    <cellStyle name="표준 5 2 2 2 2 22 2 4" xfId="13919"/>
    <cellStyle name="표준 5 2 2 2 2 22 2 4 2" xfId="39271"/>
    <cellStyle name="표준 5 2 2 2 2 22 2 5" xfId="26599"/>
    <cellStyle name="표준 5 2 2 2 2 22 2 6" xfId="53060"/>
    <cellStyle name="표준 5 2 2 2 2 22 3" xfId="4366"/>
    <cellStyle name="표준 5 2 2 2 2 22 3 2" xfId="10702"/>
    <cellStyle name="표준 5 2 2 2 2 22 3 2 2" xfId="23375"/>
    <cellStyle name="표준 5 2 2 2 2 22 3 2 2 2" xfId="48727"/>
    <cellStyle name="표준 5 2 2 2 2 22 3 2 3" xfId="36055"/>
    <cellStyle name="표준 5 2 2 2 2 22 3 3" xfId="17039"/>
    <cellStyle name="표준 5 2 2 2 2 22 3 3 2" xfId="42391"/>
    <cellStyle name="표준 5 2 2 2 2 22 3 4" xfId="29719"/>
    <cellStyle name="표준 5 2 2 2 2 22 3 5" xfId="53061"/>
    <cellStyle name="표준 5 2 2 2 2 22 4" xfId="7581"/>
    <cellStyle name="표준 5 2 2 2 2 22 4 2" xfId="20254"/>
    <cellStyle name="표준 5 2 2 2 2 22 4 2 2" xfId="45606"/>
    <cellStyle name="표준 5 2 2 2 2 22 4 3" xfId="32934"/>
    <cellStyle name="표준 5 2 2 2 2 22 5" xfId="13918"/>
    <cellStyle name="표준 5 2 2 2 2 22 5 2" xfId="39270"/>
    <cellStyle name="표준 5 2 2 2 2 22 6" xfId="26598"/>
    <cellStyle name="표준 5 2 2 2 2 22 7" xfId="53062"/>
    <cellStyle name="표준 5 2 2 2 2 23" xfId="1246"/>
    <cellStyle name="표준 5 2 2 2 2 23 2" xfId="1247"/>
    <cellStyle name="표준 5 2 2 2 2 23 2 2" xfId="4367"/>
    <cellStyle name="표준 5 2 2 2 2 23 2 2 2" xfId="10703"/>
    <cellStyle name="표준 5 2 2 2 2 23 2 2 2 2" xfId="23376"/>
    <cellStyle name="표준 5 2 2 2 2 23 2 2 2 2 2" xfId="48728"/>
    <cellStyle name="표준 5 2 2 2 2 23 2 2 2 3" xfId="36056"/>
    <cellStyle name="표준 5 2 2 2 2 23 2 2 3" xfId="17040"/>
    <cellStyle name="표준 5 2 2 2 2 23 2 2 3 2" xfId="42392"/>
    <cellStyle name="표준 5 2 2 2 2 23 2 2 4" xfId="29720"/>
    <cellStyle name="표준 5 2 2 2 2 23 2 2 5" xfId="53063"/>
    <cellStyle name="표준 5 2 2 2 2 23 2 3" xfId="7584"/>
    <cellStyle name="표준 5 2 2 2 2 23 2 3 2" xfId="20257"/>
    <cellStyle name="표준 5 2 2 2 2 23 2 3 2 2" xfId="45609"/>
    <cellStyle name="표준 5 2 2 2 2 23 2 3 3" xfId="32937"/>
    <cellStyle name="표준 5 2 2 2 2 23 2 4" xfId="13921"/>
    <cellStyle name="표준 5 2 2 2 2 23 2 4 2" xfId="39273"/>
    <cellStyle name="표준 5 2 2 2 2 23 2 5" xfId="26601"/>
    <cellStyle name="표준 5 2 2 2 2 23 2 6" xfId="53064"/>
    <cellStyle name="표준 5 2 2 2 2 23 3" xfId="4368"/>
    <cellStyle name="표준 5 2 2 2 2 23 3 2" xfId="10704"/>
    <cellStyle name="표준 5 2 2 2 2 23 3 2 2" xfId="23377"/>
    <cellStyle name="표준 5 2 2 2 2 23 3 2 2 2" xfId="48729"/>
    <cellStyle name="표준 5 2 2 2 2 23 3 2 3" xfId="36057"/>
    <cellStyle name="표준 5 2 2 2 2 23 3 3" xfId="17041"/>
    <cellStyle name="표준 5 2 2 2 2 23 3 3 2" xfId="42393"/>
    <cellStyle name="표준 5 2 2 2 2 23 3 4" xfId="29721"/>
    <cellStyle name="표준 5 2 2 2 2 23 3 5" xfId="53065"/>
    <cellStyle name="표준 5 2 2 2 2 23 4" xfId="7583"/>
    <cellStyle name="표준 5 2 2 2 2 23 4 2" xfId="20256"/>
    <cellStyle name="표준 5 2 2 2 2 23 4 2 2" xfId="45608"/>
    <cellStyle name="표준 5 2 2 2 2 23 4 3" xfId="32936"/>
    <cellStyle name="표준 5 2 2 2 2 23 5" xfId="13920"/>
    <cellStyle name="표준 5 2 2 2 2 23 5 2" xfId="39272"/>
    <cellStyle name="표준 5 2 2 2 2 23 6" xfId="26600"/>
    <cellStyle name="표준 5 2 2 2 2 23 7" xfId="53066"/>
    <cellStyle name="표준 5 2 2 2 2 24" xfId="1248"/>
    <cellStyle name="표준 5 2 2 2 2 24 2" xfId="1249"/>
    <cellStyle name="표준 5 2 2 2 2 24 2 2" xfId="4369"/>
    <cellStyle name="표준 5 2 2 2 2 24 2 2 2" xfId="10705"/>
    <cellStyle name="표준 5 2 2 2 2 24 2 2 2 2" xfId="23378"/>
    <cellStyle name="표준 5 2 2 2 2 24 2 2 2 2 2" xfId="48730"/>
    <cellStyle name="표준 5 2 2 2 2 24 2 2 2 3" xfId="36058"/>
    <cellStyle name="표준 5 2 2 2 2 24 2 2 3" xfId="17042"/>
    <cellStyle name="표준 5 2 2 2 2 24 2 2 3 2" xfId="42394"/>
    <cellStyle name="표준 5 2 2 2 2 24 2 2 4" xfId="29722"/>
    <cellStyle name="표준 5 2 2 2 2 24 2 2 5" xfId="53067"/>
    <cellStyle name="표준 5 2 2 2 2 24 2 3" xfId="7586"/>
    <cellStyle name="표준 5 2 2 2 2 24 2 3 2" xfId="20259"/>
    <cellStyle name="표준 5 2 2 2 2 24 2 3 2 2" xfId="45611"/>
    <cellStyle name="표준 5 2 2 2 2 24 2 3 3" xfId="32939"/>
    <cellStyle name="표준 5 2 2 2 2 24 2 4" xfId="13923"/>
    <cellStyle name="표준 5 2 2 2 2 24 2 4 2" xfId="39275"/>
    <cellStyle name="표준 5 2 2 2 2 24 2 5" xfId="26603"/>
    <cellStyle name="표준 5 2 2 2 2 24 2 6" xfId="53068"/>
    <cellStyle name="표준 5 2 2 2 2 24 3" xfId="4370"/>
    <cellStyle name="표준 5 2 2 2 2 24 3 2" xfId="10706"/>
    <cellStyle name="표준 5 2 2 2 2 24 3 2 2" xfId="23379"/>
    <cellStyle name="표준 5 2 2 2 2 24 3 2 2 2" xfId="48731"/>
    <cellStyle name="표준 5 2 2 2 2 24 3 2 3" xfId="36059"/>
    <cellStyle name="표준 5 2 2 2 2 24 3 3" xfId="17043"/>
    <cellStyle name="표준 5 2 2 2 2 24 3 3 2" xfId="42395"/>
    <cellStyle name="표준 5 2 2 2 2 24 3 4" xfId="29723"/>
    <cellStyle name="표준 5 2 2 2 2 24 3 5" xfId="53069"/>
    <cellStyle name="표준 5 2 2 2 2 24 4" xfId="7585"/>
    <cellStyle name="표준 5 2 2 2 2 24 4 2" xfId="20258"/>
    <cellStyle name="표준 5 2 2 2 2 24 4 2 2" xfId="45610"/>
    <cellStyle name="표준 5 2 2 2 2 24 4 3" xfId="32938"/>
    <cellStyle name="표준 5 2 2 2 2 24 5" xfId="13922"/>
    <cellStyle name="표준 5 2 2 2 2 24 5 2" xfId="39274"/>
    <cellStyle name="표준 5 2 2 2 2 24 6" xfId="26602"/>
    <cellStyle name="표준 5 2 2 2 2 24 7" xfId="53070"/>
    <cellStyle name="표준 5 2 2 2 2 25" xfId="1250"/>
    <cellStyle name="표준 5 2 2 2 2 25 2" xfId="1251"/>
    <cellStyle name="표준 5 2 2 2 2 25 2 2" xfId="4371"/>
    <cellStyle name="표준 5 2 2 2 2 25 2 2 2" xfId="10707"/>
    <cellStyle name="표준 5 2 2 2 2 25 2 2 2 2" xfId="23380"/>
    <cellStyle name="표준 5 2 2 2 2 25 2 2 2 2 2" xfId="48732"/>
    <cellStyle name="표준 5 2 2 2 2 25 2 2 2 3" xfId="36060"/>
    <cellStyle name="표준 5 2 2 2 2 25 2 2 3" xfId="17044"/>
    <cellStyle name="표준 5 2 2 2 2 25 2 2 3 2" xfId="42396"/>
    <cellStyle name="표준 5 2 2 2 2 25 2 2 4" xfId="29724"/>
    <cellStyle name="표준 5 2 2 2 2 25 2 2 5" xfId="53071"/>
    <cellStyle name="표준 5 2 2 2 2 25 2 3" xfId="7588"/>
    <cellStyle name="표준 5 2 2 2 2 25 2 3 2" xfId="20261"/>
    <cellStyle name="표준 5 2 2 2 2 25 2 3 2 2" xfId="45613"/>
    <cellStyle name="표준 5 2 2 2 2 25 2 3 3" xfId="32941"/>
    <cellStyle name="표준 5 2 2 2 2 25 2 4" xfId="13925"/>
    <cellStyle name="표준 5 2 2 2 2 25 2 4 2" xfId="39277"/>
    <cellStyle name="표준 5 2 2 2 2 25 2 5" xfId="26605"/>
    <cellStyle name="표준 5 2 2 2 2 25 2 6" xfId="53072"/>
    <cellStyle name="표준 5 2 2 2 2 25 3" xfId="4372"/>
    <cellStyle name="표준 5 2 2 2 2 25 3 2" xfId="10708"/>
    <cellStyle name="표준 5 2 2 2 2 25 3 2 2" xfId="23381"/>
    <cellStyle name="표준 5 2 2 2 2 25 3 2 2 2" xfId="48733"/>
    <cellStyle name="표준 5 2 2 2 2 25 3 2 3" xfId="36061"/>
    <cellStyle name="표준 5 2 2 2 2 25 3 3" xfId="17045"/>
    <cellStyle name="표준 5 2 2 2 2 25 3 3 2" xfId="42397"/>
    <cellStyle name="표준 5 2 2 2 2 25 3 4" xfId="29725"/>
    <cellStyle name="표준 5 2 2 2 2 25 3 5" xfId="53073"/>
    <cellStyle name="표준 5 2 2 2 2 25 4" xfId="7587"/>
    <cellStyle name="표준 5 2 2 2 2 25 4 2" xfId="20260"/>
    <cellStyle name="표준 5 2 2 2 2 25 4 2 2" xfId="45612"/>
    <cellStyle name="표준 5 2 2 2 2 25 4 3" xfId="32940"/>
    <cellStyle name="표준 5 2 2 2 2 25 5" xfId="13924"/>
    <cellStyle name="표준 5 2 2 2 2 25 5 2" xfId="39276"/>
    <cellStyle name="표준 5 2 2 2 2 25 6" xfId="26604"/>
    <cellStyle name="표준 5 2 2 2 2 25 7" xfId="53074"/>
    <cellStyle name="표준 5 2 2 2 2 26" xfId="1252"/>
    <cellStyle name="표준 5 2 2 2 2 26 2" xfId="1253"/>
    <cellStyle name="표준 5 2 2 2 2 26 2 2" xfId="4373"/>
    <cellStyle name="표준 5 2 2 2 2 26 2 2 2" xfId="10709"/>
    <cellStyle name="표준 5 2 2 2 2 26 2 2 2 2" xfId="23382"/>
    <cellStyle name="표준 5 2 2 2 2 26 2 2 2 2 2" xfId="48734"/>
    <cellStyle name="표준 5 2 2 2 2 26 2 2 2 3" xfId="36062"/>
    <cellStyle name="표준 5 2 2 2 2 26 2 2 3" xfId="17046"/>
    <cellStyle name="표준 5 2 2 2 2 26 2 2 3 2" xfId="42398"/>
    <cellStyle name="표준 5 2 2 2 2 26 2 2 4" xfId="29726"/>
    <cellStyle name="표준 5 2 2 2 2 26 2 2 5" xfId="53075"/>
    <cellStyle name="표준 5 2 2 2 2 26 2 3" xfId="7590"/>
    <cellStyle name="표준 5 2 2 2 2 26 2 3 2" xfId="20263"/>
    <cellStyle name="표준 5 2 2 2 2 26 2 3 2 2" xfId="45615"/>
    <cellStyle name="표준 5 2 2 2 2 26 2 3 3" xfId="32943"/>
    <cellStyle name="표준 5 2 2 2 2 26 2 4" xfId="13927"/>
    <cellStyle name="표준 5 2 2 2 2 26 2 4 2" xfId="39279"/>
    <cellStyle name="표준 5 2 2 2 2 26 2 5" xfId="26607"/>
    <cellStyle name="표준 5 2 2 2 2 26 2 6" xfId="53076"/>
    <cellStyle name="표준 5 2 2 2 2 26 3" xfId="4374"/>
    <cellStyle name="표준 5 2 2 2 2 26 3 2" xfId="10710"/>
    <cellStyle name="표준 5 2 2 2 2 26 3 2 2" xfId="23383"/>
    <cellStyle name="표준 5 2 2 2 2 26 3 2 2 2" xfId="48735"/>
    <cellStyle name="표준 5 2 2 2 2 26 3 2 3" xfId="36063"/>
    <cellStyle name="표준 5 2 2 2 2 26 3 3" xfId="17047"/>
    <cellStyle name="표준 5 2 2 2 2 26 3 3 2" xfId="42399"/>
    <cellStyle name="표준 5 2 2 2 2 26 3 4" xfId="29727"/>
    <cellStyle name="표준 5 2 2 2 2 26 3 5" xfId="53077"/>
    <cellStyle name="표준 5 2 2 2 2 26 4" xfId="7589"/>
    <cellStyle name="표준 5 2 2 2 2 26 4 2" xfId="20262"/>
    <cellStyle name="표준 5 2 2 2 2 26 4 2 2" xfId="45614"/>
    <cellStyle name="표준 5 2 2 2 2 26 4 3" xfId="32942"/>
    <cellStyle name="표준 5 2 2 2 2 26 5" xfId="13926"/>
    <cellStyle name="표준 5 2 2 2 2 26 5 2" xfId="39278"/>
    <cellStyle name="표준 5 2 2 2 2 26 6" xfId="26606"/>
    <cellStyle name="표준 5 2 2 2 2 26 7" xfId="53078"/>
    <cellStyle name="표준 5 2 2 2 2 27" xfId="1254"/>
    <cellStyle name="표준 5 2 2 2 2 27 2" xfId="1255"/>
    <cellStyle name="표준 5 2 2 2 2 27 2 2" xfId="4375"/>
    <cellStyle name="표준 5 2 2 2 2 27 2 2 2" xfId="10711"/>
    <cellStyle name="표준 5 2 2 2 2 27 2 2 2 2" xfId="23384"/>
    <cellStyle name="표준 5 2 2 2 2 27 2 2 2 2 2" xfId="48736"/>
    <cellStyle name="표준 5 2 2 2 2 27 2 2 2 3" xfId="36064"/>
    <cellStyle name="표준 5 2 2 2 2 27 2 2 3" xfId="17048"/>
    <cellStyle name="표준 5 2 2 2 2 27 2 2 3 2" xfId="42400"/>
    <cellStyle name="표준 5 2 2 2 2 27 2 2 4" xfId="29728"/>
    <cellStyle name="표준 5 2 2 2 2 27 2 2 5" xfId="53079"/>
    <cellStyle name="표준 5 2 2 2 2 27 2 3" xfId="7592"/>
    <cellStyle name="표준 5 2 2 2 2 27 2 3 2" xfId="20265"/>
    <cellStyle name="표준 5 2 2 2 2 27 2 3 2 2" xfId="45617"/>
    <cellStyle name="표준 5 2 2 2 2 27 2 3 3" xfId="32945"/>
    <cellStyle name="표준 5 2 2 2 2 27 2 4" xfId="13929"/>
    <cellStyle name="표준 5 2 2 2 2 27 2 4 2" xfId="39281"/>
    <cellStyle name="표준 5 2 2 2 2 27 2 5" xfId="26609"/>
    <cellStyle name="표준 5 2 2 2 2 27 2 6" xfId="53080"/>
    <cellStyle name="표준 5 2 2 2 2 27 3" xfId="4376"/>
    <cellStyle name="표준 5 2 2 2 2 27 3 2" xfId="10712"/>
    <cellStyle name="표준 5 2 2 2 2 27 3 2 2" xfId="23385"/>
    <cellStyle name="표준 5 2 2 2 2 27 3 2 2 2" xfId="48737"/>
    <cellStyle name="표준 5 2 2 2 2 27 3 2 3" xfId="36065"/>
    <cellStyle name="표준 5 2 2 2 2 27 3 3" xfId="17049"/>
    <cellStyle name="표준 5 2 2 2 2 27 3 3 2" xfId="42401"/>
    <cellStyle name="표준 5 2 2 2 2 27 3 4" xfId="29729"/>
    <cellStyle name="표준 5 2 2 2 2 27 3 5" xfId="53081"/>
    <cellStyle name="표준 5 2 2 2 2 27 4" xfId="7591"/>
    <cellStyle name="표준 5 2 2 2 2 27 4 2" xfId="20264"/>
    <cellStyle name="표준 5 2 2 2 2 27 4 2 2" xfId="45616"/>
    <cellStyle name="표준 5 2 2 2 2 27 4 3" xfId="32944"/>
    <cellStyle name="표준 5 2 2 2 2 27 5" xfId="13928"/>
    <cellStyle name="표준 5 2 2 2 2 27 5 2" xfId="39280"/>
    <cellStyle name="표준 5 2 2 2 2 27 6" xfId="26608"/>
    <cellStyle name="표준 5 2 2 2 2 27 7" xfId="53082"/>
    <cellStyle name="표준 5 2 2 2 2 28" xfId="1256"/>
    <cellStyle name="표준 5 2 2 2 2 28 2" xfId="1257"/>
    <cellStyle name="표준 5 2 2 2 2 28 2 2" xfId="4377"/>
    <cellStyle name="표준 5 2 2 2 2 28 2 2 2" xfId="10713"/>
    <cellStyle name="표준 5 2 2 2 2 28 2 2 2 2" xfId="23386"/>
    <cellStyle name="표준 5 2 2 2 2 28 2 2 2 2 2" xfId="48738"/>
    <cellStyle name="표준 5 2 2 2 2 28 2 2 2 3" xfId="36066"/>
    <cellStyle name="표준 5 2 2 2 2 28 2 2 3" xfId="17050"/>
    <cellStyle name="표준 5 2 2 2 2 28 2 2 3 2" xfId="42402"/>
    <cellStyle name="표준 5 2 2 2 2 28 2 2 4" xfId="29730"/>
    <cellStyle name="표준 5 2 2 2 2 28 2 2 5" xfId="53083"/>
    <cellStyle name="표준 5 2 2 2 2 28 2 3" xfId="7594"/>
    <cellStyle name="표준 5 2 2 2 2 28 2 3 2" xfId="20267"/>
    <cellStyle name="표준 5 2 2 2 2 28 2 3 2 2" xfId="45619"/>
    <cellStyle name="표준 5 2 2 2 2 28 2 3 3" xfId="32947"/>
    <cellStyle name="표준 5 2 2 2 2 28 2 4" xfId="13931"/>
    <cellStyle name="표준 5 2 2 2 2 28 2 4 2" xfId="39283"/>
    <cellStyle name="표준 5 2 2 2 2 28 2 5" xfId="26611"/>
    <cellStyle name="표준 5 2 2 2 2 28 2 6" xfId="53084"/>
    <cellStyle name="표준 5 2 2 2 2 28 3" xfId="4378"/>
    <cellStyle name="표준 5 2 2 2 2 28 3 2" xfId="10714"/>
    <cellStyle name="표준 5 2 2 2 2 28 3 2 2" xfId="23387"/>
    <cellStyle name="표준 5 2 2 2 2 28 3 2 2 2" xfId="48739"/>
    <cellStyle name="표준 5 2 2 2 2 28 3 2 3" xfId="36067"/>
    <cellStyle name="표준 5 2 2 2 2 28 3 3" xfId="17051"/>
    <cellStyle name="표준 5 2 2 2 2 28 3 3 2" xfId="42403"/>
    <cellStyle name="표준 5 2 2 2 2 28 3 4" xfId="29731"/>
    <cellStyle name="표준 5 2 2 2 2 28 3 5" xfId="53085"/>
    <cellStyle name="표준 5 2 2 2 2 28 4" xfId="7593"/>
    <cellStyle name="표준 5 2 2 2 2 28 4 2" xfId="20266"/>
    <cellStyle name="표준 5 2 2 2 2 28 4 2 2" xfId="45618"/>
    <cellStyle name="표준 5 2 2 2 2 28 4 3" xfId="32946"/>
    <cellStyle name="표준 5 2 2 2 2 28 5" xfId="13930"/>
    <cellStyle name="표준 5 2 2 2 2 28 5 2" xfId="39282"/>
    <cellStyle name="표준 5 2 2 2 2 28 6" xfId="26610"/>
    <cellStyle name="표준 5 2 2 2 2 28 7" xfId="53086"/>
    <cellStyle name="표준 5 2 2 2 2 29" xfId="1258"/>
    <cellStyle name="표준 5 2 2 2 2 29 2" xfId="1259"/>
    <cellStyle name="표준 5 2 2 2 2 29 2 2" xfId="4379"/>
    <cellStyle name="표준 5 2 2 2 2 29 2 2 2" xfId="10715"/>
    <cellStyle name="표준 5 2 2 2 2 29 2 2 2 2" xfId="23388"/>
    <cellStyle name="표준 5 2 2 2 2 29 2 2 2 2 2" xfId="48740"/>
    <cellStyle name="표준 5 2 2 2 2 29 2 2 2 3" xfId="36068"/>
    <cellStyle name="표준 5 2 2 2 2 29 2 2 3" xfId="17052"/>
    <cellStyle name="표준 5 2 2 2 2 29 2 2 3 2" xfId="42404"/>
    <cellStyle name="표준 5 2 2 2 2 29 2 2 4" xfId="29732"/>
    <cellStyle name="표준 5 2 2 2 2 29 2 2 5" xfId="53087"/>
    <cellStyle name="표준 5 2 2 2 2 29 2 3" xfId="7596"/>
    <cellStyle name="표준 5 2 2 2 2 29 2 3 2" xfId="20269"/>
    <cellStyle name="표준 5 2 2 2 2 29 2 3 2 2" xfId="45621"/>
    <cellStyle name="표준 5 2 2 2 2 29 2 3 3" xfId="32949"/>
    <cellStyle name="표준 5 2 2 2 2 29 2 4" xfId="13933"/>
    <cellStyle name="표준 5 2 2 2 2 29 2 4 2" xfId="39285"/>
    <cellStyle name="표준 5 2 2 2 2 29 2 5" xfId="26613"/>
    <cellStyle name="표준 5 2 2 2 2 29 2 6" xfId="53088"/>
    <cellStyle name="표준 5 2 2 2 2 29 3" xfId="4380"/>
    <cellStyle name="표준 5 2 2 2 2 29 3 2" xfId="10716"/>
    <cellStyle name="표준 5 2 2 2 2 29 3 2 2" xfId="23389"/>
    <cellStyle name="표준 5 2 2 2 2 29 3 2 2 2" xfId="48741"/>
    <cellStyle name="표준 5 2 2 2 2 29 3 2 3" xfId="36069"/>
    <cellStyle name="표준 5 2 2 2 2 29 3 3" xfId="17053"/>
    <cellStyle name="표준 5 2 2 2 2 29 3 3 2" xfId="42405"/>
    <cellStyle name="표준 5 2 2 2 2 29 3 4" xfId="29733"/>
    <cellStyle name="표준 5 2 2 2 2 29 3 5" xfId="53089"/>
    <cellStyle name="표준 5 2 2 2 2 29 4" xfId="7595"/>
    <cellStyle name="표준 5 2 2 2 2 29 4 2" xfId="20268"/>
    <cellStyle name="표준 5 2 2 2 2 29 4 2 2" xfId="45620"/>
    <cellStyle name="표준 5 2 2 2 2 29 4 3" xfId="32948"/>
    <cellStyle name="표준 5 2 2 2 2 29 5" xfId="13932"/>
    <cellStyle name="표준 5 2 2 2 2 29 5 2" xfId="39284"/>
    <cellStyle name="표준 5 2 2 2 2 29 6" xfId="26612"/>
    <cellStyle name="표준 5 2 2 2 2 29 7" xfId="53090"/>
    <cellStyle name="표준 5 2 2 2 2 3" xfId="1260"/>
    <cellStyle name="표준 5 2 2 2 2 3 2" xfId="1261"/>
    <cellStyle name="표준 5 2 2 2 2 3 2 2" xfId="4381"/>
    <cellStyle name="표준 5 2 2 2 2 3 2 2 2" xfId="10717"/>
    <cellStyle name="표준 5 2 2 2 2 3 2 2 2 2" xfId="23390"/>
    <cellStyle name="표준 5 2 2 2 2 3 2 2 2 2 2" xfId="48742"/>
    <cellStyle name="표준 5 2 2 2 2 3 2 2 2 3" xfId="36070"/>
    <cellStyle name="표준 5 2 2 2 2 3 2 2 3" xfId="17054"/>
    <cellStyle name="표준 5 2 2 2 2 3 2 2 3 2" xfId="42406"/>
    <cellStyle name="표준 5 2 2 2 2 3 2 2 4" xfId="29734"/>
    <cellStyle name="표준 5 2 2 2 2 3 2 2 5" xfId="53091"/>
    <cellStyle name="표준 5 2 2 2 2 3 2 3" xfId="7598"/>
    <cellStyle name="표준 5 2 2 2 2 3 2 3 2" xfId="20271"/>
    <cellStyle name="표준 5 2 2 2 2 3 2 3 2 2" xfId="45623"/>
    <cellStyle name="표준 5 2 2 2 2 3 2 3 3" xfId="32951"/>
    <cellStyle name="표준 5 2 2 2 2 3 2 4" xfId="13935"/>
    <cellStyle name="표준 5 2 2 2 2 3 2 4 2" xfId="39287"/>
    <cellStyle name="표준 5 2 2 2 2 3 2 5" xfId="26615"/>
    <cellStyle name="표준 5 2 2 2 2 3 2 6" xfId="53092"/>
    <cellStyle name="표준 5 2 2 2 2 3 3" xfId="4382"/>
    <cellStyle name="표준 5 2 2 2 2 3 3 2" xfId="10718"/>
    <cellStyle name="표준 5 2 2 2 2 3 3 2 2" xfId="23391"/>
    <cellStyle name="표준 5 2 2 2 2 3 3 2 2 2" xfId="48743"/>
    <cellStyle name="표준 5 2 2 2 2 3 3 2 3" xfId="36071"/>
    <cellStyle name="표준 5 2 2 2 2 3 3 3" xfId="17055"/>
    <cellStyle name="표준 5 2 2 2 2 3 3 3 2" xfId="42407"/>
    <cellStyle name="표준 5 2 2 2 2 3 3 4" xfId="29735"/>
    <cellStyle name="표준 5 2 2 2 2 3 3 5" xfId="53093"/>
    <cellStyle name="표준 5 2 2 2 2 3 4" xfId="7597"/>
    <cellStyle name="표준 5 2 2 2 2 3 4 2" xfId="20270"/>
    <cellStyle name="표준 5 2 2 2 2 3 4 2 2" xfId="45622"/>
    <cellStyle name="표준 5 2 2 2 2 3 4 3" xfId="32950"/>
    <cellStyle name="표준 5 2 2 2 2 3 5" xfId="13934"/>
    <cellStyle name="표준 5 2 2 2 2 3 5 2" xfId="39286"/>
    <cellStyle name="표준 5 2 2 2 2 3 6" xfId="26614"/>
    <cellStyle name="표준 5 2 2 2 2 3 7" xfId="53094"/>
    <cellStyle name="표준 5 2 2 2 2 30" xfId="1262"/>
    <cellStyle name="표준 5 2 2 2 2 30 2" xfId="1263"/>
    <cellStyle name="표준 5 2 2 2 2 30 2 2" xfId="4383"/>
    <cellStyle name="표준 5 2 2 2 2 30 2 2 2" xfId="10719"/>
    <cellStyle name="표준 5 2 2 2 2 30 2 2 2 2" xfId="23392"/>
    <cellStyle name="표준 5 2 2 2 2 30 2 2 2 2 2" xfId="48744"/>
    <cellStyle name="표준 5 2 2 2 2 30 2 2 2 3" xfId="36072"/>
    <cellStyle name="표준 5 2 2 2 2 30 2 2 3" xfId="17056"/>
    <cellStyle name="표준 5 2 2 2 2 30 2 2 3 2" xfId="42408"/>
    <cellStyle name="표준 5 2 2 2 2 30 2 2 4" xfId="29736"/>
    <cellStyle name="표준 5 2 2 2 2 30 2 2 5" xfId="53095"/>
    <cellStyle name="표준 5 2 2 2 2 30 2 3" xfId="7600"/>
    <cellStyle name="표준 5 2 2 2 2 30 2 3 2" xfId="20273"/>
    <cellStyle name="표준 5 2 2 2 2 30 2 3 2 2" xfId="45625"/>
    <cellStyle name="표준 5 2 2 2 2 30 2 3 3" xfId="32953"/>
    <cellStyle name="표준 5 2 2 2 2 30 2 4" xfId="13937"/>
    <cellStyle name="표준 5 2 2 2 2 30 2 4 2" xfId="39289"/>
    <cellStyle name="표준 5 2 2 2 2 30 2 5" xfId="26617"/>
    <cellStyle name="표준 5 2 2 2 2 30 2 6" xfId="53096"/>
    <cellStyle name="표준 5 2 2 2 2 30 3" xfId="4384"/>
    <cellStyle name="표준 5 2 2 2 2 30 3 2" xfId="10720"/>
    <cellStyle name="표준 5 2 2 2 2 30 3 2 2" xfId="23393"/>
    <cellStyle name="표준 5 2 2 2 2 30 3 2 2 2" xfId="48745"/>
    <cellStyle name="표준 5 2 2 2 2 30 3 2 3" xfId="36073"/>
    <cellStyle name="표준 5 2 2 2 2 30 3 3" xfId="17057"/>
    <cellStyle name="표준 5 2 2 2 2 30 3 3 2" xfId="42409"/>
    <cellStyle name="표준 5 2 2 2 2 30 3 4" xfId="29737"/>
    <cellStyle name="표준 5 2 2 2 2 30 3 5" xfId="53097"/>
    <cellStyle name="표준 5 2 2 2 2 30 4" xfId="7599"/>
    <cellStyle name="표준 5 2 2 2 2 30 4 2" xfId="20272"/>
    <cellStyle name="표준 5 2 2 2 2 30 4 2 2" xfId="45624"/>
    <cellStyle name="표준 5 2 2 2 2 30 4 3" xfId="32952"/>
    <cellStyle name="표준 5 2 2 2 2 30 5" xfId="13936"/>
    <cellStyle name="표준 5 2 2 2 2 30 5 2" xfId="39288"/>
    <cellStyle name="표준 5 2 2 2 2 30 6" xfId="26616"/>
    <cellStyle name="표준 5 2 2 2 2 30 7" xfId="53098"/>
    <cellStyle name="표준 5 2 2 2 2 31" xfId="1264"/>
    <cellStyle name="표준 5 2 2 2 2 31 2" xfId="1265"/>
    <cellStyle name="표준 5 2 2 2 2 31 2 2" xfId="4385"/>
    <cellStyle name="표준 5 2 2 2 2 31 2 2 2" xfId="10721"/>
    <cellStyle name="표준 5 2 2 2 2 31 2 2 2 2" xfId="23394"/>
    <cellStyle name="표준 5 2 2 2 2 31 2 2 2 2 2" xfId="48746"/>
    <cellStyle name="표준 5 2 2 2 2 31 2 2 2 3" xfId="36074"/>
    <cellStyle name="표준 5 2 2 2 2 31 2 2 3" xfId="17058"/>
    <cellStyle name="표준 5 2 2 2 2 31 2 2 3 2" xfId="42410"/>
    <cellStyle name="표준 5 2 2 2 2 31 2 2 4" xfId="29738"/>
    <cellStyle name="표준 5 2 2 2 2 31 2 2 5" xfId="53099"/>
    <cellStyle name="표준 5 2 2 2 2 31 2 3" xfId="7602"/>
    <cellStyle name="표준 5 2 2 2 2 31 2 3 2" xfId="20275"/>
    <cellStyle name="표준 5 2 2 2 2 31 2 3 2 2" xfId="45627"/>
    <cellStyle name="표준 5 2 2 2 2 31 2 3 3" xfId="32955"/>
    <cellStyle name="표준 5 2 2 2 2 31 2 4" xfId="13939"/>
    <cellStyle name="표준 5 2 2 2 2 31 2 4 2" xfId="39291"/>
    <cellStyle name="표준 5 2 2 2 2 31 2 5" xfId="26619"/>
    <cellStyle name="표준 5 2 2 2 2 31 2 6" xfId="53100"/>
    <cellStyle name="표준 5 2 2 2 2 31 3" xfId="4386"/>
    <cellStyle name="표준 5 2 2 2 2 31 3 2" xfId="10722"/>
    <cellStyle name="표준 5 2 2 2 2 31 3 2 2" xfId="23395"/>
    <cellStyle name="표준 5 2 2 2 2 31 3 2 2 2" xfId="48747"/>
    <cellStyle name="표준 5 2 2 2 2 31 3 2 3" xfId="36075"/>
    <cellStyle name="표준 5 2 2 2 2 31 3 3" xfId="17059"/>
    <cellStyle name="표준 5 2 2 2 2 31 3 3 2" xfId="42411"/>
    <cellStyle name="표준 5 2 2 2 2 31 3 4" xfId="29739"/>
    <cellStyle name="표준 5 2 2 2 2 31 3 5" xfId="53101"/>
    <cellStyle name="표준 5 2 2 2 2 31 4" xfId="7601"/>
    <cellStyle name="표준 5 2 2 2 2 31 4 2" xfId="20274"/>
    <cellStyle name="표준 5 2 2 2 2 31 4 2 2" xfId="45626"/>
    <cellStyle name="표준 5 2 2 2 2 31 4 3" xfId="32954"/>
    <cellStyle name="표준 5 2 2 2 2 31 5" xfId="13938"/>
    <cellStyle name="표준 5 2 2 2 2 31 5 2" xfId="39290"/>
    <cellStyle name="표준 5 2 2 2 2 31 6" xfId="26618"/>
    <cellStyle name="표준 5 2 2 2 2 31 7" xfId="53102"/>
    <cellStyle name="표준 5 2 2 2 2 32" xfId="1266"/>
    <cellStyle name="표준 5 2 2 2 2 32 2" xfId="1267"/>
    <cellStyle name="표준 5 2 2 2 2 32 2 2" xfId="4387"/>
    <cellStyle name="표준 5 2 2 2 2 32 2 2 2" xfId="10723"/>
    <cellStyle name="표준 5 2 2 2 2 32 2 2 2 2" xfId="23396"/>
    <cellStyle name="표준 5 2 2 2 2 32 2 2 2 2 2" xfId="48748"/>
    <cellStyle name="표준 5 2 2 2 2 32 2 2 2 3" xfId="36076"/>
    <cellStyle name="표준 5 2 2 2 2 32 2 2 3" xfId="17060"/>
    <cellStyle name="표준 5 2 2 2 2 32 2 2 3 2" xfId="42412"/>
    <cellStyle name="표준 5 2 2 2 2 32 2 2 4" xfId="29740"/>
    <cellStyle name="표준 5 2 2 2 2 32 2 2 5" xfId="53103"/>
    <cellStyle name="표준 5 2 2 2 2 32 2 3" xfId="7604"/>
    <cellStyle name="표준 5 2 2 2 2 32 2 3 2" xfId="20277"/>
    <cellStyle name="표준 5 2 2 2 2 32 2 3 2 2" xfId="45629"/>
    <cellStyle name="표준 5 2 2 2 2 32 2 3 3" xfId="32957"/>
    <cellStyle name="표준 5 2 2 2 2 32 2 4" xfId="13941"/>
    <cellStyle name="표준 5 2 2 2 2 32 2 4 2" xfId="39293"/>
    <cellStyle name="표준 5 2 2 2 2 32 2 5" xfId="26621"/>
    <cellStyle name="표준 5 2 2 2 2 32 2 6" xfId="53104"/>
    <cellStyle name="표준 5 2 2 2 2 32 3" xfId="4388"/>
    <cellStyle name="표준 5 2 2 2 2 32 3 2" xfId="10724"/>
    <cellStyle name="표준 5 2 2 2 2 32 3 2 2" xfId="23397"/>
    <cellStyle name="표준 5 2 2 2 2 32 3 2 2 2" xfId="48749"/>
    <cellStyle name="표준 5 2 2 2 2 32 3 2 3" xfId="36077"/>
    <cellStyle name="표준 5 2 2 2 2 32 3 3" xfId="17061"/>
    <cellStyle name="표준 5 2 2 2 2 32 3 3 2" xfId="42413"/>
    <cellStyle name="표준 5 2 2 2 2 32 3 4" xfId="29741"/>
    <cellStyle name="표준 5 2 2 2 2 32 3 5" xfId="53105"/>
    <cellStyle name="표준 5 2 2 2 2 32 4" xfId="7603"/>
    <cellStyle name="표준 5 2 2 2 2 32 4 2" xfId="20276"/>
    <cellStyle name="표준 5 2 2 2 2 32 4 2 2" xfId="45628"/>
    <cellStyle name="표준 5 2 2 2 2 32 4 3" xfId="32956"/>
    <cellStyle name="표준 5 2 2 2 2 32 5" xfId="13940"/>
    <cellStyle name="표준 5 2 2 2 2 32 5 2" xfId="39292"/>
    <cellStyle name="표준 5 2 2 2 2 32 6" xfId="26620"/>
    <cellStyle name="표준 5 2 2 2 2 32 7" xfId="53106"/>
    <cellStyle name="표준 5 2 2 2 2 33" xfId="1268"/>
    <cellStyle name="표준 5 2 2 2 2 33 2" xfId="1269"/>
    <cellStyle name="표준 5 2 2 2 2 33 2 2" xfId="4389"/>
    <cellStyle name="표준 5 2 2 2 2 33 2 2 2" xfId="10725"/>
    <cellStyle name="표준 5 2 2 2 2 33 2 2 2 2" xfId="23398"/>
    <cellStyle name="표준 5 2 2 2 2 33 2 2 2 2 2" xfId="48750"/>
    <cellStyle name="표준 5 2 2 2 2 33 2 2 2 3" xfId="36078"/>
    <cellStyle name="표준 5 2 2 2 2 33 2 2 3" xfId="17062"/>
    <cellStyle name="표준 5 2 2 2 2 33 2 2 3 2" xfId="42414"/>
    <cellStyle name="표준 5 2 2 2 2 33 2 2 4" xfId="29742"/>
    <cellStyle name="표준 5 2 2 2 2 33 2 2 5" xfId="53107"/>
    <cellStyle name="표준 5 2 2 2 2 33 2 3" xfId="7606"/>
    <cellStyle name="표준 5 2 2 2 2 33 2 3 2" xfId="20279"/>
    <cellStyle name="표준 5 2 2 2 2 33 2 3 2 2" xfId="45631"/>
    <cellStyle name="표준 5 2 2 2 2 33 2 3 3" xfId="32959"/>
    <cellStyle name="표준 5 2 2 2 2 33 2 4" xfId="13943"/>
    <cellStyle name="표준 5 2 2 2 2 33 2 4 2" xfId="39295"/>
    <cellStyle name="표준 5 2 2 2 2 33 2 5" xfId="26623"/>
    <cellStyle name="표준 5 2 2 2 2 33 2 6" xfId="53108"/>
    <cellStyle name="표준 5 2 2 2 2 33 3" xfId="4390"/>
    <cellStyle name="표준 5 2 2 2 2 33 3 2" xfId="10726"/>
    <cellStyle name="표준 5 2 2 2 2 33 3 2 2" xfId="23399"/>
    <cellStyle name="표준 5 2 2 2 2 33 3 2 2 2" xfId="48751"/>
    <cellStyle name="표준 5 2 2 2 2 33 3 2 3" xfId="36079"/>
    <cellStyle name="표준 5 2 2 2 2 33 3 3" xfId="17063"/>
    <cellStyle name="표준 5 2 2 2 2 33 3 3 2" xfId="42415"/>
    <cellStyle name="표준 5 2 2 2 2 33 3 4" xfId="29743"/>
    <cellStyle name="표준 5 2 2 2 2 33 3 5" xfId="53109"/>
    <cellStyle name="표준 5 2 2 2 2 33 4" xfId="7605"/>
    <cellStyle name="표준 5 2 2 2 2 33 4 2" xfId="20278"/>
    <cellStyle name="표준 5 2 2 2 2 33 4 2 2" xfId="45630"/>
    <cellStyle name="표준 5 2 2 2 2 33 4 3" xfId="32958"/>
    <cellStyle name="표준 5 2 2 2 2 33 5" xfId="13942"/>
    <cellStyle name="표준 5 2 2 2 2 33 5 2" xfId="39294"/>
    <cellStyle name="표준 5 2 2 2 2 33 6" xfId="26622"/>
    <cellStyle name="표준 5 2 2 2 2 33 7" xfId="53110"/>
    <cellStyle name="표준 5 2 2 2 2 34" xfId="1270"/>
    <cellStyle name="표준 5 2 2 2 2 34 2" xfId="4391"/>
    <cellStyle name="표준 5 2 2 2 2 34 2 2" xfId="10727"/>
    <cellStyle name="표준 5 2 2 2 2 34 2 2 2" xfId="23400"/>
    <cellStyle name="표준 5 2 2 2 2 34 2 2 2 2" xfId="48752"/>
    <cellStyle name="표준 5 2 2 2 2 34 2 2 3" xfId="36080"/>
    <cellStyle name="표준 5 2 2 2 2 34 2 3" xfId="17064"/>
    <cellStyle name="표준 5 2 2 2 2 34 2 3 2" xfId="42416"/>
    <cellStyle name="표준 5 2 2 2 2 34 2 4" xfId="29744"/>
    <cellStyle name="표준 5 2 2 2 2 34 2 5" xfId="53111"/>
    <cellStyle name="표준 5 2 2 2 2 34 3" xfId="7607"/>
    <cellStyle name="표준 5 2 2 2 2 34 3 2" xfId="20280"/>
    <cellStyle name="표준 5 2 2 2 2 34 3 2 2" xfId="45632"/>
    <cellStyle name="표준 5 2 2 2 2 34 3 3" xfId="32960"/>
    <cellStyle name="표준 5 2 2 2 2 34 4" xfId="13944"/>
    <cellStyle name="표준 5 2 2 2 2 34 4 2" xfId="39296"/>
    <cellStyle name="표준 5 2 2 2 2 34 5" xfId="26624"/>
    <cellStyle name="표준 5 2 2 2 2 34 6" xfId="53112"/>
    <cellStyle name="표준 5 2 2 2 2 35" xfId="4392"/>
    <cellStyle name="표준 5 2 2 2 2 35 2" xfId="10728"/>
    <cellStyle name="표준 5 2 2 2 2 35 2 2" xfId="23401"/>
    <cellStyle name="표준 5 2 2 2 2 35 2 2 2" xfId="48753"/>
    <cellStyle name="표준 5 2 2 2 2 35 2 3" xfId="36081"/>
    <cellStyle name="표준 5 2 2 2 2 35 3" xfId="17065"/>
    <cellStyle name="표준 5 2 2 2 2 35 3 2" xfId="42417"/>
    <cellStyle name="표준 5 2 2 2 2 35 4" xfId="29745"/>
    <cellStyle name="표준 5 2 2 2 2 35 5" xfId="53113"/>
    <cellStyle name="표준 5 2 2 2 2 36" xfId="6411"/>
    <cellStyle name="표준 5 2 2 2 2 36 2" xfId="19084"/>
    <cellStyle name="표준 5 2 2 2 2 36 2 2" xfId="44436"/>
    <cellStyle name="표준 5 2 2 2 2 36 3" xfId="31764"/>
    <cellStyle name="표준 5 2 2 2 2 37" xfId="12748"/>
    <cellStyle name="표준 5 2 2 2 2 37 2" xfId="38100"/>
    <cellStyle name="표준 5 2 2 2 2 38" xfId="25428"/>
    <cellStyle name="표준 5 2 2 2 2 39" xfId="53114"/>
    <cellStyle name="표준 5 2 2 2 2 4" xfId="1271"/>
    <cellStyle name="표준 5 2 2 2 2 4 2" xfId="1272"/>
    <cellStyle name="표준 5 2 2 2 2 4 2 2" xfId="4393"/>
    <cellStyle name="표준 5 2 2 2 2 4 2 2 2" xfId="10729"/>
    <cellStyle name="표준 5 2 2 2 2 4 2 2 2 2" xfId="23402"/>
    <cellStyle name="표준 5 2 2 2 2 4 2 2 2 2 2" xfId="48754"/>
    <cellStyle name="표준 5 2 2 2 2 4 2 2 2 3" xfId="36082"/>
    <cellStyle name="표준 5 2 2 2 2 4 2 2 3" xfId="17066"/>
    <cellStyle name="표준 5 2 2 2 2 4 2 2 3 2" xfId="42418"/>
    <cellStyle name="표준 5 2 2 2 2 4 2 2 4" xfId="29746"/>
    <cellStyle name="표준 5 2 2 2 2 4 2 2 5" xfId="53115"/>
    <cellStyle name="표준 5 2 2 2 2 4 2 3" xfId="7609"/>
    <cellStyle name="표준 5 2 2 2 2 4 2 3 2" xfId="20282"/>
    <cellStyle name="표준 5 2 2 2 2 4 2 3 2 2" xfId="45634"/>
    <cellStyle name="표준 5 2 2 2 2 4 2 3 3" xfId="32962"/>
    <cellStyle name="표준 5 2 2 2 2 4 2 4" xfId="13946"/>
    <cellStyle name="표준 5 2 2 2 2 4 2 4 2" xfId="39298"/>
    <cellStyle name="표준 5 2 2 2 2 4 2 5" xfId="26626"/>
    <cellStyle name="표준 5 2 2 2 2 4 2 6" xfId="53116"/>
    <cellStyle name="표준 5 2 2 2 2 4 3" xfId="4394"/>
    <cellStyle name="표준 5 2 2 2 2 4 3 2" xfId="10730"/>
    <cellStyle name="표준 5 2 2 2 2 4 3 2 2" xfId="23403"/>
    <cellStyle name="표준 5 2 2 2 2 4 3 2 2 2" xfId="48755"/>
    <cellStyle name="표준 5 2 2 2 2 4 3 2 3" xfId="36083"/>
    <cellStyle name="표준 5 2 2 2 2 4 3 3" xfId="17067"/>
    <cellStyle name="표준 5 2 2 2 2 4 3 3 2" xfId="42419"/>
    <cellStyle name="표준 5 2 2 2 2 4 3 4" xfId="29747"/>
    <cellStyle name="표준 5 2 2 2 2 4 3 5" xfId="53117"/>
    <cellStyle name="표준 5 2 2 2 2 4 4" xfId="7608"/>
    <cellStyle name="표준 5 2 2 2 2 4 4 2" xfId="20281"/>
    <cellStyle name="표준 5 2 2 2 2 4 4 2 2" xfId="45633"/>
    <cellStyle name="표준 5 2 2 2 2 4 4 3" xfId="32961"/>
    <cellStyle name="표준 5 2 2 2 2 4 5" xfId="13945"/>
    <cellStyle name="표준 5 2 2 2 2 4 5 2" xfId="39297"/>
    <cellStyle name="표준 5 2 2 2 2 4 6" xfId="26625"/>
    <cellStyle name="표준 5 2 2 2 2 4 7" xfId="53118"/>
    <cellStyle name="표준 5 2 2 2 2 5" xfId="1273"/>
    <cellStyle name="표준 5 2 2 2 2 5 2" xfId="1274"/>
    <cellStyle name="표준 5 2 2 2 2 5 2 2" xfId="4395"/>
    <cellStyle name="표준 5 2 2 2 2 5 2 2 2" xfId="10731"/>
    <cellStyle name="표준 5 2 2 2 2 5 2 2 2 2" xfId="23404"/>
    <cellStyle name="표준 5 2 2 2 2 5 2 2 2 2 2" xfId="48756"/>
    <cellStyle name="표준 5 2 2 2 2 5 2 2 2 3" xfId="36084"/>
    <cellStyle name="표준 5 2 2 2 2 5 2 2 3" xfId="17068"/>
    <cellStyle name="표준 5 2 2 2 2 5 2 2 3 2" xfId="42420"/>
    <cellStyle name="표준 5 2 2 2 2 5 2 2 4" xfId="29748"/>
    <cellStyle name="표준 5 2 2 2 2 5 2 2 5" xfId="53119"/>
    <cellStyle name="표준 5 2 2 2 2 5 2 3" xfId="7611"/>
    <cellStyle name="표준 5 2 2 2 2 5 2 3 2" xfId="20284"/>
    <cellStyle name="표준 5 2 2 2 2 5 2 3 2 2" xfId="45636"/>
    <cellStyle name="표준 5 2 2 2 2 5 2 3 3" xfId="32964"/>
    <cellStyle name="표준 5 2 2 2 2 5 2 4" xfId="13948"/>
    <cellStyle name="표준 5 2 2 2 2 5 2 4 2" xfId="39300"/>
    <cellStyle name="표준 5 2 2 2 2 5 2 5" xfId="26628"/>
    <cellStyle name="표준 5 2 2 2 2 5 2 6" xfId="53120"/>
    <cellStyle name="표준 5 2 2 2 2 5 3" xfId="4396"/>
    <cellStyle name="표준 5 2 2 2 2 5 3 2" xfId="10732"/>
    <cellStyle name="표준 5 2 2 2 2 5 3 2 2" xfId="23405"/>
    <cellStyle name="표준 5 2 2 2 2 5 3 2 2 2" xfId="48757"/>
    <cellStyle name="표준 5 2 2 2 2 5 3 2 3" xfId="36085"/>
    <cellStyle name="표준 5 2 2 2 2 5 3 3" xfId="17069"/>
    <cellStyle name="표준 5 2 2 2 2 5 3 3 2" xfId="42421"/>
    <cellStyle name="표준 5 2 2 2 2 5 3 4" xfId="29749"/>
    <cellStyle name="표준 5 2 2 2 2 5 3 5" xfId="53121"/>
    <cellStyle name="표준 5 2 2 2 2 5 4" xfId="7610"/>
    <cellStyle name="표준 5 2 2 2 2 5 4 2" xfId="20283"/>
    <cellStyle name="표준 5 2 2 2 2 5 4 2 2" xfId="45635"/>
    <cellStyle name="표준 5 2 2 2 2 5 4 3" xfId="32963"/>
    <cellStyle name="표준 5 2 2 2 2 5 5" xfId="13947"/>
    <cellStyle name="표준 5 2 2 2 2 5 5 2" xfId="39299"/>
    <cellStyle name="표준 5 2 2 2 2 5 6" xfId="26627"/>
    <cellStyle name="표준 5 2 2 2 2 5 7" xfId="53122"/>
    <cellStyle name="표준 5 2 2 2 2 6" xfId="1275"/>
    <cellStyle name="표준 5 2 2 2 2 6 2" xfId="1276"/>
    <cellStyle name="표준 5 2 2 2 2 6 2 2" xfId="4397"/>
    <cellStyle name="표준 5 2 2 2 2 6 2 2 2" xfId="10733"/>
    <cellStyle name="표준 5 2 2 2 2 6 2 2 2 2" xfId="23406"/>
    <cellStyle name="표준 5 2 2 2 2 6 2 2 2 2 2" xfId="48758"/>
    <cellStyle name="표준 5 2 2 2 2 6 2 2 2 3" xfId="36086"/>
    <cellStyle name="표준 5 2 2 2 2 6 2 2 3" xfId="17070"/>
    <cellStyle name="표준 5 2 2 2 2 6 2 2 3 2" xfId="42422"/>
    <cellStyle name="표준 5 2 2 2 2 6 2 2 4" xfId="29750"/>
    <cellStyle name="표준 5 2 2 2 2 6 2 2 5" xfId="53123"/>
    <cellStyle name="표준 5 2 2 2 2 6 2 3" xfId="7613"/>
    <cellStyle name="표준 5 2 2 2 2 6 2 3 2" xfId="20286"/>
    <cellStyle name="표준 5 2 2 2 2 6 2 3 2 2" xfId="45638"/>
    <cellStyle name="표준 5 2 2 2 2 6 2 3 3" xfId="32966"/>
    <cellStyle name="표준 5 2 2 2 2 6 2 4" xfId="13950"/>
    <cellStyle name="표준 5 2 2 2 2 6 2 4 2" xfId="39302"/>
    <cellStyle name="표준 5 2 2 2 2 6 2 5" xfId="26630"/>
    <cellStyle name="표준 5 2 2 2 2 6 2 6" xfId="53124"/>
    <cellStyle name="표준 5 2 2 2 2 6 3" xfId="4398"/>
    <cellStyle name="표준 5 2 2 2 2 6 3 2" xfId="10734"/>
    <cellStyle name="표준 5 2 2 2 2 6 3 2 2" xfId="23407"/>
    <cellStyle name="표준 5 2 2 2 2 6 3 2 2 2" xfId="48759"/>
    <cellStyle name="표준 5 2 2 2 2 6 3 2 3" xfId="36087"/>
    <cellStyle name="표준 5 2 2 2 2 6 3 3" xfId="17071"/>
    <cellStyle name="표준 5 2 2 2 2 6 3 3 2" xfId="42423"/>
    <cellStyle name="표준 5 2 2 2 2 6 3 4" xfId="29751"/>
    <cellStyle name="표준 5 2 2 2 2 6 3 5" xfId="53125"/>
    <cellStyle name="표준 5 2 2 2 2 6 4" xfId="7612"/>
    <cellStyle name="표준 5 2 2 2 2 6 4 2" xfId="20285"/>
    <cellStyle name="표준 5 2 2 2 2 6 4 2 2" xfId="45637"/>
    <cellStyle name="표준 5 2 2 2 2 6 4 3" xfId="32965"/>
    <cellStyle name="표준 5 2 2 2 2 6 5" xfId="13949"/>
    <cellStyle name="표준 5 2 2 2 2 6 5 2" xfId="39301"/>
    <cellStyle name="표준 5 2 2 2 2 6 6" xfId="26629"/>
    <cellStyle name="표준 5 2 2 2 2 6 7" xfId="53126"/>
    <cellStyle name="표준 5 2 2 2 2 7" xfId="1277"/>
    <cellStyle name="표준 5 2 2 2 2 7 2" xfId="1278"/>
    <cellStyle name="표준 5 2 2 2 2 7 2 2" xfId="4399"/>
    <cellStyle name="표준 5 2 2 2 2 7 2 2 2" xfId="10735"/>
    <cellStyle name="표준 5 2 2 2 2 7 2 2 2 2" xfId="23408"/>
    <cellStyle name="표준 5 2 2 2 2 7 2 2 2 2 2" xfId="48760"/>
    <cellStyle name="표준 5 2 2 2 2 7 2 2 2 3" xfId="36088"/>
    <cellStyle name="표준 5 2 2 2 2 7 2 2 3" xfId="17072"/>
    <cellStyle name="표준 5 2 2 2 2 7 2 2 3 2" xfId="42424"/>
    <cellStyle name="표준 5 2 2 2 2 7 2 2 4" xfId="29752"/>
    <cellStyle name="표준 5 2 2 2 2 7 2 2 5" xfId="53127"/>
    <cellStyle name="표준 5 2 2 2 2 7 2 3" xfId="7615"/>
    <cellStyle name="표준 5 2 2 2 2 7 2 3 2" xfId="20288"/>
    <cellStyle name="표준 5 2 2 2 2 7 2 3 2 2" xfId="45640"/>
    <cellStyle name="표준 5 2 2 2 2 7 2 3 3" xfId="32968"/>
    <cellStyle name="표준 5 2 2 2 2 7 2 4" xfId="13952"/>
    <cellStyle name="표준 5 2 2 2 2 7 2 4 2" xfId="39304"/>
    <cellStyle name="표준 5 2 2 2 2 7 2 5" xfId="26632"/>
    <cellStyle name="표준 5 2 2 2 2 7 2 6" xfId="53128"/>
    <cellStyle name="표준 5 2 2 2 2 7 3" xfId="4400"/>
    <cellStyle name="표준 5 2 2 2 2 7 3 2" xfId="10736"/>
    <cellStyle name="표준 5 2 2 2 2 7 3 2 2" xfId="23409"/>
    <cellStyle name="표준 5 2 2 2 2 7 3 2 2 2" xfId="48761"/>
    <cellStyle name="표준 5 2 2 2 2 7 3 2 3" xfId="36089"/>
    <cellStyle name="표준 5 2 2 2 2 7 3 3" xfId="17073"/>
    <cellStyle name="표준 5 2 2 2 2 7 3 3 2" xfId="42425"/>
    <cellStyle name="표준 5 2 2 2 2 7 3 4" xfId="29753"/>
    <cellStyle name="표준 5 2 2 2 2 7 3 5" xfId="53129"/>
    <cellStyle name="표준 5 2 2 2 2 7 4" xfId="7614"/>
    <cellStyle name="표준 5 2 2 2 2 7 4 2" xfId="20287"/>
    <cellStyle name="표준 5 2 2 2 2 7 4 2 2" xfId="45639"/>
    <cellStyle name="표준 5 2 2 2 2 7 4 3" xfId="32967"/>
    <cellStyle name="표준 5 2 2 2 2 7 5" xfId="13951"/>
    <cellStyle name="표준 5 2 2 2 2 7 5 2" xfId="39303"/>
    <cellStyle name="표준 5 2 2 2 2 7 6" xfId="26631"/>
    <cellStyle name="표준 5 2 2 2 2 7 7" xfId="53130"/>
    <cellStyle name="표준 5 2 2 2 2 8" xfId="1279"/>
    <cellStyle name="표준 5 2 2 2 2 8 2" xfId="1280"/>
    <cellStyle name="표준 5 2 2 2 2 8 2 2" xfId="4401"/>
    <cellStyle name="표준 5 2 2 2 2 8 2 2 2" xfId="10737"/>
    <cellStyle name="표준 5 2 2 2 2 8 2 2 2 2" xfId="23410"/>
    <cellStyle name="표준 5 2 2 2 2 8 2 2 2 2 2" xfId="48762"/>
    <cellStyle name="표준 5 2 2 2 2 8 2 2 2 3" xfId="36090"/>
    <cellStyle name="표준 5 2 2 2 2 8 2 2 3" xfId="17074"/>
    <cellStyle name="표준 5 2 2 2 2 8 2 2 3 2" xfId="42426"/>
    <cellStyle name="표준 5 2 2 2 2 8 2 2 4" xfId="29754"/>
    <cellStyle name="표준 5 2 2 2 2 8 2 2 5" xfId="53131"/>
    <cellStyle name="표준 5 2 2 2 2 8 2 3" xfId="7617"/>
    <cellStyle name="표준 5 2 2 2 2 8 2 3 2" xfId="20290"/>
    <cellStyle name="표준 5 2 2 2 2 8 2 3 2 2" xfId="45642"/>
    <cellStyle name="표준 5 2 2 2 2 8 2 3 3" xfId="32970"/>
    <cellStyle name="표준 5 2 2 2 2 8 2 4" xfId="13954"/>
    <cellStyle name="표준 5 2 2 2 2 8 2 4 2" xfId="39306"/>
    <cellStyle name="표준 5 2 2 2 2 8 2 5" xfId="26634"/>
    <cellStyle name="표준 5 2 2 2 2 8 2 6" xfId="53132"/>
    <cellStyle name="표준 5 2 2 2 2 8 3" xfId="4402"/>
    <cellStyle name="표준 5 2 2 2 2 8 3 2" xfId="10738"/>
    <cellStyle name="표준 5 2 2 2 2 8 3 2 2" xfId="23411"/>
    <cellStyle name="표준 5 2 2 2 2 8 3 2 2 2" xfId="48763"/>
    <cellStyle name="표준 5 2 2 2 2 8 3 2 3" xfId="36091"/>
    <cellStyle name="표준 5 2 2 2 2 8 3 3" xfId="17075"/>
    <cellStyle name="표준 5 2 2 2 2 8 3 3 2" xfId="42427"/>
    <cellStyle name="표준 5 2 2 2 2 8 3 4" xfId="29755"/>
    <cellStyle name="표준 5 2 2 2 2 8 3 5" xfId="53133"/>
    <cellStyle name="표준 5 2 2 2 2 8 4" xfId="7616"/>
    <cellStyle name="표준 5 2 2 2 2 8 4 2" xfId="20289"/>
    <cellStyle name="표준 5 2 2 2 2 8 4 2 2" xfId="45641"/>
    <cellStyle name="표준 5 2 2 2 2 8 4 3" xfId="32969"/>
    <cellStyle name="표준 5 2 2 2 2 8 5" xfId="13953"/>
    <cellStyle name="표준 5 2 2 2 2 8 5 2" xfId="39305"/>
    <cellStyle name="표준 5 2 2 2 2 8 6" xfId="26633"/>
    <cellStyle name="표준 5 2 2 2 2 8 7" xfId="53134"/>
    <cellStyle name="표준 5 2 2 2 2 9" xfId="1281"/>
    <cellStyle name="표준 5 2 2 2 2 9 2" xfId="1282"/>
    <cellStyle name="표준 5 2 2 2 2 9 2 2" xfId="4403"/>
    <cellStyle name="표준 5 2 2 2 2 9 2 2 2" xfId="10739"/>
    <cellStyle name="표준 5 2 2 2 2 9 2 2 2 2" xfId="23412"/>
    <cellStyle name="표준 5 2 2 2 2 9 2 2 2 2 2" xfId="48764"/>
    <cellStyle name="표준 5 2 2 2 2 9 2 2 2 3" xfId="36092"/>
    <cellStyle name="표준 5 2 2 2 2 9 2 2 3" xfId="17076"/>
    <cellStyle name="표준 5 2 2 2 2 9 2 2 3 2" xfId="42428"/>
    <cellStyle name="표준 5 2 2 2 2 9 2 2 4" xfId="29756"/>
    <cellStyle name="표준 5 2 2 2 2 9 2 2 5" xfId="53135"/>
    <cellStyle name="표준 5 2 2 2 2 9 2 3" xfId="7619"/>
    <cellStyle name="표준 5 2 2 2 2 9 2 3 2" xfId="20292"/>
    <cellStyle name="표준 5 2 2 2 2 9 2 3 2 2" xfId="45644"/>
    <cellStyle name="표준 5 2 2 2 2 9 2 3 3" xfId="32972"/>
    <cellStyle name="표준 5 2 2 2 2 9 2 4" xfId="13956"/>
    <cellStyle name="표준 5 2 2 2 2 9 2 4 2" xfId="39308"/>
    <cellStyle name="표준 5 2 2 2 2 9 2 5" xfId="26636"/>
    <cellStyle name="표준 5 2 2 2 2 9 2 6" xfId="53136"/>
    <cellStyle name="표준 5 2 2 2 2 9 3" xfId="4404"/>
    <cellStyle name="표준 5 2 2 2 2 9 3 2" xfId="10740"/>
    <cellStyle name="표준 5 2 2 2 2 9 3 2 2" xfId="23413"/>
    <cellStyle name="표준 5 2 2 2 2 9 3 2 2 2" xfId="48765"/>
    <cellStyle name="표준 5 2 2 2 2 9 3 2 3" xfId="36093"/>
    <cellStyle name="표준 5 2 2 2 2 9 3 3" xfId="17077"/>
    <cellStyle name="표준 5 2 2 2 2 9 3 3 2" xfId="42429"/>
    <cellStyle name="표준 5 2 2 2 2 9 3 4" xfId="29757"/>
    <cellStyle name="표준 5 2 2 2 2 9 3 5" xfId="53137"/>
    <cellStyle name="표준 5 2 2 2 2 9 4" xfId="7618"/>
    <cellStyle name="표준 5 2 2 2 2 9 4 2" xfId="20291"/>
    <cellStyle name="표준 5 2 2 2 2 9 4 2 2" xfId="45643"/>
    <cellStyle name="표준 5 2 2 2 2 9 4 3" xfId="32971"/>
    <cellStyle name="표준 5 2 2 2 2 9 5" xfId="13955"/>
    <cellStyle name="표준 5 2 2 2 2 9 5 2" xfId="39307"/>
    <cellStyle name="표준 5 2 2 2 2 9 6" xfId="26635"/>
    <cellStyle name="표준 5 2 2 2 2 9 7" xfId="53138"/>
    <cellStyle name="표준 5 2 2 2 20" xfId="1283"/>
    <cellStyle name="표준 5 2 2 2 20 2" xfId="1284"/>
    <cellStyle name="표준 5 2 2 2 20 2 2" xfId="4405"/>
    <cellStyle name="표준 5 2 2 2 20 2 2 2" xfId="10741"/>
    <cellStyle name="표준 5 2 2 2 20 2 2 2 2" xfId="23414"/>
    <cellStyle name="표준 5 2 2 2 20 2 2 2 2 2" xfId="48766"/>
    <cellStyle name="표준 5 2 2 2 20 2 2 2 3" xfId="36094"/>
    <cellStyle name="표준 5 2 2 2 20 2 2 3" xfId="17078"/>
    <cellStyle name="표준 5 2 2 2 20 2 2 3 2" xfId="42430"/>
    <cellStyle name="표준 5 2 2 2 20 2 2 4" xfId="29758"/>
    <cellStyle name="표준 5 2 2 2 20 2 2 5" xfId="53139"/>
    <cellStyle name="표준 5 2 2 2 20 2 3" xfId="7621"/>
    <cellStyle name="표준 5 2 2 2 20 2 3 2" xfId="20294"/>
    <cellStyle name="표준 5 2 2 2 20 2 3 2 2" xfId="45646"/>
    <cellStyle name="표준 5 2 2 2 20 2 3 3" xfId="32974"/>
    <cellStyle name="표준 5 2 2 2 20 2 4" xfId="13958"/>
    <cellStyle name="표준 5 2 2 2 20 2 4 2" xfId="39310"/>
    <cellStyle name="표준 5 2 2 2 20 2 5" xfId="26638"/>
    <cellStyle name="표준 5 2 2 2 20 2 6" xfId="53140"/>
    <cellStyle name="표준 5 2 2 2 20 3" xfId="4406"/>
    <cellStyle name="표준 5 2 2 2 20 3 2" xfId="10742"/>
    <cellStyle name="표준 5 2 2 2 20 3 2 2" xfId="23415"/>
    <cellStyle name="표준 5 2 2 2 20 3 2 2 2" xfId="48767"/>
    <cellStyle name="표준 5 2 2 2 20 3 2 3" xfId="36095"/>
    <cellStyle name="표준 5 2 2 2 20 3 3" xfId="17079"/>
    <cellStyle name="표준 5 2 2 2 20 3 3 2" xfId="42431"/>
    <cellStyle name="표준 5 2 2 2 20 3 4" xfId="29759"/>
    <cellStyle name="표준 5 2 2 2 20 3 5" xfId="53141"/>
    <cellStyle name="표준 5 2 2 2 20 4" xfId="7620"/>
    <cellStyle name="표준 5 2 2 2 20 4 2" xfId="20293"/>
    <cellStyle name="표준 5 2 2 2 20 4 2 2" xfId="45645"/>
    <cellStyle name="표준 5 2 2 2 20 4 3" xfId="32973"/>
    <cellStyle name="표준 5 2 2 2 20 5" xfId="13957"/>
    <cellStyle name="표준 5 2 2 2 20 5 2" xfId="39309"/>
    <cellStyle name="표준 5 2 2 2 20 6" xfId="26637"/>
    <cellStyle name="표준 5 2 2 2 20 7" xfId="53142"/>
    <cellStyle name="표준 5 2 2 2 21" xfId="1285"/>
    <cellStyle name="표준 5 2 2 2 21 2" xfId="1286"/>
    <cellStyle name="표준 5 2 2 2 21 2 2" xfId="4407"/>
    <cellStyle name="표준 5 2 2 2 21 2 2 2" xfId="10743"/>
    <cellStyle name="표준 5 2 2 2 21 2 2 2 2" xfId="23416"/>
    <cellStyle name="표준 5 2 2 2 21 2 2 2 2 2" xfId="48768"/>
    <cellStyle name="표준 5 2 2 2 21 2 2 2 3" xfId="36096"/>
    <cellStyle name="표준 5 2 2 2 21 2 2 3" xfId="17080"/>
    <cellStyle name="표준 5 2 2 2 21 2 2 3 2" xfId="42432"/>
    <cellStyle name="표준 5 2 2 2 21 2 2 4" xfId="29760"/>
    <cellStyle name="표준 5 2 2 2 21 2 2 5" xfId="53143"/>
    <cellStyle name="표준 5 2 2 2 21 2 3" xfId="7623"/>
    <cellStyle name="표준 5 2 2 2 21 2 3 2" xfId="20296"/>
    <cellStyle name="표준 5 2 2 2 21 2 3 2 2" xfId="45648"/>
    <cellStyle name="표준 5 2 2 2 21 2 3 3" xfId="32976"/>
    <cellStyle name="표준 5 2 2 2 21 2 4" xfId="13960"/>
    <cellStyle name="표준 5 2 2 2 21 2 4 2" xfId="39312"/>
    <cellStyle name="표준 5 2 2 2 21 2 5" xfId="26640"/>
    <cellStyle name="표준 5 2 2 2 21 2 6" xfId="53144"/>
    <cellStyle name="표준 5 2 2 2 21 3" xfId="4408"/>
    <cellStyle name="표준 5 2 2 2 21 3 2" xfId="10744"/>
    <cellStyle name="표준 5 2 2 2 21 3 2 2" xfId="23417"/>
    <cellStyle name="표준 5 2 2 2 21 3 2 2 2" xfId="48769"/>
    <cellStyle name="표준 5 2 2 2 21 3 2 3" xfId="36097"/>
    <cellStyle name="표준 5 2 2 2 21 3 3" xfId="17081"/>
    <cellStyle name="표준 5 2 2 2 21 3 3 2" xfId="42433"/>
    <cellStyle name="표준 5 2 2 2 21 3 4" xfId="29761"/>
    <cellStyle name="표준 5 2 2 2 21 3 5" xfId="53145"/>
    <cellStyle name="표준 5 2 2 2 21 4" xfId="7622"/>
    <cellStyle name="표준 5 2 2 2 21 4 2" xfId="20295"/>
    <cellStyle name="표준 5 2 2 2 21 4 2 2" xfId="45647"/>
    <cellStyle name="표준 5 2 2 2 21 4 3" xfId="32975"/>
    <cellStyle name="표준 5 2 2 2 21 5" xfId="13959"/>
    <cellStyle name="표준 5 2 2 2 21 5 2" xfId="39311"/>
    <cellStyle name="표준 5 2 2 2 21 6" xfId="26639"/>
    <cellStyle name="표준 5 2 2 2 21 7" xfId="53146"/>
    <cellStyle name="표준 5 2 2 2 22" xfId="1287"/>
    <cellStyle name="표준 5 2 2 2 22 2" xfId="1288"/>
    <cellStyle name="표준 5 2 2 2 22 2 2" xfId="4409"/>
    <cellStyle name="표준 5 2 2 2 22 2 2 2" xfId="10745"/>
    <cellStyle name="표준 5 2 2 2 22 2 2 2 2" xfId="23418"/>
    <cellStyle name="표준 5 2 2 2 22 2 2 2 2 2" xfId="48770"/>
    <cellStyle name="표준 5 2 2 2 22 2 2 2 3" xfId="36098"/>
    <cellStyle name="표준 5 2 2 2 22 2 2 3" xfId="17082"/>
    <cellStyle name="표준 5 2 2 2 22 2 2 3 2" xfId="42434"/>
    <cellStyle name="표준 5 2 2 2 22 2 2 4" xfId="29762"/>
    <cellStyle name="표준 5 2 2 2 22 2 2 5" xfId="53147"/>
    <cellStyle name="표준 5 2 2 2 22 2 3" xfId="7625"/>
    <cellStyle name="표준 5 2 2 2 22 2 3 2" xfId="20298"/>
    <cellStyle name="표준 5 2 2 2 22 2 3 2 2" xfId="45650"/>
    <cellStyle name="표준 5 2 2 2 22 2 3 3" xfId="32978"/>
    <cellStyle name="표준 5 2 2 2 22 2 4" xfId="13962"/>
    <cellStyle name="표준 5 2 2 2 22 2 4 2" xfId="39314"/>
    <cellStyle name="표준 5 2 2 2 22 2 5" xfId="26642"/>
    <cellStyle name="표준 5 2 2 2 22 2 6" xfId="53148"/>
    <cellStyle name="표준 5 2 2 2 22 3" xfId="4410"/>
    <cellStyle name="표준 5 2 2 2 22 3 2" xfId="10746"/>
    <cellStyle name="표준 5 2 2 2 22 3 2 2" xfId="23419"/>
    <cellStyle name="표준 5 2 2 2 22 3 2 2 2" xfId="48771"/>
    <cellStyle name="표준 5 2 2 2 22 3 2 3" xfId="36099"/>
    <cellStyle name="표준 5 2 2 2 22 3 3" xfId="17083"/>
    <cellStyle name="표준 5 2 2 2 22 3 3 2" xfId="42435"/>
    <cellStyle name="표준 5 2 2 2 22 3 4" xfId="29763"/>
    <cellStyle name="표준 5 2 2 2 22 3 5" xfId="53149"/>
    <cellStyle name="표준 5 2 2 2 22 4" xfId="7624"/>
    <cellStyle name="표준 5 2 2 2 22 4 2" xfId="20297"/>
    <cellStyle name="표준 5 2 2 2 22 4 2 2" xfId="45649"/>
    <cellStyle name="표준 5 2 2 2 22 4 3" xfId="32977"/>
    <cellStyle name="표준 5 2 2 2 22 5" xfId="13961"/>
    <cellStyle name="표준 5 2 2 2 22 5 2" xfId="39313"/>
    <cellStyle name="표준 5 2 2 2 22 6" xfId="26641"/>
    <cellStyle name="표준 5 2 2 2 22 7" xfId="53150"/>
    <cellStyle name="표준 5 2 2 2 23" xfId="1289"/>
    <cellStyle name="표준 5 2 2 2 23 2" xfId="1290"/>
    <cellStyle name="표준 5 2 2 2 23 2 2" xfId="4411"/>
    <cellStyle name="표준 5 2 2 2 23 2 2 2" xfId="10747"/>
    <cellStyle name="표준 5 2 2 2 23 2 2 2 2" xfId="23420"/>
    <cellStyle name="표준 5 2 2 2 23 2 2 2 2 2" xfId="48772"/>
    <cellStyle name="표준 5 2 2 2 23 2 2 2 3" xfId="36100"/>
    <cellStyle name="표준 5 2 2 2 23 2 2 3" xfId="17084"/>
    <cellStyle name="표준 5 2 2 2 23 2 2 3 2" xfId="42436"/>
    <cellStyle name="표준 5 2 2 2 23 2 2 4" xfId="29764"/>
    <cellStyle name="표준 5 2 2 2 23 2 2 5" xfId="53151"/>
    <cellStyle name="표준 5 2 2 2 23 2 3" xfId="7627"/>
    <cellStyle name="표준 5 2 2 2 23 2 3 2" xfId="20300"/>
    <cellStyle name="표준 5 2 2 2 23 2 3 2 2" xfId="45652"/>
    <cellStyle name="표준 5 2 2 2 23 2 3 3" xfId="32980"/>
    <cellStyle name="표준 5 2 2 2 23 2 4" xfId="13964"/>
    <cellStyle name="표준 5 2 2 2 23 2 4 2" xfId="39316"/>
    <cellStyle name="표준 5 2 2 2 23 2 5" xfId="26644"/>
    <cellStyle name="표준 5 2 2 2 23 2 6" xfId="53152"/>
    <cellStyle name="표준 5 2 2 2 23 3" xfId="4412"/>
    <cellStyle name="표준 5 2 2 2 23 3 2" xfId="10748"/>
    <cellStyle name="표준 5 2 2 2 23 3 2 2" xfId="23421"/>
    <cellStyle name="표준 5 2 2 2 23 3 2 2 2" xfId="48773"/>
    <cellStyle name="표준 5 2 2 2 23 3 2 3" xfId="36101"/>
    <cellStyle name="표준 5 2 2 2 23 3 3" xfId="17085"/>
    <cellStyle name="표준 5 2 2 2 23 3 3 2" xfId="42437"/>
    <cellStyle name="표준 5 2 2 2 23 3 4" xfId="29765"/>
    <cellStyle name="표준 5 2 2 2 23 3 5" xfId="53153"/>
    <cellStyle name="표준 5 2 2 2 23 4" xfId="7626"/>
    <cellStyle name="표준 5 2 2 2 23 4 2" xfId="20299"/>
    <cellStyle name="표준 5 2 2 2 23 4 2 2" xfId="45651"/>
    <cellStyle name="표준 5 2 2 2 23 4 3" xfId="32979"/>
    <cellStyle name="표준 5 2 2 2 23 5" xfId="13963"/>
    <cellStyle name="표준 5 2 2 2 23 5 2" xfId="39315"/>
    <cellStyle name="표준 5 2 2 2 23 6" xfId="26643"/>
    <cellStyle name="표준 5 2 2 2 23 7" xfId="53154"/>
    <cellStyle name="표준 5 2 2 2 24" xfId="1291"/>
    <cellStyle name="표준 5 2 2 2 24 2" xfId="1292"/>
    <cellStyle name="표준 5 2 2 2 24 2 2" xfId="4413"/>
    <cellStyle name="표준 5 2 2 2 24 2 2 2" xfId="10749"/>
    <cellStyle name="표준 5 2 2 2 24 2 2 2 2" xfId="23422"/>
    <cellStyle name="표준 5 2 2 2 24 2 2 2 2 2" xfId="48774"/>
    <cellStyle name="표준 5 2 2 2 24 2 2 2 3" xfId="36102"/>
    <cellStyle name="표준 5 2 2 2 24 2 2 3" xfId="17086"/>
    <cellStyle name="표준 5 2 2 2 24 2 2 3 2" xfId="42438"/>
    <cellStyle name="표준 5 2 2 2 24 2 2 4" xfId="29766"/>
    <cellStyle name="표준 5 2 2 2 24 2 2 5" xfId="53155"/>
    <cellStyle name="표준 5 2 2 2 24 2 3" xfId="7629"/>
    <cellStyle name="표준 5 2 2 2 24 2 3 2" xfId="20302"/>
    <cellStyle name="표준 5 2 2 2 24 2 3 2 2" xfId="45654"/>
    <cellStyle name="표준 5 2 2 2 24 2 3 3" xfId="32982"/>
    <cellStyle name="표준 5 2 2 2 24 2 4" xfId="13966"/>
    <cellStyle name="표준 5 2 2 2 24 2 4 2" xfId="39318"/>
    <cellStyle name="표준 5 2 2 2 24 2 5" xfId="26646"/>
    <cellStyle name="표준 5 2 2 2 24 2 6" xfId="53156"/>
    <cellStyle name="표준 5 2 2 2 24 3" xfId="4414"/>
    <cellStyle name="표준 5 2 2 2 24 3 2" xfId="10750"/>
    <cellStyle name="표준 5 2 2 2 24 3 2 2" xfId="23423"/>
    <cellStyle name="표준 5 2 2 2 24 3 2 2 2" xfId="48775"/>
    <cellStyle name="표준 5 2 2 2 24 3 2 3" xfId="36103"/>
    <cellStyle name="표준 5 2 2 2 24 3 3" xfId="17087"/>
    <cellStyle name="표준 5 2 2 2 24 3 3 2" xfId="42439"/>
    <cellStyle name="표준 5 2 2 2 24 3 4" xfId="29767"/>
    <cellStyle name="표준 5 2 2 2 24 3 5" xfId="53157"/>
    <cellStyle name="표준 5 2 2 2 24 4" xfId="7628"/>
    <cellStyle name="표준 5 2 2 2 24 4 2" xfId="20301"/>
    <cellStyle name="표준 5 2 2 2 24 4 2 2" xfId="45653"/>
    <cellStyle name="표준 5 2 2 2 24 4 3" xfId="32981"/>
    <cellStyle name="표준 5 2 2 2 24 5" xfId="13965"/>
    <cellStyle name="표준 5 2 2 2 24 5 2" xfId="39317"/>
    <cellStyle name="표준 5 2 2 2 24 6" xfId="26645"/>
    <cellStyle name="표준 5 2 2 2 24 7" xfId="53158"/>
    <cellStyle name="표준 5 2 2 2 25" xfId="1293"/>
    <cellStyle name="표준 5 2 2 2 25 2" xfId="1294"/>
    <cellStyle name="표준 5 2 2 2 25 2 2" xfId="4415"/>
    <cellStyle name="표준 5 2 2 2 25 2 2 2" xfId="10751"/>
    <cellStyle name="표준 5 2 2 2 25 2 2 2 2" xfId="23424"/>
    <cellStyle name="표준 5 2 2 2 25 2 2 2 2 2" xfId="48776"/>
    <cellStyle name="표준 5 2 2 2 25 2 2 2 3" xfId="36104"/>
    <cellStyle name="표준 5 2 2 2 25 2 2 3" xfId="17088"/>
    <cellStyle name="표준 5 2 2 2 25 2 2 3 2" xfId="42440"/>
    <cellStyle name="표준 5 2 2 2 25 2 2 4" xfId="29768"/>
    <cellStyle name="표준 5 2 2 2 25 2 2 5" xfId="53159"/>
    <cellStyle name="표준 5 2 2 2 25 2 3" xfId="7631"/>
    <cellStyle name="표준 5 2 2 2 25 2 3 2" xfId="20304"/>
    <cellStyle name="표준 5 2 2 2 25 2 3 2 2" xfId="45656"/>
    <cellStyle name="표준 5 2 2 2 25 2 3 3" xfId="32984"/>
    <cellStyle name="표준 5 2 2 2 25 2 4" xfId="13968"/>
    <cellStyle name="표준 5 2 2 2 25 2 4 2" xfId="39320"/>
    <cellStyle name="표준 5 2 2 2 25 2 5" xfId="26648"/>
    <cellStyle name="표준 5 2 2 2 25 2 6" xfId="53160"/>
    <cellStyle name="표준 5 2 2 2 25 3" xfId="4416"/>
    <cellStyle name="표준 5 2 2 2 25 3 2" xfId="10752"/>
    <cellStyle name="표준 5 2 2 2 25 3 2 2" xfId="23425"/>
    <cellStyle name="표준 5 2 2 2 25 3 2 2 2" xfId="48777"/>
    <cellStyle name="표준 5 2 2 2 25 3 2 3" xfId="36105"/>
    <cellStyle name="표준 5 2 2 2 25 3 3" xfId="17089"/>
    <cellStyle name="표준 5 2 2 2 25 3 3 2" xfId="42441"/>
    <cellStyle name="표준 5 2 2 2 25 3 4" xfId="29769"/>
    <cellStyle name="표준 5 2 2 2 25 3 5" xfId="53161"/>
    <cellStyle name="표준 5 2 2 2 25 4" xfId="7630"/>
    <cellStyle name="표준 5 2 2 2 25 4 2" xfId="20303"/>
    <cellStyle name="표준 5 2 2 2 25 4 2 2" xfId="45655"/>
    <cellStyle name="표준 5 2 2 2 25 4 3" xfId="32983"/>
    <cellStyle name="표준 5 2 2 2 25 5" xfId="13967"/>
    <cellStyle name="표준 5 2 2 2 25 5 2" xfId="39319"/>
    <cellStyle name="표준 5 2 2 2 25 6" xfId="26647"/>
    <cellStyle name="표준 5 2 2 2 25 7" xfId="53162"/>
    <cellStyle name="표준 5 2 2 2 26" xfId="1295"/>
    <cellStyle name="표준 5 2 2 2 26 2" xfId="1296"/>
    <cellStyle name="표준 5 2 2 2 26 2 2" xfId="4417"/>
    <cellStyle name="표준 5 2 2 2 26 2 2 2" xfId="10753"/>
    <cellStyle name="표준 5 2 2 2 26 2 2 2 2" xfId="23426"/>
    <cellStyle name="표준 5 2 2 2 26 2 2 2 2 2" xfId="48778"/>
    <cellStyle name="표준 5 2 2 2 26 2 2 2 3" xfId="36106"/>
    <cellStyle name="표준 5 2 2 2 26 2 2 3" xfId="17090"/>
    <cellStyle name="표준 5 2 2 2 26 2 2 3 2" xfId="42442"/>
    <cellStyle name="표준 5 2 2 2 26 2 2 4" xfId="29770"/>
    <cellStyle name="표준 5 2 2 2 26 2 2 5" xfId="53163"/>
    <cellStyle name="표준 5 2 2 2 26 2 3" xfId="7633"/>
    <cellStyle name="표준 5 2 2 2 26 2 3 2" xfId="20306"/>
    <cellStyle name="표준 5 2 2 2 26 2 3 2 2" xfId="45658"/>
    <cellStyle name="표준 5 2 2 2 26 2 3 3" xfId="32986"/>
    <cellStyle name="표준 5 2 2 2 26 2 4" xfId="13970"/>
    <cellStyle name="표준 5 2 2 2 26 2 4 2" xfId="39322"/>
    <cellStyle name="표준 5 2 2 2 26 2 5" xfId="26650"/>
    <cellStyle name="표준 5 2 2 2 26 2 6" xfId="53164"/>
    <cellStyle name="표준 5 2 2 2 26 3" xfId="4418"/>
    <cellStyle name="표준 5 2 2 2 26 3 2" xfId="10754"/>
    <cellStyle name="표준 5 2 2 2 26 3 2 2" xfId="23427"/>
    <cellStyle name="표준 5 2 2 2 26 3 2 2 2" xfId="48779"/>
    <cellStyle name="표준 5 2 2 2 26 3 2 3" xfId="36107"/>
    <cellStyle name="표준 5 2 2 2 26 3 3" xfId="17091"/>
    <cellStyle name="표준 5 2 2 2 26 3 3 2" xfId="42443"/>
    <cellStyle name="표준 5 2 2 2 26 3 4" xfId="29771"/>
    <cellStyle name="표준 5 2 2 2 26 3 5" xfId="53165"/>
    <cellStyle name="표준 5 2 2 2 26 4" xfId="7632"/>
    <cellStyle name="표준 5 2 2 2 26 4 2" xfId="20305"/>
    <cellStyle name="표준 5 2 2 2 26 4 2 2" xfId="45657"/>
    <cellStyle name="표준 5 2 2 2 26 4 3" xfId="32985"/>
    <cellStyle name="표준 5 2 2 2 26 5" xfId="13969"/>
    <cellStyle name="표준 5 2 2 2 26 5 2" xfId="39321"/>
    <cellStyle name="표준 5 2 2 2 26 6" xfId="26649"/>
    <cellStyle name="표준 5 2 2 2 26 7" xfId="53166"/>
    <cellStyle name="표준 5 2 2 2 27" xfId="1297"/>
    <cellStyle name="표준 5 2 2 2 27 2" xfId="1298"/>
    <cellStyle name="표준 5 2 2 2 27 2 2" xfId="4419"/>
    <cellStyle name="표준 5 2 2 2 27 2 2 2" xfId="10755"/>
    <cellStyle name="표준 5 2 2 2 27 2 2 2 2" xfId="23428"/>
    <cellStyle name="표준 5 2 2 2 27 2 2 2 2 2" xfId="48780"/>
    <cellStyle name="표준 5 2 2 2 27 2 2 2 3" xfId="36108"/>
    <cellStyle name="표준 5 2 2 2 27 2 2 3" xfId="17092"/>
    <cellStyle name="표준 5 2 2 2 27 2 2 3 2" xfId="42444"/>
    <cellStyle name="표준 5 2 2 2 27 2 2 4" xfId="29772"/>
    <cellStyle name="표준 5 2 2 2 27 2 2 5" xfId="53167"/>
    <cellStyle name="표준 5 2 2 2 27 2 3" xfId="7635"/>
    <cellStyle name="표준 5 2 2 2 27 2 3 2" xfId="20308"/>
    <cellStyle name="표준 5 2 2 2 27 2 3 2 2" xfId="45660"/>
    <cellStyle name="표준 5 2 2 2 27 2 3 3" xfId="32988"/>
    <cellStyle name="표준 5 2 2 2 27 2 4" xfId="13972"/>
    <cellStyle name="표준 5 2 2 2 27 2 4 2" xfId="39324"/>
    <cellStyle name="표준 5 2 2 2 27 2 5" xfId="26652"/>
    <cellStyle name="표준 5 2 2 2 27 2 6" xfId="53168"/>
    <cellStyle name="표준 5 2 2 2 27 3" xfId="4420"/>
    <cellStyle name="표준 5 2 2 2 27 3 2" xfId="10756"/>
    <cellStyle name="표준 5 2 2 2 27 3 2 2" xfId="23429"/>
    <cellStyle name="표준 5 2 2 2 27 3 2 2 2" xfId="48781"/>
    <cellStyle name="표준 5 2 2 2 27 3 2 3" xfId="36109"/>
    <cellStyle name="표준 5 2 2 2 27 3 3" xfId="17093"/>
    <cellStyle name="표준 5 2 2 2 27 3 3 2" xfId="42445"/>
    <cellStyle name="표준 5 2 2 2 27 3 4" xfId="29773"/>
    <cellStyle name="표준 5 2 2 2 27 3 5" xfId="53169"/>
    <cellStyle name="표준 5 2 2 2 27 4" xfId="7634"/>
    <cellStyle name="표준 5 2 2 2 27 4 2" xfId="20307"/>
    <cellStyle name="표준 5 2 2 2 27 4 2 2" xfId="45659"/>
    <cellStyle name="표준 5 2 2 2 27 4 3" xfId="32987"/>
    <cellStyle name="표준 5 2 2 2 27 5" xfId="13971"/>
    <cellStyle name="표준 5 2 2 2 27 5 2" xfId="39323"/>
    <cellStyle name="표준 5 2 2 2 27 6" xfId="26651"/>
    <cellStyle name="표준 5 2 2 2 27 7" xfId="53170"/>
    <cellStyle name="표준 5 2 2 2 28" xfId="1299"/>
    <cellStyle name="표준 5 2 2 2 28 2" xfId="1300"/>
    <cellStyle name="표준 5 2 2 2 28 2 2" xfId="4421"/>
    <cellStyle name="표준 5 2 2 2 28 2 2 2" xfId="10757"/>
    <cellStyle name="표준 5 2 2 2 28 2 2 2 2" xfId="23430"/>
    <cellStyle name="표준 5 2 2 2 28 2 2 2 2 2" xfId="48782"/>
    <cellStyle name="표준 5 2 2 2 28 2 2 2 3" xfId="36110"/>
    <cellStyle name="표준 5 2 2 2 28 2 2 3" xfId="17094"/>
    <cellStyle name="표준 5 2 2 2 28 2 2 3 2" xfId="42446"/>
    <cellStyle name="표준 5 2 2 2 28 2 2 4" xfId="29774"/>
    <cellStyle name="표준 5 2 2 2 28 2 2 5" xfId="53171"/>
    <cellStyle name="표준 5 2 2 2 28 2 3" xfId="7637"/>
    <cellStyle name="표준 5 2 2 2 28 2 3 2" xfId="20310"/>
    <cellStyle name="표준 5 2 2 2 28 2 3 2 2" xfId="45662"/>
    <cellStyle name="표준 5 2 2 2 28 2 3 3" xfId="32990"/>
    <cellStyle name="표준 5 2 2 2 28 2 4" xfId="13974"/>
    <cellStyle name="표준 5 2 2 2 28 2 4 2" xfId="39326"/>
    <cellStyle name="표준 5 2 2 2 28 2 5" xfId="26654"/>
    <cellStyle name="표준 5 2 2 2 28 2 6" xfId="53172"/>
    <cellStyle name="표준 5 2 2 2 28 3" xfId="4422"/>
    <cellStyle name="표준 5 2 2 2 28 3 2" xfId="10758"/>
    <cellStyle name="표준 5 2 2 2 28 3 2 2" xfId="23431"/>
    <cellStyle name="표준 5 2 2 2 28 3 2 2 2" xfId="48783"/>
    <cellStyle name="표준 5 2 2 2 28 3 2 3" xfId="36111"/>
    <cellStyle name="표준 5 2 2 2 28 3 3" xfId="17095"/>
    <cellStyle name="표준 5 2 2 2 28 3 3 2" xfId="42447"/>
    <cellStyle name="표준 5 2 2 2 28 3 4" xfId="29775"/>
    <cellStyle name="표준 5 2 2 2 28 3 5" xfId="53173"/>
    <cellStyle name="표준 5 2 2 2 28 4" xfId="7636"/>
    <cellStyle name="표준 5 2 2 2 28 4 2" xfId="20309"/>
    <cellStyle name="표준 5 2 2 2 28 4 2 2" xfId="45661"/>
    <cellStyle name="표준 5 2 2 2 28 4 3" xfId="32989"/>
    <cellStyle name="표준 5 2 2 2 28 5" xfId="13973"/>
    <cellStyle name="표준 5 2 2 2 28 5 2" xfId="39325"/>
    <cellStyle name="표준 5 2 2 2 28 6" xfId="26653"/>
    <cellStyle name="표준 5 2 2 2 28 7" xfId="53174"/>
    <cellStyle name="표준 5 2 2 2 29" xfId="1301"/>
    <cellStyle name="표준 5 2 2 2 29 2" xfId="1302"/>
    <cellStyle name="표준 5 2 2 2 29 2 2" xfId="4423"/>
    <cellStyle name="표준 5 2 2 2 29 2 2 2" xfId="10759"/>
    <cellStyle name="표준 5 2 2 2 29 2 2 2 2" xfId="23432"/>
    <cellStyle name="표준 5 2 2 2 29 2 2 2 2 2" xfId="48784"/>
    <cellStyle name="표준 5 2 2 2 29 2 2 2 3" xfId="36112"/>
    <cellStyle name="표준 5 2 2 2 29 2 2 3" xfId="17096"/>
    <cellStyle name="표준 5 2 2 2 29 2 2 3 2" xfId="42448"/>
    <cellStyle name="표준 5 2 2 2 29 2 2 4" xfId="29776"/>
    <cellStyle name="표준 5 2 2 2 29 2 2 5" xfId="53175"/>
    <cellStyle name="표준 5 2 2 2 29 2 3" xfId="7639"/>
    <cellStyle name="표준 5 2 2 2 29 2 3 2" xfId="20312"/>
    <cellStyle name="표준 5 2 2 2 29 2 3 2 2" xfId="45664"/>
    <cellStyle name="표준 5 2 2 2 29 2 3 3" xfId="32992"/>
    <cellStyle name="표준 5 2 2 2 29 2 4" xfId="13976"/>
    <cellStyle name="표준 5 2 2 2 29 2 4 2" xfId="39328"/>
    <cellStyle name="표준 5 2 2 2 29 2 5" xfId="26656"/>
    <cellStyle name="표준 5 2 2 2 29 2 6" xfId="53176"/>
    <cellStyle name="표준 5 2 2 2 29 3" xfId="4424"/>
    <cellStyle name="표준 5 2 2 2 29 3 2" xfId="10760"/>
    <cellStyle name="표준 5 2 2 2 29 3 2 2" xfId="23433"/>
    <cellStyle name="표준 5 2 2 2 29 3 2 2 2" xfId="48785"/>
    <cellStyle name="표준 5 2 2 2 29 3 2 3" xfId="36113"/>
    <cellStyle name="표준 5 2 2 2 29 3 3" xfId="17097"/>
    <cellStyle name="표준 5 2 2 2 29 3 3 2" xfId="42449"/>
    <cellStyle name="표준 5 2 2 2 29 3 4" xfId="29777"/>
    <cellStyle name="표준 5 2 2 2 29 3 5" xfId="53177"/>
    <cellStyle name="표준 5 2 2 2 29 4" xfId="7638"/>
    <cellStyle name="표준 5 2 2 2 29 4 2" xfId="20311"/>
    <cellStyle name="표준 5 2 2 2 29 4 2 2" xfId="45663"/>
    <cellStyle name="표준 5 2 2 2 29 4 3" xfId="32991"/>
    <cellStyle name="표준 5 2 2 2 29 5" xfId="13975"/>
    <cellStyle name="표준 5 2 2 2 29 5 2" xfId="39327"/>
    <cellStyle name="표준 5 2 2 2 29 6" xfId="26655"/>
    <cellStyle name="표준 5 2 2 2 29 7" xfId="53178"/>
    <cellStyle name="표준 5 2 2 2 3" xfId="74"/>
    <cellStyle name="표준 5 2 2 2 3 2" xfId="1303"/>
    <cellStyle name="표준 5 2 2 2 3 2 2" xfId="4425"/>
    <cellStyle name="표준 5 2 2 2 3 2 2 2" xfId="10761"/>
    <cellStyle name="표준 5 2 2 2 3 2 2 2 2" xfId="23434"/>
    <cellStyle name="표준 5 2 2 2 3 2 2 2 2 2" xfId="48786"/>
    <cellStyle name="표준 5 2 2 2 3 2 2 2 3" xfId="36114"/>
    <cellStyle name="표준 5 2 2 2 3 2 2 3" xfId="17098"/>
    <cellStyle name="표준 5 2 2 2 3 2 2 3 2" xfId="42450"/>
    <cellStyle name="표준 5 2 2 2 3 2 2 4" xfId="29778"/>
    <cellStyle name="표준 5 2 2 2 3 2 2 5" xfId="53179"/>
    <cellStyle name="표준 5 2 2 2 3 2 3" xfId="7640"/>
    <cellStyle name="표준 5 2 2 2 3 2 3 2" xfId="20313"/>
    <cellStyle name="표준 5 2 2 2 3 2 3 2 2" xfId="45665"/>
    <cellStyle name="표준 5 2 2 2 3 2 3 3" xfId="32993"/>
    <cellStyle name="표준 5 2 2 2 3 2 4" xfId="13977"/>
    <cellStyle name="표준 5 2 2 2 3 2 4 2" xfId="39329"/>
    <cellStyle name="표준 5 2 2 2 3 2 5" xfId="26657"/>
    <cellStyle name="표준 5 2 2 2 3 2 6" xfId="53180"/>
    <cellStyle name="표준 5 2 2 2 3 3" xfId="4426"/>
    <cellStyle name="표준 5 2 2 2 3 3 2" xfId="10762"/>
    <cellStyle name="표준 5 2 2 2 3 3 2 2" xfId="23435"/>
    <cellStyle name="표준 5 2 2 2 3 3 2 2 2" xfId="48787"/>
    <cellStyle name="표준 5 2 2 2 3 3 2 3" xfId="36115"/>
    <cellStyle name="표준 5 2 2 2 3 3 3" xfId="17099"/>
    <cellStyle name="표준 5 2 2 2 3 3 3 2" xfId="42451"/>
    <cellStyle name="표준 5 2 2 2 3 3 4" xfId="29779"/>
    <cellStyle name="표준 5 2 2 2 3 3 5" xfId="53181"/>
    <cellStyle name="표준 5 2 2 2 3 4" xfId="6412"/>
    <cellStyle name="표준 5 2 2 2 3 4 2" xfId="19085"/>
    <cellStyle name="표준 5 2 2 2 3 4 2 2" xfId="44437"/>
    <cellStyle name="표준 5 2 2 2 3 4 3" xfId="31765"/>
    <cellStyle name="표준 5 2 2 2 3 5" xfId="12749"/>
    <cellStyle name="표준 5 2 2 2 3 5 2" xfId="38101"/>
    <cellStyle name="표준 5 2 2 2 3 6" xfId="25429"/>
    <cellStyle name="표준 5 2 2 2 3 7" xfId="53182"/>
    <cellStyle name="표준 5 2 2 2 30" xfId="1304"/>
    <cellStyle name="표준 5 2 2 2 30 2" xfId="1305"/>
    <cellStyle name="표준 5 2 2 2 30 2 2" xfId="4427"/>
    <cellStyle name="표준 5 2 2 2 30 2 2 2" xfId="10763"/>
    <cellStyle name="표준 5 2 2 2 30 2 2 2 2" xfId="23436"/>
    <cellStyle name="표준 5 2 2 2 30 2 2 2 2 2" xfId="48788"/>
    <cellStyle name="표준 5 2 2 2 30 2 2 2 3" xfId="36116"/>
    <cellStyle name="표준 5 2 2 2 30 2 2 3" xfId="17100"/>
    <cellStyle name="표준 5 2 2 2 30 2 2 3 2" xfId="42452"/>
    <cellStyle name="표준 5 2 2 2 30 2 2 4" xfId="29780"/>
    <cellStyle name="표준 5 2 2 2 30 2 2 5" xfId="53183"/>
    <cellStyle name="표준 5 2 2 2 30 2 3" xfId="7642"/>
    <cellStyle name="표준 5 2 2 2 30 2 3 2" xfId="20315"/>
    <cellStyle name="표준 5 2 2 2 30 2 3 2 2" xfId="45667"/>
    <cellStyle name="표준 5 2 2 2 30 2 3 3" xfId="32995"/>
    <cellStyle name="표준 5 2 2 2 30 2 4" xfId="13979"/>
    <cellStyle name="표준 5 2 2 2 30 2 4 2" xfId="39331"/>
    <cellStyle name="표준 5 2 2 2 30 2 5" xfId="26659"/>
    <cellStyle name="표준 5 2 2 2 30 2 6" xfId="53184"/>
    <cellStyle name="표준 5 2 2 2 30 3" xfId="4428"/>
    <cellStyle name="표준 5 2 2 2 30 3 2" xfId="10764"/>
    <cellStyle name="표준 5 2 2 2 30 3 2 2" xfId="23437"/>
    <cellStyle name="표준 5 2 2 2 30 3 2 2 2" xfId="48789"/>
    <cellStyle name="표준 5 2 2 2 30 3 2 3" xfId="36117"/>
    <cellStyle name="표준 5 2 2 2 30 3 3" xfId="17101"/>
    <cellStyle name="표준 5 2 2 2 30 3 3 2" xfId="42453"/>
    <cellStyle name="표준 5 2 2 2 30 3 4" xfId="29781"/>
    <cellStyle name="표준 5 2 2 2 30 3 5" xfId="53185"/>
    <cellStyle name="표준 5 2 2 2 30 4" xfId="7641"/>
    <cellStyle name="표준 5 2 2 2 30 4 2" xfId="20314"/>
    <cellStyle name="표준 5 2 2 2 30 4 2 2" xfId="45666"/>
    <cellStyle name="표준 5 2 2 2 30 4 3" xfId="32994"/>
    <cellStyle name="표준 5 2 2 2 30 5" xfId="13978"/>
    <cellStyle name="표준 5 2 2 2 30 5 2" xfId="39330"/>
    <cellStyle name="표준 5 2 2 2 30 6" xfId="26658"/>
    <cellStyle name="표준 5 2 2 2 30 7" xfId="53186"/>
    <cellStyle name="표준 5 2 2 2 31" xfId="1306"/>
    <cellStyle name="표준 5 2 2 2 31 2" xfId="1307"/>
    <cellStyle name="표준 5 2 2 2 31 2 2" xfId="4429"/>
    <cellStyle name="표준 5 2 2 2 31 2 2 2" xfId="10765"/>
    <cellStyle name="표준 5 2 2 2 31 2 2 2 2" xfId="23438"/>
    <cellStyle name="표준 5 2 2 2 31 2 2 2 2 2" xfId="48790"/>
    <cellStyle name="표준 5 2 2 2 31 2 2 2 3" xfId="36118"/>
    <cellStyle name="표준 5 2 2 2 31 2 2 3" xfId="17102"/>
    <cellStyle name="표준 5 2 2 2 31 2 2 3 2" xfId="42454"/>
    <cellStyle name="표준 5 2 2 2 31 2 2 4" xfId="29782"/>
    <cellStyle name="표준 5 2 2 2 31 2 2 5" xfId="53187"/>
    <cellStyle name="표준 5 2 2 2 31 2 3" xfId="7644"/>
    <cellStyle name="표준 5 2 2 2 31 2 3 2" xfId="20317"/>
    <cellStyle name="표준 5 2 2 2 31 2 3 2 2" xfId="45669"/>
    <cellStyle name="표준 5 2 2 2 31 2 3 3" xfId="32997"/>
    <cellStyle name="표준 5 2 2 2 31 2 4" xfId="13981"/>
    <cellStyle name="표준 5 2 2 2 31 2 4 2" xfId="39333"/>
    <cellStyle name="표준 5 2 2 2 31 2 5" xfId="26661"/>
    <cellStyle name="표준 5 2 2 2 31 2 6" xfId="53188"/>
    <cellStyle name="표준 5 2 2 2 31 3" xfId="4430"/>
    <cellStyle name="표준 5 2 2 2 31 3 2" xfId="10766"/>
    <cellStyle name="표준 5 2 2 2 31 3 2 2" xfId="23439"/>
    <cellStyle name="표준 5 2 2 2 31 3 2 2 2" xfId="48791"/>
    <cellStyle name="표준 5 2 2 2 31 3 2 3" xfId="36119"/>
    <cellStyle name="표준 5 2 2 2 31 3 3" xfId="17103"/>
    <cellStyle name="표준 5 2 2 2 31 3 3 2" xfId="42455"/>
    <cellStyle name="표준 5 2 2 2 31 3 4" xfId="29783"/>
    <cellStyle name="표준 5 2 2 2 31 3 5" xfId="53189"/>
    <cellStyle name="표준 5 2 2 2 31 4" xfId="7643"/>
    <cellStyle name="표준 5 2 2 2 31 4 2" xfId="20316"/>
    <cellStyle name="표준 5 2 2 2 31 4 2 2" xfId="45668"/>
    <cellStyle name="표준 5 2 2 2 31 4 3" xfId="32996"/>
    <cellStyle name="표준 5 2 2 2 31 5" xfId="13980"/>
    <cellStyle name="표준 5 2 2 2 31 5 2" xfId="39332"/>
    <cellStyle name="표준 5 2 2 2 31 6" xfId="26660"/>
    <cellStyle name="표준 5 2 2 2 31 7" xfId="53190"/>
    <cellStyle name="표준 5 2 2 2 32" xfId="1308"/>
    <cellStyle name="표준 5 2 2 2 32 2" xfId="1309"/>
    <cellStyle name="표준 5 2 2 2 32 2 2" xfId="4431"/>
    <cellStyle name="표준 5 2 2 2 32 2 2 2" xfId="10767"/>
    <cellStyle name="표준 5 2 2 2 32 2 2 2 2" xfId="23440"/>
    <cellStyle name="표준 5 2 2 2 32 2 2 2 2 2" xfId="48792"/>
    <cellStyle name="표준 5 2 2 2 32 2 2 2 3" xfId="36120"/>
    <cellStyle name="표준 5 2 2 2 32 2 2 3" xfId="17104"/>
    <cellStyle name="표준 5 2 2 2 32 2 2 3 2" xfId="42456"/>
    <cellStyle name="표준 5 2 2 2 32 2 2 4" xfId="29784"/>
    <cellStyle name="표준 5 2 2 2 32 2 2 5" xfId="53191"/>
    <cellStyle name="표준 5 2 2 2 32 2 3" xfId="7646"/>
    <cellStyle name="표준 5 2 2 2 32 2 3 2" xfId="20319"/>
    <cellStyle name="표준 5 2 2 2 32 2 3 2 2" xfId="45671"/>
    <cellStyle name="표준 5 2 2 2 32 2 3 3" xfId="32999"/>
    <cellStyle name="표준 5 2 2 2 32 2 4" xfId="13983"/>
    <cellStyle name="표준 5 2 2 2 32 2 4 2" xfId="39335"/>
    <cellStyle name="표준 5 2 2 2 32 2 5" xfId="26663"/>
    <cellStyle name="표준 5 2 2 2 32 2 6" xfId="53192"/>
    <cellStyle name="표준 5 2 2 2 32 3" xfId="4432"/>
    <cellStyle name="표준 5 2 2 2 32 3 2" xfId="10768"/>
    <cellStyle name="표준 5 2 2 2 32 3 2 2" xfId="23441"/>
    <cellStyle name="표준 5 2 2 2 32 3 2 2 2" xfId="48793"/>
    <cellStyle name="표준 5 2 2 2 32 3 2 3" xfId="36121"/>
    <cellStyle name="표준 5 2 2 2 32 3 3" xfId="17105"/>
    <cellStyle name="표준 5 2 2 2 32 3 3 2" xfId="42457"/>
    <cellStyle name="표준 5 2 2 2 32 3 4" xfId="29785"/>
    <cellStyle name="표준 5 2 2 2 32 3 5" xfId="53193"/>
    <cellStyle name="표준 5 2 2 2 32 4" xfId="7645"/>
    <cellStyle name="표준 5 2 2 2 32 4 2" xfId="20318"/>
    <cellStyle name="표준 5 2 2 2 32 4 2 2" xfId="45670"/>
    <cellStyle name="표준 5 2 2 2 32 4 3" xfId="32998"/>
    <cellStyle name="표준 5 2 2 2 32 5" xfId="13982"/>
    <cellStyle name="표준 5 2 2 2 32 5 2" xfId="39334"/>
    <cellStyle name="표준 5 2 2 2 32 6" xfId="26662"/>
    <cellStyle name="표준 5 2 2 2 32 7" xfId="53194"/>
    <cellStyle name="표준 5 2 2 2 33" xfId="1310"/>
    <cellStyle name="표준 5 2 2 2 33 2" xfId="1311"/>
    <cellStyle name="표준 5 2 2 2 33 2 2" xfId="4433"/>
    <cellStyle name="표준 5 2 2 2 33 2 2 2" xfId="10769"/>
    <cellStyle name="표준 5 2 2 2 33 2 2 2 2" xfId="23442"/>
    <cellStyle name="표준 5 2 2 2 33 2 2 2 2 2" xfId="48794"/>
    <cellStyle name="표준 5 2 2 2 33 2 2 2 3" xfId="36122"/>
    <cellStyle name="표준 5 2 2 2 33 2 2 3" xfId="17106"/>
    <cellStyle name="표준 5 2 2 2 33 2 2 3 2" xfId="42458"/>
    <cellStyle name="표준 5 2 2 2 33 2 2 4" xfId="29786"/>
    <cellStyle name="표준 5 2 2 2 33 2 2 5" xfId="53195"/>
    <cellStyle name="표준 5 2 2 2 33 2 3" xfId="7648"/>
    <cellStyle name="표준 5 2 2 2 33 2 3 2" xfId="20321"/>
    <cellStyle name="표준 5 2 2 2 33 2 3 2 2" xfId="45673"/>
    <cellStyle name="표준 5 2 2 2 33 2 3 3" xfId="33001"/>
    <cellStyle name="표준 5 2 2 2 33 2 4" xfId="13985"/>
    <cellStyle name="표준 5 2 2 2 33 2 4 2" xfId="39337"/>
    <cellStyle name="표준 5 2 2 2 33 2 5" xfId="26665"/>
    <cellStyle name="표준 5 2 2 2 33 2 6" xfId="53196"/>
    <cellStyle name="표준 5 2 2 2 33 3" xfId="4434"/>
    <cellStyle name="표준 5 2 2 2 33 3 2" xfId="10770"/>
    <cellStyle name="표준 5 2 2 2 33 3 2 2" xfId="23443"/>
    <cellStyle name="표준 5 2 2 2 33 3 2 2 2" xfId="48795"/>
    <cellStyle name="표준 5 2 2 2 33 3 2 3" xfId="36123"/>
    <cellStyle name="표준 5 2 2 2 33 3 3" xfId="17107"/>
    <cellStyle name="표준 5 2 2 2 33 3 3 2" xfId="42459"/>
    <cellStyle name="표준 5 2 2 2 33 3 4" xfId="29787"/>
    <cellStyle name="표준 5 2 2 2 33 3 5" xfId="53197"/>
    <cellStyle name="표준 5 2 2 2 33 4" xfId="7647"/>
    <cellStyle name="표준 5 2 2 2 33 4 2" xfId="20320"/>
    <cellStyle name="표준 5 2 2 2 33 4 2 2" xfId="45672"/>
    <cellStyle name="표준 5 2 2 2 33 4 3" xfId="33000"/>
    <cellStyle name="표준 5 2 2 2 33 5" xfId="13984"/>
    <cellStyle name="표준 5 2 2 2 33 5 2" xfId="39336"/>
    <cellStyle name="표준 5 2 2 2 33 6" xfId="26664"/>
    <cellStyle name="표준 5 2 2 2 33 7" xfId="53198"/>
    <cellStyle name="표준 5 2 2 2 34" xfId="1312"/>
    <cellStyle name="표준 5 2 2 2 34 2" xfId="1313"/>
    <cellStyle name="표준 5 2 2 2 34 2 2" xfId="4435"/>
    <cellStyle name="표준 5 2 2 2 34 2 2 2" xfId="10771"/>
    <cellStyle name="표준 5 2 2 2 34 2 2 2 2" xfId="23444"/>
    <cellStyle name="표준 5 2 2 2 34 2 2 2 2 2" xfId="48796"/>
    <cellStyle name="표준 5 2 2 2 34 2 2 2 3" xfId="36124"/>
    <cellStyle name="표준 5 2 2 2 34 2 2 3" xfId="17108"/>
    <cellStyle name="표준 5 2 2 2 34 2 2 3 2" xfId="42460"/>
    <cellStyle name="표준 5 2 2 2 34 2 2 4" xfId="29788"/>
    <cellStyle name="표준 5 2 2 2 34 2 2 5" xfId="53199"/>
    <cellStyle name="표준 5 2 2 2 34 2 3" xfId="7650"/>
    <cellStyle name="표준 5 2 2 2 34 2 3 2" xfId="20323"/>
    <cellStyle name="표준 5 2 2 2 34 2 3 2 2" xfId="45675"/>
    <cellStyle name="표준 5 2 2 2 34 2 3 3" xfId="33003"/>
    <cellStyle name="표준 5 2 2 2 34 2 4" xfId="13987"/>
    <cellStyle name="표준 5 2 2 2 34 2 4 2" xfId="39339"/>
    <cellStyle name="표준 5 2 2 2 34 2 5" xfId="26667"/>
    <cellStyle name="표준 5 2 2 2 34 2 6" xfId="53200"/>
    <cellStyle name="표준 5 2 2 2 34 3" xfId="4436"/>
    <cellStyle name="표준 5 2 2 2 34 3 2" xfId="10772"/>
    <cellStyle name="표준 5 2 2 2 34 3 2 2" xfId="23445"/>
    <cellStyle name="표준 5 2 2 2 34 3 2 2 2" xfId="48797"/>
    <cellStyle name="표준 5 2 2 2 34 3 2 3" xfId="36125"/>
    <cellStyle name="표준 5 2 2 2 34 3 3" xfId="17109"/>
    <cellStyle name="표준 5 2 2 2 34 3 3 2" xfId="42461"/>
    <cellStyle name="표준 5 2 2 2 34 3 4" xfId="29789"/>
    <cellStyle name="표준 5 2 2 2 34 3 5" xfId="53201"/>
    <cellStyle name="표준 5 2 2 2 34 4" xfId="7649"/>
    <cellStyle name="표준 5 2 2 2 34 4 2" xfId="20322"/>
    <cellStyle name="표준 5 2 2 2 34 4 2 2" xfId="45674"/>
    <cellStyle name="표준 5 2 2 2 34 4 3" xfId="33002"/>
    <cellStyle name="표준 5 2 2 2 34 5" xfId="13986"/>
    <cellStyle name="표준 5 2 2 2 34 5 2" xfId="39338"/>
    <cellStyle name="표준 5 2 2 2 34 6" xfId="26666"/>
    <cellStyle name="표준 5 2 2 2 34 7" xfId="53202"/>
    <cellStyle name="표준 5 2 2 2 35" xfId="1314"/>
    <cellStyle name="표준 5 2 2 2 35 2" xfId="4437"/>
    <cellStyle name="표준 5 2 2 2 35 2 2" xfId="10773"/>
    <cellStyle name="표준 5 2 2 2 35 2 2 2" xfId="23446"/>
    <cellStyle name="표준 5 2 2 2 35 2 2 2 2" xfId="48798"/>
    <cellStyle name="표준 5 2 2 2 35 2 2 3" xfId="36126"/>
    <cellStyle name="표준 5 2 2 2 35 2 3" xfId="17110"/>
    <cellStyle name="표준 5 2 2 2 35 2 3 2" xfId="42462"/>
    <cellStyle name="표준 5 2 2 2 35 2 4" xfId="29790"/>
    <cellStyle name="표준 5 2 2 2 35 2 5" xfId="53203"/>
    <cellStyle name="표준 5 2 2 2 35 3" xfId="7651"/>
    <cellStyle name="표준 5 2 2 2 35 3 2" xfId="20324"/>
    <cellStyle name="표준 5 2 2 2 35 3 2 2" xfId="45676"/>
    <cellStyle name="표준 5 2 2 2 35 3 3" xfId="33004"/>
    <cellStyle name="표준 5 2 2 2 35 4" xfId="13988"/>
    <cellStyle name="표준 5 2 2 2 35 4 2" xfId="39340"/>
    <cellStyle name="표준 5 2 2 2 35 5" xfId="26668"/>
    <cellStyle name="표준 5 2 2 2 35 6" xfId="53204"/>
    <cellStyle name="표준 5 2 2 2 36" xfId="4438"/>
    <cellStyle name="표준 5 2 2 2 36 2" xfId="10774"/>
    <cellStyle name="표준 5 2 2 2 36 2 2" xfId="23447"/>
    <cellStyle name="표준 5 2 2 2 36 2 2 2" xfId="48799"/>
    <cellStyle name="표준 5 2 2 2 36 2 3" xfId="36127"/>
    <cellStyle name="표준 5 2 2 2 36 3" xfId="17111"/>
    <cellStyle name="표준 5 2 2 2 36 3 2" xfId="42463"/>
    <cellStyle name="표준 5 2 2 2 36 4" xfId="29791"/>
    <cellStyle name="표준 5 2 2 2 36 5" xfId="53205"/>
    <cellStyle name="표준 5 2 2 2 37" xfId="6393"/>
    <cellStyle name="표준 5 2 2 2 37 2" xfId="19066"/>
    <cellStyle name="표준 5 2 2 2 37 2 2" xfId="44418"/>
    <cellStyle name="표준 5 2 2 2 37 3" xfId="31746"/>
    <cellStyle name="표준 5 2 2 2 38" xfId="12730"/>
    <cellStyle name="표준 5 2 2 2 38 2" xfId="38082"/>
    <cellStyle name="표준 5 2 2 2 39" xfId="25410"/>
    <cellStyle name="표준 5 2 2 2 4" xfId="1315"/>
    <cellStyle name="표준 5 2 2 2 4 2" xfId="1316"/>
    <cellStyle name="표준 5 2 2 2 4 2 2" xfId="4439"/>
    <cellStyle name="표준 5 2 2 2 4 2 2 2" xfId="10775"/>
    <cellStyle name="표준 5 2 2 2 4 2 2 2 2" xfId="23448"/>
    <cellStyle name="표준 5 2 2 2 4 2 2 2 2 2" xfId="48800"/>
    <cellStyle name="표준 5 2 2 2 4 2 2 2 3" xfId="36128"/>
    <cellStyle name="표준 5 2 2 2 4 2 2 3" xfId="17112"/>
    <cellStyle name="표준 5 2 2 2 4 2 2 3 2" xfId="42464"/>
    <cellStyle name="표준 5 2 2 2 4 2 2 4" xfId="29792"/>
    <cellStyle name="표준 5 2 2 2 4 2 2 5" xfId="53206"/>
    <cellStyle name="표준 5 2 2 2 4 2 3" xfId="7653"/>
    <cellStyle name="표준 5 2 2 2 4 2 3 2" xfId="20326"/>
    <cellStyle name="표준 5 2 2 2 4 2 3 2 2" xfId="45678"/>
    <cellStyle name="표준 5 2 2 2 4 2 3 3" xfId="33006"/>
    <cellStyle name="표준 5 2 2 2 4 2 4" xfId="13990"/>
    <cellStyle name="표준 5 2 2 2 4 2 4 2" xfId="39342"/>
    <cellStyle name="표준 5 2 2 2 4 2 5" xfId="26670"/>
    <cellStyle name="표준 5 2 2 2 4 2 6" xfId="53207"/>
    <cellStyle name="표준 5 2 2 2 4 3" xfId="4440"/>
    <cellStyle name="표준 5 2 2 2 4 3 2" xfId="10776"/>
    <cellStyle name="표준 5 2 2 2 4 3 2 2" xfId="23449"/>
    <cellStyle name="표준 5 2 2 2 4 3 2 2 2" xfId="48801"/>
    <cellStyle name="표준 5 2 2 2 4 3 2 3" xfId="36129"/>
    <cellStyle name="표준 5 2 2 2 4 3 3" xfId="17113"/>
    <cellStyle name="표준 5 2 2 2 4 3 3 2" xfId="42465"/>
    <cellStyle name="표준 5 2 2 2 4 3 4" xfId="29793"/>
    <cellStyle name="표준 5 2 2 2 4 3 5" xfId="53208"/>
    <cellStyle name="표준 5 2 2 2 4 4" xfId="7652"/>
    <cellStyle name="표준 5 2 2 2 4 4 2" xfId="20325"/>
    <cellStyle name="표준 5 2 2 2 4 4 2 2" xfId="45677"/>
    <cellStyle name="표준 5 2 2 2 4 4 3" xfId="33005"/>
    <cellStyle name="표준 5 2 2 2 4 5" xfId="13989"/>
    <cellStyle name="표준 5 2 2 2 4 5 2" xfId="39341"/>
    <cellStyle name="표준 5 2 2 2 4 6" xfId="26669"/>
    <cellStyle name="표준 5 2 2 2 4 7" xfId="53209"/>
    <cellStyle name="표준 5 2 2 2 40" xfId="53210"/>
    <cellStyle name="표준 5 2 2 2 5" xfId="1317"/>
    <cellStyle name="표준 5 2 2 2 5 2" xfId="1318"/>
    <cellStyle name="표준 5 2 2 2 5 2 2" xfId="4441"/>
    <cellStyle name="표준 5 2 2 2 5 2 2 2" xfId="10777"/>
    <cellStyle name="표준 5 2 2 2 5 2 2 2 2" xfId="23450"/>
    <cellStyle name="표준 5 2 2 2 5 2 2 2 2 2" xfId="48802"/>
    <cellStyle name="표준 5 2 2 2 5 2 2 2 3" xfId="36130"/>
    <cellStyle name="표준 5 2 2 2 5 2 2 3" xfId="17114"/>
    <cellStyle name="표준 5 2 2 2 5 2 2 3 2" xfId="42466"/>
    <cellStyle name="표준 5 2 2 2 5 2 2 4" xfId="29794"/>
    <cellStyle name="표준 5 2 2 2 5 2 2 5" xfId="53211"/>
    <cellStyle name="표준 5 2 2 2 5 2 3" xfId="7655"/>
    <cellStyle name="표준 5 2 2 2 5 2 3 2" xfId="20328"/>
    <cellStyle name="표준 5 2 2 2 5 2 3 2 2" xfId="45680"/>
    <cellStyle name="표준 5 2 2 2 5 2 3 3" xfId="33008"/>
    <cellStyle name="표준 5 2 2 2 5 2 4" xfId="13992"/>
    <cellStyle name="표준 5 2 2 2 5 2 4 2" xfId="39344"/>
    <cellStyle name="표준 5 2 2 2 5 2 5" xfId="26672"/>
    <cellStyle name="표준 5 2 2 2 5 2 6" xfId="53212"/>
    <cellStyle name="표준 5 2 2 2 5 3" xfId="4442"/>
    <cellStyle name="표준 5 2 2 2 5 3 2" xfId="10778"/>
    <cellStyle name="표준 5 2 2 2 5 3 2 2" xfId="23451"/>
    <cellStyle name="표준 5 2 2 2 5 3 2 2 2" xfId="48803"/>
    <cellStyle name="표준 5 2 2 2 5 3 2 3" xfId="36131"/>
    <cellStyle name="표준 5 2 2 2 5 3 3" xfId="17115"/>
    <cellStyle name="표준 5 2 2 2 5 3 3 2" xfId="42467"/>
    <cellStyle name="표준 5 2 2 2 5 3 4" xfId="29795"/>
    <cellStyle name="표준 5 2 2 2 5 3 5" xfId="53213"/>
    <cellStyle name="표준 5 2 2 2 5 4" xfId="7654"/>
    <cellStyle name="표준 5 2 2 2 5 4 2" xfId="20327"/>
    <cellStyle name="표준 5 2 2 2 5 4 2 2" xfId="45679"/>
    <cellStyle name="표준 5 2 2 2 5 4 3" xfId="33007"/>
    <cellStyle name="표준 5 2 2 2 5 5" xfId="13991"/>
    <cellStyle name="표준 5 2 2 2 5 5 2" xfId="39343"/>
    <cellStyle name="표준 5 2 2 2 5 6" xfId="26671"/>
    <cellStyle name="표준 5 2 2 2 5 7" xfId="53214"/>
    <cellStyle name="표준 5 2 2 2 6" xfId="1319"/>
    <cellStyle name="표준 5 2 2 2 6 2" xfId="1320"/>
    <cellStyle name="표준 5 2 2 2 6 2 2" xfId="4443"/>
    <cellStyle name="표준 5 2 2 2 6 2 2 2" xfId="10779"/>
    <cellStyle name="표준 5 2 2 2 6 2 2 2 2" xfId="23452"/>
    <cellStyle name="표준 5 2 2 2 6 2 2 2 2 2" xfId="48804"/>
    <cellStyle name="표준 5 2 2 2 6 2 2 2 3" xfId="36132"/>
    <cellStyle name="표준 5 2 2 2 6 2 2 3" xfId="17116"/>
    <cellStyle name="표준 5 2 2 2 6 2 2 3 2" xfId="42468"/>
    <cellStyle name="표준 5 2 2 2 6 2 2 4" xfId="29796"/>
    <cellStyle name="표준 5 2 2 2 6 2 2 5" xfId="53215"/>
    <cellStyle name="표준 5 2 2 2 6 2 3" xfId="7657"/>
    <cellStyle name="표준 5 2 2 2 6 2 3 2" xfId="20330"/>
    <cellStyle name="표준 5 2 2 2 6 2 3 2 2" xfId="45682"/>
    <cellStyle name="표준 5 2 2 2 6 2 3 3" xfId="33010"/>
    <cellStyle name="표준 5 2 2 2 6 2 4" xfId="13994"/>
    <cellStyle name="표준 5 2 2 2 6 2 4 2" xfId="39346"/>
    <cellStyle name="표준 5 2 2 2 6 2 5" xfId="26674"/>
    <cellStyle name="표준 5 2 2 2 6 2 6" xfId="53216"/>
    <cellStyle name="표준 5 2 2 2 6 3" xfId="4444"/>
    <cellStyle name="표준 5 2 2 2 6 3 2" xfId="10780"/>
    <cellStyle name="표준 5 2 2 2 6 3 2 2" xfId="23453"/>
    <cellStyle name="표준 5 2 2 2 6 3 2 2 2" xfId="48805"/>
    <cellStyle name="표준 5 2 2 2 6 3 2 3" xfId="36133"/>
    <cellStyle name="표준 5 2 2 2 6 3 3" xfId="17117"/>
    <cellStyle name="표준 5 2 2 2 6 3 3 2" xfId="42469"/>
    <cellStyle name="표준 5 2 2 2 6 3 4" xfId="29797"/>
    <cellStyle name="표준 5 2 2 2 6 3 5" xfId="53217"/>
    <cellStyle name="표준 5 2 2 2 6 4" xfId="7656"/>
    <cellStyle name="표준 5 2 2 2 6 4 2" xfId="20329"/>
    <cellStyle name="표준 5 2 2 2 6 4 2 2" xfId="45681"/>
    <cellStyle name="표준 5 2 2 2 6 4 3" xfId="33009"/>
    <cellStyle name="표준 5 2 2 2 6 5" xfId="13993"/>
    <cellStyle name="표준 5 2 2 2 6 5 2" xfId="39345"/>
    <cellStyle name="표준 5 2 2 2 6 6" xfId="26673"/>
    <cellStyle name="표준 5 2 2 2 6 7" xfId="53218"/>
    <cellStyle name="표준 5 2 2 2 7" xfId="1321"/>
    <cellStyle name="표준 5 2 2 2 7 2" xfId="1322"/>
    <cellStyle name="표준 5 2 2 2 7 2 2" xfId="4445"/>
    <cellStyle name="표준 5 2 2 2 7 2 2 2" xfId="10781"/>
    <cellStyle name="표준 5 2 2 2 7 2 2 2 2" xfId="23454"/>
    <cellStyle name="표준 5 2 2 2 7 2 2 2 2 2" xfId="48806"/>
    <cellStyle name="표준 5 2 2 2 7 2 2 2 3" xfId="36134"/>
    <cellStyle name="표준 5 2 2 2 7 2 2 3" xfId="17118"/>
    <cellStyle name="표준 5 2 2 2 7 2 2 3 2" xfId="42470"/>
    <cellStyle name="표준 5 2 2 2 7 2 2 4" xfId="29798"/>
    <cellStyle name="표준 5 2 2 2 7 2 2 5" xfId="53219"/>
    <cellStyle name="표준 5 2 2 2 7 2 3" xfId="7659"/>
    <cellStyle name="표준 5 2 2 2 7 2 3 2" xfId="20332"/>
    <cellStyle name="표준 5 2 2 2 7 2 3 2 2" xfId="45684"/>
    <cellStyle name="표준 5 2 2 2 7 2 3 3" xfId="33012"/>
    <cellStyle name="표준 5 2 2 2 7 2 4" xfId="13996"/>
    <cellStyle name="표준 5 2 2 2 7 2 4 2" xfId="39348"/>
    <cellStyle name="표준 5 2 2 2 7 2 5" xfId="26676"/>
    <cellStyle name="표준 5 2 2 2 7 2 6" xfId="53220"/>
    <cellStyle name="표준 5 2 2 2 7 3" xfId="4446"/>
    <cellStyle name="표준 5 2 2 2 7 3 2" xfId="10782"/>
    <cellStyle name="표준 5 2 2 2 7 3 2 2" xfId="23455"/>
    <cellStyle name="표준 5 2 2 2 7 3 2 2 2" xfId="48807"/>
    <cellStyle name="표준 5 2 2 2 7 3 2 3" xfId="36135"/>
    <cellStyle name="표준 5 2 2 2 7 3 3" xfId="17119"/>
    <cellStyle name="표준 5 2 2 2 7 3 3 2" xfId="42471"/>
    <cellStyle name="표준 5 2 2 2 7 3 4" xfId="29799"/>
    <cellStyle name="표준 5 2 2 2 7 3 5" xfId="53221"/>
    <cellStyle name="표준 5 2 2 2 7 4" xfId="7658"/>
    <cellStyle name="표준 5 2 2 2 7 4 2" xfId="20331"/>
    <cellStyle name="표준 5 2 2 2 7 4 2 2" xfId="45683"/>
    <cellStyle name="표준 5 2 2 2 7 4 3" xfId="33011"/>
    <cellStyle name="표준 5 2 2 2 7 5" xfId="13995"/>
    <cellStyle name="표준 5 2 2 2 7 5 2" xfId="39347"/>
    <cellStyle name="표준 5 2 2 2 7 6" xfId="26675"/>
    <cellStyle name="표준 5 2 2 2 7 7" xfId="53222"/>
    <cellStyle name="표준 5 2 2 2 8" xfId="1323"/>
    <cellStyle name="표준 5 2 2 2 8 2" xfId="1324"/>
    <cellStyle name="표준 5 2 2 2 8 2 2" xfId="4447"/>
    <cellStyle name="표준 5 2 2 2 8 2 2 2" xfId="10783"/>
    <cellStyle name="표준 5 2 2 2 8 2 2 2 2" xfId="23456"/>
    <cellStyle name="표준 5 2 2 2 8 2 2 2 2 2" xfId="48808"/>
    <cellStyle name="표준 5 2 2 2 8 2 2 2 3" xfId="36136"/>
    <cellStyle name="표준 5 2 2 2 8 2 2 3" xfId="17120"/>
    <cellStyle name="표준 5 2 2 2 8 2 2 3 2" xfId="42472"/>
    <cellStyle name="표준 5 2 2 2 8 2 2 4" xfId="29800"/>
    <cellStyle name="표준 5 2 2 2 8 2 2 5" xfId="53223"/>
    <cellStyle name="표준 5 2 2 2 8 2 3" xfId="7661"/>
    <cellStyle name="표준 5 2 2 2 8 2 3 2" xfId="20334"/>
    <cellStyle name="표준 5 2 2 2 8 2 3 2 2" xfId="45686"/>
    <cellStyle name="표준 5 2 2 2 8 2 3 3" xfId="33014"/>
    <cellStyle name="표준 5 2 2 2 8 2 4" xfId="13998"/>
    <cellStyle name="표준 5 2 2 2 8 2 4 2" xfId="39350"/>
    <cellStyle name="표준 5 2 2 2 8 2 5" xfId="26678"/>
    <cellStyle name="표준 5 2 2 2 8 2 6" xfId="53224"/>
    <cellStyle name="표준 5 2 2 2 8 3" xfId="4448"/>
    <cellStyle name="표준 5 2 2 2 8 3 2" xfId="10784"/>
    <cellStyle name="표준 5 2 2 2 8 3 2 2" xfId="23457"/>
    <cellStyle name="표준 5 2 2 2 8 3 2 2 2" xfId="48809"/>
    <cellStyle name="표준 5 2 2 2 8 3 2 3" xfId="36137"/>
    <cellStyle name="표준 5 2 2 2 8 3 3" xfId="17121"/>
    <cellStyle name="표준 5 2 2 2 8 3 3 2" xfId="42473"/>
    <cellStyle name="표준 5 2 2 2 8 3 4" xfId="29801"/>
    <cellStyle name="표준 5 2 2 2 8 3 5" xfId="53225"/>
    <cellStyle name="표준 5 2 2 2 8 4" xfId="7660"/>
    <cellStyle name="표준 5 2 2 2 8 4 2" xfId="20333"/>
    <cellStyle name="표준 5 2 2 2 8 4 2 2" xfId="45685"/>
    <cellStyle name="표준 5 2 2 2 8 4 3" xfId="33013"/>
    <cellStyle name="표준 5 2 2 2 8 5" xfId="13997"/>
    <cellStyle name="표준 5 2 2 2 8 5 2" xfId="39349"/>
    <cellStyle name="표준 5 2 2 2 8 6" xfId="26677"/>
    <cellStyle name="표준 5 2 2 2 8 7" xfId="53226"/>
    <cellStyle name="표준 5 2 2 2 9" xfId="1325"/>
    <cellStyle name="표준 5 2 2 2 9 2" xfId="1326"/>
    <cellStyle name="표준 5 2 2 2 9 2 2" xfId="4449"/>
    <cellStyle name="표준 5 2 2 2 9 2 2 2" xfId="10785"/>
    <cellStyle name="표준 5 2 2 2 9 2 2 2 2" xfId="23458"/>
    <cellStyle name="표준 5 2 2 2 9 2 2 2 2 2" xfId="48810"/>
    <cellStyle name="표준 5 2 2 2 9 2 2 2 3" xfId="36138"/>
    <cellStyle name="표준 5 2 2 2 9 2 2 3" xfId="17122"/>
    <cellStyle name="표준 5 2 2 2 9 2 2 3 2" xfId="42474"/>
    <cellStyle name="표준 5 2 2 2 9 2 2 4" xfId="29802"/>
    <cellStyle name="표준 5 2 2 2 9 2 2 5" xfId="53227"/>
    <cellStyle name="표준 5 2 2 2 9 2 3" xfId="7663"/>
    <cellStyle name="표준 5 2 2 2 9 2 3 2" xfId="20336"/>
    <cellStyle name="표준 5 2 2 2 9 2 3 2 2" xfId="45688"/>
    <cellStyle name="표준 5 2 2 2 9 2 3 3" xfId="33016"/>
    <cellStyle name="표준 5 2 2 2 9 2 4" xfId="14000"/>
    <cellStyle name="표준 5 2 2 2 9 2 4 2" xfId="39352"/>
    <cellStyle name="표준 5 2 2 2 9 2 5" xfId="26680"/>
    <cellStyle name="표준 5 2 2 2 9 2 6" xfId="53228"/>
    <cellStyle name="표준 5 2 2 2 9 3" xfId="4450"/>
    <cellStyle name="표준 5 2 2 2 9 3 2" xfId="10786"/>
    <cellStyle name="표준 5 2 2 2 9 3 2 2" xfId="23459"/>
    <cellStyle name="표준 5 2 2 2 9 3 2 2 2" xfId="48811"/>
    <cellStyle name="표준 5 2 2 2 9 3 2 3" xfId="36139"/>
    <cellStyle name="표준 5 2 2 2 9 3 3" xfId="17123"/>
    <cellStyle name="표준 5 2 2 2 9 3 3 2" xfId="42475"/>
    <cellStyle name="표준 5 2 2 2 9 3 4" xfId="29803"/>
    <cellStyle name="표준 5 2 2 2 9 3 5" xfId="53229"/>
    <cellStyle name="표준 5 2 2 2 9 4" xfId="7662"/>
    <cellStyle name="표준 5 2 2 2 9 4 2" xfId="20335"/>
    <cellStyle name="표준 5 2 2 2 9 4 2 2" xfId="45687"/>
    <cellStyle name="표준 5 2 2 2 9 4 3" xfId="33015"/>
    <cellStyle name="표준 5 2 2 2 9 5" xfId="13999"/>
    <cellStyle name="표준 5 2 2 2 9 5 2" xfId="39351"/>
    <cellStyle name="표준 5 2 2 2 9 6" xfId="26679"/>
    <cellStyle name="표준 5 2 2 2 9 7" xfId="53230"/>
    <cellStyle name="표준 5 2 2 20" xfId="1327"/>
    <cellStyle name="표준 5 2 2 20 2" xfId="1328"/>
    <cellStyle name="표준 5 2 2 20 2 2" xfId="4451"/>
    <cellStyle name="표준 5 2 2 20 2 2 2" xfId="10787"/>
    <cellStyle name="표준 5 2 2 20 2 2 2 2" xfId="23460"/>
    <cellStyle name="표준 5 2 2 20 2 2 2 2 2" xfId="48812"/>
    <cellStyle name="표준 5 2 2 20 2 2 2 3" xfId="36140"/>
    <cellStyle name="표준 5 2 2 20 2 2 3" xfId="17124"/>
    <cellStyle name="표준 5 2 2 20 2 2 3 2" xfId="42476"/>
    <cellStyle name="표준 5 2 2 20 2 2 4" xfId="29804"/>
    <cellStyle name="표준 5 2 2 20 2 2 5" xfId="53231"/>
    <cellStyle name="표준 5 2 2 20 2 3" xfId="7665"/>
    <cellStyle name="표준 5 2 2 20 2 3 2" xfId="20338"/>
    <cellStyle name="표준 5 2 2 20 2 3 2 2" xfId="45690"/>
    <cellStyle name="표준 5 2 2 20 2 3 3" xfId="33018"/>
    <cellStyle name="표준 5 2 2 20 2 4" xfId="14002"/>
    <cellStyle name="표준 5 2 2 20 2 4 2" xfId="39354"/>
    <cellStyle name="표준 5 2 2 20 2 5" xfId="26682"/>
    <cellStyle name="표준 5 2 2 20 2 6" xfId="53232"/>
    <cellStyle name="표준 5 2 2 20 3" xfId="4452"/>
    <cellStyle name="표준 5 2 2 20 3 2" xfId="10788"/>
    <cellStyle name="표준 5 2 2 20 3 2 2" xfId="23461"/>
    <cellStyle name="표준 5 2 2 20 3 2 2 2" xfId="48813"/>
    <cellStyle name="표준 5 2 2 20 3 2 3" xfId="36141"/>
    <cellStyle name="표준 5 2 2 20 3 3" xfId="17125"/>
    <cellStyle name="표준 5 2 2 20 3 3 2" xfId="42477"/>
    <cellStyle name="표준 5 2 2 20 3 4" xfId="29805"/>
    <cellStyle name="표준 5 2 2 20 3 5" xfId="53233"/>
    <cellStyle name="표준 5 2 2 20 4" xfId="7664"/>
    <cellStyle name="표준 5 2 2 20 4 2" xfId="20337"/>
    <cellStyle name="표준 5 2 2 20 4 2 2" xfId="45689"/>
    <cellStyle name="표준 5 2 2 20 4 3" xfId="33017"/>
    <cellStyle name="표준 5 2 2 20 5" xfId="14001"/>
    <cellStyle name="표준 5 2 2 20 5 2" xfId="39353"/>
    <cellStyle name="표준 5 2 2 20 6" xfId="26681"/>
    <cellStyle name="표준 5 2 2 20 7" xfId="53234"/>
    <cellStyle name="표준 5 2 2 21" xfId="1329"/>
    <cellStyle name="표준 5 2 2 21 2" xfId="1330"/>
    <cellStyle name="표준 5 2 2 21 2 2" xfId="4453"/>
    <cellStyle name="표준 5 2 2 21 2 2 2" xfId="10789"/>
    <cellStyle name="표준 5 2 2 21 2 2 2 2" xfId="23462"/>
    <cellStyle name="표준 5 2 2 21 2 2 2 2 2" xfId="48814"/>
    <cellStyle name="표준 5 2 2 21 2 2 2 3" xfId="36142"/>
    <cellStyle name="표준 5 2 2 21 2 2 3" xfId="17126"/>
    <cellStyle name="표준 5 2 2 21 2 2 3 2" xfId="42478"/>
    <cellStyle name="표준 5 2 2 21 2 2 4" xfId="29806"/>
    <cellStyle name="표준 5 2 2 21 2 2 5" xfId="53235"/>
    <cellStyle name="표준 5 2 2 21 2 3" xfId="7667"/>
    <cellStyle name="표준 5 2 2 21 2 3 2" xfId="20340"/>
    <cellStyle name="표준 5 2 2 21 2 3 2 2" xfId="45692"/>
    <cellStyle name="표준 5 2 2 21 2 3 3" xfId="33020"/>
    <cellStyle name="표준 5 2 2 21 2 4" xfId="14004"/>
    <cellStyle name="표준 5 2 2 21 2 4 2" xfId="39356"/>
    <cellStyle name="표준 5 2 2 21 2 5" xfId="26684"/>
    <cellStyle name="표준 5 2 2 21 2 6" xfId="53236"/>
    <cellStyle name="표준 5 2 2 21 3" xfId="4454"/>
    <cellStyle name="표준 5 2 2 21 3 2" xfId="10790"/>
    <cellStyle name="표준 5 2 2 21 3 2 2" xfId="23463"/>
    <cellStyle name="표준 5 2 2 21 3 2 2 2" xfId="48815"/>
    <cellStyle name="표준 5 2 2 21 3 2 3" xfId="36143"/>
    <cellStyle name="표준 5 2 2 21 3 3" xfId="17127"/>
    <cellStyle name="표준 5 2 2 21 3 3 2" xfId="42479"/>
    <cellStyle name="표준 5 2 2 21 3 4" xfId="29807"/>
    <cellStyle name="표준 5 2 2 21 3 5" xfId="53237"/>
    <cellStyle name="표준 5 2 2 21 4" xfId="7666"/>
    <cellStyle name="표준 5 2 2 21 4 2" xfId="20339"/>
    <cellStyle name="표준 5 2 2 21 4 2 2" xfId="45691"/>
    <cellStyle name="표준 5 2 2 21 4 3" xfId="33019"/>
    <cellStyle name="표준 5 2 2 21 5" xfId="14003"/>
    <cellStyle name="표준 5 2 2 21 5 2" xfId="39355"/>
    <cellStyle name="표준 5 2 2 21 6" xfId="26683"/>
    <cellStyle name="표준 5 2 2 21 7" xfId="53238"/>
    <cellStyle name="표준 5 2 2 22" xfId="1331"/>
    <cellStyle name="표준 5 2 2 22 2" xfId="1332"/>
    <cellStyle name="표준 5 2 2 22 2 2" xfId="4455"/>
    <cellStyle name="표준 5 2 2 22 2 2 2" xfId="10791"/>
    <cellStyle name="표준 5 2 2 22 2 2 2 2" xfId="23464"/>
    <cellStyle name="표준 5 2 2 22 2 2 2 2 2" xfId="48816"/>
    <cellStyle name="표준 5 2 2 22 2 2 2 3" xfId="36144"/>
    <cellStyle name="표준 5 2 2 22 2 2 3" xfId="17128"/>
    <cellStyle name="표준 5 2 2 22 2 2 3 2" xfId="42480"/>
    <cellStyle name="표준 5 2 2 22 2 2 4" xfId="29808"/>
    <cellStyle name="표준 5 2 2 22 2 2 5" xfId="53239"/>
    <cellStyle name="표준 5 2 2 22 2 3" xfId="7669"/>
    <cellStyle name="표준 5 2 2 22 2 3 2" xfId="20342"/>
    <cellStyle name="표준 5 2 2 22 2 3 2 2" xfId="45694"/>
    <cellStyle name="표준 5 2 2 22 2 3 3" xfId="33022"/>
    <cellStyle name="표준 5 2 2 22 2 4" xfId="14006"/>
    <cellStyle name="표준 5 2 2 22 2 4 2" xfId="39358"/>
    <cellStyle name="표준 5 2 2 22 2 5" xfId="26686"/>
    <cellStyle name="표준 5 2 2 22 2 6" xfId="53240"/>
    <cellStyle name="표준 5 2 2 22 3" xfId="4456"/>
    <cellStyle name="표준 5 2 2 22 3 2" xfId="10792"/>
    <cellStyle name="표준 5 2 2 22 3 2 2" xfId="23465"/>
    <cellStyle name="표준 5 2 2 22 3 2 2 2" xfId="48817"/>
    <cellStyle name="표준 5 2 2 22 3 2 3" xfId="36145"/>
    <cellStyle name="표준 5 2 2 22 3 3" xfId="17129"/>
    <cellStyle name="표준 5 2 2 22 3 3 2" xfId="42481"/>
    <cellStyle name="표준 5 2 2 22 3 4" xfId="29809"/>
    <cellStyle name="표준 5 2 2 22 3 5" xfId="53241"/>
    <cellStyle name="표준 5 2 2 22 4" xfId="7668"/>
    <cellStyle name="표준 5 2 2 22 4 2" xfId="20341"/>
    <cellStyle name="표준 5 2 2 22 4 2 2" xfId="45693"/>
    <cellStyle name="표준 5 2 2 22 4 3" xfId="33021"/>
    <cellStyle name="표준 5 2 2 22 5" xfId="14005"/>
    <cellStyle name="표준 5 2 2 22 5 2" xfId="39357"/>
    <cellStyle name="표준 5 2 2 22 6" xfId="26685"/>
    <cellStyle name="표준 5 2 2 22 7" xfId="53242"/>
    <cellStyle name="표준 5 2 2 23" xfId="1333"/>
    <cellStyle name="표준 5 2 2 23 2" xfId="1334"/>
    <cellStyle name="표준 5 2 2 23 2 2" xfId="4457"/>
    <cellStyle name="표준 5 2 2 23 2 2 2" xfId="10793"/>
    <cellStyle name="표준 5 2 2 23 2 2 2 2" xfId="23466"/>
    <cellStyle name="표준 5 2 2 23 2 2 2 2 2" xfId="48818"/>
    <cellStyle name="표준 5 2 2 23 2 2 2 3" xfId="36146"/>
    <cellStyle name="표준 5 2 2 23 2 2 3" xfId="17130"/>
    <cellStyle name="표준 5 2 2 23 2 2 3 2" xfId="42482"/>
    <cellStyle name="표준 5 2 2 23 2 2 4" xfId="29810"/>
    <cellStyle name="표준 5 2 2 23 2 2 5" xfId="53243"/>
    <cellStyle name="표준 5 2 2 23 2 3" xfId="7671"/>
    <cellStyle name="표준 5 2 2 23 2 3 2" xfId="20344"/>
    <cellStyle name="표준 5 2 2 23 2 3 2 2" xfId="45696"/>
    <cellStyle name="표준 5 2 2 23 2 3 3" xfId="33024"/>
    <cellStyle name="표준 5 2 2 23 2 4" xfId="14008"/>
    <cellStyle name="표준 5 2 2 23 2 4 2" xfId="39360"/>
    <cellStyle name="표준 5 2 2 23 2 5" xfId="26688"/>
    <cellStyle name="표준 5 2 2 23 2 6" xfId="53244"/>
    <cellStyle name="표준 5 2 2 23 3" xfId="4458"/>
    <cellStyle name="표준 5 2 2 23 3 2" xfId="10794"/>
    <cellStyle name="표준 5 2 2 23 3 2 2" xfId="23467"/>
    <cellStyle name="표준 5 2 2 23 3 2 2 2" xfId="48819"/>
    <cellStyle name="표준 5 2 2 23 3 2 3" xfId="36147"/>
    <cellStyle name="표준 5 2 2 23 3 3" xfId="17131"/>
    <cellStyle name="표준 5 2 2 23 3 3 2" xfId="42483"/>
    <cellStyle name="표준 5 2 2 23 3 4" xfId="29811"/>
    <cellStyle name="표준 5 2 2 23 3 5" xfId="53245"/>
    <cellStyle name="표준 5 2 2 23 4" xfId="7670"/>
    <cellStyle name="표준 5 2 2 23 4 2" xfId="20343"/>
    <cellStyle name="표준 5 2 2 23 4 2 2" xfId="45695"/>
    <cellStyle name="표준 5 2 2 23 4 3" xfId="33023"/>
    <cellStyle name="표준 5 2 2 23 5" xfId="14007"/>
    <cellStyle name="표준 5 2 2 23 5 2" xfId="39359"/>
    <cellStyle name="표준 5 2 2 23 6" xfId="26687"/>
    <cellStyle name="표준 5 2 2 23 7" xfId="53246"/>
    <cellStyle name="표준 5 2 2 24" xfId="1335"/>
    <cellStyle name="표준 5 2 2 24 2" xfId="1336"/>
    <cellStyle name="표준 5 2 2 24 2 2" xfId="4459"/>
    <cellStyle name="표준 5 2 2 24 2 2 2" xfId="10795"/>
    <cellStyle name="표준 5 2 2 24 2 2 2 2" xfId="23468"/>
    <cellStyle name="표준 5 2 2 24 2 2 2 2 2" xfId="48820"/>
    <cellStyle name="표준 5 2 2 24 2 2 2 3" xfId="36148"/>
    <cellStyle name="표준 5 2 2 24 2 2 3" xfId="17132"/>
    <cellStyle name="표준 5 2 2 24 2 2 3 2" xfId="42484"/>
    <cellStyle name="표준 5 2 2 24 2 2 4" xfId="29812"/>
    <cellStyle name="표준 5 2 2 24 2 2 5" xfId="53247"/>
    <cellStyle name="표준 5 2 2 24 2 3" xfId="7673"/>
    <cellStyle name="표준 5 2 2 24 2 3 2" xfId="20346"/>
    <cellStyle name="표준 5 2 2 24 2 3 2 2" xfId="45698"/>
    <cellStyle name="표준 5 2 2 24 2 3 3" xfId="33026"/>
    <cellStyle name="표준 5 2 2 24 2 4" xfId="14010"/>
    <cellStyle name="표준 5 2 2 24 2 4 2" xfId="39362"/>
    <cellStyle name="표준 5 2 2 24 2 5" xfId="26690"/>
    <cellStyle name="표준 5 2 2 24 2 6" xfId="53248"/>
    <cellStyle name="표준 5 2 2 24 3" xfId="4460"/>
    <cellStyle name="표준 5 2 2 24 3 2" xfId="10796"/>
    <cellStyle name="표준 5 2 2 24 3 2 2" xfId="23469"/>
    <cellStyle name="표준 5 2 2 24 3 2 2 2" xfId="48821"/>
    <cellStyle name="표준 5 2 2 24 3 2 3" xfId="36149"/>
    <cellStyle name="표준 5 2 2 24 3 3" xfId="17133"/>
    <cellStyle name="표준 5 2 2 24 3 3 2" xfId="42485"/>
    <cellStyle name="표준 5 2 2 24 3 4" xfId="29813"/>
    <cellStyle name="표준 5 2 2 24 3 5" xfId="53249"/>
    <cellStyle name="표준 5 2 2 24 4" xfId="7672"/>
    <cellStyle name="표준 5 2 2 24 4 2" xfId="20345"/>
    <cellStyle name="표준 5 2 2 24 4 2 2" xfId="45697"/>
    <cellStyle name="표준 5 2 2 24 4 3" xfId="33025"/>
    <cellStyle name="표준 5 2 2 24 5" xfId="14009"/>
    <cellStyle name="표준 5 2 2 24 5 2" xfId="39361"/>
    <cellStyle name="표준 5 2 2 24 6" xfId="26689"/>
    <cellStyle name="표준 5 2 2 24 7" xfId="53250"/>
    <cellStyle name="표준 5 2 2 25" xfId="1337"/>
    <cellStyle name="표준 5 2 2 25 2" xfId="1338"/>
    <cellStyle name="표준 5 2 2 25 2 2" xfId="4461"/>
    <cellStyle name="표준 5 2 2 25 2 2 2" xfId="10797"/>
    <cellStyle name="표준 5 2 2 25 2 2 2 2" xfId="23470"/>
    <cellStyle name="표준 5 2 2 25 2 2 2 2 2" xfId="48822"/>
    <cellStyle name="표준 5 2 2 25 2 2 2 3" xfId="36150"/>
    <cellStyle name="표준 5 2 2 25 2 2 3" xfId="17134"/>
    <cellStyle name="표준 5 2 2 25 2 2 3 2" xfId="42486"/>
    <cellStyle name="표준 5 2 2 25 2 2 4" xfId="29814"/>
    <cellStyle name="표준 5 2 2 25 2 2 5" xfId="53251"/>
    <cellStyle name="표준 5 2 2 25 2 3" xfId="7675"/>
    <cellStyle name="표준 5 2 2 25 2 3 2" xfId="20348"/>
    <cellStyle name="표준 5 2 2 25 2 3 2 2" xfId="45700"/>
    <cellStyle name="표준 5 2 2 25 2 3 3" xfId="33028"/>
    <cellStyle name="표준 5 2 2 25 2 4" xfId="14012"/>
    <cellStyle name="표준 5 2 2 25 2 4 2" xfId="39364"/>
    <cellStyle name="표준 5 2 2 25 2 5" xfId="26692"/>
    <cellStyle name="표준 5 2 2 25 2 6" xfId="53252"/>
    <cellStyle name="표준 5 2 2 25 3" xfId="4462"/>
    <cellStyle name="표준 5 2 2 25 3 2" xfId="10798"/>
    <cellStyle name="표준 5 2 2 25 3 2 2" xfId="23471"/>
    <cellStyle name="표준 5 2 2 25 3 2 2 2" xfId="48823"/>
    <cellStyle name="표준 5 2 2 25 3 2 3" xfId="36151"/>
    <cellStyle name="표준 5 2 2 25 3 3" xfId="17135"/>
    <cellStyle name="표준 5 2 2 25 3 3 2" xfId="42487"/>
    <cellStyle name="표준 5 2 2 25 3 4" xfId="29815"/>
    <cellStyle name="표준 5 2 2 25 3 5" xfId="53253"/>
    <cellStyle name="표준 5 2 2 25 4" xfId="7674"/>
    <cellStyle name="표준 5 2 2 25 4 2" xfId="20347"/>
    <cellStyle name="표준 5 2 2 25 4 2 2" xfId="45699"/>
    <cellStyle name="표준 5 2 2 25 4 3" xfId="33027"/>
    <cellStyle name="표준 5 2 2 25 5" xfId="14011"/>
    <cellStyle name="표준 5 2 2 25 5 2" xfId="39363"/>
    <cellStyle name="표준 5 2 2 25 6" xfId="26691"/>
    <cellStyle name="표준 5 2 2 25 7" xfId="53254"/>
    <cellStyle name="표준 5 2 2 26" xfId="1339"/>
    <cellStyle name="표준 5 2 2 26 2" xfId="1340"/>
    <cellStyle name="표준 5 2 2 26 2 2" xfId="4463"/>
    <cellStyle name="표준 5 2 2 26 2 2 2" xfId="10799"/>
    <cellStyle name="표준 5 2 2 26 2 2 2 2" xfId="23472"/>
    <cellStyle name="표준 5 2 2 26 2 2 2 2 2" xfId="48824"/>
    <cellStyle name="표준 5 2 2 26 2 2 2 3" xfId="36152"/>
    <cellStyle name="표준 5 2 2 26 2 2 3" xfId="17136"/>
    <cellStyle name="표준 5 2 2 26 2 2 3 2" xfId="42488"/>
    <cellStyle name="표준 5 2 2 26 2 2 4" xfId="29816"/>
    <cellStyle name="표준 5 2 2 26 2 2 5" xfId="53255"/>
    <cellStyle name="표준 5 2 2 26 2 3" xfId="7677"/>
    <cellStyle name="표준 5 2 2 26 2 3 2" xfId="20350"/>
    <cellStyle name="표준 5 2 2 26 2 3 2 2" xfId="45702"/>
    <cellStyle name="표준 5 2 2 26 2 3 3" xfId="33030"/>
    <cellStyle name="표준 5 2 2 26 2 4" xfId="14014"/>
    <cellStyle name="표준 5 2 2 26 2 4 2" xfId="39366"/>
    <cellStyle name="표준 5 2 2 26 2 5" xfId="26694"/>
    <cellStyle name="표준 5 2 2 26 2 6" xfId="53256"/>
    <cellStyle name="표준 5 2 2 26 3" xfId="4464"/>
    <cellStyle name="표준 5 2 2 26 3 2" xfId="10800"/>
    <cellStyle name="표준 5 2 2 26 3 2 2" xfId="23473"/>
    <cellStyle name="표준 5 2 2 26 3 2 2 2" xfId="48825"/>
    <cellStyle name="표준 5 2 2 26 3 2 3" xfId="36153"/>
    <cellStyle name="표준 5 2 2 26 3 3" xfId="17137"/>
    <cellStyle name="표준 5 2 2 26 3 3 2" xfId="42489"/>
    <cellStyle name="표준 5 2 2 26 3 4" xfId="29817"/>
    <cellStyle name="표준 5 2 2 26 3 5" xfId="53257"/>
    <cellStyle name="표준 5 2 2 26 4" xfId="7676"/>
    <cellStyle name="표준 5 2 2 26 4 2" xfId="20349"/>
    <cellStyle name="표준 5 2 2 26 4 2 2" xfId="45701"/>
    <cellStyle name="표준 5 2 2 26 4 3" xfId="33029"/>
    <cellStyle name="표준 5 2 2 26 5" xfId="14013"/>
    <cellStyle name="표준 5 2 2 26 5 2" xfId="39365"/>
    <cellStyle name="표준 5 2 2 26 6" xfId="26693"/>
    <cellStyle name="표준 5 2 2 26 7" xfId="53258"/>
    <cellStyle name="표준 5 2 2 27" xfId="1341"/>
    <cellStyle name="표준 5 2 2 27 2" xfId="1342"/>
    <cellStyle name="표준 5 2 2 27 2 2" xfId="4465"/>
    <cellStyle name="표준 5 2 2 27 2 2 2" xfId="10801"/>
    <cellStyle name="표준 5 2 2 27 2 2 2 2" xfId="23474"/>
    <cellStyle name="표준 5 2 2 27 2 2 2 2 2" xfId="48826"/>
    <cellStyle name="표준 5 2 2 27 2 2 2 3" xfId="36154"/>
    <cellStyle name="표준 5 2 2 27 2 2 3" xfId="17138"/>
    <cellStyle name="표준 5 2 2 27 2 2 3 2" xfId="42490"/>
    <cellStyle name="표준 5 2 2 27 2 2 4" xfId="29818"/>
    <cellStyle name="표준 5 2 2 27 2 2 5" xfId="53259"/>
    <cellStyle name="표준 5 2 2 27 2 3" xfId="7679"/>
    <cellStyle name="표준 5 2 2 27 2 3 2" xfId="20352"/>
    <cellStyle name="표준 5 2 2 27 2 3 2 2" xfId="45704"/>
    <cellStyle name="표준 5 2 2 27 2 3 3" xfId="33032"/>
    <cellStyle name="표준 5 2 2 27 2 4" xfId="14016"/>
    <cellStyle name="표준 5 2 2 27 2 4 2" xfId="39368"/>
    <cellStyle name="표준 5 2 2 27 2 5" xfId="26696"/>
    <cellStyle name="표준 5 2 2 27 2 6" xfId="53260"/>
    <cellStyle name="표준 5 2 2 27 3" xfId="4466"/>
    <cellStyle name="표준 5 2 2 27 3 2" xfId="10802"/>
    <cellStyle name="표준 5 2 2 27 3 2 2" xfId="23475"/>
    <cellStyle name="표준 5 2 2 27 3 2 2 2" xfId="48827"/>
    <cellStyle name="표준 5 2 2 27 3 2 3" xfId="36155"/>
    <cellStyle name="표준 5 2 2 27 3 3" xfId="17139"/>
    <cellStyle name="표준 5 2 2 27 3 3 2" xfId="42491"/>
    <cellStyle name="표준 5 2 2 27 3 4" xfId="29819"/>
    <cellStyle name="표준 5 2 2 27 3 5" xfId="53261"/>
    <cellStyle name="표준 5 2 2 27 4" xfId="7678"/>
    <cellStyle name="표준 5 2 2 27 4 2" xfId="20351"/>
    <cellStyle name="표준 5 2 2 27 4 2 2" xfId="45703"/>
    <cellStyle name="표준 5 2 2 27 4 3" xfId="33031"/>
    <cellStyle name="표준 5 2 2 27 5" xfId="14015"/>
    <cellStyle name="표준 5 2 2 27 5 2" xfId="39367"/>
    <cellStyle name="표준 5 2 2 27 6" xfId="26695"/>
    <cellStyle name="표준 5 2 2 27 7" xfId="53262"/>
    <cellStyle name="표준 5 2 2 28" xfId="1343"/>
    <cellStyle name="표준 5 2 2 28 2" xfId="1344"/>
    <cellStyle name="표준 5 2 2 28 2 2" xfId="4467"/>
    <cellStyle name="표준 5 2 2 28 2 2 2" xfId="10803"/>
    <cellStyle name="표준 5 2 2 28 2 2 2 2" xfId="23476"/>
    <cellStyle name="표준 5 2 2 28 2 2 2 2 2" xfId="48828"/>
    <cellStyle name="표준 5 2 2 28 2 2 2 3" xfId="36156"/>
    <cellStyle name="표준 5 2 2 28 2 2 3" xfId="17140"/>
    <cellStyle name="표준 5 2 2 28 2 2 3 2" xfId="42492"/>
    <cellStyle name="표준 5 2 2 28 2 2 4" xfId="29820"/>
    <cellStyle name="표준 5 2 2 28 2 2 5" xfId="53263"/>
    <cellStyle name="표준 5 2 2 28 2 3" xfId="7681"/>
    <cellStyle name="표준 5 2 2 28 2 3 2" xfId="20354"/>
    <cellStyle name="표준 5 2 2 28 2 3 2 2" xfId="45706"/>
    <cellStyle name="표준 5 2 2 28 2 3 3" xfId="33034"/>
    <cellStyle name="표준 5 2 2 28 2 4" xfId="14018"/>
    <cellStyle name="표준 5 2 2 28 2 4 2" xfId="39370"/>
    <cellStyle name="표준 5 2 2 28 2 5" xfId="26698"/>
    <cellStyle name="표준 5 2 2 28 2 6" xfId="53264"/>
    <cellStyle name="표준 5 2 2 28 3" xfId="4468"/>
    <cellStyle name="표준 5 2 2 28 3 2" xfId="10804"/>
    <cellStyle name="표준 5 2 2 28 3 2 2" xfId="23477"/>
    <cellStyle name="표준 5 2 2 28 3 2 2 2" xfId="48829"/>
    <cellStyle name="표준 5 2 2 28 3 2 3" xfId="36157"/>
    <cellStyle name="표준 5 2 2 28 3 3" xfId="17141"/>
    <cellStyle name="표준 5 2 2 28 3 3 2" xfId="42493"/>
    <cellStyle name="표준 5 2 2 28 3 4" xfId="29821"/>
    <cellStyle name="표준 5 2 2 28 3 5" xfId="53265"/>
    <cellStyle name="표준 5 2 2 28 4" xfId="7680"/>
    <cellStyle name="표준 5 2 2 28 4 2" xfId="20353"/>
    <cellStyle name="표준 5 2 2 28 4 2 2" xfId="45705"/>
    <cellStyle name="표준 5 2 2 28 4 3" xfId="33033"/>
    <cellStyle name="표준 5 2 2 28 5" xfId="14017"/>
    <cellStyle name="표준 5 2 2 28 5 2" xfId="39369"/>
    <cellStyle name="표준 5 2 2 28 6" xfId="26697"/>
    <cellStyle name="표준 5 2 2 28 7" xfId="53266"/>
    <cellStyle name="표준 5 2 2 29" xfId="1345"/>
    <cellStyle name="표준 5 2 2 29 2" xfId="1346"/>
    <cellStyle name="표준 5 2 2 29 2 2" xfId="4469"/>
    <cellStyle name="표준 5 2 2 29 2 2 2" xfId="10805"/>
    <cellStyle name="표준 5 2 2 29 2 2 2 2" xfId="23478"/>
    <cellStyle name="표준 5 2 2 29 2 2 2 2 2" xfId="48830"/>
    <cellStyle name="표준 5 2 2 29 2 2 2 3" xfId="36158"/>
    <cellStyle name="표준 5 2 2 29 2 2 3" xfId="17142"/>
    <cellStyle name="표준 5 2 2 29 2 2 3 2" xfId="42494"/>
    <cellStyle name="표준 5 2 2 29 2 2 4" xfId="29822"/>
    <cellStyle name="표준 5 2 2 29 2 2 5" xfId="53267"/>
    <cellStyle name="표준 5 2 2 29 2 3" xfId="7683"/>
    <cellStyle name="표준 5 2 2 29 2 3 2" xfId="20356"/>
    <cellStyle name="표준 5 2 2 29 2 3 2 2" xfId="45708"/>
    <cellStyle name="표준 5 2 2 29 2 3 3" xfId="33036"/>
    <cellStyle name="표준 5 2 2 29 2 4" xfId="14020"/>
    <cellStyle name="표준 5 2 2 29 2 4 2" xfId="39372"/>
    <cellStyle name="표준 5 2 2 29 2 5" xfId="26700"/>
    <cellStyle name="표준 5 2 2 29 2 6" xfId="53268"/>
    <cellStyle name="표준 5 2 2 29 3" xfId="4470"/>
    <cellStyle name="표준 5 2 2 29 3 2" xfId="10806"/>
    <cellStyle name="표준 5 2 2 29 3 2 2" xfId="23479"/>
    <cellStyle name="표준 5 2 2 29 3 2 2 2" xfId="48831"/>
    <cellStyle name="표준 5 2 2 29 3 2 3" xfId="36159"/>
    <cellStyle name="표준 5 2 2 29 3 3" xfId="17143"/>
    <cellStyle name="표준 5 2 2 29 3 3 2" xfId="42495"/>
    <cellStyle name="표준 5 2 2 29 3 4" xfId="29823"/>
    <cellStyle name="표준 5 2 2 29 3 5" xfId="53269"/>
    <cellStyle name="표준 5 2 2 29 4" xfId="7682"/>
    <cellStyle name="표준 5 2 2 29 4 2" xfId="20355"/>
    <cellStyle name="표준 5 2 2 29 4 2 2" xfId="45707"/>
    <cellStyle name="표준 5 2 2 29 4 3" xfId="33035"/>
    <cellStyle name="표준 5 2 2 29 5" xfId="14019"/>
    <cellStyle name="표준 5 2 2 29 5 2" xfId="39371"/>
    <cellStyle name="표준 5 2 2 29 6" xfId="26699"/>
    <cellStyle name="표준 5 2 2 29 7" xfId="53270"/>
    <cellStyle name="표준 5 2 2 3" xfId="75"/>
    <cellStyle name="표준 5 2 2 3 10" xfId="1347"/>
    <cellStyle name="표준 5 2 2 3 10 2" xfId="1348"/>
    <cellStyle name="표준 5 2 2 3 10 2 2" xfId="4471"/>
    <cellStyle name="표준 5 2 2 3 10 2 2 2" xfId="10807"/>
    <cellStyle name="표준 5 2 2 3 10 2 2 2 2" xfId="23480"/>
    <cellStyle name="표준 5 2 2 3 10 2 2 2 2 2" xfId="48832"/>
    <cellStyle name="표준 5 2 2 3 10 2 2 2 3" xfId="36160"/>
    <cellStyle name="표준 5 2 2 3 10 2 2 3" xfId="17144"/>
    <cellStyle name="표준 5 2 2 3 10 2 2 3 2" xfId="42496"/>
    <cellStyle name="표준 5 2 2 3 10 2 2 4" xfId="29824"/>
    <cellStyle name="표준 5 2 2 3 10 2 2 5" xfId="53271"/>
    <cellStyle name="표준 5 2 2 3 10 2 3" xfId="7685"/>
    <cellStyle name="표준 5 2 2 3 10 2 3 2" xfId="20358"/>
    <cellStyle name="표준 5 2 2 3 10 2 3 2 2" xfId="45710"/>
    <cellStyle name="표준 5 2 2 3 10 2 3 3" xfId="33038"/>
    <cellStyle name="표준 5 2 2 3 10 2 4" xfId="14022"/>
    <cellStyle name="표준 5 2 2 3 10 2 4 2" xfId="39374"/>
    <cellStyle name="표준 5 2 2 3 10 2 5" xfId="26702"/>
    <cellStyle name="표준 5 2 2 3 10 2 6" xfId="53272"/>
    <cellStyle name="표준 5 2 2 3 10 3" xfId="4472"/>
    <cellStyle name="표준 5 2 2 3 10 3 2" xfId="10808"/>
    <cellStyle name="표준 5 2 2 3 10 3 2 2" xfId="23481"/>
    <cellStyle name="표준 5 2 2 3 10 3 2 2 2" xfId="48833"/>
    <cellStyle name="표준 5 2 2 3 10 3 2 3" xfId="36161"/>
    <cellStyle name="표준 5 2 2 3 10 3 3" xfId="17145"/>
    <cellStyle name="표준 5 2 2 3 10 3 3 2" xfId="42497"/>
    <cellStyle name="표준 5 2 2 3 10 3 4" xfId="29825"/>
    <cellStyle name="표준 5 2 2 3 10 3 5" xfId="53273"/>
    <cellStyle name="표준 5 2 2 3 10 4" xfId="7684"/>
    <cellStyle name="표준 5 2 2 3 10 4 2" xfId="20357"/>
    <cellStyle name="표준 5 2 2 3 10 4 2 2" xfId="45709"/>
    <cellStyle name="표준 5 2 2 3 10 4 3" xfId="33037"/>
    <cellStyle name="표준 5 2 2 3 10 5" xfId="14021"/>
    <cellStyle name="표준 5 2 2 3 10 5 2" xfId="39373"/>
    <cellStyle name="표준 5 2 2 3 10 6" xfId="26701"/>
    <cellStyle name="표준 5 2 2 3 10 7" xfId="53274"/>
    <cellStyle name="표준 5 2 2 3 11" xfId="1349"/>
    <cellStyle name="표준 5 2 2 3 11 2" xfId="1350"/>
    <cellStyle name="표준 5 2 2 3 11 2 2" xfId="4473"/>
    <cellStyle name="표준 5 2 2 3 11 2 2 2" xfId="10809"/>
    <cellStyle name="표준 5 2 2 3 11 2 2 2 2" xfId="23482"/>
    <cellStyle name="표준 5 2 2 3 11 2 2 2 2 2" xfId="48834"/>
    <cellStyle name="표준 5 2 2 3 11 2 2 2 3" xfId="36162"/>
    <cellStyle name="표준 5 2 2 3 11 2 2 3" xfId="17146"/>
    <cellStyle name="표준 5 2 2 3 11 2 2 3 2" xfId="42498"/>
    <cellStyle name="표준 5 2 2 3 11 2 2 4" xfId="29826"/>
    <cellStyle name="표준 5 2 2 3 11 2 2 5" xfId="53275"/>
    <cellStyle name="표준 5 2 2 3 11 2 3" xfId="7687"/>
    <cellStyle name="표준 5 2 2 3 11 2 3 2" xfId="20360"/>
    <cellStyle name="표준 5 2 2 3 11 2 3 2 2" xfId="45712"/>
    <cellStyle name="표준 5 2 2 3 11 2 3 3" xfId="33040"/>
    <cellStyle name="표준 5 2 2 3 11 2 4" xfId="14024"/>
    <cellStyle name="표준 5 2 2 3 11 2 4 2" xfId="39376"/>
    <cellStyle name="표준 5 2 2 3 11 2 5" xfId="26704"/>
    <cellStyle name="표준 5 2 2 3 11 2 6" xfId="53276"/>
    <cellStyle name="표준 5 2 2 3 11 3" xfId="4474"/>
    <cellStyle name="표준 5 2 2 3 11 3 2" xfId="10810"/>
    <cellStyle name="표준 5 2 2 3 11 3 2 2" xfId="23483"/>
    <cellStyle name="표준 5 2 2 3 11 3 2 2 2" xfId="48835"/>
    <cellStyle name="표준 5 2 2 3 11 3 2 3" xfId="36163"/>
    <cellStyle name="표준 5 2 2 3 11 3 3" xfId="17147"/>
    <cellStyle name="표준 5 2 2 3 11 3 3 2" xfId="42499"/>
    <cellStyle name="표준 5 2 2 3 11 3 4" xfId="29827"/>
    <cellStyle name="표준 5 2 2 3 11 3 5" xfId="53277"/>
    <cellStyle name="표준 5 2 2 3 11 4" xfId="7686"/>
    <cellStyle name="표준 5 2 2 3 11 4 2" xfId="20359"/>
    <cellStyle name="표준 5 2 2 3 11 4 2 2" xfId="45711"/>
    <cellStyle name="표준 5 2 2 3 11 4 3" xfId="33039"/>
    <cellStyle name="표준 5 2 2 3 11 5" xfId="14023"/>
    <cellStyle name="표준 5 2 2 3 11 5 2" xfId="39375"/>
    <cellStyle name="표준 5 2 2 3 11 6" xfId="26703"/>
    <cellStyle name="표준 5 2 2 3 11 7" xfId="53278"/>
    <cellStyle name="표준 5 2 2 3 12" xfId="1351"/>
    <cellStyle name="표준 5 2 2 3 12 2" xfId="1352"/>
    <cellStyle name="표준 5 2 2 3 12 2 2" xfId="4475"/>
    <cellStyle name="표준 5 2 2 3 12 2 2 2" xfId="10811"/>
    <cellStyle name="표준 5 2 2 3 12 2 2 2 2" xfId="23484"/>
    <cellStyle name="표준 5 2 2 3 12 2 2 2 2 2" xfId="48836"/>
    <cellStyle name="표준 5 2 2 3 12 2 2 2 3" xfId="36164"/>
    <cellStyle name="표준 5 2 2 3 12 2 2 3" xfId="17148"/>
    <cellStyle name="표준 5 2 2 3 12 2 2 3 2" xfId="42500"/>
    <cellStyle name="표준 5 2 2 3 12 2 2 4" xfId="29828"/>
    <cellStyle name="표준 5 2 2 3 12 2 2 5" xfId="53279"/>
    <cellStyle name="표준 5 2 2 3 12 2 3" xfId="7689"/>
    <cellStyle name="표준 5 2 2 3 12 2 3 2" xfId="20362"/>
    <cellStyle name="표준 5 2 2 3 12 2 3 2 2" xfId="45714"/>
    <cellStyle name="표준 5 2 2 3 12 2 3 3" xfId="33042"/>
    <cellStyle name="표준 5 2 2 3 12 2 4" xfId="14026"/>
    <cellStyle name="표준 5 2 2 3 12 2 4 2" xfId="39378"/>
    <cellStyle name="표준 5 2 2 3 12 2 5" xfId="26706"/>
    <cellStyle name="표준 5 2 2 3 12 2 6" xfId="53280"/>
    <cellStyle name="표준 5 2 2 3 12 3" xfId="4476"/>
    <cellStyle name="표준 5 2 2 3 12 3 2" xfId="10812"/>
    <cellStyle name="표준 5 2 2 3 12 3 2 2" xfId="23485"/>
    <cellStyle name="표준 5 2 2 3 12 3 2 2 2" xfId="48837"/>
    <cellStyle name="표준 5 2 2 3 12 3 2 3" xfId="36165"/>
    <cellStyle name="표준 5 2 2 3 12 3 3" xfId="17149"/>
    <cellStyle name="표준 5 2 2 3 12 3 3 2" xfId="42501"/>
    <cellStyle name="표준 5 2 2 3 12 3 4" xfId="29829"/>
    <cellStyle name="표준 5 2 2 3 12 3 5" xfId="53281"/>
    <cellStyle name="표준 5 2 2 3 12 4" xfId="7688"/>
    <cellStyle name="표준 5 2 2 3 12 4 2" xfId="20361"/>
    <cellStyle name="표준 5 2 2 3 12 4 2 2" xfId="45713"/>
    <cellStyle name="표준 5 2 2 3 12 4 3" xfId="33041"/>
    <cellStyle name="표준 5 2 2 3 12 5" xfId="14025"/>
    <cellStyle name="표준 5 2 2 3 12 5 2" xfId="39377"/>
    <cellStyle name="표준 5 2 2 3 12 6" xfId="26705"/>
    <cellStyle name="표준 5 2 2 3 12 7" xfId="53282"/>
    <cellStyle name="표준 5 2 2 3 13" xfId="1353"/>
    <cellStyle name="표준 5 2 2 3 13 2" xfId="1354"/>
    <cellStyle name="표준 5 2 2 3 13 2 2" xfId="4477"/>
    <cellStyle name="표준 5 2 2 3 13 2 2 2" xfId="10813"/>
    <cellStyle name="표준 5 2 2 3 13 2 2 2 2" xfId="23486"/>
    <cellStyle name="표준 5 2 2 3 13 2 2 2 2 2" xfId="48838"/>
    <cellStyle name="표준 5 2 2 3 13 2 2 2 3" xfId="36166"/>
    <cellStyle name="표준 5 2 2 3 13 2 2 3" xfId="17150"/>
    <cellStyle name="표준 5 2 2 3 13 2 2 3 2" xfId="42502"/>
    <cellStyle name="표준 5 2 2 3 13 2 2 4" xfId="29830"/>
    <cellStyle name="표준 5 2 2 3 13 2 2 5" xfId="53283"/>
    <cellStyle name="표준 5 2 2 3 13 2 3" xfId="7691"/>
    <cellStyle name="표준 5 2 2 3 13 2 3 2" xfId="20364"/>
    <cellStyle name="표준 5 2 2 3 13 2 3 2 2" xfId="45716"/>
    <cellStyle name="표준 5 2 2 3 13 2 3 3" xfId="33044"/>
    <cellStyle name="표준 5 2 2 3 13 2 4" xfId="14028"/>
    <cellStyle name="표준 5 2 2 3 13 2 4 2" xfId="39380"/>
    <cellStyle name="표준 5 2 2 3 13 2 5" xfId="26708"/>
    <cellStyle name="표준 5 2 2 3 13 2 6" xfId="53284"/>
    <cellStyle name="표준 5 2 2 3 13 3" xfId="4478"/>
    <cellStyle name="표준 5 2 2 3 13 3 2" xfId="10814"/>
    <cellStyle name="표준 5 2 2 3 13 3 2 2" xfId="23487"/>
    <cellStyle name="표준 5 2 2 3 13 3 2 2 2" xfId="48839"/>
    <cellStyle name="표준 5 2 2 3 13 3 2 3" xfId="36167"/>
    <cellStyle name="표준 5 2 2 3 13 3 3" xfId="17151"/>
    <cellStyle name="표준 5 2 2 3 13 3 3 2" xfId="42503"/>
    <cellStyle name="표준 5 2 2 3 13 3 4" xfId="29831"/>
    <cellStyle name="표준 5 2 2 3 13 3 5" xfId="53285"/>
    <cellStyle name="표준 5 2 2 3 13 4" xfId="7690"/>
    <cellStyle name="표준 5 2 2 3 13 4 2" xfId="20363"/>
    <cellStyle name="표준 5 2 2 3 13 4 2 2" xfId="45715"/>
    <cellStyle name="표준 5 2 2 3 13 4 3" xfId="33043"/>
    <cellStyle name="표준 5 2 2 3 13 5" xfId="14027"/>
    <cellStyle name="표준 5 2 2 3 13 5 2" xfId="39379"/>
    <cellStyle name="표준 5 2 2 3 13 6" xfId="26707"/>
    <cellStyle name="표준 5 2 2 3 13 7" xfId="53286"/>
    <cellStyle name="표준 5 2 2 3 14" xfId="1355"/>
    <cellStyle name="표준 5 2 2 3 14 2" xfId="1356"/>
    <cellStyle name="표준 5 2 2 3 14 2 2" xfId="4479"/>
    <cellStyle name="표준 5 2 2 3 14 2 2 2" xfId="10815"/>
    <cellStyle name="표준 5 2 2 3 14 2 2 2 2" xfId="23488"/>
    <cellStyle name="표준 5 2 2 3 14 2 2 2 2 2" xfId="48840"/>
    <cellStyle name="표준 5 2 2 3 14 2 2 2 3" xfId="36168"/>
    <cellStyle name="표준 5 2 2 3 14 2 2 3" xfId="17152"/>
    <cellStyle name="표준 5 2 2 3 14 2 2 3 2" xfId="42504"/>
    <cellStyle name="표준 5 2 2 3 14 2 2 4" xfId="29832"/>
    <cellStyle name="표준 5 2 2 3 14 2 2 5" xfId="53287"/>
    <cellStyle name="표준 5 2 2 3 14 2 3" xfId="7693"/>
    <cellStyle name="표준 5 2 2 3 14 2 3 2" xfId="20366"/>
    <cellStyle name="표준 5 2 2 3 14 2 3 2 2" xfId="45718"/>
    <cellStyle name="표준 5 2 2 3 14 2 3 3" xfId="33046"/>
    <cellStyle name="표준 5 2 2 3 14 2 4" xfId="14030"/>
    <cellStyle name="표준 5 2 2 3 14 2 4 2" xfId="39382"/>
    <cellStyle name="표준 5 2 2 3 14 2 5" xfId="26710"/>
    <cellStyle name="표준 5 2 2 3 14 2 6" xfId="53288"/>
    <cellStyle name="표준 5 2 2 3 14 3" xfId="4480"/>
    <cellStyle name="표준 5 2 2 3 14 3 2" xfId="10816"/>
    <cellStyle name="표준 5 2 2 3 14 3 2 2" xfId="23489"/>
    <cellStyle name="표준 5 2 2 3 14 3 2 2 2" xfId="48841"/>
    <cellStyle name="표준 5 2 2 3 14 3 2 3" xfId="36169"/>
    <cellStyle name="표준 5 2 2 3 14 3 3" xfId="17153"/>
    <cellStyle name="표준 5 2 2 3 14 3 3 2" xfId="42505"/>
    <cellStyle name="표준 5 2 2 3 14 3 4" xfId="29833"/>
    <cellStyle name="표준 5 2 2 3 14 3 5" xfId="53289"/>
    <cellStyle name="표준 5 2 2 3 14 4" xfId="7692"/>
    <cellStyle name="표준 5 2 2 3 14 4 2" xfId="20365"/>
    <cellStyle name="표준 5 2 2 3 14 4 2 2" xfId="45717"/>
    <cellStyle name="표준 5 2 2 3 14 4 3" xfId="33045"/>
    <cellStyle name="표준 5 2 2 3 14 5" xfId="14029"/>
    <cellStyle name="표준 5 2 2 3 14 5 2" xfId="39381"/>
    <cellStyle name="표준 5 2 2 3 14 6" xfId="26709"/>
    <cellStyle name="표준 5 2 2 3 14 7" xfId="53290"/>
    <cellStyle name="표준 5 2 2 3 15" xfId="1357"/>
    <cellStyle name="표준 5 2 2 3 15 2" xfId="1358"/>
    <cellStyle name="표준 5 2 2 3 15 2 2" xfId="4481"/>
    <cellStyle name="표준 5 2 2 3 15 2 2 2" xfId="10817"/>
    <cellStyle name="표준 5 2 2 3 15 2 2 2 2" xfId="23490"/>
    <cellStyle name="표준 5 2 2 3 15 2 2 2 2 2" xfId="48842"/>
    <cellStyle name="표준 5 2 2 3 15 2 2 2 3" xfId="36170"/>
    <cellStyle name="표준 5 2 2 3 15 2 2 3" xfId="17154"/>
    <cellStyle name="표준 5 2 2 3 15 2 2 3 2" xfId="42506"/>
    <cellStyle name="표준 5 2 2 3 15 2 2 4" xfId="29834"/>
    <cellStyle name="표준 5 2 2 3 15 2 2 5" xfId="53291"/>
    <cellStyle name="표준 5 2 2 3 15 2 3" xfId="7695"/>
    <cellStyle name="표준 5 2 2 3 15 2 3 2" xfId="20368"/>
    <cellStyle name="표준 5 2 2 3 15 2 3 2 2" xfId="45720"/>
    <cellStyle name="표준 5 2 2 3 15 2 3 3" xfId="33048"/>
    <cellStyle name="표준 5 2 2 3 15 2 4" xfId="14032"/>
    <cellStyle name="표준 5 2 2 3 15 2 4 2" xfId="39384"/>
    <cellStyle name="표준 5 2 2 3 15 2 5" xfId="26712"/>
    <cellStyle name="표준 5 2 2 3 15 2 6" xfId="53292"/>
    <cellStyle name="표준 5 2 2 3 15 3" xfId="4482"/>
    <cellStyle name="표준 5 2 2 3 15 3 2" xfId="10818"/>
    <cellStyle name="표준 5 2 2 3 15 3 2 2" xfId="23491"/>
    <cellStyle name="표준 5 2 2 3 15 3 2 2 2" xfId="48843"/>
    <cellStyle name="표준 5 2 2 3 15 3 2 3" xfId="36171"/>
    <cellStyle name="표준 5 2 2 3 15 3 3" xfId="17155"/>
    <cellStyle name="표준 5 2 2 3 15 3 3 2" xfId="42507"/>
    <cellStyle name="표준 5 2 2 3 15 3 4" xfId="29835"/>
    <cellStyle name="표준 5 2 2 3 15 3 5" xfId="53293"/>
    <cellStyle name="표준 5 2 2 3 15 4" xfId="7694"/>
    <cellStyle name="표준 5 2 2 3 15 4 2" xfId="20367"/>
    <cellStyle name="표준 5 2 2 3 15 4 2 2" xfId="45719"/>
    <cellStyle name="표준 5 2 2 3 15 4 3" xfId="33047"/>
    <cellStyle name="표준 5 2 2 3 15 5" xfId="14031"/>
    <cellStyle name="표준 5 2 2 3 15 5 2" xfId="39383"/>
    <cellStyle name="표준 5 2 2 3 15 6" xfId="26711"/>
    <cellStyle name="표준 5 2 2 3 15 7" xfId="53294"/>
    <cellStyle name="표준 5 2 2 3 16" xfId="1359"/>
    <cellStyle name="표준 5 2 2 3 16 2" xfId="1360"/>
    <cellStyle name="표준 5 2 2 3 16 2 2" xfId="4483"/>
    <cellStyle name="표준 5 2 2 3 16 2 2 2" xfId="10819"/>
    <cellStyle name="표준 5 2 2 3 16 2 2 2 2" xfId="23492"/>
    <cellStyle name="표준 5 2 2 3 16 2 2 2 2 2" xfId="48844"/>
    <cellStyle name="표준 5 2 2 3 16 2 2 2 3" xfId="36172"/>
    <cellStyle name="표준 5 2 2 3 16 2 2 3" xfId="17156"/>
    <cellStyle name="표준 5 2 2 3 16 2 2 3 2" xfId="42508"/>
    <cellStyle name="표준 5 2 2 3 16 2 2 4" xfId="29836"/>
    <cellStyle name="표준 5 2 2 3 16 2 2 5" xfId="53295"/>
    <cellStyle name="표준 5 2 2 3 16 2 3" xfId="7697"/>
    <cellStyle name="표준 5 2 2 3 16 2 3 2" xfId="20370"/>
    <cellStyle name="표준 5 2 2 3 16 2 3 2 2" xfId="45722"/>
    <cellStyle name="표준 5 2 2 3 16 2 3 3" xfId="33050"/>
    <cellStyle name="표준 5 2 2 3 16 2 4" xfId="14034"/>
    <cellStyle name="표준 5 2 2 3 16 2 4 2" xfId="39386"/>
    <cellStyle name="표준 5 2 2 3 16 2 5" xfId="26714"/>
    <cellStyle name="표준 5 2 2 3 16 2 6" xfId="53296"/>
    <cellStyle name="표준 5 2 2 3 16 3" xfId="4484"/>
    <cellStyle name="표준 5 2 2 3 16 3 2" xfId="10820"/>
    <cellStyle name="표준 5 2 2 3 16 3 2 2" xfId="23493"/>
    <cellStyle name="표준 5 2 2 3 16 3 2 2 2" xfId="48845"/>
    <cellStyle name="표준 5 2 2 3 16 3 2 3" xfId="36173"/>
    <cellStyle name="표준 5 2 2 3 16 3 3" xfId="17157"/>
    <cellStyle name="표준 5 2 2 3 16 3 3 2" xfId="42509"/>
    <cellStyle name="표준 5 2 2 3 16 3 4" xfId="29837"/>
    <cellStyle name="표준 5 2 2 3 16 3 5" xfId="53297"/>
    <cellStyle name="표준 5 2 2 3 16 4" xfId="7696"/>
    <cellStyle name="표준 5 2 2 3 16 4 2" xfId="20369"/>
    <cellStyle name="표준 5 2 2 3 16 4 2 2" xfId="45721"/>
    <cellStyle name="표준 5 2 2 3 16 4 3" xfId="33049"/>
    <cellStyle name="표준 5 2 2 3 16 5" xfId="14033"/>
    <cellStyle name="표준 5 2 2 3 16 5 2" xfId="39385"/>
    <cellStyle name="표준 5 2 2 3 16 6" xfId="26713"/>
    <cellStyle name="표준 5 2 2 3 16 7" xfId="53298"/>
    <cellStyle name="표준 5 2 2 3 17" xfId="1361"/>
    <cellStyle name="표준 5 2 2 3 17 2" xfId="1362"/>
    <cellStyle name="표준 5 2 2 3 17 2 2" xfId="4485"/>
    <cellStyle name="표준 5 2 2 3 17 2 2 2" xfId="10821"/>
    <cellStyle name="표준 5 2 2 3 17 2 2 2 2" xfId="23494"/>
    <cellStyle name="표준 5 2 2 3 17 2 2 2 2 2" xfId="48846"/>
    <cellStyle name="표준 5 2 2 3 17 2 2 2 3" xfId="36174"/>
    <cellStyle name="표준 5 2 2 3 17 2 2 3" xfId="17158"/>
    <cellStyle name="표준 5 2 2 3 17 2 2 3 2" xfId="42510"/>
    <cellStyle name="표준 5 2 2 3 17 2 2 4" xfId="29838"/>
    <cellStyle name="표준 5 2 2 3 17 2 2 5" xfId="53299"/>
    <cellStyle name="표준 5 2 2 3 17 2 3" xfId="7699"/>
    <cellStyle name="표준 5 2 2 3 17 2 3 2" xfId="20372"/>
    <cellStyle name="표준 5 2 2 3 17 2 3 2 2" xfId="45724"/>
    <cellStyle name="표준 5 2 2 3 17 2 3 3" xfId="33052"/>
    <cellStyle name="표준 5 2 2 3 17 2 4" xfId="14036"/>
    <cellStyle name="표준 5 2 2 3 17 2 4 2" xfId="39388"/>
    <cellStyle name="표준 5 2 2 3 17 2 5" xfId="26716"/>
    <cellStyle name="표준 5 2 2 3 17 2 6" xfId="53300"/>
    <cellStyle name="표준 5 2 2 3 17 3" xfId="4486"/>
    <cellStyle name="표준 5 2 2 3 17 3 2" xfId="10822"/>
    <cellStyle name="표준 5 2 2 3 17 3 2 2" xfId="23495"/>
    <cellStyle name="표준 5 2 2 3 17 3 2 2 2" xfId="48847"/>
    <cellStyle name="표준 5 2 2 3 17 3 2 3" xfId="36175"/>
    <cellStyle name="표준 5 2 2 3 17 3 3" xfId="17159"/>
    <cellStyle name="표준 5 2 2 3 17 3 3 2" xfId="42511"/>
    <cellStyle name="표준 5 2 2 3 17 3 4" xfId="29839"/>
    <cellStyle name="표준 5 2 2 3 17 3 5" xfId="53301"/>
    <cellStyle name="표준 5 2 2 3 17 4" xfId="7698"/>
    <cellStyle name="표준 5 2 2 3 17 4 2" xfId="20371"/>
    <cellStyle name="표준 5 2 2 3 17 4 2 2" xfId="45723"/>
    <cellStyle name="표준 5 2 2 3 17 4 3" xfId="33051"/>
    <cellStyle name="표준 5 2 2 3 17 5" xfId="14035"/>
    <cellStyle name="표준 5 2 2 3 17 5 2" xfId="39387"/>
    <cellStyle name="표준 5 2 2 3 17 6" xfId="26715"/>
    <cellStyle name="표준 5 2 2 3 17 7" xfId="53302"/>
    <cellStyle name="표준 5 2 2 3 18" xfId="1363"/>
    <cellStyle name="표준 5 2 2 3 18 2" xfId="1364"/>
    <cellStyle name="표준 5 2 2 3 18 2 2" xfId="4487"/>
    <cellStyle name="표준 5 2 2 3 18 2 2 2" xfId="10823"/>
    <cellStyle name="표준 5 2 2 3 18 2 2 2 2" xfId="23496"/>
    <cellStyle name="표준 5 2 2 3 18 2 2 2 2 2" xfId="48848"/>
    <cellStyle name="표준 5 2 2 3 18 2 2 2 3" xfId="36176"/>
    <cellStyle name="표준 5 2 2 3 18 2 2 3" xfId="17160"/>
    <cellStyle name="표준 5 2 2 3 18 2 2 3 2" xfId="42512"/>
    <cellStyle name="표준 5 2 2 3 18 2 2 4" xfId="29840"/>
    <cellStyle name="표준 5 2 2 3 18 2 2 5" xfId="53303"/>
    <cellStyle name="표준 5 2 2 3 18 2 3" xfId="7701"/>
    <cellStyle name="표준 5 2 2 3 18 2 3 2" xfId="20374"/>
    <cellStyle name="표준 5 2 2 3 18 2 3 2 2" xfId="45726"/>
    <cellStyle name="표준 5 2 2 3 18 2 3 3" xfId="33054"/>
    <cellStyle name="표준 5 2 2 3 18 2 4" xfId="14038"/>
    <cellStyle name="표준 5 2 2 3 18 2 4 2" xfId="39390"/>
    <cellStyle name="표준 5 2 2 3 18 2 5" xfId="26718"/>
    <cellStyle name="표준 5 2 2 3 18 2 6" xfId="53304"/>
    <cellStyle name="표준 5 2 2 3 18 3" xfId="4488"/>
    <cellStyle name="표준 5 2 2 3 18 3 2" xfId="10824"/>
    <cellStyle name="표준 5 2 2 3 18 3 2 2" xfId="23497"/>
    <cellStyle name="표준 5 2 2 3 18 3 2 2 2" xfId="48849"/>
    <cellStyle name="표준 5 2 2 3 18 3 2 3" xfId="36177"/>
    <cellStyle name="표준 5 2 2 3 18 3 3" xfId="17161"/>
    <cellStyle name="표준 5 2 2 3 18 3 3 2" xfId="42513"/>
    <cellStyle name="표준 5 2 2 3 18 3 4" xfId="29841"/>
    <cellStyle name="표준 5 2 2 3 18 3 5" xfId="53305"/>
    <cellStyle name="표준 5 2 2 3 18 4" xfId="7700"/>
    <cellStyle name="표준 5 2 2 3 18 4 2" xfId="20373"/>
    <cellStyle name="표준 5 2 2 3 18 4 2 2" xfId="45725"/>
    <cellStyle name="표준 5 2 2 3 18 4 3" xfId="33053"/>
    <cellStyle name="표준 5 2 2 3 18 5" xfId="14037"/>
    <cellStyle name="표준 5 2 2 3 18 5 2" xfId="39389"/>
    <cellStyle name="표준 5 2 2 3 18 6" xfId="26717"/>
    <cellStyle name="표준 5 2 2 3 18 7" xfId="53306"/>
    <cellStyle name="표준 5 2 2 3 19" xfId="1365"/>
    <cellStyle name="표준 5 2 2 3 19 2" xfId="1366"/>
    <cellStyle name="표준 5 2 2 3 19 2 2" xfId="4489"/>
    <cellStyle name="표준 5 2 2 3 19 2 2 2" xfId="10825"/>
    <cellStyle name="표준 5 2 2 3 19 2 2 2 2" xfId="23498"/>
    <cellStyle name="표준 5 2 2 3 19 2 2 2 2 2" xfId="48850"/>
    <cellStyle name="표준 5 2 2 3 19 2 2 2 3" xfId="36178"/>
    <cellStyle name="표준 5 2 2 3 19 2 2 3" xfId="17162"/>
    <cellStyle name="표준 5 2 2 3 19 2 2 3 2" xfId="42514"/>
    <cellStyle name="표준 5 2 2 3 19 2 2 4" xfId="29842"/>
    <cellStyle name="표준 5 2 2 3 19 2 2 5" xfId="53307"/>
    <cellStyle name="표준 5 2 2 3 19 2 3" xfId="7703"/>
    <cellStyle name="표준 5 2 2 3 19 2 3 2" xfId="20376"/>
    <cellStyle name="표준 5 2 2 3 19 2 3 2 2" xfId="45728"/>
    <cellStyle name="표준 5 2 2 3 19 2 3 3" xfId="33056"/>
    <cellStyle name="표준 5 2 2 3 19 2 4" xfId="14040"/>
    <cellStyle name="표준 5 2 2 3 19 2 4 2" xfId="39392"/>
    <cellStyle name="표준 5 2 2 3 19 2 5" xfId="26720"/>
    <cellStyle name="표준 5 2 2 3 19 2 6" xfId="53308"/>
    <cellStyle name="표준 5 2 2 3 19 3" xfId="4490"/>
    <cellStyle name="표준 5 2 2 3 19 3 2" xfId="10826"/>
    <cellStyle name="표준 5 2 2 3 19 3 2 2" xfId="23499"/>
    <cellStyle name="표준 5 2 2 3 19 3 2 2 2" xfId="48851"/>
    <cellStyle name="표준 5 2 2 3 19 3 2 3" xfId="36179"/>
    <cellStyle name="표준 5 2 2 3 19 3 3" xfId="17163"/>
    <cellStyle name="표준 5 2 2 3 19 3 3 2" xfId="42515"/>
    <cellStyle name="표준 5 2 2 3 19 3 4" xfId="29843"/>
    <cellStyle name="표준 5 2 2 3 19 3 5" xfId="53309"/>
    <cellStyle name="표준 5 2 2 3 19 4" xfId="7702"/>
    <cellStyle name="표준 5 2 2 3 19 4 2" xfId="20375"/>
    <cellStyle name="표준 5 2 2 3 19 4 2 2" xfId="45727"/>
    <cellStyle name="표준 5 2 2 3 19 4 3" xfId="33055"/>
    <cellStyle name="표준 5 2 2 3 19 5" xfId="14039"/>
    <cellStyle name="표준 5 2 2 3 19 5 2" xfId="39391"/>
    <cellStyle name="표준 5 2 2 3 19 6" xfId="26719"/>
    <cellStyle name="표준 5 2 2 3 19 7" xfId="53310"/>
    <cellStyle name="표준 5 2 2 3 2" xfId="1367"/>
    <cellStyle name="표준 5 2 2 3 2 2" xfId="1368"/>
    <cellStyle name="표준 5 2 2 3 2 2 2" xfId="4491"/>
    <cellStyle name="표준 5 2 2 3 2 2 2 2" xfId="10827"/>
    <cellStyle name="표준 5 2 2 3 2 2 2 2 2" xfId="23500"/>
    <cellStyle name="표준 5 2 2 3 2 2 2 2 2 2" xfId="48852"/>
    <cellStyle name="표준 5 2 2 3 2 2 2 2 3" xfId="36180"/>
    <cellStyle name="표준 5 2 2 3 2 2 2 3" xfId="17164"/>
    <cellStyle name="표준 5 2 2 3 2 2 2 3 2" xfId="42516"/>
    <cellStyle name="표준 5 2 2 3 2 2 2 4" xfId="29844"/>
    <cellStyle name="표준 5 2 2 3 2 2 2 5" xfId="53311"/>
    <cellStyle name="표준 5 2 2 3 2 2 3" xfId="7705"/>
    <cellStyle name="표준 5 2 2 3 2 2 3 2" xfId="20378"/>
    <cellStyle name="표준 5 2 2 3 2 2 3 2 2" xfId="45730"/>
    <cellStyle name="표준 5 2 2 3 2 2 3 3" xfId="33058"/>
    <cellStyle name="표준 5 2 2 3 2 2 4" xfId="14042"/>
    <cellStyle name="표준 5 2 2 3 2 2 4 2" xfId="39394"/>
    <cellStyle name="표준 5 2 2 3 2 2 5" xfId="26722"/>
    <cellStyle name="표준 5 2 2 3 2 2 6" xfId="53312"/>
    <cellStyle name="표준 5 2 2 3 2 3" xfId="4492"/>
    <cellStyle name="표준 5 2 2 3 2 3 2" xfId="10828"/>
    <cellStyle name="표준 5 2 2 3 2 3 2 2" xfId="23501"/>
    <cellStyle name="표준 5 2 2 3 2 3 2 2 2" xfId="48853"/>
    <cellStyle name="표준 5 2 2 3 2 3 2 3" xfId="36181"/>
    <cellStyle name="표준 5 2 2 3 2 3 3" xfId="17165"/>
    <cellStyle name="표준 5 2 2 3 2 3 3 2" xfId="42517"/>
    <cellStyle name="표준 5 2 2 3 2 3 4" xfId="29845"/>
    <cellStyle name="표준 5 2 2 3 2 3 5" xfId="53313"/>
    <cellStyle name="표준 5 2 2 3 2 4" xfId="7704"/>
    <cellStyle name="표준 5 2 2 3 2 4 2" xfId="20377"/>
    <cellStyle name="표준 5 2 2 3 2 4 2 2" xfId="45729"/>
    <cellStyle name="표준 5 2 2 3 2 4 3" xfId="33057"/>
    <cellStyle name="표준 5 2 2 3 2 5" xfId="14041"/>
    <cellStyle name="표준 5 2 2 3 2 5 2" xfId="39393"/>
    <cellStyle name="표준 5 2 2 3 2 6" xfId="26721"/>
    <cellStyle name="표준 5 2 2 3 2 7" xfId="53314"/>
    <cellStyle name="표준 5 2 2 3 20" xfId="1369"/>
    <cellStyle name="표준 5 2 2 3 20 2" xfId="1370"/>
    <cellStyle name="표준 5 2 2 3 20 2 2" xfId="4493"/>
    <cellStyle name="표준 5 2 2 3 20 2 2 2" xfId="10829"/>
    <cellStyle name="표준 5 2 2 3 20 2 2 2 2" xfId="23502"/>
    <cellStyle name="표준 5 2 2 3 20 2 2 2 2 2" xfId="48854"/>
    <cellStyle name="표준 5 2 2 3 20 2 2 2 3" xfId="36182"/>
    <cellStyle name="표준 5 2 2 3 20 2 2 3" xfId="17166"/>
    <cellStyle name="표준 5 2 2 3 20 2 2 3 2" xfId="42518"/>
    <cellStyle name="표준 5 2 2 3 20 2 2 4" xfId="29846"/>
    <cellStyle name="표준 5 2 2 3 20 2 2 5" xfId="53315"/>
    <cellStyle name="표준 5 2 2 3 20 2 3" xfId="7707"/>
    <cellStyle name="표준 5 2 2 3 20 2 3 2" xfId="20380"/>
    <cellStyle name="표준 5 2 2 3 20 2 3 2 2" xfId="45732"/>
    <cellStyle name="표준 5 2 2 3 20 2 3 3" xfId="33060"/>
    <cellStyle name="표준 5 2 2 3 20 2 4" xfId="14044"/>
    <cellStyle name="표준 5 2 2 3 20 2 4 2" xfId="39396"/>
    <cellStyle name="표준 5 2 2 3 20 2 5" xfId="26724"/>
    <cellStyle name="표준 5 2 2 3 20 2 6" xfId="53316"/>
    <cellStyle name="표준 5 2 2 3 20 3" xfId="4494"/>
    <cellStyle name="표준 5 2 2 3 20 3 2" xfId="10830"/>
    <cellStyle name="표준 5 2 2 3 20 3 2 2" xfId="23503"/>
    <cellStyle name="표준 5 2 2 3 20 3 2 2 2" xfId="48855"/>
    <cellStyle name="표준 5 2 2 3 20 3 2 3" xfId="36183"/>
    <cellStyle name="표준 5 2 2 3 20 3 3" xfId="17167"/>
    <cellStyle name="표준 5 2 2 3 20 3 3 2" xfId="42519"/>
    <cellStyle name="표준 5 2 2 3 20 3 4" xfId="29847"/>
    <cellStyle name="표준 5 2 2 3 20 3 5" xfId="53317"/>
    <cellStyle name="표준 5 2 2 3 20 4" xfId="7706"/>
    <cellStyle name="표준 5 2 2 3 20 4 2" xfId="20379"/>
    <cellStyle name="표준 5 2 2 3 20 4 2 2" xfId="45731"/>
    <cellStyle name="표준 5 2 2 3 20 4 3" xfId="33059"/>
    <cellStyle name="표준 5 2 2 3 20 5" xfId="14043"/>
    <cellStyle name="표준 5 2 2 3 20 5 2" xfId="39395"/>
    <cellStyle name="표준 5 2 2 3 20 6" xfId="26723"/>
    <cellStyle name="표준 5 2 2 3 20 7" xfId="53318"/>
    <cellStyle name="표준 5 2 2 3 21" xfId="1371"/>
    <cellStyle name="표준 5 2 2 3 21 2" xfId="1372"/>
    <cellStyle name="표준 5 2 2 3 21 2 2" xfId="4495"/>
    <cellStyle name="표준 5 2 2 3 21 2 2 2" xfId="10831"/>
    <cellStyle name="표준 5 2 2 3 21 2 2 2 2" xfId="23504"/>
    <cellStyle name="표준 5 2 2 3 21 2 2 2 2 2" xfId="48856"/>
    <cellStyle name="표준 5 2 2 3 21 2 2 2 3" xfId="36184"/>
    <cellStyle name="표준 5 2 2 3 21 2 2 3" xfId="17168"/>
    <cellStyle name="표준 5 2 2 3 21 2 2 3 2" xfId="42520"/>
    <cellStyle name="표준 5 2 2 3 21 2 2 4" xfId="29848"/>
    <cellStyle name="표준 5 2 2 3 21 2 2 5" xfId="53319"/>
    <cellStyle name="표준 5 2 2 3 21 2 3" xfId="7709"/>
    <cellStyle name="표준 5 2 2 3 21 2 3 2" xfId="20382"/>
    <cellStyle name="표준 5 2 2 3 21 2 3 2 2" xfId="45734"/>
    <cellStyle name="표준 5 2 2 3 21 2 3 3" xfId="33062"/>
    <cellStyle name="표준 5 2 2 3 21 2 4" xfId="14046"/>
    <cellStyle name="표준 5 2 2 3 21 2 4 2" xfId="39398"/>
    <cellStyle name="표준 5 2 2 3 21 2 5" xfId="26726"/>
    <cellStyle name="표준 5 2 2 3 21 2 6" xfId="53320"/>
    <cellStyle name="표준 5 2 2 3 21 3" xfId="4496"/>
    <cellStyle name="표준 5 2 2 3 21 3 2" xfId="10832"/>
    <cellStyle name="표준 5 2 2 3 21 3 2 2" xfId="23505"/>
    <cellStyle name="표준 5 2 2 3 21 3 2 2 2" xfId="48857"/>
    <cellStyle name="표준 5 2 2 3 21 3 2 3" xfId="36185"/>
    <cellStyle name="표준 5 2 2 3 21 3 3" xfId="17169"/>
    <cellStyle name="표준 5 2 2 3 21 3 3 2" xfId="42521"/>
    <cellStyle name="표준 5 2 2 3 21 3 4" xfId="29849"/>
    <cellStyle name="표준 5 2 2 3 21 3 5" xfId="53321"/>
    <cellStyle name="표준 5 2 2 3 21 4" xfId="7708"/>
    <cellStyle name="표준 5 2 2 3 21 4 2" xfId="20381"/>
    <cellStyle name="표준 5 2 2 3 21 4 2 2" xfId="45733"/>
    <cellStyle name="표준 5 2 2 3 21 4 3" xfId="33061"/>
    <cellStyle name="표준 5 2 2 3 21 5" xfId="14045"/>
    <cellStyle name="표준 5 2 2 3 21 5 2" xfId="39397"/>
    <cellStyle name="표준 5 2 2 3 21 6" xfId="26725"/>
    <cellStyle name="표준 5 2 2 3 21 7" xfId="53322"/>
    <cellStyle name="표준 5 2 2 3 22" xfId="1373"/>
    <cellStyle name="표준 5 2 2 3 22 2" xfId="1374"/>
    <cellStyle name="표준 5 2 2 3 22 2 2" xfId="4497"/>
    <cellStyle name="표준 5 2 2 3 22 2 2 2" xfId="10833"/>
    <cellStyle name="표준 5 2 2 3 22 2 2 2 2" xfId="23506"/>
    <cellStyle name="표준 5 2 2 3 22 2 2 2 2 2" xfId="48858"/>
    <cellStyle name="표준 5 2 2 3 22 2 2 2 3" xfId="36186"/>
    <cellStyle name="표준 5 2 2 3 22 2 2 3" xfId="17170"/>
    <cellStyle name="표준 5 2 2 3 22 2 2 3 2" xfId="42522"/>
    <cellStyle name="표준 5 2 2 3 22 2 2 4" xfId="29850"/>
    <cellStyle name="표준 5 2 2 3 22 2 2 5" xfId="53323"/>
    <cellStyle name="표준 5 2 2 3 22 2 3" xfId="7711"/>
    <cellStyle name="표준 5 2 2 3 22 2 3 2" xfId="20384"/>
    <cellStyle name="표준 5 2 2 3 22 2 3 2 2" xfId="45736"/>
    <cellStyle name="표준 5 2 2 3 22 2 3 3" xfId="33064"/>
    <cellStyle name="표준 5 2 2 3 22 2 4" xfId="14048"/>
    <cellStyle name="표준 5 2 2 3 22 2 4 2" xfId="39400"/>
    <cellStyle name="표준 5 2 2 3 22 2 5" xfId="26728"/>
    <cellStyle name="표준 5 2 2 3 22 2 6" xfId="53324"/>
    <cellStyle name="표준 5 2 2 3 22 3" xfId="4498"/>
    <cellStyle name="표준 5 2 2 3 22 3 2" xfId="10834"/>
    <cellStyle name="표준 5 2 2 3 22 3 2 2" xfId="23507"/>
    <cellStyle name="표준 5 2 2 3 22 3 2 2 2" xfId="48859"/>
    <cellStyle name="표준 5 2 2 3 22 3 2 3" xfId="36187"/>
    <cellStyle name="표준 5 2 2 3 22 3 3" xfId="17171"/>
    <cellStyle name="표준 5 2 2 3 22 3 3 2" xfId="42523"/>
    <cellStyle name="표준 5 2 2 3 22 3 4" xfId="29851"/>
    <cellStyle name="표준 5 2 2 3 22 3 5" xfId="53325"/>
    <cellStyle name="표준 5 2 2 3 22 4" xfId="7710"/>
    <cellStyle name="표준 5 2 2 3 22 4 2" xfId="20383"/>
    <cellStyle name="표준 5 2 2 3 22 4 2 2" xfId="45735"/>
    <cellStyle name="표준 5 2 2 3 22 4 3" xfId="33063"/>
    <cellStyle name="표준 5 2 2 3 22 5" xfId="14047"/>
    <cellStyle name="표준 5 2 2 3 22 5 2" xfId="39399"/>
    <cellStyle name="표준 5 2 2 3 22 6" xfId="26727"/>
    <cellStyle name="표준 5 2 2 3 22 7" xfId="53326"/>
    <cellStyle name="표준 5 2 2 3 23" xfId="1375"/>
    <cellStyle name="표준 5 2 2 3 23 2" xfId="1376"/>
    <cellStyle name="표준 5 2 2 3 23 2 2" xfId="4499"/>
    <cellStyle name="표준 5 2 2 3 23 2 2 2" xfId="10835"/>
    <cellStyle name="표준 5 2 2 3 23 2 2 2 2" xfId="23508"/>
    <cellStyle name="표준 5 2 2 3 23 2 2 2 2 2" xfId="48860"/>
    <cellStyle name="표준 5 2 2 3 23 2 2 2 3" xfId="36188"/>
    <cellStyle name="표준 5 2 2 3 23 2 2 3" xfId="17172"/>
    <cellStyle name="표준 5 2 2 3 23 2 2 3 2" xfId="42524"/>
    <cellStyle name="표준 5 2 2 3 23 2 2 4" xfId="29852"/>
    <cellStyle name="표준 5 2 2 3 23 2 2 5" xfId="53327"/>
    <cellStyle name="표준 5 2 2 3 23 2 3" xfId="7713"/>
    <cellStyle name="표준 5 2 2 3 23 2 3 2" xfId="20386"/>
    <cellStyle name="표준 5 2 2 3 23 2 3 2 2" xfId="45738"/>
    <cellStyle name="표준 5 2 2 3 23 2 3 3" xfId="33066"/>
    <cellStyle name="표준 5 2 2 3 23 2 4" xfId="14050"/>
    <cellStyle name="표준 5 2 2 3 23 2 4 2" xfId="39402"/>
    <cellStyle name="표준 5 2 2 3 23 2 5" xfId="26730"/>
    <cellStyle name="표준 5 2 2 3 23 2 6" xfId="53328"/>
    <cellStyle name="표준 5 2 2 3 23 3" xfId="4500"/>
    <cellStyle name="표준 5 2 2 3 23 3 2" xfId="10836"/>
    <cellStyle name="표준 5 2 2 3 23 3 2 2" xfId="23509"/>
    <cellStyle name="표준 5 2 2 3 23 3 2 2 2" xfId="48861"/>
    <cellStyle name="표준 5 2 2 3 23 3 2 3" xfId="36189"/>
    <cellStyle name="표준 5 2 2 3 23 3 3" xfId="17173"/>
    <cellStyle name="표준 5 2 2 3 23 3 3 2" xfId="42525"/>
    <cellStyle name="표준 5 2 2 3 23 3 4" xfId="29853"/>
    <cellStyle name="표준 5 2 2 3 23 3 5" xfId="53329"/>
    <cellStyle name="표준 5 2 2 3 23 4" xfId="7712"/>
    <cellStyle name="표준 5 2 2 3 23 4 2" xfId="20385"/>
    <cellStyle name="표준 5 2 2 3 23 4 2 2" xfId="45737"/>
    <cellStyle name="표준 5 2 2 3 23 4 3" xfId="33065"/>
    <cellStyle name="표준 5 2 2 3 23 5" xfId="14049"/>
    <cellStyle name="표준 5 2 2 3 23 5 2" xfId="39401"/>
    <cellStyle name="표준 5 2 2 3 23 6" xfId="26729"/>
    <cellStyle name="표준 5 2 2 3 23 7" xfId="53330"/>
    <cellStyle name="표준 5 2 2 3 24" xfId="1377"/>
    <cellStyle name="표준 5 2 2 3 24 2" xfId="1378"/>
    <cellStyle name="표준 5 2 2 3 24 2 2" xfId="4501"/>
    <cellStyle name="표준 5 2 2 3 24 2 2 2" xfId="10837"/>
    <cellStyle name="표준 5 2 2 3 24 2 2 2 2" xfId="23510"/>
    <cellStyle name="표준 5 2 2 3 24 2 2 2 2 2" xfId="48862"/>
    <cellStyle name="표준 5 2 2 3 24 2 2 2 3" xfId="36190"/>
    <cellStyle name="표준 5 2 2 3 24 2 2 3" xfId="17174"/>
    <cellStyle name="표준 5 2 2 3 24 2 2 3 2" xfId="42526"/>
    <cellStyle name="표준 5 2 2 3 24 2 2 4" xfId="29854"/>
    <cellStyle name="표준 5 2 2 3 24 2 2 5" xfId="53331"/>
    <cellStyle name="표준 5 2 2 3 24 2 3" xfId="7715"/>
    <cellStyle name="표준 5 2 2 3 24 2 3 2" xfId="20388"/>
    <cellStyle name="표준 5 2 2 3 24 2 3 2 2" xfId="45740"/>
    <cellStyle name="표준 5 2 2 3 24 2 3 3" xfId="33068"/>
    <cellStyle name="표준 5 2 2 3 24 2 4" xfId="14052"/>
    <cellStyle name="표준 5 2 2 3 24 2 4 2" xfId="39404"/>
    <cellStyle name="표준 5 2 2 3 24 2 5" xfId="26732"/>
    <cellStyle name="표준 5 2 2 3 24 2 6" xfId="53332"/>
    <cellStyle name="표준 5 2 2 3 24 3" xfId="4502"/>
    <cellStyle name="표준 5 2 2 3 24 3 2" xfId="10838"/>
    <cellStyle name="표준 5 2 2 3 24 3 2 2" xfId="23511"/>
    <cellStyle name="표준 5 2 2 3 24 3 2 2 2" xfId="48863"/>
    <cellStyle name="표준 5 2 2 3 24 3 2 3" xfId="36191"/>
    <cellStyle name="표준 5 2 2 3 24 3 3" xfId="17175"/>
    <cellStyle name="표준 5 2 2 3 24 3 3 2" xfId="42527"/>
    <cellStyle name="표준 5 2 2 3 24 3 4" xfId="29855"/>
    <cellStyle name="표준 5 2 2 3 24 3 5" xfId="53333"/>
    <cellStyle name="표준 5 2 2 3 24 4" xfId="7714"/>
    <cellStyle name="표준 5 2 2 3 24 4 2" xfId="20387"/>
    <cellStyle name="표준 5 2 2 3 24 4 2 2" xfId="45739"/>
    <cellStyle name="표준 5 2 2 3 24 4 3" xfId="33067"/>
    <cellStyle name="표준 5 2 2 3 24 5" xfId="14051"/>
    <cellStyle name="표준 5 2 2 3 24 5 2" xfId="39403"/>
    <cellStyle name="표준 5 2 2 3 24 6" xfId="26731"/>
    <cellStyle name="표준 5 2 2 3 24 7" xfId="53334"/>
    <cellStyle name="표준 5 2 2 3 25" xfId="1379"/>
    <cellStyle name="표준 5 2 2 3 25 2" xfId="1380"/>
    <cellStyle name="표준 5 2 2 3 25 2 2" xfId="4503"/>
    <cellStyle name="표준 5 2 2 3 25 2 2 2" xfId="10839"/>
    <cellStyle name="표준 5 2 2 3 25 2 2 2 2" xfId="23512"/>
    <cellStyle name="표준 5 2 2 3 25 2 2 2 2 2" xfId="48864"/>
    <cellStyle name="표준 5 2 2 3 25 2 2 2 3" xfId="36192"/>
    <cellStyle name="표준 5 2 2 3 25 2 2 3" xfId="17176"/>
    <cellStyle name="표준 5 2 2 3 25 2 2 3 2" xfId="42528"/>
    <cellStyle name="표준 5 2 2 3 25 2 2 4" xfId="29856"/>
    <cellStyle name="표준 5 2 2 3 25 2 2 5" xfId="53335"/>
    <cellStyle name="표준 5 2 2 3 25 2 3" xfId="7717"/>
    <cellStyle name="표준 5 2 2 3 25 2 3 2" xfId="20390"/>
    <cellStyle name="표준 5 2 2 3 25 2 3 2 2" xfId="45742"/>
    <cellStyle name="표준 5 2 2 3 25 2 3 3" xfId="33070"/>
    <cellStyle name="표준 5 2 2 3 25 2 4" xfId="14054"/>
    <cellStyle name="표준 5 2 2 3 25 2 4 2" xfId="39406"/>
    <cellStyle name="표준 5 2 2 3 25 2 5" xfId="26734"/>
    <cellStyle name="표준 5 2 2 3 25 2 6" xfId="53336"/>
    <cellStyle name="표준 5 2 2 3 25 3" xfId="4504"/>
    <cellStyle name="표준 5 2 2 3 25 3 2" xfId="10840"/>
    <cellStyle name="표준 5 2 2 3 25 3 2 2" xfId="23513"/>
    <cellStyle name="표준 5 2 2 3 25 3 2 2 2" xfId="48865"/>
    <cellStyle name="표준 5 2 2 3 25 3 2 3" xfId="36193"/>
    <cellStyle name="표준 5 2 2 3 25 3 3" xfId="17177"/>
    <cellStyle name="표준 5 2 2 3 25 3 3 2" xfId="42529"/>
    <cellStyle name="표준 5 2 2 3 25 3 4" xfId="29857"/>
    <cellStyle name="표준 5 2 2 3 25 3 5" xfId="53337"/>
    <cellStyle name="표준 5 2 2 3 25 4" xfId="7716"/>
    <cellStyle name="표준 5 2 2 3 25 4 2" xfId="20389"/>
    <cellStyle name="표준 5 2 2 3 25 4 2 2" xfId="45741"/>
    <cellStyle name="표준 5 2 2 3 25 4 3" xfId="33069"/>
    <cellStyle name="표준 5 2 2 3 25 5" xfId="14053"/>
    <cellStyle name="표준 5 2 2 3 25 5 2" xfId="39405"/>
    <cellStyle name="표준 5 2 2 3 25 6" xfId="26733"/>
    <cellStyle name="표준 5 2 2 3 25 7" xfId="53338"/>
    <cellStyle name="표준 5 2 2 3 26" xfId="1381"/>
    <cellStyle name="표준 5 2 2 3 26 2" xfId="1382"/>
    <cellStyle name="표준 5 2 2 3 26 2 2" xfId="4505"/>
    <cellStyle name="표준 5 2 2 3 26 2 2 2" xfId="10841"/>
    <cellStyle name="표준 5 2 2 3 26 2 2 2 2" xfId="23514"/>
    <cellStyle name="표준 5 2 2 3 26 2 2 2 2 2" xfId="48866"/>
    <cellStyle name="표준 5 2 2 3 26 2 2 2 3" xfId="36194"/>
    <cellStyle name="표준 5 2 2 3 26 2 2 3" xfId="17178"/>
    <cellStyle name="표준 5 2 2 3 26 2 2 3 2" xfId="42530"/>
    <cellStyle name="표준 5 2 2 3 26 2 2 4" xfId="29858"/>
    <cellStyle name="표준 5 2 2 3 26 2 2 5" xfId="53339"/>
    <cellStyle name="표준 5 2 2 3 26 2 3" xfId="7719"/>
    <cellStyle name="표준 5 2 2 3 26 2 3 2" xfId="20392"/>
    <cellStyle name="표준 5 2 2 3 26 2 3 2 2" xfId="45744"/>
    <cellStyle name="표준 5 2 2 3 26 2 3 3" xfId="33072"/>
    <cellStyle name="표준 5 2 2 3 26 2 4" xfId="14056"/>
    <cellStyle name="표준 5 2 2 3 26 2 4 2" xfId="39408"/>
    <cellStyle name="표준 5 2 2 3 26 2 5" xfId="26736"/>
    <cellStyle name="표준 5 2 2 3 26 2 6" xfId="53340"/>
    <cellStyle name="표준 5 2 2 3 26 3" xfId="4506"/>
    <cellStyle name="표준 5 2 2 3 26 3 2" xfId="10842"/>
    <cellStyle name="표준 5 2 2 3 26 3 2 2" xfId="23515"/>
    <cellStyle name="표준 5 2 2 3 26 3 2 2 2" xfId="48867"/>
    <cellStyle name="표준 5 2 2 3 26 3 2 3" xfId="36195"/>
    <cellStyle name="표준 5 2 2 3 26 3 3" xfId="17179"/>
    <cellStyle name="표준 5 2 2 3 26 3 3 2" xfId="42531"/>
    <cellStyle name="표준 5 2 2 3 26 3 4" xfId="29859"/>
    <cellStyle name="표준 5 2 2 3 26 3 5" xfId="53341"/>
    <cellStyle name="표준 5 2 2 3 26 4" xfId="7718"/>
    <cellStyle name="표준 5 2 2 3 26 4 2" xfId="20391"/>
    <cellStyle name="표준 5 2 2 3 26 4 2 2" xfId="45743"/>
    <cellStyle name="표준 5 2 2 3 26 4 3" xfId="33071"/>
    <cellStyle name="표준 5 2 2 3 26 5" xfId="14055"/>
    <cellStyle name="표준 5 2 2 3 26 5 2" xfId="39407"/>
    <cellStyle name="표준 5 2 2 3 26 6" xfId="26735"/>
    <cellStyle name="표준 5 2 2 3 26 7" xfId="53342"/>
    <cellStyle name="표준 5 2 2 3 27" xfId="1383"/>
    <cellStyle name="표준 5 2 2 3 27 2" xfId="1384"/>
    <cellStyle name="표준 5 2 2 3 27 2 2" xfId="4507"/>
    <cellStyle name="표준 5 2 2 3 27 2 2 2" xfId="10843"/>
    <cellStyle name="표준 5 2 2 3 27 2 2 2 2" xfId="23516"/>
    <cellStyle name="표준 5 2 2 3 27 2 2 2 2 2" xfId="48868"/>
    <cellStyle name="표준 5 2 2 3 27 2 2 2 3" xfId="36196"/>
    <cellStyle name="표준 5 2 2 3 27 2 2 3" xfId="17180"/>
    <cellStyle name="표준 5 2 2 3 27 2 2 3 2" xfId="42532"/>
    <cellStyle name="표준 5 2 2 3 27 2 2 4" xfId="29860"/>
    <cellStyle name="표준 5 2 2 3 27 2 2 5" xfId="53343"/>
    <cellStyle name="표준 5 2 2 3 27 2 3" xfId="7721"/>
    <cellStyle name="표준 5 2 2 3 27 2 3 2" xfId="20394"/>
    <cellStyle name="표준 5 2 2 3 27 2 3 2 2" xfId="45746"/>
    <cellStyle name="표준 5 2 2 3 27 2 3 3" xfId="33074"/>
    <cellStyle name="표준 5 2 2 3 27 2 4" xfId="14058"/>
    <cellStyle name="표준 5 2 2 3 27 2 4 2" xfId="39410"/>
    <cellStyle name="표준 5 2 2 3 27 2 5" xfId="26738"/>
    <cellStyle name="표준 5 2 2 3 27 2 6" xfId="53344"/>
    <cellStyle name="표준 5 2 2 3 27 3" xfId="4508"/>
    <cellStyle name="표준 5 2 2 3 27 3 2" xfId="10844"/>
    <cellStyle name="표준 5 2 2 3 27 3 2 2" xfId="23517"/>
    <cellStyle name="표준 5 2 2 3 27 3 2 2 2" xfId="48869"/>
    <cellStyle name="표준 5 2 2 3 27 3 2 3" xfId="36197"/>
    <cellStyle name="표준 5 2 2 3 27 3 3" xfId="17181"/>
    <cellStyle name="표준 5 2 2 3 27 3 3 2" xfId="42533"/>
    <cellStyle name="표준 5 2 2 3 27 3 4" xfId="29861"/>
    <cellStyle name="표준 5 2 2 3 27 3 5" xfId="53345"/>
    <cellStyle name="표준 5 2 2 3 27 4" xfId="7720"/>
    <cellStyle name="표준 5 2 2 3 27 4 2" xfId="20393"/>
    <cellStyle name="표준 5 2 2 3 27 4 2 2" xfId="45745"/>
    <cellStyle name="표준 5 2 2 3 27 4 3" xfId="33073"/>
    <cellStyle name="표준 5 2 2 3 27 5" xfId="14057"/>
    <cellStyle name="표준 5 2 2 3 27 5 2" xfId="39409"/>
    <cellStyle name="표준 5 2 2 3 27 6" xfId="26737"/>
    <cellStyle name="표준 5 2 2 3 27 7" xfId="53346"/>
    <cellStyle name="표준 5 2 2 3 28" xfId="1385"/>
    <cellStyle name="표준 5 2 2 3 28 2" xfId="1386"/>
    <cellStyle name="표준 5 2 2 3 28 2 2" xfId="4509"/>
    <cellStyle name="표준 5 2 2 3 28 2 2 2" xfId="10845"/>
    <cellStyle name="표준 5 2 2 3 28 2 2 2 2" xfId="23518"/>
    <cellStyle name="표준 5 2 2 3 28 2 2 2 2 2" xfId="48870"/>
    <cellStyle name="표준 5 2 2 3 28 2 2 2 3" xfId="36198"/>
    <cellStyle name="표준 5 2 2 3 28 2 2 3" xfId="17182"/>
    <cellStyle name="표준 5 2 2 3 28 2 2 3 2" xfId="42534"/>
    <cellStyle name="표준 5 2 2 3 28 2 2 4" xfId="29862"/>
    <cellStyle name="표준 5 2 2 3 28 2 2 5" xfId="53347"/>
    <cellStyle name="표준 5 2 2 3 28 2 3" xfId="7723"/>
    <cellStyle name="표준 5 2 2 3 28 2 3 2" xfId="20396"/>
    <cellStyle name="표준 5 2 2 3 28 2 3 2 2" xfId="45748"/>
    <cellStyle name="표준 5 2 2 3 28 2 3 3" xfId="33076"/>
    <cellStyle name="표준 5 2 2 3 28 2 4" xfId="14060"/>
    <cellStyle name="표준 5 2 2 3 28 2 4 2" xfId="39412"/>
    <cellStyle name="표준 5 2 2 3 28 2 5" xfId="26740"/>
    <cellStyle name="표준 5 2 2 3 28 2 6" xfId="53348"/>
    <cellStyle name="표준 5 2 2 3 28 3" xfId="4510"/>
    <cellStyle name="표준 5 2 2 3 28 3 2" xfId="10846"/>
    <cellStyle name="표준 5 2 2 3 28 3 2 2" xfId="23519"/>
    <cellStyle name="표준 5 2 2 3 28 3 2 2 2" xfId="48871"/>
    <cellStyle name="표준 5 2 2 3 28 3 2 3" xfId="36199"/>
    <cellStyle name="표준 5 2 2 3 28 3 3" xfId="17183"/>
    <cellStyle name="표준 5 2 2 3 28 3 3 2" xfId="42535"/>
    <cellStyle name="표준 5 2 2 3 28 3 4" xfId="29863"/>
    <cellStyle name="표준 5 2 2 3 28 3 5" xfId="53349"/>
    <cellStyle name="표준 5 2 2 3 28 4" xfId="7722"/>
    <cellStyle name="표준 5 2 2 3 28 4 2" xfId="20395"/>
    <cellStyle name="표준 5 2 2 3 28 4 2 2" xfId="45747"/>
    <cellStyle name="표준 5 2 2 3 28 4 3" xfId="33075"/>
    <cellStyle name="표준 5 2 2 3 28 5" xfId="14059"/>
    <cellStyle name="표준 5 2 2 3 28 5 2" xfId="39411"/>
    <cellStyle name="표준 5 2 2 3 28 6" xfId="26739"/>
    <cellStyle name="표준 5 2 2 3 28 7" xfId="53350"/>
    <cellStyle name="표준 5 2 2 3 29" xfId="1387"/>
    <cellStyle name="표준 5 2 2 3 29 2" xfId="1388"/>
    <cellStyle name="표준 5 2 2 3 29 2 2" xfId="4511"/>
    <cellStyle name="표준 5 2 2 3 29 2 2 2" xfId="10847"/>
    <cellStyle name="표준 5 2 2 3 29 2 2 2 2" xfId="23520"/>
    <cellStyle name="표준 5 2 2 3 29 2 2 2 2 2" xfId="48872"/>
    <cellStyle name="표준 5 2 2 3 29 2 2 2 3" xfId="36200"/>
    <cellStyle name="표준 5 2 2 3 29 2 2 3" xfId="17184"/>
    <cellStyle name="표준 5 2 2 3 29 2 2 3 2" xfId="42536"/>
    <cellStyle name="표준 5 2 2 3 29 2 2 4" xfId="29864"/>
    <cellStyle name="표준 5 2 2 3 29 2 2 5" xfId="53351"/>
    <cellStyle name="표준 5 2 2 3 29 2 3" xfId="7725"/>
    <cellStyle name="표준 5 2 2 3 29 2 3 2" xfId="20398"/>
    <cellStyle name="표준 5 2 2 3 29 2 3 2 2" xfId="45750"/>
    <cellStyle name="표준 5 2 2 3 29 2 3 3" xfId="33078"/>
    <cellStyle name="표준 5 2 2 3 29 2 4" xfId="14062"/>
    <cellStyle name="표준 5 2 2 3 29 2 4 2" xfId="39414"/>
    <cellStyle name="표준 5 2 2 3 29 2 5" xfId="26742"/>
    <cellStyle name="표준 5 2 2 3 29 2 6" xfId="53352"/>
    <cellStyle name="표준 5 2 2 3 29 3" xfId="4512"/>
    <cellStyle name="표준 5 2 2 3 29 3 2" xfId="10848"/>
    <cellStyle name="표준 5 2 2 3 29 3 2 2" xfId="23521"/>
    <cellStyle name="표준 5 2 2 3 29 3 2 2 2" xfId="48873"/>
    <cellStyle name="표준 5 2 2 3 29 3 2 3" xfId="36201"/>
    <cellStyle name="표준 5 2 2 3 29 3 3" xfId="17185"/>
    <cellStyle name="표준 5 2 2 3 29 3 3 2" xfId="42537"/>
    <cellStyle name="표준 5 2 2 3 29 3 4" xfId="29865"/>
    <cellStyle name="표준 5 2 2 3 29 3 5" xfId="53353"/>
    <cellStyle name="표준 5 2 2 3 29 4" xfId="7724"/>
    <cellStyle name="표준 5 2 2 3 29 4 2" xfId="20397"/>
    <cellStyle name="표준 5 2 2 3 29 4 2 2" xfId="45749"/>
    <cellStyle name="표준 5 2 2 3 29 4 3" xfId="33077"/>
    <cellStyle name="표준 5 2 2 3 29 5" xfId="14061"/>
    <cellStyle name="표준 5 2 2 3 29 5 2" xfId="39413"/>
    <cellStyle name="표준 5 2 2 3 29 6" xfId="26741"/>
    <cellStyle name="표준 5 2 2 3 29 7" xfId="53354"/>
    <cellStyle name="표준 5 2 2 3 3" xfId="1389"/>
    <cellStyle name="표준 5 2 2 3 3 2" xfId="1390"/>
    <cellStyle name="표준 5 2 2 3 3 2 2" xfId="4513"/>
    <cellStyle name="표준 5 2 2 3 3 2 2 2" xfId="10849"/>
    <cellStyle name="표준 5 2 2 3 3 2 2 2 2" xfId="23522"/>
    <cellStyle name="표준 5 2 2 3 3 2 2 2 2 2" xfId="48874"/>
    <cellStyle name="표준 5 2 2 3 3 2 2 2 3" xfId="36202"/>
    <cellStyle name="표준 5 2 2 3 3 2 2 3" xfId="17186"/>
    <cellStyle name="표준 5 2 2 3 3 2 2 3 2" xfId="42538"/>
    <cellStyle name="표준 5 2 2 3 3 2 2 4" xfId="29866"/>
    <cellStyle name="표준 5 2 2 3 3 2 2 5" xfId="53355"/>
    <cellStyle name="표준 5 2 2 3 3 2 3" xfId="7727"/>
    <cellStyle name="표준 5 2 2 3 3 2 3 2" xfId="20400"/>
    <cellStyle name="표준 5 2 2 3 3 2 3 2 2" xfId="45752"/>
    <cellStyle name="표준 5 2 2 3 3 2 3 3" xfId="33080"/>
    <cellStyle name="표준 5 2 2 3 3 2 4" xfId="14064"/>
    <cellStyle name="표준 5 2 2 3 3 2 4 2" xfId="39416"/>
    <cellStyle name="표준 5 2 2 3 3 2 5" xfId="26744"/>
    <cellStyle name="표준 5 2 2 3 3 2 6" xfId="53356"/>
    <cellStyle name="표준 5 2 2 3 3 3" xfId="4514"/>
    <cellStyle name="표준 5 2 2 3 3 3 2" xfId="10850"/>
    <cellStyle name="표준 5 2 2 3 3 3 2 2" xfId="23523"/>
    <cellStyle name="표준 5 2 2 3 3 3 2 2 2" xfId="48875"/>
    <cellStyle name="표준 5 2 2 3 3 3 2 3" xfId="36203"/>
    <cellStyle name="표준 5 2 2 3 3 3 3" xfId="17187"/>
    <cellStyle name="표준 5 2 2 3 3 3 3 2" xfId="42539"/>
    <cellStyle name="표준 5 2 2 3 3 3 4" xfId="29867"/>
    <cellStyle name="표준 5 2 2 3 3 3 5" xfId="53357"/>
    <cellStyle name="표준 5 2 2 3 3 4" xfId="7726"/>
    <cellStyle name="표준 5 2 2 3 3 4 2" xfId="20399"/>
    <cellStyle name="표준 5 2 2 3 3 4 2 2" xfId="45751"/>
    <cellStyle name="표준 5 2 2 3 3 4 3" xfId="33079"/>
    <cellStyle name="표준 5 2 2 3 3 5" xfId="14063"/>
    <cellStyle name="표준 5 2 2 3 3 5 2" xfId="39415"/>
    <cellStyle name="표준 5 2 2 3 3 6" xfId="26743"/>
    <cellStyle name="표준 5 2 2 3 3 7" xfId="53358"/>
    <cellStyle name="표준 5 2 2 3 30" xfId="1391"/>
    <cellStyle name="표준 5 2 2 3 30 2" xfId="1392"/>
    <cellStyle name="표준 5 2 2 3 30 2 2" xfId="4515"/>
    <cellStyle name="표준 5 2 2 3 30 2 2 2" xfId="10851"/>
    <cellStyle name="표준 5 2 2 3 30 2 2 2 2" xfId="23524"/>
    <cellStyle name="표준 5 2 2 3 30 2 2 2 2 2" xfId="48876"/>
    <cellStyle name="표준 5 2 2 3 30 2 2 2 3" xfId="36204"/>
    <cellStyle name="표준 5 2 2 3 30 2 2 3" xfId="17188"/>
    <cellStyle name="표준 5 2 2 3 30 2 2 3 2" xfId="42540"/>
    <cellStyle name="표준 5 2 2 3 30 2 2 4" xfId="29868"/>
    <cellStyle name="표준 5 2 2 3 30 2 2 5" xfId="53359"/>
    <cellStyle name="표준 5 2 2 3 30 2 3" xfId="7729"/>
    <cellStyle name="표준 5 2 2 3 30 2 3 2" xfId="20402"/>
    <cellStyle name="표준 5 2 2 3 30 2 3 2 2" xfId="45754"/>
    <cellStyle name="표준 5 2 2 3 30 2 3 3" xfId="33082"/>
    <cellStyle name="표준 5 2 2 3 30 2 4" xfId="14066"/>
    <cellStyle name="표준 5 2 2 3 30 2 4 2" xfId="39418"/>
    <cellStyle name="표준 5 2 2 3 30 2 5" xfId="26746"/>
    <cellStyle name="표준 5 2 2 3 30 2 6" xfId="53360"/>
    <cellStyle name="표준 5 2 2 3 30 3" xfId="4516"/>
    <cellStyle name="표준 5 2 2 3 30 3 2" xfId="10852"/>
    <cellStyle name="표준 5 2 2 3 30 3 2 2" xfId="23525"/>
    <cellStyle name="표준 5 2 2 3 30 3 2 2 2" xfId="48877"/>
    <cellStyle name="표준 5 2 2 3 30 3 2 3" xfId="36205"/>
    <cellStyle name="표준 5 2 2 3 30 3 3" xfId="17189"/>
    <cellStyle name="표준 5 2 2 3 30 3 3 2" xfId="42541"/>
    <cellStyle name="표준 5 2 2 3 30 3 4" xfId="29869"/>
    <cellStyle name="표준 5 2 2 3 30 3 5" xfId="53361"/>
    <cellStyle name="표준 5 2 2 3 30 4" xfId="7728"/>
    <cellStyle name="표준 5 2 2 3 30 4 2" xfId="20401"/>
    <cellStyle name="표준 5 2 2 3 30 4 2 2" xfId="45753"/>
    <cellStyle name="표준 5 2 2 3 30 4 3" xfId="33081"/>
    <cellStyle name="표준 5 2 2 3 30 5" xfId="14065"/>
    <cellStyle name="표준 5 2 2 3 30 5 2" xfId="39417"/>
    <cellStyle name="표준 5 2 2 3 30 6" xfId="26745"/>
    <cellStyle name="표준 5 2 2 3 30 7" xfId="53362"/>
    <cellStyle name="표준 5 2 2 3 31" xfId="1393"/>
    <cellStyle name="표준 5 2 2 3 31 2" xfId="1394"/>
    <cellStyle name="표준 5 2 2 3 31 2 2" xfId="4517"/>
    <cellStyle name="표준 5 2 2 3 31 2 2 2" xfId="10853"/>
    <cellStyle name="표준 5 2 2 3 31 2 2 2 2" xfId="23526"/>
    <cellStyle name="표준 5 2 2 3 31 2 2 2 2 2" xfId="48878"/>
    <cellStyle name="표준 5 2 2 3 31 2 2 2 3" xfId="36206"/>
    <cellStyle name="표준 5 2 2 3 31 2 2 3" xfId="17190"/>
    <cellStyle name="표준 5 2 2 3 31 2 2 3 2" xfId="42542"/>
    <cellStyle name="표준 5 2 2 3 31 2 2 4" xfId="29870"/>
    <cellStyle name="표준 5 2 2 3 31 2 2 5" xfId="53363"/>
    <cellStyle name="표준 5 2 2 3 31 2 3" xfId="7731"/>
    <cellStyle name="표준 5 2 2 3 31 2 3 2" xfId="20404"/>
    <cellStyle name="표준 5 2 2 3 31 2 3 2 2" xfId="45756"/>
    <cellStyle name="표준 5 2 2 3 31 2 3 3" xfId="33084"/>
    <cellStyle name="표준 5 2 2 3 31 2 4" xfId="14068"/>
    <cellStyle name="표준 5 2 2 3 31 2 4 2" xfId="39420"/>
    <cellStyle name="표준 5 2 2 3 31 2 5" xfId="26748"/>
    <cellStyle name="표준 5 2 2 3 31 2 6" xfId="53364"/>
    <cellStyle name="표준 5 2 2 3 31 3" xfId="4518"/>
    <cellStyle name="표준 5 2 2 3 31 3 2" xfId="10854"/>
    <cellStyle name="표준 5 2 2 3 31 3 2 2" xfId="23527"/>
    <cellStyle name="표준 5 2 2 3 31 3 2 2 2" xfId="48879"/>
    <cellStyle name="표준 5 2 2 3 31 3 2 3" xfId="36207"/>
    <cellStyle name="표준 5 2 2 3 31 3 3" xfId="17191"/>
    <cellStyle name="표준 5 2 2 3 31 3 3 2" xfId="42543"/>
    <cellStyle name="표준 5 2 2 3 31 3 4" xfId="29871"/>
    <cellStyle name="표준 5 2 2 3 31 3 5" xfId="53365"/>
    <cellStyle name="표준 5 2 2 3 31 4" xfId="7730"/>
    <cellStyle name="표준 5 2 2 3 31 4 2" xfId="20403"/>
    <cellStyle name="표준 5 2 2 3 31 4 2 2" xfId="45755"/>
    <cellStyle name="표준 5 2 2 3 31 4 3" xfId="33083"/>
    <cellStyle name="표준 5 2 2 3 31 5" xfId="14067"/>
    <cellStyle name="표준 5 2 2 3 31 5 2" xfId="39419"/>
    <cellStyle name="표준 5 2 2 3 31 6" xfId="26747"/>
    <cellStyle name="표준 5 2 2 3 31 7" xfId="53366"/>
    <cellStyle name="표준 5 2 2 3 32" xfId="1395"/>
    <cellStyle name="표준 5 2 2 3 32 2" xfId="1396"/>
    <cellStyle name="표준 5 2 2 3 32 2 2" xfId="4519"/>
    <cellStyle name="표준 5 2 2 3 32 2 2 2" xfId="10855"/>
    <cellStyle name="표준 5 2 2 3 32 2 2 2 2" xfId="23528"/>
    <cellStyle name="표준 5 2 2 3 32 2 2 2 2 2" xfId="48880"/>
    <cellStyle name="표준 5 2 2 3 32 2 2 2 3" xfId="36208"/>
    <cellStyle name="표준 5 2 2 3 32 2 2 3" xfId="17192"/>
    <cellStyle name="표준 5 2 2 3 32 2 2 3 2" xfId="42544"/>
    <cellStyle name="표준 5 2 2 3 32 2 2 4" xfId="29872"/>
    <cellStyle name="표준 5 2 2 3 32 2 2 5" xfId="53367"/>
    <cellStyle name="표준 5 2 2 3 32 2 3" xfId="7733"/>
    <cellStyle name="표준 5 2 2 3 32 2 3 2" xfId="20406"/>
    <cellStyle name="표준 5 2 2 3 32 2 3 2 2" xfId="45758"/>
    <cellStyle name="표준 5 2 2 3 32 2 3 3" xfId="33086"/>
    <cellStyle name="표준 5 2 2 3 32 2 4" xfId="14070"/>
    <cellStyle name="표준 5 2 2 3 32 2 4 2" xfId="39422"/>
    <cellStyle name="표준 5 2 2 3 32 2 5" xfId="26750"/>
    <cellStyle name="표준 5 2 2 3 32 2 6" xfId="53368"/>
    <cellStyle name="표준 5 2 2 3 32 3" xfId="4520"/>
    <cellStyle name="표준 5 2 2 3 32 3 2" xfId="10856"/>
    <cellStyle name="표준 5 2 2 3 32 3 2 2" xfId="23529"/>
    <cellStyle name="표준 5 2 2 3 32 3 2 2 2" xfId="48881"/>
    <cellStyle name="표준 5 2 2 3 32 3 2 3" xfId="36209"/>
    <cellStyle name="표준 5 2 2 3 32 3 3" xfId="17193"/>
    <cellStyle name="표준 5 2 2 3 32 3 3 2" xfId="42545"/>
    <cellStyle name="표준 5 2 2 3 32 3 4" xfId="29873"/>
    <cellStyle name="표준 5 2 2 3 32 3 5" xfId="53369"/>
    <cellStyle name="표준 5 2 2 3 32 4" xfId="7732"/>
    <cellStyle name="표준 5 2 2 3 32 4 2" xfId="20405"/>
    <cellStyle name="표준 5 2 2 3 32 4 2 2" xfId="45757"/>
    <cellStyle name="표준 5 2 2 3 32 4 3" xfId="33085"/>
    <cellStyle name="표준 5 2 2 3 32 5" xfId="14069"/>
    <cellStyle name="표준 5 2 2 3 32 5 2" xfId="39421"/>
    <cellStyle name="표준 5 2 2 3 32 6" xfId="26749"/>
    <cellStyle name="표준 5 2 2 3 32 7" xfId="53370"/>
    <cellStyle name="표준 5 2 2 3 33" xfId="1397"/>
    <cellStyle name="표준 5 2 2 3 33 2" xfId="1398"/>
    <cellStyle name="표준 5 2 2 3 33 2 2" xfId="4521"/>
    <cellStyle name="표준 5 2 2 3 33 2 2 2" xfId="10857"/>
    <cellStyle name="표준 5 2 2 3 33 2 2 2 2" xfId="23530"/>
    <cellStyle name="표준 5 2 2 3 33 2 2 2 2 2" xfId="48882"/>
    <cellStyle name="표준 5 2 2 3 33 2 2 2 3" xfId="36210"/>
    <cellStyle name="표준 5 2 2 3 33 2 2 3" xfId="17194"/>
    <cellStyle name="표준 5 2 2 3 33 2 2 3 2" xfId="42546"/>
    <cellStyle name="표준 5 2 2 3 33 2 2 4" xfId="29874"/>
    <cellStyle name="표준 5 2 2 3 33 2 2 5" xfId="53371"/>
    <cellStyle name="표준 5 2 2 3 33 2 3" xfId="7735"/>
    <cellStyle name="표준 5 2 2 3 33 2 3 2" xfId="20408"/>
    <cellStyle name="표준 5 2 2 3 33 2 3 2 2" xfId="45760"/>
    <cellStyle name="표준 5 2 2 3 33 2 3 3" xfId="33088"/>
    <cellStyle name="표준 5 2 2 3 33 2 4" xfId="14072"/>
    <cellStyle name="표준 5 2 2 3 33 2 4 2" xfId="39424"/>
    <cellStyle name="표준 5 2 2 3 33 2 5" xfId="26752"/>
    <cellStyle name="표준 5 2 2 3 33 2 6" xfId="53372"/>
    <cellStyle name="표준 5 2 2 3 33 3" xfId="4522"/>
    <cellStyle name="표준 5 2 2 3 33 3 2" xfId="10858"/>
    <cellStyle name="표준 5 2 2 3 33 3 2 2" xfId="23531"/>
    <cellStyle name="표준 5 2 2 3 33 3 2 2 2" xfId="48883"/>
    <cellStyle name="표준 5 2 2 3 33 3 2 3" xfId="36211"/>
    <cellStyle name="표준 5 2 2 3 33 3 3" xfId="17195"/>
    <cellStyle name="표준 5 2 2 3 33 3 3 2" xfId="42547"/>
    <cellStyle name="표준 5 2 2 3 33 3 4" xfId="29875"/>
    <cellStyle name="표준 5 2 2 3 33 3 5" xfId="53373"/>
    <cellStyle name="표준 5 2 2 3 33 4" xfId="7734"/>
    <cellStyle name="표준 5 2 2 3 33 4 2" xfId="20407"/>
    <cellStyle name="표준 5 2 2 3 33 4 2 2" xfId="45759"/>
    <cellStyle name="표준 5 2 2 3 33 4 3" xfId="33087"/>
    <cellStyle name="표준 5 2 2 3 33 5" xfId="14071"/>
    <cellStyle name="표준 5 2 2 3 33 5 2" xfId="39423"/>
    <cellStyle name="표준 5 2 2 3 33 6" xfId="26751"/>
    <cellStyle name="표준 5 2 2 3 33 7" xfId="53374"/>
    <cellStyle name="표준 5 2 2 3 34" xfId="1399"/>
    <cellStyle name="표준 5 2 2 3 34 2" xfId="4523"/>
    <cellStyle name="표준 5 2 2 3 34 2 2" xfId="10859"/>
    <cellStyle name="표준 5 2 2 3 34 2 2 2" xfId="23532"/>
    <cellStyle name="표준 5 2 2 3 34 2 2 2 2" xfId="48884"/>
    <cellStyle name="표준 5 2 2 3 34 2 2 3" xfId="36212"/>
    <cellStyle name="표준 5 2 2 3 34 2 3" xfId="17196"/>
    <cellStyle name="표준 5 2 2 3 34 2 3 2" xfId="42548"/>
    <cellStyle name="표준 5 2 2 3 34 2 4" xfId="29876"/>
    <cellStyle name="표준 5 2 2 3 34 2 5" xfId="53375"/>
    <cellStyle name="표준 5 2 2 3 34 3" xfId="7736"/>
    <cellStyle name="표준 5 2 2 3 34 3 2" xfId="20409"/>
    <cellStyle name="표준 5 2 2 3 34 3 2 2" xfId="45761"/>
    <cellStyle name="표준 5 2 2 3 34 3 3" xfId="33089"/>
    <cellStyle name="표준 5 2 2 3 34 4" xfId="14073"/>
    <cellStyle name="표준 5 2 2 3 34 4 2" xfId="39425"/>
    <cellStyle name="표준 5 2 2 3 34 5" xfId="26753"/>
    <cellStyle name="표준 5 2 2 3 34 6" xfId="53376"/>
    <cellStyle name="표준 5 2 2 3 35" xfId="4524"/>
    <cellStyle name="표준 5 2 2 3 35 2" xfId="10860"/>
    <cellStyle name="표준 5 2 2 3 35 2 2" xfId="23533"/>
    <cellStyle name="표준 5 2 2 3 35 2 2 2" xfId="48885"/>
    <cellStyle name="표준 5 2 2 3 35 2 3" xfId="36213"/>
    <cellStyle name="표준 5 2 2 3 35 3" xfId="17197"/>
    <cellStyle name="표준 5 2 2 3 35 3 2" xfId="42549"/>
    <cellStyle name="표준 5 2 2 3 35 4" xfId="29877"/>
    <cellStyle name="표준 5 2 2 3 35 5" xfId="53377"/>
    <cellStyle name="표준 5 2 2 3 36" xfId="6413"/>
    <cellStyle name="표준 5 2 2 3 36 2" xfId="19086"/>
    <cellStyle name="표준 5 2 2 3 36 2 2" xfId="44438"/>
    <cellStyle name="표준 5 2 2 3 36 3" xfId="31766"/>
    <cellStyle name="표준 5 2 2 3 37" xfId="12750"/>
    <cellStyle name="표준 5 2 2 3 37 2" xfId="38102"/>
    <cellStyle name="표준 5 2 2 3 38" xfId="25430"/>
    <cellStyle name="표준 5 2 2 3 39" xfId="53378"/>
    <cellStyle name="표준 5 2 2 3 4" xfId="1400"/>
    <cellStyle name="표준 5 2 2 3 4 2" xfId="1401"/>
    <cellStyle name="표준 5 2 2 3 4 2 2" xfId="4525"/>
    <cellStyle name="표준 5 2 2 3 4 2 2 2" xfId="10861"/>
    <cellStyle name="표준 5 2 2 3 4 2 2 2 2" xfId="23534"/>
    <cellStyle name="표준 5 2 2 3 4 2 2 2 2 2" xfId="48886"/>
    <cellStyle name="표준 5 2 2 3 4 2 2 2 3" xfId="36214"/>
    <cellStyle name="표준 5 2 2 3 4 2 2 3" xfId="17198"/>
    <cellStyle name="표준 5 2 2 3 4 2 2 3 2" xfId="42550"/>
    <cellStyle name="표준 5 2 2 3 4 2 2 4" xfId="29878"/>
    <cellStyle name="표준 5 2 2 3 4 2 2 5" xfId="53379"/>
    <cellStyle name="표준 5 2 2 3 4 2 3" xfId="7738"/>
    <cellStyle name="표준 5 2 2 3 4 2 3 2" xfId="20411"/>
    <cellStyle name="표준 5 2 2 3 4 2 3 2 2" xfId="45763"/>
    <cellStyle name="표준 5 2 2 3 4 2 3 3" xfId="33091"/>
    <cellStyle name="표준 5 2 2 3 4 2 4" xfId="14075"/>
    <cellStyle name="표준 5 2 2 3 4 2 4 2" xfId="39427"/>
    <cellStyle name="표준 5 2 2 3 4 2 5" xfId="26755"/>
    <cellStyle name="표준 5 2 2 3 4 2 6" xfId="53380"/>
    <cellStyle name="표준 5 2 2 3 4 3" xfId="4526"/>
    <cellStyle name="표준 5 2 2 3 4 3 2" xfId="10862"/>
    <cellStyle name="표준 5 2 2 3 4 3 2 2" xfId="23535"/>
    <cellStyle name="표준 5 2 2 3 4 3 2 2 2" xfId="48887"/>
    <cellStyle name="표준 5 2 2 3 4 3 2 3" xfId="36215"/>
    <cellStyle name="표준 5 2 2 3 4 3 3" xfId="17199"/>
    <cellStyle name="표준 5 2 2 3 4 3 3 2" xfId="42551"/>
    <cellStyle name="표준 5 2 2 3 4 3 4" xfId="29879"/>
    <cellStyle name="표준 5 2 2 3 4 3 5" xfId="53381"/>
    <cellStyle name="표준 5 2 2 3 4 4" xfId="7737"/>
    <cellStyle name="표준 5 2 2 3 4 4 2" xfId="20410"/>
    <cellStyle name="표준 5 2 2 3 4 4 2 2" xfId="45762"/>
    <cellStyle name="표준 5 2 2 3 4 4 3" xfId="33090"/>
    <cellStyle name="표준 5 2 2 3 4 5" xfId="14074"/>
    <cellStyle name="표준 5 2 2 3 4 5 2" xfId="39426"/>
    <cellStyle name="표준 5 2 2 3 4 6" xfId="26754"/>
    <cellStyle name="표준 5 2 2 3 4 7" xfId="53382"/>
    <cellStyle name="표준 5 2 2 3 5" xfId="1402"/>
    <cellStyle name="표준 5 2 2 3 5 2" xfId="1403"/>
    <cellStyle name="표준 5 2 2 3 5 2 2" xfId="4527"/>
    <cellStyle name="표준 5 2 2 3 5 2 2 2" xfId="10863"/>
    <cellStyle name="표준 5 2 2 3 5 2 2 2 2" xfId="23536"/>
    <cellStyle name="표준 5 2 2 3 5 2 2 2 2 2" xfId="48888"/>
    <cellStyle name="표준 5 2 2 3 5 2 2 2 3" xfId="36216"/>
    <cellStyle name="표준 5 2 2 3 5 2 2 3" xfId="17200"/>
    <cellStyle name="표준 5 2 2 3 5 2 2 3 2" xfId="42552"/>
    <cellStyle name="표준 5 2 2 3 5 2 2 4" xfId="29880"/>
    <cellStyle name="표준 5 2 2 3 5 2 2 5" xfId="53383"/>
    <cellStyle name="표준 5 2 2 3 5 2 3" xfId="7740"/>
    <cellStyle name="표준 5 2 2 3 5 2 3 2" xfId="20413"/>
    <cellStyle name="표준 5 2 2 3 5 2 3 2 2" xfId="45765"/>
    <cellStyle name="표준 5 2 2 3 5 2 3 3" xfId="33093"/>
    <cellStyle name="표준 5 2 2 3 5 2 4" xfId="14077"/>
    <cellStyle name="표준 5 2 2 3 5 2 4 2" xfId="39429"/>
    <cellStyle name="표준 5 2 2 3 5 2 5" xfId="26757"/>
    <cellStyle name="표준 5 2 2 3 5 2 6" xfId="53384"/>
    <cellStyle name="표준 5 2 2 3 5 3" xfId="4528"/>
    <cellStyle name="표준 5 2 2 3 5 3 2" xfId="10864"/>
    <cellStyle name="표준 5 2 2 3 5 3 2 2" xfId="23537"/>
    <cellStyle name="표준 5 2 2 3 5 3 2 2 2" xfId="48889"/>
    <cellStyle name="표준 5 2 2 3 5 3 2 3" xfId="36217"/>
    <cellStyle name="표준 5 2 2 3 5 3 3" xfId="17201"/>
    <cellStyle name="표준 5 2 2 3 5 3 3 2" xfId="42553"/>
    <cellStyle name="표준 5 2 2 3 5 3 4" xfId="29881"/>
    <cellStyle name="표준 5 2 2 3 5 3 5" xfId="53385"/>
    <cellStyle name="표준 5 2 2 3 5 4" xfId="7739"/>
    <cellStyle name="표준 5 2 2 3 5 4 2" xfId="20412"/>
    <cellStyle name="표준 5 2 2 3 5 4 2 2" xfId="45764"/>
    <cellStyle name="표준 5 2 2 3 5 4 3" xfId="33092"/>
    <cellStyle name="표준 5 2 2 3 5 5" xfId="14076"/>
    <cellStyle name="표준 5 2 2 3 5 5 2" xfId="39428"/>
    <cellStyle name="표준 5 2 2 3 5 6" xfId="26756"/>
    <cellStyle name="표준 5 2 2 3 5 7" xfId="53386"/>
    <cellStyle name="표준 5 2 2 3 6" xfId="1404"/>
    <cellStyle name="표준 5 2 2 3 6 2" xfId="1405"/>
    <cellStyle name="표준 5 2 2 3 6 2 2" xfId="4529"/>
    <cellStyle name="표준 5 2 2 3 6 2 2 2" xfId="10865"/>
    <cellStyle name="표준 5 2 2 3 6 2 2 2 2" xfId="23538"/>
    <cellStyle name="표준 5 2 2 3 6 2 2 2 2 2" xfId="48890"/>
    <cellStyle name="표준 5 2 2 3 6 2 2 2 3" xfId="36218"/>
    <cellStyle name="표준 5 2 2 3 6 2 2 3" xfId="17202"/>
    <cellStyle name="표준 5 2 2 3 6 2 2 3 2" xfId="42554"/>
    <cellStyle name="표준 5 2 2 3 6 2 2 4" xfId="29882"/>
    <cellStyle name="표준 5 2 2 3 6 2 2 5" xfId="53387"/>
    <cellStyle name="표준 5 2 2 3 6 2 3" xfId="7742"/>
    <cellStyle name="표준 5 2 2 3 6 2 3 2" xfId="20415"/>
    <cellStyle name="표준 5 2 2 3 6 2 3 2 2" xfId="45767"/>
    <cellStyle name="표준 5 2 2 3 6 2 3 3" xfId="33095"/>
    <cellStyle name="표준 5 2 2 3 6 2 4" xfId="14079"/>
    <cellStyle name="표준 5 2 2 3 6 2 4 2" xfId="39431"/>
    <cellStyle name="표준 5 2 2 3 6 2 5" xfId="26759"/>
    <cellStyle name="표준 5 2 2 3 6 2 6" xfId="53388"/>
    <cellStyle name="표준 5 2 2 3 6 3" xfId="4530"/>
    <cellStyle name="표준 5 2 2 3 6 3 2" xfId="10866"/>
    <cellStyle name="표준 5 2 2 3 6 3 2 2" xfId="23539"/>
    <cellStyle name="표준 5 2 2 3 6 3 2 2 2" xfId="48891"/>
    <cellStyle name="표준 5 2 2 3 6 3 2 3" xfId="36219"/>
    <cellStyle name="표준 5 2 2 3 6 3 3" xfId="17203"/>
    <cellStyle name="표준 5 2 2 3 6 3 3 2" xfId="42555"/>
    <cellStyle name="표준 5 2 2 3 6 3 4" xfId="29883"/>
    <cellStyle name="표준 5 2 2 3 6 3 5" xfId="53389"/>
    <cellStyle name="표준 5 2 2 3 6 4" xfId="7741"/>
    <cellStyle name="표준 5 2 2 3 6 4 2" xfId="20414"/>
    <cellStyle name="표준 5 2 2 3 6 4 2 2" xfId="45766"/>
    <cellStyle name="표준 5 2 2 3 6 4 3" xfId="33094"/>
    <cellStyle name="표준 5 2 2 3 6 5" xfId="14078"/>
    <cellStyle name="표준 5 2 2 3 6 5 2" xfId="39430"/>
    <cellStyle name="표준 5 2 2 3 6 6" xfId="26758"/>
    <cellStyle name="표준 5 2 2 3 6 7" xfId="53390"/>
    <cellStyle name="표준 5 2 2 3 7" xfId="1406"/>
    <cellStyle name="표준 5 2 2 3 7 2" xfId="1407"/>
    <cellStyle name="표준 5 2 2 3 7 2 2" xfId="4531"/>
    <cellStyle name="표준 5 2 2 3 7 2 2 2" xfId="10867"/>
    <cellStyle name="표준 5 2 2 3 7 2 2 2 2" xfId="23540"/>
    <cellStyle name="표준 5 2 2 3 7 2 2 2 2 2" xfId="48892"/>
    <cellStyle name="표준 5 2 2 3 7 2 2 2 3" xfId="36220"/>
    <cellStyle name="표준 5 2 2 3 7 2 2 3" xfId="17204"/>
    <cellStyle name="표준 5 2 2 3 7 2 2 3 2" xfId="42556"/>
    <cellStyle name="표준 5 2 2 3 7 2 2 4" xfId="29884"/>
    <cellStyle name="표준 5 2 2 3 7 2 2 5" xfId="53391"/>
    <cellStyle name="표준 5 2 2 3 7 2 3" xfId="7744"/>
    <cellStyle name="표준 5 2 2 3 7 2 3 2" xfId="20417"/>
    <cellStyle name="표준 5 2 2 3 7 2 3 2 2" xfId="45769"/>
    <cellStyle name="표준 5 2 2 3 7 2 3 3" xfId="33097"/>
    <cellStyle name="표준 5 2 2 3 7 2 4" xfId="14081"/>
    <cellStyle name="표준 5 2 2 3 7 2 4 2" xfId="39433"/>
    <cellStyle name="표준 5 2 2 3 7 2 5" xfId="26761"/>
    <cellStyle name="표준 5 2 2 3 7 2 6" xfId="53392"/>
    <cellStyle name="표준 5 2 2 3 7 3" xfId="4532"/>
    <cellStyle name="표준 5 2 2 3 7 3 2" xfId="10868"/>
    <cellStyle name="표준 5 2 2 3 7 3 2 2" xfId="23541"/>
    <cellStyle name="표준 5 2 2 3 7 3 2 2 2" xfId="48893"/>
    <cellStyle name="표준 5 2 2 3 7 3 2 3" xfId="36221"/>
    <cellStyle name="표준 5 2 2 3 7 3 3" xfId="17205"/>
    <cellStyle name="표준 5 2 2 3 7 3 3 2" xfId="42557"/>
    <cellStyle name="표준 5 2 2 3 7 3 4" xfId="29885"/>
    <cellStyle name="표준 5 2 2 3 7 3 5" xfId="53393"/>
    <cellStyle name="표준 5 2 2 3 7 4" xfId="7743"/>
    <cellStyle name="표준 5 2 2 3 7 4 2" xfId="20416"/>
    <cellStyle name="표준 5 2 2 3 7 4 2 2" xfId="45768"/>
    <cellStyle name="표준 5 2 2 3 7 4 3" xfId="33096"/>
    <cellStyle name="표준 5 2 2 3 7 5" xfId="14080"/>
    <cellStyle name="표준 5 2 2 3 7 5 2" xfId="39432"/>
    <cellStyle name="표준 5 2 2 3 7 6" xfId="26760"/>
    <cellStyle name="표준 5 2 2 3 7 7" xfId="53394"/>
    <cellStyle name="표준 5 2 2 3 8" xfId="1408"/>
    <cellStyle name="표준 5 2 2 3 8 2" xfId="1409"/>
    <cellStyle name="표준 5 2 2 3 8 2 2" xfId="4533"/>
    <cellStyle name="표준 5 2 2 3 8 2 2 2" xfId="10869"/>
    <cellStyle name="표준 5 2 2 3 8 2 2 2 2" xfId="23542"/>
    <cellStyle name="표준 5 2 2 3 8 2 2 2 2 2" xfId="48894"/>
    <cellStyle name="표준 5 2 2 3 8 2 2 2 3" xfId="36222"/>
    <cellStyle name="표준 5 2 2 3 8 2 2 3" xfId="17206"/>
    <cellStyle name="표준 5 2 2 3 8 2 2 3 2" xfId="42558"/>
    <cellStyle name="표준 5 2 2 3 8 2 2 4" xfId="29886"/>
    <cellStyle name="표준 5 2 2 3 8 2 2 5" xfId="53395"/>
    <cellStyle name="표준 5 2 2 3 8 2 3" xfId="7746"/>
    <cellStyle name="표준 5 2 2 3 8 2 3 2" xfId="20419"/>
    <cellStyle name="표준 5 2 2 3 8 2 3 2 2" xfId="45771"/>
    <cellStyle name="표준 5 2 2 3 8 2 3 3" xfId="33099"/>
    <cellStyle name="표준 5 2 2 3 8 2 4" xfId="14083"/>
    <cellStyle name="표준 5 2 2 3 8 2 4 2" xfId="39435"/>
    <cellStyle name="표준 5 2 2 3 8 2 5" xfId="26763"/>
    <cellStyle name="표준 5 2 2 3 8 2 6" xfId="53396"/>
    <cellStyle name="표준 5 2 2 3 8 3" xfId="4534"/>
    <cellStyle name="표준 5 2 2 3 8 3 2" xfId="10870"/>
    <cellStyle name="표준 5 2 2 3 8 3 2 2" xfId="23543"/>
    <cellStyle name="표준 5 2 2 3 8 3 2 2 2" xfId="48895"/>
    <cellStyle name="표준 5 2 2 3 8 3 2 3" xfId="36223"/>
    <cellStyle name="표준 5 2 2 3 8 3 3" xfId="17207"/>
    <cellStyle name="표준 5 2 2 3 8 3 3 2" xfId="42559"/>
    <cellStyle name="표준 5 2 2 3 8 3 4" xfId="29887"/>
    <cellStyle name="표준 5 2 2 3 8 3 5" xfId="53397"/>
    <cellStyle name="표준 5 2 2 3 8 4" xfId="7745"/>
    <cellStyle name="표준 5 2 2 3 8 4 2" xfId="20418"/>
    <cellStyle name="표준 5 2 2 3 8 4 2 2" xfId="45770"/>
    <cellStyle name="표준 5 2 2 3 8 4 3" xfId="33098"/>
    <cellStyle name="표준 5 2 2 3 8 5" xfId="14082"/>
    <cellStyle name="표준 5 2 2 3 8 5 2" xfId="39434"/>
    <cellStyle name="표준 5 2 2 3 8 6" xfId="26762"/>
    <cellStyle name="표준 5 2 2 3 8 7" xfId="53398"/>
    <cellStyle name="표준 5 2 2 3 9" xfId="1410"/>
    <cellStyle name="표준 5 2 2 3 9 2" xfId="1411"/>
    <cellStyle name="표준 5 2 2 3 9 2 2" xfId="4535"/>
    <cellStyle name="표준 5 2 2 3 9 2 2 2" xfId="10871"/>
    <cellStyle name="표준 5 2 2 3 9 2 2 2 2" xfId="23544"/>
    <cellStyle name="표준 5 2 2 3 9 2 2 2 2 2" xfId="48896"/>
    <cellStyle name="표준 5 2 2 3 9 2 2 2 3" xfId="36224"/>
    <cellStyle name="표준 5 2 2 3 9 2 2 3" xfId="17208"/>
    <cellStyle name="표준 5 2 2 3 9 2 2 3 2" xfId="42560"/>
    <cellStyle name="표준 5 2 2 3 9 2 2 4" xfId="29888"/>
    <cellStyle name="표준 5 2 2 3 9 2 2 5" xfId="53399"/>
    <cellStyle name="표준 5 2 2 3 9 2 3" xfId="7748"/>
    <cellStyle name="표준 5 2 2 3 9 2 3 2" xfId="20421"/>
    <cellStyle name="표준 5 2 2 3 9 2 3 2 2" xfId="45773"/>
    <cellStyle name="표준 5 2 2 3 9 2 3 3" xfId="33101"/>
    <cellStyle name="표준 5 2 2 3 9 2 4" xfId="14085"/>
    <cellStyle name="표준 5 2 2 3 9 2 4 2" xfId="39437"/>
    <cellStyle name="표준 5 2 2 3 9 2 5" xfId="26765"/>
    <cellStyle name="표준 5 2 2 3 9 2 6" xfId="53400"/>
    <cellStyle name="표준 5 2 2 3 9 3" xfId="4536"/>
    <cellStyle name="표준 5 2 2 3 9 3 2" xfId="10872"/>
    <cellStyle name="표준 5 2 2 3 9 3 2 2" xfId="23545"/>
    <cellStyle name="표준 5 2 2 3 9 3 2 2 2" xfId="48897"/>
    <cellStyle name="표준 5 2 2 3 9 3 2 3" xfId="36225"/>
    <cellStyle name="표준 5 2 2 3 9 3 3" xfId="17209"/>
    <cellStyle name="표준 5 2 2 3 9 3 3 2" xfId="42561"/>
    <cellStyle name="표준 5 2 2 3 9 3 4" xfId="29889"/>
    <cellStyle name="표준 5 2 2 3 9 3 5" xfId="53401"/>
    <cellStyle name="표준 5 2 2 3 9 4" xfId="7747"/>
    <cellStyle name="표준 5 2 2 3 9 4 2" xfId="20420"/>
    <cellStyle name="표준 5 2 2 3 9 4 2 2" xfId="45772"/>
    <cellStyle name="표준 5 2 2 3 9 4 3" xfId="33100"/>
    <cellStyle name="표준 5 2 2 3 9 5" xfId="14084"/>
    <cellStyle name="표준 5 2 2 3 9 5 2" xfId="39436"/>
    <cellStyle name="표준 5 2 2 3 9 6" xfId="26764"/>
    <cellStyle name="표준 5 2 2 3 9 7" xfId="53402"/>
    <cellStyle name="표준 5 2 2 30" xfId="1412"/>
    <cellStyle name="표준 5 2 2 30 2" xfId="1413"/>
    <cellStyle name="표준 5 2 2 30 2 2" xfId="4537"/>
    <cellStyle name="표준 5 2 2 30 2 2 2" xfId="10873"/>
    <cellStyle name="표준 5 2 2 30 2 2 2 2" xfId="23546"/>
    <cellStyle name="표준 5 2 2 30 2 2 2 2 2" xfId="48898"/>
    <cellStyle name="표준 5 2 2 30 2 2 2 3" xfId="36226"/>
    <cellStyle name="표준 5 2 2 30 2 2 3" xfId="17210"/>
    <cellStyle name="표준 5 2 2 30 2 2 3 2" xfId="42562"/>
    <cellStyle name="표준 5 2 2 30 2 2 4" xfId="29890"/>
    <cellStyle name="표준 5 2 2 30 2 2 5" xfId="53403"/>
    <cellStyle name="표준 5 2 2 30 2 3" xfId="7750"/>
    <cellStyle name="표준 5 2 2 30 2 3 2" xfId="20423"/>
    <cellStyle name="표준 5 2 2 30 2 3 2 2" xfId="45775"/>
    <cellStyle name="표준 5 2 2 30 2 3 3" xfId="33103"/>
    <cellStyle name="표준 5 2 2 30 2 4" xfId="14087"/>
    <cellStyle name="표준 5 2 2 30 2 4 2" xfId="39439"/>
    <cellStyle name="표준 5 2 2 30 2 5" xfId="26767"/>
    <cellStyle name="표준 5 2 2 30 2 6" xfId="53404"/>
    <cellStyle name="표준 5 2 2 30 3" xfId="4538"/>
    <cellStyle name="표준 5 2 2 30 3 2" xfId="10874"/>
    <cellStyle name="표준 5 2 2 30 3 2 2" xfId="23547"/>
    <cellStyle name="표준 5 2 2 30 3 2 2 2" xfId="48899"/>
    <cellStyle name="표준 5 2 2 30 3 2 3" xfId="36227"/>
    <cellStyle name="표준 5 2 2 30 3 3" xfId="17211"/>
    <cellStyle name="표준 5 2 2 30 3 3 2" xfId="42563"/>
    <cellStyle name="표준 5 2 2 30 3 4" xfId="29891"/>
    <cellStyle name="표준 5 2 2 30 3 5" xfId="53405"/>
    <cellStyle name="표준 5 2 2 30 4" xfId="7749"/>
    <cellStyle name="표준 5 2 2 30 4 2" xfId="20422"/>
    <cellStyle name="표준 5 2 2 30 4 2 2" xfId="45774"/>
    <cellStyle name="표준 5 2 2 30 4 3" xfId="33102"/>
    <cellStyle name="표준 5 2 2 30 5" xfId="14086"/>
    <cellStyle name="표준 5 2 2 30 5 2" xfId="39438"/>
    <cellStyle name="표준 5 2 2 30 6" xfId="26766"/>
    <cellStyle name="표준 5 2 2 30 7" xfId="53406"/>
    <cellStyle name="표준 5 2 2 31" xfId="1414"/>
    <cellStyle name="표준 5 2 2 31 2" xfId="1415"/>
    <cellStyle name="표준 5 2 2 31 2 2" xfId="4539"/>
    <cellStyle name="표준 5 2 2 31 2 2 2" xfId="10875"/>
    <cellStyle name="표준 5 2 2 31 2 2 2 2" xfId="23548"/>
    <cellStyle name="표준 5 2 2 31 2 2 2 2 2" xfId="48900"/>
    <cellStyle name="표준 5 2 2 31 2 2 2 3" xfId="36228"/>
    <cellStyle name="표준 5 2 2 31 2 2 3" xfId="17212"/>
    <cellStyle name="표준 5 2 2 31 2 2 3 2" xfId="42564"/>
    <cellStyle name="표준 5 2 2 31 2 2 4" xfId="29892"/>
    <cellStyle name="표준 5 2 2 31 2 2 5" xfId="53407"/>
    <cellStyle name="표준 5 2 2 31 2 3" xfId="7752"/>
    <cellStyle name="표준 5 2 2 31 2 3 2" xfId="20425"/>
    <cellStyle name="표준 5 2 2 31 2 3 2 2" xfId="45777"/>
    <cellStyle name="표준 5 2 2 31 2 3 3" xfId="33105"/>
    <cellStyle name="표준 5 2 2 31 2 4" xfId="14089"/>
    <cellStyle name="표준 5 2 2 31 2 4 2" xfId="39441"/>
    <cellStyle name="표준 5 2 2 31 2 5" xfId="26769"/>
    <cellStyle name="표준 5 2 2 31 2 6" xfId="53408"/>
    <cellStyle name="표준 5 2 2 31 3" xfId="4540"/>
    <cellStyle name="표준 5 2 2 31 3 2" xfId="10876"/>
    <cellStyle name="표준 5 2 2 31 3 2 2" xfId="23549"/>
    <cellStyle name="표준 5 2 2 31 3 2 2 2" xfId="48901"/>
    <cellStyle name="표준 5 2 2 31 3 2 3" xfId="36229"/>
    <cellStyle name="표준 5 2 2 31 3 3" xfId="17213"/>
    <cellStyle name="표준 5 2 2 31 3 3 2" xfId="42565"/>
    <cellStyle name="표준 5 2 2 31 3 4" xfId="29893"/>
    <cellStyle name="표준 5 2 2 31 3 5" xfId="53409"/>
    <cellStyle name="표준 5 2 2 31 4" xfId="7751"/>
    <cellStyle name="표준 5 2 2 31 4 2" xfId="20424"/>
    <cellStyle name="표준 5 2 2 31 4 2 2" xfId="45776"/>
    <cellStyle name="표준 5 2 2 31 4 3" xfId="33104"/>
    <cellStyle name="표준 5 2 2 31 5" xfId="14088"/>
    <cellStyle name="표준 5 2 2 31 5 2" xfId="39440"/>
    <cellStyle name="표준 5 2 2 31 6" xfId="26768"/>
    <cellStyle name="표준 5 2 2 31 7" xfId="53410"/>
    <cellStyle name="표준 5 2 2 32" xfId="1416"/>
    <cellStyle name="표준 5 2 2 32 2" xfId="1417"/>
    <cellStyle name="표준 5 2 2 32 2 2" xfId="4541"/>
    <cellStyle name="표준 5 2 2 32 2 2 2" xfId="10877"/>
    <cellStyle name="표준 5 2 2 32 2 2 2 2" xfId="23550"/>
    <cellStyle name="표준 5 2 2 32 2 2 2 2 2" xfId="48902"/>
    <cellStyle name="표준 5 2 2 32 2 2 2 3" xfId="36230"/>
    <cellStyle name="표준 5 2 2 32 2 2 3" xfId="17214"/>
    <cellStyle name="표준 5 2 2 32 2 2 3 2" xfId="42566"/>
    <cellStyle name="표준 5 2 2 32 2 2 4" xfId="29894"/>
    <cellStyle name="표준 5 2 2 32 2 2 5" xfId="53411"/>
    <cellStyle name="표준 5 2 2 32 2 3" xfId="7754"/>
    <cellStyle name="표준 5 2 2 32 2 3 2" xfId="20427"/>
    <cellStyle name="표준 5 2 2 32 2 3 2 2" xfId="45779"/>
    <cellStyle name="표준 5 2 2 32 2 3 3" xfId="33107"/>
    <cellStyle name="표준 5 2 2 32 2 4" xfId="14091"/>
    <cellStyle name="표준 5 2 2 32 2 4 2" xfId="39443"/>
    <cellStyle name="표준 5 2 2 32 2 5" xfId="26771"/>
    <cellStyle name="표준 5 2 2 32 2 6" xfId="53412"/>
    <cellStyle name="표준 5 2 2 32 3" xfId="4542"/>
    <cellStyle name="표준 5 2 2 32 3 2" xfId="10878"/>
    <cellStyle name="표준 5 2 2 32 3 2 2" xfId="23551"/>
    <cellStyle name="표준 5 2 2 32 3 2 2 2" xfId="48903"/>
    <cellStyle name="표준 5 2 2 32 3 2 3" xfId="36231"/>
    <cellStyle name="표준 5 2 2 32 3 3" xfId="17215"/>
    <cellStyle name="표준 5 2 2 32 3 3 2" xfId="42567"/>
    <cellStyle name="표준 5 2 2 32 3 4" xfId="29895"/>
    <cellStyle name="표준 5 2 2 32 3 5" xfId="53413"/>
    <cellStyle name="표준 5 2 2 32 4" xfId="7753"/>
    <cellStyle name="표준 5 2 2 32 4 2" xfId="20426"/>
    <cellStyle name="표준 5 2 2 32 4 2 2" xfId="45778"/>
    <cellStyle name="표준 5 2 2 32 4 3" xfId="33106"/>
    <cellStyle name="표준 5 2 2 32 5" xfId="14090"/>
    <cellStyle name="표준 5 2 2 32 5 2" xfId="39442"/>
    <cellStyle name="표준 5 2 2 32 6" xfId="26770"/>
    <cellStyle name="표준 5 2 2 32 7" xfId="53414"/>
    <cellStyle name="표준 5 2 2 33" xfId="1418"/>
    <cellStyle name="표준 5 2 2 33 2" xfId="1419"/>
    <cellStyle name="표준 5 2 2 33 2 2" xfId="4543"/>
    <cellStyle name="표준 5 2 2 33 2 2 2" xfId="10879"/>
    <cellStyle name="표준 5 2 2 33 2 2 2 2" xfId="23552"/>
    <cellStyle name="표준 5 2 2 33 2 2 2 2 2" xfId="48904"/>
    <cellStyle name="표준 5 2 2 33 2 2 2 3" xfId="36232"/>
    <cellStyle name="표준 5 2 2 33 2 2 3" xfId="17216"/>
    <cellStyle name="표준 5 2 2 33 2 2 3 2" xfId="42568"/>
    <cellStyle name="표준 5 2 2 33 2 2 4" xfId="29896"/>
    <cellStyle name="표준 5 2 2 33 2 2 5" xfId="53415"/>
    <cellStyle name="표준 5 2 2 33 2 3" xfId="7756"/>
    <cellStyle name="표준 5 2 2 33 2 3 2" xfId="20429"/>
    <cellStyle name="표준 5 2 2 33 2 3 2 2" xfId="45781"/>
    <cellStyle name="표준 5 2 2 33 2 3 3" xfId="33109"/>
    <cellStyle name="표준 5 2 2 33 2 4" xfId="14093"/>
    <cellStyle name="표준 5 2 2 33 2 4 2" xfId="39445"/>
    <cellStyle name="표준 5 2 2 33 2 5" xfId="26773"/>
    <cellStyle name="표준 5 2 2 33 2 6" xfId="53416"/>
    <cellStyle name="표준 5 2 2 33 3" xfId="4544"/>
    <cellStyle name="표준 5 2 2 33 3 2" xfId="10880"/>
    <cellStyle name="표준 5 2 2 33 3 2 2" xfId="23553"/>
    <cellStyle name="표준 5 2 2 33 3 2 2 2" xfId="48905"/>
    <cellStyle name="표준 5 2 2 33 3 2 3" xfId="36233"/>
    <cellStyle name="표준 5 2 2 33 3 3" xfId="17217"/>
    <cellStyle name="표준 5 2 2 33 3 3 2" xfId="42569"/>
    <cellStyle name="표준 5 2 2 33 3 4" xfId="29897"/>
    <cellStyle name="표준 5 2 2 33 3 5" xfId="53417"/>
    <cellStyle name="표준 5 2 2 33 4" xfId="7755"/>
    <cellStyle name="표준 5 2 2 33 4 2" xfId="20428"/>
    <cellStyle name="표준 5 2 2 33 4 2 2" xfId="45780"/>
    <cellStyle name="표준 5 2 2 33 4 3" xfId="33108"/>
    <cellStyle name="표준 5 2 2 33 5" xfId="14092"/>
    <cellStyle name="표준 5 2 2 33 5 2" xfId="39444"/>
    <cellStyle name="표준 5 2 2 33 6" xfId="26772"/>
    <cellStyle name="표준 5 2 2 33 7" xfId="53418"/>
    <cellStyle name="표준 5 2 2 34" xfId="1420"/>
    <cellStyle name="표준 5 2 2 34 2" xfId="1421"/>
    <cellStyle name="표준 5 2 2 34 2 2" xfId="4545"/>
    <cellStyle name="표준 5 2 2 34 2 2 2" xfId="10881"/>
    <cellStyle name="표준 5 2 2 34 2 2 2 2" xfId="23554"/>
    <cellStyle name="표준 5 2 2 34 2 2 2 2 2" xfId="48906"/>
    <cellStyle name="표준 5 2 2 34 2 2 2 3" xfId="36234"/>
    <cellStyle name="표준 5 2 2 34 2 2 3" xfId="17218"/>
    <cellStyle name="표준 5 2 2 34 2 2 3 2" xfId="42570"/>
    <cellStyle name="표준 5 2 2 34 2 2 4" xfId="29898"/>
    <cellStyle name="표준 5 2 2 34 2 2 5" xfId="53419"/>
    <cellStyle name="표준 5 2 2 34 2 3" xfId="7758"/>
    <cellStyle name="표준 5 2 2 34 2 3 2" xfId="20431"/>
    <cellStyle name="표준 5 2 2 34 2 3 2 2" xfId="45783"/>
    <cellStyle name="표준 5 2 2 34 2 3 3" xfId="33111"/>
    <cellStyle name="표준 5 2 2 34 2 4" xfId="14095"/>
    <cellStyle name="표준 5 2 2 34 2 4 2" xfId="39447"/>
    <cellStyle name="표준 5 2 2 34 2 5" xfId="26775"/>
    <cellStyle name="표준 5 2 2 34 2 6" xfId="53420"/>
    <cellStyle name="표준 5 2 2 34 3" xfId="4546"/>
    <cellStyle name="표준 5 2 2 34 3 2" xfId="10882"/>
    <cellStyle name="표준 5 2 2 34 3 2 2" xfId="23555"/>
    <cellStyle name="표준 5 2 2 34 3 2 2 2" xfId="48907"/>
    <cellStyle name="표준 5 2 2 34 3 2 3" xfId="36235"/>
    <cellStyle name="표준 5 2 2 34 3 3" xfId="17219"/>
    <cellStyle name="표준 5 2 2 34 3 3 2" xfId="42571"/>
    <cellStyle name="표준 5 2 2 34 3 4" xfId="29899"/>
    <cellStyle name="표준 5 2 2 34 3 5" xfId="53421"/>
    <cellStyle name="표준 5 2 2 34 4" xfId="7757"/>
    <cellStyle name="표준 5 2 2 34 4 2" xfId="20430"/>
    <cellStyle name="표준 5 2 2 34 4 2 2" xfId="45782"/>
    <cellStyle name="표준 5 2 2 34 4 3" xfId="33110"/>
    <cellStyle name="표준 5 2 2 34 5" xfId="14094"/>
    <cellStyle name="표준 5 2 2 34 5 2" xfId="39446"/>
    <cellStyle name="표준 5 2 2 34 6" xfId="26774"/>
    <cellStyle name="표준 5 2 2 34 7" xfId="53422"/>
    <cellStyle name="표준 5 2 2 35" xfId="1422"/>
    <cellStyle name="표준 5 2 2 35 2" xfId="1423"/>
    <cellStyle name="표준 5 2 2 35 2 2" xfId="4547"/>
    <cellStyle name="표준 5 2 2 35 2 2 2" xfId="10883"/>
    <cellStyle name="표준 5 2 2 35 2 2 2 2" xfId="23556"/>
    <cellStyle name="표준 5 2 2 35 2 2 2 2 2" xfId="48908"/>
    <cellStyle name="표준 5 2 2 35 2 2 2 3" xfId="36236"/>
    <cellStyle name="표준 5 2 2 35 2 2 3" xfId="17220"/>
    <cellStyle name="표준 5 2 2 35 2 2 3 2" xfId="42572"/>
    <cellStyle name="표준 5 2 2 35 2 2 4" xfId="29900"/>
    <cellStyle name="표준 5 2 2 35 2 2 5" xfId="53423"/>
    <cellStyle name="표준 5 2 2 35 2 3" xfId="7760"/>
    <cellStyle name="표준 5 2 2 35 2 3 2" xfId="20433"/>
    <cellStyle name="표준 5 2 2 35 2 3 2 2" xfId="45785"/>
    <cellStyle name="표준 5 2 2 35 2 3 3" xfId="33113"/>
    <cellStyle name="표준 5 2 2 35 2 4" xfId="14097"/>
    <cellStyle name="표준 5 2 2 35 2 4 2" xfId="39449"/>
    <cellStyle name="표준 5 2 2 35 2 5" xfId="26777"/>
    <cellStyle name="표준 5 2 2 35 2 6" xfId="53424"/>
    <cellStyle name="표준 5 2 2 35 3" xfId="4548"/>
    <cellStyle name="표준 5 2 2 35 3 2" xfId="10884"/>
    <cellStyle name="표준 5 2 2 35 3 2 2" xfId="23557"/>
    <cellStyle name="표준 5 2 2 35 3 2 2 2" xfId="48909"/>
    <cellStyle name="표준 5 2 2 35 3 2 3" xfId="36237"/>
    <cellStyle name="표준 5 2 2 35 3 3" xfId="17221"/>
    <cellStyle name="표준 5 2 2 35 3 3 2" xfId="42573"/>
    <cellStyle name="표준 5 2 2 35 3 4" xfId="29901"/>
    <cellStyle name="표준 5 2 2 35 3 5" xfId="53425"/>
    <cellStyle name="표준 5 2 2 35 4" xfId="7759"/>
    <cellStyle name="표준 5 2 2 35 4 2" xfId="20432"/>
    <cellStyle name="표준 5 2 2 35 4 2 2" xfId="45784"/>
    <cellStyle name="표준 5 2 2 35 4 3" xfId="33112"/>
    <cellStyle name="표준 5 2 2 35 5" xfId="14096"/>
    <cellStyle name="표준 5 2 2 35 5 2" xfId="39448"/>
    <cellStyle name="표준 5 2 2 35 6" xfId="26776"/>
    <cellStyle name="표준 5 2 2 35 7" xfId="53426"/>
    <cellStyle name="표준 5 2 2 36" xfId="1424"/>
    <cellStyle name="표준 5 2 2 36 2" xfId="4549"/>
    <cellStyle name="표준 5 2 2 36 2 2" xfId="10885"/>
    <cellStyle name="표준 5 2 2 36 2 2 2" xfId="23558"/>
    <cellStyle name="표준 5 2 2 36 2 2 2 2" xfId="48910"/>
    <cellStyle name="표준 5 2 2 36 2 2 3" xfId="36238"/>
    <cellStyle name="표준 5 2 2 36 2 3" xfId="17222"/>
    <cellStyle name="표준 5 2 2 36 2 3 2" xfId="42574"/>
    <cellStyle name="표준 5 2 2 36 2 4" xfId="29902"/>
    <cellStyle name="표준 5 2 2 36 2 5" xfId="53427"/>
    <cellStyle name="표준 5 2 2 36 3" xfId="7761"/>
    <cellStyle name="표준 5 2 2 36 3 2" xfId="20434"/>
    <cellStyle name="표준 5 2 2 36 3 2 2" xfId="45786"/>
    <cellStyle name="표준 5 2 2 36 3 3" xfId="33114"/>
    <cellStyle name="표준 5 2 2 36 4" xfId="14098"/>
    <cellStyle name="표준 5 2 2 36 4 2" xfId="39450"/>
    <cellStyle name="표준 5 2 2 36 5" xfId="26778"/>
    <cellStyle name="표준 5 2 2 36 6" xfId="53428"/>
    <cellStyle name="표준 5 2 2 37" xfId="4550"/>
    <cellStyle name="표준 5 2 2 37 2" xfId="10886"/>
    <cellStyle name="표준 5 2 2 37 2 2" xfId="23559"/>
    <cellStyle name="표준 5 2 2 37 2 2 2" xfId="48911"/>
    <cellStyle name="표준 5 2 2 37 2 3" xfId="36239"/>
    <cellStyle name="표준 5 2 2 37 3" xfId="17223"/>
    <cellStyle name="표준 5 2 2 37 3 2" xfId="42575"/>
    <cellStyle name="표준 5 2 2 37 4" xfId="29903"/>
    <cellStyle name="표준 5 2 2 37 5" xfId="53429"/>
    <cellStyle name="표준 5 2 2 38" xfId="6381"/>
    <cellStyle name="표준 5 2 2 38 2" xfId="19054"/>
    <cellStyle name="표준 5 2 2 38 2 2" xfId="44406"/>
    <cellStyle name="표준 5 2 2 38 3" xfId="31734"/>
    <cellStyle name="표준 5 2 2 39" xfId="12718"/>
    <cellStyle name="표준 5 2 2 39 2" xfId="38070"/>
    <cellStyle name="표준 5 2 2 4" xfId="76"/>
    <cellStyle name="표준 5 2 2 4 2" xfId="1425"/>
    <cellStyle name="표준 5 2 2 4 2 2" xfId="4551"/>
    <cellStyle name="표준 5 2 2 4 2 2 2" xfId="10887"/>
    <cellStyle name="표준 5 2 2 4 2 2 2 2" xfId="23560"/>
    <cellStyle name="표준 5 2 2 4 2 2 2 2 2" xfId="48912"/>
    <cellStyle name="표준 5 2 2 4 2 2 2 3" xfId="36240"/>
    <cellStyle name="표준 5 2 2 4 2 2 3" xfId="17224"/>
    <cellStyle name="표준 5 2 2 4 2 2 3 2" xfId="42576"/>
    <cellStyle name="표준 5 2 2 4 2 2 4" xfId="29904"/>
    <cellStyle name="표준 5 2 2 4 2 2 5" xfId="53430"/>
    <cellStyle name="표준 5 2 2 4 2 3" xfId="7762"/>
    <cellStyle name="표준 5 2 2 4 2 3 2" xfId="20435"/>
    <cellStyle name="표준 5 2 2 4 2 3 2 2" xfId="45787"/>
    <cellStyle name="표준 5 2 2 4 2 3 3" xfId="33115"/>
    <cellStyle name="표준 5 2 2 4 2 4" xfId="14099"/>
    <cellStyle name="표준 5 2 2 4 2 4 2" xfId="39451"/>
    <cellStyle name="표준 5 2 2 4 2 5" xfId="26779"/>
    <cellStyle name="표준 5 2 2 4 2 6" xfId="53431"/>
    <cellStyle name="표준 5 2 2 4 3" xfId="4552"/>
    <cellStyle name="표준 5 2 2 4 3 2" xfId="10888"/>
    <cellStyle name="표준 5 2 2 4 3 2 2" xfId="23561"/>
    <cellStyle name="표준 5 2 2 4 3 2 2 2" xfId="48913"/>
    <cellStyle name="표준 5 2 2 4 3 2 3" xfId="36241"/>
    <cellStyle name="표준 5 2 2 4 3 3" xfId="17225"/>
    <cellStyle name="표준 5 2 2 4 3 3 2" xfId="42577"/>
    <cellStyle name="표준 5 2 2 4 3 4" xfId="29905"/>
    <cellStyle name="표준 5 2 2 4 3 5" xfId="53432"/>
    <cellStyle name="표준 5 2 2 4 4" xfId="6414"/>
    <cellStyle name="표준 5 2 2 4 4 2" xfId="19087"/>
    <cellStyle name="표준 5 2 2 4 4 2 2" xfId="44439"/>
    <cellStyle name="표준 5 2 2 4 4 3" xfId="31767"/>
    <cellStyle name="표준 5 2 2 4 5" xfId="12751"/>
    <cellStyle name="표준 5 2 2 4 5 2" xfId="38103"/>
    <cellStyle name="표준 5 2 2 4 6" xfId="25431"/>
    <cellStyle name="표준 5 2 2 4 7" xfId="53433"/>
    <cellStyle name="표준 5 2 2 40" xfId="25398"/>
    <cellStyle name="표준 5 2 2 41" xfId="53434"/>
    <cellStyle name="표준 5 2 2 5" xfId="1426"/>
    <cellStyle name="표준 5 2 2 5 2" xfId="1427"/>
    <cellStyle name="표준 5 2 2 5 2 2" xfId="4553"/>
    <cellStyle name="표준 5 2 2 5 2 2 2" xfId="10889"/>
    <cellStyle name="표준 5 2 2 5 2 2 2 2" xfId="23562"/>
    <cellStyle name="표준 5 2 2 5 2 2 2 2 2" xfId="48914"/>
    <cellStyle name="표준 5 2 2 5 2 2 2 3" xfId="36242"/>
    <cellStyle name="표준 5 2 2 5 2 2 3" xfId="17226"/>
    <cellStyle name="표준 5 2 2 5 2 2 3 2" xfId="42578"/>
    <cellStyle name="표준 5 2 2 5 2 2 4" xfId="29906"/>
    <cellStyle name="표준 5 2 2 5 2 2 5" xfId="53435"/>
    <cellStyle name="표준 5 2 2 5 2 3" xfId="7764"/>
    <cellStyle name="표준 5 2 2 5 2 3 2" xfId="20437"/>
    <cellStyle name="표준 5 2 2 5 2 3 2 2" xfId="45789"/>
    <cellStyle name="표준 5 2 2 5 2 3 3" xfId="33117"/>
    <cellStyle name="표준 5 2 2 5 2 4" xfId="14101"/>
    <cellStyle name="표준 5 2 2 5 2 4 2" xfId="39453"/>
    <cellStyle name="표준 5 2 2 5 2 5" xfId="26781"/>
    <cellStyle name="표준 5 2 2 5 2 6" xfId="53436"/>
    <cellStyle name="표준 5 2 2 5 3" xfId="4554"/>
    <cellStyle name="표준 5 2 2 5 3 2" xfId="10890"/>
    <cellStyle name="표준 5 2 2 5 3 2 2" xfId="23563"/>
    <cellStyle name="표준 5 2 2 5 3 2 2 2" xfId="48915"/>
    <cellStyle name="표준 5 2 2 5 3 2 3" xfId="36243"/>
    <cellStyle name="표준 5 2 2 5 3 3" xfId="17227"/>
    <cellStyle name="표준 5 2 2 5 3 3 2" xfId="42579"/>
    <cellStyle name="표준 5 2 2 5 3 4" xfId="29907"/>
    <cellStyle name="표준 5 2 2 5 3 5" xfId="53437"/>
    <cellStyle name="표준 5 2 2 5 4" xfId="7763"/>
    <cellStyle name="표준 5 2 2 5 4 2" xfId="20436"/>
    <cellStyle name="표준 5 2 2 5 4 2 2" xfId="45788"/>
    <cellStyle name="표준 5 2 2 5 4 3" xfId="33116"/>
    <cellStyle name="표준 5 2 2 5 5" xfId="14100"/>
    <cellStyle name="표준 5 2 2 5 5 2" xfId="39452"/>
    <cellStyle name="표준 5 2 2 5 6" xfId="26780"/>
    <cellStyle name="표준 5 2 2 5 7" xfId="53438"/>
    <cellStyle name="표준 5 2 2 6" xfId="1428"/>
    <cellStyle name="표준 5 2 2 6 2" xfId="1429"/>
    <cellStyle name="표준 5 2 2 6 2 2" xfId="4555"/>
    <cellStyle name="표준 5 2 2 6 2 2 2" xfId="10891"/>
    <cellStyle name="표준 5 2 2 6 2 2 2 2" xfId="23564"/>
    <cellStyle name="표준 5 2 2 6 2 2 2 2 2" xfId="48916"/>
    <cellStyle name="표준 5 2 2 6 2 2 2 3" xfId="36244"/>
    <cellStyle name="표준 5 2 2 6 2 2 3" xfId="17228"/>
    <cellStyle name="표준 5 2 2 6 2 2 3 2" xfId="42580"/>
    <cellStyle name="표준 5 2 2 6 2 2 4" xfId="29908"/>
    <cellStyle name="표준 5 2 2 6 2 2 5" xfId="53439"/>
    <cellStyle name="표준 5 2 2 6 2 3" xfId="7766"/>
    <cellStyle name="표준 5 2 2 6 2 3 2" xfId="20439"/>
    <cellStyle name="표준 5 2 2 6 2 3 2 2" xfId="45791"/>
    <cellStyle name="표준 5 2 2 6 2 3 3" xfId="33119"/>
    <cellStyle name="표준 5 2 2 6 2 4" xfId="14103"/>
    <cellStyle name="표준 5 2 2 6 2 4 2" xfId="39455"/>
    <cellStyle name="표준 5 2 2 6 2 5" xfId="26783"/>
    <cellStyle name="표준 5 2 2 6 2 6" xfId="53440"/>
    <cellStyle name="표준 5 2 2 6 3" xfId="4556"/>
    <cellStyle name="표준 5 2 2 6 3 2" xfId="10892"/>
    <cellStyle name="표준 5 2 2 6 3 2 2" xfId="23565"/>
    <cellStyle name="표준 5 2 2 6 3 2 2 2" xfId="48917"/>
    <cellStyle name="표준 5 2 2 6 3 2 3" xfId="36245"/>
    <cellStyle name="표준 5 2 2 6 3 3" xfId="17229"/>
    <cellStyle name="표준 5 2 2 6 3 3 2" xfId="42581"/>
    <cellStyle name="표준 5 2 2 6 3 4" xfId="29909"/>
    <cellStyle name="표준 5 2 2 6 3 5" xfId="53441"/>
    <cellStyle name="표준 5 2 2 6 4" xfId="7765"/>
    <cellStyle name="표준 5 2 2 6 4 2" xfId="20438"/>
    <cellStyle name="표준 5 2 2 6 4 2 2" xfId="45790"/>
    <cellStyle name="표준 5 2 2 6 4 3" xfId="33118"/>
    <cellStyle name="표준 5 2 2 6 5" xfId="14102"/>
    <cellStyle name="표준 5 2 2 6 5 2" xfId="39454"/>
    <cellStyle name="표준 5 2 2 6 6" xfId="26782"/>
    <cellStyle name="표준 5 2 2 6 7" xfId="53442"/>
    <cellStyle name="표준 5 2 2 7" xfId="1430"/>
    <cellStyle name="표준 5 2 2 7 2" xfId="1431"/>
    <cellStyle name="표준 5 2 2 7 2 2" xfId="4557"/>
    <cellStyle name="표준 5 2 2 7 2 2 2" xfId="10893"/>
    <cellStyle name="표준 5 2 2 7 2 2 2 2" xfId="23566"/>
    <cellStyle name="표준 5 2 2 7 2 2 2 2 2" xfId="48918"/>
    <cellStyle name="표준 5 2 2 7 2 2 2 3" xfId="36246"/>
    <cellStyle name="표준 5 2 2 7 2 2 3" xfId="17230"/>
    <cellStyle name="표준 5 2 2 7 2 2 3 2" xfId="42582"/>
    <cellStyle name="표준 5 2 2 7 2 2 4" xfId="29910"/>
    <cellStyle name="표준 5 2 2 7 2 2 5" xfId="53443"/>
    <cellStyle name="표준 5 2 2 7 2 3" xfId="7768"/>
    <cellStyle name="표준 5 2 2 7 2 3 2" xfId="20441"/>
    <cellStyle name="표준 5 2 2 7 2 3 2 2" xfId="45793"/>
    <cellStyle name="표준 5 2 2 7 2 3 3" xfId="33121"/>
    <cellStyle name="표준 5 2 2 7 2 4" xfId="14105"/>
    <cellStyle name="표준 5 2 2 7 2 4 2" xfId="39457"/>
    <cellStyle name="표준 5 2 2 7 2 5" xfId="26785"/>
    <cellStyle name="표준 5 2 2 7 2 6" xfId="53444"/>
    <cellStyle name="표준 5 2 2 7 3" xfId="4558"/>
    <cellStyle name="표준 5 2 2 7 3 2" xfId="10894"/>
    <cellStyle name="표준 5 2 2 7 3 2 2" xfId="23567"/>
    <cellStyle name="표준 5 2 2 7 3 2 2 2" xfId="48919"/>
    <cellStyle name="표준 5 2 2 7 3 2 3" xfId="36247"/>
    <cellStyle name="표준 5 2 2 7 3 3" xfId="17231"/>
    <cellStyle name="표준 5 2 2 7 3 3 2" xfId="42583"/>
    <cellStyle name="표준 5 2 2 7 3 4" xfId="29911"/>
    <cellStyle name="표준 5 2 2 7 3 5" xfId="53445"/>
    <cellStyle name="표준 5 2 2 7 4" xfId="7767"/>
    <cellStyle name="표준 5 2 2 7 4 2" xfId="20440"/>
    <cellStyle name="표준 5 2 2 7 4 2 2" xfId="45792"/>
    <cellStyle name="표준 5 2 2 7 4 3" xfId="33120"/>
    <cellStyle name="표준 5 2 2 7 5" xfId="14104"/>
    <cellStyle name="표준 5 2 2 7 5 2" xfId="39456"/>
    <cellStyle name="표준 5 2 2 7 6" xfId="26784"/>
    <cellStyle name="표준 5 2 2 7 7" xfId="53446"/>
    <cellStyle name="표준 5 2 2 8" xfId="1432"/>
    <cellStyle name="표준 5 2 2 8 2" xfId="1433"/>
    <cellStyle name="표준 5 2 2 8 2 2" xfId="4559"/>
    <cellStyle name="표준 5 2 2 8 2 2 2" xfId="10895"/>
    <cellStyle name="표준 5 2 2 8 2 2 2 2" xfId="23568"/>
    <cellStyle name="표준 5 2 2 8 2 2 2 2 2" xfId="48920"/>
    <cellStyle name="표준 5 2 2 8 2 2 2 3" xfId="36248"/>
    <cellStyle name="표준 5 2 2 8 2 2 3" xfId="17232"/>
    <cellStyle name="표준 5 2 2 8 2 2 3 2" xfId="42584"/>
    <cellStyle name="표준 5 2 2 8 2 2 4" xfId="29912"/>
    <cellStyle name="표준 5 2 2 8 2 2 5" xfId="53447"/>
    <cellStyle name="표준 5 2 2 8 2 3" xfId="7770"/>
    <cellStyle name="표준 5 2 2 8 2 3 2" xfId="20443"/>
    <cellStyle name="표준 5 2 2 8 2 3 2 2" xfId="45795"/>
    <cellStyle name="표준 5 2 2 8 2 3 3" xfId="33123"/>
    <cellStyle name="표준 5 2 2 8 2 4" xfId="14107"/>
    <cellStyle name="표준 5 2 2 8 2 4 2" xfId="39459"/>
    <cellStyle name="표준 5 2 2 8 2 5" xfId="26787"/>
    <cellStyle name="표준 5 2 2 8 2 6" xfId="53448"/>
    <cellStyle name="표준 5 2 2 8 3" xfId="4560"/>
    <cellStyle name="표준 5 2 2 8 3 2" xfId="10896"/>
    <cellStyle name="표준 5 2 2 8 3 2 2" xfId="23569"/>
    <cellStyle name="표준 5 2 2 8 3 2 2 2" xfId="48921"/>
    <cellStyle name="표준 5 2 2 8 3 2 3" xfId="36249"/>
    <cellStyle name="표준 5 2 2 8 3 3" xfId="17233"/>
    <cellStyle name="표준 5 2 2 8 3 3 2" xfId="42585"/>
    <cellStyle name="표준 5 2 2 8 3 4" xfId="29913"/>
    <cellStyle name="표준 5 2 2 8 3 5" xfId="53449"/>
    <cellStyle name="표준 5 2 2 8 4" xfId="7769"/>
    <cellStyle name="표준 5 2 2 8 4 2" xfId="20442"/>
    <cellStyle name="표준 5 2 2 8 4 2 2" xfId="45794"/>
    <cellStyle name="표준 5 2 2 8 4 3" xfId="33122"/>
    <cellStyle name="표준 5 2 2 8 5" xfId="14106"/>
    <cellStyle name="표준 5 2 2 8 5 2" xfId="39458"/>
    <cellStyle name="표준 5 2 2 8 6" xfId="26786"/>
    <cellStyle name="표준 5 2 2 8 7" xfId="53450"/>
    <cellStyle name="표준 5 2 2 9" xfId="1434"/>
    <cellStyle name="표준 5 2 2 9 2" xfId="1435"/>
    <cellStyle name="표준 5 2 2 9 2 2" xfId="4561"/>
    <cellStyle name="표준 5 2 2 9 2 2 2" xfId="10897"/>
    <cellStyle name="표준 5 2 2 9 2 2 2 2" xfId="23570"/>
    <cellStyle name="표준 5 2 2 9 2 2 2 2 2" xfId="48922"/>
    <cellStyle name="표준 5 2 2 9 2 2 2 3" xfId="36250"/>
    <cellStyle name="표준 5 2 2 9 2 2 3" xfId="17234"/>
    <cellStyle name="표준 5 2 2 9 2 2 3 2" xfId="42586"/>
    <cellStyle name="표준 5 2 2 9 2 2 4" xfId="29914"/>
    <cellStyle name="표준 5 2 2 9 2 2 5" xfId="53451"/>
    <cellStyle name="표준 5 2 2 9 2 3" xfId="7772"/>
    <cellStyle name="표준 5 2 2 9 2 3 2" xfId="20445"/>
    <cellStyle name="표준 5 2 2 9 2 3 2 2" xfId="45797"/>
    <cellStyle name="표준 5 2 2 9 2 3 3" xfId="33125"/>
    <cellStyle name="표준 5 2 2 9 2 4" xfId="14109"/>
    <cellStyle name="표준 5 2 2 9 2 4 2" xfId="39461"/>
    <cellStyle name="표준 5 2 2 9 2 5" xfId="26789"/>
    <cellStyle name="표준 5 2 2 9 2 6" xfId="53452"/>
    <cellStyle name="표준 5 2 2 9 3" xfId="4562"/>
    <cellStyle name="표준 5 2 2 9 3 2" xfId="10898"/>
    <cellStyle name="표준 5 2 2 9 3 2 2" xfId="23571"/>
    <cellStyle name="표준 5 2 2 9 3 2 2 2" xfId="48923"/>
    <cellStyle name="표준 5 2 2 9 3 2 3" xfId="36251"/>
    <cellStyle name="표준 5 2 2 9 3 3" xfId="17235"/>
    <cellStyle name="표준 5 2 2 9 3 3 2" xfId="42587"/>
    <cellStyle name="표준 5 2 2 9 3 4" xfId="29915"/>
    <cellStyle name="표준 5 2 2 9 3 5" xfId="53453"/>
    <cellStyle name="표준 5 2 2 9 4" xfId="7771"/>
    <cellStyle name="표준 5 2 2 9 4 2" xfId="20444"/>
    <cellStyle name="표준 5 2 2 9 4 2 2" xfId="45796"/>
    <cellStyle name="표준 5 2 2 9 4 3" xfId="33124"/>
    <cellStyle name="표준 5 2 2 9 5" xfId="14108"/>
    <cellStyle name="표준 5 2 2 9 5 2" xfId="39460"/>
    <cellStyle name="표준 5 2 2 9 6" xfId="26788"/>
    <cellStyle name="표준 5 2 2 9 7" xfId="53454"/>
    <cellStyle name="표준 5 2 20" xfId="1436"/>
    <cellStyle name="표준 5 2 20 2" xfId="1437"/>
    <cellStyle name="표준 5 2 20 2 2" xfId="4563"/>
    <cellStyle name="표준 5 2 20 2 2 2" xfId="10899"/>
    <cellStyle name="표준 5 2 20 2 2 2 2" xfId="23572"/>
    <cellStyle name="표준 5 2 20 2 2 2 2 2" xfId="48924"/>
    <cellStyle name="표준 5 2 20 2 2 2 3" xfId="36252"/>
    <cellStyle name="표준 5 2 20 2 2 3" xfId="17236"/>
    <cellStyle name="표준 5 2 20 2 2 3 2" xfId="42588"/>
    <cellStyle name="표준 5 2 20 2 2 4" xfId="29916"/>
    <cellStyle name="표준 5 2 20 2 2 5" xfId="53455"/>
    <cellStyle name="표준 5 2 20 2 3" xfId="7774"/>
    <cellStyle name="표준 5 2 20 2 3 2" xfId="20447"/>
    <cellStyle name="표준 5 2 20 2 3 2 2" xfId="45799"/>
    <cellStyle name="표준 5 2 20 2 3 3" xfId="33127"/>
    <cellStyle name="표준 5 2 20 2 4" xfId="14111"/>
    <cellStyle name="표준 5 2 20 2 4 2" xfId="39463"/>
    <cellStyle name="표준 5 2 20 2 5" xfId="26791"/>
    <cellStyle name="표준 5 2 20 2 6" xfId="53456"/>
    <cellStyle name="표준 5 2 20 3" xfId="4564"/>
    <cellStyle name="표준 5 2 20 3 2" xfId="10900"/>
    <cellStyle name="표준 5 2 20 3 2 2" xfId="23573"/>
    <cellStyle name="표준 5 2 20 3 2 2 2" xfId="48925"/>
    <cellStyle name="표준 5 2 20 3 2 3" xfId="36253"/>
    <cellStyle name="표준 5 2 20 3 3" xfId="17237"/>
    <cellStyle name="표준 5 2 20 3 3 2" xfId="42589"/>
    <cellStyle name="표준 5 2 20 3 4" xfId="29917"/>
    <cellStyle name="표준 5 2 20 3 5" xfId="53457"/>
    <cellStyle name="표준 5 2 20 4" xfId="7773"/>
    <cellStyle name="표준 5 2 20 4 2" xfId="20446"/>
    <cellStyle name="표준 5 2 20 4 2 2" xfId="45798"/>
    <cellStyle name="표준 5 2 20 4 3" xfId="33126"/>
    <cellStyle name="표준 5 2 20 5" xfId="14110"/>
    <cellStyle name="표준 5 2 20 5 2" xfId="39462"/>
    <cellStyle name="표준 5 2 20 6" xfId="26790"/>
    <cellStyle name="표준 5 2 20 7" xfId="53458"/>
    <cellStyle name="표준 5 2 21" xfId="1438"/>
    <cellStyle name="표준 5 2 21 2" xfId="1439"/>
    <cellStyle name="표준 5 2 21 2 2" xfId="4565"/>
    <cellStyle name="표준 5 2 21 2 2 2" xfId="10901"/>
    <cellStyle name="표준 5 2 21 2 2 2 2" xfId="23574"/>
    <cellStyle name="표준 5 2 21 2 2 2 2 2" xfId="48926"/>
    <cellStyle name="표준 5 2 21 2 2 2 3" xfId="36254"/>
    <cellStyle name="표준 5 2 21 2 2 3" xfId="17238"/>
    <cellStyle name="표준 5 2 21 2 2 3 2" xfId="42590"/>
    <cellStyle name="표준 5 2 21 2 2 4" xfId="29918"/>
    <cellStyle name="표준 5 2 21 2 2 5" xfId="53459"/>
    <cellStyle name="표준 5 2 21 2 3" xfId="7776"/>
    <cellStyle name="표준 5 2 21 2 3 2" xfId="20449"/>
    <cellStyle name="표준 5 2 21 2 3 2 2" xfId="45801"/>
    <cellStyle name="표준 5 2 21 2 3 3" xfId="33129"/>
    <cellStyle name="표준 5 2 21 2 4" xfId="14113"/>
    <cellStyle name="표준 5 2 21 2 4 2" xfId="39465"/>
    <cellStyle name="표준 5 2 21 2 5" xfId="26793"/>
    <cellStyle name="표준 5 2 21 2 6" xfId="53460"/>
    <cellStyle name="표준 5 2 21 3" xfId="4566"/>
    <cellStyle name="표준 5 2 21 3 2" xfId="10902"/>
    <cellStyle name="표준 5 2 21 3 2 2" xfId="23575"/>
    <cellStyle name="표준 5 2 21 3 2 2 2" xfId="48927"/>
    <cellStyle name="표준 5 2 21 3 2 3" xfId="36255"/>
    <cellStyle name="표준 5 2 21 3 3" xfId="17239"/>
    <cellStyle name="표준 5 2 21 3 3 2" xfId="42591"/>
    <cellStyle name="표준 5 2 21 3 4" xfId="29919"/>
    <cellStyle name="표준 5 2 21 3 5" xfId="53461"/>
    <cellStyle name="표준 5 2 21 4" xfId="7775"/>
    <cellStyle name="표준 5 2 21 4 2" xfId="20448"/>
    <cellStyle name="표준 5 2 21 4 2 2" xfId="45800"/>
    <cellStyle name="표준 5 2 21 4 3" xfId="33128"/>
    <cellStyle name="표준 5 2 21 5" xfId="14112"/>
    <cellStyle name="표준 5 2 21 5 2" xfId="39464"/>
    <cellStyle name="표준 5 2 21 6" xfId="26792"/>
    <cellStyle name="표준 5 2 21 7" xfId="53462"/>
    <cellStyle name="표준 5 2 22" xfId="1440"/>
    <cellStyle name="표준 5 2 22 2" xfId="1441"/>
    <cellStyle name="표준 5 2 22 2 2" xfId="4567"/>
    <cellStyle name="표준 5 2 22 2 2 2" xfId="10903"/>
    <cellStyle name="표준 5 2 22 2 2 2 2" xfId="23576"/>
    <cellStyle name="표준 5 2 22 2 2 2 2 2" xfId="48928"/>
    <cellStyle name="표준 5 2 22 2 2 2 3" xfId="36256"/>
    <cellStyle name="표준 5 2 22 2 2 3" xfId="17240"/>
    <cellStyle name="표준 5 2 22 2 2 3 2" xfId="42592"/>
    <cellStyle name="표준 5 2 22 2 2 4" xfId="29920"/>
    <cellStyle name="표준 5 2 22 2 2 5" xfId="53463"/>
    <cellStyle name="표준 5 2 22 2 3" xfId="7778"/>
    <cellStyle name="표준 5 2 22 2 3 2" xfId="20451"/>
    <cellStyle name="표준 5 2 22 2 3 2 2" xfId="45803"/>
    <cellStyle name="표준 5 2 22 2 3 3" xfId="33131"/>
    <cellStyle name="표준 5 2 22 2 4" xfId="14115"/>
    <cellStyle name="표준 5 2 22 2 4 2" xfId="39467"/>
    <cellStyle name="표준 5 2 22 2 5" xfId="26795"/>
    <cellStyle name="표준 5 2 22 2 6" xfId="53464"/>
    <cellStyle name="표준 5 2 22 3" xfId="4568"/>
    <cellStyle name="표준 5 2 22 3 2" xfId="10904"/>
    <cellStyle name="표준 5 2 22 3 2 2" xfId="23577"/>
    <cellStyle name="표준 5 2 22 3 2 2 2" xfId="48929"/>
    <cellStyle name="표준 5 2 22 3 2 3" xfId="36257"/>
    <cellStyle name="표준 5 2 22 3 3" xfId="17241"/>
    <cellStyle name="표준 5 2 22 3 3 2" xfId="42593"/>
    <cellStyle name="표준 5 2 22 3 4" xfId="29921"/>
    <cellStyle name="표준 5 2 22 3 5" xfId="53465"/>
    <cellStyle name="표준 5 2 22 4" xfId="7777"/>
    <cellStyle name="표준 5 2 22 4 2" xfId="20450"/>
    <cellStyle name="표준 5 2 22 4 2 2" xfId="45802"/>
    <cellStyle name="표준 5 2 22 4 3" xfId="33130"/>
    <cellStyle name="표준 5 2 22 5" xfId="14114"/>
    <cellStyle name="표준 5 2 22 5 2" xfId="39466"/>
    <cellStyle name="표준 5 2 22 6" xfId="26794"/>
    <cellStyle name="표준 5 2 22 7" xfId="53466"/>
    <cellStyle name="표준 5 2 23" xfId="1442"/>
    <cellStyle name="표준 5 2 23 2" xfId="1443"/>
    <cellStyle name="표준 5 2 23 2 2" xfId="4569"/>
    <cellStyle name="표준 5 2 23 2 2 2" xfId="10905"/>
    <cellStyle name="표준 5 2 23 2 2 2 2" xfId="23578"/>
    <cellStyle name="표준 5 2 23 2 2 2 2 2" xfId="48930"/>
    <cellStyle name="표준 5 2 23 2 2 2 3" xfId="36258"/>
    <cellStyle name="표준 5 2 23 2 2 3" xfId="17242"/>
    <cellStyle name="표준 5 2 23 2 2 3 2" xfId="42594"/>
    <cellStyle name="표준 5 2 23 2 2 4" xfId="29922"/>
    <cellStyle name="표준 5 2 23 2 2 5" xfId="53467"/>
    <cellStyle name="표준 5 2 23 2 3" xfId="7780"/>
    <cellStyle name="표준 5 2 23 2 3 2" xfId="20453"/>
    <cellStyle name="표준 5 2 23 2 3 2 2" xfId="45805"/>
    <cellStyle name="표준 5 2 23 2 3 3" xfId="33133"/>
    <cellStyle name="표준 5 2 23 2 4" xfId="14117"/>
    <cellStyle name="표준 5 2 23 2 4 2" xfId="39469"/>
    <cellStyle name="표준 5 2 23 2 5" xfId="26797"/>
    <cellStyle name="표준 5 2 23 2 6" xfId="53468"/>
    <cellStyle name="표준 5 2 23 3" xfId="4570"/>
    <cellStyle name="표준 5 2 23 3 2" xfId="10906"/>
    <cellStyle name="표준 5 2 23 3 2 2" xfId="23579"/>
    <cellStyle name="표준 5 2 23 3 2 2 2" xfId="48931"/>
    <cellStyle name="표준 5 2 23 3 2 3" xfId="36259"/>
    <cellStyle name="표준 5 2 23 3 3" xfId="17243"/>
    <cellStyle name="표준 5 2 23 3 3 2" xfId="42595"/>
    <cellStyle name="표준 5 2 23 3 4" xfId="29923"/>
    <cellStyle name="표준 5 2 23 3 5" xfId="53469"/>
    <cellStyle name="표준 5 2 23 4" xfId="7779"/>
    <cellStyle name="표준 5 2 23 4 2" xfId="20452"/>
    <cellStyle name="표준 5 2 23 4 2 2" xfId="45804"/>
    <cellStyle name="표준 5 2 23 4 3" xfId="33132"/>
    <cellStyle name="표준 5 2 23 5" xfId="14116"/>
    <cellStyle name="표준 5 2 23 5 2" xfId="39468"/>
    <cellStyle name="표준 5 2 23 6" xfId="26796"/>
    <cellStyle name="표준 5 2 23 7" xfId="53470"/>
    <cellStyle name="표준 5 2 24" xfId="1444"/>
    <cellStyle name="표준 5 2 24 2" xfId="1445"/>
    <cellStyle name="표준 5 2 24 2 2" xfId="4571"/>
    <cellStyle name="표준 5 2 24 2 2 2" xfId="10907"/>
    <cellStyle name="표준 5 2 24 2 2 2 2" xfId="23580"/>
    <cellStyle name="표준 5 2 24 2 2 2 2 2" xfId="48932"/>
    <cellStyle name="표준 5 2 24 2 2 2 3" xfId="36260"/>
    <cellStyle name="표준 5 2 24 2 2 3" xfId="17244"/>
    <cellStyle name="표준 5 2 24 2 2 3 2" xfId="42596"/>
    <cellStyle name="표준 5 2 24 2 2 4" xfId="29924"/>
    <cellStyle name="표준 5 2 24 2 2 5" xfId="53471"/>
    <cellStyle name="표준 5 2 24 2 3" xfId="7782"/>
    <cellStyle name="표준 5 2 24 2 3 2" xfId="20455"/>
    <cellStyle name="표준 5 2 24 2 3 2 2" xfId="45807"/>
    <cellStyle name="표준 5 2 24 2 3 3" xfId="33135"/>
    <cellStyle name="표준 5 2 24 2 4" xfId="14119"/>
    <cellStyle name="표준 5 2 24 2 4 2" xfId="39471"/>
    <cellStyle name="표준 5 2 24 2 5" xfId="26799"/>
    <cellStyle name="표준 5 2 24 2 6" xfId="53472"/>
    <cellStyle name="표준 5 2 24 3" xfId="4572"/>
    <cellStyle name="표준 5 2 24 3 2" xfId="10908"/>
    <cellStyle name="표준 5 2 24 3 2 2" xfId="23581"/>
    <cellStyle name="표준 5 2 24 3 2 2 2" xfId="48933"/>
    <cellStyle name="표준 5 2 24 3 2 3" xfId="36261"/>
    <cellStyle name="표준 5 2 24 3 3" xfId="17245"/>
    <cellStyle name="표준 5 2 24 3 3 2" xfId="42597"/>
    <cellStyle name="표준 5 2 24 3 4" xfId="29925"/>
    <cellStyle name="표준 5 2 24 3 5" xfId="53473"/>
    <cellStyle name="표준 5 2 24 4" xfId="7781"/>
    <cellStyle name="표준 5 2 24 4 2" xfId="20454"/>
    <cellStyle name="표준 5 2 24 4 2 2" xfId="45806"/>
    <cellStyle name="표준 5 2 24 4 3" xfId="33134"/>
    <cellStyle name="표준 5 2 24 5" xfId="14118"/>
    <cellStyle name="표준 5 2 24 5 2" xfId="39470"/>
    <cellStyle name="표준 5 2 24 6" xfId="26798"/>
    <cellStyle name="표준 5 2 24 7" xfId="53474"/>
    <cellStyle name="표준 5 2 25" xfId="1446"/>
    <cellStyle name="표준 5 2 25 2" xfId="1447"/>
    <cellStyle name="표준 5 2 25 2 2" xfId="4573"/>
    <cellStyle name="표준 5 2 25 2 2 2" xfId="10909"/>
    <cellStyle name="표준 5 2 25 2 2 2 2" xfId="23582"/>
    <cellStyle name="표준 5 2 25 2 2 2 2 2" xfId="48934"/>
    <cellStyle name="표준 5 2 25 2 2 2 3" xfId="36262"/>
    <cellStyle name="표준 5 2 25 2 2 3" xfId="17246"/>
    <cellStyle name="표준 5 2 25 2 2 3 2" xfId="42598"/>
    <cellStyle name="표준 5 2 25 2 2 4" xfId="29926"/>
    <cellStyle name="표준 5 2 25 2 2 5" xfId="53475"/>
    <cellStyle name="표준 5 2 25 2 3" xfId="7784"/>
    <cellStyle name="표준 5 2 25 2 3 2" xfId="20457"/>
    <cellStyle name="표준 5 2 25 2 3 2 2" xfId="45809"/>
    <cellStyle name="표준 5 2 25 2 3 3" xfId="33137"/>
    <cellStyle name="표준 5 2 25 2 4" xfId="14121"/>
    <cellStyle name="표준 5 2 25 2 4 2" xfId="39473"/>
    <cellStyle name="표준 5 2 25 2 5" xfId="26801"/>
    <cellStyle name="표준 5 2 25 2 6" xfId="53476"/>
    <cellStyle name="표준 5 2 25 3" xfId="4574"/>
    <cellStyle name="표준 5 2 25 3 2" xfId="10910"/>
    <cellStyle name="표준 5 2 25 3 2 2" xfId="23583"/>
    <cellStyle name="표준 5 2 25 3 2 2 2" xfId="48935"/>
    <cellStyle name="표준 5 2 25 3 2 3" xfId="36263"/>
    <cellStyle name="표준 5 2 25 3 3" xfId="17247"/>
    <cellStyle name="표준 5 2 25 3 3 2" xfId="42599"/>
    <cellStyle name="표준 5 2 25 3 4" xfId="29927"/>
    <cellStyle name="표준 5 2 25 3 5" xfId="53477"/>
    <cellStyle name="표준 5 2 25 4" xfId="7783"/>
    <cellStyle name="표준 5 2 25 4 2" xfId="20456"/>
    <cellStyle name="표준 5 2 25 4 2 2" xfId="45808"/>
    <cellStyle name="표준 5 2 25 4 3" xfId="33136"/>
    <cellStyle name="표준 5 2 25 5" xfId="14120"/>
    <cellStyle name="표준 5 2 25 5 2" xfId="39472"/>
    <cellStyle name="표준 5 2 25 6" xfId="26800"/>
    <cellStyle name="표준 5 2 25 7" xfId="53478"/>
    <cellStyle name="표준 5 2 26" xfId="1448"/>
    <cellStyle name="표준 5 2 26 2" xfId="1449"/>
    <cellStyle name="표준 5 2 26 2 2" xfId="4575"/>
    <cellStyle name="표준 5 2 26 2 2 2" xfId="10911"/>
    <cellStyle name="표준 5 2 26 2 2 2 2" xfId="23584"/>
    <cellStyle name="표준 5 2 26 2 2 2 2 2" xfId="48936"/>
    <cellStyle name="표준 5 2 26 2 2 2 3" xfId="36264"/>
    <cellStyle name="표준 5 2 26 2 2 3" xfId="17248"/>
    <cellStyle name="표준 5 2 26 2 2 3 2" xfId="42600"/>
    <cellStyle name="표준 5 2 26 2 2 4" xfId="29928"/>
    <cellStyle name="표준 5 2 26 2 2 5" xfId="53479"/>
    <cellStyle name="표준 5 2 26 2 3" xfId="7786"/>
    <cellStyle name="표준 5 2 26 2 3 2" xfId="20459"/>
    <cellStyle name="표준 5 2 26 2 3 2 2" xfId="45811"/>
    <cellStyle name="표준 5 2 26 2 3 3" xfId="33139"/>
    <cellStyle name="표준 5 2 26 2 4" xfId="14123"/>
    <cellStyle name="표준 5 2 26 2 4 2" xfId="39475"/>
    <cellStyle name="표준 5 2 26 2 5" xfId="26803"/>
    <cellStyle name="표준 5 2 26 2 6" xfId="53480"/>
    <cellStyle name="표준 5 2 26 3" xfId="4576"/>
    <cellStyle name="표준 5 2 26 3 2" xfId="10912"/>
    <cellStyle name="표준 5 2 26 3 2 2" xfId="23585"/>
    <cellStyle name="표준 5 2 26 3 2 2 2" xfId="48937"/>
    <cellStyle name="표준 5 2 26 3 2 3" xfId="36265"/>
    <cellStyle name="표준 5 2 26 3 3" xfId="17249"/>
    <cellStyle name="표준 5 2 26 3 3 2" xfId="42601"/>
    <cellStyle name="표준 5 2 26 3 4" xfId="29929"/>
    <cellStyle name="표준 5 2 26 3 5" xfId="53481"/>
    <cellStyle name="표준 5 2 26 4" xfId="7785"/>
    <cellStyle name="표준 5 2 26 4 2" xfId="20458"/>
    <cellStyle name="표준 5 2 26 4 2 2" xfId="45810"/>
    <cellStyle name="표준 5 2 26 4 3" xfId="33138"/>
    <cellStyle name="표준 5 2 26 5" xfId="14122"/>
    <cellStyle name="표준 5 2 26 5 2" xfId="39474"/>
    <cellStyle name="표준 5 2 26 6" xfId="26802"/>
    <cellStyle name="표준 5 2 26 7" xfId="53482"/>
    <cellStyle name="표준 5 2 27" xfId="1450"/>
    <cellStyle name="표준 5 2 27 2" xfId="1451"/>
    <cellStyle name="표준 5 2 27 2 2" xfId="4577"/>
    <cellStyle name="표준 5 2 27 2 2 2" xfId="10913"/>
    <cellStyle name="표준 5 2 27 2 2 2 2" xfId="23586"/>
    <cellStyle name="표준 5 2 27 2 2 2 2 2" xfId="48938"/>
    <cellStyle name="표준 5 2 27 2 2 2 3" xfId="36266"/>
    <cellStyle name="표준 5 2 27 2 2 3" xfId="17250"/>
    <cellStyle name="표준 5 2 27 2 2 3 2" xfId="42602"/>
    <cellStyle name="표준 5 2 27 2 2 4" xfId="29930"/>
    <cellStyle name="표준 5 2 27 2 2 5" xfId="53483"/>
    <cellStyle name="표준 5 2 27 2 3" xfId="7788"/>
    <cellStyle name="표준 5 2 27 2 3 2" xfId="20461"/>
    <cellStyle name="표준 5 2 27 2 3 2 2" xfId="45813"/>
    <cellStyle name="표준 5 2 27 2 3 3" xfId="33141"/>
    <cellStyle name="표준 5 2 27 2 4" xfId="14125"/>
    <cellStyle name="표준 5 2 27 2 4 2" xfId="39477"/>
    <cellStyle name="표준 5 2 27 2 5" xfId="26805"/>
    <cellStyle name="표준 5 2 27 2 6" xfId="53484"/>
    <cellStyle name="표준 5 2 27 3" xfId="4578"/>
    <cellStyle name="표준 5 2 27 3 2" xfId="10914"/>
    <cellStyle name="표준 5 2 27 3 2 2" xfId="23587"/>
    <cellStyle name="표준 5 2 27 3 2 2 2" xfId="48939"/>
    <cellStyle name="표준 5 2 27 3 2 3" xfId="36267"/>
    <cellStyle name="표준 5 2 27 3 3" xfId="17251"/>
    <cellStyle name="표준 5 2 27 3 3 2" xfId="42603"/>
    <cellStyle name="표준 5 2 27 3 4" xfId="29931"/>
    <cellStyle name="표준 5 2 27 3 5" xfId="53485"/>
    <cellStyle name="표준 5 2 27 4" xfId="7787"/>
    <cellStyle name="표준 5 2 27 4 2" xfId="20460"/>
    <cellStyle name="표준 5 2 27 4 2 2" xfId="45812"/>
    <cellStyle name="표준 5 2 27 4 3" xfId="33140"/>
    <cellStyle name="표준 5 2 27 5" xfId="14124"/>
    <cellStyle name="표준 5 2 27 5 2" xfId="39476"/>
    <cellStyle name="표준 5 2 27 6" xfId="26804"/>
    <cellStyle name="표준 5 2 27 7" xfId="53486"/>
    <cellStyle name="표준 5 2 28" xfId="1452"/>
    <cellStyle name="표준 5 2 28 2" xfId="1453"/>
    <cellStyle name="표준 5 2 28 2 2" xfId="4579"/>
    <cellStyle name="표준 5 2 28 2 2 2" xfId="10915"/>
    <cellStyle name="표준 5 2 28 2 2 2 2" xfId="23588"/>
    <cellStyle name="표준 5 2 28 2 2 2 2 2" xfId="48940"/>
    <cellStyle name="표준 5 2 28 2 2 2 3" xfId="36268"/>
    <cellStyle name="표준 5 2 28 2 2 3" xfId="17252"/>
    <cellStyle name="표준 5 2 28 2 2 3 2" xfId="42604"/>
    <cellStyle name="표준 5 2 28 2 2 4" xfId="29932"/>
    <cellStyle name="표준 5 2 28 2 2 5" xfId="53487"/>
    <cellStyle name="표준 5 2 28 2 3" xfId="7790"/>
    <cellStyle name="표준 5 2 28 2 3 2" xfId="20463"/>
    <cellStyle name="표준 5 2 28 2 3 2 2" xfId="45815"/>
    <cellStyle name="표준 5 2 28 2 3 3" xfId="33143"/>
    <cellStyle name="표준 5 2 28 2 4" xfId="14127"/>
    <cellStyle name="표준 5 2 28 2 4 2" xfId="39479"/>
    <cellStyle name="표준 5 2 28 2 5" xfId="26807"/>
    <cellStyle name="표준 5 2 28 2 6" xfId="53488"/>
    <cellStyle name="표준 5 2 28 3" xfId="4580"/>
    <cellStyle name="표준 5 2 28 3 2" xfId="10916"/>
    <cellStyle name="표준 5 2 28 3 2 2" xfId="23589"/>
    <cellStyle name="표준 5 2 28 3 2 2 2" xfId="48941"/>
    <cellStyle name="표준 5 2 28 3 2 3" xfId="36269"/>
    <cellStyle name="표준 5 2 28 3 3" xfId="17253"/>
    <cellStyle name="표준 5 2 28 3 3 2" xfId="42605"/>
    <cellStyle name="표준 5 2 28 3 4" xfId="29933"/>
    <cellStyle name="표준 5 2 28 3 5" xfId="53489"/>
    <cellStyle name="표준 5 2 28 4" xfId="7789"/>
    <cellStyle name="표준 5 2 28 4 2" xfId="20462"/>
    <cellStyle name="표준 5 2 28 4 2 2" xfId="45814"/>
    <cellStyle name="표준 5 2 28 4 3" xfId="33142"/>
    <cellStyle name="표준 5 2 28 5" xfId="14126"/>
    <cellStyle name="표준 5 2 28 5 2" xfId="39478"/>
    <cellStyle name="표준 5 2 28 6" xfId="26806"/>
    <cellStyle name="표준 5 2 28 7" xfId="53490"/>
    <cellStyle name="표준 5 2 29" xfId="1454"/>
    <cellStyle name="표준 5 2 29 2" xfId="1455"/>
    <cellStyle name="표준 5 2 29 2 2" xfId="4581"/>
    <cellStyle name="표준 5 2 29 2 2 2" xfId="10917"/>
    <cellStyle name="표준 5 2 29 2 2 2 2" xfId="23590"/>
    <cellStyle name="표준 5 2 29 2 2 2 2 2" xfId="48942"/>
    <cellStyle name="표준 5 2 29 2 2 2 3" xfId="36270"/>
    <cellStyle name="표준 5 2 29 2 2 3" xfId="17254"/>
    <cellStyle name="표준 5 2 29 2 2 3 2" xfId="42606"/>
    <cellStyle name="표준 5 2 29 2 2 4" xfId="29934"/>
    <cellStyle name="표준 5 2 29 2 2 5" xfId="53491"/>
    <cellStyle name="표준 5 2 29 2 3" xfId="7792"/>
    <cellStyle name="표준 5 2 29 2 3 2" xfId="20465"/>
    <cellStyle name="표준 5 2 29 2 3 2 2" xfId="45817"/>
    <cellStyle name="표준 5 2 29 2 3 3" xfId="33145"/>
    <cellStyle name="표준 5 2 29 2 4" xfId="14129"/>
    <cellStyle name="표준 5 2 29 2 4 2" xfId="39481"/>
    <cellStyle name="표준 5 2 29 2 5" xfId="26809"/>
    <cellStyle name="표준 5 2 29 2 6" xfId="53492"/>
    <cellStyle name="표준 5 2 29 3" xfId="4582"/>
    <cellStyle name="표준 5 2 29 3 2" xfId="10918"/>
    <cellStyle name="표준 5 2 29 3 2 2" xfId="23591"/>
    <cellStyle name="표준 5 2 29 3 2 2 2" xfId="48943"/>
    <cellStyle name="표준 5 2 29 3 2 3" xfId="36271"/>
    <cellStyle name="표준 5 2 29 3 3" xfId="17255"/>
    <cellStyle name="표준 5 2 29 3 3 2" xfId="42607"/>
    <cellStyle name="표준 5 2 29 3 4" xfId="29935"/>
    <cellStyle name="표준 5 2 29 3 5" xfId="53493"/>
    <cellStyle name="표준 5 2 29 4" xfId="7791"/>
    <cellStyle name="표준 5 2 29 4 2" xfId="20464"/>
    <cellStyle name="표준 5 2 29 4 2 2" xfId="45816"/>
    <cellStyle name="표준 5 2 29 4 3" xfId="33144"/>
    <cellStyle name="표준 5 2 29 5" xfId="14128"/>
    <cellStyle name="표준 5 2 29 5 2" xfId="39480"/>
    <cellStyle name="표준 5 2 29 6" xfId="26808"/>
    <cellStyle name="표준 5 2 29 7" xfId="53494"/>
    <cellStyle name="표준 5 2 3" xfId="27"/>
    <cellStyle name="표준 5 2 3 10" xfId="1456"/>
    <cellStyle name="표준 5 2 3 10 2" xfId="1457"/>
    <cellStyle name="표준 5 2 3 10 2 2" xfId="4583"/>
    <cellStyle name="표준 5 2 3 10 2 2 2" xfId="10919"/>
    <cellStyle name="표준 5 2 3 10 2 2 2 2" xfId="23592"/>
    <cellStyle name="표준 5 2 3 10 2 2 2 2 2" xfId="48944"/>
    <cellStyle name="표준 5 2 3 10 2 2 2 3" xfId="36272"/>
    <cellStyle name="표준 5 2 3 10 2 2 3" xfId="17256"/>
    <cellStyle name="표준 5 2 3 10 2 2 3 2" xfId="42608"/>
    <cellStyle name="표준 5 2 3 10 2 2 4" xfId="29936"/>
    <cellStyle name="표준 5 2 3 10 2 2 5" xfId="53495"/>
    <cellStyle name="표준 5 2 3 10 2 3" xfId="7794"/>
    <cellStyle name="표준 5 2 3 10 2 3 2" xfId="20467"/>
    <cellStyle name="표준 5 2 3 10 2 3 2 2" xfId="45819"/>
    <cellStyle name="표준 5 2 3 10 2 3 3" xfId="33147"/>
    <cellStyle name="표준 5 2 3 10 2 4" xfId="14131"/>
    <cellStyle name="표준 5 2 3 10 2 4 2" xfId="39483"/>
    <cellStyle name="표준 5 2 3 10 2 5" xfId="26811"/>
    <cellStyle name="표준 5 2 3 10 2 6" xfId="53496"/>
    <cellStyle name="표준 5 2 3 10 3" xfId="4584"/>
    <cellStyle name="표준 5 2 3 10 3 2" xfId="10920"/>
    <cellStyle name="표준 5 2 3 10 3 2 2" xfId="23593"/>
    <cellStyle name="표준 5 2 3 10 3 2 2 2" xfId="48945"/>
    <cellStyle name="표준 5 2 3 10 3 2 3" xfId="36273"/>
    <cellStyle name="표준 5 2 3 10 3 3" xfId="17257"/>
    <cellStyle name="표준 5 2 3 10 3 3 2" xfId="42609"/>
    <cellStyle name="표준 5 2 3 10 3 4" xfId="29937"/>
    <cellStyle name="표준 5 2 3 10 3 5" xfId="53497"/>
    <cellStyle name="표준 5 2 3 10 4" xfId="7793"/>
    <cellStyle name="표준 5 2 3 10 4 2" xfId="20466"/>
    <cellStyle name="표준 5 2 3 10 4 2 2" xfId="45818"/>
    <cellStyle name="표준 5 2 3 10 4 3" xfId="33146"/>
    <cellStyle name="표준 5 2 3 10 5" xfId="14130"/>
    <cellStyle name="표준 5 2 3 10 5 2" xfId="39482"/>
    <cellStyle name="표준 5 2 3 10 6" xfId="26810"/>
    <cellStyle name="표준 5 2 3 10 7" xfId="53498"/>
    <cellStyle name="표준 5 2 3 11" xfId="1458"/>
    <cellStyle name="표준 5 2 3 11 2" xfId="1459"/>
    <cellStyle name="표준 5 2 3 11 2 2" xfId="4585"/>
    <cellStyle name="표준 5 2 3 11 2 2 2" xfId="10921"/>
    <cellStyle name="표준 5 2 3 11 2 2 2 2" xfId="23594"/>
    <cellStyle name="표준 5 2 3 11 2 2 2 2 2" xfId="48946"/>
    <cellStyle name="표준 5 2 3 11 2 2 2 3" xfId="36274"/>
    <cellStyle name="표준 5 2 3 11 2 2 3" xfId="17258"/>
    <cellStyle name="표준 5 2 3 11 2 2 3 2" xfId="42610"/>
    <cellStyle name="표준 5 2 3 11 2 2 4" xfId="29938"/>
    <cellStyle name="표준 5 2 3 11 2 2 5" xfId="53499"/>
    <cellStyle name="표준 5 2 3 11 2 3" xfId="7796"/>
    <cellStyle name="표준 5 2 3 11 2 3 2" xfId="20469"/>
    <cellStyle name="표준 5 2 3 11 2 3 2 2" xfId="45821"/>
    <cellStyle name="표준 5 2 3 11 2 3 3" xfId="33149"/>
    <cellStyle name="표준 5 2 3 11 2 4" xfId="14133"/>
    <cellStyle name="표준 5 2 3 11 2 4 2" xfId="39485"/>
    <cellStyle name="표준 5 2 3 11 2 5" xfId="26813"/>
    <cellStyle name="표준 5 2 3 11 2 6" xfId="53500"/>
    <cellStyle name="표준 5 2 3 11 3" xfId="4586"/>
    <cellStyle name="표준 5 2 3 11 3 2" xfId="10922"/>
    <cellStyle name="표준 5 2 3 11 3 2 2" xfId="23595"/>
    <cellStyle name="표준 5 2 3 11 3 2 2 2" xfId="48947"/>
    <cellStyle name="표준 5 2 3 11 3 2 3" xfId="36275"/>
    <cellStyle name="표준 5 2 3 11 3 3" xfId="17259"/>
    <cellStyle name="표준 5 2 3 11 3 3 2" xfId="42611"/>
    <cellStyle name="표준 5 2 3 11 3 4" xfId="29939"/>
    <cellStyle name="표준 5 2 3 11 3 5" xfId="53501"/>
    <cellStyle name="표준 5 2 3 11 4" xfId="7795"/>
    <cellStyle name="표준 5 2 3 11 4 2" xfId="20468"/>
    <cellStyle name="표준 5 2 3 11 4 2 2" xfId="45820"/>
    <cellStyle name="표준 5 2 3 11 4 3" xfId="33148"/>
    <cellStyle name="표준 5 2 3 11 5" xfId="14132"/>
    <cellStyle name="표준 5 2 3 11 5 2" xfId="39484"/>
    <cellStyle name="표준 5 2 3 11 6" xfId="26812"/>
    <cellStyle name="표준 5 2 3 11 7" xfId="53502"/>
    <cellStyle name="표준 5 2 3 12" xfId="1460"/>
    <cellStyle name="표준 5 2 3 12 2" xfId="1461"/>
    <cellStyle name="표준 5 2 3 12 2 2" xfId="4587"/>
    <cellStyle name="표준 5 2 3 12 2 2 2" xfId="10923"/>
    <cellStyle name="표준 5 2 3 12 2 2 2 2" xfId="23596"/>
    <cellStyle name="표준 5 2 3 12 2 2 2 2 2" xfId="48948"/>
    <cellStyle name="표준 5 2 3 12 2 2 2 3" xfId="36276"/>
    <cellStyle name="표준 5 2 3 12 2 2 3" xfId="17260"/>
    <cellStyle name="표준 5 2 3 12 2 2 3 2" xfId="42612"/>
    <cellStyle name="표준 5 2 3 12 2 2 4" xfId="29940"/>
    <cellStyle name="표준 5 2 3 12 2 2 5" xfId="53503"/>
    <cellStyle name="표준 5 2 3 12 2 3" xfId="7798"/>
    <cellStyle name="표준 5 2 3 12 2 3 2" xfId="20471"/>
    <cellStyle name="표준 5 2 3 12 2 3 2 2" xfId="45823"/>
    <cellStyle name="표준 5 2 3 12 2 3 3" xfId="33151"/>
    <cellStyle name="표준 5 2 3 12 2 4" xfId="14135"/>
    <cellStyle name="표준 5 2 3 12 2 4 2" xfId="39487"/>
    <cellStyle name="표준 5 2 3 12 2 5" xfId="26815"/>
    <cellStyle name="표준 5 2 3 12 2 6" xfId="53504"/>
    <cellStyle name="표준 5 2 3 12 3" xfId="4588"/>
    <cellStyle name="표준 5 2 3 12 3 2" xfId="10924"/>
    <cellStyle name="표준 5 2 3 12 3 2 2" xfId="23597"/>
    <cellStyle name="표준 5 2 3 12 3 2 2 2" xfId="48949"/>
    <cellStyle name="표준 5 2 3 12 3 2 3" xfId="36277"/>
    <cellStyle name="표준 5 2 3 12 3 3" xfId="17261"/>
    <cellStyle name="표준 5 2 3 12 3 3 2" xfId="42613"/>
    <cellStyle name="표준 5 2 3 12 3 4" xfId="29941"/>
    <cellStyle name="표준 5 2 3 12 3 5" xfId="53505"/>
    <cellStyle name="표준 5 2 3 12 4" xfId="7797"/>
    <cellStyle name="표준 5 2 3 12 4 2" xfId="20470"/>
    <cellStyle name="표준 5 2 3 12 4 2 2" xfId="45822"/>
    <cellStyle name="표준 5 2 3 12 4 3" xfId="33150"/>
    <cellStyle name="표준 5 2 3 12 5" xfId="14134"/>
    <cellStyle name="표준 5 2 3 12 5 2" xfId="39486"/>
    <cellStyle name="표준 5 2 3 12 6" xfId="26814"/>
    <cellStyle name="표준 5 2 3 12 7" xfId="53506"/>
    <cellStyle name="표준 5 2 3 13" xfId="1462"/>
    <cellStyle name="표준 5 2 3 13 2" xfId="1463"/>
    <cellStyle name="표준 5 2 3 13 2 2" xfId="4589"/>
    <cellStyle name="표준 5 2 3 13 2 2 2" xfId="10925"/>
    <cellStyle name="표준 5 2 3 13 2 2 2 2" xfId="23598"/>
    <cellStyle name="표준 5 2 3 13 2 2 2 2 2" xfId="48950"/>
    <cellStyle name="표준 5 2 3 13 2 2 2 3" xfId="36278"/>
    <cellStyle name="표준 5 2 3 13 2 2 3" xfId="17262"/>
    <cellStyle name="표준 5 2 3 13 2 2 3 2" xfId="42614"/>
    <cellStyle name="표준 5 2 3 13 2 2 4" xfId="29942"/>
    <cellStyle name="표준 5 2 3 13 2 2 5" xfId="53507"/>
    <cellStyle name="표준 5 2 3 13 2 3" xfId="7800"/>
    <cellStyle name="표준 5 2 3 13 2 3 2" xfId="20473"/>
    <cellStyle name="표준 5 2 3 13 2 3 2 2" xfId="45825"/>
    <cellStyle name="표준 5 2 3 13 2 3 3" xfId="33153"/>
    <cellStyle name="표준 5 2 3 13 2 4" xfId="14137"/>
    <cellStyle name="표준 5 2 3 13 2 4 2" xfId="39489"/>
    <cellStyle name="표준 5 2 3 13 2 5" xfId="26817"/>
    <cellStyle name="표준 5 2 3 13 2 6" xfId="53508"/>
    <cellStyle name="표준 5 2 3 13 3" xfId="4590"/>
    <cellStyle name="표준 5 2 3 13 3 2" xfId="10926"/>
    <cellStyle name="표준 5 2 3 13 3 2 2" xfId="23599"/>
    <cellStyle name="표준 5 2 3 13 3 2 2 2" xfId="48951"/>
    <cellStyle name="표준 5 2 3 13 3 2 3" xfId="36279"/>
    <cellStyle name="표준 5 2 3 13 3 3" xfId="17263"/>
    <cellStyle name="표준 5 2 3 13 3 3 2" xfId="42615"/>
    <cellStyle name="표준 5 2 3 13 3 4" xfId="29943"/>
    <cellStyle name="표준 5 2 3 13 3 5" xfId="53509"/>
    <cellStyle name="표준 5 2 3 13 4" xfId="7799"/>
    <cellStyle name="표준 5 2 3 13 4 2" xfId="20472"/>
    <cellStyle name="표준 5 2 3 13 4 2 2" xfId="45824"/>
    <cellStyle name="표준 5 2 3 13 4 3" xfId="33152"/>
    <cellStyle name="표준 5 2 3 13 5" xfId="14136"/>
    <cellStyle name="표준 5 2 3 13 5 2" xfId="39488"/>
    <cellStyle name="표준 5 2 3 13 6" xfId="26816"/>
    <cellStyle name="표준 5 2 3 13 7" xfId="53510"/>
    <cellStyle name="표준 5 2 3 14" xfId="1464"/>
    <cellStyle name="표준 5 2 3 14 2" xfId="1465"/>
    <cellStyle name="표준 5 2 3 14 2 2" xfId="4591"/>
    <cellStyle name="표준 5 2 3 14 2 2 2" xfId="10927"/>
    <cellStyle name="표준 5 2 3 14 2 2 2 2" xfId="23600"/>
    <cellStyle name="표준 5 2 3 14 2 2 2 2 2" xfId="48952"/>
    <cellStyle name="표준 5 2 3 14 2 2 2 3" xfId="36280"/>
    <cellStyle name="표준 5 2 3 14 2 2 3" xfId="17264"/>
    <cellStyle name="표준 5 2 3 14 2 2 3 2" xfId="42616"/>
    <cellStyle name="표준 5 2 3 14 2 2 4" xfId="29944"/>
    <cellStyle name="표준 5 2 3 14 2 2 5" xfId="53511"/>
    <cellStyle name="표준 5 2 3 14 2 3" xfId="7802"/>
    <cellStyle name="표준 5 2 3 14 2 3 2" xfId="20475"/>
    <cellStyle name="표준 5 2 3 14 2 3 2 2" xfId="45827"/>
    <cellStyle name="표준 5 2 3 14 2 3 3" xfId="33155"/>
    <cellStyle name="표준 5 2 3 14 2 4" xfId="14139"/>
    <cellStyle name="표준 5 2 3 14 2 4 2" xfId="39491"/>
    <cellStyle name="표준 5 2 3 14 2 5" xfId="26819"/>
    <cellStyle name="표준 5 2 3 14 2 6" xfId="53512"/>
    <cellStyle name="표준 5 2 3 14 3" xfId="4592"/>
    <cellStyle name="표준 5 2 3 14 3 2" xfId="10928"/>
    <cellStyle name="표준 5 2 3 14 3 2 2" xfId="23601"/>
    <cellStyle name="표준 5 2 3 14 3 2 2 2" xfId="48953"/>
    <cellStyle name="표준 5 2 3 14 3 2 3" xfId="36281"/>
    <cellStyle name="표준 5 2 3 14 3 3" xfId="17265"/>
    <cellStyle name="표준 5 2 3 14 3 3 2" xfId="42617"/>
    <cellStyle name="표준 5 2 3 14 3 4" xfId="29945"/>
    <cellStyle name="표준 5 2 3 14 3 5" xfId="53513"/>
    <cellStyle name="표준 5 2 3 14 4" xfId="7801"/>
    <cellStyle name="표준 5 2 3 14 4 2" xfId="20474"/>
    <cellStyle name="표준 5 2 3 14 4 2 2" xfId="45826"/>
    <cellStyle name="표준 5 2 3 14 4 3" xfId="33154"/>
    <cellStyle name="표준 5 2 3 14 5" xfId="14138"/>
    <cellStyle name="표준 5 2 3 14 5 2" xfId="39490"/>
    <cellStyle name="표준 5 2 3 14 6" xfId="26818"/>
    <cellStyle name="표준 5 2 3 14 7" xfId="53514"/>
    <cellStyle name="표준 5 2 3 15" xfId="1466"/>
    <cellStyle name="표준 5 2 3 15 2" xfId="1467"/>
    <cellStyle name="표준 5 2 3 15 2 2" xfId="4593"/>
    <cellStyle name="표준 5 2 3 15 2 2 2" xfId="10929"/>
    <cellStyle name="표준 5 2 3 15 2 2 2 2" xfId="23602"/>
    <cellStyle name="표준 5 2 3 15 2 2 2 2 2" xfId="48954"/>
    <cellStyle name="표준 5 2 3 15 2 2 2 3" xfId="36282"/>
    <cellStyle name="표준 5 2 3 15 2 2 3" xfId="17266"/>
    <cellStyle name="표준 5 2 3 15 2 2 3 2" xfId="42618"/>
    <cellStyle name="표준 5 2 3 15 2 2 4" xfId="29946"/>
    <cellStyle name="표준 5 2 3 15 2 2 5" xfId="53515"/>
    <cellStyle name="표준 5 2 3 15 2 3" xfId="7804"/>
    <cellStyle name="표준 5 2 3 15 2 3 2" xfId="20477"/>
    <cellStyle name="표준 5 2 3 15 2 3 2 2" xfId="45829"/>
    <cellStyle name="표준 5 2 3 15 2 3 3" xfId="33157"/>
    <cellStyle name="표준 5 2 3 15 2 4" xfId="14141"/>
    <cellStyle name="표준 5 2 3 15 2 4 2" xfId="39493"/>
    <cellStyle name="표준 5 2 3 15 2 5" xfId="26821"/>
    <cellStyle name="표준 5 2 3 15 2 6" xfId="53516"/>
    <cellStyle name="표준 5 2 3 15 3" xfId="4594"/>
    <cellStyle name="표준 5 2 3 15 3 2" xfId="10930"/>
    <cellStyle name="표준 5 2 3 15 3 2 2" xfId="23603"/>
    <cellStyle name="표준 5 2 3 15 3 2 2 2" xfId="48955"/>
    <cellStyle name="표준 5 2 3 15 3 2 3" xfId="36283"/>
    <cellStyle name="표준 5 2 3 15 3 3" xfId="17267"/>
    <cellStyle name="표준 5 2 3 15 3 3 2" xfId="42619"/>
    <cellStyle name="표준 5 2 3 15 3 4" xfId="29947"/>
    <cellStyle name="표준 5 2 3 15 3 5" xfId="53517"/>
    <cellStyle name="표준 5 2 3 15 4" xfId="7803"/>
    <cellStyle name="표준 5 2 3 15 4 2" xfId="20476"/>
    <cellStyle name="표준 5 2 3 15 4 2 2" xfId="45828"/>
    <cellStyle name="표준 5 2 3 15 4 3" xfId="33156"/>
    <cellStyle name="표준 5 2 3 15 5" xfId="14140"/>
    <cellStyle name="표준 5 2 3 15 5 2" xfId="39492"/>
    <cellStyle name="표준 5 2 3 15 6" xfId="26820"/>
    <cellStyle name="표준 5 2 3 15 7" xfId="53518"/>
    <cellStyle name="표준 5 2 3 16" xfId="1468"/>
    <cellStyle name="표준 5 2 3 16 2" xfId="1469"/>
    <cellStyle name="표준 5 2 3 16 2 2" xfId="4595"/>
    <cellStyle name="표준 5 2 3 16 2 2 2" xfId="10931"/>
    <cellStyle name="표준 5 2 3 16 2 2 2 2" xfId="23604"/>
    <cellStyle name="표준 5 2 3 16 2 2 2 2 2" xfId="48956"/>
    <cellStyle name="표준 5 2 3 16 2 2 2 3" xfId="36284"/>
    <cellStyle name="표준 5 2 3 16 2 2 3" xfId="17268"/>
    <cellStyle name="표준 5 2 3 16 2 2 3 2" xfId="42620"/>
    <cellStyle name="표준 5 2 3 16 2 2 4" xfId="29948"/>
    <cellStyle name="표준 5 2 3 16 2 2 5" xfId="53519"/>
    <cellStyle name="표준 5 2 3 16 2 3" xfId="7806"/>
    <cellStyle name="표준 5 2 3 16 2 3 2" xfId="20479"/>
    <cellStyle name="표준 5 2 3 16 2 3 2 2" xfId="45831"/>
    <cellStyle name="표준 5 2 3 16 2 3 3" xfId="33159"/>
    <cellStyle name="표준 5 2 3 16 2 4" xfId="14143"/>
    <cellStyle name="표준 5 2 3 16 2 4 2" xfId="39495"/>
    <cellStyle name="표준 5 2 3 16 2 5" xfId="26823"/>
    <cellStyle name="표준 5 2 3 16 2 6" xfId="53520"/>
    <cellStyle name="표준 5 2 3 16 3" xfId="4596"/>
    <cellStyle name="표준 5 2 3 16 3 2" xfId="10932"/>
    <cellStyle name="표준 5 2 3 16 3 2 2" xfId="23605"/>
    <cellStyle name="표준 5 2 3 16 3 2 2 2" xfId="48957"/>
    <cellStyle name="표준 5 2 3 16 3 2 3" xfId="36285"/>
    <cellStyle name="표준 5 2 3 16 3 3" xfId="17269"/>
    <cellStyle name="표준 5 2 3 16 3 3 2" xfId="42621"/>
    <cellStyle name="표준 5 2 3 16 3 4" xfId="29949"/>
    <cellStyle name="표준 5 2 3 16 3 5" xfId="53521"/>
    <cellStyle name="표준 5 2 3 16 4" xfId="7805"/>
    <cellStyle name="표준 5 2 3 16 4 2" xfId="20478"/>
    <cellStyle name="표준 5 2 3 16 4 2 2" xfId="45830"/>
    <cellStyle name="표준 5 2 3 16 4 3" xfId="33158"/>
    <cellStyle name="표준 5 2 3 16 5" xfId="14142"/>
    <cellStyle name="표준 5 2 3 16 5 2" xfId="39494"/>
    <cellStyle name="표준 5 2 3 16 6" xfId="26822"/>
    <cellStyle name="표준 5 2 3 16 7" xfId="53522"/>
    <cellStyle name="표준 5 2 3 17" xfId="1470"/>
    <cellStyle name="표준 5 2 3 17 2" xfId="1471"/>
    <cellStyle name="표준 5 2 3 17 2 2" xfId="4597"/>
    <cellStyle name="표준 5 2 3 17 2 2 2" xfId="10933"/>
    <cellStyle name="표준 5 2 3 17 2 2 2 2" xfId="23606"/>
    <cellStyle name="표준 5 2 3 17 2 2 2 2 2" xfId="48958"/>
    <cellStyle name="표준 5 2 3 17 2 2 2 3" xfId="36286"/>
    <cellStyle name="표준 5 2 3 17 2 2 3" xfId="17270"/>
    <cellStyle name="표준 5 2 3 17 2 2 3 2" xfId="42622"/>
    <cellStyle name="표준 5 2 3 17 2 2 4" xfId="29950"/>
    <cellStyle name="표준 5 2 3 17 2 2 5" xfId="53523"/>
    <cellStyle name="표준 5 2 3 17 2 3" xfId="7808"/>
    <cellStyle name="표준 5 2 3 17 2 3 2" xfId="20481"/>
    <cellStyle name="표준 5 2 3 17 2 3 2 2" xfId="45833"/>
    <cellStyle name="표준 5 2 3 17 2 3 3" xfId="33161"/>
    <cellStyle name="표준 5 2 3 17 2 4" xfId="14145"/>
    <cellStyle name="표준 5 2 3 17 2 4 2" xfId="39497"/>
    <cellStyle name="표준 5 2 3 17 2 5" xfId="26825"/>
    <cellStyle name="표준 5 2 3 17 2 6" xfId="53524"/>
    <cellStyle name="표준 5 2 3 17 3" xfId="4598"/>
    <cellStyle name="표준 5 2 3 17 3 2" xfId="10934"/>
    <cellStyle name="표준 5 2 3 17 3 2 2" xfId="23607"/>
    <cellStyle name="표준 5 2 3 17 3 2 2 2" xfId="48959"/>
    <cellStyle name="표준 5 2 3 17 3 2 3" xfId="36287"/>
    <cellStyle name="표준 5 2 3 17 3 3" xfId="17271"/>
    <cellStyle name="표준 5 2 3 17 3 3 2" xfId="42623"/>
    <cellStyle name="표준 5 2 3 17 3 4" xfId="29951"/>
    <cellStyle name="표준 5 2 3 17 3 5" xfId="53525"/>
    <cellStyle name="표준 5 2 3 17 4" xfId="7807"/>
    <cellStyle name="표준 5 2 3 17 4 2" xfId="20480"/>
    <cellStyle name="표준 5 2 3 17 4 2 2" xfId="45832"/>
    <cellStyle name="표준 5 2 3 17 4 3" xfId="33160"/>
    <cellStyle name="표준 5 2 3 17 5" xfId="14144"/>
    <cellStyle name="표준 5 2 3 17 5 2" xfId="39496"/>
    <cellStyle name="표준 5 2 3 17 6" xfId="26824"/>
    <cellStyle name="표준 5 2 3 17 7" xfId="53526"/>
    <cellStyle name="표준 5 2 3 18" xfId="1472"/>
    <cellStyle name="표준 5 2 3 18 2" xfId="1473"/>
    <cellStyle name="표준 5 2 3 18 2 2" xfId="4599"/>
    <cellStyle name="표준 5 2 3 18 2 2 2" xfId="10935"/>
    <cellStyle name="표준 5 2 3 18 2 2 2 2" xfId="23608"/>
    <cellStyle name="표준 5 2 3 18 2 2 2 2 2" xfId="48960"/>
    <cellStyle name="표준 5 2 3 18 2 2 2 3" xfId="36288"/>
    <cellStyle name="표준 5 2 3 18 2 2 3" xfId="17272"/>
    <cellStyle name="표준 5 2 3 18 2 2 3 2" xfId="42624"/>
    <cellStyle name="표준 5 2 3 18 2 2 4" xfId="29952"/>
    <cellStyle name="표준 5 2 3 18 2 2 5" xfId="53527"/>
    <cellStyle name="표준 5 2 3 18 2 3" xfId="7810"/>
    <cellStyle name="표준 5 2 3 18 2 3 2" xfId="20483"/>
    <cellStyle name="표준 5 2 3 18 2 3 2 2" xfId="45835"/>
    <cellStyle name="표준 5 2 3 18 2 3 3" xfId="33163"/>
    <cellStyle name="표준 5 2 3 18 2 4" xfId="14147"/>
    <cellStyle name="표준 5 2 3 18 2 4 2" xfId="39499"/>
    <cellStyle name="표준 5 2 3 18 2 5" xfId="26827"/>
    <cellStyle name="표준 5 2 3 18 2 6" xfId="53528"/>
    <cellStyle name="표준 5 2 3 18 3" xfId="4600"/>
    <cellStyle name="표준 5 2 3 18 3 2" xfId="10936"/>
    <cellStyle name="표준 5 2 3 18 3 2 2" xfId="23609"/>
    <cellStyle name="표준 5 2 3 18 3 2 2 2" xfId="48961"/>
    <cellStyle name="표준 5 2 3 18 3 2 3" xfId="36289"/>
    <cellStyle name="표준 5 2 3 18 3 3" xfId="17273"/>
    <cellStyle name="표준 5 2 3 18 3 3 2" xfId="42625"/>
    <cellStyle name="표준 5 2 3 18 3 4" xfId="29953"/>
    <cellStyle name="표준 5 2 3 18 3 5" xfId="53529"/>
    <cellStyle name="표준 5 2 3 18 4" xfId="7809"/>
    <cellStyle name="표준 5 2 3 18 4 2" xfId="20482"/>
    <cellStyle name="표준 5 2 3 18 4 2 2" xfId="45834"/>
    <cellStyle name="표준 5 2 3 18 4 3" xfId="33162"/>
    <cellStyle name="표준 5 2 3 18 5" xfId="14146"/>
    <cellStyle name="표준 5 2 3 18 5 2" xfId="39498"/>
    <cellStyle name="표준 5 2 3 18 6" xfId="26826"/>
    <cellStyle name="표준 5 2 3 18 7" xfId="53530"/>
    <cellStyle name="표준 5 2 3 19" xfId="1474"/>
    <cellStyle name="표준 5 2 3 19 2" xfId="1475"/>
    <cellStyle name="표준 5 2 3 19 2 2" xfId="4601"/>
    <cellStyle name="표준 5 2 3 19 2 2 2" xfId="10937"/>
    <cellStyle name="표준 5 2 3 19 2 2 2 2" xfId="23610"/>
    <cellStyle name="표준 5 2 3 19 2 2 2 2 2" xfId="48962"/>
    <cellStyle name="표준 5 2 3 19 2 2 2 3" xfId="36290"/>
    <cellStyle name="표준 5 2 3 19 2 2 3" xfId="17274"/>
    <cellStyle name="표준 5 2 3 19 2 2 3 2" xfId="42626"/>
    <cellStyle name="표준 5 2 3 19 2 2 4" xfId="29954"/>
    <cellStyle name="표준 5 2 3 19 2 2 5" xfId="53531"/>
    <cellStyle name="표준 5 2 3 19 2 3" xfId="7812"/>
    <cellStyle name="표준 5 2 3 19 2 3 2" xfId="20485"/>
    <cellStyle name="표준 5 2 3 19 2 3 2 2" xfId="45837"/>
    <cellStyle name="표준 5 2 3 19 2 3 3" xfId="33165"/>
    <cellStyle name="표준 5 2 3 19 2 4" xfId="14149"/>
    <cellStyle name="표준 5 2 3 19 2 4 2" xfId="39501"/>
    <cellStyle name="표준 5 2 3 19 2 5" xfId="26829"/>
    <cellStyle name="표준 5 2 3 19 2 6" xfId="53532"/>
    <cellStyle name="표준 5 2 3 19 3" xfId="4602"/>
    <cellStyle name="표준 5 2 3 19 3 2" xfId="10938"/>
    <cellStyle name="표준 5 2 3 19 3 2 2" xfId="23611"/>
    <cellStyle name="표준 5 2 3 19 3 2 2 2" xfId="48963"/>
    <cellStyle name="표준 5 2 3 19 3 2 3" xfId="36291"/>
    <cellStyle name="표준 5 2 3 19 3 3" xfId="17275"/>
    <cellStyle name="표준 5 2 3 19 3 3 2" xfId="42627"/>
    <cellStyle name="표준 5 2 3 19 3 4" xfId="29955"/>
    <cellStyle name="표준 5 2 3 19 3 5" xfId="53533"/>
    <cellStyle name="표준 5 2 3 19 4" xfId="7811"/>
    <cellStyle name="표준 5 2 3 19 4 2" xfId="20484"/>
    <cellStyle name="표준 5 2 3 19 4 2 2" xfId="45836"/>
    <cellStyle name="표준 5 2 3 19 4 3" xfId="33164"/>
    <cellStyle name="표준 5 2 3 19 5" xfId="14148"/>
    <cellStyle name="표준 5 2 3 19 5 2" xfId="39500"/>
    <cellStyle name="표준 5 2 3 19 6" xfId="26828"/>
    <cellStyle name="표준 5 2 3 19 7" xfId="53534"/>
    <cellStyle name="표준 5 2 3 2" xfId="77"/>
    <cellStyle name="표준 5 2 3 2 10" xfId="1476"/>
    <cellStyle name="표준 5 2 3 2 10 2" xfId="1477"/>
    <cellStyle name="표준 5 2 3 2 10 2 2" xfId="4603"/>
    <cellStyle name="표준 5 2 3 2 10 2 2 2" xfId="10939"/>
    <cellStyle name="표준 5 2 3 2 10 2 2 2 2" xfId="23612"/>
    <cellStyle name="표준 5 2 3 2 10 2 2 2 2 2" xfId="48964"/>
    <cellStyle name="표준 5 2 3 2 10 2 2 2 3" xfId="36292"/>
    <cellStyle name="표준 5 2 3 2 10 2 2 3" xfId="17276"/>
    <cellStyle name="표준 5 2 3 2 10 2 2 3 2" xfId="42628"/>
    <cellStyle name="표준 5 2 3 2 10 2 2 4" xfId="29956"/>
    <cellStyle name="표준 5 2 3 2 10 2 2 5" xfId="53535"/>
    <cellStyle name="표준 5 2 3 2 10 2 3" xfId="7814"/>
    <cellStyle name="표준 5 2 3 2 10 2 3 2" xfId="20487"/>
    <cellStyle name="표준 5 2 3 2 10 2 3 2 2" xfId="45839"/>
    <cellStyle name="표준 5 2 3 2 10 2 3 3" xfId="33167"/>
    <cellStyle name="표준 5 2 3 2 10 2 4" xfId="14151"/>
    <cellStyle name="표준 5 2 3 2 10 2 4 2" xfId="39503"/>
    <cellStyle name="표준 5 2 3 2 10 2 5" xfId="26831"/>
    <cellStyle name="표준 5 2 3 2 10 2 6" xfId="53536"/>
    <cellStyle name="표준 5 2 3 2 10 3" xfId="4604"/>
    <cellStyle name="표준 5 2 3 2 10 3 2" xfId="10940"/>
    <cellStyle name="표준 5 2 3 2 10 3 2 2" xfId="23613"/>
    <cellStyle name="표준 5 2 3 2 10 3 2 2 2" xfId="48965"/>
    <cellStyle name="표준 5 2 3 2 10 3 2 3" xfId="36293"/>
    <cellStyle name="표준 5 2 3 2 10 3 3" xfId="17277"/>
    <cellStyle name="표준 5 2 3 2 10 3 3 2" xfId="42629"/>
    <cellStyle name="표준 5 2 3 2 10 3 4" xfId="29957"/>
    <cellStyle name="표준 5 2 3 2 10 3 5" xfId="53537"/>
    <cellStyle name="표준 5 2 3 2 10 4" xfId="7813"/>
    <cellStyle name="표준 5 2 3 2 10 4 2" xfId="20486"/>
    <cellStyle name="표준 5 2 3 2 10 4 2 2" xfId="45838"/>
    <cellStyle name="표준 5 2 3 2 10 4 3" xfId="33166"/>
    <cellStyle name="표준 5 2 3 2 10 5" xfId="14150"/>
    <cellStyle name="표준 5 2 3 2 10 5 2" xfId="39502"/>
    <cellStyle name="표준 5 2 3 2 10 6" xfId="26830"/>
    <cellStyle name="표준 5 2 3 2 10 7" xfId="53538"/>
    <cellStyle name="표준 5 2 3 2 11" xfId="1478"/>
    <cellStyle name="표준 5 2 3 2 11 2" xfId="1479"/>
    <cellStyle name="표준 5 2 3 2 11 2 2" xfId="4605"/>
    <cellStyle name="표준 5 2 3 2 11 2 2 2" xfId="10941"/>
    <cellStyle name="표준 5 2 3 2 11 2 2 2 2" xfId="23614"/>
    <cellStyle name="표준 5 2 3 2 11 2 2 2 2 2" xfId="48966"/>
    <cellStyle name="표준 5 2 3 2 11 2 2 2 3" xfId="36294"/>
    <cellStyle name="표준 5 2 3 2 11 2 2 3" xfId="17278"/>
    <cellStyle name="표준 5 2 3 2 11 2 2 3 2" xfId="42630"/>
    <cellStyle name="표준 5 2 3 2 11 2 2 4" xfId="29958"/>
    <cellStyle name="표준 5 2 3 2 11 2 2 5" xfId="53539"/>
    <cellStyle name="표준 5 2 3 2 11 2 3" xfId="7816"/>
    <cellStyle name="표준 5 2 3 2 11 2 3 2" xfId="20489"/>
    <cellStyle name="표준 5 2 3 2 11 2 3 2 2" xfId="45841"/>
    <cellStyle name="표준 5 2 3 2 11 2 3 3" xfId="33169"/>
    <cellStyle name="표준 5 2 3 2 11 2 4" xfId="14153"/>
    <cellStyle name="표준 5 2 3 2 11 2 4 2" xfId="39505"/>
    <cellStyle name="표준 5 2 3 2 11 2 5" xfId="26833"/>
    <cellStyle name="표준 5 2 3 2 11 2 6" xfId="53540"/>
    <cellStyle name="표준 5 2 3 2 11 3" xfId="4606"/>
    <cellStyle name="표준 5 2 3 2 11 3 2" xfId="10942"/>
    <cellStyle name="표준 5 2 3 2 11 3 2 2" xfId="23615"/>
    <cellStyle name="표준 5 2 3 2 11 3 2 2 2" xfId="48967"/>
    <cellStyle name="표준 5 2 3 2 11 3 2 3" xfId="36295"/>
    <cellStyle name="표준 5 2 3 2 11 3 3" xfId="17279"/>
    <cellStyle name="표준 5 2 3 2 11 3 3 2" xfId="42631"/>
    <cellStyle name="표준 5 2 3 2 11 3 4" xfId="29959"/>
    <cellStyle name="표준 5 2 3 2 11 3 5" xfId="53541"/>
    <cellStyle name="표준 5 2 3 2 11 4" xfId="7815"/>
    <cellStyle name="표준 5 2 3 2 11 4 2" xfId="20488"/>
    <cellStyle name="표준 5 2 3 2 11 4 2 2" xfId="45840"/>
    <cellStyle name="표준 5 2 3 2 11 4 3" xfId="33168"/>
    <cellStyle name="표준 5 2 3 2 11 5" xfId="14152"/>
    <cellStyle name="표준 5 2 3 2 11 5 2" xfId="39504"/>
    <cellStyle name="표준 5 2 3 2 11 6" xfId="26832"/>
    <cellStyle name="표준 5 2 3 2 11 7" xfId="53542"/>
    <cellStyle name="표준 5 2 3 2 12" xfId="1480"/>
    <cellStyle name="표준 5 2 3 2 12 2" xfId="1481"/>
    <cellStyle name="표준 5 2 3 2 12 2 2" xfId="4607"/>
    <cellStyle name="표준 5 2 3 2 12 2 2 2" xfId="10943"/>
    <cellStyle name="표준 5 2 3 2 12 2 2 2 2" xfId="23616"/>
    <cellStyle name="표준 5 2 3 2 12 2 2 2 2 2" xfId="48968"/>
    <cellStyle name="표준 5 2 3 2 12 2 2 2 3" xfId="36296"/>
    <cellStyle name="표준 5 2 3 2 12 2 2 3" xfId="17280"/>
    <cellStyle name="표준 5 2 3 2 12 2 2 3 2" xfId="42632"/>
    <cellStyle name="표준 5 2 3 2 12 2 2 4" xfId="29960"/>
    <cellStyle name="표준 5 2 3 2 12 2 2 5" xfId="53543"/>
    <cellStyle name="표준 5 2 3 2 12 2 3" xfId="7818"/>
    <cellStyle name="표준 5 2 3 2 12 2 3 2" xfId="20491"/>
    <cellStyle name="표준 5 2 3 2 12 2 3 2 2" xfId="45843"/>
    <cellStyle name="표준 5 2 3 2 12 2 3 3" xfId="33171"/>
    <cellStyle name="표준 5 2 3 2 12 2 4" xfId="14155"/>
    <cellStyle name="표준 5 2 3 2 12 2 4 2" xfId="39507"/>
    <cellStyle name="표준 5 2 3 2 12 2 5" xfId="26835"/>
    <cellStyle name="표준 5 2 3 2 12 2 6" xfId="53544"/>
    <cellStyle name="표준 5 2 3 2 12 3" xfId="4608"/>
    <cellStyle name="표준 5 2 3 2 12 3 2" xfId="10944"/>
    <cellStyle name="표준 5 2 3 2 12 3 2 2" xfId="23617"/>
    <cellStyle name="표준 5 2 3 2 12 3 2 2 2" xfId="48969"/>
    <cellStyle name="표준 5 2 3 2 12 3 2 3" xfId="36297"/>
    <cellStyle name="표준 5 2 3 2 12 3 3" xfId="17281"/>
    <cellStyle name="표준 5 2 3 2 12 3 3 2" xfId="42633"/>
    <cellStyle name="표준 5 2 3 2 12 3 4" xfId="29961"/>
    <cellStyle name="표준 5 2 3 2 12 3 5" xfId="53545"/>
    <cellStyle name="표준 5 2 3 2 12 4" xfId="7817"/>
    <cellStyle name="표준 5 2 3 2 12 4 2" xfId="20490"/>
    <cellStyle name="표준 5 2 3 2 12 4 2 2" xfId="45842"/>
    <cellStyle name="표준 5 2 3 2 12 4 3" xfId="33170"/>
    <cellStyle name="표준 5 2 3 2 12 5" xfId="14154"/>
    <cellStyle name="표준 5 2 3 2 12 5 2" xfId="39506"/>
    <cellStyle name="표준 5 2 3 2 12 6" xfId="26834"/>
    <cellStyle name="표준 5 2 3 2 12 7" xfId="53546"/>
    <cellStyle name="표준 5 2 3 2 13" xfId="1482"/>
    <cellStyle name="표준 5 2 3 2 13 2" xfId="1483"/>
    <cellStyle name="표준 5 2 3 2 13 2 2" xfId="4609"/>
    <cellStyle name="표준 5 2 3 2 13 2 2 2" xfId="10945"/>
    <cellStyle name="표준 5 2 3 2 13 2 2 2 2" xfId="23618"/>
    <cellStyle name="표준 5 2 3 2 13 2 2 2 2 2" xfId="48970"/>
    <cellStyle name="표준 5 2 3 2 13 2 2 2 3" xfId="36298"/>
    <cellStyle name="표준 5 2 3 2 13 2 2 3" xfId="17282"/>
    <cellStyle name="표준 5 2 3 2 13 2 2 3 2" xfId="42634"/>
    <cellStyle name="표준 5 2 3 2 13 2 2 4" xfId="29962"/>
    <cellStyle name="표준 5 2 3 2 13 2 2 5" xfId="53547"/>
    <cellStyle name="표준 5 2 3 2 13 2 3" xfId="7820"/>
    <cellStyle name="표준 5 2 3 2 13 2 3 2" xfId="20493"/>
    <cellStyle name="표준 5 2 3 2 13 2 3 2 2" xfId="45845"/>
    <cellStyle name="표준 5 2 3 2 13 2 3 3" xfId="33173"/>
    <cellStyle name="표준 5 2 3 2 13 2 4" xfId="14157"/>
    <cellStyle name="표준 5 2 3 2 13 2 4 2" xfId="39509"/>
    <cellStyle name="표준 5 2 3 2 13 2 5" xfId="26837"/>
    <cellStyle name="표준 5 2 3 2 13 2 6" xfId="53548"/>
    <cellStyle name="표준 5 2 3 2 13 3" xfId="4610"/>
    <cellStyle name="표준 5 2 3 2 13 3 2" xfId="10946"/>
    <cellStyle name="표준 5 2 3 2 13 3 2 2" xfId="23619"/>
    <cellStyle name="표준 5 2 3 2 13 3 2 2 2" xfId="48971"/>
    <cellStyle name="표준 5 2 3 2 13 3 2 3" xfId="36299"/>
    <cellStyle name="표준 5 2 3 2 13 3 3" xfId="17283"/>
    <cellStyle name="표준 5 2 3 2 13 3 3 2" xfId="42635"/>
    <cellStyle name="표준 5 2 3 2 13 3 4" xfId="29963"/>
    <cellStyle name="표준 5 2 3 2 13 3 5" xfId="53549"/>
    <cellStyle name="표준 5 2 3 2 13 4" xfId="7819"/>
    <cellStyle name="표준 5 2 3 2 13 4 2" xfId="20492"/>
    <cellStyle name="표준 5 2 3 2 13 4 2 2" xfId="45844"/>
    <cellStyle name="표준 5 2 3 2 13 4 3" xfId="33172"/>
    <cellStyle name="표준 5 2 3 2 13 5" xfId="14156"/>
    <cellStyle name="표준 5 2 3 2 13 5 2" xfId="39508"/>
    <cellStyle name="표준 5 2 3 2 13 6" xfId="26836"/>
    <cellStyle name="표준 5 2 3 2 13 7" xfId="53550"/>
    <cellStyle name="표준 5 2 3 2 14" xfId="1484"/>
    <cellStyle name="표준 5 2 3 2 14 2" xfId="1485"/>
    <cellStyle name="표준 5 2 3 2 14 2 2" xfId="4611"/>
    <cellStyle name="표준 5 2 3 2 14 2 2 2" xfId="10947"/>
    <cellStyle name="표준 5 2 3 2 14 2 2 2 2" xfId="23620"/>
    <cellStyle name="표준 5 2 3 2 14 2 2 2 2 2" xfId="48972"/>
    <cellStyle name="표준 5 2 3 2 14 2 2 2 3" xfId="36300"/>
    <cellStyle name="표준 5 2 3 2 14 2 2 3" xfId="17284"/>
    <cellStyle name="표준 5 2 3 2 14 2 2 3 2" xfId="42636"/>
    <cellStyle name="표준 5 2 3 2 14 2 2 4" xfId="29964"/>
    <cellStyle name="표준 5 2 3 2 14 2 2 5" xfId="53551"/>
    <cellStyle name="표준 5 2 3 2 14 2 3" xfId="7822"/>
    <cellStyle name="표준 5 2 3 2 14 2 3 2" xfId="20495"/>
    <cellStyle name="표준 5 2 3 2 14 2 3 2 2" xfId="45847"/>
    <cellStyle name="표준 5 2 3 2 14 2 3 3" xfId="33175"/>
    <cellStyle name="표준 5 2 3 2 14 2 4" xfId="14159"/>
    <cellStyle name="표준 5 2 3 2 14 2 4 2" xfId="39511"/>
    <cellStyle name="표준 5 2 3 2 14 2 5" xfId="26839"/>
    <cellStyle name="표준 5 2 3 2 14 2 6" xfId="53552"/>
    <cellStyle name="표준 5 2 3 2 14 3" xfId="4612"/>
    <cellStyle name="표준 5 2 3 2 14 3 2" xfId="10948"/>
    <cellStyle name="표준 5 2 3 2 14 3 2 2" xfId="23621"/>
    <cellStyle name="표준 5 2 3 2 14 3 2 2 2" xfId="48973"/>
    <cellStyle name="표준 5 2 3 2 14 3 2 3" xfId="36301"/>
    <cellStyle name="표준 5 2 3 2 14 3 3" xfId="17285"/>
    <cellStyle name="표준 5 2 3 2 14 3 3 2" xfId="42637"/>
    <cellStyle name="표준 5 2 3 2 14 3 4" xfId="29965"/>
    <cellStyle name="표준 5 2 3 2 14 3 5" xfId="53553"/>
    <cellStyle name="표준 5 2 3 2 14 4" xfId="7821"/>
    <cellStyle name="표준 5 2 3 2 14 4 2" xfId="20494"/>
    <cellStyle name="표준 5 2 3 2 14 4 2 2" xfId="45846"/>
    <cellStyle name="표준 5 2 3 2 14 4 3" xfId="33174"/>
    <cellStyle name="표준 5 2 3 2 14 5" xfId="14158"/>
    <cellStyle name="표준 5 2 3 2 14 5 2" xfId="39510"/>
    <cellStyle name="표준 5 2 3 2 14 6" xfId="26838"/>
    <cellStyle name="표준 5 2 3 2 14 7" xfId="53554"/>
    <cellStyle name="표준 5 2 3 2 15" xfId="1486"/>
    <cellStyle name="표준 5 2 3 2 15 2" xfId="1487"/>
    <cellStyle name="표준 5 2 3 2 15 2 2" xfId="4613"/>
    <cellStyle name="표준 5 2 3 2 15 2 2 2" xfId="10949"/>
    <cellStyle name="표준 5 2 3 2 15 2 2 2 2" xfId="23622"/>
    <cellStyle name="표준 5 2 3 2 15 2 2 2 2 2" xfId="48974"/>
    <cellStyle name="표준 5 2 3 2 15 2 2 2 3" xfId="36302"/>
    <cellStyle name="표준 5 2 3 2 15 2 2 3" xfId="17286"/>
    <cellStyle name="표준 5 2 3 2 15 2 2 3 2" xfId="42638"/>
    <cellStyle name="표준 5 2 3 2 15 2 2 4" xfId="29966"/>
    <cellStyle name="표준 5 2 3 2 15 2 2 5" xfId="53555"/>
    <cellStyle name="표준 5 2 3 2 15 2 3" xfId="7824"/>
    <cellStyle name="표준 5 2 3 2 15 2 3 2" xfId="20497"/>
    <cellStyle name="표준 5 2 3 2 15 2 3 2 2" xfId="45849"/>
    <cellStyle name="표준 5 2 3 2 15 2 3 3" xfId="33177"/>
    <cellStyle name="표준 5 2 3 2 15 2 4" xfId="14161"/>
    <cellStyle name="표준 5 2 3 2 15 2 4 2" xfId="39513"/>
    <cellStyle name="표준 5 2 3 2 15 2 5" xfId="26841"/>
    <cellStyle name="표준 5 2 3 2 15 2 6" xfId="53556"/>
    <cellStyle name="표준 5 2 3 2 15 3" xfId="4614"/>
    <cellStyle name="표준 5 2 3 2 15 3 2" xfId="10950"/>
    <cellStyle name="표준 5 2 3 2 15 3 2 2" xfId="23623"/>
    <cellStyle name="표준 5 2 3 2 15 3 2 2 2" xfId="48975"/>
    <cellStyle name="표준 5 2 3 2 15 3 2 3" xfId="36303"/>
    <cellStyle name="표준 5 2 3 2 15 3 3" xfId="17287"/>
    <cellStyle name="표준 5 2 3 2 15 3 3 2" xfId="42639"/>
    <cellStyle name="표준 5 2 3 2 15 3 4" xfId="29967"/>
    <cellStyle name="표준 5 2 3 2 15 3 5" xfId="53557"/>
    <cellStyle name="표준 5 2 3 2 15 4" xfId="7823"/>
    <cellStyle name="표준 5 2 3 2 15 4 2" xfId="20496"/>
    <cellStyle name="표준 5 2 3 2 15 4 2 2" xfId="45848"/>
    <cellStyle name="표준 5 2 3 2 15 4 3" xfId="33176"/>
    <cellStyle name="표준 5 2 3 2 15 5" xfId="14160"/>
    <cellStyle name="표준 5 2 3 2 15 5 2" xfId="39512"/>
    <cellStyle name="표준 5 2 3 2 15 6" xfId="26840"/>
    <cellStyle name="표준 5 2 3 2 15 7" xfId="53558"/>
    <cellStyle name="표준 5 2 3 2 16" xfId="1488"/>
    <cellStyle name="표준 5 2 3 2 16 2" xfId="1489"/>
    <cellStyle name="표준 5 2 3 2 16 2 2" xfId="4615"/>
    <cellStyle name="표준 5 2 3 2 16 2 2 2" xfId="10951"/>
    <cellStyle name="표준 5 2 3 2 16 2 2 2 2" xfId="23624"/>
    <cellStyle name="표준 5 2 3 2 16 2 2 2 2 2" xfId="48976"/>
    <cellStyle name="표준 5 2 3 2 16 2 2 2 3" xfId="36304"/>
    <cellStyle name="표준 5 2 3 2 16 2 2 3" xfId="17288"/>
    <cellStyle name="표준 5 2 3 2 16 2 2 3 2" xfId="42640"/>
    <cellStyle name="표준 5 2 3 2 16 2 2 4" xfId="29968"/>
    <cellStyle name="표준 5 2 3 2 16 2 2 5" xfId="53559"/>
    <cellStyle name="표준 5 2 3 2 16 2 3" xfId="7826"/>
    <cellStyle name="표준 5 2 3 2 16 2 3 2" xfId="20499"/>
    <cellStyle name="표준 5 2 3 2 16 2 3 2 2" xfId="45851"/>
    <cellStyle name="표준 5 2 3 2 16 2 3 3" xfId="33179"/>
    <cellStyle name="표준 5 2 3 2 16 2 4" xfId="14163"/>
    <cellStyle name="표준 5 2 3 2 16 2 4 2" xfId="39515"/>
    <cellStyle name="표준 5 2 3 2 16 2 5" xfId="26843"/>
    <cellStyle name="표준 5 2 3 2 16 2 6" xfId="53560"/>
    <cellStyle name="표준 5 2 3 2 16 3" xfId="4616"/>
    <cellStyle name="표준 5 2 3 2 16 3 2" xfId="10952"/>
    <cellStyle name="표준 5 2 3 2 16 3 2 2" xfId="23625"/>
    <cellStyle name="표준 5 2 3 2 16 3 2 2 2" xfId="48977"/>
    <cellStyle name="표준 5 2 3 2 16 3 2 3" xfId="36305"/>
    <cellStyle name="표준 5 2 3 2 16 3 3" xfId="17289"/>
    <cellStyle name="표준 5 2 3 2 16 3 3 2" xfId="42641"/>
    <cellStyle name="표준 5 2 3 2 16 3 4" xfId="29969"/>
    <cellStyle name="표준 5 2 3 2 16 3 5" xfId="53561"/>
    <cellStyle name="표준 5 2 3 2 16 4" xfId="7825"/>
    <cellStyle name="표준 5 2 3 2 16 4 2" xfId="20498"/>
    <cellStyle name="표준 5 2 3 2 16 4 2 2" xfId="45850"/>
    <cellStyle name="표준 5 2 3 2 16 4 3" xfId="33178"/>
    <cellStyle name="표준 5 2 3 2 16 5" xfId="14162"/>
    <cellStyle name="표준 5 2 3 2 16 5 2" xfId="39514"/>
    <cellStyle name="표준 5 2 3 2 16 6" xfId="26842"/>
    <cellStyle name="표준 5 2 3 2 16 7" xfId="53562"/>
    <cellStyle name="표준 5 2 3 2 17" xfId="1490"/>
    <cellStyle name="표준 5 2 3 2 17 2" xfId="1491"/>
    <cellStyle name="표준 5 2 3 2 17 2 2" xfId="4617"/>
    <cellStyle name="표준 5 2 3 2 17 2 2 2" xfId="10953"/>
    <cellStyle name="표준 5 2 3 2 17 2 2 2 2" xfId="23626"/>
    <cellStyle name="표준 5 2 3 2 17 2 2 2 2 2" xfId="48978"/>
    <cellStyle name="표준 5 2 3 2 17 2 2 2 3" xfId="36306"/>
    <cellStyle name="표준 5 2 3 2 17 2 2 3" xfId="17290"/>
    <cellStyle name="표준 5 2 3 2 17 2 2 3 2" xfId="42642"/>
    <cellStyle name="표준 5 2 3 2 17 2 2 4" xfId="29970"/>
    <cellStyle name="표준 5 2 3 2 17 2 2 5" xfId="53563"/>
    <cellStyle name="표준 5 2 3 2 17 2 3" xfId="7828"/>
    <cellStyle name="표준 5 2 3 2 17 2 3 2" xfId="20501"/>
    <cellStyle name="표준 5 2 3 2 17 2 3 2 2" xfId="45853"/>
    <cellStyle name="표준 5 2 3 2 17 2 3 3" xfId="33181"/>
    <cellStyle name="표준 5 2 3 2 17 2 4" xfId="14165"/>
    <cellStyle name="표준 5 2 3 2 17 2 4 2" xfId="39517"/>
    <cellStyle name="표준 5 2 3 2 17 2 5" xfId="26845"/>
    <cellStyle name="표준 5 2 3 2 17 2 6" xfId="53564"/>
    <cellStyle name="표준 5 2 3 2 17 3" xfId="4618"/>
    <cellStyle name="표준 5 2 3 2 17 3 2" xfId="10954"/>
    <cellStyle name="표준 5 2 3 2 17 3 2 2" xfId="23627"/>
    <cellStyle name="표준 5 2 3 2 17 3 2 2 2" xfId="48979"/>
    <cellStyle name="표준 5 2 3 2 17 3 2 3" xfId="36307"/>
    <cellStyle name="표준 5 2 3 2 17 3 3" xfId="17291"/>
    <cellStyle name="표준 5 2 3 2 17 3 3 2" xfId="42643"/>
    <cellStyle name="표준 5 2 3 2 17 3 4" xfId="29971"/>
    <cellStyle name="표준 5 2 3 2 17 3 5" xfId="53565"/>
    <cellStyle name="표준 5 2 3 2 17 4" xfId="7827"/>
    <cellStyle name="표준 5 2 3 2 17 4 2" xfId="20500"/>
    <cellStyle name="표준 5 2 3 2 17 4 2 2" xfId="45852"/>
    <cellStyle name="표준 5 2 3 2 17 4 3" xfId="33180"/>
    <cellStyle name="표준 5 2 3 2 17 5" xfId="14164"/>
    <cellStyle name="표준 5 2 3 2 17 5 2" xfId="39516"/>
    <cellStyle name="표준 5 2 3 2 17 6" xfId="26844"/>
    <cellStyle name="표준 5 2 3 2 17 7" xfId="53566"/>
    <cellStyle name="표준 5 2 3 2 18" xfId="1492"/>
    <cellStyle name="표준 5 2 3 2 18 2" xfId="1493"/>
    <cellStyle name="표준 5 2 3 2 18 2 2" xfId="4619"/>
    <cellStyle name="표준 5 2 3 2 18 2 2 2" xfId="10955"/>
    <cellStyle name="표준 5 2 3 2 18 2 2 2 2" xfId="23628"/>
    <cellStyle name="표준 5 2 3 2 18 2 2 2 2 2" xfId="48980"/>
    <cellStyle name="표준 5 2 3 2 18 2 2 2 3" xfId="36308"/>
    <cellStyle name="표준 5 2 3 2 18 2 2 3" xfId="17292"/>
    <cellStyle name="표준 5 2 3 2 18 2 2 3 2" xfId="42644"/>
    <cellStyle name="표준 5 2 3 2 18 2 2 4" xfId="29972"/>
    <cellStyle name="표준 5 2 3 2 18 2 2 5" xfId="53567"/>
    <cellStyle name="표준 5 2 3 2 18 2 3" xfId="7830"/>
    <cellStyle name="표준 5 2 3 2 18 2 3 2" xfId="20503"/>
    <cellStyle name="표준 5 2 3 2 18 2 3 2 2" xfId="45855"/>
    <cellStyle name="표준 5 2 3 2 18 2 3 3" xfId="33183"/>
    <cellStyle name="표준 5 2 3 2 18 2 4" xfId="14167"/>
    <cellStyle name="표준 5 2 3 2 18 2 4 2" xfId="39519"/>
    <cellStyle name="표준 5 2 3 2 18 2 5" xfId="26847"/>
    <cellStyle name="표준 5 2 3 2 18 2 6" xfId="53568"/>
    <cellStyle name="표준 5 2 3 2 18 3" xfId="4620"/>
    <cellStyle name="표준 5 2 3 2 18 3 2" xfId="10956"/>
    <cellStyle name="표준 5 2 3 2 18 3 2 2" xfId="23629"/>
    <cellStyle name="표준 5 2 3 2 18 3 2 2 2" xfId="48981"/>
    <cellStyle name="표준 5 2 3 2 18 3 2 3" xfId="36309"/>
    <cellStyle name="표준 5 2 3 2 18 3 3" xfId="17293"/>
    <cellStyle name="표준 5 2 3 2 18 3 3 2" xfId="42645"/>
    <cellStyle name="표준 5 2 3 2 18 3 4" xfId="29973"/>
    <cellStyle name="표준 5 2 3 2 18 3 5" xfId="53569"/>
    <cellStyle name="표준 5 2 3 2 18 4" xfId="7829"/>
    <cellStyle name="표준 5 2 3 2 18 4 2" xfId="20502"/>
    <cellStyle name="표준 5 2 3 2 18 4 2 2" xfId="45854"/>
    <cellStyle name="표준 5 2 3 2 18 4 3" xfId="33182"/>
    <cellStyle name="표준 5 2 3 2 18 5" xfId="14166"/>
    <cellStyle name="표준 5 2 3 2 18 5 2" xfId="39518"/>
    <cellStyle name="표준 5 2 3 2 18 6" xfId="26846"/>
    <cellStyle name="표준 5 2 3 2 18 7" xfId="53570"/>
    <cellStyle name="표준 5 2 3 2 19" xfId="1494"/>
    <cellStyle name="표준 5 2 3 2 19 2" xfId="1495"/>
    <cellStyle name="표준 5 2 3 2 19 2 2" xfId="4621"/>
    <cellStyle name="표준 5 2 3 2 19 2 2 2" xfId="10957"/>
    <cellStyle name="표준 5 2 3 2 19 2 2 2 2" xfId="23630"/>
    <cellStyle name="표준 5 2 3 2 19 2 2 2 2 2" xfId="48982"/>
    <cellStyle name="표준 5 2 3 2 19 2 2 2 3" xfId="36310"/>
    <cellStyle name="표준 5 2 3 2 19 2 2 3" xfId="17294"/>
    <cellStyle name="표준 5 2 3 2 19 2 2 3 2" xfId="42646"/>
    <cellStyle name="표준 5 2 3 2 19 2 2 4" xfId="29974"/>
    <cellStyle name="표준 5 2 3 2 19 2 2 5" xfId="53571"/>
    <cellStyle name="표준 5 2 3 2 19 2 3" xfId="7832"/>
    <cellStyle name="표준 5 2 3 2 19 2 3 2" xfId="20505"/>
    <cellStyle name="표준 5 2 3 2 19 2 3 2 2" xfId="45857"/>
    <cellStyle name="표준 5 2 3 2 19 2 3 3" xfId="33185"/>
    <cellStyle name="표준 5 2 3 2 19 2 4" xfId="14169"/>
    <cellStyle name="표준 5 2 3 2 19 2 4 2" xfId="39521"/>
    <cellStyle name="표준 5 2 3 2 19 2 5" xfId="26849"/>
    <cellStyle name="표준 5 2 3 2 19 2 6" xfId="53572"/>
    <cellStyle name="표준 5 2 3 2 19 3" xfId="4622"/>
    <cellStyle name="표준 5 2 3 2 19 3 2" xfId="10958"/>
    <cellStyle name="표준 5 2 3 2 19 3 2 2" xfId="23631"/>
    <cellStyle name="표준 5 2 3 2 19 3 2 2 2" xfId="48983"/>
    <cellStyle name="표준 5 2 3 2 19 3 2 3" xfId="36311"/>
    <cellStyle name="표준 5 2 3 2 19 3 3" xfId="17295"/>
    <cellStyle name="표준 5 2 3 2 19 3 3 2" xfId="42647"/>
    <cellStyle name="표준 5 2 3 2 19 3 4" xfId="29975"/>
    <cellStyle name="표준 5 2 3 2 19 3 5" xfId="53573"/>
    <cellStyle name="표준 5 2 3 2 19 4" xfId="7831"/>
    <cellStyle name="표준 5 2 3 2 19 4 2" xfId="20504"/>
    <cellStyle name="표준 5 2 3 2 19 4 2 2" xfId="45856"/>
    <cellStyle name="표준 5 2 3 2 19 4 3" xfId="33184"/>
    <cellStyle name="표준 5 2 3 2 19 5" xfId="14168"/>
    <cellStyle name="표준 5 2 3 2 19 5 2" xfId="39520"/>
    <cellStyle name="표준 5 2 3 2 19 6" xfId="26848"/>
    <cellStyle name="표준 5 2 3 2 19 7" xfId="53574"/>
    <cellStyle name="표준 5 2 3 2 2" xfId="1496"/>
    <cellStyle name="표준 5 2 3 2 2 2" xfId="1497"/>
    <cellStyle name="표준 5 2 3 2 2 2 2" xfId="4623"/>
    <cellStyle name="표준 5 2 3 2 2 2 2 2" xfId="10959"/>
    <cellStyle name="표준 5 2 3 2 2 2 2 2 2" xfId="23632"/>
    <cellStyle name="표준 5 2 3 2 2 2 2 2 2 2" xfId="48984"/>
    <cellStyle name="표준 5 2 3 2 2 2 2 2 3" xfId="36312"/>
    <cellStyle name="표준 5 2 3 2 2 2 2 3" xfId="17296"/>
    <cellStyle name="표준 5 2 3 2 2 2 2 3 2" xfId="42648"/>
    <cellStyle name="표준 5 2 3 2 2 2 2 4" xfId="29976"/>
    <cellStyle name="표준 5 2 3 2 2 2 2 5" xfId="53575"/>
    <cellStyle name="표준 5 2 3 2 2 2 3" xfId="7834"/>
    <cellStyle name="표준 5 2 3 2 2 2 3 2" xfId="20507"/>
    <cellStyle name="표준 5 2 3 2 2 2 3 2 2" xfId="45859"/>
    <cellStyle name="표준 5 2 3 2 2 2 3 3" xfId="33187"/>
    <cellStyle name="표준 5 2 3 2 2 2 4" xfId="14171"/>
    <cellStyle name="표준 5 2 3 2 2 2 4 2" xfId="39523"/>
    <cellStyle name="표준 5 2 3 2 2 2 5" xfId="26851"/>
    <cellStyle name="표준 5 2 3 2 2 2 6" xfId="53576"/>
    <cellStyle name="표준 5 2 3 2 2 3" xfId="4624"/>
    <cellStyle name="표준 5 2 3 2 2 3 2" xfId="10960"/>
    <cellStyle name="표준 5 2 3 2 2 3 2 2" xfId="23633"/>
    <cellStyle name="표준 5 2 3 2 2 3 2 2 2" xfId="48985"/>
    <cellStyle name="표준 5 2 3 2 2 3 2 3" xfId="36313"/>
    <cellStyle name="표준 5 2 3 2 2 3 3" xfId="17297"/>
    <cellStyle name="표준 5 2 3 2 2 3 3 2" xfId="42649"/>
    <cellStyle name="표준 5 2 3 2 2 3 4" xfId="29977"/>
    <cellStyle name="표준 5 2 3 2 2 3 5" xfId="53577"/>
    <cellStyle name="표준 5 2 3 2 2 4" xfId="7833"/>
    <cellStyle name="표준 5 2 3 2 2 4 2" xfId="20506"/>
    <cellStyle name="표준 5 2 3 2 2 4 2 2" xfId="45858"/>
    <cellStyle name="표준 5 2 3 2 2 4 3" xfId="33186"/>
    <cellStyle name="표준 5 2 3 2 2 5" xfId="14170"/>
    <cellStyle name="표준 5 2 3 2 2 5 2" xfId="39522"/>
    <cellStyle name="표준 5 2 3 2 2 6" xfId="26850"/>
    <cellStyle name="표준 5 2 3 2 2 7" xfId="53578"/>
    <cellStyle name="표준 5 2 3 2 20" xfId="1498"/>
    <cellStyle name="표준 5 2 3 2 20 2" xfId="1499"/>
    <cellStyle name="표준 5 2 3 2 20 2 2" xfId="4625"/>
    <cellStyle name="표준 5 2 3 2 20 2 2 2" xfId="10961"/>
    <cellStyle name="표준 5 2 3 2 20 2 2 2 2" xfId="23634"/>
    <cellStyle name="표준 5 2 3 2 20 2 2 2 2 2" xfId="48986"/>
    <cellStyle name="표준 5 2 3 2 20 2 2 2 3" xfId="36314"/>
    <cellStyle name="표준 5 2 3 2 20 2 2 3" xfId="17298"/>
    <cellStyle name="표준 5 2 3 2 20 2 2 3 2" xfId="42650"/>
    <cellStyle name="표준 5 2 3 2 20 2 2 4" xfId="29978"/>
    <cellStyle name="표준 5 2 3 2 20 2 2 5" xfId="53579"/>
    <cellStyle name="표준 5 2 3 2 20 2 3" xfId="7836"/>
    <cellStyle name="표준 5 2 3 2 20 2 3 2" xfId="20509"/>
    <cellStyle name="표준 5 2 3 2 20 2 3 2 2" xfId="45861"/>
    <cellStyle name="표준 5 2 3 2 20 2 3 3" xfId="33189"/>
    <cellStyle name="표준 5 2 3 2 20 2 4" xfId="14173"/>
    <cellStyle name="표준 5 2 3 2 20 2 4 2" xfId="39525"/>
    <cellStyle name="표준 5 2 3 2 20 2 5" xfId="26853"/>
    <cellStyle name="표준 5 2 3 2 20 2 6" xfId="53580"/>
    <cellStyle name="표준 5 2 3 2 20 3" xfId="4626"/>
    <cellStyle name="표준 5 2 3 2 20 3 2" xfId="10962"/>
    <cellStyle name="표준 5 2 3 2 20 3 2 2" xfId="23635"/>
    <cellStyle name="표준 5 2 3 2 20 3 2 2 2" xfId="48987"/>
    <cellStyle name="표준 5 2 3 2 20 3 2 3" xfId="36315"/>
    <cellStyle name="표준 5 2 3 2 20 3 3" xfId="17299"/>
    <cellStyle name="표준 5 2 3 2 20 3 3 2" xfId="42651"/>
    <cellStyle name="표준 5 2 3 2 20 3 4" xfId="29979"/>
    <cellStyle name="표준 5 2 3 2 20 3 5" xfId="53581"/>
    <cellStyle name="표준 5 2 3 2 20 4" xfId="7835"/>
    <cellStyle name="표준 5 2 3 2 20 4 2" xfId="20508"/>
    <cellStyle name="표준 5 2 3 2 20 4 2 2" xfId="45860"/>
    <cellStyle name="표준 5 2 3 2 20 4 3" xfId="33188"/>
    <cellStyle name="표준 5 2 3 2 20 5" xfId="14172"/>
    <cellStyle name="표준 5 2 3 2 20 5 2" xfId="39524"/>
    <cellStyle name="표준 5 2 3 2 20 6" xfId="26852"/>
    <cellStyle name="표준 5 2 3 2 20 7" xfId="53582"/>
    <cellStyle name="표준 5 2 3 2 21" xfId="1500"/>
    <cellStyle name="표준 5 2 3 2 21 2" xfId="1501"/>
    <cellStyle name="표준 5 2 3 2 21 2 2" xfId="4627"/>
    <cellStyle name="표준 5 2 3 2 21 2 2 2" xfId="10963"/>
    <cellStyle name="표준 5 2 3 2 21 2 2 2 2" xfId="23636"/>
    <cellStyle name="표준 5 2 3 2 21 2 2 2 2 2" xfId="48988"/>
    <cellStyle name="표준 5 2 3 2 21 2 2 2 3" xfId="36316"/>
    <cellStyle name="표준 5 2 3 2 21 2 2 3" xfId="17300"/>
    <cellStyle name="표준 5 2 3 2 21 2 2 3 2" xfId="42652"/>
    <cellStyle name="표준 5 2 3 2 21 2 2 4" xfId="29980"/>
    <cellStyle name="표준 5 2 3 2 21 2 2 5" xfId="53583"/>
    <cellStyle name="표준 5 2 3 2 21 2 3" xfId="7838"/>
    <cellStyle name="표준 5 2 3 2 21 2 3 2" xfId="20511"/>
    <cellStyle name="표준 5 2 3 2 21 2 3 2 2" xfId="45863"/>
    <cellStyle name="표준 5 2 3 2 21 2 3 3" xfId="33191"/>
    <cellStyle name="표준 5 2 3 2 21 2 4" xfId="14175"/>
    <cellStyle name="표준 5 2 3 2 21 2 4 2" xfId="39527"/>
    <cellStyle name="표준 5 2 3 2 21 2 5" xfId="26855"/>
    <cellStyle name="표준 5 2 3 2 21 2 6" xfId="53584"/>
    <cellStyle name="표준 5 2 3 2 21 3" xfId="4628"/>
    <cellStyle name="표준 5 2 3 2 21 3 2" xfId="10964"/>
    <cellStyle name="표준 5 2 3 2 21 3 2 2" xfId="23637"/>
    <cellStyle name="표준 5 2 3 2 21 3 2 2 2" xfId="48989"/>
    <cellStyle name="표준 5 2 3 2 21 3 2 3" xfId="36317"/>
    <cellStyle name="표준 5 2 3 2 21 3 3" xfId="17301"/>
    <cellStyle name="표준 5 2 3 2 21 3 3 2" xfId="42653"/>
    <cellStyle name="표준 5 2 3 2 21 3 4" xfId="29981"/>
    <cellStyle name="표준 5 2 3 2 21 3 5" xfId="53585"/>
    <cellStyle name="표준 5 2 3 2 21 4" xfId="7837"/>
    <cellStyle name="표준 5 2 3 2 21 4 2" xfId="20510"/>
    <cellStyle name="표준 5 2 3 2 21 4 2 2" xfId="45862"/>
    <cellStyle name="표준 5 2 3 2 21 4 3" xfId="33190"/>
    <cellStyle name="표준 5 2 3 2 21 5" xfId="14174"/>
    <cellStyle name="표준 5 2 3 2 21 5 2" xfId="39526"/>
    <cellStyle name="표준 5 2 3 2 21 6" xfId="26854"/>
    <cellStyle name="표준 5 2 3 2 21 7" xfId="53586"/>
    <cellStyle name="표준 5 2 3 2 22" xfId="1502"/>
    <cellStyle name="표준 5 2 3 2 22 2" xfId="1503"/>
    <cellStyle name="표준 5 2 3 2 22 2 2" xfId="4629"/>
    <cellStyle name="표준 5 2 3 2 22 2 2 2" xfId="10965"/>
    <cellStyle name="표준 5 2 3 2 22 2 2 2 2" xfId="23638"/>
    <cellStyle name="표준 5 2 3 2 22 2 2 2 2 2" xfId="48990"/>
    <cellStyle name="표준 5 2 3 2 22 2 2 2 3" xfId="36318"/>
    <cellStyle name="표준 5 2 3 2 22 2 2 3" xfId="17302"/>
    <cellStyle name="표준 5 2 3 2 22 2 2 3 2" xfId="42654"/>
    <cellStyle name="표준 5 2 3 2 22 2 2 4" xfId="29982"/>
    <cellStyle name="표준 5 2 3 2 22 2 2 5" xfId="53587"/>
    <cellStyle name="표준 5 2 3 2 22 2 3" xfId="7840"/>
    <cellStyle name="표준 5 2 3 2 22 2 3 2" xfId="20513"/>
    <cellStyle name="표준 5 2 3 2 22 2 3 2 2" xfId="45865"/>
    <cellStyle name="표준 5 2 3 2 22 2 3 3" xfId="33193"/>
    <cellStyle name="표준 5 2 3 2 22 2 4" xfId="14177"/>
    <cellStyle name="표준 5 2 3 2 22 2 4 2" xfId="39529"/>
    <cellStyle name="표준 5 2 3 2 22 2 5" xfId="26857"/>
    <cellStyle name="표준 5 2 3 2 22 2 6" xfId="53588"/>
    <cellStyle name="표준 5 2 3 2 22 3" xfId="4630"/>
    <cellStyle name="표준 5 2 3 2 22 3 2" xfId="10966"/>
    <cellStyle name="표준 5 2 3 2 22 3 2 2" xfId="23639"/>
    <cellStyle name="표준 5 2 3 2 22 3 2 2 2" xfId="48991"/>
    <cellStyle name="표준 5 2 3 2 22 3 2 3" xfId="36319"/>
    <cellStyle name="표준 5 2 3 2 22 3 3" xfId="17303"/>
    <cellStyle name="표준 5 2 3 2 22 3 3 2" xfId="42655"/>
    <cellStyle name="표준 5 2 3 2 22 3 4" xfId="29983"/>
    <cellStyle name="표준 5 2 3 2 22 3 5" xfId="53589"/>
    <cellStyle name="표준 5 2 3 2 22 4" xfId="7839"/>
    <cellStyle name="표준 5 2 3 2 22 4 2" xfId="20512"/>
    <cellStyle name="표준 5 2 3 2 22 4 2 2" xfId="45864"/>
    <cellStyle name="표준 5 2 3 2 22 4 3" xfId="33192"/>
    <cellStyle name="표준 5 2 3 2 22 5" xfId="14176"/>
    <cellStyle name="표준 5 2 3 2 22 5 2" xfId="39528"/>
    <cellStyle name="표준 5 2 3 2 22 6" xfId="26856"/>
    <cellStyle name="표준 5 2 3 2 22 7" xfId="53590"/>
    <cellStyle name="표준 5 2 3 2 23" xfId="1504"/>
    <cellStyle name="표준 5 2 3 2 23 2" xfId="1505"/>
    <cellStyle name="표준 5 2 3 2 23 2 2" xfId="4631"/>
    <cellStyle name="표준 5 2 3 2 23 2 2 2" xfId="10967"/>
    <cellStyle name="표준 5 2 3 2 23 2 2 2 2" xfId="23640"/>
    <cellStyle name="표준 5 2 3 2 23 2 2 2 2 2" xfId="48992"/>
    <cellStyle name="표준 5 2 3 2 23 2 2 2 3" xfId="36320"/>
    <cellStyle name="표준 5 2 3 2 23 2 2 3" xfId="17304"/>
    <cellStyle name="표준 5 2 3 2 23 2 2 3 2" xfId="42656"/>
    <cellStyle name="표준 5 2 3 2 23 2 2 4" xfId="29984"/>
    <cellStyle name="표준 5 2 3 2 23 2 2 5" xfId="53591"/>
    <cellStyle name="표준 5 2 3 2 23 2 3" xfId="7842"/>
    <cellStyle name="표준 5 2 3 2 23 2 3 2" xfId="20515"/>
    <cellStyle name="표준 5 2 3 2 23 2 3 2 2" xfId="45867"/>
    <cellStyle name="표준 5 2 3 2 23 2 3 3" xfId="33195"/>
    <cellStyle name="표준 5 2 3 2 23 2 4" xfId="14179"/>
    <cellStyle name="표준 5 2 3 2 23 2 4 2" xfId="39531"/>
    <cellStyle name="표준 5 2 3 2 23 2 5" xfId="26859"/>
    <cellStyle name="표준 5 2 3 2 23 2 6" xfId="53592"/>
    <cellStyle name="표준 5 2 3 2 23 3" xfId="4632"/>
    <cellStyle name="표준 5 2 3 2 23 3 2" xfId="10968"/>
    <cellStyle name="표준 5 2 3 2 23 3 2 2" xfId="23641"/>
    <cellStyle name="표준 5 2 3 2 23 3 2 2 2" xfId="48993"/>
    <cellStyle name="표준 5 2 3 2 23 3 2 3" xfId="36321"/>
    <cellStyle name="표준 5 2 3 2 23 3 3" xfId="17305"/>
    <cellStyle name="표준 5 2 3 2 23 3 3 2" xfId="42657"/>
    <cellStyle name="표준 5 2 3 2 23 3 4" xfId="29985"/>
    <cellStyle name="표준 5 2 3 2 23 3 5" xfId="53593"/>
    <cellStyle name="표준 5 2 3 2 23 4" xfId="7841"/>
    <cellStyle name="표준 5 2 3 2 23 4 2" xfId="20514"/>
    <cellStyle name="표준 5 2 3 2 23 4 2 2" xfId="45866"/>
    <cellStyle name="표준 5 2 3 2 23 4 3" xfId="33194"/>
    <cellStyle name="표준 5 2 3 2 23 5" xfId="14178"/>
    <cellStyle name="표준 5 2 3 2 23 5 2" xfId="39530"/>
    <cellStyle name="표준 5 2 3 2 23 6" xfId="26858"/>
    <cellStyle name="표준 5 2 3 2 23 7" xfId="53594"/>
    <cellStyle name="표준 5 2 3 2 24" xfId="1506"/>
    <cellStyle name="표준 5 2 3 2 24 2" xfId="1507"/>
    <cellStyle name="표준 5 2 3 2 24 2 2" xfId="4633"/>
    <cellStyle name="표준 5 2 3 2 24 2 2 2" xfId="10969"/>
    <cellStyle name="표준 5 2 3 2 24 2 2 2 2" xfId="23642"/>
    <cellStyle name="표준 5 2 3 2 24 2 2 2 2 2" xfId="48994"/>
    <cellStyle name="표준 5 2 3 2 24 2 2 2 3" xfId="36322"/>
    <cellStyle name="표준 5 2 3 2 24 2 2 3" xfId="17306"/>
    <cellStyle name="표준 5 2 3 2 24 2 2 3 2" xfId="42658"/>
    <cellStyle name="표준 5 2 3 2 24 2 2 4" xfId="29986"/>
    <cellStyle name="표준 5 2 3 2 24 2 2 5" xfId="53595"/>
    <cellStyle name="표준 5 2 3 2 24 2 3" xfId="7844"/>
    <cellStyle name="표준 5 2 3 2 24 2 3 2" xfId="20517"/>
    <cellStyle name="표준 5 2 3 2 24 2 3 2 2" xfId="45869"/>
    <cellStyle name="표준 5 2 3 2 24 2 3 3" xfId="33197"/>
    <cellStyle name="표준 5 2 3 2 24 2 4" xfId="14181"/>
    <cellStyle name="표준 5 2 3 2 24 2 4 2" xfId="39533"/>
    <cellStyle name="표준 5 2 3 2 24 2 5" xfId="26861"/>
    <cellStyle name="표준 5 2 3 2 24 2 6" xfId="53596"/>
    <cellStyle name="표준 5 2 3 2 24 3" xfId="4634"/>
    <cellStyle name="표준 5 2 3 2 24 3 2" xfId="10970"/>
    <cellStyle name="표준 5 2 3 2 24 3 2 2" xfId="23643"/>
    <cellStyle name="표준 5 2 3 2 24 3 2 2 2" xfId="48995"/>
    <cellStyle name="표준 5 2 3 2 24 3 2 3" xfId="36323"/>
    <cellStyle name="표준 5 2 3 2 24 3 3" xfId="17307"/>
    <cellStyle name="표준 5 2 3 2 24 3 3 2" xfId="42659"/>
    <cellStyle name="표준 5 2 3 2 24 3 4" xfId="29987"/>
    <cellStyle name="표준 5 2 3 2 24 3 5" xfId="53597"/>
    <cellStyle name="표준 5 2 3 2 24 4" xfId="7843"/>
    <cellStyle name="표준 5 2 3 2 24 4 2" xfId="20516"/>
    <cellStyle name="표준 5 2 3 2 24 4 2 2" xfId="45868"/>
    <cellStyle name="표준 5 2 3 2 24 4 3" xfId="33196"/>
    <cellStyle name="표준 5 2 3 2 24 5" xfId="14180"/>
    <cellStyle name="표준 5 2 3 2 24 5 2" xfId="39532"/>
    <cellStyle name="표준 5 2 3 2 24 6" xfId="26860"/>
    <cellStyle name="표준 5 2 3 2 24 7" xfId="53598"/>
    <cellStyle name="표준 5 2 3 2 25" xfId="1508"/>
    <cellStyle name="표준 5 2 3 2 25 2" xfId="1509"/>
    <cellStyle name="표준 5 2 3 2 25 2 2" xfId="4635"/>
    <cellStyle name="표준 5 2 3 2 25 2 2 2" xfId="10971"/>
    <cellStyle name="표준 5 2 3 2 25 2 2 2 2" xfId="23644"/>
    <cellStyle name="표준 5 2 3 2 25 2 2 2 2 2" xfId="48996"/>
    <cellStyle name="표준 5 2 3 2 25 2 2 2 3" xfId="36324"/>
    <cellStyle name="표준 5 2 3 2 25 2 2 3" xfId="17308"/>
    <cellStyle name="표준 5 2 3 2 25 2 2 3 2" xfId="42660"/>
    <cellStyle name="표준 5 2 3 2 25 2 2 4" xfId="29988"/>
    <cellStyle name="표준 5 2 3 2 25 2 2 5" xfId="53599"/>
    <cellStyle name="표준 5 2 3 2 25 2 3" xfId="7846"/>
    <cellStyle name="표준 5 2 3 2 25 2 3 2" xfId="20519"/>
    <cellStyle name="표준 5 2 3 2 25 2 3 2 2" xfId="45871"/>
    <cellStyle name="표준 5 2 3 2 25 2 3 3" xfId="33199"/>
    <cellStyle name="표준 5 2 3 2 25 2 4" xfId="14183"/>
    <cellStyle name="표준 5 2 3 2 25 2 4 2" xfId="39535"/>
    <cellStyle name="표준 5 2 3 2 25 2 5" xfId="26863"/>
    <cellStyle name="표준 5 2 3 2 25 2 6" xfId="53600"/>
    <cellStyle name="표준 5 2 3 2 25 3" xfId="4636"/>
    <cellStyle name="표준 5 2 3 2 25 3 2" xfId="10972"/>
    <cellStyle name="표준 5 2 3 2 25 3 2 2" xfId="23645"/>
    <cellStyle name="표준 5 2 3 2 25 3 2 2 2" xfId="48997"/>
    <cellStyle name="표준 5 2 3 2 25 3 2 3" xfId="36325"/>
    <cellStyle name="표준 5 2 3 2 25 3 3" xfId="17309"/>
    <cellStyle name="표준 5 2 3 2 25 3 3 2" xfId="42661"/>
    <cellStyle name="표준 5 2 3 2 25 3 4" xfId="29989"/>
    <cellStyle name="표준 5 2 3 2 25 3 5" xfId="53601"/>
    <cellStyle name="표준 5 2 3 2 25 4" xfId="7845"/>
    <cellStyle name="표준 5 2 3 2 25 4 2" xfId="20518"/>
    <cellStyle name="표준 5 2 3 2 25 4 2 2" xfId="45870"/>
    <cellStyle name="표준 5 2 3 2 25 4 3" xfId="33198"/>
    <cellStyle name="표준 5 2 3 2 25 5" xfId="14182"/>
    <cellStyle name="표준 5 2 3 2 25 5 2" xfId="39534"/>
    <cellStyle name="표준 5 2 3 2 25 6" xfId="26862"/>
    <cellStyle name="표준 5 2 3 2 25 7" xfId="53602"/>
    <cellStyle name="표준 5 2 3 2 26" xfId="1510"/>
    <cellStyle name="표준 5 2 3 2 26 2" xfId="1511"/>
    <cellStyle name="표준 5 2 3 2 26 2 2" xfId="4637"/>
    <cellStyle name="표준 5 2 3 2 26 2 2 2" xfId="10973"/>
    <cellStyle name="표준 5 2 3 2 26 2 2 2 2" xfId="23646"/>
    <cellStyle name="표준 5 2 3 2 26 2 2 2 2 2" xfId="48998"/>
    <cellStyle name="표준 5 2 3 2 26 2 2 2 3" xfId="36326"/>
    <cellStyle name="표준 5 2 3 2 26 2 2 3" xfId="17310"/>
    <cellStyle name="표준 5 2 3 2 26 2 2 3 2" xfId="42662"/>
    <cellStyle name="표준 5 2 3 2 26 2 2 4" xfId="29990"/>
    <cellStyle name="표준 5 2 3 2 26 2 2 5" xfId="53603"/>
    <cellStyle name="표준 5 2 3 2 26 2 3" xfId="7848"/>
    <cellStyle name="표준 5 2 3 2 26 2 3 2" xfId="20521"/>
    <cellStyle name="표준 5 2 3 2 26 2 3 2 2" xfId="45873"/>
    <cellStyle name="표준 5 2 3 2 26 2 3 3" xfId="33201"/>
    <cellStyle name="표준 5 2 3 2 26 2 4" xfId="14185"/>
    <cellStyle name="표준 5 2 3 2 26 2 4 2" xfId="39537"/>
    <cellStyle name="표준 5 2 3 2 26 2 5" xfId="26865"/>
    <cellStyle name="표준 5 2 3 2 26 2 6" xfId="53604"/>
    <cellStyle name="표준 5 2 3 2 26 3" xfId="4638"/>
    <cellStyle name="표준 5 2 3 2 26 3 2" xfId="10974"/>
    <cellStyle name="표준 5 2 3 2 26 3 2 2" xfId="23647"/>
    <cellStyle name="표준 5 2 3 2 26 3 2 2 2" xfId="48999"/>
    <cellStyle name="표준 5 2 3 2 26 3 2 3" xfId="36327"/>
    <cellStyle name="표준 5 2 3 2 26 3 3" xfId="17311"/>
    <cellStyle name="표준 5 2 3 2 26 3 3 2" xfId="42663"/>
    <cellStyle name="표준 5 2 3 2 26 3 4" xfId="29991"/>
    <cellStyle name="표준 5 2 3 2 26 3 5" xfId="53605"/>
    <cellStyle name="표준 5 2 3 2 26 4" xfId="7847"/>
    <cellStyle name="표준 5 2 3 2 26 4 2" xfId="20520"/>
    <cellStyle name="표준 5 2 3 2 26 4 2 2" xfId="45872"/>
    <cellStyle name="표준 5 2 3 2 26 4 3" xfId="33200"/>
    <cellStyle name="표준 5 2 3 2 26 5" xfId="14184"/>
    <cellStyle name="표준 5 2 3 2 26 5 2" xfId="39536"/>
    <cellStyle name="표준 5 2 3 2 26 6" xfId="26864"/>
    <cellStyle name="표준 5 2 3 2 26 7" xfId="53606"/>
    <cellStyle name="표준 5 2 3 2 27" xfId="1512"/>
    <cellStyle name="표준 5 2 3 2 27 2" xfId="1513"/>
    <cellStyle name="표준 5 2 3 2 27 2 2" xfId="4639"/>
    <cellStyle name="표준 5 2 3 2 27 2 2 2" xfId="10975"/>
    <cellStyle name="표준 5 2 3 2 27 2 2 2 2" xfId="23648"/>
    <cellStyle name="표준 5 2 3 2 27 2 2 2 2 2" xfId="49000"/>
    <cellStyle name="표준 5 2 3 2 27 2 2 2 3" xfId="36328"/>
    <cellStyle name="표준 5 2 3 2 27 2 2 3" xfId="17312"/>
    <cellStyle name="표준 5 2 3 2 27 2 2 3 2" xfId="42664"/>
    <cellStyle name="표준 5 2 3 2 27 2 2 4" xfId="29992"/>
    <cellStyle name="표준 5 2 3 2 27 2 2 5" xfId="53607"/>
    <cellStyle name="표준 5 2 3 2 27 2 3" xfId="7850"/>
    <cellStyle name="표준 5 2 3 2 27 2 3 2" xfId="20523"/>
    <cellStyle name="표준 5 2 3 2 27 2 3 2 2" xfId="45875"/>
    <cellStyle name="표준 5 2 3 2 27 2 3 3" xfId="33203"/>
    <cellStyle name="표준 5 2 3 2 27 2 4" xfId="14187"/>
    <cellStyle name="표준 5 2 3 2 27 2 4 2" xfId="39539"/>
    <cellStyle name="표준 5 2 3 2 27 2 5" xfId="26867"/>
    <cellStyle name="표준 5 2 3 2 27 2 6" xfId="53608"/>
    <cellStyle name="표준 5 2 3 2 27 3" xfId="4640"/>
    <cellStyle name="표준 5 2 3 2 27 3 2" xfId="10976"/>
    <cellStyle name="표준 5 2 3 2 27 3 2 2" xfId="23649"/>
    <cellStyle name="표준 5 2 3 2 27 3 2 2 2" xfId="49001"/>
    <cellStyle name="표준 5 2 3 2 27 3 2 3" xfId="36329"/>
    <cellStyle name="표준 5 2 3 2 27 3 3" xfId="17313"/>
    <cellStyle name="표준 5 2 3 2 27 3 3 2" xfId="42665"/>
    <cellStyle name="표준 5 2 3 2 27 3 4" xfId="29993"/>
    <cellStyle name="표준 5 2 3 2 27 3 5" xfId="53609"/>
    <cellStyle name="표준 5 2 3 2 27 4" xfId="7849"/>
    <cellStyle name="표준 5 2 3 2 27 4 2" xfId="20522"/>
    <cellStyle name="표준 5 2 3 2 27 4 2 2" xfId="45874"/>
    <cellStyle name="표준 5 2 3 2 27 4 3" xfId="33202"/>
    <cellStyle name="표준 5 2 3 2 27 5" xfId="14186"/>
    <cellStyle name="표준 5 2 3 2 27 5 2" xfId="39538"/>
    <cellStyle name="표준 5 2 3 2 27 6" xfId="26866"/>
    <cellStyle name="표준 5 2 3 2 27 7" xfId="53610"/>
    <cellStyle name="표준 5 2 3 2 28" xfId="1514"/>
    <cellStyle name="표준 5 2 3 2 28 2" xfId="1515"/>
    <cellStyle name="표준 5 2 3 2 28 2 2" xfId="4641"/>
    <cellStyle name="표준 5 2 3 2 28 2 2 2" xfId="10977"/>
    <cellStyle name="표준 5 2 3 2 28 2 2 2 2" xfId="23650"/>
    <cellStyle name="표준 5 2 3 2 28 2 2 2 2 2" xfId="49002"/>
    <cellStyle name="표준 5 2 3 2 28 2 2 2 3" xfId="36330"/>
    <cellStyle name="표준 5 2 3 2 28 2 2 3" xfId="17314"/>
    <cellStyle name="표준 5 2 3 2 28 2 2 3 2" xfId="42666"/>
    <cellStyle name="표준 5 2 3 2 28 2 2 4" xfId="29994"/>
    <cellStyle name="표준 5 2 3 2 28 2 2 5" xfId="53611"/>
    <cellStyle name="표준 5 2 3 2 28 2 3" xfId="7852"/>
    <cellStyle name="표준 5 2 3 2 28 2 3 2" xfId="20525"/>
    <cellStyle name="표준 5 2 3 2 28 2 3 2 2" xfId="45877"/>
    <cellStyle name="표준 5 2 3 2 28 2 3 3" xfId="33205"/>
    <cellStyle name="표준 5 2 3 2 28 2 4" xfId="14189"/>
    <cellStyle name="표준 5 2 3 2 28 2 4 2" xfId="39541"/>
    <cellStyle name="표준 5 2 3 2 28 2 5" xfId="26869"/>
    <cellStyle name="표준 5 2 3 2 28 2 6" xfId="53612"/>
    <cellStyle name="표준 5 2 3 2 28 3" xfId="4642"/>
    <cellStyle name="표준 5 2 3 2 28 3 2" xfId="10978"/>
    <cellStyle name="표준 5 2 3 2 28 3 2 2" xfId="23651"/>
    <cellStyle name="표준 5 2 3 2 28 3 2 2 2" xfId="49003"/>
    <cellStyle name="표준 5 2 3 2 28 3 2 3" xfId="36331"/>
    <cellStyle name="표준 5 2 3 2 28 3 3" xfId="17315"/>
    <cellStyle name="표준 5 2 3 2 28 3 3 2" xfId="42667"/>
    <cellStyle name="표준 5 2 3 2 28 3 4" xfId="29995"/>
    <cellStyle name="표준 5 2 3 2 28 3 5" xfId="53613"/>
    <cellStyle name="표준 5 2 3 2 28 4" xfId="7851"/>
    <cellStyle name="표준 5 2 3 2 28 4 2" xfId="20524"/>
    <cellStyle name="표준 5 2 3 2 28 4 2 2" xfId="45876"/>
    <cellStyle name="표준 5 2 3 2 28 4 3" xfId="33204"/>
    <cellStyle name="표준 5 2 3 2 28 5" xfId="14188"/>
    <cellStyle name="표준 5 2 3 2 28 5 2" xfId="39540"/>
    <cellStyle name="표준 5 2 3 2 28 6" xfId="26868"/>
    <cellStyle name="표준 5 2 3 2 28 7" xfId="53614"/>
    <cellStyle name="표준 5 2 3 2 29" xfId="1516"/>
    <cellStyle name="표준 5 2 3 2 29 2" xfId="1517"/>
    <cellStyle name="표준 5 2 3 2 29 2 2" xfId="4643"/>
    <cellStyle name="표준 5 2 3 2 29 2 2 2" xfId="10979"/>
    <cellStyle name="표준 5 2 3 2 29 2 2 2 2" xfId="23652"/>
    <cellStyle name="표준 5 2 3 2 29 2 2 2 2 2" xfId="49004"/>
    <cellStyle name="표준 5 2 3 2 29 2 2 2 3" xfId="36332"/>
    <cellStyle name="표준 5 2 3 2 29 2 2 3" xfId="17316"/>
    <cellStyle name="표준 5 2 3 2 29 2 2 3 2" xfId="42668"/>
    <cellStyle name="표준 5 2 3 2 29 2 2 4" xfId="29996"/>
    <cellStyle name="표준 5 2 3 2 29 2 2 5" xfId="53615"/>
    <cellStyle name="표준 5 2 3 2 29 2 3" xfId="7854"/>
    <cellStyle name="표준 5 2 3 2 29 2 3 2" xfId="20527"/>
    <cellStyle name="표준 5 2 3 2 29 2 3 2 2" xfId="45879"/>
    <cellStyle name="표준 5 2 3 2 29 2 3 3" xfId="33207"/>
    <cellStyle name="표준 5 2 3 2 29 2 4" xfId="14191"/>
    <cellStyle name="표준 5 2 3 2 29 2 4 2" xfId="39543"/>
    <cellStyle name="표준 5 2 3 2 29 2 5" xfId="26871"/>
    <cellStyle name="표준 5 2 3 2 29 2 6" xfId="53616"/>
    <cellStyle name="표준 5 2 3 2 29 3" xfId="4644"/>
    <cellStyle name="표준 5 2 3 2 29 3 2" xfId="10980"/>
    <cellStyle name="표준 5 2 3 2 29 3 2 2" xfId="23653"/>
    <cellStyle name="표준 5 2 3 2 29 3 2 2 2" xfId="49005"/>
    <cellStyle name="표준 5 2 3 2 29 3 2 3" xfId="36333"/>
    <cellStyle name="표준 5 2 3 2 29 3 3" xfId="17317"/>
    <cellStyle name="표준 5 2 3 2 29 3 3 2" xfId="42669"/>
    <cellStyle name="표준 5 2 3 2 29 3 4" xfId="29997"/>
    <cellStyle name="표준 5 2 3 2 29 3 5" xfId="53617"/>
    <cellStyle name="표준 5 2 3 2 29 4" xfId="7853"/>
    <cellStyle name="표준 5 2 3 2 29 4 2" xfId="20526"/>
    <cellStyle name="표준 5 2 3 2 29 4 2 2" xfId="45878"/>
    <cellStyle name="표준 5 2 3 2 29 4 3" xfId="33206"/>
    <cellStyle name="표준 5 2 3 2 29 5" xfId="14190"/>
    <cellStyle name="표준 5 2 3 2 29 5 2" xfId="39542"/>
    <cellStyle name="표준 5 2 3 2 29 6" xfId="26870"/>
    <cellStyle name="표준 5 2 3 2 29 7" xfId="53618"/>
    <cellStyle name="표준 5 2 3 2 3" xfId="1518"/>
    <cellStyle name="표준 5 2 3 2 3 2" xfId="1519"/>
    <cellStyle name="표준 5 2 3 2 3 2 2" xfId="4645"/>
    <cellStyle name="표준 5 2 3 2 3 2 2 2" xfId="10981"/>
    <cellStyle name="표준 5 2 3 2 3 2 2 2 2" xfId="23654"/>
    <cellStyle name="표준 5 2 3 2 3 2 2 2 2 2" xfId="49006"/>
    <cellStyle name="표준 5 2 3 2 3 2 2 2 3" xfId="36334"/>
    <cellStyle name="표준 5 2 3 2 3 2 2 3" xfId="17318"/>
    <cellStyle name="표준 5 2 3 2 3 2 2 3 2" xfId="42670"/>
    <cellStyle name="표준 5 2 3 2 3 2 2 4" xfId="29998"/>
    <cellStyle name="표준 5 2 3 2 3 2 2 5" xfId="53619"/>
    <cellStyle name="표준 5 2 3 2 3 2 3" xfId="7856"/>
    <cellStyle name="표준 5 2 3 2 3 2 3 2" xfId="20529"/>
    <cellStyle name="표준 5 2 3 2 3 2 3 2 2" xfId="45881"/>
    <cellStyle name="표준 5 2 3 2 3 2 3 3" xfId="33209"/>
    <cellStyle name="표준 5 2 3 2 3 2 4" xfId="14193"/>
    <cellStyle name="표준 5 2 3 2 3 2 4 2" xfId="39545"/>
    <cellStyle name="표준 5 2 3 2 3 2 5" xfId="26873"/>
    <cellStyle name="표준 5 2 3 2 3 2 6" xfId="53620"/>
    <cellStyle name="표준 5 2 3 2 3 3" xfId="4646"/>
    <cellStyle name="표준 5 2 3 2 3 3 2" xfId="10982"/>
    <cellStyle name="표준 5 2 3 2 3 3 2 2" xfId="23655"/>
    <cellStyle name="표준 5 2 3 2 3 3 2 2 2" xfId="49007"/>
    <cellStyle name="표준 5 2 3 2 3 3 2 3" xfId="36335"/>
    <cellStyle name="표준 5 2 3 2 3 3 3" xfId="17319"/>
    <cellStyle name="표준 5 2 3 2 3 3 3 2" xfId="42671"/>
    <cellStyle name="표준 5 2 3 2 3 3 4" xfId="29999"/>
    <cellStyle name="표준 5 2 3 2 3 3 5" xfId="53621"/>
    <cellStyle name="표준 5 2 3 2 3 4" xfId="7855"/>
    <cellStyle name="표준 5 2 3 2 3 4 2" xfId="20528"/>
    <cellStyle name="표준 5 2 3 2 3 4 2 2" xfId="45880"/>
    <cellStyle name="표준 5 2 3 2 3 4 3" xfId="33208"/>
    <cellStyle name="표준 5 2 3 2 3 5" xfId="14192"/>
    <cellStyle name="표준 5 2 3 2 3 5 2" xfId="39544"/>
    <cellStyle name="표준 5 2 3 2 3 6" xfId="26872"/>
    <cellStyle name="표준 5 2 3 2 3 7" xfId="53622"/>
    <cellStyle name="표준 5 2 3 2 30" xfId="1520"/>
    <cellStyle name="표준 5 2 3 2 30 2" xfId="1521"/>
    <cellStyle name="표준 5 2 3 2 30 2 2" xfId="4647"/>
    <cellStyle name="표준 5 2 3 2 30 2 2 2" xfId="10983"/>
    <cellStyle name="표준 5 2 3 2 30 2 2 2 2" xfId="23656"/>
    <cellStyle name="표준 5 2 3 2 30 2 2 2 2 2" xfId="49008"/>
    <cellStyle name="표준 5 2 3 2 30 2 2 2 3" xfId="36336"/>
    <cellStyle name="표준 5 2 3 2 30 2 2 3" xfId="17320"/>
    <cellStyle name="표준 5 2 3 2 30 2 2 3 2" xfId="42672"/>
    <cellStyle name="표준 5 2 3 2 30 2 2 4" xfId="30000"/>
    <cellStyle name="표준 5 2 3 2 30 2 2 5" xfId="53623"/>
    <cellStyle name="표준 5 2 3 2 30 2 3" xfId="7858"/>
    <cellStyle name="표준 5 2 3 2 30 2 3 2" xfId="20531"/>
    <cellStyle name="표준 5 2 3 2 30 2 3 2 2" xfId="45883"/>
    <cellStyle name="표준 5 2 3 2 30 2 3 3" xfId="33211"/>
    <cellStyle name="표준 5 2 3 2 30 2 4" xfId="14195"/>
    <cellStyle name="표준 5 2 3 2 30 2 4 2" xfId="39547"/>
    <cellStyle name="표준 5 2 3 2 30 2 5" xfId="26875"/>
    <cellStyle name="표준 5 2 3 2 30 2 6" xfId="53624"/>
    <cellStyle name="표준 5 2 3 2 30 3" xfId="4648"/>
    <cellStyle name="표준 5 2 3 2 30 3 2" xfId="10984"/>
    <cellStyle name="표준 5 2 3 2 30 3 2 2" xfId="23657"/>
    <cellStyle name="표준 5 2 3 2 30 3 2 2 2" xfId="49009"/>
    <cellStyle name="표준 5 2 3 2 30 3 2 3" xfId="36337"/>
    <cellStyle name="표준 5 2 3 2 30 3 3" xfId="17321"/>
    <cellStyle name="표준 5 2 3 2 30 3 3 2" xfId="42673"/>
    <cellStyle name="표준 5 2 3 2 30 3 4" xfId="30001"/>
    <cellStyle name="표준 5 2 3 2 30 3 5" xfId="53625"/>
    <cellStyle name="표준 5 2 3 2 30 4" xfId="7857"/>
    <cellStyle name="표준 5 2 3 2 30 4 2" xfId="20530"/>
    <cellStyle name="표준 5 2 3 2 30 4 2 2" xfId="45882"/>
    <cellStyle name="표준 5 2 3 2 30 4 3" xfId="33210"/>
    <cellStyle name="표준 5 2 3 2 30 5" xfId="14194"/>
    <cellStyle name="표준 5 2 3 2 30 5 2" xfId="39546"/>
    <cellStyle name="표준 5 2 3 2 30 6" xfId="26874"/>
    <cellStyle name="표준 5 2 3 2 30 7" xfId="53626"/>
    <cellStyle name="표준 5 2 3 2 31" xfId="1522"/>
    <cellStyle name="표준 5 2 3 2 31 2" xfId="1523"/>
    <cellStyle name="표준 5 2 3 2 31 2 2" xfId="4649"/>
    <cellStyle name="표준 5 2 3 2 31 2 2 2" xfId="10985"/>
    <cellStyle name="표준 5 2 3 2 31 2 2 2 2" xfId="23658"/>
    <cellStyle name="표준 5 2 3 2 31 2 2 2 2 2" xfId="49010"/>
    <cellStyle name="표준 5 2 3 2 31 2 2 2 3" xfId="36338"/>
    <cellStyle name="표준 5 2 3 2 31 2 2 3" xfId="17322"/>
    <cellStyle name="표준 5 2 3 2 31 2 2 3 2" xfId="42674"/>
    <cellStyle name="표준 5 2 3 2 31 2 2 4" xfId="30002"/>
    <cellStyle name="표준 5 2 3 2 31 2 2 5" xfId="53627"/>
    <cellStyle name="표준 5 2 3 2 31 2 3" xfId="7860"/>
    <cellStyle name="표준 5 2 3 2 31 2 3 2" xfId="20533"/>
    <cellStyle name="표준 5 2 3 2 31 2 3 2 2" xfId="45885"/>
    <cellStyle name="표준 5 2 3 2 31 2 3 3" xfId="33213"/>
    <cellStyle name="표준 5 2 3 2 31 2 4" xfId="14197"/>
    <cellStyle name="표준 5 2 3 2 31 2 4 2" xfId="39549"/>
    <cellStyle name="표준 5 2 3 2 31 2 5" xfId="26877"/>
    <cellStyle name="표준 5 2 3 2 31 2 6" xfId="53628"/>
    <cellStyle name="표준 5 2 3 2 31 3" xfId="4650"/>
    <cellStyle name="표준 5 2 3 2 31 3 2" xfId="10986"/>
    <cellStyle name="표준 5 2 3 2 31 3 2 2" xfId="23659"/>
    <cellStyle name="표준 5 2 3 2 31 3 2 2 2" xfId="49011"/>
    <cellStyle name="표준 5 2 3 2 31 3 2 3" xfId="36339"/>
    <cellStyle name="표준 5 2 3 2 31 3 3" xfId="17323"/>
    <cellStyle name="표준 5 2 3 2 31 3 3 2" xfId="42675"/>
    <cellStyle name="표준 5 2 3 2 31 3 4" xfId="30003"/>
    <cellStyle name="표준 5 2 3 2 31 3 5" xfId="53629"/>
    <cellStyle name="표준 5 2 3 2 31 4" xfId="7859"/>
    <cellStyle name="표준 5 2 3 2 31 4 2" xfId="20532"/>
    <cellStyle name="표준 5 2 3 2 31 4 2 2" xfId="45884"/>
    <cellStyle name="표준 5 2 3 2 31 4 3" xfId="33212"/>
    <cellStyle name="표준 5 2 3 2 31 5" xfId="14196"/>
    <cellStyle name="표준 5 2 3 2 31 5 2" xfId="39548"/>
    <cellStyle name="표준 5 2 3 2 31 6" xfId="26876"/>
    <cellStyle name="표준 5 2 3 2 31 7" xfId="53630"/>
    <cellStyle name="표준 5 2 3 2 32" xfId="1524"/>
    <cellStyle name="표준 5 2 3 2 32 2" xfId="1525"/>
    <cellStyle name="표준 5 2 3 2 32 2 2" xfId="4651"/>
    <cellStyle name="표준 5 2 3 2 32 2 2 2" xfId="10987"/>
    <cellStyle name="표준 5 2 3 2 32 2 2 2 2" xfId="23660"/>
    <cellStyle name="표준 5 2 3 2 32 2 2 2 2 2" xfId="49012"/>
    <cellStyle name="표준 5 2 3 2 32 2 2 2 3" xfId="36340"/>
    <cellStyle name="표준 5 2 3 2 32 2 2 3" xfId="17324"/>
    <cellStyle name="표준 5 2 3 2 32 2 2 3 2" xfId="42676"/>
    <cellStyle name="표준 5 2 3 2 32 2 2 4" xfId="30004"/>
    <cellStyle name="표준 5 2 3 2 32 2 2 5" xfId="53631"/>
    <cellStyle name="표준 5 2 3 2 32 2 3" xfId="7862"/>
    <cellStyle name="표준 5 2 3 2 32 2 3 2" xfId="20535"/>
    <cellStyle name="표준 5 2 3 2 32 2 3 2 2" xfId="45887"/>
    <cellStyle name="표준 5 2 3 2 32 2 3 3" xfId="33215"/>
    <cellStyle name="표준 5 2 3 2 32 2 4" xfId="14199"/>
    <cellStyle name="표준 5 2 3 2 32 2 4 2" xfId="39551"/>
    <cellStyle name="표준 5 2 3 2 32 2 5" xfId="26879"/>
    <cellStyle name="표준 5 2 3 2 32 2 6" xfId="53632"/>
    <cellStyle name="표준 5 2 3 2 32 3" xfId="4652"/>
    <cellStyle name="표준 5 2 3 2 32 3 2" xfId="10988"/>
    <cellStyle name="표준 5 2 3 2 32 3 2 2" xfId="23661"/>
    <cellStyle name="표준 5 2 3 2 32 3 2 2 2" xfId="49013"/>
    <cellStyle name="표준 5 2 3 2 32 3 2 3" xfId="36341"/>
    <cellStyle name="표준 5 2 3 2 32 3 3" xfId="17325"/>
    <cellStyle name="표준 5 2 3 2 32 3 3 2" xfId="42677"/>
    <cellStyle name="표준 5 2 3 2 32 3 4" xfId="30005"/>
    <cellStyle name="표준 5 2 3 2 32 3 5" xfId="53633"/>
    <cellStyle name="표준 5 2 3 2 32 4" xfId="7861"/>
    <cellStyle name="표준 5 2 3 2 32 4 2" xfId="20534"/>
    <cellStyle name="표준 5 2 3 2 32 4 2 2" xfId="45886"/>
    <cellStyle name="표준 5 2 3 2 32 4 3" xfId="33214"/>
    <cellStyle name="표준 5 2 3 2 32 5" xfId="14198"/>
    <cellStyle name="표준 5 2 3 2 32 5 2" xfId="39550"/>
    <cellStyle name="표준 5 2 3 2 32 6" xfId="26878"/>
    <cellStyle name="표준 5 2 3 2 32 7" xfId="53634"/>
    <cellStyle name="표준 5 2 3 2 33" xfId="1526"/>
    <cellStyle name="표준 5 2 3 2 33 2" xfId="1527"/>
    <cellStyle name="표준 5 2 3 2 33 2 2" xfId="4653"/>
    <cellStyle name="표준 5 2 3 2 33 2 2 2" xfId="10989"/>
    <cellStyle name="표준 5 2 3 2 33 2 2 2 2" xfId="23662"/>
    <cellStyle name="표준 5 2 3 2 33 2 2 2 2 2" xfId="49014"/>
    <cellStyle name="표준 5 2 3 2 33 2 2 2 3" xfId="36342"/>
    <cellStyle name="표준 5 2 3 2 33 2 2 3" xfId="17326"/>
    <cellStyle name="표준 5 2 3 2 33 2 2 3 2" xfId="42678"/>
    <cellStyle name="표준 5 2 3 2 33 2 2 4" xfId="30006"/>
    <cellStyle name="표준 5 2 3 2 33 2 2 5" xfId="53635"/>
    <cellStyle name="표준 5 2 3 2 33 2 3" xfId="7864"/>
    <cellStyle name="표준 5 2 3 2 33 2 3 2" xfId="20537"/>
    <cellStyle name="표준 5 2 3 2 33 2 3 2 2" xfId="45889"/>
    <cellStyle name="표준 5 2 3 2 33 2 3 3" xfId="33217"/>
    <cellStyle name="표준 5 2 3 2 33 2 4" xfId="14201"/>
    <cellStyle name="표준 5 2 3 2 33 2 4 2" xfId="39553"/>
    <cellStyle name="표준 5 2 3 2 33 2 5" xfId="26881"/>
    <cellStyle name="표준 5 2 3 2 33 2 6" xfId="53636"/>
    <cellStyle name="표준 5 2 3 2 33 3" xfId="4654"/>
    <cellStyle name="표준 5 2 3 2 33 3 2" xfId="10990"/>
    <cellStyle name="표준 5 2 3 2 33 3 2 2" xfId="23663"/>
    <cellStyle name="표준 5 2 3 2 33 3 2 2 2" xfId="49015"/>
    <cellStyle name="표준 5 2 3 2 33 3 2 3" xfId="36343"/>
    <cellStyle name="표준 5 2 3 2 33 3 3" xfId="17327"/>
    <cellStyle name="표준 5 2 3 2 33 3 3 2" xfId="42679"/>
    <cellStyle name="표준 5 2 3 2 33 3 4" xfId="30007"/>
    <cellStyle name="표준 5 2 3 2 33 3 5" xfId="53637"/>
    <cellStyle name="표준 5 2 3 2 33 4" xfId="7863"/>
    <cellStyle name="표준 5 2 3 2 33 4 2" xfId="20536"/>
    <cellStyle name="표준 5 2 3 2 33 4 2 2" xfId="45888"/>
    <cellStyle name="표준 5 2 3 2 33 4 3" xfId="33216"/>
    <cellStyle name="표준 5 2 3 2 33 5" xfId="14200"/>
    <cellStyle name="표준 5 2 3 2 33 5 2" xfId="39552"/>
    <cellStyle name="표준 5 2 3 2 33 6" xfId="26880"/>
    <cellStyle name="표준 5 2 3 2 33 7" xfId="53638"/>
    <cellStyle name="표준 5 2 3 2 34" xfId="1528"/>
    <cellStyle name="표준 5 2 3 2 34 2" xfId="4655"/>
    <cellStyle name="표준 5 2 3 2 34 2 2" xfId="10991"/>
    <cellStyle name="표준 5 2 3 2 34 2 2 2" xfId="23664"/>
    <cellStyle name="표준 5 2 3 2 34 2 2 2 2" xfId="49016"/>
    <cellStyle name="표준 5 2 3 2 34 2 2 3" xfId="36344"/>
    <cellStyle name="표준 5 2 3 2 34 2 3" xfId="17328"/>
    <cellStyle name="표준 5 2 3 2 34 2 3 2" xfId="42680"/>
    <cellStyle name="표준 5 2 3 2 34 2 4" xfId="30008"/>
    <cellStyle name="표준 5 2 3 2 34 2 5" xfId="53639"/>
    <cellStyle name="표준 5 2 3 2 34 3" xfId="7865"/>
    <cellStyle name="표준 5 2 3 2 34 3 2" xfId="20538"/>
    <cellStyle name="표준 5 2 3 2 34 3 2 2" xfId="45890"/>
    <cellStyle name="표준 5 2 3 2 34 3 3" xfId="33218"/>
    <cellStyle name="표준 5 2 3 2 34 4" xfId="14202"/>
    <cellStyle name="표준 5 2 3 2 34 4 2" xfId="39554"/>
    <cellStyle name="표준 5 2 3 2 34 5" xfId="26882"/>
    <cellStyle name="표준 5 2 3 2 34 6" xfId="53640"/>
    <cellStyle name="표준 5 2 3 2 35" xfId="4656"/>
    <cellStyle name="표준 5 2 3 2 35 2" xfId="10992"/>
    <cellStyle name="표준 5 2 3 2 35 2 2" xfId="23665"/>
    <cellStyle name="표준 5 2 3 2 35 2 2 2" xfId="49017"/>
    <cellStyle name="표준 5 2 3 2 35 2 3" xfId="36345"/>
    <cellStyle name="표준 5 2 3 2 35 3" xfId="17329"/>
    <cellStyle name="표준 5 2 3 2 35 3 2" xfId="42681"/>
    <cellStyle name="표준 5 2 3 2 35 4" xfId="30009"/>
    <cellStyle name="표준 5 2 3 2 35 5" xfId="53641"/>
    <cellStyle name="표준 5 2 3 2 36" xfId="6415"/>
    <cellStyle name="표준 5 2 3 2 36 2" xfId="19088"/>
    <cellStyle name="표준 5 2 3 2 36 2 2" xfId="44440"/>
    <cellStyle name="표준 5 2 3 2 36 3" xfId="31768"/>
    <cellStyle name="표준 5 2 3 2 37" xfId="12752"/>
    <cellStyle name="표준 5 2 3 2 37 2" xfId="38104"/>
    <cellStyle name="표준 5 2 3 2 38" xfId="25432"/>
    <cellStyle name="표준 5 2 3 2 39" xfId="53642"/>
    <cellStyle name="표준 5 2 3 2 4" xfId="1529"/>
    <cellStyle name="표준 5 2 3 2 4 2" xfId="1530"/>
    <cellStyle name="표준 5 2 3 2 4 2 2" xfId="4657"/>
    <cellStyle name="표준 5 2 3 2 4 2 2 2" xfId="10993"/>
    <cellStyle name="표준 5 2 3 2 4 2 2 2 2" xfId="23666"/>
    <cellStyle name="표준 5 2 3 2 4 2 2 2 2 2" xfId="49018"/>
    <cellStyle name="표준 5 2 3 2 4 2 2 2 3" xfId="36346"/>
    <cellStyle name="표준 5 2 3 2 4 2 2 3" xfId="17330"/>
    <cellStyle name="표준 5 2 3 2 4 2 2 3 2" xfId="42682"/>
    <cellStyle name="표준 5 2 3 2 4 2 2 4" xfId="30010"/>
    <cellStyle name="표준 5 2 3 2 4 2 2 5" xfId="53643"/>
    <cellStyle name="표준 5 2 3 2 4 2 3" xfId="7867"/>
    <cellStyle name="표준 5 2 3 2 4 2 3 2" xfId="20540"/>
    <cellStyle name="표준 5 2 3 2 4 2 3 2 2" xfId="45892"/>
    <cellStyle name="표준 5 2 3 2 4 2 3 3" xfId="33220"/>
    <cellStyle name="표준 5 2 3 2 4 2 4" xfId="14204"/>
    <cellStyle name="표준 5 2 3 2 4 2 4 2" xfId="39556"/>
    <cellStyle name="표준 5 2 3 2 4 2 5" xfId="26884"/>
    <cellStyle name="표준 5 2 3 2 4 2 6" xfId="53644"/>
    <cellStyle name="표준 5 2 3 2 4 3" xfId="4658"/>
    <cellStyle name="표준 5 2 3 2 4 3 2" xfId="10994"/>
    <cellStyle name="표준 5 2 3 2 4 3 2 2" xfId="23667"/>
    <cellStyle name="표준 5 2 3 2 4 3 2 2 2" xfId="49019"/>
    <cellStyle name="표준 5 2 3 2 4 3 2 3" xfId="36347"/>
    <cellStyle name="표준 5 2 3 2 4 3 3" xfId="17331"/>
    <cellStyle name="표준 5 2 3 2 4 3 3 2" xfId="42683"/>
    <cellStyle name="표준 5 2 3 2 4 3 4" xfId="30011"/>
    <cellStyle name="표준 5 2 3 2 4 3 5" xfId="53645"/>
    <cellStyle name="표준 5 2 3 2 4 4" xfId="7866"/>
    <cellStyle name="표준 5 2 3 2 4 4 2" xfId="20539"/>
    <cellStyle name="표준 5 2 3 2 4 4 2 2" xfId="45891"/>
    <cellStyle name="표준 5 2 3 2 4 4 3" xfId="33219"/>
    <cellStyle name="표준 5 2 3 2 4 5" xfId="14203"/>
    <cellStyle name="표준 5 2 3 2 4 5 2" xfId="39555"/>
    <cellStyle name="표준 5 2 3 2 4 6" xfId="26883"/>
    <cellStyle name="표준 5 2 3 2 4 7" xfId="53646"/>
    <cellStyle name="표준 5 2 3 2 5" xfId="1531"/>
    <cellStyle name="표준 5 2 3 2 5 2" xfId="1532"/>
    <cellStyle name="표준 5 2 3 2 5 2 2" xfId="4659"/>
    <cellStyle name="표준 5 2 3 2 5 2 2 2" xfId="10995"/>
    <cellStyle name="표준 5 2 3 2 5 2 2 2 2" xfId="23668"/>
    <cellStyle name="표준 5 2 3 2 5 2 2 2 2 2" xfId="49020"/>
    <cellStyle name="표준 5 2 3 2 5 2 2 2 3" xfId="36348"/>
    <cellStyle name="표준 5 2 3 2 5 2 2 3" xfId="17332"/>
    <cellStyle name="표준 5 2 3 2 5 2 2 3 2" xfId="42684"/>
    <cellStyle name="표준 5 2 3 2 5 2 2 4" xfId="30012"/>
    <cellStyle name="표준 5 2 3 2 5 2 2 5" xfId="53647"/>
    <cellStyle name="표준 5 2 3 2 5 2 3" xfId="7869"/>
    <cellStyle name="표준 5 2 3 2 5 2 3 2" xfId="20542"/>
    <cellStyle name="표준 5 2 3 2 5 2 3 2 2" xfId="45894"/>
    <cellStyle name="표준 5 2 3 2 5 2 3 3" xfId="33222"/>
    <cellStyle name="표준 5 2 3 2 5 2 4" xfId="14206"/>
    <cellStyle name="표준 5 2 3 2 5 2 4 2" xfId="39558"/>
    <cellStyle name="표준 5 2 3 2 5 2 5" xfId="26886"/>
    <cellStyle name="표준 5 2 3 2 5 2 6" xfId="53648"/>
    <cellStyle name="표준 5 2 3 2 5 3" xfId="4660"/>
    <cellStyle name="표준 5 2 3 2 5 3 2" xfId="10996"/>
    <cellStyle name="표준 5 2 3 2 5 3 2 2" xfId="23669"/>
    <cellStyle name="표준 5 2 3 2 5 3 2 2 2" xfId="49021"/>
    <cellStyle name="표준 5 2 3 2 5 3 2 3" xfId="36349"/>
    <cellStyle name="표준 5 2 3 2 5 3 3" xfId="17333"/>
    <cellStyle name="표준 5 2 3 2 5 3 3 2" xfId="42685"/>
    <cellStyle name="표준 5 2 3 2 5 3 4" xfId="30013"/>
    <cellStyle name="표준 5 2 3 2 5 3 5" xfId="53649"/>
    <cellStyle name="표준 5 2 3 2 5 4" xfId="7868"/>
    <cellStyle name="표준 5 2 3 2 5 4 2" xfId="20541"/>
    <cellStyle name="표준 5 2 3 2 5 4 2 2" xfId="45893"/>
    <cellStyle name="표준 5 2 3 2 5 4 3" xfId="33221"/>
    <cellStyle name="표준 5 2 3 2 5 5" xfId="14205"/>
    <cellStyle name="표준 5 2 3 2 5 5 2" xfId="39557"/>
    <cellStyle name="표준 5 2 3 2 5 6" xfId="26885"/>
    <cellStyle name="표준 5 2 3 2 5 7" xfId="53650"/>
    <cellStyle name="표준 5 2 3 2 6" xfId="1533"/>
    <cellStyle name="표준 5 2 3 2 6 2" xfId="1534"/>
    <cellStyle name="표준 5 2 3 2 6 2 2" xfId="4661"/>
    <cellStyle name="표준 5 2 3 2 6 2 2 2" xfId="10997"/>
    <cellStyle name="표준 5 2 3 2 6 2 2 2 2" xfId="23670"/>
    <cellStyle name="표준 5 2 3 2 6 2 2 2 2 2" xfId="49022"/>
    <cellStyle name="표준 5 2 3 2 6 2 2 2 3" xfId="36350"/>
    <cellStyle name="표준 5 2 3 2 6 2 2 3" xfId="17334"/>
    <cellStyle name="표준 5 2 3 2 6 2 2 3 2" xfId="42686"/>
    <cellStyle name="표준 5 2 3 2 6 2 2 4" xfId="30014"/>
    <cellStyle name="표준 5 2 3 2 6 2 2 5" xfId="53651"/>
    <cellStyle name="표준 5 2 3 2 6 2 3" xfId="7871"/>
    <cellStyle name="표준 5 2 3 2 6 2 3 2" xfId="20544"/>
    <cellStyle name="표준 5 2 3 2 6 2 3 2 2" xfId="45896"/>
    <cellStyle name="표준 5 2 3 2 6 2 3 3" xfId="33224"/>
    <cellStyle name="표준 5 2 3 2 6 2 4" xfId="14208"/>
    <cellStyle name="표준 5 2 3 2 6 2 4 2" xfId="39560"/>
    <cellStyle name="표준 5 2 3 2 6 2 5" xfId="26888"/>
    <cellStyle name="표준 5 2 3 2 6 2 6" xfId="53652"/>
    <cellStyle name="표준 5 2 3 2 6 3" xfId="4662"/>
    <cellStyle name="표준 5 2 3 2 6 3 2" xfId="10998"/>
    <cellStyle name="표준 5 2 3 2 6 3 2 2" xfId="23671"/>
    <cellStyle name="표준 5 2 3 2 6 3 2 2 2" xfId="49023"/>
    <cellStyle name="표준 5 2 3 2 6 3 2 3" xfId="36351"/>
    <cellStyle name="표준 5 2 3 2 6 3 3" xfId="17335"/>
    <cellStyle name="표준 5 2 3 2 6 3 3 2" xfId="42687"/>
    <cellStyle name="표준 5 2 3 2 6 3 4" xfId="30015"/>
    <cellStyle name="표준 5 2 3 2 6 3 5" xfId="53653"/>
    <cellStyle name="표준 5 2 3 2 6 4" xfId="7870"/>
    <cellStyle name="표준 5 2 3 2 6 4 2" xfId="20543"/>
    <cellStyle name="표준 5 2 3 2 6 4 2 2" xfId="45895"/>
    <cellStyle name="표준 5 2 3 2 6 4 3" xfId="33223"/>
    <cellStyle name="표준 5 2 3 2 6 5" xfId="14207"/>
    <cellStyle name="표준 5 2 3 2 6 5 2" xfId="39559"/>
    <cellStyle name="표준 5 2 3 2 6 6" xfId="26887"/>
    <cellStyle name="표준 5 2 3 2 6 7" xfId="53654"/>
    <cellStyle name="표준 5 2 3 2 7" xfId="1535"/>
    <cellStyle name="표준 5 2 3 2 7 2" xfId="1536"/>
    <cellStyle name="표준 5 2 3 2 7 2 2" xfId="4663"/>
    <cellStyle name="표준 5 2 3 2 7 2 2 2" xfId="10999"/>
    <cellStyle name="표준 5 2 3 2 7 2 2 2 2" xfId="23672"/>
    <cellStyle name="표준 5 2 3 2 7 2 2 2 2 2" xfId="49024"/>
    <cellStyle name="표준 5 2 3 2 7 2 2 2 3" xfId="36352"/>
    <cellStyle name="표준 5 2 3 2 7 2 2 3" xfId="17336"/>
    <cellStyle name="표준 5 2 3 2 7 2 2 3 2" xfId="42688"/>
    <cellStyle name="표준 5 2 3 2 7 2 2 4" xfId="30016"/>
    <cellStyle name="표준 5 2 3 2 7 2 2 5" xfId="53655"/>
    <cellStyle name="표준 5 2 3 2 7 2 3" xfId="7873"/>
    <cellStyle name="표준 5 2 3 2 7 2 3 2" xfId="20546"/>
    <cellStyle name="표준 5 2 3 2 7 2 3 2 2" xfId="45898"/>
    <cellStyle name="표준 5 2 3 2 7 2 3 3" xfId="33226"/>
    <cellStyle name="표준 5 2 3 2 7 2 4" xfId="14210"/>
    <cellStyle name="표준 5 2 3 2 7 2 4 2" xfId="39562"/>
    <cellStyle name="표준 5 2 3 2 7 2 5" xfId="26890"/>
    <cellStyle name="표준 5 2 3 2 7 2 6" xfId="53656"/>
    <cellStyle name="표준 5 2 3 2 7 3" xfId="4664"/>
    <cellStyle name="표준 5 2 3 2 7 3 2" xfId="11000"/>
    <cellStyle name="표준 5 2 3 2 7 3 2 2" xfId="23673"/>
    <cellStyle name="표준 5 2 3 2 7 3 2 2 2" xfId="49025"/>
    <cellStyle name="표준 5 2 3 2 7 3 2 3" xfId="36353"/>
    <cellStyle name="표준 5 2 3 2 7 3 3" xfId="17337"/>
    <cellStyle name="표준 5 2 3 2 7 3 3 2" xfId="42689"/>
    <cellStyle name="표준 5 2 3 2 7 3 4" xfId="30017"/>
    <cellStyle name="표준 5 2 3 2 7 3 5" xfId="53657"/>
    <cellStyle name="표준 5 2 3 2 7 4" xfId="7872"/>
    <cellStyle name="표준 5 2 3 2 7 4 2" xfId="20545"/>
    <cellStyle name="표준 5 2 3 2 7 4 2 2" xfId="45897"/>
    <cellStyle name="표준 5 2 3 2 7 4 3" xfId="33225"/>
    <cellStyle name="표준 5 2 3 2 7 5" xfId="14209"/>
    <cellStyle name="표준 5 2 3 2 7 5 2" xfId="39561"/>
    <cellStyle name="표준 5 2 3 2 7 6" xfId="26889"/>
    <cellStyle name="표준 5 2 3 2 7 7" xfId="53658"/>
    <cellStyle name="표준 5 2 3 2 8" xfId="1537"/>
    <cellStyle name="표준 5 2 3 2 8 2" xfId="1538"/>
    <cellStyle name="표준 5 2 3 2 8 2 2" xfId="4665"/>
    <cellStyle name="표준 5 2 3 2 8 2 2 2" xfId="11001"/>
    <cellStyle name="표준 5 2 3 2 8 2 2 2 2" xfId="23674"/>
    <cellStyle name="표준 5 2 3 2 8 2 2 2 2 2" xfId="49026"/>
    <cellStyle name="표준 5 2 3 2 8 2 2 2 3" xfId="36354"/>
    <cellStyle name="표준 5 2 3 2 8 2 2 3" xfId="17338"/>
    <cellStyle name="표준 5 2 3 2 8 2 2 3 2" xfId="42690"/>
    <cellStyle name="표준 5 2 3 2 8 2 2 4" xfId="30018"/>
    <cellStyle name="표준 5 2 3 2 8 2 2 5" xfId="53659"/>
    <cellStyle name="표준 5 2 3 2 8 2 3" xfId="7875"/>
    <cellStyle name="표준 5 2 3 2 8 2 3 2" xfId="20548"/>
    <cellStyle name="표준 5 2 3 2 8 2 3 2 2" xfId="45900"/>
    <cellStyle name="표준 5 2 3 2 8 2 3 3" xfId="33228"/>
    <cellStyle name="표준 5 2 3 2 8 2 4" xfId="14212"/>
    <cellStyle name="표준 5 2 3 2 8 2 4 2" xfId="39564"/>
    <cellStyle name="표준 5 2 3 2 8 2 5" xfId="26892"/>
    <cellStyle name="표준 5 2 3 2 8 2 6" xfId="53660"/>
    <cellStyle name="표준 5 2 3 2 8 3" xfId="4666"/>
    <cellStyle name="표준 5 2 3 2 8 3 2" xfId="11002"/>
    <cellStyle name="표준 5 2 3 2 8 3 2 2" xfId="23675"/>
    <cellStyle name="표준 5 2 3 2 8 3 2 2 2" xfId="49027"/>
    <cellStyle name="표준 5 2 3 2 8 3 2 3" xfId="36355"/>
    <cellStyle name="표준 5 2 3 2 8 3 3" xfId="17339"/>
    <cellStyle name="표준 5 2 3 2 8 3 3 2" xfId="42691"/>
    <cellStyle name="표준 5 2 3 2 8 3 4" xfId="30019"/>
    <cellStyle name="표준 5 2 3 2 8 3 5" xfId="53661"/>
    <cellStyle name="표준 5 2 3 2 8 4" xfId="7874"/>
    <cellStyle name="표준 5 2 3 2 8 4 2" xfId="20547"/>
    <cellStyle name="표준 5 2 3 2 8 4 2 2" xfId="45899"/>
    <cellStyle name="표준 5 2 3 2 8 4 3" xfId="33227"/>
    <cellStyle name="표준 5 2 3 2 8 5" xfId="14211"/>
    <cellStyle name="표준 5 2 3 2 8 5 2" xfId="39563"/>
    <cellStyle name="표준 5 2 3 2 8 6" xfId="26891"/>
    <cellStyle name="표준 5 2 3 2 8 7" xfId="53662"/>
    <cellStyle name="표준 5 2 3 2 9" xfId="1539"/>
    <cellStyle name="표준 5 2 3 2 9 2" xfId="1540"/>
    <cellStyle name="표준 5 2 3 2 9 2 2" xfId="4667"/>
    <cellStyle name="표준 5 2 3 2 9 2 2 2" xfId="11003"/>
    <cellStyle name="표준 5 2 3 2 9 2 2 2 2" xfId="23676"/>
    <cellStyle name="표준 5 2 3 2 9 2 2 2 2 2" xfId="49028"/>
    <cellStyle name="표준 5 2 3 2 9 2 2 2 3" xfId="36356"/>
    <cellStyle name="표준 5 2 3 2 9 2 2 3" xfId="17340"/>
    <cellStyle name="표준 5 2 3 2 9 2 2 3 2" xfId="42692"/>
    <cellStyle name="표준 5 2 3 2 9 2 2 4" xfId="30020"/>
    <cellStyle name="표준 5 2 3 2 9 2 2 5" xfId="53663"/>
    <cellStyle name="표준 5 2 3 2 9 2 3" xfId="7877"/>
    <cellStyle name="표준 5 2 3 2 9 2 3 2" xfId="20550"/>
    <cellStyle name="표준 5 2 3 2 9 2 3 2 2" xfId="45902"/>
    <cellStyle name="표준 5 2 3 2 9 2 3 3" xfId="33230"/>
    <cellStyle name="표준 5 2 3 2 9 2 4" xfId="14214"/>
    <cellStyle name="표준 5 2 3 2 9 2 4 2" xfId="39566"/>
    <cellStyle name="표준 5 2 3 2 9 2 5" xfId="26894"/>
    <cellStyle name="표준 5 2 3 2 9 2 6" xfId="53664"/>
    <cellStyle name="표준 5 2 3 2 9 3" xfId="4668"/>
    <cellStyle name="표준 5 2 3 2 9 3 2" xfId="11004"/>
    <cellStyle name="표준 5 2 3 2 9 3 2 2" xfId="23677"/>
    <cellStyle name="표준 5 2 3 2 9 3 2 2 2" xfId="49029"/>
    <cellStyle name="표준 5 2 3 2 9 3 2 3" xfId="36357"/>
    <cellStyle name="표준 5 2 3 2 9 3 3" xfId="17341"/>
    <cellStyle name="표준 5 2 3 2 9 3 3 2" xfId="42693"/>
    <cellStyle name="표준 5 2 3 2 9 3 4" xfId="30021"/>
    <cellStyle name="표준 5 2 3 2 9 3 5" xfId="53665"/>
    <cellStyle name="표준 5 2 3 2 9 4" xfId="7876"/>
    <cellStyle name="표준 5 2 3 2 9 4 2" xfId="20549"/>
    <cellStyle name="표준 5 2 3 2 9 4 2 2" xfId="45901"/>
    <cellStyle name="표준 5 2 3 2 9 4 3" xfId="33229"/>
    <cellStyle name="표준 5 2 3 2 9 5" xfId="14213"/>
    <cellStyle name="표준 5 2 3 2 9 5 2" xfId="39565"/>
    <cellStyle name="표준 5 2 3 2 9 6" xfId="26893"/>
    <cellStyle name="표준 5 2 3 2 9 7" xfId="53666"/>
    <cellStyle name="표준 5 2 3 20" xfId="1541"/>
    <cellStyle name="표준 5 2 3 20 2" xfId="1542"/>
    <cellStyle name="표준 5 2 3 20 2 2" xfId="4669"/>
    <cellStyle name="표준 5 2 3 20 2 2 2" xfId="11005"/>
    <cellStyle name="표준 5 2 3 20 2 2 2 2" xfId="23678"/>
    <cellStyle name="표준 5 2 3 20 2 2 2 2 2" xfId="49030"/>
    <cellStyle name="표준 5 2 3 20 2 2 2 3" xfId="36358"/>
    <cellStyle name="표준 5 2 3 20 2 2 3" xfId="17342"/>
    <cellStyle name="표준 5 2 3 20 2 2 3 2" xfId="42694"/>
    <cellStyle name="표준 5 2 3 20 2 2 4" xfId="30022"/>
    <cellStyle name="표준 5 2 3 20 2 2 5" xfId="53667"/>
    <cellStyle name="표준 5 2 3 20 2 3" xfId="7879"/>
    <cellStyle name="표준 5 2 3 20 2 3 2" xfId="20552"/>
    <cellStyle name="표준 5 2 3 20 2 3 2 2" xfId="45904"/>
    <cellStyle name="표준 5 2 3 20 2 3 3" xfId="33232"/>
    <cellStyle name="표준 5 2 3 20 2 4" xfId="14216"/>
    <cellStyle name="표준 5 2 3 20 2 4 2" xfId="39568"/>
    <cellStyle name="표준 5 2 3 20 2 5" xfId="26896"/>
    <cellStyle name="표준 5 2 3 20 2 6" xfId="53668"/>
    <cellStyle name="표준 5 2 3 20 3" xfId="4670"/>
    <cellStyle name="표준 5 2 3 20 3 2" xfId="11006"/>
    <cellStyle name="표준 5 2 3 20 3 2 2" xfId="23679"/>
    <cellStyle name="표준 5 2 3 20 3 2 2 2" xfId="49031"/>
    <cellStyle name="표준 5 2 3 20 3 2 3" xfId="36359"/>
    <cellStyle name="표준 5 2 3 20 3 3" xfId="17343"/>
    <cellStyle name="표준 5 2 3 20 3 3 2" xfId="42695"/>
    <cellStyle name="표준 5 2 3 20 3 4" xfId="30023"/>
    <cellStyle name="표준 5 2 3 20 3 5" xfId="53669"/>
    <cellStyle name="표준 5 2 3 20 4" xfId="7878"/>
    <cellStyle name="표준 5 2 3 20 4 2" xfId="20551"/>
    <cellStyle name="표준 5 2 3 20 4 2 2" xfId="45903"/>
    <cellStyle name="표준 5 2 3 20 4 3" xfId="33231"/>
    <cellStyle name="표준 5 2 3 20 5" xfId="14215"/>
    <cellStyle name="표준 5 2 3 20 5 2" xfId="39567"/>
    <cellStyle name="표준 5 2 3 20 6" xfId="26895"/>
    <cellStyle name="표준 5 2 3 20 7" xfId="53670"/>
    <cellStyle name="표준 5 2 3 21" xfId="1543"/>
    <cellStyle name="표준 5 2 3 21 2" xfId="1544"/>
    <cellStyle name="표준 5 2 3 21 2 2" xfId="4671"/>
    <cellStyle name="표준 5 2 3 21 2 2 2" xfId="11007"/>
    <cellStyle name="표준 5 2 3 21 2 2 2 2" xfId="23680"/>
    <cellStyle name="표준 5 2 3 21 2 2 2 2 2" xfId="49032"/>
    <cellStyle name="표준 5 2 3 21 2 2 2 3" xfId="36360"/>
    <cellStyle name="표준 5 2 3 21 2 2 3" xfId="17344"/>
    <cellStyle name="표준 5 2 3 21 2 2 3 2" xfId="42696"/>
    <cellStyle name="표준 5 2 3 21 2 2 4" xfId="30024"/>
    <cellStyle name="표준 5 2 3 21 2 2 5" xfId="53671"/>
    <cellStyle name="표준 5 2 3 21 2 3" xfId="7881"/>
    <cellStyle name="표준 5 2 3 21 2 3 2" xfId="20554"/>
    <cellStyle name="표준 5 2 3 21 2 3 2 2" xfId="45906"/>
    <cellStyle name="표준 5 2 3 21 2 3 3" xfId="33234"/>
    <cellStyle name="표준 5 2 3 21 2 4" xfId="14218"/>
    <cellStyle name="표준 5 2 3 21 2 4 2" xfId="39570"/>
    <cellStyle name="표준 5 2 3 21 2 5" xfId="26898"/>
    <cellStyle name="표준 5 2 3 21 2 6" xfId="53672"/>
    <cellStyle name="표준 5 2 3 21 3" xfId="4672"/>
    <cellStyle name="표준 5 2 3 21 3 2" xfId="11008"/>
    <cellStyle name="표준 5 2 3 21 3 2 2" xfId="23681"/>
    <cellStyle name="표준 5 2 3 21 3 2 2 2" xfId="49033"/>
    <cellStyle name="표준 5 2 3 21 3 2 3" xfId="36361"/>
    <cellStyle name="표준 5 2 3 21 3 3" xfId="17345"/>
    <cellStyle name="표준 5 2 3 21 3 3 2" xfId="42697"/>
    <cellStyle name="표준 5 2 3 21 3 4" xfId="30025"/>
    <cellStyle name="표준 5 2 3 21 3 5" xfId="53673"/>
    <cellStyle name="표준 5 2 3 21 4" xfId="7880"/>
    <cellStyle name="표준 5 2 3 21 4 2" xfId="20553"/>
    <cellStyle name="표준 5 2 3 21 4 2 2" xfId="45905"/>
    <cellStyle name="표준 5 2 3 21 4 3" xfId="33233"/>
    <cellStyle name="표준 5 2 3 21 5" xfId="14217"/>
    <cellStyle name="표준 5 2 3 21 5 2" xfId="39569"/>
    <cellStyle name="표준 5 2 3 21 6" xfId="26897"/>
    <cellStyle name="표준 5 2 3 21 7" xfId="53674"/>
    <cellStyle name="표준 5 2 3 22" xfId="1545"/>
    <cellStyle name="표준 5 2 3 22 2" xfId="1546"/>
    <cellStyle name="표준 5 2 3 22 2 2" xfId="4673"/>
    <cellStyle name="표준 5 2 3 22 2 2 2" xfId="11009"/>
    <cellStyle name="표준 5 2 3 22 2 2 2 2" xfId="23682"/>
    <cellStyle name="표준 5 2 3 22 2 2 2 2 2" xfId="49034"/>
    <cellStyle name="표준 5 2 3 22 2 2 2 3" xfId="36362"/>
    <cellStyle name="표준 5 2 3 22 2 2 3" xfId="17346"/>
    <cellStyle name="표준 5 2 3 22 2 2 3 2" xfId="42698"/>
    <cellStyle name="표준 5 2 3 22 2 2 4" xfId="30026"/>
    <cellStyle name="표준 5 2 3 22 2 2 5" xfId="53675"/>
    <cellStyle name="표준 5 2 3 22 2 3" xfId="7883"/>
    <cellStyle name="표준 5 2 3 22 2 3 2" xfId="20556"/>
    <cellStyle name="표준 5 2 3 22 2 3 2 2" xfId="45908"/>
    <cellStyle name="표준 5 2 3 22 2 3 3" xfId="33236"/>
    <cellStyle name="표준 5 2 3 22 2 4" xfId="14220"/>
    <cellStyle name="표준 5 2 3 22 2 4 2" xfId="39572"/>
    <cellStyle name="표준 5 2 3 22 2 5" xfId="26900"/>
    <cellStyle name="표준 5 2 3 22 2 6" xfId="53676"/>
    <cellStyle name="표준 5 2 3 22 3" xfId="4674"/>
    <cellStyle name="표준 5 2 3 22 3 2" xfId="11010"/>
    <cellStyle name="표준 5 2 3 22 3 2 2" xfId="23683"/>
    <cellStyle name="표준 5 2 3 22 3 2 2 2" xfId="49035"/>
    <cellStyle name="표준 5 2 3 22 3 2 3" xfId="36363"/>
    <cellStyle name="표준 5 2 3 22 3 3" xfId="17347"/>
    <cellStyle name="표준 5 2 3 22 3 3 2" xfId="42699"/>
    <cellStyle name="표준 5 2 3 22 3 4" xfId="30027"/>
    <cellStyle name="표준 5 2 3 22 3 5" xfId="53677"/>
    <cellStyle name="표준 5 2 3 22 4" xfId="7882"/>
    <cellStyle name="표준 5 2 3 22 4 2" xfId="20555"/>
    <cellStyle name="표준 5 2 3 22 4 2 2" xfId="45907"/>
    <cellStyle name="표준 5 2 3 22 4 3" xfId="33235"/>
    <cellStyle name="표준 5 2 3 22 5" xfId="14219"/>
    <cellStyle name="표준 5 2 3 22 5 2" xfId="39571"/>
    <cellStyle name="표준 5 2 3 22 6" xfId="26899"/>
    <cellStyle name="표준 5 2 3 22 7" xfId="53678"/>
    <cellStyle name="표준 5 2 3 23" xfId="1547"/>
    <cellStyle name="표준 5 2 3 23 2" xfId="1548"/>
    <cellStyle name="표준 5 2 3 23 2 2" xfId="4675"/>
    <cellStyle name="표준 5 2 3 23 2 2 2" xfId="11011"/>
    <cellStyle name="표준 5 2 3 23 2 2 2 2" xfId="23684"/>
    <cellStyle name="표준 5 2 3 23 2 2 2 2 2" xfId="49036"/>
    <cellStyle name="표준 5 2 3 23 2 2 2 3" xfId="36364"/>
    <cellStyle name="표준 5 2 3 23 2 2 3" xfId="17348"/>
    <cellStyle name="표준 5 2 3 23 2 2 3 2" xfId="42700"/>
    <cellStyle name="표준 5 2 3 23 2 2 4" xfId="30028"/>
    <cellStyle name="표준 5 2 3 23 2 2 5" xfId="53679"/>
    <cellStyle name="표준 5 2 3 23 2 3" xfId="7885"/>
    <cellStyle name="표준 5 2 3 23 2 3 2" xfId="20558"/>
    <cellStyle name="표준 5 2 3 23 2 3 2 2" xfId="45910"/>
    <cellStyle name="표준 5 2 3 23 2 3 3" xfId="33238"/>
    <cellStyle name="표준 5 2 3 23 2 4" xfId="14222"/>
    <cellStyle name="표준 5 2 3 23 2 4 2" xfId="39574"/>
    <cellStyle name="표준 5 2 3 23 2 5" xfId="26902"/>
    <cellStyle name="표준 5 2 3 23 2 6" xfId="53680"/>
    <cellStyle name="표준 5 2 3 23 3" xfId="4676"/>
    <cellStyle name="표준 5 2 3 23 3 2" xfId="11012"/>
    <cellStyle name="표준 5 2 3 23 3 2 2" xfId="23685"/>
    <cellStyle name="표준 5 2 3 23 3 2 2 2" xfId="49037"/>
    <cellStyle name="표준 5 2 3 23 3 2 3" xfId="36365"/>
    <cellStyle name="표준 5 2 3 23 3 3" xfId="17349"/>
    <cellStyle name="표준 5 2 3 23 3 3 2" xfId="42701"/>
    <cellStyle name="표준 5 2 3 23 3 4" xfId="30029"/>
    <cellStyle name="표준 5 2 3 23 3 5" xfId="53681"/>
    <cellStyle name="표준 5 2 3 23 4" xfId="7884"/>
    <cellStyle name="표준 5 2 3 23 4 2" xfId="20557"/>
    <cellStyle name="표준 5 2 3 23 4 2 2" xfId="45909"/>
    <cellStyle name="표준 5 2 3 23 4 3" xfId="33237"/>
    <cellStyle name="표준 5 2 3 23 5" xfId="14221"/>
    <cellStyle name="표준 5 2 3 23 5 2" xfId="39573"/>
    <cellStyle name="표준 5 2 3 23 6" xfId="26901"/>
    <cellStyle name="표준 5 2 3 23 7" xfId="53682"/>
    <cellStyle name="표준 5 2 3 24" xfId="1549"/>
    <cellStyle name="표준 5 2 3 24 2" xfId="1550"/>
    <cellStyle name="표준 5 2 3 24 2 2" xfId="4677"/>
    <cellStyle name="표준 5 2 3 24 2 2 2" xfId="11013"/>
    <cellStyle name="표준 5 2 3 24 2 2 2 2" xfId="23686"/>
    <cellStyle name="표준 5 2 3 24 2 2 2 2 2" xfId="49038"/>
    <cellStyle name="표준 5 2 3 24 2 2 2 3" xfId="36366"/>
    <cellStyle name="표준 5 2 3 24 2 2 3" xfId="17350"/>
    <cellStyle name="표준 5 2 3 24 2 2 3 2" xfId="42702"/>
    <cellStyle name="표준 5 2 3 24 2 2 4" xfId="30030"/>
    <cellStyle name="표준 5 2 3 24 2 2 5" xfId="53683"/>
    <cellStyle name="표준 5 2 3 24 2 3" xfId="7887"/>
    <cellStyle name="표준 5 2 3 24 2 3 2" xfId="20560"/>
    <cellStyle name="표준 5 2 3 24 2 3 2 2" xfId="45912"/>
    <cellStyle name="표준 5 2 3 24 2 3 3" xfId="33240"/>
    <cellStyle name="표준 5 2 3 24 2 4" xfId="14224"/>
    <cellStyle name="표준 5 2 3 24 2 4 2" xfId="39576"/>
    <cellStyle name="표준 5 2 3 24 2 5" xfId="26904"/>
    <cellStyle name="표준 5 2 3 24 2 6" xfId="53684"/>
    <cellStyle name="표준 5 2 3 24 3" xfId="4678"/>
    <cellStyle name="표준 5 2 3 24 3 2" xfId="11014"/>
    <cellStyle name="표준 5 2 3 24 3 2 2" xfId="23687"/>
    <cellStyle name="표준 5 2 3 24 3 2 2 2" xfId="49039"/>
    <cellStyle name="표준 5 2 3 24 3 2 3" xfId="36367"/>
    <cellStyle name="표준 5 2 3 24 3 3" xfId="17351"/>
    <cellStyle name="표준 5 2 3 24 3 3 2" xfId="42703"/>
    <cellStyle name="표준 5 2 3 24 3 4" xfId="30031"/>
    <cellStyle name="표준 5 2 3 24 3 5" xfId="53685"/>
    <cellStyle name="표준 5 2 3 24 4" xfId="7886"/>
    <cellStyle name="표준 5 2 3 24 4 2" xfId="20559"/>
    <cellStyle name="표준 5 2 3 24 4 2 2" xfId="45911"/>
    <cellStyle name="표준 5 2 3 24 4 3" xfId="33239"/>
    <cellStyle name="표준 5 2 3 24 5" xfId="14223"/>
    <cellStyle name="표준 5 2 3 24 5 2" xfId="39575"/>
    <cellStyle name="표준 5 2 3 24 6" xfId="26903"/>
    <cellStyle name="표준 5 2 3 24 7" xfId="53686"/>
    <cellStyle name="표준 5 2 3 25" xfId="1551"/>
    <cellStyle name="표준 5 2 3 25 2" xfId="1552"/>
    <cellStyle name="표준 5 2 3 25 2 2" xfId="4679"/>
    <cellStyle name="표준 5 2 3 25 2 2 2" xfId="11015"/>
    <cellStyle name="표준 5 2 3 25 2 2 2 2" xfId="23688"/>
    <cellStyle name="표준 5 2 3 25 2 2 2 2 2" xfId="49040"/>
    <cellStyle name="표준 5 2 3 25 2 2 2 3" xfId="36368"/>
    <cellStyle name="표준 5 2 3 25 2 2 3" xfId="17352"/>
    <cellStyle name="표준 5 2 3 25 2 2 3 2" xfId="42704"/>
    <cellStyle name="표준 5 2 3 25 2 2 4" xfId="30032"/>
    <cellStyle name="표준 5 2 3 25 2 2 5" xfId="53687"/>
    <cellStyle name="표준 5 2 3 25 2 3" xfId="7889"/>
    <cellStyle name="표준 5 2 3 25 2 3 2" xfId="20562"/>
    <cellStyle name="표준 5 2 3 25 2 3 2 2" xfId="45914"/>
    <cellStyle name="표준 5 2 3 25 2 3 3" xfId="33242"/>
    <cellStyle name="표준 5 2 3 25 2 4" xfId="14226"/>
    <cellStyle name="표준 5 2 3 25 2 4 2" xfId="39578"/>
    <cellStyle name="표준 5 2 3 25 2 5" xfId="26906"/>
    <cellStyle name="표준 5 2 3 25 2 6" xfId="53688"/>
    <cellStyle name="표준 5 2 3 25 3" xfId="4680"/>
    <cellStyle name="표준 5 2 3 25 3 2" xfId="11016"/>
    <cellStyle name="표준 5 2 3 25 3 2 2" xfId="23689"/>
    <cellStyle name="표준 5 2 3 25 3 2 2 2" xfId="49041"/>
    <cellStyle name="표준 5 2 3 25 3 2 3" xfId="36369"/>
    <cellStyle name="표준 5 2 3 25 3 3" xfId="17353"/>
    <cellStyle name="표준 5 2 3 25 3 3 2" xfId="42705"/>
    <cellStyle name="표준 5 2 3 25 3 4" xfId="30033"/>
    <cellStyle name="표준 5 2 3 25 3 5" xfId="53689"/>
    <cellStyle name="표준 5 2 3 25 4" xfId="7888"/>
    <cellStyle name="표준 5 2 3 25 4 2" xfId="20561"/>
    <cellStyle name="표준 5 2 3 25 4 2 2" xfId="45913"/>
    <cellStyle name="표준 5 2 3 25 4 3" xfId="33241"/>
    <cellStyle name="표준 5 2 3 25 5" xfId="14225"/>
    <cellStyle name="표준 5 2 3 25 5 2" xfId="39577"/>
    <cellStyle name="표준 5 2 3 25 6" xfId="26905"/>
    <cellStyle name="표준 5 2 3 25 7" xfId="53690"/>
    <cellStyle name="표준 5 2 3 26" xfId="1553"/>
    <cellStyle name="표준 5 2 3 26 2" xfId="1554"/>
    <cellStyle name="표준 5 2 3 26 2 2" xfId="4681"/>
    <cellStyle name="표준 5 2 3 26 2 2 2" xfId="11017"/>
    <cellStyle name="표준 5 2 3 26 2 2 2 2" xfId="23690"/>
    <cellStyle name="표준 5 2 3 26 2 2 2 2 2" xfId="49042"/>
    <cellStyle name="표준 5 2 3 26 2 2 2 3" xfId="36370"/>
    <cellStyle name="표준 5 2 3 26 2 2 3" xfId="17354"/>
    <cellStyle name="표준 5 2 3 26 2 2 3 2" xfId="42706"/>
    <cellStyle name="표준 5 2 3 26 2 2 4" xfId="30034"/>
    <cellStyle name="표준 5 2 3 26 2 2 5" xfId="53691"/>
    <cellStyle name="표준 5 2 3 26 2 3" xfId="7891"/>
    <cellStyle name="표준 5 2 3 26 2 3 2" xfId="20564"/>
    <cellStyle name="표준 5 2 3 26 2 3 2 2" xfId="45916"/>
    <cellStyle name="표준 5 2 3 26 2 3 3" xfId="33244"/>
    <cellStyle name="표준 5 2 3 26 2 4" xfId="14228"/>
    <cellStyle name="표준 5 2 3 26 2 4 2" xfId="39580"/>
    <cellStyle name="표준 5 2 3 26 2 5" xfId="26908"/>
    <cellStyle name="표준 5 2 3 26 2 6" xfId="53692"/>
    <cellStyle name="표준 5 2 3 26 3" xfId="4682"/>
    <cellStyle name="표준 5 2 3 26 3 2" xfId="11018"/>
    <cellStyle name="표준 5 2 3 26 3 2 2" xfId="23691"/>
    <cellStyle name="표준 5 2 3 26 3 2 2 2" xfId="49043"/>
    <cellStyle name="표준 5 2 3 26 3 2 3" xfId="36371"/>
    <cellStyle name="표준 5 2 3 26 3 3" xfId="17355"/>
    <cellStyle name="표준 5 2 3 26 3 3 2" xfId="42707"/>
    <cellStyle name="표준 5 2 3 26 3 4" xfId="30035"/>
    <cellStyle name="표준 5 2 3 26 3 5" xfId="53693"/>
    <cellStyle name="표준 5 2 3 26 4" xfId="7890"/>
    <cellStyle name="표준 5 2 3 26 4 2" xfId="20563"/>
    <cellStyle name="표준 5 2 3 26 4 2 2" xfId="45915"/>
    <cellStyle name="표준 5 2 3 26 4 3" xfId="33243"/>
    <cellStyle name="표준 5 2 3 26 5" xfId="14227"/>
    <cellStyle name="표준 5 2 3 26 5 2" xfId="39579"/>
    <cellStyle name="표준 5 2 3 26 6" xfId="26907"/>
    <cellStyle name="표준 5 2 3 26 7" xfId="53694"/>
    <cellStyle name="표준 5 2 3 27" xfId="1555"/>
    <cellStyle name="표준 5 2 3 27 2" xfId="1556"/>
    <cellStyle name="표준 5 2 3 27 2 2" xfId="4683"/>
    <cellStyle name="표준 5 2 3 27 2 2 2" xfId="11019"/>
    <cellStyle name="표준 5 2 3 27 2 2 2 2" xfId="23692"/>
    <cellStyle name="표준 5 2 3 27 2 2 2 2 2" xfId="49044"/>
    <cellStyle name="표준 5 2 3 27 2 2 2 3" xfId="36372"/>
    <cellStyle name="표준 5 2 3 27 2 2 3" xfId="17356"/>
    <cellStyle name="표준 5 2 3 27 2 2 3 2" xfId="42708"/>
    <cellStyle name="표준 5 2 3 27 2 2 4" xfId="30036"/>
    <cellStyle name="표준 5 2 3 27 2 2 5" xfId="53695"/>
    <cellStyle name="표준 5 2 3 27 2 3" xfId="7893"/>
    <cellStyle name="표준 5 2 3 27 2 3 2" xfId="20566"/>
    <cellStyle name="표준 5 2 3 27 2 3 2 2" xfId="45918"/>
    <cellStyle name="표준 5 2 3 27 2 3 3" xfId="33246"/>
    <cellStyle name="표준 5 2 3 27 2 4" xfId="14230"/>
    <cellStyle name="표준 5 2 3 27 2 4 2" xfId="39582"/>
    <cellStyle name="표준 5 2 3 27 2 5" xfId="26910"/>
    <cellStyle name="표준 5 2 3 27 2 6" xfId="53696"/>
    <cellStyle name="표준 5 2 3 27 3" xfId="4684"/>
    <cellStyle name="표준 5 2 3 27 3 2" xfId="11020"/>
    <cellStyle name="표준 5 2 3 27 3 2 2" xfId="23693"/>
    <cellStyle name="표준 5 2 3 27 3 2 2 2" xfId="49045"/>
    <cellStyle name="표준 5 2 3 27 3 2 3" xfId="36373"/>
    <cellStyle name="표준 5 2 3 27 3 3" xfId="17357"/>
    <cellStyle name="표준 5 2 3 27 3 3 2" xfId="42709"/>
    <cellStyle name="표준 5 2 3 27 3 4" xfId="30037"/>
    <cellStyle name="표준 5 2 3 27 3 5" xfId="53697"/>
    <cellStyle name="표준 5 2 3 27 4" xfId="7892"/>
    <cellStyle name="표준 5 2 3 27 4 2" xfId="20565"/>
    <cellStyle name="표준 5 2 3 27 4 2 2" xfId="45917"/>
    <cellStyle name="표준 5 2 3 27 4 3" xfId="33245"/>
    <cellStyle name="표준 5 2 3 27 5" xfId="14229"/>
    <cellStyle name="표준 5 2 3 27 5 2" xfId="39581"/>
    <cellStyle name="표준 5 2 3 27 6" xfId="26909"/>
    <cellStyle name="표준 5 2 3 27 7" xfId="53698"/>
    <cellStyle name="표준 5 2 3 28" xfId="1557"/>
    <cellStyle name="표준 5 2 3 28 2" xfId="1558"/>
    <cellStyle name="표준 5 2 3 28 2 2" xfId="4685"/>
    <cellStyle name="표준 5 2 3 28 2 2 2" xfId="11021"/>
    <cellStyle name="표준 5 2 3 28 2 2 2 2" xfId="23694"/>
    <cellStyle name="표준 5 2 3 28 2 2 2 2 2" xfId="49046"/>
    <cellStyle name="표준 5 2 3 28 2 2 2 3" xfId="36374"/>
    <cellStyle name="표준 5 2 3 28 2 2 3" xfId="17358"/>
    <cellStyle name="표준 5 2 3 28 2 2 3 2" xfId="42710"/>
    <cellStyle name="표준 5 2 3 28 2 2 4" xfId="30038"/>
    <cellStyle name="표준 5 2 3 28 2 2 5" xfId="53699"/>
    <cellStyle name="표준 5 2 3 28 2 3" xfId="7895"/>
    <cellStyle name="표준 5 2 3 28 2 3 2" xfId="20568"/>
    <cellStyle name="표준 5 2 3 28 2 3 2 2" xfId="45920"/>
    <cellStyle name="표준 5 2 3 28 2 3 3" xfId="33248"/>
    <cellStyle name="표준 5 2 3 28 2 4" xfId="14232"/>
    <cellStyle name="표준 5 2 3 28 2 4 2" xfId="39584"/>
    <cellStyle name="표준 5 2 3 28 2 5" xfId="26912"/>
    <cellStyle name="표준 5 2 3 28 2 6" xfId="53700"/>
    <cellStyle name="표준 5 2 3 28 3" xfId="4686"/>
    <cellStyle name="표준 5 2 3 28 3 2" xfId="11022"/>
    <cellStyle name="표준 5 2 3 28 3 2 2" xfId="23695"/>
    <cellStyle name="표준 5 2 3 28 3 2 2 2" xfId="49047"/>
    <cellStyle name="표준 5 2 3 28 3 2 3" xfId="36375"/>
    <cellStyle name="표준 5 2 3 28 3 3" xfId="17359"/>
    <cellStyle name="표준 5 2 3 28 3 3 2" xfId="42711"/>
    <cellStyle name="표준 5 2 3 28 3 4" xfId="30039"/>
    <cellStyle name="표준 5 2 3 28 3 5" xfId="53701"/>
    <cellStyle name="표준 5 2 3 28 4" xfId="7894"/>
    <cellStyle name="표준 5 2 3 28 4 2" xfId="20567"/>
    <cellStyle name="표준 5 2 3 28 4 2 2" xfId="45919"/>
    <cellStyle name="표준 5 2 3 28 4 3" xfId="33247"/>
    <cellStyle name="표준 5 2 3 28 5" xfId="14231"/>
    <cellStyle name="표준 5 2 3 28 5 2" xfId="39583"/>
    <cellStyle name="표준 5 2 3 28 6" xfId="26911"/>
    <cellStyle name="표준 5 2 3 28 7" xfId="53702"/>
    <cellStyle name="표준 5 2 3 29" xfId="1559"/>
    <cellStyle name="표준 5 2 3 29 2" xfId="1560"/>
    <cellStyle name="표준 5 2 3 29 2 2" xfId="4687"/>
    <cellStyle name="표준 5 2 3 29 2 2 2" xfId="11023"/>
    <cellStyle name="표준 5 2 3 29 2 2 2 2" xfId="23696"/>
    <cellStyle name="표준 5 2 3 29 2 2 2 2 2" xfId="49048"/>
    <cellStyle name="표준 5 2 3 29 2 2 2 3" xfId="36376"/>
    <cellStyle name="표준 5 2 3 29 2 2 3" xfId="17360"/>
    <cellStyle name="표준 5 2 3 29 2 2 3 2" xfId="42712"/>
    <cellStyle name="표준 5 2 3 29 2 2 4" xfId="30040"/>
    <cellStyle name="표준 5 2 3 29 2 2 5" xfId="53703"/>
    <cellStyle name="표준 5 2 3 29 2 3" xfId="7897"/>
    <cellStyle name="표준 5 2 3 29 2 3 2" xfId="20570"/>
    <cellStyle name="표준 5 2 3 29 2 3 2 2" xfId="45922"/>
    <cellStyle name="표준 5 2 3 29 2 3 3" xfId="33250"/>
    <cellStyle name="표준 5 2 3 29 2 4" xfId="14234"/>
    <cellStyle name="표준 5 2 3 29 2 4 2" xfId="39586"/>
    <cellStyle name="표준 5 2 3 29 2 5" xfId="26914"/>
    <cellStyle name="표준 5 2 3 29 2 6" xfId="53704"/>
    <cellStyle name="표준 5 2 3 29 3" xfId="4688"/>
    <cellStyle name="표준 5 2 3 29 3 2" xfId="11024"/>
    <cellStyle name="표준 5 2 3 29 3 2 2" xfId="23697"/>
    <cellStyle name="표준 5 2 3 29 3 2 2 2" xfId="49049"/>
    <cellStyle name="표준 5 2 3 29 3 2 3" xfId="36377"/>
    <cellStyle name="표준 5 2 3 29 3 3" xfId="17361"/>
    <cellStyle name="표준 5 2 3 29 3 3 2" xfId="42713"/>
    <cellStyle name="표준 5 2 3 29 3 4" xfId="30041"/>
    <cellStyle name="표준 5 2 3 29 3 5" xfId="53705"/>
    <cellStyle name="표준 5 2 3 29 4" xfId="7896"/>
    <cellStyle name="표준 5 2 3 29 4 2" xfId="20569"/>
    <cellStyle name="표준 5 2 3 29 4 2 2" xfId="45921"/>
    <cellStyle name="표준 5 2 3 29 4 3" xfId="33249"/>
    <cellStyle name="표준 5 2 3 29 5" xfId="14233"/>
    <cellStyle name="표준 5 2 3 29 5 2" xfId="39585"/>
    <cellStyle name="표준 5 2 3 29 6" xfId="26913"/>
    <cellStyle name="표준 5 2 3 29 7" xfId="53706"/>
    <cellStyle name="표준 5 2 3 3" xfId="78"/>
    <cellStyle name="표준 5 2 3 3 2" xfId="1561"/>
    <cellStyle name="표준 5 2 3 3 2 2" xfId="4689"/>
    <cellStyle name="표준 5 2 3 3 2 2 2" xfId="11025"/>
    <cellStyle name="표준 5 2 3 3 2 2 2 2" xfId="23698"/>
    <cellStyle name="표준 5 2 3 3 2 2 2 2 2" xfId="49050"/>
    <cellStyle name="표준 5 2 3 3 2 2 2 3" xfId="36378"/>
    <cellStyle name="표준 5 2 3 3 2 2 3" xfId="17362"/>
    <cellStyle name="표준 5 2 3 3 2 2 3 2" xfId="42714"/>
    <cellStyle name="표준 5 2 3 3 2 2 4" xfId="30042"/>
    <cellStyle name="표준 5 2 3 3 2 2 5" xfId="53707"/>
    <cellStyle name="표준 5 2 3 3 2 3" xfId="7898"/>
    <cellStyle name="표준 5 2 3 3 2 3 2" xfId="20571"/>
    <cellStyle name="표준 5 2 3 3 2 3 2 2" xfId="45923"/>
    <cellStyle name="표준 5 2 3 3 2 3 3" xfId="33251"/>
    <cellStyle name="표준 5 2 3 3 2 4" xfId="14235"/>
    <cellStyle name="표준 5 2 3 3 2 4 2" xfId="39587"/>
    <cellStyle name="표준 5 2 3 3 2 5" xfId="26915"/>
    <cellStyle name="표준 5 2 3 3 2 6" xfId="53708"/>
    <cellStyle name="표준 5 2 3 3 3" xfId="4690"/>
    <cellStyle name="표준 5 2 3 3 3 2" xfId="11026"/>
    <cellStyle name="표준 5 2 3 3 3 2 2" xfId="23699"/>
    <cellStyle name="표준 5 2 3 3 3 2 2 2" xfId="49051"/>
    <cellStyle name="표준 5 2 3 3 3 2 3" xfId="36379"/>
    <cellStyle name="표준 5 2 3 3 3 3" xfId="17363"/>
    <cellStyle name="표준 5 2 3 3 3 3 2" xfId="42715"/>
    <cellStyle name="표준 5 2 3 3 3 4" xfId="30043"/>
    <cellStyle name="표준 5 2 3 3 3 5" xfId="53709"/>
    <cellStyle name="표준 5 2 3 3 4" xfId="6416"/>
    <cellStyle name="표준 5 2 3 3 4 2" xfId="19089"/>
    <cellStyle name="표준 5 2 3 3 4 2 2" xfId="44441"/>
    <cellStyle name="표준 5 2 3 3 4 3" xfId="31769"/>
    <cellStyle name="표준 5 2 3 3 5" xfId="12753"/>
    <cellStyle name="표준 5 2 3 3 5 2" xfId="38105"/>
    <cellStyle name="표준 5 2 3 3 6" xfId="25433"/>
    <cellStyle name="표준 5 2 3 3 7" xfId="53710"/>
    <cellStyle name="표준 5 2 3 30" xfId="1562"/>
    <cellStyle name="표준 5 2 3 30 2" xfId="1563"/>
    <cellStyle name="표준 5 2 3 30 2 2" xfId="4691"/>
    <cellStyle name="표준 5 2 3 30 2 2 2" xfId="11027"/>
    <cellStyle name="표준 5 2 3 30 2 2 2 2" xfId="23700"/>
    <cellStyle name="표준 5 2 3 30 2 2 2 2 2" xfId="49052"/>
    <cellStyle name="표준 5 2 3 30 2 2 2 3" xfId="36380"/>
    <cellStyle name="표준 5 2 3 30 2 2 3" xfId="17364"/>
    <cellStyle name="표준 5 2 3 30 2 2 3 2" xfId="42716"/>
    <cellStyle name="표준 5 2 3 30 2 2 4" xfId="30044"/>
    <cellStyle name="표준 5 2 3 30 2 2 5" xfId="53711"/>
    <cellStyle name="표준 5 2 3 30 2 3" xfId="7900"/>
    <cellStyle name="표준 5 2 3 30 2 3 2" xfId="20573"/>
    <cellStyle name="표준 5 2 3 30 2 3 2 2" xfId="45925"/>
    <cellStyle name="표준 5 2 3 30 2 3 3" xfId="33253"/>
    <cellStyle name="표준 5 2 3 30 2 4" xfId="14237"/>
    <cellStyle name="표준 5 2 3 30 2 4 2" xfId="39589"/>
    <cellStyle name="표준 5 2 3 30 2 5" xfId="26917"/>
    <cellStyle name="표준 5 2 3 30 2 6" xfId="53712"/>
    <cellStyle name="표준 5 2 3 30 3" xfId="4692"/>
    <cellStyle name="표준 5 2 3 30 3 2" xfId="11028"/>
    <cellStyle name="표준 5 2 3 30 3 2 2" xfId="23701"/>
    <cellStyle name="표준 5 2 3 30 3 2 2 2" xfId="49053"/>
    <cellStyle name="표준 5 2 3 30 3 2 3" xfId="36381"/>
    <cellStyle name="표준 5 2 3 30 3 3" xfId="17365"/>
    <cellStyle name="표준 5 2 3 30 3 3 2" xfId="42717"/>
    <cellStyle name="표준 5 2 3 30 3 4" xfId="30045"/>
    <cellStyle name="표준 5 2 3 30 3 5" xfId="53713"/>
    <cellStyle name="표준 5 2 3 30 4" xfId="7899"/>
    <cellStyle name="표준 5 2 3 30 4 2" xfId="20572"/>
    <cellStyle name="표준 5 2 3 30 4 2 2" xfId="45924"/>
    <cellStyle name="표준 5 2 3 30 4 3" xfId="33252"/>
    <cellStyle name="표준 5 2 3 30 5" xfId="14236"/>
    <cellStyle name="표준 5 2 3 30 5 2" xfId="39588"/>
    <cellStyle name="표준 5 2 3 30 6" xfId="26916"/>
    <cellStyle name="표준 5 2 3 30 7" xfId="53714"/>
    <cellStyle name="표준 5 2 3 31" xfId="1564"/>
    <cellStyle name="표준 5 2 3 31 2" xfId="1565"/>
    <cellStyle name="표준 5 2 3 31 2 2" xfId="4693"/>
    <cellStyle name="표준 5 2 3 31 2 2 2" xfId="11029"/>
    <cellStyle name="표준 5 2 3 31 2 2 2 2" xfId="23702"/>
    <cellStyle name="표준 5 2 3 31 2 2 2 2 2" xfId="49054"/>
    <cellStyle name="표준 5 2 3 31 2 2 2 3" xfId="36382"/>
    <cellStyle name="표준 5 2 3 31 2 2 3" xfId="17366"/>
    <cellStyle name="표준 5 2 3 31 2 2 3 2" xfId="42718"/>
    <cellStyle name="표준 5 2 3 31 2 2 4" xfId="30046"/>
    <cellStyle name="표준 5 2 3 31 2 2 5" xfId="53715"/>
    <cellStyle name="표준 5 2 3 31 2 3" xfId="7902"/>
    <cellStyle name="표준 5 2 3 31 2 3 2" xfId="20575"/>
    <cellStyle name="표준 5 2 3 31 2 3 2 2" xfId="45927"/>
    <cellStyle name="표준 5 2 3 31 2 3 3" xfId="33255"/>
    <cellStyle name="표준 5 2 3 31 2 4" xfId="14239"/>
    <cellStyle name="표준 5 2 3 31 2 4 2" xfId="39591"/>
    <cellStyle name="표준 5 2 3 31 2 5" xfId="26919"/>
    <cellStyle name="표준 5 2 3 31 2 6" xfId="53716"/>
    <cellStyle name="표준 5 2 3 31 3" xfId="4694"/>
    <cellStyle name="표준 5 2 3 31 3 2" xfId="11030"/>
    <cellStyle name="표준 5 2 3 31 3 2 2" xfId="23703"/>
    <cellStyle name="표준 5 2 3 31 3 2 2 2" xfId="49055"/>
    <cellStyle name="표준 5 2 3 31 3 2 3" xfId="36383"/>
    <cellStyle name="표준 5 2 3 31 3 3" xfId="17367"/>
    <cellStyle name="표준 5 2 3 31 3 3 2" xfId="42719"/>
    <cellStyle name="표준 5 2 3 31 3 4" xfId="30047"/>
    <cellStyle name="표준 5 2 3 31 3 5" xfId="53717"/>
    <cellStyle name="표준 5 2 3 31 4" xfId="7901"/>
    <cellStyle name="표준 5 2 3 31 4 2" xfId="20574"/>
    <cellStyle name="표준 5 2 3 31 4 2 2" xfId="45926"/>
    <cellStyle name="표준 5 2 3 31 4 3" xfId="33254"/>
    <cellStyle name="표준 5 2 3 31 5" xfId="14238"/>
    <cellStyle name="표준 5 2 3 31 5 2" xfId="39590"/>
    <cellStyle name="표준 5 2 3 31 6" xfId="26918"/>
    <cellStyle name="표준 5 2 3 31 7" xfId="53718"/>
    <cellStyle name="표준 5 2 3 32" xfId="1566"/>
    <cellStyle name="표준 5 2 3 32 2" xfId="1567"/>
    <cellStyle name="표준 5 2 3 32 2 2" xfId="4695"/>
    <cellStyle name="표준 5 2 3 32 2 2 2" xfId="11031"/>
    <cellStyle name="표준 5 2 3 32 2 2 2 2" xfId="23704"/>
    <cellStyle name="표준 5 2 3 32 2 2 2 2 2" xfId="49056"/>
    <cellStyle name="표준 5 2 3 32 2 2 2 3" xfId="36384"/>
    <cellStyle name="표준 5 2 3 32 2 2 3" xfId="17368"/>
    <cellStyle name="표준 5 2 3 32 2 2 3 2" xfId="42720"/>
    <cellStyle name="표준 5 2 3 32 2 2 4" xfId="30048"/>
    <cellStyle name="표준 5 2 3 32 2 2 5" xfId="53719"/>
    <cellStyle name="표준 5 2 3 32 2 3" xfId="7904"/>
    <cellStyle name="표준 5 2 3 32 2 3 2" xfId="20577"/>
    <cellStyle name="표준 5 2 3 32 2 3 2 2" xfId="45929"/>
    <cellStyle name="표준 5 2 3 32 2 3 3" xfId="33257"/>
    <cellStyle name="표준 5 2 3 32 2 4" xfId="14241"/>
    <cellStyle name="표준 5 2 3 32 2 4 2" xfId="39593"/>
    <cellStyle name="표준 5 2 3 32 2 5" xfId="26921"/>
    <cellStyle name="표준 5 2 3 32 2 6" xfId="53720"/>
    <cellStyle name="표준 5 2 3 32 3" xfId="4696"/>
    <cellStyle name="표준 5 2 3 32 3 2" xfId="11032"/>
    <cellStyle name="표준 5 2 3 32 3 2 2" xfId="23705"/>
    <cellStyle name="표준 5 2 3 32 3 2 2 2" xfId="49057"/>
    <cellStyle name="표준 5 2 3 32 3 2 3" xfId="36385"/>
    <cellStyle name="표준 5 2 3 32 3 3" xfId="17369"/>
    <cellStyle name="표준 5 2 3 32 3 3 2" xfId="42721"/>
    <cellStyle name="표준 5 2 3 32 3 4" xfId="30049"/>
    <cellStyle name="표준 5 2 3 32 3 5" xfId="53721"/>
    <cellStyle name="표준 5 2 3 32 4" xfId="7903"/>
    <cellStyle name="표준 5 2 3 32 4 2" xfId="20576"/>
    <cellStyle name="표준 5 2 3 32 4 2 2" xfId="45928"/>
    <cellStyle name="표준 5 2 3 32 4 3" xfId="33256"/>
    <cellStyle name="표준 5 2 3 32 5" xfId="14240"/>
    <cellStyle name="표준 5 2 3 32 5 2" xfId="39592"/>
    <cellStyle name="표준 5 2 3 32 6" xfId="26920"/>
    <cellStyle name="표준 5 2 3 32 7" xfId="53722"/>
    <cellStyle name="표준 5 2 3 33" xfId="1568"/>
    <cellStyle name="표준 5 2 3 33 2" xfId="1569"/>
    <cellStyle name="표준 5 2 3 33 2 2" xfId="4697"/>
    <cellStyle name="표준 5 2 3 33 2 2 2" xfId="11033"/>
    <cellStyle name="표준 5 2 3 33 2 2 2 2" xfId="23706"/>
    <cellStyle name="표준 5 2 3 33 2 2 2 2 2" xfId="49058"/>
    <cellStyle name="표준 5 2 3 33 2 2 2 3" xfId="36386"/>
    <cellStyle name="표준 5 2 3 33 2 2 3" xfId="17370"/>
    <cellStyle name="표준 5 2 3 33 2 2 3 2" xfId="42722"/>
    <cellStyle name="표준 5 2 3 33 2 2 4" xfId="30050"/>
    <cellStyle name="표준 5 2 3 33 2 2 5" xfId="53723"/>
    <cellStyle name="표준 5 2 3 33 2 3" xfId="7906"/>
    <cellStyle name="표준 5 2 3 33 2 3 2" xfId="20579"/>
    <cellStyle name="표준 5 2 3 33 2 3 2 2" xfId="45931"/>
    <cellStyle name="표준 5 2 3 33 2 3 3" xfId="33259"/>
    <cellStyle name="표준 5 2 3 33 2 4" xfId="14243"/>
    <cellStyle name="표준 5 2 3 33 2 4 2" xfId="39595"/>
    <cellStyle name="표준 5 2 3 33 2 5" xfId="26923"/>
    <cellStyle name="표준 5 2 3 33 2 6" xfId="53724"/>
    <cellStyle name="표준 5 2 3 33 3" xfId="4698"/>
    <cellStyle name="표준 5 2 3 33 3 2" xfId="11034"/>
    <cellStyle name="표준 5 2 3 33 3 2 2" xfId="23707"/>
    <cellStyle name="표준 5 2 3 33 3 2 2 2" xfId="49059"/>
    <cellStyle name="표준 5 2 3 33 3 2 3" xfId="36387"/>
    <cellStyle name="표준 5 2 3 33 3 3" xfId="17371"/>
    <cellStyle name="표준 5 2 3 33 3 3 2" xfId="42723"/>
    <cellStyle name="표준 5 2 3 33 3 4" xfId="30051"/>
    <cellStyle name="표준 5 2 3 33 3 5" xfId="53725"/>
    <cellStyle name="표준 5 2 3 33 4" xfId="7905"/>
    <cellStyle name="표준 5 2 3 33 4 2" xfId="20578"/>
    <cellStyle name="표준 5 2 3 33 4 2 2" xfId="45930"/>
    <cellStyle name="표준 5 2 3 33 4 3" xfId="33258"/>
    <cellStyle name="표준 5 2 3 33 5" xfId="14242"/>
    <cellStyle name="표준 5 2 3 33 5 2" xfId="39594"/>
    <cellStyle name="표준 5 2 3 33 6" xfId="26922"/>
    <cellStyle name="표준 5 2 3 33 7" xfId="53726"/>
    <cellStyle name="표준 5 2 3 34" xfId="1570"/>
    <cellStyle name="표준 5 2 3 34 2" xfId="1571"/>
    <cellStyle name="표준 5 2 3 34 2 2" xfId="4699"/>
    <cellStyle name="표준 5 2 3 34 2 2 2" xfId="11035"/>
    <cellStyle name="표준 5 2 3 34 2 2 2 2" xfId="23708"/>
    <cellStyle name="표준 5 2 3 34 2 2 2 2 2" xfId="49060"/>
    <cellStyle name="표준 5 2 3 34 2 2 2 3" xfId="36388"/>
    <cellStyle name="표준 5 2 3 34 2 2 3" xfId="17372"/>
    <cellStyle name="표준 5 2 3 34 2 2 3 2" xfId="42724"/>
    <cellStyle name="표준 5 2 3 34 2 2 4" xfId="30052"/>
    <cellStyle name="표준 5 2 3 34 2 2 5" xfId="53727"/>
    <cellStyle name="표준 5 2 3 34 2 3" xfId="7908"/>
    <cellStyle name="표준 5 2 3 34 2 3 2" xfId="20581"/>
    <cellStyle name="표준 5 2 3 34 2 3 2 2" xfId="45933"/>
    <cellStyle name="표준 5 2 3 34 2 3 3" xfId="33261"/>
    <cellStyle name="표준 5 2 3 34 2 4" xfId="14245"/>
    <cellStyle name="표준 5 2 3 34 2 4 2" xfId="39597"/>
    <cellStyle name="표준 5 2 3 34 2 5" xfId="26925"/>
    <cellStyle name="표준 5 2 3 34 2 6" xfId="53728"/>
    <cellStyle name="표준 5 2 3 34 3" xfId="4700"/>
    <cellStyle name="표준 5 2 3 34 3 2" xfId="11036"/>
    <cellStyle name="표준 5 2 3 34 3 2 2" xfId="23709"/>
    <cellStyle name="표준 5 2 3 34 3 2 2 2" xfId="49061"/>
    <cellStyle name="표준 5 2 3 34 3 2 3" xfId="36389"/>
    <cellStyle name="표준 5 2 3 34 3 3" xfId="17373"/>
    <cellStyle name="표준 5 2 3 34 3 3 2" xfId="42725"/>
    <cellStyle name="표준 5 2 3 34 3 4" xfId="30053"/>
    <cellStyle name="표준 5 2 3 34 3 5" xfId="53729"/>
    <cellStyle name="표준 5 2 3 34 4" xfId="7907"/>
    <cellStyle name="표준 5 2 3 34 4 2" xfId="20580"/>
    <cellStyle name="표준 5 2 3 34 4 2 2" xfId="45932"/>
    <cellStyle name="표준 5 2 3 34 4 3" xfId="33260"/>
    <cellStyle name="표준 5 2 3 34 5" xfId="14244"/>
    <cellStyle name="표준 5 2 3 34 5 2" xfId="39596"/>
    <cellStyle name="표준 5 2 3 34 6" xfId="26924"/>
    <cellStyle name="표준 5 2 3 34 7" xfId="53730"/>
    <cellStyle name="표준 5 2 3 35" xfId="1572"/>
    <cellStyle name="표준 5 2 3 35 2" xfId="4701"/>
    <cellStyle name="표준 5 2 3 35 2 2" xfId="11037"/>
    <cellStyle name="표준 5 2 3 35 2 2 2" xfId="23710"/>
    <cellStyle name="표준 5 2 3 35 2 2 2 2" xfId="49062"/>
    <cellStyle name="표준 5 2 3 35 2 2 3" xfId="36390"/>
    <cellStyle name="표준 5 2 3 35 2 3" xfId="17374"/>
    <cellStyle name="표준 5 2 3 35 2 3 2" xfId="42726"/>
    <cellStyle name="표준 5 2 3 35 2 4" xfId="30054"/>
    <cellStyle name="표준 5 2 3 35 2 5" xfId="53731"/>
    <cellStyle name="표준 5 2 3 35 3" xfId="7909"/>
    <cellStyle name="표준 5 2 3 35 3 2" xfId="20582"/>
    <cellStyle name="표준 5 2 3 35 3 2 2" xfId="45934"/>
    <cellStyle name="표준 5 2 3 35 3 3" xfId="33262"/>
    <cellStyle name="표준 5 2 3 35 4" xfId="14246"/>
    <cellStyle name="표준 5 2 3 35 4 2" xfId="39598"/>
    <cellStyle name="표준 5 2 3 35 5" xfId="26926"/>
    <cellStyle name="표준 5 2 3 35 6" xfId="53732"/>
    <cellStyle name="표준 5 2 3 36" xfId="4702"/>
    <cellStyle name="표준 5 2 3 36 2" xfId="11038"/>
    <cellStyle name="표준 5 2 3 36 2 2" xfId="23711"/>
    <cellStyle name="표준 5 2 3 36 2 2 2" xfId="49063"/>
    <cellStyle name="표준 5 2 3 36 2 3" xfId="36391"/>
    <cellStyle name="표준 5 2 3 36 3" xfId="17375"/>
    <cellStyle name="표준 5 2 3 36 3 2" xfId="42727"/>
    <cellStyle name="표준 5 2 3 36 4" xfId="30055"/>
    <cellStyle name="표준 5 2 3 36 5" xfId="53733"/>
    <cellStyle name="표준 5 2 3 37" xfId="6387"/>
    <cellStyle name="표준 5 2 3 37 2" xfId="19060"/>
    <cellStyle name="표준 5 2 3 37 2 2" xfId="44412"/>
    <cellStyle name="표준 5 2 3 37 3" xfId="31740"/>
    <cellStyle name="표준 5 2 3 38" xfId="12724"/>
    <cellStyle name="표준 5 2 3 38 2" xfId="38076"/>
    <cellStyle name="표준 5 2 3 39" xfId="25404"/>
    <cellStyle name="표준 5 2 3 4" xfId="1573"/>
    <cellStyle name="표준 5 2 3 4 2" xfId="1574"/>
    <cellStyle name="표준 5 2 3 4 2 2" xfId="4703"/>
    <cellStyle name="표준 5 2 3 4 2 2 2" xfId="11039"/>
    <cellStyle name="표준 5 2 3 4 2 2 2 2" xfId="23712"/>
    <cellStyle name="표준 5 2 3 4 2 2 2 2 2" xfId="49064"/>
    <cellStyle name="표준 5 2 3 4 2 2 2 3" xfId="36392"/>
    <cellStyle name="표준 5 2 3 4 2 2 3" xfId="17376"/>
    <cellStyle name="표준 5 2 3 4 2 2 3 2" xfId="42728"/>
    <cellStyle name="표준 5 2 3 4 2 2 4" xfId="30056"/>
    <cellStyle name="표준 5 2 3 4 2 2 5" xfId="53734"/>
    <cellStyle name="표준 5 2 3 4 2 3" xfId="7911"/>
    <cellStyle name="표준 5 2 3 4 2 3 2" xfId="20584"/>
    <cellStyle name="표준 5 2 3 4 2 3 2 2" xfId="45936"/>
    <cellStyle name="표준 5 2 3 4 2 3 3" xfId="33264"/>
    <cellStyle name="표준 5 2 3 4 2 4" xfId="14248"/>
    <cellStyle name="표준 5 2 3 4 2 4 2" xfId="39600"/>
    <cellStyle name="표준 5 2 3 4 2 5" xfId="26928"/>
    <cellStyle name="표준 5 2 3 4 2 6" xfId="53735"/>
    <cellStyle name="표준 5 2 3 4 3" xfId="4704"/>
    <cellStyle name="표준 5 2 3 4 3 2" xfId="11040"/>
    <cellStyle name="표준 5 2 3 4 3 2 2" xfId="23713"/>
    <cellStyle name="표준 5 2 3 4 3 2 2 2" xfId="49065"/>
    <cellStyle name="표준 5 2 3 4 3 2 3" xfId="36393"/>
    <cellStyle name="표준 5 2 3 4 3 3" xfId="17377"/>
    <cellStyle name="표준 5 2 3 4 3 3 2" xfId="42729"/>
    <cellStyle name="표준 5 2 3 4 3 4" xfId="30057"/>
    <cellStyle name="표준 5 2 3 4 3 5" xfId="53736"/>
    <cellStyle name="표준 5 2 3 4 4" xfId="7910"/>
    <cellStyle name="표준 5 2 3 4 4 2" xfId="20583"/>
    <cellStyle name="표준 5 2 3 4 4 2 2" xfId="45935"/>
    <cellStyle name="표준 5 2 3 4 4 3" xfId="33263"/>
    <cellStyle name="표준 5 2 3 4 5" xfId="14247"/>
    <cellStyle name="표준 5 2 3 4 5 2" xfId="39599"/>
    <cellStyle name="표준 5 2 3 4 6" xfId="26927"/>
    <cellStyle name="표준 5 2 3 4 7" xfId="53737"/>
    <cellStyle name="표준 5 2 3 40" xfId="53738"/>
    <cellStyle name="표준 5 2 3 5" xfId="1575"/>
    <cellStyle name="표준 5 2 3 5 2" xfId="1576"/>
    <cellStyle name="표준 5 2 3 5 2 2" xfId="4705"/>
    <cellStyle name="표준 5 2 3 5 2 2 2" xfId="11041"/>
    <cellStyle name="표준 5 2 3 5 2 2 2 2" xfId="23714"/>
    <cellStyle name="표준 5 2 3 5 2 2 2 2 2" xfId="49066"/>
    <cellStyle name="표준 5 2 3 5 2 2 2 3" xfId="36394"/>
    <cellStyle name="표준 5 2 3 5 2 2 3" xfId="17378"/>
    <cellStyle name="표준 5 2 3 5 2 2 3 2" xfId="42730"/>
    <cellStyle name="표준 5 2 3 5 2 2 4" xfId="30058"/>
    <cellStyle name="표준 5 2 3 5 2 2 5" xfId="53739"/>
    <cellStyle name="표준 5 2 3 5 2 3" xfId="7913"/>
    <cellStyle name="표준 5 2 3 5 2 3 2" xfId="20586"/>
    <cellStyle name="표준 5 2 3 5 2 3 2 2" xfId="45938"/>
    <cellStyle name="표준 5 2 3 5 2 3 3" xfId="33266"/>
    <cellStyle name="표준 5 2 3 5 2 4" xfId="14250"/>
    <cellStyle name="표준 5 2 3 5 2 4 2" xfId="39602"/>
    <cellStyle name="표준 5 2 3 5 2 5" xfId="26930"/>
    <cellStyle name="표준 5 2 3 5 2 6" xfId="53740"/>
    <cellStyle name="표준 5 2 3 5 3" xfId="4706"/>
    <cellStyle name="표준 5 2 3 5 3 2" xfId="11042"/>
    <cellStyle name="표준 5 2 3 5 3 2 2" xfId="23715"/>
    <cellStyle name="표준 5 2 3 5 3 2 2 2" xfId="49067"/>
    <cellStyle name="표준 5 2 3 5 3 2 3" xfId="36395"/>
    <cellStyle name="표준 5 2 3 5 3 3" xfId="17379"/>
    <cellStyle name="표준 5 2 3 5 3 3 2" xfId="42731"/>
    <cellStyle name="표준 5 2 3 5 3 4" xfId="30059"/>
    <cellStyle name="표준 5 2 3 5 3 5" xfId="53741"/>
    <cellStyle name="표준 5 2 3 5 4" xfId="7912"/>
    <cellStyle name="표준 5 2 3 5 4 2" xfId="20585"/>
    <cellStyle name="표준 5 2 3 5 4 2 2" xfId="45937"/>
    <cellStyle name="표준 5 2 3 5 4 3" xfId="33265"/>
    <cellStyle name="표준 5 2 3 5 5" xfId="14249"/>
    <cellStyle name="표준 5 2 3 5 5 2" xfId="39601"/>
    <cellStyle name="표준 5 2 3 5 6" xfId="26929"/>
    <cellStyle name="표준 5 2 3 5 7" xfId="53742"/>
    <cellStyle name="표준 5 2 3 6" xfId="1577"/>
    <cellStyle name="표준 5 2 3 6 2" xfId="1578"/>
    <cellStyle name="표준 5 2 3 6 2 2" xfId="4707"/>
    <cellStyle name="표준 5 2 3 6 2 2 2" xfId="11043"/>
    <cellStyle name="표준 5 2 3 6 2 2 2 2" xfId="23716"/>
    <cellStyle name="표준 5 2 3 6 2 2 2 2 2" xfId="49068"/>
    <cellStyle name="표준 5 2 3 6 2 2 2 3" xfId="36396"/>
    <cellStyle name="표준 5 2 3 6 2 2 3" xfId="17380"/>
    <cellStyle name="표준 5 2 3 6 2 2 3 2" xfId="42732"/>
    <cellStyle name="표준 5 2 3 6 2 2 4" xfId="30060"/>
    <cellStyle name="표준 5 2 3 6 2 2 5" xfId="53743"/>
    <cellStyle name="표준 5 2 3 6 2 3" xfId="7915"/>
    <cellStyle name="표준 5 2 3 6 2 3 2" xfId="20588"/>
    <cellStyle name="표준 5 2 3 6 2 3 2 2" xfId="45940"/>
    <cellStyle name="표준 5 2 3 6 2 3 3" xfId="33268"/>
    <cellStyle name="표준 5 2 3 6 2 4" xfId="14252"/>
    <cellStyle name="표준 5 2 3 6 2 4 2" xfId="39604"/>
    <cellStyle name="표준 5 2 3 6 2 5" xfId="26932"/>
    <cellStyle name="표준 5 2 3 6 2 6" xfId="53744"/>
    <cellStyle name="표준 5 2 3 6 3" xfId="4708"/>
    <cellStyle name="표준 5 2 3 6 3 2" xfId="11044"/>
    <cellStyle name="표준 5 2 3 6 3 2 2" xfId="23717"/>
    <cellStyle name="표준 5 2 3 6 3 2 2 2" xfId="49069"/>
    <cellStyle name="표준 5 2 3 6 3 2 3" xfId="36397"/>
    <cellStyle name="표준 5 2 3 6 3 3" xfId="17381"/>
    <cellStyle name="표준 5 2 3 6 3 3 2" xfId="42733"/>
    <cellStyle name="표준 5 2 3 6 3 4" xfId="30061"/>
    <cellStyle name="표준 5 2 3 6 3 5" xfId="53745"/>
    <cellStyle name="표준 5 2 3 6 4" xfId="7914"/>
    <cellStyle name="표준 5 2 3 6 4 2" xfId="20587"/>
    <cellStyle name="표준 5 2 3 6 4 2 2" xfId="45939"/>
    <cellStyle name="표준 5 2 3 6 4 3" xfId="33267"/>
    <cellStyle name="표준 5 2 3 6 5" xfId="14251"/>
    <cellStyle name="표준 5 2 3 6 5 2" xfId="39603"/>
    <cellStyle name="표준 5 2 3 6 6" xfId="26931"/>
    <cellStyle name="표준 5 2 3 6 7" xfId="53746"/>
    <cellStyle name="표준 5 2 3 7" xfId="1579"/>
    <cellStyle name="표준 5 2 3 7 2" xfId="1580"/>
    <cellStyle name="표준 5 2 3 7 2 2" xfId="4709"/>
    <cellStyle name="표준 5 2 3 7 2 2 2" xfId="11045"/>
    <cellStyle name="표준 5 2 3 7 2 2 2 2" xfId="23718"/>
    <cellStyle name="표준 5 2 3 7 2 2 2 2 2" xfId="49070"/>
    <cellStyle name="표준 5 2 3 7 2 2 2 3" xfId="36398"/>
    <cellStyle name="표준 5 2 3 7 2 2 3" xfId="17382"/>
    <cellStyle name="표준 5 2 3 7 2 2 3 2" xfId="42734"/>
    <cellStyle name="표준 5 2 3 7 2 2 4" xfId="30062"/>
    <cellStyle name="표준 5 2 3 7 2 2 5" xfId="53747"/>
    <cellStyle name="표준 5 2 3 7 2 3" xfId="7917"/>
    <cellStyle name="표준 5 2 3 7 2 3 2" xfId="20590"/>
    <cellStyle name="표준 5 2 3 7 2 3 2 2" xfId="45942"/>
    <cellStyle name="표준 5 2 3 7 2 3 3" xfId="33270"/>
    <cellStyle name="표준 5 2 3 7 2 4" xfId="14254"/>
    <cellStyle name="표준 5 2 3 7 2 4 2" xfId="39606"/>
    <cellStyle name="표준 5 2 3 7 2 5" xfId="26934"/>
    <cellStyle name="표준 5 2 3 7 2 6" xfId="53748"/>
    <cellStyle name="표준 5 2 3 7 3" xfId="4710"/>
    <cellStyle name="표준 5 2 3 7 3 2" xfId="11046"/>
    <cellStyle name="표준 5 2 3 7 3 2 2" xfId="23719"/>
    <cellStyle name="표준 5 2 3 7 3 2 2 2" xfId="49071"/>
    <cellStyle name="표준 5 2 3 7 3 2 3" xfId="36399"/>
    <cellStyle name="표준 5 2 3 7 3 3" xfId="17383"/>
    <cellStyle name="표준 5 2 3 7 3 3 2" xfId="42735"/>
    <cellStyle name="표준 5 2 3 7 3 4" xfId="30063"/>
    <cellStyle name="표준 5 2 3 7 3 5" xfId="53749"/>
    <cellStyle name="표준 5 2 3 7 4" xfId="7916"/>
    <cellStyle name="표준 5 2 3 7 4 2" xfId="20589"/>
    <cellStyle name="표준 5 2 3 7 4 2 2" xfId="45941"/>
    <cellStyle name="표준 5 2 3 7 4 3" xfId="33269"/>
    <cellStyle name="표준 5 2 3 7 5" xfId="14253"/>
    <cellStyle name="표준 5 2 3 7 5 2" xfId="39605"/>
    <cellStyle name="표준 5 2 3 7 6" xfId="26933"/>
    <cellStyle name="표준 5 2 3 7 7" xfId="53750"/>
    <cellStyle name="표준 5 2 3 8" xfId="1581"/>
    <cellStyle name="표준 5 2 3 8 2" xfId="1582"/>
    <cellStyle name="표준 5 2 3 8 2 2" xfId="4711"/>
    <cellStyle name="표준 5 2 3 8 2 2 2" xfId="11047"/>
    <cellStyle name="표준 5 2 3 8 2 2 2 2" xfId="23720"/>
    <cellStyle name="표준 5 2 3 8 2 2 2 2 2" xfId="49072"/>
    <cellStyle name="표준 5 2 3 8 2 2 2 3" xfId="36400"/>
    <cellStyle name="표준 5 2 3 8 2 2 3" xfId="17384"/>
    <cellStyle name="표준 5 2 3 8 2 2 3 2" xfId="42736"/>
    <cellStyle name="표준 5 2 3 8 2 2 4" xfId="30064"/>
    <cellStyle name="표준 5 2 3 8 2 2 5" xfId="53751"/>
    <cellStyle name="표준 5 2 3 8 2 3" xfId="7919"/>
    <cellStyle name="표준 5 2 3 8 2 3 2" xfId="20592"/>
    <cellStyle name="표준 5 2 3 8 2 3 2 2" xfId="45944"/>
    <cellStyle name="표준 5 2 3 8 2 3 3" xfId="33272"/>
    <cellStyle name="표준 5 2 3 8 2 4" xfId="14256"/>
    <cellStyle name="표준 5 2 3 8 2 4 2" xfId="39608"/>
    <cellStyle name="표준 5 2 3 8 2 5" xfId="26936"/>
    <cellStyle name="표준 5 2 3 8 2 6" xfId="53752"/>
    <cellStyle name="표준 5 2 3 8 3" xfId="4712"/>
    <cellStyle name="표준 5 2 3 8 3 2" xfId="11048"/>
    <cellStyle name="표준 5 2 3 8 3 2 2" xfId="23721"/>
    <cellStyle name="표준 5 2 3 8 3 2 2 2" xfId="49073"/>
    <cellStyle name="표준 5 2 3 8 3 2 3" xfId="36401"/>
    <cellStyle name="표준 5 2 3 8 3 3" xfId="17385"/>
    <cellStyle name="표준 5 2 3 8 3 3 2" xfId="42737"/>
    <cellStyle name="표준 5 2 3 8 3 4" xfId="30065"/>
    <cellStyle name="표준 5 2 3 8 3 5" xfId="53753"/>
    <cellStyle name="표준 5 2 3 8 4" xfId="7918"/>
    <cellStyle name="표준 5 2 3 8 4 2" xfId="20591"/>
    <cellStyle name="표준 5 2 3 8 4 2 2" xfId="45943"/>
    <cellStyle name="표준 5 2 3 8 4 3" xfId="33271"/>
    <cellStyle name="표준 5 2 3 8 5" xfId="14255"/>
    <cellStyle name="표준 5 2 3 8 5 2" xfId="39607"/>
    <cellStyle name="표준 5 2 3 8 6" xfId="26935"/>
    <cellStyle name="표준 5 2 3 8 7" xfId="53754"/>
    <cellStyle name="표준 5 2 3 9" xfId="1583"/>
    <cellStyle name="표준 5 2 3 9 2" xfId="1584"/>
    <cellStyle name="표준 5 2 3 9 2 2" xfId="4713"/>
    <cellStyle name="표준 5 2 3 9 2 2 2" xfId="11049"/>
    <cellStyle name="표준 5 2 3 9 2 2 2 2" xfId="23722"/>
    <cellStyle name="표준 5 2 3 9 2 2 2 2 2" xfId="49074"/>
    <cellStyle name="표준 5 2 3 9 2 2 2 3" xfId="36402"/>
    <cellStyle name="표준 5 2 3 9 2 2 3" xfId="17386"/>
    <cellStyle name="표준 5 2 3 9 2 2 3 2" xfId="42738"/>
    <cellStyle name="표준 5 2 3 9 2 2 4" xfId="30066"/>
    <cellStyle name="표준 5 2 3 9 2 2 5" xfId="53755"/>
    <cellStyle name="표준 5 2 3 9 2 3" xfId="7921"/>
    <cellStyle name="표준 5 2 3 9 2 3 2" xfId="20594"/>
    <cellStyle name="표준 5 2 3 9 2 3 2 2" xfId="45946"/>
    <cellStyle name="표준 5 2 3 9 2 3 3" xfId="33274"/>
    <cellStyle name="표준 5 2 3 9 2 4" xfId="14258"/>
    <cellStyle name="표준 5 2 3 9 2 4 2" xfId="39610"/>
    <cellStyle name="표준 5 2 3 9 2 5" xfId="26938"/>
    <cellStyle name="표준 5 2 3 9 2 6" xfId="53756"/>
    <cellStyle name="표준 5 2 3 9 3" xfId="4714"/>
    <cellStyle name="표준 5 2 3 9 3 2" xfId="11050"/>
    <cellStyle name="표준 5 2 3 9 3 2 2" xfId="23723"/>
    <cellStyle name="표준 5 2 3 9 3 2 2 2" xfId="49075"/>
    <cellStyle name="표준 5 2 3 9 3 2 3" xfId="36403"/>
    <cellStyle name="표준 5 2 3 9 3 3" xfId="17387"/>
    <cellStyle name="표준 5 2 3 9 3 3 2" xfId="42739"/>
    <cellStyle name="표준 5 2 3 9 3 4" xfId="30067"/>
    <cellStyle name="표준 5 2 3 9 3 5" xfId="53757"/>
    <cellStyle name="표준 5 2 3 9 4" xfId="7920"/>
    <cellStyle name="표준 5 2 3 9 4 2" xfId="20593"/>
    <cellStyle name="표준 5 2 3 9 4 2 2" xfId="45945"/>
    <cellStyle name="표준 5 2 3 9 4 3" xfId="33273"/>
    <cellStyle name="표준 5 2 3 9 5" xfId="14257"/>
    <cellStyle name="표준 5 2 3 9 5 2" xfId="39609"/>
    <cellStyle name="표준 5 2 3 9 6" xfId="26937"/>
    <cellStyle name="표준 5 2 3 9 7" xfId="53758"/>
    <cellStyle name="표준 5 2 30" xfId="1585"/>
    <cellStyle name="표준 5 2 30 2" xfId="1586"/>
    <cellStyle name="표준 5 2 30 2 2" xfId="4715"/>
    <cellStyle name="표준 5 2 30 2 2 2" xfId="11051"/>
    <cellStyle name="표준 5 2 30 2 2 2 2" xfId="23724"/>
    <cellStyle name="표준 5 2 30 2 2 2 2 2" xfId="49076"/>
    <cellStyle name="표준 5 2 30 2 2 2 3" xfId="36404"/>
    <cellStyle name="표준 5 2 30 2 2 3" xfId="17388"/>
    <cellStyle name="표준 5 2 30 2 2 3 2" xfId="42740"/>
    <cellStyle name="표준 5 2 30 2 2 4" xfId="30068"/>
    <cellStyle name="표준 5 2 30 2 2 5" xfId="53759"/>
    <cellStyle name="표준 5 2 30 2 3" xfId="7923"/>
    <cellStyle name="표준 5 2 30 2 3 2" xfId="20596"/>
    <cellStyle name="표준 5 2 30 2 3 2 2" xfId="45948"/>
    <cellStyle name="표준 5 2 30 2 3 3" xfId="33276"/>
    <cellStyle name="표준 5 2 30 2 4" xfId="14260"/>
    <cellStyle name="표준 5 2 30 2 4 2" xfId="39612"/>
    <cellStyle name="표준 5 2 30 2 5" xfId="26940"/>
    <cellStyle name="표준 5 2 30 2 6" xfId="53760"/>
    <cellStyle name="표준 5 2 30 3" xfId="4716"/>
    <cellStyle name="표준 5 2 30 3 2" xfId="11052"/>
    <cellStyle name="표준 5 2 30 3 2 2" xfId="23725"/>
    <cellStyle name="표준 5 2 30 3 2 2 2" xfId="49077"/>
    <cellStyle name="표준 5 2 30 3 2 3" xfId="36405"/>
    <cellStyle name="표준 5 2 30 3 3" xfId="17389"/>
    <cellStyle name="표준 5 2 30 3 3 2" xfId="42741"/>
    <cellStyle name="표준 5 2 30 3 4" xfId="30069"/>
    <cellStyle name="표준 5 2 30 3 5" xfId="53761"/>
    <cellStyle name="표준 5 2 30 4" xfId="7922"/>
    <cellStyle name="표준 5 2 30 4 2" xfId="20595"/>
    <cellStyle name="표준 5 2 30 4 2 2" xfId="45947"/>
    <cellStyle name="표준 5 2 30 4 3" xfId="33275"/>
    <cellStyle name="표준 5 2 30 5" xfId="14259"/>
    <cellStyle name="표준 5 2 30 5 2" xfId="39611"/>
    <cellStyle name="표준 5 2 30 6" xfId="26939"/>
    <cellStyle name="표준 5 2 30 7" xfId="53762"/>
    <cellStyle name="표준 5 2 31" xfId="1587"/>
    <cellStyle name="표준 5 2 31 2" xfId="1588"/>
    <cellStyle name="표준 5 2 31 2 2" xfId="4717"/>
    <cellStyle name="표준 5 2 31 2 2 2" xfId="11053"/>
    <cellStyle name="표준 5 2 31 2 2 2 2" xfId="23726"/>
    <cellStyle name="표준 5 2 31 2 2 2 2 2" xfId="49078"/>
    <cellStyle name="표준 5 2 31 2 2 2 3" xfId="36406"/>
    <cellStyle name="표준 5 2 31 2 2 3" xfId="17390"/>
    <cellStyle name="표준 5 2 31 2 2 3 2" xfId="42742"/>
    <cellStyle name="표준 5 2 31 2 2 4" xfId="30070"/>
    <cellStyle name="표준 5 2 31 2 2 5" xfId="53763"/>
    <cellStyle name="표준 5 2 31 2 3" xfId="7925"/>
    <cellStyle name="표준 5 2 31 2 3 2" xfId="20598"/>
    <cellStyle name="표준 5 2 31 2 3 2 2" xfId="45950"/>
    <cellStyle name="표준 5 2 31 2 3 3" xfId="33278"/>
    <cellStyle name="표준 5 2 31 2 4" xfId="14262"/>
    <cellStyle name="표준 5 2 31 2 4 2" xfId="39614"/>
    <cellStyle name="표준 5 2 31 2 5" xfId="26942"/>
    <cellStyle name="표준 5 2 31 2 6" xfId="53764"/>
    <cellStyle name="표준 5 2 31 3" xfId="4718"/>
    <cellStyle name="표준 5 2 31 3 2" xfId="11054"/>
    <cellStyle name="표준 5 2 31 3 2 2" xfId="23727"/>
    <cellStyle name="표준 5 2 31 3 2 2 2" xfId="49079"/>
    <cellStyle name="표준 5 2 31 3 2 3" xfId="36407"/>
    <cellStyle name="표준 5 2 31 3 3" xfId="17391"/>
    <cellStyle name="표준 5 2 31 3 3 2" xfId="42743"/>
    <cellStyle name="표준 5 2 31 3 4" xfId="30071"/>
    <cellStyle name="표준 5 2 31 3 5" xfId="53765"/>
    <cellStyle name="표준 5 2 31 4" xfId="7924"/>
    <cellStyle name="표준 5 2 31 4 2" xfId="20597"/>
    <cellStyle name="표준 5 2 31 4 2 2" xfId="45949"/>
    <cellStyle name="표준 5 2 31 4 3" xfId="33277"/>
    <cellStyle name="표준 5 2 31 5" xfId="14261"/>
    <cellStyle name="표준 5 2 31 5 2" xfId="39613"/>
    <cellStyle name="표준 5 2 31 6" xfId="26941"/>
    <cellStyle name="표준 5 2 31 7" xfId="53766"/>
    <cellStyle name="표준 5 2 32" xfId="1589"/>
    <cellStyle name="표준 5 2 32 2" xfId="1590"/>
    <cellStyle name="표준 5 2 32 2 2" xfId="4719"/>
    <cellStyle name="표준 5 2 32 2 2 2" xfId="11055"/>
    <cellStyle name="표준 5 2 32 2 2 2 2" xfId="23728"/>
    <cellStyle name="표준 5 2 32 2 2 2 2 2" xfId="49080"/>
    <cellStyle name="표준 5 2 32 2 2 2 3" xfId="36408"/>
    <cellStyle name="표준 5 2 32 2 2 3" xfId="17392"/>
    <cellStyle name="표준 5 2 32 2 2 3 2" xfId="42744"/>
    <cellStyle name="표준 5 2 32 2 2 4" xfId="30072"/>
    <cellStyle name="표준 5 2 32 2 2 5" xfId="53767"/>
    <cellStyle name="표준 5 2 32 2 3" xfId="7927"/>
    <cellStyle name="표준 5 2 32 2 3 2" xfId="20600"/>
    <cellStyle name="표준 5 2 32 2 3 2 2" xfId="45952"/>
    <cellStyle name="표준 5 2 32 2 3 3" xfId="33280"/>
    <cellStyle name="표준 5 2 32 2 4" xfId="14264"/>
    <cellStyle name="표준 5 2 32 2 4 2" xfId="39616"/>
    <cellStyle name="표준 5 2 32 2 5" xfId="26944"/>
    <cellStyle name="표준 5 2 32 2 6" xfId="53768"/>
    <cellStyle name="표준 5 2 32 3" xfId="4720"/>
    <cellStyle name="표준 5 2 32 3 2" xfId="11056"/>
    <cellStyle name="표준 5 2 32 3 2 2" xfId="23729"/>
    <cellStyle name="표준 5 2 32 3 2 2 2" xfId="49081"/>
    <cellStyle name="표준 5 2 32 3 2 3" xfId="36409"/>
    <cellStyle name="표준 5 2 32 3 3" xfId="17393"/>
    <cellStyle name="표준 5 2 32 3 3 2" xfId="42745"/>
    <cellStyle name="표준 5 2 32 3 4" xfId="30073"/>
    <cellStyle name="표준 5 2 32 3 5" xfId="53769"/>
    <cellStyle name="표준 5 2 32 4" xfId="7926"/>
    <cellStyle name="표준 5 2 32 4 2" xfId="20599"/>
    <cellStyle name="표준 5 2 32 4 2 2" xfId="45951"/>
    <cellStyle name="표준 5 2 32 4 3" xfId="33279"/>
    <cellStyle name="표준 5 2 32 5" xfId="14263"/>
    <cellStyle name="표준 5 2 32 5 2" xfId="39615"/>
    <cellStyle name="표준 5 2 32 6" xfId="26943"/>
    <cellStyle name="표준 5 2 32 7" xfId="53770"/>
    <cellStyle name="표준 5 2 33" xfId="1591"/>
    <cellStyle name="표준 5 2 33 2" xfId="1592"/>
    <cellStyle name="표준 5 2 33 2 2" xfId="4721"/>
    <cellStyle name="표준 5 2 33 2 2 2" xfId="11057"/>
    <cellStyle name="표준 5 2 33 2 2 2 2" xfId="23730"/>
    <cellStyle name="표준 5 2 33 2 2 2 2 2" xfId="49082"/>
    <cellStyle name="표준 5 2 33 2 2 2 3" xfId="36410"/>
    <cellStyle name="표준 5 2 33 2 2 3" xfId="17394"/>
    <cellStyle name="표준 5 2 33 2 2 3 2" xfId="42746"/>
    <cellStyle name="표준 5 2 33 2 2 4" xfId="30074"/>
    <cellStyle name="표준 5 2 33 2 2 5" xfId="53771"/>
    <cellStyle name="표준 5 2 33 2 3" xfId="7929"/>
    <cellStyle name="표준 5 2 33 2 3 2" xfId="20602"/>
    <cellStyle name="표준 5 2 33 2 3 2 2" xfId="45954"/>
    <cellStyle name="표준 5 2 33 2 3 3" xfId="33282"/>
    <cellStyle name="표준 5 2 33 2 4" xfId="14266"/>
    <cellStyle name="표준 5 2 33 2 4 2" xfId="39618"/>
    <cellStyle name="표준 5 2 33 2 5" xfId="26946"/>
    <cellStyle name="표준 5 2 33 2 6" xfId="53772"/>
    <cellStyle name="표준 5 2 33 3" xfId="4722"/>
    <cellStyle name="표준 5 2 33 3 2" xfId="11058"/>
    <cellStyle name="표준 5 2 33 3 2 2" xfId="23731"/>
    <cellStyle name="표준 5 2 33 3 2 2 2" xfId="49083"/>
    <cellStyle name="표준 5 2 33 3 2 3" xfId="36411"/>
    <cellStyle name="표준 5 2 33 3 3" xfId="17395"/>
    <cellStyle name="표준 5 2 33 3 3 2" xfId="42747"/>
    <cellStyle name="표준 5 2 33 3 4" xfId="30075"/>
    <cellStyle name="표준 5 2 33 3 5" xfId="53773"/>
    <cellStyle name="표준 5 2 33 4" xfId="7928"/>
    <cellStyle name="표준 5 2 33 4 2" xfId="20601"/>
    <cellStyle name="표준 5 2 33 4 2 2" xfId="45953"/>
    <cellStyle name="표준 5 2 33 4 3" xfId="33281"/>
    <cellStyle name="표준 5 2 33 5" xfId="14265"/>
    <cellStyle name="표준 5 2 33 5 2" xfId="39617"/>
    <cellStyle name="표준 5 2 33 6" xfId="26945"/>
    <cellStyle name="표준 5 2 33 7" xfId="53774"/>
    <cellStyle name="표준 5 2 34" xfId="1593"/>
    <cellStyle name="표준 5 2 34 2" xfId="1594"/>
    <cellStyle name="표준 5 2 34 2 2" xfId="4723"/>
    <cellStyle name="표준 5 2 34 2 2 2" xfId="11059"/>
    <cellStyle name="표준 5 2 34 2 2 2 2" xfId="23732"/>
    <cellStyle name="표준 5 2 34 2 2 2 2 2" xfId="49084"/>
    <cellStyle name="표준 5 2 34 2 2 2 3" xfId="36412"/>
    <cellStyle name="표준 5 2 34 2 2 3" xfId="17396"/>
    <cellStyle name="표준 5 2 34 2 2 3 2" xfId="42748"/>
    <cellStyle name="표준 5 2 34 2 2 4" xfId="30076"/>
    <cellStyle name="표준 5 2 34 2 2 5" xfId="53775"/>
    <cellStyle name="표준 5 2 34 2 3" xfId="7931"/>
    <cellStyle name="표준 5 2 34 2 3 2" xfId="20604"/>
    <cellStyle name="표준 5 2 34 2 3 2 2" xfId="45956"/>
    <cellStyle name="표준 5 2 34 2 3 3" xfId="33284"/>
    <cellStyle name="표준 5 2 34 2 4" xfId="14268"/>
    <cellStyle name="표준 5 2 34 2 4 2" xfId="39620"/>
    <cellStyle name="표준 5 2 34 2 5" xfId="26948"/>
    <cellStyle name="표준 5 2 34 2 6" xfId="53776"/>
    <cellStyle name="표준 5 2 34 3" xfId="4724"/>
    <cellStyle name="표준 5 2 34 3 2" xfId="11060"/>
    <cellStyle name="표준 5 2 34 3 2 2" xfId="23733"/>
    <cellStyle name="표준 5 2 34 3 2 2 2" xfId="49085"/>
    <cellStyle name="표준 5 2 34 3 2 3" xfId="36413"/>
    <cellStyle name="표준 5 2 34 3 3" xfId="17397"/>
    <cellStyle name="표준 5 2 34 3 3 2" xfId="42749"/>
    <cellStyle name="표준 5 2 34 3 4" xfId="30077"/>
    <cellStyle name="표준 5 2 34 3 5" xfId="53777"/>
    <cellStyle name="표준 5 2 34 4" xfId="7930"/>
    <cellStyle name="표준 5 2 34 4 2" xfId="20603"/>
    <cellStyle name="표준 5 2 34 4 2 2" xfId="45955"/>
    <cellStyle name="표준 5 2 34 4 3" xfId="33283"/>
    <cellStyle name="표준 5 2 34 5" xfId="14267"/>
    <cellStyle name="표준 5 2 34 5 2" xfId="39619"/>
    <cellStyle name="표준 5 2 34 6" xfId="26947"/>
    <cellStyle name="표준 5 2 34 7" xfId="53778"/>
    <cellStyle name="표준 5 2 35" xfId="1595"/>
    <cellStyle name="표준 5 2 35 2" xfId="1596"/>
    <cellStyle name="표준 5 2 35 2 2" xfId="4725"/>
    <cellStyle name="표준 5 2 35 2 2 2" xfId="11061"/>
    <cellStyle name="표준 5 2 35 2 2 2 2" xfId="23734"/>
    <cellStyle name="표준 5 2 35 2 2 2 2 2" xfId="49086"/>
    <cellStyle name="표준 5 2 35 2 2 2 3" xfId="36414"/>
    <cellStyle name="표준 5 2 35 2 2 3" xfId="17398"/>
    <cellStyle name="표준 5 2 35 2 2 3 2" xfId="42750"/>
    <cellStyle name="표준 5 2 35 2 2 4" xfId="30078"/>
    <cellStyle name="표준 5 2 35 2 2 5" xfId="53779"/>
    <cellStyle name="표준 5 2 35 2 3" xfId="7933"/>
    <cellStyle name="표준 5 2 35 2 3 2" xfId="20606"/>
    <cellStyle name="표준 5 2 35 2 3 2 2" xfId="45958"/>
    <cellStyle name="표준 5 2 35 2 3 3" xfId="33286"/>
    <cellStyle name="표준 5 2 35 2 4" xfId="14270"/>
    <cellStyle name="표준 5 2 35 2 4 2" xfId="39622"/>
    <cellStyle name="표준 5 2 35 2 5" xfId="26950"/>
    <cellStyle name="표준 5 2 35 2 6" xfId="53780"/>
    <cellStyle name="표준 5 2 35 3" xfId="4726"/>
    <cellStyle name="표준 5 2 35 3 2" xfId="11062"/>
    <cellStyle name="표준 5 2 35 3 2 2" xfId="23735"/>
    <cellStyle name="표준 5 2 35 3 2 2 2" xfId="49087"/>
    <cellStyle name="표준 5 2 35 3 2 3" xfId="36415"/>
    <cellStyle name="표준 5 2 35 3 3" xfId="17399"/>
    <cellStyle name="표준 5 2 35 3 3 2" xfId="42751"/>
    <cellStyle name="표준 5 2 35 3 4" xfId="30079"/>
    <cellStyle name="표준 5 2 35 3 5" xfId="53781"/>
    <cellStyle name="표준 5 2 35 4" xfId="7932"/>
    <cellStyle name="표준 5 2 35 4 2" xfId="20605"/>
    <cellStyle name="표준 5 2 35 4 2 2" xfId="45957"/>
    <cellStyle name="표준 5 2 35 4 3" xfId="33285"/>
    <cellStyle name="표준 5 2 35 5" xfId="14269"/>
    <cellStyle name="표준 5 2 35 5 2" xfId="39621"/>
    <cellStyle name="표준 5 2 35 6" xfId="26949"/>
    <cellStyle name="표준 5 2 35 7" xfId="53782"/>
    <cellStyle name="표준 5 2 36" xfId="1597"/>
    <cellStyle name="표준 5 2 36 2" xfId="1598"/>
    <cellStyle name="표준 5 2 36 2 2" xfId="4727"/>
    <cellStyle name="표준 5 2 36 2 2 2" xfId="11063"/>
    <cellStyle name="표준 5 2 36 2 2 2 2" xfId="23736"/>
    <cellStyle name="표준 5 2 36 2 2 2 2 2" xfId="49088"/>
    <cellStyle name="표준 5 2 36 2 2 2 3" xfId="36416"/>
    <cellStyle name="표준 5 2 36 2 2 3" xfId="17400"/>
    <cellStyle name="표준 5 2 36 2 2 3 2" xfId="42752"/>
    <cellStyle name="표준 5 2 36 2 2 4" xfId="30080"/>
    <cellStyle name="표준 5 2 36 2 2 5" xfId="53783"/>
    <cellStyle name="표준 5 2 36 2 3" xfId="7935"/>
    <cellStyle name="표준 5 2 36 2 3 2" xfId="20608"/>
    <cellStyle name="표준 5 2 36 2 3 2 2" xfId="45960"/>
    <cellStyle name="표준 5 2 36 2 3 3" xfId="33288"/>
    <cellStyle name="표준 5 2 36 2 4" xfId="14272"/>
    <cellStyle name="표준 5 2 36 2 4 2" xfId="39624"/>
    <cellStyle name="표준 5 2 36 2 5" xfId="26952"/>
    <cellStyle name="표준 5 2 36 2 6" xfId="53784"/>
    <cellStyle name="표준 5 2 36 3" xfId="4728"/>
    <cellStyle name="표준 5 2 36 3 2" xfId="11064"/>
    <cellStyle name="표준 5 2 36 3 2 2" xfId="23737"/>
    <cellStyle name="표준 5 2 36 3 2 2 2" xfId="49089"/>
    <cellStyle name="표준 5 2 36 3 2 3" xfId="36417"/>
    <cellStyle name="표준 5 2 36 3 3" xfId="17401"/>
    <cellStyle name="표준 5 2 36 3 3 2" xfId="42753"/>
    <cellStyle name="표준 5 2 36 3 4" xfId="30081"/>
    <cellStyle name="표준 5 2 36 3 5" xfId="53785"/>
    <cellStyle name="표준 5 2 36 4" xfId="7934"/>
    <cellStyle name="표준 5 2 36 4 2" xfId="20607"/>
    <cellStyle name="표준 5 2 36 4 2 2" xfId="45959"/>
    <cellStyle name="표준 5 2 36 4 3" xfId="33287"/>
    <cellStyle name="표준 5 2 36 5" xfId="14271"/>
    <cellStyle name="표준 5 2 36 5 2" xfId="39623"/>
    <cellStyle name="표준 5 2 36 6" xfId="26951"/>
    <cellStyle name="표준 5 2 36 7" xfId="53786"/>
    <cellStyle name="표준 5 2 37" xfId="1599"/>
    <cellStyle name="표준 5 2 37 2" xfId="4729"/>
    <cellStyle name="표준 5 2 37 2 2" xfId="11065"/>
    <cellStyle name="표준 5 2 37 2 2 2" xfId="23738"/>
    <cellStyle name="표준 5 2 37 2 2 2 2" xfId="49090"/>
    <cellStyle name="표준 5 2 37 2 2 3" xfId="36418"/>
    <cellStyle name="표준 5 2 37 2 3" xfId="17402"/>
    <cellStyle name="표준 5 2 37 2 3 2" xfId="42754"/>
    <cellStyle name="표준 5 2 37 2 4" xfId="30082"/>
    <cellStyle name="표준 5 2 37 2 5" xfId="53787"/>
    <cellStyle name="표준 5 2 37 3" xfId="7936"/>
    <cellStyle name="표준 5 2 37 3 2" xfId="20609"/>
    <cellStyle name="표준 5 2 37 3 2 2" xfId="45961"/>
    <cellStyle name="표준 5 2 37 3 3" xfId="33289"/>
    <cellStyle name="표준 5 2 37 4" xfId="14273"/>
    <cellStyle name="표준 5 2 37 4 2" xfId="39625"/>
    <cellStyle name="표준 5 2 37 5" xfId="26953"/>
    <cellStyle name="표준 5 2 37 6" xfId="53788"/>
    <cellStyle name="표준 5 2 38" xfId="4730"/>
    <cellStyle name="표준 5 2 38 2" xfId="11066"/>
    <cellStyle name="표준 5 2 38 2 2" xfId="23739"/>
    <cellStyle name="표준 5 2 38 2 2 2" xfId="49091"/>
    <cellStyle name="표준 5 2 38 2 3" xfId="36419"/>
    <cellStyle name="표준 5 2 38 3" xfId="17403"/>
    <cellStyle name="표준 5 2 38 3 2" xfId="42755"/>
    <cellStyle name="표준 5 2 38 4" xfId="30083"/>
    <cellStyle name="표준 5 2 38 5" xfId="53789"/>
    <cellStyle name="표준 5 2 39" xfId="6375"/>
    <cellStyle name="표준 5 2 39 2" xfId="19048"/>
    <cellStyle name="표준 5 2 39 2 2" xfId="44400"/>
    <cellStyle name="표준 5 2 39 3" xfId="31728"/>
    <cellStyle name="표준 5 2 4" xfId="79"/>
    <cellStyle name="표준 5 2 4 10" xfId="1600"/>
    <cellStyle name="표준 5 2 4 10 2" xfId="1601"/>
    <cellStyle name="표준 5 2 4 10 2 2" xfId="4731"/>
    <cellStyle name="표준 5 2 4 10 2 2 2" xfId="11067"/>
    <cellStyle name="표준 5 2 4 10 2 2 2 2" xfId="23740"/>
    <cellStyle name="표준 5 2 4 10 2 2 2 2 2" xfId="49092"/>
    <cellStyle name="표준 5 2 4 10 2 2 2 3" xfId="36420"/>
    <cellStyle name="표준 5 2 4 10 2 2 3" xfId="17404"/>
    <cellStyle name="표준 5 2 4 10 2 2 3 2" xfId="42756"/>
    <cellStyle name="표준 5 2 4 10 2 2 4" xfId="30084"/>
    <cellStyle name="표준 5 2 4 10 2 2 5" xfId="53790"/>
    <cellStyle name="표준 5 2 4 10 2 3" xfId="7938"/>
    <cellStyle name="표준 5 2 4 10 2 3 2" xfId="20611"/>
    <cellStyle name="표준 5 2 4 10 2 3 2 2" xfId="45963"/>
    <cellStyle name="표준 5 2 4 10 2 3 3" xfId="33291"/>
    <cellStyle name="표준 5 2 4 10 2 4" xfId="14275"/>
    <cellStyle name="표준 5 2 4 10 2 4 2" xfId="39627"/>
    <cellStyle name="표준 5 2 4 10 2 5" xfId="26955"/>
    <cellStyle name="표준 5 2 4 10 2 6" xfId="53791"/>
    <cellStyle name="표준 5 2 4 10 3" xfId="4732"/>
    <cellStyle name="표준 5 2 4 10 3 2" xfId="11068"/>
    <cellStyle name="표준 5 2 4 10 3 2 2" xfId="23741"/>
    <cellStyle name="표준 5 2 4 10 3 2 2 2" xfId="49093"/>
    <cellStyle name="표준 5 2 4 10 3 2 3" xfId="36421"/>
    <cellStyle name="표준 5 2 4 10 3 3" xfId="17405"/>
    <cellStyle name="표준 5 2 4 10 3 3 2" xfId="42757"/>
    <cellStyle name="표준 5 2 4 10 3 4" xfId="30085"/>
    <cellStyle name="표준 5 2 4 10 3 5" xfId="53792"/>
    <cellStyle name="표준 5 2 4 10 4" xfId="7937"/>
    <cellStyle name="표준 5 2 4 10 4 2" xfId="20610"/>
    <cellStyle name="표준 5 2 4 10 4 2 2" xfId="45962"/>
    <cellStyle name="표준 5 2 4 10 4 3" xfId="33290"/>
    <cellStyle name="표준 5 2 4 10 5" xfId="14274"/>
    <cellStyle name="표준 5 2 4 10 5 2" xfId="39626"/>
    <cellStyle name="표준 5 2 4 10 6" xfId="26954"/>
    <cellStyle name="표준 5 2 4 10 7" xfId="53793"/>
    <cellStyle name="표준 5 2 4 11" xfId="1602"/>
    <cellStyle name="표준 5 2 4 11 2" xfId="1603"/>
    <cellStyle name="표준 5 2 4 11 2 2" xfId="4733"/>
    <cellStyle name="표준 5 2 4 11 2 2 2" xfId="11069"/>
    <cellStyle name="표준 5 2 4 11 2 2 2 2" xfId="23742"/>
    <cellStyle name="표준 5 2 4 11 2 2 2 2 2" xfId="49094"/>
    <cellStyle name="표준 5 2 4 11 2 2 2 3" xfId="36422"/>
    <cellStyle name="표준 5 2 4 11 2 2 3" xfId="17406"/>
    <cellStyle name="표준 5 2 4 11 2 2 3 2" xfId="42758"/>
    <cellStyle name="표준 5 2 4 11 2 2 4" xfId="30086"/>
    <cellStyle name="표준 5 2 4 11 2 2 5" xfId="53794"/>
    <cellStyle name="표준 5 2 4 11 2 3" xfId="7940"/>
    <cellStyle name="표준 5 2 4 11 2 3 2" xfId="20613"/>
    <cellStyle name="표준 5 2 4 11 2 3 2 2" xfId="45965"/>
    <cellStyle name="표준 5 2 4 11 2 3 3" xfId="33293"/>
    <cellStyle name="표준 5 2 4 11 2 4" xfId="14277"/>
    <cellStyle name="표준 5 2 4 11 2 4 2" xfId="39629"/>
    <cellStyle name="표준 5 2 4 11 2 5" xfId="26957"/>
    <cellStyle name="표준 5 2 4 11 2 6" xfId="53795"/>
    <cellStyle name="표준 5 2 4 11 3" xfId="4734"/>
    <cellStyle name="표준 5 2 4 11 3 2" xfId="11070"/>
    <cellStyle name="표준 5 2 4 11 3 2 2" xfId="23743"/>
    <cellStyle name="표준 5 2 4 11 3 2 2 2" xfId="49095"/>
    <cellStyle name="표준 5 2 4 11 3 2 3" xfId="36423"/>
    <cellStyle name="표준 5 2 4 11 3 3" xfId="17407"/>
    <cellStyle name="표준 5 2 4 11 3 3 2" xfId="42759"/>
    <cellStyle name="표준 5 2 4 11 3 4" xfId="30087"/>
    <cellStyle name="표준 5 2 4 11 3 5" xfId="53796"/>
    <cellStyle name="표준 5 2 4 11 4" xfId="7939"/>
    <cellStyle name="표준 5 2 4 11 4 2" xfId="20612"/>
    <cellStyle name="표준 5 2 4 11 4 2 2" xfId="45964"/>
    <cellStyle name="표준 5 2 4 11 4 3" xfId="33292"/>
    <cellStyle name="표준 5 2 4 11 5" xfId="14276"/>
    <cellStyle name="표준 5 2 4 11 5 2" xfId="39628"/>
    <cellStyle name="표준 5 2 4 11 6" xfId="26956"/>
    <cellStyle name="표준 5 2 4 11 7" xfId="53797"/>
    <cellStyle name="표준 5 2 4 12" xfId="1604"/>
    <cellStyle name="표준 5 2 4 12 2" xfId="1605"/>
    <cellStyle name="표준 5 2 4 12 2 2" xfId="4735"/>
    <cellStyle name="표준 5 2 4 12 2 2 2" xfId="11071"/>
    <cellStyle name="표준 5 2 4 12 2 2 2 2" xfId="23744"/>
    <cellStyle name="표준 5 2 4 12 2 2 2 2 2" xfId="49096"/>
    <cellStyle name="표준 5 2 4 12 2 2 2 3" xfId="36424"/>
    <cellStyle name="표준 5 2 4 12 2 2 3" xfId="17408"/>
    <cellStyle name="표준 5 2 4 12 2 2 3 2" xfId="42760"/>
    <cellStyle name="표준 5 2 4 12 2 2 4" xfId="30088"/>
    <cellStyle name="표준 5 2 4 12 2 2 5" xfId="53798"/>
    <cellStyle name="표준 5 2 4 12 2 3" xfId="7942"/>
    <cellStyle name="표준 5 2 4 12 2 3 2" xfId="20615"/>
    <cellStyle name="표준 5 2 4 12 2 3 2 2" xfId="45967"/>
    <cellStyle name="표준 5 2 4 12 2 3 3" xfId="33295"/>
    <cellStyle name="표준 5 2 4 12 2 4" xfId="14279"/>
    <cellStyle name="표준 5 2 4 12 2 4 2" xfId="39631"/>
    <cellStyle name="표준 5 2 4 12 2 5" xfId="26959"/>
    <cellStyle name="표준 5 2 4 12 2 6" xfId="53799"/>
    <cellStyle name="표준 5 2 4 12 3" xfId="4736"/>
    <cellStyle name="표준 5 2 4 12 3 2" xfId="11072"/>
    <cellStyle name="표준 5 2 4 12 3 2 2" xfId="23745"/>
    <cellStyle name="표준 5 2 4 12 3 2 2 2" xfId="49097"/>
    <cellStyle name="표준 5 2 4 12 3 2 3" xfId="36425"/>
    <cellStyle name="표준 5 2 4 12 3 3" xfId="17409"/>
    <cellStyle name="표준 5 2 4 12 3 3 2" xfId="42761"/>
    <cellStyle name="표준 5 2 4 12 3 4" xfId="30089"/>
    <cellStyle name="표준 5 2 4 12 3 5" xfId="53800"/>
    <cellStyle name="표준 5 2 4 12 4" xfId="7941"/>
    <cellStyle name="표준 5 2 4 12 4 2" xfId="20614"/>
    <cellStyle name="표준 5 2 4 12 4 2 2" xfId="45966"/>
    <cellStyle name="표준 5 2 4 12 4 3" xfId="33294"/>
    <cellStyle name="표준 5 2 4 12 5" xfId="14278"/>
    <cellStyle name="표준 5 2 4 12 5 2" xfId="39630"/>
    <cellStyle name="표준 5 2 4 12 6" xfId="26958"/>
    <cellStyle name="표준 5 2 4 12 7" xfId="53801"/>
    <cellStyle name="표준 5 2 4 13" xfId="1606"/>
    <cellStyle name="표준 5 2 4 13 2" xfId="1607"/>
    <cellStyle name="표준 5 2 4 13 2 2" xfId="4737"/>
    <cellStyle name="표준 5 2 4 13 2 2 2" xfId="11073"/>
    <cellStyle name="표준 5 2 4 13 2 2 2 2" xfId="23746"/>
    <cellStyle name="표준 5 2 4 13 2 2 2 2 2" xfId="49098"/>
    <cellStyle name="표준 5 2 4 13 2 2 2 3" xfId="36426"/>
    <cellStyle name="표준 5 2 4 13 2 2 3" xfId="17410"/>
    <cellStyle name="표준 5 2 4 13 2 2 3 2" xfId="42762"/>
    <cellStyle name="표준 5 2 4 13 2 2 4" xfId="30090"/>
    <cellStyle name="표준 5 2 4 13 2 2 5" xfId="53802"/>
    <cellStyle name="표준 5 2 4 13 2 3" xfId="7944"/>
    <cellStyle name="표준 5 2 4 13 2 3 2" xfId="20617"/>
    <cellStyle name="표준 5 2 4 13 2 3 2 2" xfId="45969"/>
    <cellStyle name="표준 5 2 4 13 2 3 3" xfId="33297"/>
    <cellStyle name="표준 5 2 4 13 2 4" xfId="14281"/>
    <cellStyle name="표준 5 2 4 13 2 4 2" xfId="39633"/>
    <cellStyle name="표준 5 2 4 13 2 5" xfId="26961"/>
    <cellStyle name="표준 5 2 4 13 2 6" xfId="53803"/>
    <cellStyle name="표준 5 2 4 13 3" xfId="4738"/>
    <cellStyle name="표준 5 2 4 13 3 2" xfId="11074"/>
    <cellStyle name="표준 5 2 4 13 3 2 2" xfId="23747"/>
    <cellStyle name="표준 5 2 4 13 3 2 2 2" xfId="49099"/>
    <cellStyle name="표준 5 2 4 13 3 2 3" xfId="36427"/>
    <cellStyle name="표준 5 2 4 13 3 3" xfId="17411"/>
    <cellStyle name="표준 5 2 4 13 3 3 2" xfId="42763"/>
    <cellStyle name="표준 5 2 4 13 3 4" xfId="30091"/>
    <cellStyle name="표준 5 2 4 13 3 5" xfId="53804"/>
    <cellStyle name="표준 5 2 4 13 4" xfId="7943"/>
    <cellStyle name="표준 5 2 4 13 4 2" xfId="20616"/>
    <cellStyle name="표준 5 2 4 13 4 2 2" xfId="45968"/>
    <cellStyle name="표준 5 2 4 13 4 3" xfId="33296"/>
    <cellStyle name="표준 5 2 4 13 5" xfId="14280"/>
    <cellStyle name="표준 5 2 4 13 5 2" xfId="39632"/>
    <cellStyle name="표준 5 2 4 13 6" xfId="26960"/>
    <cellStyle name="표준 5 2 4 13 7" xfId="53805"/>
    <cellStyle name="표준 5 2 4 14" xfId="1608"/>
    <cellStyle name="표준 5 2 4 14 2" xfId="1609"/>
    <cellStyle name="표준 5 2 4 14 2 2" xfId="4739"/>
    <cellStyle name="표준 5 2 4 14 2 2 2" xfId="11075"/>
    <cellStyle name="표준 5 2 4 14 2 2 2 2" xfId="23748"/>
    <cellStyle name="표준 5 2 4 14 2 2 2 2 2" xfId="49100"/>
    <cellStyle name="표준 5 2 4 14 2 2 2 3" xfId="36428"/>
    <cellStyle name="표준 5 2 4 14 2 2 3" xfId="17412"/>
    <cellStyle name="표준 5 2 4 14 2 2 3 2" xfId="42764"/>
    <cellStyle name="표준 5 2 4 14 2 2 4" xfId="30092"/>
    <cellStyle name="표준 5 2 4 14 2 2 5" xfId="53806"/>
    <cellStyle name="표준 5 2 4 14 2 3" xfId="7946"/>
    <cellStyle name="표준 5 2 4 14 2 3 2" xfId="20619"/>
    <cellStyle name="표준 5 2 4 14 2 3 2 2" xfId="45971"/>
    <cellStyle name="표준 5 2 4 14 2 3 3" xfId="33299"/>
    <cellStyle name="표준 5 2 4 14 2 4" xfId="14283"/>
    <cellStyle name="표준 5 2 4 14 2 4 2" xfId="39635"/>
    <cellStyle name="표준 5 2 4 14 2 5" xfId="26963"/>
    <cellStyle name="표준 5 2 4 14 2 6" xfId="53807"/>
    <cellStyle name="표준 5 2 4 14 3" xfId="4740"/>
    <cellStyle name="표준 5 2 4 14 3 2" xfId="11076"/>
    <cellStyle name="표준 5 2 4 14 3 2 2" xfId="23749"/>
    <cellStyle name="표준 5 2 4 14 3 2 2 2" xfId="49101"/>
    <cellStyle name="표준 5 2 4 14 3 2 3" xfId="36429"/>
    <cellStyle name="표준 5 2 4 14 3 3" xfId="17413"/>
    <cellStyle name="표준 5 2 4 14 3 3 2" xfId="42765"/>
    <cellStyle name="표준 5 2 4 14 3 4" xfId="30093"/>
    <cellStyle name="표준 5 2 4 14 3 5" xfId="53808"/>
    <cellStyle name="표준 5 2 4 14 4" xfId="7945"/>
    <cellStyle name="표준 5 2 4 14 4 2" xfId="20618"/>
    <cellStyle name="표준 5 2 4 14 4 2 2" xfId="45970"/>
    <cellStyle name="표준 5 2 4 14 4 3" xfId="33298"/>
    <cellStyle name="표준 5 2 4 14 5" xfId="14282"/>
    <cellStyle name="표준 5 2 4 14 5 2" xfId="39634"/>
    <cellStyle name="표준 5 2 4 14 6" xfId="26962"/>
    <cellStyle name="표준 5 2 4 14 7" xfId="53809"/>
    <cellStyle name="표준 5 2 4 15" xfId="1610"/>
    <cellStyle name="표준 5 2 4 15 2" xfId="1611"/>
    <cellStyle name="표준 5 2 4 15 2 2" xfId="4741"/>
    <cellStyle name="표준 5 2 4 15 2 2 2" xfId="11077"/>
    <cellStyle name="표준 5 2 4 15 2 2 2 2" xfId="23750"/>
    <cellStyle name="표준 5 2 4 15 2 2 2 2 2" xfId="49102"/>
    <cellStyle name="표준 5 2 4 15 2 2 2 3" xfId="36430"/>
    <cellStyle name="표준 5 2 4 15 2 2 3" xfId="17414"/>
    <cellStyle name="표준 5 2 4 15 2 2 3 2" xfId="42766"/>
    <cellStyle name="표준 5 2 4 15 2 2 4" xfId="30094"/>
    <cellStyle name="표준 5 2 4 15 2 2 5" xfId="53810"/>
    <cellStyle name="표준 5 2 4 15 2 3" xfId="7948"/>
    <cellStyle name="표준 5 2 4 15 2 3 2" xfId="20621"/>
    <cellStyle name="표준 5 2 4 15 2 3 2 2" xfId="45973"/>
    <cellStyle name="표준 5 2 4 15 2 3 3" xfId="33301"/>
    <cellStyle name="표준 5 2 4 15 2 4" xfId="14285"/>
    <cellStyle name="표준 5 2 4 15 2 4 2" xfId="39637"/>
    <cellStyle name="표준 5 2 4 15 2 5" xfId="26965"/>
    <cellStyle name="표준 5 2 4 15 2 6" xfId="53811"/>
    <cellStyle name="표준 5 2 4 15 3" xfId="4742"/>
    <cellStyle name="표준 5 2 4 15 3 2" xfId="11078"/>
    <cellStyle name="표준 5 2 4 15 3 2 2" xfId="23751"/>
    <cellStyle name="표준 5 2 4 15 3 2 2 2" xfId="49103"/>
    <cellStyle name="표준 5 2 4 15 3 2 3" xfId="36431"/>
    <cellStyle name="표준 5 2 4 15 3 3" xfId="17415"/>
    <cellStyle name="표준 5 2 4 15 3 3 2" xfId="42767"/>
    <cellStyle name="표준 5 2 4 15 3 4" xfId="30095"/>
    <cellStyle name="표준 5 2 4 15 3 5" xfId="53812"/>
    <cellStyle name="표준 5 2 4 15 4" xfId="7947"/>
    <cellStyle name="표준 5 2 4 15 4 2" xfId="20620"/>
    <cellStyle name="표준 5 2 4 15 4 2 2" xfId="45972"/>
    <cellStyle name="표준 5 2 4 15 4 3" xfId="33300"/>
    <cellStyle name="표준 5 2 4 15 5" xfId="14284"/>
    <cellStyle name="표준 5 2 4 15 5 2" xfId="39636"/>
    <cellStyle name="표준 5 2 4 15 6" xfId="26964"/>
    <cellStyle name="표준 5 2 4 15 7" xfId="53813"/>
    <cellStyle name="표준 5 2 4 16" xfId="1612"/>
    <cellStyle name="표준 5 2 4 16 2" xfId="1613"/>
    <cellStyle name="표준 5 2 4 16 2 2" xfId="4743"/>
    <cellStyle name="표준 5 2 4 16 2 2 2" xfId="11079"/>
    <cellStyle name="표준 5 2 4 16 2 2 2 2" xfId="23752"/>
    <cellStyle name="표준 5 2 4 16 2 2 2 2 2" xfId="49104"/>
    <cellStyle name="표준 5 2 4 16 2 2 2 3" xfId="36432"/>
    <cellStyle name="표준 5 2 4 16 2 2 3" xfId="17416"/>
    <cellStyle name="표준 5 2 4 16 2 2 3 2" xfId="42768"/>
    <cellStyle name="표준 5 2 4 16 2 2 4" xfId="30096"/>
    <cellStyle name="표준 5 2 4 16 2 2 5" xfId="53814"/>
    <cellStyle name="표준 5 2 4 16 2 3" xfId="7950"/>
    <cellStyle name="표준 5 2 4 16 2 3 2" xfId="20623"/>
    <cellStyle name="표준 5 2 4 16 2 3 2 2" xfId="45975"/>
    <cellStyle name="표준 5 2 4 16 2 3 3" xfId="33303"/>
    <cellStyle name="표준 5 2 4 16 2 4" xfId="14287"/>
    <cellStyle name="표준 5 2 4 16 2 4 2" xfId="39639"/>
    <cellStyle name="표준 5 2 4 16 2 5" xfId="26967"/>
    <cellStyle name="표준 5 2 4 16 2 6" xfId="53815"/>
    <cellStyle name="표준 5 2 4 16 3" xfId="4744"/>
    <cellStyle name="표준 5 2 4 16 3 2" xfId="11080"/>
    <cellStyle name="표준 5 2 4 16 3 2 2" xfId="23753"/>
    <cellStyle name="표준 5 2 4 16 3 2 2 2" xfId="49105"/>
    <cellStyle name="표준 5 2 4 16 3 2 3" xfId="36433"/>
    <cellStyle name="표준 5 2 4 16 3 3" xfId="17417"/>
    <cellStyle name="표준 5 2 4 16 3 3 2" xfId="42769"/>
    <cellStyle name="표준 5 2 4 16 3 4" xfId="30097"/>
    <cellStyle name="표준 5 2 4 16 3 5" xfId="53816"/>
    <cellStyle name="표준 5 2 4 16 4" xfId="7949"/>
    <cellStyle name="표준 5 2 4 16 4 2" xfId="20622"/>
    <cellStyle name="표준 5 2 4 16 4 2 2" xfId="45974"/>
    <cellStyle name="표준 5 2 4 16 4 3" xfId="33302"/>
    <cellStyle name="표준 5 2 4 16 5" xfId="14286"/>
    <cellStyle name="표준 5 2 4 16 5 2" xfId="39638"/>
    <cellStyle name="표준 5 2 4 16 6" xfId="26966"/>
    <cellStyle name="표준 5 2 4 16 7" xfId="53817"/>
    <cellStyle name="표준 5 2 4 17" xfId="1614"/>
    <cellStyle name="표준 5 2 4 17 2" xfId="1615"/>
    <cellStyle name="표준 5 2 4 17 2 2" xfId="4745"/>
    <cellStyle name="표준 5 2 4 17 2 2 2" xfId="11081"/>
    <cellStyle name="표준 5 2 4 17 2 2 2 2" xfId="23754"/>
    <cellStyle name="표준 5 2 4 17 2 2 2 2 2" xfId="49106"/>
    <cellStyle name="표준 5 2 4 17 2 2 2 3" xfId="36434"/>
    <cellStyle name="표준 5 2 4 17 2 2 3" xfId="17418"/>
    <cellStyle name="표준 5 2 4 17 2 2 3 2" xfId="42770"/>
    <cellStyle name="표준 5 2 4 17 2 2 4" xfId="30098"/>
    <cellStyle name="표준 5 2 4 17 2 2 5" xfId="53818"/>
    <cellStyle name="표준 5 2 4 17 2 3" xfId="7952"/>
    <cellStyle name="표준 5 2 4 17 2 3 2" xfId="20625"/>
    <cellStyle name="표준 5 2 4 17 2 3 2 2" xfId="45977"/>
    <cellStyle name="표준 5 2 4 17 2 3 3" xfId="33305"/>
    <cellStyle name="표준 5 2 4 17 2 4" xfId="14289"/>
    <cellStyle name="표준 5 2 4 17 2 4 2" xfId="39641"/>
    <cellStyle name="표준 5 2 4 17 2 5" xfId="26969"/>
    <cellStyle name="표준 5 2 4 17 2 6" xfId="53819"/>
    <cellStyle name="표준 5 2 4 17 3" xfId="4746"/>
    <cellStyle name="표준 5 2 4 17 3 2" xfId="11082"/>
    <cellStyle name="표준 5 2 4 17 3 2 2" xfId="23755"/>
    <cellStyle name="표준 5 2 4 17 3 2 2 2" xfId="49107"/>
    <cellStyle name="표준 5 2 4 17 3 2 3" xfId="36435"/>
    <cellStyle name="표준 5 2 4 17 3 3" xfId="17419"/>
    <cellStyle name="표준 5 2 4 17 3 3 2" xfId="42771"/>
    <cellStyle name="표준 5 2 4 17 3 4" xfId="30099"/>
    <cellStyle name="표준 5 2 4 17 3 5" xfId="53820"/>
    <cellStyle name="표준 5 2 4 17 4" xfId="7951"/>
    <cellStyle name="표준 5 2 4 17 4 2" xfId="20624"/>
    <cellStyle name="표준 5 2 4 17 4 2 2" xfId="45976"/>
    <cellStyle name="표준 5 2 4 17 4 3" xfId="33304"/>
    <cellStyle name="표준 5 2 4 17 5" xfId="14288"/>
    <cellStyle name="표준 5 2 4 17 5 2" xfId="39640"/>
    <cellStyle name="표준 5 2 4 17 6" xfId="26968"/>
    <cellStyle name="표준 5 2 4 17 7" xfId="53821"/>
    <cellStyle name="표준 5 2 4 18" xfId="1616"/>
    <cellStyle name="표준 5 2 4 18 2" xfId="1617"/>
    <cellStyle name="표준 5 2 4 18 2 2" xfId="4747"/>
    <cellStyle name="표준 5 2 4 18 2 2 2" xfId="11083"/>
    <cellStyle name="표준 5 2 4 18 2 2 2 2" xfId="23756"/>
    <cellStyle name="표준 5 2 4 18 2 2 2 2 2" xfId="49108"/>
    <cellStyle name="표준 5 2 4 18 2 2 2 3" xfId="36436"/>
    <cellStyle name="표준 5 2 4 18 2 2 3" xfId="17420"/>
    <cellStyle name="표준 5 2 4 18 2 2 3 2" xfId="42772"/>
    <cellStyle name="표준 5 2 4 18 2 2 4" xfId="30100"/>
    <cellStyle name="표준 5 2 4 18 2 2 5" xfId="53822"/>
    <cellStyle name="표준 5 2 4 18 2 3" xfId="7954"/>
    <cellStyle name="표준 5 2 4 18 2 3 2" xfId="20627"/>
    <cellStyle name="표준 5 2 4 18 2 3 2 2" xfId="45979"/>
    <cellStyle name="표준 5 2 4 18 2 3 3" xfId="33307"/>
    <cellStyle name="표준 5 2 4 18 2 4" xfId="14291"/>
    <cellStyle name="표준 5 2 4 18 2 4 2" xfId="39643"/>
    <cellStyle name="표준 5 2 4 18 2 5" xfId="26971"/>
    <cellStyle name="표준 5 2 4 18 2 6" xfId="53823"/>
    <cellStyle name="표준 5 2 4 18 3" xfId="4748"/>
    <cellStyle name="표준 5 2 4 18 3 2" xfId="11084"/>
    <cellStyle name="표준 5 2 4 18 3 2 2" xfId="23757"/>
    <cellStyle name="표준 5 2 4 18 3 2 2 2" xfId="49109"/>
    <cellStyle name="표준 5 2 4 18 3 2 3" xfId="36437"/>
    <cellStyle name="표준 5 2 4 18 3 3" xfId="17421"/>
    <cellStyle name="표준 5 2 4 18 3 3 2" xfId="42773"/>
    <cellStyle name="표준 5 2 4 18 3 4" xfId="30101"/>
    <cellStyle name="표준 5 2 4 18 3 5" xfId="53824"/>
    <cellStyle name="표준 5 2 4 18 4" xfId="7953"/>
    <cellStyle name="표준 5 2 4 18 4 2" xfId="20626"/>
    <cellStyle name="표준 5 2 4 18 4 2 2" xfId="45978"/>
    <cellStyle name="표준 5 2 4 18 4 3" xfId="33306"/>
    <cellStyle name="표준 5 2 4 18 5" xfId="14290"/>
    <cellStyle name="표준 5 2 4 18 5 2" xfId="39642"/>
    <cellStyle name="표준 5 2 4 18 6" xfId="26970"/>
    <cellStyle name="표준 5 2 4 18 7" xfId="53825"/>
    <cellStyle name="표준 5 2 4 19" xfId="1618"/>
    <cellStyle name="표준 5 2 4 19 2" xfId="1619"/>
    <cellStyle name="표준 5 2 4 19 2 2" xfId="4749"/>
    <cellStyle name="표준 5 2 4 19 2 2 2" xfId="11085"/>
    <cellStyle name="표준 5 2 4 19 2 2 2 2" xfId="23758"/>
    <cellStyle name="표준 5 2 4 19 2 2 2 2 2" xfId="49110"/>
    <cellStyle name="표준 5 2 4 19 2 2 2 3" xfId="36438"/>
    <cellStyle name="표준 5 2 4 19 2 2 3" xfId="17422"/>
    <cellStyle name="표준 5 2 4 19 2 2 3 2" xfId="42774"/>
    <cellStyle name="표준 5 2 4 19 2 2 4" xfId="30102"/>
    <cellStyle name="표준 5 2 4 19 2 2 5" xfId="53826"/>
    <cellStyle name="표준 5 2 4 19 2 3" xfId="7956"/>
    <cellStyle name="표준 5 2 4 19 2 3 2" xfId="20629"/>
    <cellStyle name="표준 5 2 4 19 2 3 2 2" xfId="45981"/>
    <cellStyle name="표준 5 2 4 19 2 3 3" xfId="33309"/>
    <cellStyle name="표준 5 2 4 19 2 4" xfId="14293"/>
    <cellStyle name="표준 5 2 4 19 2 4 2" xfId="39645"/>
    <cellStyle name="표준 5 2 4 19 2 5" xfId="26973"/>
    <cellStyle name="표준 5 2 4 19 2 6" xfId="53827"/>
    <cellStyle name="표준 5 2 4 19 3" xfId="4750"/>
    <cellStyle name="표준 5 2 4 19 3 2" xfId="11086"/>
    <cellStyle name="표준 5 2 4 19 3 2 2" xfId="23759"/>
    <cellStyle name="표준 5 2 4 19 3 2 2 2" xfId="49111"/>
    <cellStyle name="표준 5 2 4 19 3 2 3" xfId="36439"/>
    <cellStyle name="표준 5 2 4 19 3 3" xfId="17423"/>
    <cellStyle name="표준 5 2 4 19 3 3 2" xfId="42775"/>
    <cellStyle name="표준 5 2 4 19 3 4" xfId="30103"/>
    <cellStyle name="표준 5 2 4 19 3 5" xfId="53828"/>
    <cellStyle name="표준 5 2 4 19 4" xfId="7955"/>
    <cellStyle name="표준 5 2 4 19 4 2" xfId="20628"/>
    <cellStyle name="표준 5 2 4 19 4 2 2" xfId="45980"/>
    <cellStyle name="표준 5 2 4 19 4 3" xfId="33308"/>
    <cellStyle name="표준 5 2 4 19 5" xfId="14292"/>
    <cellStyle name="표준 5 2 4 19 5 2" xfId="39644"/>
    <cellStyle name="표준 5 2 4 19 6" xfId="26972"/>
    <cellStyle name="표준 5 2 4 19 7" xfId="53829"/>
    <cellStyle name="표준 5 2 4 2" xfId="1620"/>
    <cellStyle name="표준 5 2 4 2 2" xfId="1621"/>
    <cellStyle name="표준 5 2 4 2 2 2" xfId="4751"/>
    <cellStyle name="표준 5 2 4 2 2 2 2" xfId="11087"/>
    <cellStyle name="표준 5 2 4 2 2 2 2 2" xfId="23760"/>
    <cellStyle name="표준 5 2 4 2 2 2 2 2 2" xfId="49112"/>
    <cellStyle name="표준 5 2 4 2 2 2 2 3" xfId="36440"/>
    <cellStyle name="표준 5 2 4 2 2 2 3" xfId="17424"/>
    <cellStyle name="표준 5 2 4 2 2 2 3 2" xfId="42776"/>
    <cellStyle name="표준 5 2 4 2 2 2 4" xfId="30104"/>
    <cellStyle name="표준 5 2 4 2 2 2 5" xfId="53830"/>
    <cellStyle name="표준 5 2 4 2 2 3" xfId="7958"/>
    <cellStyle name="표준 5 2 4 2 2 3 2" xfId="20631"/>
    <cellStyle name="표준 5 2 4 2 2 3 2 2" xfId="45983"/>
    <cellStyle name="표준 5 2 4 2 2 3 3" xfId="33311"/>
    <cellStyle name="표준 5 2 4 2 2 4" xfId="14295"/>
    <cellStyle name="표준 5 2 4 2 2 4 2" xfId="39647"/>
    <cellStyle name="표준 5 2 4 2 2 5" xfId="26975"/>
    <cellStyle name="표준 5 2 4 2 2 6" xfId="53831"/>
    <cellStyle name="표준 5 2 4 2 3" xfId="4752"/>
    <cellStyle name="표준 5 2 4 2 3 2" xfId="11088"/>
    <cellStyle name="표준 5 2 4 2 3 2 2" xfId="23761"/>
    <cellStyle name="표준 5 2 4 2 3 2 2 2" xfId="49113"/>
    <cellStyle name="표준 5 2 4 2 3 2 3" xfId="36441"/>
    <cellStyle name="표준 5 2 4 2 3 3" xfId="17425"/>
    <cellStyle name="표준 5 2 4 2 3 3 2" xfId="42777"/>
    <cellStyle name="표준 5 2 4 2 3 4" xfId="30105"/>
    <cellStyle name="표준 5 2 4 2 3 5" xfId="53832"/>
    <cellStyle name="표준 5 2 4 2 4" xfId="7957"/>
    <cellStyle name="표준 5 2 4 2 4 2" xfId="20630"/>
    <cellStyle name="표준 5 2 4 2 4 2 2" xfId="45982"/>
    <cellStyle name="표준 5 2 4 2 4 3" xfId="33310"/>
    <cellStyle name="표준 5 2 4 2 5" xfId="14294"/>
    <cellStyle name="표준 5 2 4 2 5 2" xfId="39646"/>
    <cellStyle name="표준 5 2 4 2 6" xfId="26974"/>
    <cellStyle name="표준 5 2 4 2 7" xfId="53833"/>
    <cellStyle name="표준 5 2 4 20" xfId="1622"/>
    <cellStyle name="표준 5 2 4 20 2" xfId="1623"/>
    <cellStyle name="표준 5 2 4 20 2 2" xfId="4753"/>
    <cellStyle name="표준 5 2 4 20 2 2 2" xfId="11089"/>
    <cellStyle name="표준 5 2 4 20 2 2 2 2" xfId="23762"/>
    <cellStyle name="표준 5 2 4 20 2 2 2 2 2" xfId="49114"/>
    <cellStyle name="표준 5 2 4 20 2 2 2 3" xfId="36442"/>
    <cellStyle name="표준 5 2 4 20 2 2 3" xfId="17426"/>
    <cellStyle name="표준 5 2 4 20 2 2 3 2" xfId="42778"/>
    <cellStyle name="표준 5 2 4 20 2 2 4" xfId="30106"/>
    <cellStyle name="표준 5 2 4 20 2 2 5" xfId="53834"/>
    <cellStyle name="표준 5 2 4 20 2 3" xfId="7960"/>
    <cellStyle name="표준 5 2 4 20 2 3 2" xfId="20633"/>
    <cellStyle name="표준 5 2 4 20 2 3 2 2" xfId="45985"/>
    <cellStyle name="표준 5 2 4 20 2 3 3" xfId="33313"/>
    <cellStyle name="표준 5 2 4 20 2 4" xfId="14297"/>
    <cellStyle name="표준 5 2 4 20 2 4 2" xfId="39649"/>
    <cellStyle name="표준 5 2 4 20 2 5" xfId="26977"/>
    <cellStyle name="표준 5 2 4 20 2 6" xfId="53835"/>
    <cellStyle name="표준 5 2 4 20 3" xfId="4754"/>
    <cellStyle name="표준 5 2 4 20 3 2" xfId="11090"/>
    <cellStyle name="표준 5 2 4 20 3 2 2" xfId="23763"/>
    <cellStyle name="표준 5 2 4 20 3 2 2 2" xfId="49115"/>
    <cellStyle name="표준 5 2 4 20 3 2 3" xfId="36443"/>
    <cellStyle name="표준 5 2 4 20 3 3" xfId="17427"/>
    <cellStyle name="표준 5 2 4 20 3 3 2" xfId="42779"/>
    <cellStyle name="표준 5 2 4 20 3 4" xfId="30107"/>
    <cellStyle name="표준 5 2 4 20 3 5" xfId="53836"/>
    <cellStyle name="표준 5 2 4 20 4" xfId="7959"/>
    <cellStyle name="표준 5 2 4 20 4 2" xfId="20632"/>
    <cellStyle name="표준 5 2 4 20 4 2 2" xfId="45984"/>
    <cellStyle name="표준 5 2 4 20 4 3" xfId="33312"/>
    <cellStyle name="표준 5 2 4 20 5" xfId="14296"/>
    <cellStyle name="표준 5 2 4 20 5 2" xfId="39648"/>
    <cellStyle name="표준 5 2 4 20 6" xfId="26976"/>
    <cellStyle name="표준 5 2 4 20 7" xfId="53837"/>
    <cellStyle name="표준 5 2 4 21" xfId="1624"/>
    <cellStyle name="표준 5 2 4 21 2" xfId="1625"/>
    <cellStyle name="표준 5 2 4 21 2 2" xfId="4755"/>
    <cellStyle name="표준 5 2 4 21 2 2 2" xfId="11091"/>
    <cellStyle name="표준 5 2 4 21 2 2 2 2" xfId="23764"/>
    <cellStyle name="표준 5 2 4 21 2 2 2 2 2" xfId="49116"/>
    <cellStyle name="표준 5 2 4 21 2 2 2 3" xfId="36444"/>
    <cellStyle name="표준 5 2 4 21 2 2 3" xfId="17428"/>
    <cellStyle name="표준 5 2 4 21 2 2 3 2" xfId="42780"/>
    <cellStyle name="표준 5 2 4 21 2 2 4" xfId="30108"/>
    <cellStyle name="표준 5 2 4 21 2 2 5" xfId="53838"/>
    <cellStyle name="표준 5 2 4 21 2 3" xfId="7962"/>
    <cellStyle name="표준 5 2 4 21 2 3 2" xfId="20635"/>
    <cellStyle name="표준 5 2 4 21 2 3 2 2" xfId="45987"/>
    <cellStyle name="표준 5 2 4 21 2 3 3" xfId="33315"/>
    <cellStyle name="표준 5 2 4 21 2 4" xfId="14299"/>
    <cellStyle name="표준 5 2 4 21 2 4 2" xfId="39651"/>
    <cellStyle name="표준 5 2 4 21 2 5" xfId="26979"/>
    <cellStyle name="표준 5 2 4 21 2 6" xfId="53839"/>
    <cellStyle name="표준 5 2 4 21 3" xfId="4756"/>
    <cellStyle name="표준 5 2 4 21 3 2" xfId="11092"/>
    <cellStyle name="표준 5 2 4 21 3 2 2" xfId="23765"/>
    <cellStyle name="표준 5 2 4 21 3 2 2 2" xfId="49117"/>
    <cellStyle name="표준 5 2 4 21 3 2 3" xfId="36445"/>
    <cellStyle name="표준 5 2 4 21 3 3" xfId="17429"/>
    <cellStyle name="표준 5 2 4 21 3 3 2" xfId="42781"/>
    <cellStyle name="표준 5 2 4 21 3 4" xfId="30109"/>
    <cellStyle name="표준 5 2 4 21 3 5" xfId="53840"/>
    <cellStyle name="표준 5 2 4 21 4" xfId="7961"/>
    <cellStyle name="표준 5 2 4 21 4 2" xfId="20634"/>
    <cellStyle name="표준 5 2 4 21 4 2 2" xfId="45986"/>
    <cellStyle name="표준 5 2 4 21 4 3" xfId="33314"/>
    <cellStyle name="표준 5 2 4 21 5" xfId="14298"/>
    <cellStyle name="표준 5 2 4 21 5 2" xfId="39650"/>
    <cellStyle name="표준 5 2 4 21 6" xfId="26978"/>
    <cellStyle name="표준 5 2 4 21 7" xfId="53841"/>
    <cellStyle name="표준 5 2 4 22" xfId="1626"/>
    <cellStyle name="표준 5 2 4 22 2" xfId="1627"/>
    <cellStyle name="표준 5 2 4 22 2 2" xfId="4757"/>
    <cellStyle name="표준 5 2 4 22 2 2 2" xfId="11093"/>
    <cellStyle name="표준 5 2 4 22 2 2 2 2" xfId="23766"/>
    <cellStyle name="표준 5 2 4 22 2 2 2 2 2" xfId="49118"/>
    <cellStyle name="표준 5 2 4 22 2 2 2 3" xfId="36446"/>
    <cellStyle name="표준 5 2 4 22 2 2 3" xfId="17430"/>
    <cellStyle name="표준 5 2 4 22 2 2 3 2" xfId="42782"/>
    <cellStyle name="표준 5 2 4 22 2 2 4" xfId="30110"/>
    <cellStyle name="표준 5 2 4 22 2 2 5" xfId="53842"/>
    <cellStyle name="표준 5 2 4 22 2 3" xfId="7964"/>
    <cellStyle name="표준 5 2 4 22 2 3 2" xfId="20637"/>
    <cellStyle name="표준 5 2 4 22 2 3 2 2" xfId="45989"/>
    <cellStyle name="표준 5 2 4 22 2 3 3" xfId="33317"/>
    <cellStyle name="표준 5 2 4 22 2 4" xfId="14301"/>
    <cellStyle name="표준 5 2 4 22 2 4 2" xfId="39653"/>
    <cellStyle name="표준 5 2 4 22 2 5" xfId="26981"/>
    <cellStyle name="표준 5 2 4 22 2 6" xfId="53843"/>
    <cellStyle name="표준 5 2 4 22 3" xfId="4758"/>
    <cellStyle name="표준 5 2 4 22 3 2" xfId="11094"/>
    <cellStyle name="표준 5 2 4 22 3 2 2" xfId="23767"/>
    <cellStyle name="표준 5 2 4 22 3 2 2 2" xfId="49119"/>
    <cellStyle name="표준 5 2 4 22 3 2 3" xfId="36447"/>
    <cellStyle name="표준 5 2 4 22 3 3" xfId="17431"/>
    <cellStyle name="표준 5 2 4 22 3 3 2" xfId="42783"/>
    <cellStyle name="표준 5 2 4 22 3 4" xfId="30111"/>
    <cellStyle name="표준 5 2 4 22 3 5" xfId="53844"/>
    <cellStyle name="표준 5 2 4 22 4" xfId="7963"/>
    <cellStyle name="표준 5 2 4 22 4 2" xfId="20636"/>
    <cellStyle name="표준 5 2 4 22 4 2 2" xfId="45988"/>
    <cellStyle name="표준 5 2 4 22 4 3" xfId="33316"/>
    <cellStyle name="표준 5 2 4 22 5" xfId="14300"/>
    <cellStyle name="표준 5 2 4 22 5 2" xfId="39652"/>
    <cellStyle name="표준 5 2 4 22 6" xfId="26980"/>
    <cellStyle name="표준 5 2 4 22 7" xfId="53845"/>
    <cellStyle name="표준 5 2 4 23" xfId="1628"/>
    <cellStyle name="표준 5 2 4 23 2" xfId="1629"/>
    <cellStyle name="표준 5 2 4 23 2 2" xfId="4759"/>
    <cellStyle name="표준 5 2 4 23 2 2 2" xfId="11095"/>
    <cellStyle name="표준 5 2 4 23 2 2 2 2" xfId="23768"/>
    <cellStyle name="표준 5 2 4 23 2 2 2 2 2" xfId="49120"/>
    <cellStyle name="표준 5 2 4 23 2 2 2 3" xfId="36448"/>
    <cellStyle name="표준 5 2 4 23 2 2 3" xfId="17432"/>
    <cellStyle name="표준 5 2 4 23 2 2 3 2" xfId="42784"/>
    <cellStyle name="표준 5 2 4 23 2 2 4" xfId="30112"/>
    <cellStyle name="표준 5 2 4 23 2 2 5" xfId="53846"/>
    <cellStyle name="표준 5 2 4 23 2 3" xfId="7966"/>
    <cellStyle name="표준 5 2 4 23 2 3 2" xfId="20639"/>
    <cellStyle name="표준 5 2 4 23 2 3 2 2" xfId="45991"/>
    <cellStyle name="표준 5 2 4 23 2 3 3" xfId="33319"/>
    <cellStyle name="표준 5 2 4 23 2 4" xfId="14303"/>
    <cellStyle name="표준 5 2 4 23 2 4 2" xfId="39655"/>
    <cellStyle name="표준 5 2 4 23 2 5" xfId="26983"/>
    <cellStyle name="표준 5 2 4 23 2 6" xfId="53847"/>
    <cellStyle name="표준 5 2 4 23 3" xfId="4760"/>
    <cellStyle name="표준 5 2 4 23 3 2" xfId="11096"/>
    <cellStyle name="표준 5 2 4 23 3 2 2" xfId="23769"/>
    <cellStyle name="표준 5 2 4 23 3 2 2 2" xfId="49121"/>
    <cellStyle name="표준 5 2 4 23 3 2 3" xfId="36449"/>
    <cellStyle name="표준 5 2 4 23 3 3" xfId="17433"/>
    <cellStyle name="표준 5 2 4 23 3 3 2" xfId="42785"/>
    <cellStyle name="표준 5 2 4 23 3 4" xfId="30113"/>
    <cellStyle name="표준 5 2 4 23 3 5" xfId="53848"/>
    <cellStyle name="표준 5 2 4 23 4" xfId="7965"/>
    <cellStyle name="표준 5 2 4 23 4 2" xfId="20638"/>
    <cellStyle name="표준 5 2 4 23 4 2 2" xfId="45990"/>
    <cellStyle name="표준 5 2 4 23 4 3" xfId="33318"/>
    <cellStyle name="표준 5 2 4 23 5" xfId="14302"/>
    <cellStyle name="표준 5 2 4 23 5 2" xfId="39654"/>
    <cellStyle name="표준 5 2 4 23 6" xfId="26982"/>
    <cellStyle name="표준 5 2 4 23 7" xfId="53849"/>
    <cellStyle name="표준 5 2 4 24" xfId="1630"/>
    <cellStyle name="표준 5 2 4 24 2" xfId="1631"/>
    <cellStyle name="표준 5 2 4 24 2 2" xfId="4761"/>
    <cellStyle name="표준 5 2 4 24 2 2 2" xfId="11097"/>
    <cellStyle name="표준 5 2 4 24 2 2 2 2" xfId="23770"/>
    <cellStyle name="표준 5 2 4 24 2 2 2 2 2" xfId="49122"/>
    <cellStyle name="표준 5 2 4 24 2 2 2 3" xfId="36450"/>
    <cellStyle name="표준 5 2 4 24 2 2 3" xfId="17434"/>
    <cellStyle name="표준 5 2 4 24 2 2 3 2" xfId="42786"/>
    <cellStyle name="표준 5 2 4 24 2 2 4" xfId="30114"/>
    <cellStyle name="표준 5 2 4 24 2 2 5" xfId="53850"/>
    <cellStyle name="표준 5 2 4 24 2 3" xfId="7968"/>
    <cellStyle name="표준 5 2 4 24 2 3 2" xfId="20641"/>
    <cellStyle name="표준 5 2 4 24 2 3 2 2" xfId="45993"/>
    <cellStyle name="표준 5 2 4 24 2 3 3" xfId="33321"/>
    <cellStyle name="표준 5 2 4 24 2 4" xfId="14305"/>
    <cellStyle name="표준 5 2 4 24 2 4 2" xfId="39657"/>
    <cellStyle name="표준 5 2 4 24 2 5" xfId="26985"/>
    <cellStyle name="표준 5 2 4 24 2 6" xfId="53851"/>
    <cellStyle name="표준 5 2 4 24 3" xfId="4762"/>
    <cellStyle name="표준 5 2 4 24 3 2" xfId="11098"/>
    <cellStyle name="표준 5 2 4 24 3 2 2" xfId="23771"/>
    <cellStyle name="표준 5 2 4 24 3 2 2 2" xfId="49123"/>
    <cellStyle name="표준 5 2 4 24 3 2 3" xfId="36451"/>
    <cellStyle name="표준 5 2 4 24 3 3" xfId="17435"/>
    <cellStyle name="표준 5 2 4 24 3 3 2" xfId="42787"/>
    <cellStyle name="표준 5 2 4 24 3 4" xfId="30115"/>
    <cellStyle name="표준 5 2 4 24 3 5" xfId="53852"/>
    <cellStyle name="표준 5 2 4 24 4" xfId="7967"/>
    <cellStyle name="표준 5 2 4 24 4 2" xfId="20640"/>
    <cellStyle name="표준 5 2 4 24 4 2 2" xfId="45992"/>
    <cellStyle name="표준 5 2 4 24 4 3" xfId="33320"/>
    <cellStyle name="표준 5 2 4 24 5" xfId="14304"/>
    <cellStyle name="표준 5 2 4 24 5 2" xfId="39656"/>
    <cellStyle name="표준 5 2 4 24 6" xfId="26984"/>
    <cellStyle name="표준 5 2 4 24 7" xfId="53853"/>
    <cellStyle name="표준 5 2 4 25" xfId="1632"/>
    <cellStyle name="표준 5 2 4 25 2" xfId="1633"/>
    <cellStyle name="표준 5 2 4 25 2 2" xfId="4763"/>
    <cellStyle name="표준 5 2 4 25 2 2 2" xfId="11099"/>
    <cellStyle name="표준 5 2 4 25 2 2 2 2" xfId="23772"/>
    <cellStyle name="표준 5 2 4 25 2 2 2 2 2" xfId="49124"/>
    <cellStyle name="표준 5 2 4 25 2 2 2 3" xfId="36452"/>
    <cellStyle name="표준 5 2 4 25 2 2 3" xfId="17436"/>
    <cellStyle name="표준 5 2 4 25 2 2 3 2" xfId="42788"/>
    <cellStyle name="표준 5 2 4 25 2 2 4" xfId="30116"/>
    <cellStyle name="표준 5 2 4 25 2 2 5" xfId="53854"/>
    <cellStyle name="표준 5 2 4 25 2 3" xfId="7970"/>
    <cellStyle name="표준 5 2 4 25 2 3 2" xfId="20643"/>
    <cellStyle name="표준 5 2 4 25 2 3 2 2" xfId="45995"/>
    <cellStyle name="표준 5 2 4 25 2 3 3" xfId="33323"/>
    <cellStyle name="표준 5 2 4 25 2 4" xfId="14307"/>
    <cellStyle name="표준 5 2 4 25 2 4 2" xfId="39659"/>
    <cellStyle name="표준 5 2 4 25 2 5" xfId="26987"/>
    <cellStyle name="표준 5 2 4 25 2 6" xfId="53855"/>
    <cellStyle name="표준 5 2 4 25 3" xfId="4764"/>
    <cellStyle name="표준 5 2 4 25 3 2" xfId="11100"/>
    <cellStyle name="표준 5 2 4 25 3 2 2" xfId="23773"/>
    <cellStyle name="표준 5 2 4 25 3 2 2 2" xfId="49125"/>
    <cellStyle name="표준 5 2 4 25 3 2 3" xfId="36453"/>
    <cellStyle name="표준 5 2 4 25 3 3" xfId="17437"/>
    <cellStyle name="표준 5 2 4 25 3 3 2" xfId="42789"/>
    <cellStyle name="표준 5 2 4 25 3 4" xfId="30117"/>
    <cellStyle name="표준 5 2 4 25 3 5" xfId="53856"/>
    <cellStyle name="표준 5 2 4 25 4" xfId="7969"/>
    <cellStyle name="표준 5 2 4 25 4 2" xfId="20642"/>
    <cellStyle name="표준 5 2 4 25 4 2 2" xfId="45994"/>
    <cellStyle name="표준 5 2 4 25 4 3" xfId="33322"/>
    <cellStyle name="표준 5 2 4 25 5" xfId="14306"/>
    <cellStyle name="표준 5 2 4 25 5 2" xfId="39658"/>
    <cellStyle name="표준 5 2 4 25 6" xfId="26986"/>
    <cellStyle name="표준 5 2 4 25 7" xfId="53857"/>
    <cellStyle name="표준 5 2 4 26" xfId="1634"/>
    <cellStyle name="표준 5 2 4 26 2" xfId="1635"/>
    <cellStyle name="표준 5 2 4 26 2 2" xfId="4765"/>
    <cellStyle name="표준 5 2 4 26 2 2 2" xfId="11101"/>
    <cellStyle name="표준 5 2 4 26 2 2 2 2" xfId="23774"/>
    <cellStyle name="표준 5 2 4 26 2 2 2 2 2" xfId="49126"/>
    <cellStyle name="표준 5 2 4 26 2 2 2 3" xfId="36454"/>
    <cellStyle name="표준 5 2 4 26 2 2 3" xfId="17438"/>
    <cellStyle name="표준 5 2 4 26 2 2 3 2" xfId="42790"/>
    <cellStyle name="표준 5 2 4 26 2 2 4" xfId="30118"/>
    <cellStyle name="표준 5 2 4 26 2 2 5" xfId="53858"/>
    <cellStyle name="표준 5 2 4 26 2 3" xfId="7972"/>
    <cellStyle name="표준 5 2 4 26 2 3 2" xfId="20645"/>
    <cellStyle name="표준 5 2 4 26 2 3 2 2" xfId="45997"/>
    <cellStyle name="표준 5 2 4 26 2 3 3" xfId="33325"/>
    <cellStyle name="표준 5 2 4 26 2 4" xfId="14309"/>
    <cellStyle name="표준 5 2 4 26 2 4 2" xfId="39661"/>
    <cellStyle name="표준 5 2 4 26 2 5" xfId="26989"/>
    <cellStyle name="표준 5 2 4 26 2 6" xfId="53859"/>
    <cellStyle name="표준 5 2 4 26 3" xfId="4766"/>
    <cellStyle name="표준 5 2 4 26 3 2" xfId="11102"/>
    <cellStyle name="표준 5 2 4 26 3 2 2" xfId="23775"/>
    <cellStyle name="표준 5 2 4 26 3 2 2 2" xfId="49127"/>
    <cellStyle name="표준 5 2 4 26 3 2 3" xfId="36455"/>
    <cellStyle name="표준 5 2 4 26 3 3" xfId="17439"/>
    <cellStyle name="표준 5 2 4 26 3 3 2" xfId="42791"/>
    <cellStyle name="표준 5 2 4 26 3 4" xfId="30119"/>
    <cellStyle name="표준 5 2 4 26 3 5" xfId="53860"/>
    <cellStyle name="표준 5 2 4 26 4" xfId="7971"/>
    <cellStyle name="표준 5 2 4 26 4 2" xfId="20644"/>
    <cellStyle name="표준 5 2 4 26 4 2 2" xfId="45996"/>
    <cellStyle name="표준 5 2 4 26 4 3" xfId="33324"/>
    <cellStyle name="표준 5 2 4 26 5" xfId="14308"/>
    <cellStyle name="표준 5 2 4 26 5 2" xfId="39660"/>
    <cellStyle name="표준 5 2 4 26 6" xfId="26988"/>
    <cellStyle name="표준 5 2 4 26 7" xfId="53861"/>
    <cellStyle name="표준 5 2 4 27" xfId="1636"/>
    <cellStyle name="표준 5 2 4 27 2" xfId="1637"/>
    <cellStyle name="표준 5 2 4 27 2 2" xfId="4767"/>
    <cellStyle name="표준 5 2 4 27 2 2 2" xfId="11103"/>
    <cellStyle name="표준 5 2 4 27 2 2 2 2" xfId="23776"/>
    <cellStyle name="표준 5 2 4 27 2 2 2 2 2" xfId="49128"/>
    <cellStyle name="표준 5 2 4 27 2 2 2 3" xfId="36456"/>
    <cellStyle name="표준 5 2 4 27 2 2 3" xfId="17440"/>
    <cellStyle name="표준 5 2 4 27 2 2 3 2" xfId="42792"/>
    <cellStyle name="표준 5 2 4 27 2 2 4" xfId="30120"/>
    <cellStyle name="표준 5 2 4 27 2 2 5" xfId="53862"/>
    <cellStyle name="표준 5 2 4 27 2 3" xfId="7974"/>
    <cellStyle name="표준 5 2 4 27 2 3 2" xfId="20647"/>
    <cellStyle name="표준 5 2 4 27 2 3 2 2" xfId="45999"/>
    <cellStyle name="표준 5 2 4 27 2 3 3" xfId="33327"/>
    <cellStyle name="표준 5 2 4 27 2 4" xfId="14311"/>
    <cellStyle name="표준 5 2 4 27 2 4 2" xfId="39663"/>
    <cellStyle name="표준 5 2 4 27 2 5" xfId="26991"/>
    <cellStyle name="표준 5 2 4 27 2 6" xfId="53863"/>
    <cellStyle name="표준 5 2 4 27 3" xfId="4768"/>
    <cellStyle name="표준 5 2 4 27 3 2" xfId="11104"/>
    <cellStyle name="표준 5 2 4 27 3 2 2" xfId="23777"/>
    <cellStyle name="표준 5 2 4 27 3 2 2 2" xfId="49129"/>
    <cellStyle name="표준 5 2 4 27 3 2 3" xfId="36457"/>
    <cellStyle name="표준 5 2 4 27 3 3" xfId="17441"/>
    <cellStyle name="표준 5 2 4 27 3 3 2" xfId="42793"/>
    <cellStyle name="표준 5 2 4 27 3 4" xfId="30121"/>
    <cellStyle name="표준 5 2 4 27 3 5" xfId="53864"/>
    <cellStyle name="표준 5 2 4 27 4" xfId="7973"/>
    <cellStyle name="표준 5 2 4 27 4 2" xfId="20646"/>
    <cellStyle name="표준 5 2 4 27 4 2 2" xfId="45998"/>
    <cellStyle name="표준 5 2 4 27 4 3" xfId="33326"/>
    <cellStyle name="표준 5 2 4 27 5" xfId="14310"/>
    <cellStyle name="표준 5 2 4 27 5 2" xfId="39662"/>
    <cellStyle name="표준 5 2 4 27 6" xfId="26990"/>
    <cellStyle name="표준 5 2 4 27 7" xfId="53865"/>
    <cellStyle name="표준 5 2 4 28" xfId="1638"/>
    <cellStyle name="표준 5 2 4 28 2" xfId="1639"/>
    <cellStyle name="표준 5 2 4 28 2 2" xfId="4769"/>
    <cellStyle name="표준 5 2 4 28 2 2 2" xfId="11105"/>
    <cellStyle name="표준 5 2 4 28 2 2 2 2" xfId="23778"/>
    <cellStyle name="표준 5 2 4 28 2 2 2 2 2" xfId="49130"/>
    <cellStyle name="표준 5 2 4 28 2 2 2 3" xfId="36458"/>
    <cellStyle name="표준 5 2 4 28 2 2 3" xfId="17442"/>
    <cellStyle name="표준 5 2 4 28 2 2 3 2" xfId="42794"/>
    <cellStyle name="표준 5 2 4 28 2 2 4" xfId="30122"/>
    <cellStyle name="표준 5 2 4 28 2 2 5" xfId="53866"/>
    <cellStyle name="표준 5 2 4 28 2 3" xfId="7976"/>
    <cellStyle name="표준 5 2 4 28 2 3 2" xfId="20649"/>
    <cellStyle name="표준 5 2 4 28 2 3 2 2" xfId="46001"/>
    <cellStyle name="표준 5 2 4 28 2 3 3" xfId="33329"/>
    <cellStyle name="표준 5 2 4 28 2 4" xfId="14313"/>
    <cellStyle name="표준 5 2 4 28 2 4 2" xfId="39665"/>
    <cellStyle name="표준 5 2 4 28 2 5" xfId="26993"/>
    <cellStyle name="표준 5 2 4 28 2 6" xfId="53867"/>
    <cellStyle name="표준 5 2 4 28 3" xfId="4770"/>
    <cellStyle name="표준 5 2 4 28 3 2" xfId="11106"/>
    <cellStyle name="표준 5 2 4 28 3 2 2" xfId="23779"/>
    <cellStyle name="표준 5 2 4 28 3 2 2 2" xfId="49131"/>
    <cellStyle name="표준 5 2 4 28 3 2 3" xfId="36459"/>
    <cellStyle name="표준 5 2 4 28 3 3" xfId="17443"/>
    <cellStyle name="표준 5 2 4 28 3 3 2" xfId="42795"/>
    <cellStyle name="표준 5 2 4 28 3 4" xfId="30123"/>
    <cellStyle name="표준 5 2 4 28 3 5" xfId="53868"/>
    <cellStyle name="표준 5 2 4 28 4" xfId="7975"/>
    <cellStyle name="표준 5 2 4 28 4 2" xfId="20648"/>
    <cellStyle name="표준 5 2 4 28 4 2 2" xfId="46000"/>
    <cellStyle name="표준 5 2 4 28 4 3" xfId="33328"/>
    <cellStyle name="표준 5 2 4 28 5" xfId="14312"/>
    <cellStyle name="표준 5 2 4 28 5 2" xfId="39664"/>
    <cellStyle name="표준 5 2 4 28 6" xfId="26992"/>
    <cellStyle name="표준 5 2 4 28 7" xfId="53869"/>
    <cellStyle name="표준 5 2 4 29" xfId="1640"/>
    <cellStyle name="표준 5 2 4 29 2" xfId="1641"/>
    <cellStyle name="표준 5 2 4 29 2 2" xfId="4771"/>
    <cellStyle name="표준 5 2 4 29 2 2 2" xfId="11107"/>
    <cellStyle name="표준 5 2 4 29 2 2 2 2" xfId="23780"/>
    <cellStyle name="표준 5 2 4 29 2 2 2 2 2" xfId="49132"/>
    <cellStyle name="표준 5 2 4 29 2 2 2 3" xfId="36460"/>
    <cellStyle name="표준 5 2 4 29 2 2 3" xfId="17444"/>
    <cellStyle name="표준 5 2 4 29 2 2 3 2" xfId="42796"/>
    <cellStyle name="표준 5 2 4 29 2 2 4" xfId="30124"/>
    <cellStyle name="표준 5 2 4 29 2 2 5" xfId="53870"/>
    <cellStyle name="표준 5 2 4 29 2 3" xfId="7978"/>
    <cellStyle name="표준 5 2 4 29 2 3 2" xfId="20651"/>
    <cellStyle name="표준 5 2 4 29 2 3 2 2" xfId="46003"/>
    <cellStyle name="표준 5 2 4 29 2 3 3" xfId="33331"/>
    <cellStyle name="표준 5 2 4 29 2 4" xfId="14315"/>
    <cellStyle name="표준 5 2 4 29 2 4 2" xfId="39667"/>
    <cellStyle name="표준 5 2 4 29 2 5" xfId="26995"/>
    <cellStyle name="표준 5 2 4 29 2 6" xfId="53871"/>
    <cellStyle name="표준 5 2 4 29 3" xfId="4772"/>
    <cellStyle name="표준 5 2 4 29 3 2" xfId="11108"/>
    <cellStyle name="표준 5 2 4 29 3 2 2" xfId="23781"/>
    <cellStyle name="표준 5 2 4 29 3 2 2 2" xfId="49133"/>
    <cellStyle name="표준 5 2 4 29 3 2 3" xfId="36461"/>
    <cellStyle name="표준 5 2 4 29 3 3" xfId="17445"/>
    <cellStyle name="표준 5 2 4 29 3 3 2" xfId="42797"/>
    <cellStyle name="표준 5 2 4 29 3 4" xfId="30125"/>
    <cellStyle name="표준 5 2 4 29 3 5" xfId="53872"/>
    <cellStyle name="표준 5 2 4 29 4" xfId="7977"/>
    <cellStyle name="표준 5 2 4 29 4 2" xfId="20650"/>
    <cellStyle name="표준 5 2 4 29 4 2 2" xfId="46002"/>
    <cellStyle name="표준 5 2 4 29 4 3" xfId="33330"/>
    <cellStyle name="표준 5 2 4 29 5" xfId="14314"/>
    <cellStyle name="표준 5 2 4 29 5 2" xfId="39666"/>
    <cellStyle name="표준 5 2 4 29 6" xfId="26994"/>
    <cellStyle name="표준 5 2 4 29 7" xfId="53873"/>
    <cellStyle name="표준 5 2 4 3" xfId="1642"/>
    <cellStyle name="표준 5 2 4 3 2" xfId="1643"/>
    <cellStyle name="표준 5 2 4 3 2 2" xfId="4773"/>
    <cellStyle name="표준 5 2 4 3 2 2 2" xfId="11109"/>
    <cellStyle name="표준 5 2 4 3 2 2 2 2" xfId="23782"/>
    <cellStyle name="표준 5 2 4 3 2 2 2 2 2" xfId="49134"/>
    <cellStyle name="표준 5 2 4 3 2 2 2 3" xfId="36462"/>
    <cellStyle name="표준 5 2 4 3 2 2 3" xfId="17446"/>
    <cellStyle name="표준 5 2 4 3 2 2 3 2" xfId="42798"/>
    <cellStyle name="표준 5 2 4 3 2 2 4" xfId="30126"/>
    <cellStyle name="표준 5 2 4 3 2 2 5" xfId="53874"/>
    <cellStyle name="표준 5 2 4 3 2 3" xfId="7980"/>
    <cellStyle name="표준 5 2 4 3 2 3 2" xfId="20653"/>
    <cellStyle name="표준 5 2 4 3 2 3 2 2" xfId="46005"/>
    <cellStyle name="표준 5 2 4 3 2 3 3" xfId="33333"/>
    <cellStyle name="표준 5 2 4 3 2 4" xfId="14317"/>
    <cellStyle name="표준 5 2 4 3 2 4 2" xfId="39669"/>
    <cellStyle name="표준 5 2 4 3 2 5" xfId="26997"/>
    <cellStyle name="표준 5 2 4 3 2 6" xfId="53875"/>
    <cellStyle name="표준 5 2 4 3 3" xfId="4774"/>
    <cellStyle name="표준 5 2 4 3 3 2" xfId="11110"/>
    <cellStyle name="표준 5 2 4 3 3 2 2" xfId="23783"/>
    <cellStyle name="표준 5 2 4 3 3 2 2 2" xfId="49135"/>
    <cellStyle name="표준 5 2 4 3 3 2 3" xfId="36463"/>
    <cellStyle name="표준 5 2 4 3 3 3" xfId="17447"/>
    <cellStyle name="표준 5 2 4 3 3 3 2" xfId="42799"/>
    <cellStyle name="표준 5 2 4 3 3 4" xfId="30127"/>
    <cellStyle name="표준 5 2 4 3 3 5" xfId="53876"/>
    <cellStyle name="표준 5 2 4 3 4" xfId="7979"/>
    <cellStyle name="표준 5 2 4 3 4 2" xfId="20652"/>
    <cellStyle name="표준 5 2 4 3 4 2 2" xfId="46004"/>
    <cellStyle name="표준 5 2 4 3 4 3" xfId="33332"/>
    <cellStyle name="표준 5 2 4 3 5" xfId="14316"/>
    <cellStyle name="표준 5 2 4 3 5 2" xfId="39668"/>
    <cellStyle name="표준 5 2 4 3 6" xfId="26996"/>
    <cellStyle name="표준 5 2 4 3 7" xfId="53877"/>
    <cellStyle name="표준 5 2 4 30" xfId="1644"/>
    <cellStyle name="표준 5 2 4 30 2" xfId="1645"/>
    <cellStyle name="표준 5 2 4 30 2 2" xfId="4775"/>
    <cellStyle name="표준 5 2 4 30 2 2 2" xfId="11111"/>
    <cellStyle name="표준 5 2 4 30 2 2 2 2" xfId="23784"/>
    <cellStyle name="표준 5 2 4 30 2 2 2 2 2" xfId="49136"/>
    <cellStyle name="표준 5 2 4 30 2 2 2 3" xfId="36464"/>
    <cellStyle name="표준 5 2 4 30 2 2 3" xfId="17448"/>
    <cellStyle name="표준 5 2 4 30 2 2 3 2" xfId="42800"/>
    <cellStyle name="표준 5 2 4 30 2 2 4" xfId="30128"/>
    <cellStyle name="표준 5 2 4 30 2 2 5" xfId="53878"/>
    <cellStyle name="표준 5 2 4 30 2 3" xfId="7982"/>
    <cellStyle name="표준 5 2 4 30 2 3 2" xfId="20655"/>
    <cellStyle name="표준 5 2 4 30 2 3 2 2" xfId="46007"/>
    <cellStyle name="표준 5 2 4 30 2 3 3" xfId="33335"/>
    <cellStyle name="표준 5 2 4 30 2 4" xfId="14319"/>
    <cellStyle name="표준 5 2 4 30 2 4 2" xfId="39671"/>
    <cellStyle name="표준 5 2 4 30 2 5" xfId="26999"/>
    <cellStyle name="표준 5 2 4 30 2 6" xfId="53879"/>
    <cellStyle name="표준 5 2 4 30 3" xfId="4776"/>
    <cellStyle name="표준 5 2 4 30 3 2" xfId="11112"/>
    <cellStyle name="표준 5 2 4 30 3 2 2" xfId="23785"/>
    <cellStyle name="표준 5 2 4 30 3 2 2 2" xfId="49137"/>
    <cellStyle name="표준 5 2 4 30 3 2 3" xfId="36465"/>
    <cellStyle name="표준 5 2 4 30 3 3" xfId="17449"/>
    <cellStyle name="표준 5 2 4 30 3 3 2" xfId="42801"/>
    <cellStyle name="표준 5 2 4 30 3 4" xfId="30129"/>
    <cellStyle name="표준 5 2 4 30 3 5" xfId="53880"/>
    <cellStyle name="표준 5 2 4 30 4" xfId="7981"/>
    <cellStyle name="표준 5 2 4 30 4 2" xfId="20654"/>
    <cellStyle name="표준 5 2 4 30 4 2 2" xfId="46006"/>
    <cellStyle name="표준 5 2 4 30 4 3" xfId="33334"/>
    <cellStyle name="표준 5 2 4 30 5" xfId="14318"/>
    <cellStyle name="표준 5 2 4 30 5 2" xfId="39670"/>
    <cellStyle name="표준 5 2 4 30 6" xfId="26998"/>
    <cellStyle name="표준 5 2 4 30 7" xfId="53881"/>
    <cellStyle name="표준 5 2 4 31" xfId="1646"/>
    <cellStyle name="표준 5 2 4 31 2" xfId="1647"/>
    <cellStyle name="표준 5 2 4 31 2 2" xfId="4777"/>
    <cellStyle name="표준 5 2 4 31 2 2 2" xfId="11113"/>
    <cellStyle name="표준 5 2 4 31 2 2 2 2" xfId="23786"/>
    <cellStyle name="표준 5 2 4 31 2 2 2 2 2" xfId="49138"/>
    <cellStyle name="표준 5 2 4 31 2 2 2 3" xfId="36466"/>
    <cellStyle name="표준 5 2 4 31 2 2 3" xfId="17450"/>
    <cellStyle name="표준 5 2 4 31 2 2 3 2" xfId="42802"/>
    <cellStyle name="표준 5 2 4 31 2 2 4" xfId="30130"/>
    <cellStyle name="표준 5 2 4 31 2 2 5" xfId="53882"/>
    <cellStyle name="표준 5 2 4 31 2 3" xfId="7984"/>
    <cellStyle name="표준 5 2 4 31 2 3 2" xfId="20657"/>
    <cellStyle name="표준 5 2 4 31 2 3 2 2" xfId="46009"/>
    <cellStyle name="표준 5 2 4 31 2 3 3" xfId="33337"/>
    <cellStyle name="표준 5 2 4 31 2 4" xfId="14321"/>
    <cellStyle name="표준 5 2 4 31 2 4 2" xfId="39673"/>
    <cellStyle name="표준 5 2 4 31 2 5" xfId="27001"/>
    <cellStyle name="표준 5 2 4 31 2 6" xfId="53883"/>
    <cellStyle name="표준 5 2 4 31 3" xfId="4778"/>
    <cellStyle name="표준 5 2 4 31 3 2" xfId="11114"/>
    <cellStyle name="표준 5 2 4 31 3 2 2" xfId="23787"/>
    <cellStyle name="표준 5 2 4 31 3 2 2 2" xfId="49139"/>
    <cellStyle name="표준 5 2 4 31 3 2 3" xfId="36467"/>
    <cellStyle name="표준 5 2 4 31 3 3" xfId="17451"/>
    <cellStyle name="표준 5 2 4 31 3 3 2" xfId="42803"/>
    <cellStyle name="표준 5 2 4 31 3 4" xfId="30131"/>
    <cellStyle name="표준 5 2 4 31 3 5" xfId="53884"/>
    <cellStyle name="표준 5 2 4 31 4" xfId="7983"/>
    <cellStyle name="표준 5 2 4 31 4 2" xfId="20656"/>
    <cellStyle name="표준 5 2 4 31 4 2 2" xfId="46008"/>
    <cellStyle name="표준 5 2 4 31 4 3" xfId="33336"/>
    <cellStyle name="표준 5 2 4 31 5" xfId="14320"/>
    <cellStyle name="표준 5 2 4 31 5 2" xfId="39672"/>
    <cellStyle name="표준 5 2 4 31 6" xfId="27000"/>
    <cellStyle name="표준 5 2 4 31 7" xfId="53885"/>
    <cellStyle name="표준 5 2 4 32" xfId="1648"/>
    <cellStyle name="표준 5 2 4 32 2" xfId="1649"/>
    <cellStyle name="표준 5 2 4 32 2 2" xfId="4779"/>
    <cellStyle name="표준 5 2 4 32 2 2 2" xfId="11115"/>
    <cellStyle name="표준 5 2 4 32 2 2 2 2" xfId="23788"/>
    <cellStyle name="표준 5 2 4 32 2 2 2 2 2" xfId="49140"/>
    <cellStyle name="표준 5 2 4 32 2 2 2 3" xfId="36468"/>
    <cellStyle name="표준 5 2 4 32 2 2 3" xfId="17452"/>
    <cellStyle name="표준 5 2 4 32 2 2 3 2" xfId="42804"/>
    <cellStyle name="표준 5 2 4 32 2 2 4" xfId="30132"/>
    <cellStyle name="표준 5 2 4 32 2 2 5" xfId="53886"/>
    <cellStyle name="표준 5 2 4 32 2 3" xfId="7986"/>
    <cellStyle name="표준 5 2 4 32 2 3 2" xfId="20659"/>
    <cellStyle name="표준 5 2 4 32 2 3 2 2" xfId="46011"/>
    <cellStyle name="표준 5 2 4 32 2 3 3" xfId="33339"/>
    <cellStyle name="표준 5 2 4 32 2 4" xfId="14323"/>
    <cellStyle name="표준 5 2 4 32 2 4 2" xfId="39675"/>
    <cellStyle name="표준 5 2 4 32 2 5" xfId="27003"/>
    <cellStyle name="표준 5 2 4 32 2 6" xfId="53887"/>
    <cellStyle name="표준 5 2 4 32 3" xfId="4780"/>
    <cellStyle name="표준 5 2 4 32 3 2" xfId="11116"/>
    <cellStyle name="표준 5 2 4 32 3 2 2" xfId="23789"/>
    <cellStyle name="표준 5 2 4 32 3 2 2 2" xfId="49141"/>
    <cellStyle name="표준 5 2 4 32 3 2 3" xfId="36469"/>
    <cellStyle name="표준 5 2 4 32 3 3" xfId="17453"/>
    <cellStyle name="표준 5 2 4 32 3 3 2" xfId="42805"/>
    <cellStyle name="표준 5 2 4 32 3 4" xfId="30133"/>
    <cellStyle name="표준 5 2 4 32 3 5" xfId="53888"/>
    <cellStyle name="표준 5 2 4 32 4" xfId="7985"/>
    <cellStyle name="표준 5 2 4 32 4 2" xfId="20658"/>
    <cellStyle name="표준 5 2 4 32 4 2 2" xfId="46010"/>
    <cellStyle name="표준 5 2 4 32 4 3" xfId="33338"/>
    <cellStyle name="표준 5 2 4 32 5" xfId="14322"/>
    <cellStyle name="표준 5 2 4 32 5 2" xfId="39674"/>
    <cellStyle name="표준 5 2 4 32 6" xfId="27002"/>
    <cellStyle name="표준 5 2 4 32 7" xfId="53889"/>
    <cellStyle name="표준 5 2 4 33" xfId="1650"/>
    <cellStyle name="표준 5 2 4 33 2" xfId="1651"/>
    <cellStyle name="표준 5 2 4 33 2 2" xfId="4781"/>
    <cellStyle name="표준 5 2 4 33 2 2 2" xfId="11117"/>
    <cellStyle name="표준 5 2 4 33 2 2 2 2" xfId="23790"/>
    <cellStyle name="표준 5 2 4 33 2 2 2 2 2" xfId="49142"/>
    <cellStyle name="표준 5 2 4 33 2 2 2 3" xfId="36470"/>
    <cellStyle name="표준 5 2 4 33 2 2 3" xfId="17454"/>
    <cellStyle name="표준 5 2 4 33 2 2 3 2" xfId="42806"/>
    <cellStyle name="표준 5 2 4 33 2 2 4" xfId="30134"/>
    <cellStyle name="표준 5 2 4 33 2 2 5" xfId="53890"/>
    <cellStyle name="표준 5 2 4 33 2 3" xfId="7988"/>
    <cellStyle name="표준 5 2 4 33 2 3 2" xfId="20661"/>
    <cellStyle name="표준 5 2 4 33 2 3 2 2" xfId="46013"/>
    <cellStyle name="표준 5 2 4 33 2 3 3" xfId="33341"/>
    <cellStyle name="표준 5 2 4 33 2 4" xfId="14325"/>
    <cellStyle name="표준 5 2 4 33 2 4 2" xfId="39677"/>
    <cellStyle name="표준 5 2 4 33 2 5" xfId="27005"/>
    <cellStyle name="표준 5 2 4 33 2 6" xfId="53891"/>
    <cellStyle name="표준 5 2 4 33 3" xfId="4782"/>
    <cellStyle name="표준 5 2 4 33 3 2" xfId="11118"/>
    <cellStyle name="표준 5 2 4 33 3 2 2" xfId="23791"/>
    <cellStyle name="표준 5 2 4 33 3 2 2 2" xfId="49143"/>
    <cellStyle name="표준 5 2 4 33 3 2 3" xfId="36471"/>
    <cellStyle name="표준 5 2 4 33 3 3" xfId="17455"/>
    <cellStyle name="표준 5 2 4 33 3 3 2" xfId="42807"/>
    <cellStyle name="표준 5 2 4 33 3 4" xfId="30135"/>
    <cellStyle name="표준 5 2 4 33 3 5" xfId="53892"/>
    <cellStyle name="표준 5 2 4 33 4" xfId="7987"/>
    <cellStyle name="표준 5 2 4 33 4 2" xfId="20660"/>
    <cellStyle name="표준 5 2 4 33 4 2 2" xfId="46012"/>
    <cellStyle name="표준 5 2 4 33 4 3" xfId="33340"/>
    <cellStyle name="표준 5 2 4 33 5" xfId="14324"/>
    <cellStyle name="표준 5 2 4 33 5 2" xfId="39676"/>
    <cellStyle name="표준 5 2 4 33 6" xfId="27004"/>
    <cellStyle name="표준 5 2 4 33 7" xfId="53893"/>
    <cellStyle name="표준 5 2 4 34" xfId="1652"/>
    <cellStyle name="표준 5 2 4 34 2" xfId="4783"/>
    <cellStyle name="표준 5 2 4 34 2 2" xfId="11119"/>
    <cellStyle name="표준 5 2 4 34 2 2 2" xfId="23792"/>
    <cellStyle name="표준 5 2 4 34 2 2 2 2" xfId="49144"/>
    <cellStyle name="표준 5 2 4 34 2 2 3" xfId="36472"/>
    <cellStyle name="표준 5 2 4 34 2 3" xfId="17456"/>
    <cellStyle name="표준 5 2 4 34 2 3 2" xfId="42808"/>
    <cellStyle name="표준 5 2 4 34 2 4" xfId="30136"/>
    <cellStyle name="표준 5 2 4 34 2 5" xfId="53894"/>
    <cellStyle name="표준 5 2 4 34 3" xfId="7989"/>
    <cellStyle name="표준 5 2 4 34 3 2" xfId="20662"/>
    <cellStyle name="표준 5 2 4 34 3 2 2" xfId="46014"/>
    <cellStyle name="표준 5 2 4 34 3 3" xfId="33342"/>
    <cellStyle name="표준 5 2 4 34 4" xfId="14326"/>
    <cellStyle name="표준 5 2 4 34 4 2" xfId="39678"/>
    <cellStyle name="표준 5 2 4 34 5" xfId="27006"/>
    <cellStyle name="표준 5 2 4 34 6" xfId="53895"/>
    <cellStyle name="표준 5 2 4 35" xfId="4784"/>
    <cellStyle name="표준 5 2 4 35 2" xfId="11120"/>
    <cellStyle name="표준 5 2 4 35 2 2" xfId="23793"/>
    <cellStyle name="표준 5 2 4 35 2 2 2" xfId="49145"/>
    <cellStyle name="표준 5 2 4 35 2 3" xfId="36473"/>
    <cellStyle name="표준 5 2 4 35 3" xfId="17457"/>
    <cellStyle name="표준 5 2 4 35 3 2" xfId="42809"/>
    <cellStyle name="표준 5 2 4 35 4" xfId="30137"/>
    <cellStyle name="표준 5 2 4 35 5" xfId="53896"/>
    <cellStyle name="표준 5 2 4 36" xfId="6417"/>
    <cellStyle name="표준 5 2 4 36 2" xfId="19090"/>
    <cellStyle name="표준 5 2 4 36 2 2" xfId="44442"/>
    <cellStyle name="표준 5 2 4 36 3" xfId="31770"/>
    <cellStyle name="표준 5 2 4 37" xfId="12754"/>
    <cellStyle name="표준 5 2 4 37 2" xfId="38106"/>
    <cellStyle name="표준 5 2 4 38" xfId="25434"/>
    <cellStyle name="표준 5 2 4 39" xfId="53897"/>
    <cellStyle name="표준 5 2 4 4" xfId="1653"/>
    <cellStyle name="표준 5 2 4 4 2" xfId="1654"/>
    <cellStyle name="표준 5 2 4 4 2 2" xfId="4785"/>
    <cellStyle name="표준 5 2 4 4 2 2 2" xfId="11121"/>
    <cellStyle name="표준 5 2 4 4 2 2 2 2" xfId="23794"/>
    <cellStyle name="표준 5 2 4 4 2 2 2 2 2" xfId="49146"/>
    <cellStyle name="표준 5 2 4 4 2 2 2 3" xfId="36474"/>
    <cellStyle name="표준 5 2 4 4 2 2 3" xfId="17458"/>
    <cellStyle name="표준 5 2 4 4 2 2 3 2" xfId="42810"/>
    <cellStyle name="표준 5 2 4 4 2 2 4" xfId="30138"/>
    <cellStyle name="표준 5 2 4 4 2 2 5" xfId="53898"/>
    <cellStyle name="표준 5 2 4 4 2 3" xfId="7991"/>
    <cellStyle name="표준 5 2 4 4 2 3 2" xfId="20664"/>
    <cellStyle name="표준 5 2 4 4 2 3 2 2" xfId="46016"/>
    <cellStyle name="표준 5 2 4 4 2 3 3" xfId="33344"/>
    <cellStyle name="표준 5 2 4 4 2 4" xfId="14328"/>
    <cellStyle name="표준 5 2 4 4 2 4 2" xfId="39680"/>
    <cellStyle name="표준 5 2 4 4 2 5" xfId="27008"/>
    <cellStyle name="표준 5 2 4 4 2 6" xfId="53899"/>
    <cellStyle name="표준 5 2 4 4 3" xfId="4786"/>
    <cellStyle name="표준 5 2 4 4 3 2" xfId="11122"/>
    <cellStyle name="표준 5 2 4 4 3 2 2" xfId="23795"/>
    <cellStyle name="표준 5 2 4 4 3 2 2 2" xfId="49147"/>
    <cellStyle name="표준 5 2 4 4 3 2 3" xfId="36475"/>
    <cellStyle name="표준 5 2 4 4 3 3" xfId="17459"/>
    <cellStyle name="표준 5 2 4 4 3 3 2" xfId="42811"/>
    <cellStyle name="표준 5 2 4 4 3 4" xfId="30139"/>
    <cellStyle name="표준 5 2 4 4 3 5" xfId="53900"/>
    <cellStyle name="표준 5 2 4 4 4" xfId="7990"/>
    <cellStyle name="표준 5 2 4 4 4 2" xfId="20663"/>
    <cellStyle name="표준 5 2 4 4 4 2 2" xfId="46015"/>
    <cellStyle name="표준 5 2 4 4 4 3" xfId="33343"/>
    <cellStyle name="표준 5 2 4 4 5" xfId="14327"/>
    <cellStyle name="표준 5 2 4 4 5 2" xfId="39679"/>
    <cellStyle name="표준 5 2 4 4 6" xfId="27007"/>
    <cellStyle name="표준 5 2 4 4 7" xfId="53901"/>
    <cellStyle name="표준 5 2 4 5" xfId="1655"/>
    <cellStyle name="표준 5 2 4 5 2" xfId="1656"/>
    <cellStyle name="표준 5 2 4 5 2 2" xfId="4787"/>
    <cellStyle name="표준 5 2 4 5 2 2 2" xfId="11123"/>
    <cellStyle name="표준 5 2 4 5 2 2 2 2" xfId="23796"/>
    <cellStyle name="표준 5 2 4 5 2 2 2 2 2" xfId="49148"/>
    <cellStyle name="표준 5 2 4 5 2 2 2 3" xfId="36476"/>
    <cellStyle name="표준 5 2 4 5 2 2 3" xfId="17460"/>
    <cellStyle name="표준 5 2 4 5 2 2 3 2" xfId="42812"/>
    <cellStyle name="표준 5 2 4 5 2 2 4" xfId="30140"/>
    <cellStyle name="표준 5 2 4 5 2 2 5" xfId="53902"/>
    <cellStyle name="표준 5 2 4 5 2 3" xfId="7993"/>
    <cellStyle name="표준 5 2 4 5 2 3 2" xfId="20666"/>
    <cellStyle name="표준 5 2 4 5 2 3 2 2" xfId="46018"/>
    <cellStyle name="표준 5 2 4 5 2 3 3" xfId="33346"/>
    <cellStyle name="표준 5 2 4 5 2 4" xfId="14330"/>
    <cellStyle name="표준 5 2 4 5 2 4 2" xfId="39682"/>
    <cellStyle name="표준 5 2 4 5 2 5" xfId="27010"/>
    <cellStyle name="표준 5 2 4 5 2 6" xfId="53903"/>
    <cellStyle name="표준 5 2 4 5 3" xfId="4788"/>
    <cellStyle name="표준 5 2 4 5 3 2" xfId="11124"/>
    <cellStyle name="표준 5 2 4 5 3 2 2" xfId="23797"/>
    <cellStyle name="표준 5 2 4 5 3 2 2 2" xfId="49149"/>
    <cellStyle name="표준 5 2 4 5 3 2 3" xfId="36477"/>
    <cellStyle name="표준 5 2 4 5 3 3" xfId="17461"/>
    <cellStyle name="표준 5 2 4 5 3 3 2" xfId="42813"/>
    <cellStyle name="표준 5 2 4 5 3 4" xfId="30141"/>
    <cellStyle name="표준 5 2 4 5 3 5" xfId="53904"/>
    <cellStyle name="표준 5 2 4 5 4" xfId="7992"/>
    <cellStyle name="표준 5 2 4 5 4 2" xfId="20665"/>
    <cellStyle name="표준 5 2 4 5 4 2 2" xfId="46017"/>
    <cellStyle name="표준 5 2 4 5 4 3" xfId="33345"/>
    <cellStyle name="표준 5 2 4 5 5" xfId="14329"/>
    <cellStyle name="표준 5 2 4 5 5 2" xfId="39681"/>
    <cellStyle name="표준 5 2 4 5 6" xfId="27009"/>
    <cellStyle name="표준 5 2 4 5 7" xfId="53905"/>
    <cellStyle name="표준 5 2 4 6" xfId="1657"/>
    <cellStyle name="표준 5 2 4 6 2" xfId="1658"/>
    <cellStyle name="표준 5 2 4 6 2 2" xfId="4789"/>
    <cellStyle name="표준 5 2 4 6 2 2 2" xfId="11125"/>
    <cellStyle name="표준 5 2 4 6 2 2 2 2" xfId="23798"/>
    <cellStyle name="표준 5 2 4 6 2 2 2 2 2" xfId="49150"/>
    <cellStyle name="표준 5 2 4 6 2 2 2 3" xfId="36478"/>
    <cellStyle name="표준 5 2 4 6 2 2 3" xfId="17462"/>
    <cellStyle name="표준 5 2 4 6 2 2 3 2" xfId="42814"/>
    <cellStyle name="표준 5 2 4 6 2 2 4" xfId="30142"/>
    <cellStyle name="표준 5 2 4 6 2 2 5" xfId="53906"/>
    <cellStyle name="표준 5 2 4 6 2 3" xfId="7995"/>
    <cellStyle name="표준 5 2 4 6 2 3 2" xfId="20668"/>
    <cellStyle name="표준 5 2 4 6 2 3 2 2" xfId="46020"/>
    <cellStyle name="표준 5 2 4 6 2 3 3" xfId="33348"/>
    <cellStyle name="표준 5 2 4 6 2 4" xfId="14332"/>
    <cellStyle name="표준 5 2 4 6 2 4 2" xfId="39684"/>
    <cellStyle name="표준 5 2 4 6 2 5" xfId="27012"/>
    <cellStyle name="표준 5 2 4 6 2 6" xfId="53907"/>
    <cellStyle name="표준 5 2 4 6 3" xfId="4790"/>
    <cellStyle name="표준 5 2 4 6 3 2" xfId="11126"/>
    <cellStyle name="표준 5 2 4 6 3 2 2" xfId="23799"/>
    <cellStyle name="표준 5 2 4 6 3 2 2 2" xfId="49151"/>
    <cellStyle name="표준 5 2 4 6 3 2 3" xfId="36479"/>
    <cellStyle name="표준 5 2 4 6 3 3" xfId="17463"/>
    <cellStyle name="표준 5 2 4 6 3 3 2" xfId="42815"/>
    <cellStyle name="표준 5 2 4 6 3 4" xfId="30143"/>
    <cellStyle name="표준 5 2 4 6 3 5" xfId="53908"/>
    <cellStyle name="표준 5 2 4 6 4" xfId="7994"/>
    <cellStyle name="표준 5 2 4 6 4 2" xfId="20667"/>
    <cellStyle name="표준 5 2 4 6 4 2 2" xfId="46019"/>
    <cellStyle name="표준 5 2 4 6 4 3" xfId="33347"/>
    <cellStyle name="표준 5 2 4 6 5" xfId="14331"/>
    <cellStyle name="표준 5 2 4 6 5 2" xfId="39683"/>
    <cellStyle name="표준 5 2 4 6 6" xfId="27011"/>
    <cellStyle name="표준 5 2 4 6 7" xfId="53909"/>
    <cellStyle name="표준 5 2 4 7" xfId="1659"/>
    <cellStyle name="표준 5 2 4 7 2" xfId="1660"/>
    <cellStyle name="표준 5 2 4 7 2 2" xfId="4791"/>
    <cellStyle name="표준 5 2 4 7 2 2 2" xfId="11127"/>
    <cellStyle name="표준 5 2 4 7 2 2 2 2" xfId="23800"/>
    <cellStyle name="표준 5 2 4 7 2 2 2 2 2" xfId="49152"/>
    <cellStyle name="표준 5 2 4 7 2 2 2 3" xfId="36480"/>
    <cellStyle name="표준 5 2 4 7 2 2 3" xfId="17464"/>
    <cellStyle name="표준 5 2 4 7 2 2 3 2" xfId="42816"/>
    <cellStyle name="표준 5 2 4 7 2 2 4" xfId="30144"/>
    <cellStyle name="표준 5 2 4 7 2 2 5" xfId="53910"/>
    <cellStyle name="표준 5 2 4 7 2 3" xfId="7997"/>
    <cellStyle name="표준 5 2 4 7 2 3 2" xfId="20670"/>
    <cellStyle name="표준 5 2 4 7 2 3 2 2" xfId="46022"/>
    <cellStyle name="표준 5 2 4 7 2 3 3" xfId="33350"/>
    <cellStyle name="표준 5 2 4 7 2 4" xfId="14334"/>
    <cellStyle name="표준 5 2 4 7 2 4 2" xfId="39686"/>
    <cellStyle name="표준 5 2 4 7 2 5" xfId="27014"/>
    <cellStyle name="표준 5 2 4 7 2 6" xfId="53911"/>
    <cellStyle name="표준 5 2 4 7 3" xfId="4792"/>
    <cellStyle name="표준 5 2 4 7 3 2" xfId="11128"/>
    <cellStyle name="표준 5 2 4 7 3 2 2" xfId="23801"/>
    <cellStyle name="표준 5 2 4 7 3 2 2 2" xfId="49153"/>
    <cellStyle name="표준 5 2 4 7 3 2 3" xfId="36481"/>
    <cellStyle name="표준 5 2 4 7 3 3" xfId="17465"/>
    <cellStyle name="표준 5 2 4 7 3 3 2" xfId="42817"/>
    <cellStyle name="표준 5 2 4 7 3 4" xfId="30145"/>
    <cellStyle name="표준 5 2 4 7 3 5" xfId="53912"/>
    <cellStyle name="표준 5 2 4 7 4" xfId="7996"/>
    <cellStyle name="표준 5 2 4 7 4 2" xfId="20669"/>
    <cellStyle name="표준 5 2 4 7 4 2 2" xfId="46021"/>
    <cellStyle name="표준 5 2 4 7 4 3" xfId="33349"/>
    <cellStyle name="표준 5 2 4 7 5" xfId="14333"/>
    <cellStyle name="표준 5 2 4 7 5 2" xfId="39685"/>
    <cellStyle name="표준 5 2 4 7 6" xfId="27013"/>
    <cellStyle name="표준 5 2 4 7 7" xfId="53913"/>
    <cellStyle name="표준 5 2 4 8" xfId="1661"/>
    <cellStyle name="표준 5 2 4 8 2" xfId="1662"/>
    <cellStyle name="표준 5 2 4 8 2 2" xfId="4793"/>
    <cellStyle name="표준 5 2 4 8 2 2 2" xfId="11129"/>
    <cellStyle name="표준 5 2 4 8 2 2 2 2" xfId="23802"/>
    <cellStyle name="표준 5 2 4 8 2 2 2 2 2" xfId="49154"/>
    <cellStyle name="표준 5 2 4 8 2 2 2 3" xfId="36482"/>
    <cellStyle name="표준 5 2 4 8 2 2 3" xfId="17466"/>
    <cellStyle name="표준 5 2 4 8 2 2 3 2" xfId="42818"/>
    <cellStyle name="표준 5 2 4 8 2 2 4" xfId="30146"/>
    <cellStyle name="표준 5 2 4 8 2 2 5" xfId="53914"/>
    <cellStyle name="표준 5 2 4 8 2 3" xfId="7999"/>
    <cellStyle name="표준 5 2 4 8 2 3 2" xfId="20672"/>
    <cellStyle name="표준 5 2 4 8 2 3 2 2" xfId="46024"/>
    <cellStyle name="표준 5 2 4 8 2 3 3" xfId="33352"/>
    <cellStyle name="표준 5 2 4 8 2 4" xfId="14336"/>
    <cellStyle name="표준 5 2 4 8 2 4 2" xfId="39688"/>
    <cellStyle name="표준 5 2 4 8 2 5" xfId="27016"/>
    <cellStyle name="표준 5 2 4 8 2 6" xfId="53915"/>
    <cellStyle name="표준 5 2 4 8 3" xfId="4794"/>
    <cellStyle name="표준 5 2 4 8 3 2" xfId="11130"/>
    <cellStyle name="표준 5 2 4 8 3 2 2" xfId="23803"/>
    <cellStyle name="표준 5 2 4 8 3 2 2 2" xfId="49155"/>
    <cellStyle name="표준 5 2 4 8 3 2 3" xfId="36483"/>
    <cellStyle name="표준 5 2 4 8 3 3" xfId="17467"/>
    <cellStyle name="표준 5 2 4 8 3 3 2" xfId="42819"/>
    <cellStyle name="표준 5 2 4 8 3 4" xfId="30147"/>
    <cellStyle name="표준 5 2 4 8 3 5" xfId="53916"/>
    <cellStyle name="표준 5 2 4 8 4" xfId="7998"/>
    <cellStyle name="표준 5 2 4 8 4 2" xfId="20671"/>
    <cellStyle name="표준 5 2 4 8 4 2 2" xfId="46023"/>
    <cellStyle name="표준 5 2 4 8 4 3" xfId="33351"/>
    <cellStyle name="표준 5 2 4 8 5" xfId="14335"/>
    <cellStyle name="표준 5 2 4 8 5 2" xfId="39687"/>
    <cellStyle name="표준 5 2 4 8 6" xfId="27015"/>
    <cellStyle name="표준 5 2 4 8 7" xfId="53917"/>
    <cellStyle name="표준 5 2 4 9" xfId="1663"/>
    <cellStyle name="표준 5 2 4 9 2" xfId="1664"/>
    <cellStyle name="표준 5 2 4 9 2 2" xfId="4795"/>
    <cellStyle name="표준 5 2 4 9 2 2 2" xfId="11131"/>
    <cellStyle name="표준 5 2 4 9 2 2 2 2" xfId="23804"/>
    <cellStyle name="표준 5 2 4 9 2 2 2 2 2" xfId="49156"/>
    <cellStyle name="표준 5 2 4 9 2 2 2 3" xfId="36484"/>
    <cellStyle name="표준 5 2 4 9 2 2 3" xfId="17468"/>
    <cellStyle name="표준 5 2 4 9 2 2 3 2" xfId="42820"/>
    <cellStyle name="표준 5 2 4 9 2 2 4" xfId="30148"/>
    <cellStyle name="표준 5 2 4 9 2 2 5" xfId="53918"/>
    <cellStyle name="표준 5 2 4 9 2 3" xfId="8001"/>
    <cellStyle name="표준 5 2 4 9 2 3 2" xfId="20674"/>
    <cellStyle name="표준 5 2 4 9 2 3 2 2" xfId="46026"/>
    <cellStyle name="표준 5 2 4 9 2 3 3" xfId="33354"/>
    <cellStyle name="표준 5 2 4 9 2 4" xfId="14338"/>
    <cellStyle name="표준 5 2 4 9 2 4 2" xfId="39690"/>
    <cellStyle name="표준 5 2 4 9 2 5" xfId="27018"/>
    <cellStyle name="표준 5 2 4 9 2 6" xfId="53919"/>
    <cellStyle name="표준 5 2 4 9 3" xfId="4796"/>
    <cellStyle name="표준 5 2 4 9 3 2" xfId="11132"/>
    <cellStyle name="표준 5 2 4 9 3 2 2" xfId="23805"/>
    <cellStyle name="표준 5 2 4 9 3 2 2 2" xfId="49157"/>
    <cellStyle name="표준 5 2 4 9 3 2 3" xfId="36485"/>
    <cellStyle name="표준 5 2 4 9 3 3" xfId="17469"/>
    <cellStyle name="표준 5 2 4 9 3 3 2" xfId="42821"/>
    <cellStyle name="표준 5 2 4 9 3 4" xfId="30149"/>
    <cellStyle name="표준 5 2 4 9 3 5" xfId="53920"/>
    <cellStyle name="표준 5 2 4 9 4" xfId="8000"/>
    <cellStyle name="표준 5 2 4 9 4 2" xfId="20673"/>
    <cellStyle name="표준 5 2 4 9 4 2 2" xfId="46025"/>
    <cellStyle name="표준 5 2 4 9 4 3" xfId="33353"/>
    <cellStyle name="표준 5 2 4 9 5" xfId="14337"/>
    <cellStyle name="표준 5 2 4 9 5 2" xfId="39689"/>
    <cellStyle name="표준 5 2 4 9 6" xfId="27017"/>
    <cellStyle name="표준 5 2 4 9 7" xfId="53921"/>
    <cellStyle name="표준 5 2 40" xfId="12712"/>
    <cellStyle name="표준 5 2 40 2" xfId="38064"/>
    <cellStyle name="표준 5 2 41" xfId="25392"/>
    <cellStyle name="표준 5 2 42" xfId="53922"/>
    <cellStyle name="표준 5 2 5" xfId="80"/>
    <cellStyle name="표준 5 2 5 2" xfId="1665"/>
    <cellStyle name="표준 5 2 5 2 2" xfId="4797"/>
    <cellStyle name="표준 5 2 5 2 2 2" xfId="11133"/>
    <cellStyle name="표준 5 2 5 2 2 2 2" xfId="23806"/>
    <cellStyle name="표준 5 2 5 2 2 2 2 2" xfId="49158"/>
    <cellStyle name="표준 5 2 5 2 2 2 3" xfId="36486"/>
    <cellStyle name="표준 5 2 5 2 2 3" xfId="17470"/>
    <cellStyle name="표준 5 2 5 2 2 3 2" xfId="42822"/>
    <cellStyle name="표준 5 2 5 2 2 4" xfId="30150"/>
    <cellStyle name="표준 5 2 5 2 2 5" xfId="53923"/>
    <cellStyle name="표준 5 2 5 2 3" xfId="8002"/>
    <cellStyle name="표준 5 2 5 2 3 2" xfId="20675"/>
    <cellStyle name="표준 5 2 5 2 3 2 2" xfId="46027"/>
    <cellStyle name="표준 5 2 5 2 3 3" xfId="33355"/>
    <cellStyle name="표준 5 2 5 2 4" xfId="14339"/>
    <cellStyle name="표준 5 2 5 2 4 2" xfId="39691"/>
    <cellStyle name="표준 5 2 5 2 5" xfId="27019"/>
    <cellStyle name="표준 5 2 5 2 6" xfId="53924"/>
    <cellStyle name="표준 5 2 5 3" xfId="4798"/>
    <cellStyle name="표준 5 2 5 3 2" xfId="11134"/>
    <cellStyle name="표준 5 2 5 3 2 2" xfId="23807"/>
    <cellStyle name="표준 5 2 5 3 2 2 2" xfId="49159"/>
    <cellStyle name="표준 5 2 5 3 2 3" xfId="36487"/>
    <cellStyle name="표준 5 2 5 3 3" xfId="17471"/>
    <cellStyle name="표준 5 2 5 3 3 2" xfId="42823"/>
    <cellStyle name="표준 5 2 5 3 4" xfId="30151"/>
    <cellStyle name="표준 5 2 5 3 5" xfId="53925"/>
    <cellStyle name="표준 5 2 5 4" xfId="6418"/>
    <cellStyle name="표준 5 2 5 4 2" xfId="19091"/>
    <cellStyle name="표준 5 2 5 4 2 2" xfId="44443"/>
    <cellStyle name="표준 5 2 5 4 3" xfId="31771"/>
    <cellStyle name="표준 5 2 5 5" xfId="12755"/>
    <cellStyle name="표준 5 2 5 5 2" xfId="38107"/>
    <cellStyle name="표준 5 2 5 6" xfId="25435"/>
    <cellStyle name="표준 5 2 5 7" xfId="53926"/>
    <cellStyle name="표준 5 2 6" xfId="1666"/>
    <cellStyle name="표준 5 2 6 2" xfId="1667"/>
    <cellStyle name="표준 5 2 6 2 2" xfId="4799"/>
    <cellStyle name="표준 5 2 6 2 2 2" xfId="11135"/>
    <cellStyle name="표준 5 2 6 2 2 2 2" xfId="23808"/>
    <cellStyle name="표준 5 2 6 2 2 2 2 2" xfId="49160"/>
    <cellStyle name="표준 5 2 6 2 2 2 3" xfId="36488"/>
    <cellStyle name="표준 5 2 6 2 2 3" xfId="17472"/>
    <cellStyle name="표준 5 2 6 2 2 3 2" xfId="42824"/>
    <cellStyle name="표준 5 2 6 2 2 4" xfId="30152"/>
    <cellStyle name="표준 5 2 6 2 2 5" xfId="53927"/>
    <cellStyle name="표준 5 2 6 2 3" xfId="8004"/>
    <cellStyle name="표준 5 2 6 2 3 2" xfId="20677"/>
    <cellStyle name="표준 5 2 6 2 3 2 2" xfId="46029"/>
    <cellStyle name="표준 5 2 6 2 3 3" xfId="33357"/>
    <cellStyle name="표준 5 2 6 2 4" xfId="14341"/>
    <cellStyle name="표준 5 2 6 2 4 2" xfId="39693"/>
    <cellStyle name="표준 5 2 6 2 5" xfId="27021"/>
    <cellStyle name="표준 5 2 6 2 6" xfId="53928"/>
    <cellStyle name="표준 5 2 6 3" xfId="4800"/>
    <cellStyle name="표준 5 2 6 3 2" xfId="11136"/>
    <cellStyle name="표준 5 2 6 3 2 2" xfId="23809"/>
    <cellStyle name="표준 5 2 6 3 2 2 2" xfId="49161"/>
    <cellStyle name="표준 5 2 6 3 2 3" xfId="36489"/>
    <cellStyle name="표준 5 2 6 3 3" xfId="17473"/>
    <cellStyle name="표준 5 2 6 3 3 2" xfId="42825"/>
    <cellStyle name="표준 5 2 6 3 4" xfId="30153"/>
    <cellStyle name="표준 5 2 6 3 5" xfId="53929"/>
    <cellStyle name="표준 5 2 6 4" xfId="8003"/>
    <cellStyle name="표준 5 2 6 4 2" xfId="20676"/>
    <cellStyle name="표준 5 2 6 4 2 2" xfId="46028"/>
    <cellStyle name="표준 5 2 6 4 3" xfId="33356"/>
    <cellStyle name="표준 5 2 6 5" xfId="14340"/>
    <cellStyle name="표준 5 2 6 5 2" xfId="39692"/>
    <cellStyle name="표준 5 2 6 6" xfId="27020"/>
    <cellStyle name="표준 5 2 6 7" xfId="53930"/>
    <cellStyle name="표준 5 2 7" xfId="1668"/>
    <cellStyle name="표준 5 2 7 2" xfId="1669"/>
    <cellStyle name="표준 5 2 7 2 2" xfId="4801"/>
    <cellStyle name="표준 5 2 7 2 2 2" xfId="11137"/>
    <cellStyle name="표준 5 2 7 2 2 2 2" xfId="23810"/>
    <cellStyle name="표준 5 2 7 2 2 2 2 2" xfId="49162"/>
    <cellStyle name="표준 5 2 7 2 2 2 3" xfId="36490"/>
    <cellStyle name="표준 5 2 7 2 2 3" xfId="17474"/>
    <cellStyle name="표준 5 2 7 2 2 3 2" xfId="42826"/>
    <cellStyle name="표준 5 2 7 2 2 4" xfId="30154"/>
    <cellStyle name="표준 5 2 7 2 2 5" xfId="53931"/>
    <cellStyle name="표준 5 2 7 2 3" xfId="8006"/>
    <cellStyle name="표준 5 2 7 2 3 2" xfId="20679"/>
    <cellStyle name="표준 5 2 7 2 3 2 2" xfId="46031"/>
    <cellStyle name="표준 5 2 7 2 3 3" xfId="33359"/>
    <cellStyle name="표준 5 2 7 2 4" xfId="14343"/>
    <cellStyle name="표준 5 2 7 2 4 2" xfId="39695"/>
    <cellStyle name="표준 5 2 7 2 5" xfId="27023"/>
    <cellStyle name="표준 5 2 7 2 6" xfId="53932"/>
    <cellStyle name="표준 5 2 7 3" xfId="4802"/>
    <cellStyle name="표준 5 2 7 3 2" xfId="11138"/>
    <cellStyle name="표준 5 2 7 3 2 2" xfId="23811"/>
    <cellStyle name="표준 5 2 7 3 2 2 2" xfId="49163"/>
    <cellStyle name="표준 5 2 7 3 2 3" xfId="36491"/>
    <cellStyle name="표준 5 2 7 3 3" xfId="17475"/>
    <cellStyle name="표준 5 2 7 3 3 2" xfId="42827"/>
    <cellStyle name="표준 5 2 7 3 4" xfId="30155"/>
    <cellStyle name="표준 5 2 7 3 5" xfId="53933"/>
    <cellStyle name="표준 5 2 7 4" xfId="8005"/>
    <cellStyle name="표준 5 2 7 4 2" xfId="20678"/>
    <cellStyle name="표준 5 2 7 4 2 2" xfId="46030"/>
    <cellStyle name="표준 5 2 7 4 3" xfId="33358"/>
    <cellStyle name="표준 5 2 7 5" xfId="14342"/>
    <cellStyle name="표준 5 2 7 5 2" xfId="39694"/>
    <cellStyle name="표준 5 2 7 6" xfId="27022"/>
    <cellStyle name="표준 5 2 7 7" xfId="53934"/>
    <cellStyle name="표준 5 2 8" xfId="1670"/>
    <cellStyle name="표준 5 2 8 2" xfId="1671"/>
    <cellStyle name="표준 5 2 8 2 2" xfId="4803"/>
    <cellStyle name="표준 5 2 8 2 2 2" xfId="11139"/>
    <cellStyle name="표준 5 2 8 2 2 2 2" xfId="23812"/>
    <cellStyle name="표준 5 2 8 2 2 2 2 2" xfId="49164"/>
    <cellStyle name="표준 5 2 8 2 2 2 3" xfId="36492"/>
    <cellStyle name="표준 5 2 8 2 2 3" xfId="17476"/>
    <cellStyle name="표준 5 2 8 2 2 3 2" xfId="42828"/>
    <cellStyle name="표준 5 2 8 2 2 4" xfId="30156"/>
    <cellStyle name="표준 5 2 8 2 2 5" xfId="53935"/>
    <cellStyle name="표준 5 2 8 2 3" xfId="8008"/>
    <cellStyle name="표준 5 2 8 2 3 2" xfId="20681"/>
    <cellStyle name="표준 5 2 8 2 3 2 2" xfId="46033"/>
    <cellStyle name="표준 5 2 8 2 3 3" xfId="33361"/>
    <cellStyle name="표준 5 2 8 2 4" xfId="14345"/>
    <cellStyle name="표준 5 2 8 2 4 2" xfId="39697"/>
    <cellStyle name="표준 5 2 8 2 5" xfId="27025"/>
    <cellStyle name="표준 5 2 8 2 6" xfId="53936"/>
    <cellStyle name="표준 5 2 8 3" xfId="4804"/>
    <cellStyle name="표준 5 2 8 3 2" xfId="11140"/>
    <cellStyle name="표준 5 2 8 3 2 2" xfId="23813"/>
    <cellStyle name="표준 5 2 8 3 2 2 2" xfId="49165"/>
    <cellStyle name="표준 5 2 8 3 2 3" xfId="36493"/>
    <cellStyle name="표준 5 2 8 3 3" xfId="17477"/>
    <cellStyle name="표준 5 2 8 3 3 2" xfId="42829"/>
    <cellStyle name="표준 5 2 8 3 4" xfId="30157"/>
    <cellStyle name="표준 5 2 8 3 5" xfId="53937"/>
    <cellStyle name="표준 5 2 8 4" xfId="8007"/>
    <cellStyle name="표준 5 2 8 4 2" xfId="20680"/>
    <cellStyle name="표준 5 2 8 4 2 2" xfId="46032"/>
    <cellStyle name="표준 5 2 8 4 3" xfId="33360"/>
    <cellStyle name="표준 5 2 8 5" xfId="14344"/>
    <cellStyle name="표준 5 2 8 5 2" xfId="39696"/>
    <cellStyle name="표준 5 2 8 6" xfId="27024"/>
    <cellStyle name="표준 5 2 8 7" xfId="53938"/>
    <cellStyle name="표준 5 2 9" xfId="1672"/>
    <cellStyle name="표준 5 2 9 2" xfId="1673"/>
    <cellStyle name="표준 5 2 9 2 2" xfId="4805"/>
    <cellStyle name="표준 5 2 9 2 2 2" xfId="11141"/>
    <cellStyle name="표준 5 2 9 2 2 2 2" xfId="23814"/>
    <cellStyle name="표준 5 2 9 2 2 2 2 2" xfId="49166"/>
    <cellStyle name="표준 5 2 9 2 2 2 3" xfId="36494"/>
    <cellStyle name="표준 5 2 9 2 2 3" xfId="17478"/>
    <cellStyle name="표준 5 2 9 2 2 3 2" xfId="42830"/>
    <cellStyle name="표준 5 2 9 2 2 4" xfId="30158"/>
    <cellStyle name="표준 5 2 9 2 2 5" xfId="53939"/>
    <cellStyle name="표준 5 2 9 2 3" xfId="8010"/>
    <cellStyle name="표준 5 2 9 2 3 2" xfId="20683"/>
    <cellStyle name="표준 5 2 9 2 3 2 2" xfId="46035"/>
    <cellStyle name="표준 5 2 9 2 3 3" xfId="33363"/>
    <cellStyle name="표준 5 2 9 2 4" xfId="14347"/>
    <cellStyle name="표준 5 2 9 2 4 2" xfId="39699"/>
    <cellStyle name="표준 5 2 9 2 5" xfId="27027"/>
    <cellStyle name="표준 5 2 9 2 6" xfId="53940"/>
    <cellStyle name="표준 5 2 9 3" xfId="4806"/>
    <cellStyle name="표준 5 2 9 3 2" xfId="11142"/>
    <cellStyle name="표준 5 2 9 3 2 2" xfId="23815"/>
    <cellStyle name="표준 5 2 9 3 2 2 2" xfId="49167"/>
    <cellStyle name="표준 5 2 9 3 2 3" xfId="36495"/>
    <cellStyle name="표준 5 2 9 3 3" xfId="17479"/>
    <cellStyle name="표준 5 2 9 3 3 2" xfId="42831"/>
    <cellStyle name="표준 5 2 9 3 4" xfId="30159"/>
    <cellStyle name="표준 5 2 9 3 5" xfId="53941"/>
    <cellStyle name="표준 5 2 9 4" xfId="8009"/>
    <cellStyle name="표준 5 2 9 4 2" xfId="20682"/>
    <cellStyle name="표준 5 2 9 4 2 2" xfId="46034"/>
    <cellStyle name="표준 5 2 9 4 3" xfId="33362"/>
    <cellStyle name="표준 5 2 9 5" xfId="14346"/>
    <cellStyle name="표준 5 2 9 5 2" xfId="39698"/>
    <cellStyle name="표준 5 2 9 6" xfId="27026"/>
    <cellStyle name="표준 5 2 9 7" xfId="53942"/>
    <cellStyle name="표준 5 20" xfId="1674"/>
    <cellStyle name="표준 5 20 2" xfId="1675"/>
    <cellStyle name="표준 5 20 2 2" xfId="4807"/>
    <cellStyle name="표준 5 20 2 2 2" xfId="11143"/>
    <cellStyle name="표준 5 20 2 2 2 2" xfId="23816"/>
    <cellStyle name="표준 5 20 2 2 2 2 2" xfId="49168"/>
    <cellStyle name="표준 5 20 2 2 2 3" xfId="36496"/>
    <cellStyle name="표준 5 20 2 2 3" xfId="17480"/>
    <cellStyle name="표준 5 20 2 2 3 2" xfId="42832"/>
    <cellStyle name="표준 5 20 2 2 4" xfId="30160"/>
    <cellStyle name="표준 5 20 2 2 5" xfId="53943"/>
    <cellStyle name="표준 5 20 2 3" xfId="8012"/>
    <cellStyle name="표준 5 20 2 3 2" xfId="20685"/>
    <cellStyle name="표준 5 20 2 3 2 2" xfId="46037"/>
    <cellStyle name="표준 5 20 2 3 3" xfId="33365"/>
    <cellStyle name="표준 5 20 2 4" xfId="14349"/>
    <cellStyle name="표준 5 20 2 4 2" xfId="39701"/>
    <cellStyle name="표준 5 20 2 5" xfId="27029"/>
    <cellStyle name="표준 5 20 2 6" xfId="53944"/>
    <cellStyle name="표준 5 20 3" xfId="4808"/>
    <cellStyle name="표준 5 20 3 2" xfId="11144"/>
    <cellStyle name="표준 5 20 3 2 2" xfId="23817"/>
    <cellStyle name="표준 5 20 3 2 2 2" xfId="49169"/>
    <cellStyle name="표준 5 20 3 2 3" xfId="36497"/>
    <cellStyle name="표준 5 20 3 3" xfId="17481"/>
    <cellStyle name="표준 5 20 3 3 2" xfId="42833"/>
    <cellStyle name="표준 5 20 3 4" xfId="30161"/>
    <cellStyle name="표준 5 20 3 5" xfId="53945"/>
    <cellStyle name="표준 5 20 4" xfId="8011"/>
    <cellStyle name="표준 5 20 4 2" xfId="20684"/>
    <cellStyle name="표준 5 20 4 2 2" xfId="46036"/>
    <cellStyle name="표준 5 20 4 3" xfId="33364"/>
    <cellStyle name="표준 5 20 5" xfId="14348"/>
    <cellStyle name="표준 5 20 5 2" xfId="39700"/>
    <cellStyle name="표준 5 20 6" xfId="27028"/>
    <cellStyle name="표준 5 20 7" xfId="53946"/>
    <cellStyle name="표준 5 21" xfId="1676"/>
    <cellStyle name="표준 5 21 2" xfId="1677"/>
    <cellStyle name="표준 5 21 2 2" xfId="4809"/>
    <cellStyle name="표준 5 21 2 2 2" xfId="11145"/>
    <cellStyle name="표준 5 21 2 2 2 2" xfId="23818"/>
    <cellStyle name="표준 5 21 2 2 2 2 2" xfId="49170"/>
    <cellStyle name="표준 5 21 2 2 2 3" xfId="36498"/>
    <cellStyle name="표준 5 21 2 2 3" xfId="17482"/>
    <cellStyle name="표준 5 21 2 2 3 2" xfId="42834"/>
    <cellStyle name="표준 5 21 2 2 4" xfId="30162"/>
    <cellStyle name="표준 5 21 2 2 5" xfId="53947"/>
    <cellStyle name="표준 5 21 2 3" xfId="8014"/>
    <cellStyle name="표준 5 21 2 3 2" xfId="20687"/>
    <cellStyle name="표준 5 21 2 3 2 2" xfId="46039"/>
    <cellStyle name="표준 5 21 2 3 3" xfId="33367"/>
    <cellStyle name="표준 5 21 2 4" xfId="14351"/>
    <cellStyle name="표준 5 21 2 4 2" xfId="39703"/>
    <cellStyle name="표준 5 21 2 5" xfId="27031"/>
    <cellStyle name="표준 5 21 2 6" xfId="53948"/>
    <cellStyle name="표준 5 21 3" xfId="4810"/>
    <cellStyle name="표준 5 21 3 2" xfId="11146"/>
    <cellStyle name="표준 5 21 3 2 2" xfId="23819"/>
    <cellStyle name="표준 5 21 3 2 2 2" xfId="49171"/>
    <cellStyle name="표준 5 21 3 2 3" xfId="36499"/>
    <cellStyle name="표준 5 21 3 3" xfId="17483"/>
    <cellStyle name="표준 5 21 3 3 2" xfId="42835"/>
    <cellStyle name="표준 5 21 3 4" xfId="30163"/>
    <cellStyle name="표준 5 21 3 5" xfId="53949"/>
    <cellStyle name="표준 5 21 4" xfId="8013"/>
    <cellStyle name="표준 5 21 4 2" xfId="20686"/>
    <cellStyle name="표준 5 21 4 2 2" xfId="46038"/>
    <cellStyle name="표준 5 21 4 3" xfId="33366"/>
    <cellStyle name="표준 5 21 5" xfId="14350"/>
    <cellStyle name="표준 5 21 5 2" xfId="39702"/>
    <cellStyle name="표준 5 21 6" xfId="27030"/>
    <cellStyle name="표준 5 21 7" xfId="53950"/>
    <cellStyle name="표준 5 22" xfId="1678"/>
    <cellStyle name="표준 5 22 2" xfId="1679"/>
    <cellStyle name="표준 5 22 2 2" xfId="4811"/>
    <cellStyle name="표준 5 22 2 2 2" xfId="11147"/>
    <cellStyle name="표준 5 22 2 2 2 2" xfId="23820"/>
    <cellStyle name="표준 5 22 2 2 2 2 2" xfId="49172"/>
    <cellStyle name="표준 5 22 2 2 2 3" xfId="36500"/>
    <cellStyle name="표준 5 22 2 2 3" xfId="17484"/>
    <cellStyle name="표준 5 22 2 2 3 2" xfId="42836"/>
    <cellStyle name="표준 5 22 2 2 4" xfId="30164"/>
    <cellStyle name="표준 5 22 2 2 5" xfId="53951"/>
    <cellStyle name="표준 5 22 2 3" xfId="8016"/>
    <cellStyle name="표준 5 22 2 3 2" xfId="20689"/>
    <cellStyle name="표준 5 22 2 3 2 2" xfId="46041"/>
    <cellStyle name="표준 5 22 2 3 3" xfId="33369"/>
    <cellStyle name="표준 5 22 2 4" xfId="14353"/>
    <cellStyle name="표준 5 22 2 4 2" xfId="39705"/>
    <cellStyle name="표준 5 22 2 5" xfId="27033"/>
    <cellStyle name="표준 5 22 2 6" xfId="53952"/>
    <cellStyle name="표준 5 22 3" xfId="4812"/>
    <cellStyle name="표준 5 22 3 2" xfId="11148"/>
    <cellStyle name="표준 5 22 3 2 2" xfId="23821"/>
    <cellStyle name="표준 5 22 3 2 2 2" xfId="49173"/>
    <cellStyle name="표준 5 22 3 2 3" xfId="36501"/>
    <cellStyle name="표준 5 22 3 3" xfId="17485"/>
    <cellStyle name="표준 5 22 3 3 2" xfId="42837"/>
    <cellStyle name="표준 5 22 3 4" xfId="30165"/>
    <cellStyle name="표준 5 22 3 5" xfId="53953"/>
    <cellStyle name="표준 5 22 4" xfId="8015"/>
    <cellStyle name="표준 5 22 4 2" xfId="20688"/>
    <cellStyle name="표준 5 22 4 2 2" xfId="46040"/>
    <cellStyle name="표준 5 22 4 3" xfId="33368"/>
    <cellStyle name="표준 5 22 5" xfId="14352"/>
    <cellStyle name="표준 5 22 5 2" xfId="39704"/>
    <cellStyle name="표준 5 22 6" xfId="27032"/>
    <cellStyle name="표준 5 22 7" xfId="53954"/>
    <cellStyle name="표준 5 23" xfId="1680"/>
    <cellStyle name="표준 5 23 2" xfId="1681"/>
    <cellStyle name="표준 5 23 2 2" xfId="4813"/>
    <cellStyle name="표준 5 23 2 2 2" xfId="11149"/>
    <cellStyle name="표준 5 23 2 2 2 2" xfId="23822"/>
    <cellStyle name="표준 5 23 2 2 2 2 2" xfId="49174"/>
    <cellStyle name="표준 5 23 2 2 2 3" xfId="36502"/>
    <cellStyle name="표준 5 23 2 2 3" xfId="17486"/>
    <cellStyle name="표준 5 23 2 2 3 2" xfId="42838"/>
    <cellStyle name="표준 5 23 2 2 4" xfId="30166"/>
    <cellStyle name="표준 5 23 2 2 5" xfId="53955"/>
    <cellStyle name="표준 5 23 2 3" xfId="8018"/>
    <cellStyle name="표준 5 23 2 3 2" xfId="20691"/>
    <cellStyle name="표준 5 23 2 3 2 2" xfId="46043"/>
    <cellStyle name="표준 5 23 2 3 3" xfId="33371"/>
    <cellStyle name="표준 5 23 2 4" xfId="14355"/>
    <cellStyle name="표준 5 23 2 4 2" xfId="39707"/>
    <cellStyle name="표준 5 23 2 5" xfId="27035"/>
    <cellStyle name="표준 5 23 2 6" xfId="53956"/>
    <cellStyle name="표준 5 23 3" xfId="4814"/>
    <cellStyle name="표준 5 23 3 2" xfId="11150"/>
    <cellStyle name="표준 5 23 3 2 2" xfId="23823"/>
    <cellStyle name="표준 5 23 3 2 2 2" xfId="49175"/>
    <cellStyle name="표준 5 23 3 2 3" xfId="36503"/>
    <cellStyle name="표준 5 23 3 3" xfId="17487"/>
    <cellStyle name="표준 5 23 3 3 2" xfId="42839"/>
    <cellStyle name="표준 5 23 3 4" xfId="30167"/>
    <cellStyle name="표준 5 23 3 5" xfId="53957"/>
    <cellStyle name="표준 5 23 4" xfId="8017"/>
    <cellStyle name="표준 5 23 4 2" xfId="20690"/>
    <cellStyle name="표준 5 23 4 2 2" xfId="46042"/>
    <cellStyle name="표준 5 23 4 3" xfId="33370"/>
    <cellStyle name="표준 5 23 5" xfId="14354"/>
    <cellStyle name="표준 5 23 5 2" xfId="39706"/>
    <cellStyle name="표준 5 23 6" xfId="27034"/>
    <cellStyle name="표준 5 23 7" xfId="53958"/>
    <cellStyle name="표준 5 24" xfId="1682"/>
    <cellStyle name="표준 5 24 2" xfId="1683"/>
    <cellStyle name="표준 5 24 2 2" xfId="4815"/>
    <cellStyle name="표준 5 24 2 2 2" xfId="11151"/>
    <cellStyle name="표준 5 24 2 2 2 2" xfId="23824"/>
    <cellStyle name="표준 5 24 2 2 2 2 2" xfId="49176"/>
    <cellStyle name="표준 5 24 2 2 2 3" xfId="36504"/>
    <cellStyle name="표준 5 24 2 2 3" xfId="17488"/>
    <cellStyle name="표준 5 24 2 2 3 2" xfId="42840"/>
    <cellStyle name="표준 5 24 2 2 4" xfId="30168"/>
    <cellStyle name="표준 5 24 2 2 5" xfId="53959"/>
    <cellStyle name="표준 5 24 2 3" xfId="8020"/>
    <cellStyle name="표준 5 24 2 3 2" xfId="20693"/>
    <cellStyle name="표준 5 24 2 3 2 2" xfId="46045"/>
    <cellStyle name="표준 5 24 2 3 3" xfId="33373"/>
    <cellStyle name="표준 5 24 2 4" xfId="14357"/>
    <cellStyle name="표준 5 24 2 4 2" xfId="39709"/>
    <cellStyle name="표준 5 24 2 5" xfId="27037"/>
    <cellStyle name="표준 5 24 2 6" xfId="53960"/>
    <cellStyle name="표준 5 24 3" xfId="4816"/>
    <cellStyle name="표준 5 24 3 2" xfId="11152"/>
    <cellStyle name="표준 5 24 3 2 2" xfId="23825"/>
    <cellStyle name="표준 5 24 3 2 2 2" xfId="49177"/>
    <cellStyle name="표준 5 24 3 2 3" xfId="36505"/>
    <cellStyle name="표준 5 24 3 3" xfId="17489"/>
    <cellStyle name="표준 5 24 3 3 2" xfId="42841"/>
    <cellStyle name="표준 5 24 3 4" xfId="30169"/>
    <cellStyle name="표준 5 24 3 5" xfId="53961"/>
    <cellStyle name="표준 5 24 4" xfId="8019"/>
    <cellStyle name="표준 5 24 4 2" xfId="20692"/>
    <cellStyle name="표준 5 24 4 2 2" xfId="46044"/>
    <cellStyle name="표준 5 24 4 3" xfId="33372"/>
    <cellStyle name="표준 5 24 5" xfId="14356"/>
    <cellStyle name="표준 5 24 5 2" xfId="39708"/>
    <cellStyle name="표준 5 24 6" xfId="27036"/>
    <cellStyle name="표준 5 24 7" xfId="53962"/>
    <cellStyle name="표준 5 25" xfId="1684"/>
    <cellStyle name="표준 5 25 2" xfId="1685"/>
    <cellStyle name="표준 5 25 2 2" xfId="4817"/>
    <cellStyle name="표준 5 25 2 2 2" xfId="11153"/>
    <cellStyle name="표준 5 25 2 2 2 2" xfId="23826"/>
    <cellStyle name="표준 5 25 2 2 2 2 2" xfId="49178"/>
    <cellStyle name="표준 5 25 2 2 2 3" xfId="36506"/>
    <cellStyle name="표준 5 25 2 2 3" xfId="17490"/>
    <cellStyle name="표준 5 25 2 2 3 2" xfId="42842"/>
    <cellStyle name="표준 5 25 2 2 4" xfId="30170"/>
    <cellStyle name="표준 5 25 2 2 5" xfId="53963"/>
    <cellStyle name="표준 5 25 2 3" xfId="8022"/>
    <cellStyle name="표준 5 25 2 3 2" xfId="20695"/>
    <cellStyle name="표준 5 25 2 3 2 2" xfId="46047"/>
    <cellStyle name="표준 5 25 2 3 3" xfId="33375"/>
    <cellStyle name="표준 5 25 2 4" xfId="14359"/>
    <cellStyle name="표준 5 25 2 4 2" xfId="39711"/>
    <cellStyle name="표준 5 25 2 5" xfId="27039"/>
    <cellStyle name="표준 5 25 2 6" xfId="53964"/>
    <cellStyle name="표준 5 25 3" xfId="4818"/>
    <cellStyle name="표준 5 25 3 2" xfId="11154"/>
    <cellStyle name="표준 5 25 3 2 2" xfId="23827"/>
    <cellStyle name="표준 5 25 3 2 2 2" xfId="49179"/>
    <cellStyle name="표준 5 25 3 2 3" xfId="36507"/>
    <cellStyle name="표준 5 25 3 3" xfId="17491"/>
    <cellStyle name="표준 5 25 3 3 2" xfId="42843"/>
    <cellStyle name="표준 5 25 3 4" xfId="30171"/>
    <cellStyle name="표준 5 25 3 5" xfId="53965"/>
    <cellStyle name="표준 5 25 4" xfId="8021"/>
    <cellStyle name="표준 5 25 4 2" xfId="20694"/>
    <cellStyle name="표준 5 25 4 2 2" xfId="46046"/>
    <cellStyle name="표준 5 25 4 3" xfId="33374"/>
    <cellStyle name="표준 5 25 5" xfId="14358"/>
    <cellStyle name="표준 5 25 5 2" xfId="39710"/>
    <cellStyle name="표준 5 25 6" xfId="27038"/>
    <cellStyle name="표준 5 25 7" xfId="53966"/>
    <cellStyle name="표준 5 26" xfId="1686"/>
    <cellStyle name="표준 5 26 2" xfId="1687"/>
    <cellStyle name="표준 5 26 2 2" xfId="4819"/>
    <cellStyle name="표준 5 26 2 2 2" xfId="11155"/>
    <cellStyle name="표준 5 26 2 2 2 2" xfId="23828"/>
    <cellStyle name="표준 5 26 2 2 2 2 2" xfId="49180"/>
    <cellStyle name="표준 5 26 2 2 2 3" xfId="36508"/>
    <cellStyle name="표준 5 26 2 2 3" xfId="17492"/>
    <cellStyle name="표준 5 26 2 2 3 2" xfId="42844"/>
    <cellStyle name="표준 5 26 2 2 4" xfId="30172"/>
    <cellStyle name="표준 5 26 2 2 5" xfId="53967"/>
    <cellStyle name="표준 5 26 2 3" xfId="8024"/>
    <cellStyle name="표준 5 26 2 3 2" xfId="20697"/>
    <cellStyle name="표준 5 26 2 3 2 2" xfId="46049"/>
    <cellStyle name="표준 5 26 2 3 3" xfId="33377"/>
    <cellStyle name="표준 5 26 2 4" xfId="14361"/>
    <cellStyle name="표준 5 26 2 4 2" xfId="39713"/>
    <cellStyle name="표준 5 26 2 5" xfId="27041"/>
    <cellStyle name="표준 5 26 2 6" xfId="53968"/>
    <cellStyle name="표준 5 26 3" xfId="4820"/>
    <cellStyle name="표준 5 26 3 2" xfId="11156"/>
    <cellStyle name="표준 5 26 3 2 2" xfId="23829"/>
    <cellStyle name="표준 5 26 3 2 2 2" xfId="49181"/>
    <cellStyle name="표준 5 26 3 2 3" xfId="36509"/>
    <cellStyle name="표준 5 26 3 3" xfId="17493"/>
    <cellStyle name="표준 5 26 3 3 2" xfId="42845"/>
    <cellStyle name="표준 5 26 3 4" xfId="30173"/>
    <cellStyle name="표준 5 26 3 5" xfId="53969"/>
    <cellStyle name="표준 5 26 4" xfId="8023"/>
    <cellStyle name="표준 5 26 4 2" xfId="20696"/>
    <cellStyle name="표준 5 26 4 2 2" xfId="46048"/>
    <cellStyle name="표준 5 26 4 3" xfId="33376"/>
    <cellStyle name="표준 5 26 5" xfId="14360"/>
    <cellStyle name="표준 5 26 5 2" xfId="39712"/>
    <cellStyle name="표준 5 26 6" xfId="27040"/>
    <cellStyle name="표준 5 26 7" xfId="53970"/>
    <cellStyle name="표준 5 27" xfId="1688"/>
    <cellStyle name="표준 5 27 2" xfId="1689"/>
    <cellStyle name="표준 5 27 2 2" xfId="4821"/>
    <cellStyle name="표준 5 27 2 2 2" xfId="11157"/>
    <cellStyle name="표준 5 27 2 2 2 2" xfId="23830"/>
    <cellStyle name="표준 5 27 2 2 2 2 2" xfId="49182"/>
    <cellStyle name="표준 5 27 2 2 2 3" xfId="36510"/>
    <cellStyle name="표준 5 27 2 2 3" xfId="17494"/>
    <cellStyle name="표준 5 27 2 2 3 2" xfId="42846"/>
    <cellStyle name="표준 5 27 2 2 4" xfId="30174"/>
    <cellStyle name="표준 5 27 2 2 5" xfId="53971"/>
    <cellStyle name="표준 5 27 2 3" xfId="8026"/>
    <cellStyle name="표준 5 27 2 3 2" xfId="20699"/>
    <cellStyle name="표준 5 27 2 3 2 2" xfId="46051"/>
    <cellStyle name="표준 5 27 2 3 3" xfId="33379"/>
    <cellStyle name="표준 5 27 2 4" xfId="14363"/>
    <cellStyle name="표준 5 27 2 4 2" xfId="39715"/>
    <cellStyle name="표준 5 27 2 5" xfId="27043"/>
    <cellStyle name="표준 5 27 2 6" xfId="53972"/>
    <cellStyle name="표준 5 27 3" xfId="4822"/>
    <cellStyle name="표준 5 27 3 2" xfId="11158"/>
    <cellStyle name="표준 5 27 3 2 2" xfId="23831"/>
    <cellStyle name="표준 5 27 3 2 2 2" xfId="49183"/>
    <cellStyle name="표준 5 27 3 2 3" xfId="36511"/>
    <cellStyle name="표준 5 27 3 3" xfId="17495"/>
    <cellStyle name="표준 5 27 3 3 2" xfId="42847"/>
    <cellStyle name="표준 5 27 3 4" xfId="30175"/>
    <cellStyle name="표준 5 27 3 5" xfId="53973"/>
    <cellStyle name="표준 5 27 4" xfId="8025"/>
    <cellStyle name="표준 5 27 4 2" xfId="20698"/>
    <cellStyle name="표준 5 27 4 2 2" xfId="46050"/>
    <cellStyle name="표준 5 27 4 3" xfId="33378"/>
    <cellStyle name="표준 5 27 5" xfId="14362"/>
    <cellStyle name="표준 5 27 5 2" xfId="39714"/>
    <cellStyle name="표준 5 27 6" xfId="27042"/>
    <cellStyle name="표준 5 27 7" xfId="53974"/>
    <cellStyle name="표준 5 28" xfId="1690"/>
    <cellStyle name="표준 5 28 2" xfId="1691"/>
    <cellStyle name="표준 5 28 2 2" xfId="4823"/>
    <cellStyle name="표준 5 28 2 2 2" xfId="11159"/>
    <cellStyle name="표준 5 28 2 2 2 2" xfId="23832"/>
    <cellStyle name="표준 5 28 2 2 2 2 2" xfId="49184"/>
    <cellStyle name="표준 5 28 2 2 2 3" xfId="36512"/>
    <cellStyle name="표준 5 28 2 2 3" xfId="17496"/>
    <cellStyle name="표준 5 28 2 2 3 2" xfId="42848"/>
    <cellStyle name="표준 5 28 2 2 4" xfId="30176"/>
    <cellStyle name="표준 5 28 2 2 5" xfId="53975"/>
    <cellStyle name="표준 5 28 2 3" xfId="8028"/>
    <cellStyle name="표준 5 28 2 3 2" xfId="20701"/>
    <cellStyle name="표준 5 28 2 3 2 2" xfId="46053"/>
    <cellStyle name="표준 5 28 2 3 3" xfId="33381"/>
    <cellStyle name="표준 5 28 2 4" xfId="14365"/>
    <cellStyle name="표준 5 28 2 4 2" xfId="39717"/>
    <cellStyle name="표준 5 28 2 5" xfId="27045"/>
    <cellStyle name="표준 5 28 2 6" xfId="53976"/>
    <cellStyle name="표준 5 28 3" xfId="4824"/>
    <cellStyle name="표준 5 28 3 2" xfId="11160"/>
    <cellStyle name="표준 5 28 3 2 2" xfId="23833"/>
    <cellStyle name="표준 5 28 3 2 2 2" xfId="49185"/>
    <cellStyle name="표준 5 28 3 2 3" xfId="36513"/>
    <cellStyle name="표준 5 28 3 3" xfId="17497"/>
    <cellStyle name="표준 5 28 3 3 2" xfId="42849"/>
    <cellStyle name="표준 5 28 3 4" xfId="30177"/>
    <cellStyle name="표준 5 28 3 5" xfId="53977"/>
    <cellStyle name="표준 5 28 4" xfId="8027"/>
    <cellStyle name="표준 5 28 4 2" xfId="20700"/>
    <cellStyle name="표준 5 28 4 2 2" xfId="46052"/>
    <cellStyle name="표준 5 28 4 3" xfId="33380"/>
    <cellStyle name="표준 5 28 5" xfId="14364"/>
    <cellStyle name="표준 5 28 5 2" xfId="39716"/>
    <cellStyle name="표준 5 28 6" xfId="27044"/>
    <cellStyle name="표준 5 28 7" xfId="53978"/>
    <cellStyle name="표준 5 29" xfId="1692"/>
    <cellStyle name="표준 5 29 2" xfId="1693"/>
    <cellStyle name="표준 5 29 2 2" xfId="4825"/>
    <cellStyle name="표준 5 29 2 2 2" xfId="11161"/>
    <cellStyle name="표준 5 29 2 2 2 2" xfId="23834"/>
    <cellStyle name="표준 5 29 2 2 2 2 2" xfId="49186"/>
    <cellStyle name="표준 5 29 2 2 2 3" xfId="36514"/>
    <cellStyle name="표준 5 29 2 2 3" xfId="17498"/>
    <cellStyle name="표준 5 29 2 2 3 2" xfId="42850"/>
    <cellStyle name="표준 5 29 2 2 4" xfId="30178"/>
    <cellStyle name="표준 5 29 2 2 5" xfId="53979"/>
    <cellStyle name="표준 5 29 2 3" xfId="8030"/>
    <cellStyle name="표준 5 29 2 3 2" xfId="20703"/>
    <cellStyle name="표준 5 29 2 3 2 2" xfId="46055"/>
    <cellStyle name="표준 5 29 2 3 3" xfId="33383"/>
    <cellStyle name="표준 5 29 2 4" xfId="14367"/>
    <cellStyle name="표준 5 29 2 4 2" xfId="39719"/>
    <cellStyle name="표준 5 29 2 5" xfId="27047"/>
    <cellStyle name="표준 5 29 2 6" xfId="53980"/>
    <cellStyle name="표준 5 29 3" xfId="4826"/>
    <cellStyle name="표준 5 29 3 2" xfId="11162"/>
    <cellStyle name="표준 5 29 3 2 2" xfId="23835"/>
    <cellStyle name="표준 5 29 3 2 2 2" xfId="49187"/>
    <cellStyle name="표준 5 29 3 2 3" xfId="36515"/>
    <cellStyle name="표준 5 29 3 3" xfId="17499"/>
    <cellStyle name="표준 5 29 3 3 2" xfId="42851"/>
    <cellStyle name="표준 5 29 3 4" xfId="30179"/>
    <cellStyle name="표준 5 29 3 5" xfId="53981"/>
    <cellStyle name="표준 5 29 4" xfId="8029"/>
    <cellStyle name="표준 5 29 4 2" xfId="20702"/>
    <cellStyle name="표준 5 29 4 2 2" xfId="46054"/>
    <cellStyle name="표준 5 29 4 3" xfId="33382"/>
    <cellStyle name="표준 5 29 5" xfId="14366"/>
    <cellStyle name="표준 5 29 5 2" xfId="39718"/>
    <cellStyle name="표준 5 29 6" xfId="27046"/>
    <cellStyle name="표준 5 29 7" xfId="53982"/>
    <cellStyle name="표준 5 3" xfId="17"/>
    <cellStyle name="표준 5 3 10" xfId="1694"/>
    <cellStyle name="표준 5 3 10 2" xfId="1695"/>
    <cellStyle name="표준 5 3 10 2 2" xfId="4827"/>
    <cellStyle name="표준 5 3 10 2 2 2" xfId="11163"/>
    <cellStyle name="표준 5 3 10 2 2 2 2" xfId="23836"/>
    <cellStyle name="표준 5 3 10 2 2 2 2 2" xfId="49188"/>
    <cellStyle name="표준 5 3 10 2 2 2 3" xfId="36516"/>
    <cellStyle name="표준 5 3 10 2 2 3" xfId="17500"/>
    <cellStyle name="표준 5 3 10 2 2 3 2" xfId="42852"/>
    <cellStyle name="표준 5 3 10 2 2 4" xfId="30180"/>
    <cellStyle name="표준 5 3 10 2 2 5" xfId="53983"/>
    <cellStyle name="표준 5 3 10 2 3" xfId="8032"/>
    <cellStyle name="표준 5 3 10 2 3 2" xfId="20705"/>
    <cellStyle name="표준 5 3 10 2 3 2 2" xfId="46057"/>
    <cellStyle name="표준 5 3 10 2 3 3" xfId="33385"/>
    <cellStyle name="표준 5 3 10 2 4" xfId="14369"/>
    <cellStyle name="표준 5 3 10 2 4 2" xfId="39721"/>
    <cellStyle name="표준 5 3 10 2 5" xfId="27049"/>
    <cellStyle name="표준 5 3 10 2 6" xfId="53984"/>
    <cellStyle name="표준 5 3 10 3" xfId="4828"/>
    <cellStyle name="표준 5 3 10 3 2" xfId="11164"/>
    <cellStyle name="표준 5 3 10 3 2 2" xfId="23837"/>
    <cellStyle name="표준 5 3 10 3 2 2 2" xfId="49189"/>
    <cellStyle name="표준 5 3 10 3 2 3" xfId="36517"/>
    <cellStyle name="표준 5 3 10 3 3" xfId="17501"/>
    <cellStyle name="표준 5 3 10 3 3 2" xfId="42853"/>
    <cellStyle name="표준 5 3 10 3 4" xfId="30181"/>
    <cellStyle name="표준 5 3 10 3 5" xfId="53985"/>
    <cellStyle name="표준 5 3 10 4" xfId="8031"/>
    <cellStyle name="표준 5 3 10 4 2" xfId="20704"/>
    <cellStyle name="표준 5 3 10 4 2 2" xfId="46056"/>
    <cellStyle name="표준 5 3 10 4 3" xfId="33384"/>
    <cellStyle name="표준 5 3 10 5" xfId="14368"/>
    <cellStyle name="표준 5 3 10 5 2" xfId="39720"/>
    <cellStyle name="표준 5 3 10 6" xfId="27048"/>
    <cellStyle name="표준 5 3 10 7" xfId="53986"/>
    <cellStyle name="표준 5 3 11" xfId="1696"/>
    <cellStyle name="표준 5 3 11 2" xfId="1697"/>
    <cellStyle name="표준 5 3 11 2 2" xfId="4829"/>
    <cellStyle name="표준 5 3 11 2 2 2" xfId="11165"/>
    <cellStyle name="표준 5 3 11 2 2 2 2" xfId="23838"/>
    <cellStyle name="표준 5 3 11 2 2 2 2 2" xfId="49190"/>
    <cellStyle name="표준 5 3 11 2 2 2 3" xfId="36518"/>
    <cellStyle name="표준 5 3 11 2 2 3" xfId="17502"/>
    <cellStyle name="표준 5 3 11 2 2 3 2" xfId="42854"/>
    <cellStyle name="표준 5 3 11 2 2 4" xfId="30182"/>
    <cellStyle name="표준 5 3 11 2 2 5" xfId="53987"/>
    <cellStyle name="표준 5 3 11 2 3" xfId="8034"/>
    <cellStyle name="표준 5 3 11 2 3 2" xfId="20707"/>
    <cellStyle name="표준 5 3 11 2 3 2 2" xfId="46059"/>
    <cellStyle name="표준 5 3 11 2 3 3" xfId="33387"/>
    <cellStyle name="표준 5 3 11 2 4" xfId="14371"/>
    <cellStyle name="표준 5 3 11 2 4 2" xfId="39723"/>
    <cellStyle name="표준 5 3 11 2 5" xfId="27051"/>
    <cellStyle name="표준 5 3 11 2 6" xfId="53988"/>
    <cellStyle name="표준 5 3 11 3" xfId="4830"/>
    <cellStyle name="표준 5 3 11 3 2" xfId="11166"/>
    <cellStyle name="표준 5 3 11 3 2 2" xfId="23839"/>
    <cellStyle name="표준 5 3 11 3 2 2 2" xfId="49191"/>
    <cellStyle name="표준 5 3 11 3 2 3" xfId="36519"/>
    <cellStyle name="표준 5 3 11 3 3" xfId="17503"/>
    <cellStyle name="표준 5 3 11 3 3 2" xfId="42855"/>
    <cellStyle name="표준 5 3 11 3 4" xfId="30183"/>
    <cellStyle name="표준 5 3 11 3 5" xfId="53989"/>
    <cellStyle name="표준 5 3 11 4" xfId="8033"/>
    <cellStyle name="표준 5 3 11 4 2" xfId="20706"/>
    <cellStyle name="표준 5 3 11 4 2 2" xfId="46058"/>
    <cellStyle name="표준 5 3 11 4 3" xfId="33386"/>
    <cellStyle name="표준 5 3 11 5" xfId="14370"/>
    <cellStyle name="표준 5 3 11 5 2" xfId="39722"/>
    <cellStyle name="표준 5 3 11 6" xfId="27050"/>
    <cellStyle name="표준 5 3 11 7" xfId="53990"/>
    <cellStyle name="표준 5 3 12" xfId="1698"/>
    <cellStyle name="표준 5 3 12 2" xfId="1699"/>
    <cellStyle name="표준 5 3 12 2 2" xfId="4831"/>
    <cellStyle name="표준 5 3 12 2 2 2" xfId="11167"/>
    <cellStyle name="표준 5 3 12 2 2 2 2" xfId="23840"/>
    <cellStyle name="표준 5 3 12 2 2 2 2 2" xfId="49192"/>
    <cellStyle name="표준 5 3 12 2 2 2 3" xfId="36520"/>
    <cellStyle name="표준 5 3 12 2 2 3" xfId="17504"/>
    <cellStyle name="표준 5 3 12 2 2 3 2" xfId="42856"/>
    <cellStyle name="표준 5 3 12 2 2 4" xfId="30184"/>
    <cellStyle name="표준 5 3 12 2 2 5" xfId="53991"/>
    <cellStyle name="표준 5 3 12 2 3" xfId="8036"/>
    <cellStyle name="표준 5 3 12 2 3 2" xfId="20709"/>
    <cellStyle name="표준 5 3 12 2 3 2 2" xfId="46061"/>
    <cellStyle name="표준 5 3 12 2 3 3" xfId="33389"/>
    <cellStyle name="표준 5 3 12 2 4" xfId="14373"/>
    <cellStyle name="표준 5 3 12 2 4 2" xfId="39725"/>
    <cellStyle name="표준 5 3 12 2 5" xfId="27053"/>
    <cellStyle name="표준 5 3 12 2 6" xfId="53992"/>
    <cellStyle name="표준 5 3 12 3" xfId="4832"/>
    <cellStyle name="표준 5 3 12 3 2" xfId="11168"/>
    <cellStyle name="표준 5 3 12 3 2 2" xfId="23841"/>
    <cellStyle name="표준 5 3 12 3 2 2 2" xfId="49193"/>
    <cellStyle name="표준 5 3 12 3 2 3" xfId="36521"/>
    <cellStyle name="표준 5 3 12 3 3" xfId="17505"/>
    <cellStyle name="표준 5 3 12 3 3 2" xfId="42857"/>
    <cellStyle name="표준 5 3 12 3 4" xfId="30185"/>
    <cellStyle name="표준 5 3 12 3 5" xfId="53993"/>
    <cellStyle name="표준 5 3 12 4" xfId="8035"/>
    <cellStyle name="표준 5 3 12 4 2" xfId="20708"/>
    <cellStyle name="표준 5 3 12 4 2 2" xfId="46060"/>
    <cellStyle name="표준 5 3 12 4 3" xfId="33388"/>
    <cellStyle name="표준 5 3 12 5" xfId="14372"/>
    <cellStyle name="표준 5 3 12 5 2" xfId="39724"/>
    <cellStyle name="표준 5 3 12 6" xfId="27052"/>
    <cellStyle name="표준 5 3 12 7" xfId="53994"/>
    <cellStyle name="표준 5 3 13" xfId="1700"/>
    <cellStyle name="표준 5 3 13 2" xfId="1701"/>
    <cellStyle name="표준 5 3 13 2 2" xfId="4833"/>
    <cellStyle name="표준 5 3 13 2 2 2" xfId="11169"/>
    <cellStyle name="표준 5 3 13 2 2 2 2" xfId="23842"/>
    <cellStyle name="표준 5 3 13 2 2 2 2 2" xfId="49194"/>
    <cellStyle name="표준 5 3 13 2 2 2 3" xfId="36522"/>
    <cellStyle name="표준 5 3 13 2 2 3" xfId="17506"/>
    <cellStyle name="표준 5 3 13 2 2 3 2" xfId="42858"/>
    <cellStyle name="표준 5 3 13 2 2 4" xfId="30186"/>
    <cellStyle name="표준 5 3 13 2 2 5" xfId="53995"/>
    <cellStyle name="표준 5 3 13 2 3" xfId="8038"/>
    <cellStyle name="표준 5 3 13 2 3 2" xfId="20711"/>
    <cellStyle name="표준 5 3 13 2 3 2 2" xfId="46063"/>
    <cellStyle name="표준 5 3 13 2 3 3" xfId="33391"/>
    <cellStyle name="표준 5 3 13 2 4" xfId="14375"/>
    <cellStyle name="표준 5 3 13 2 4 2" xfId="39727"/>
    <cellStyle name="표준 5 3 13 2 5" xfId="27055"/>
    <cellStyle name="표준 5 3 13 2 6" xfId="53996"/>
    <cellStyle name="표준 5 3 13 3" xfId="4834"/>
    <cellStyle name="표준 5 3 13 3 2" xfId="11170"/>
    <cellStyle name="표준 5 3 13 3 2 2" xfId="23843"/>
    <cellStyle name="표준 5 3 13 3 2 2 2" xfId="49195"/>
    <cellStyle name="표준 5 3 13 3 2 3" xfId="36523"/>
    <cellStyle name="표준 5 3 13 3 3" xfId="17507"/>
    <cellStyle name="표준 5 3 13 3 3 2" xfId="42859"/>
    <cellStyle name="표준 5 3 13 3 4" xfId="30187"/>
    <cellStyle name="표준 5 3 13 3 5" xfId="53997"/>
    <cellStyle name="표준 5 3 13 4" xfId="8037"/>
    <cellStyle name="표준 5 3 13 4 2" xfId="20710"/>
    <cellStyle name="표준 5 3 13 4 2 2" xfId="46062"/>
    <cellStyle name="표준 5 3 13 4 3" xfId="33390"/>
    <cellStyle name="표준 5 3 13 5" xfId="14374"/>
    <cellStyle name="표준 5 3 13 5 2" xfId="39726"/>
    <cellStyle name="표준 5 3 13 6" xfId="27054"/>
    <cellStyle name="표준 5 3 13 7" xfId="53998"/>
    <cellStyle name="표준 5 3 14" xfId="1702"/>
    <cellStyle name="표준 5 3 14 2" xfId="1703"/>
    <cellStyle name="표준 5 3 14 2 2" xfId="4835"/>
    <cellStyle name="표준 5 3 14 2 2 2" xfId="11171"/>
    <cellStyle name="표준 5 3 14 2 2 2 2" xfId="23844"/>
    <cellStyle name="표준 5 3 14 2 2 2 2 2" xfId="49196"/>
    <cellStyle name="표준 5 3 14 2 2 2 3" xfId="36524"/>
    <cellStyle name="표준 5 3 14 2 2 3" xfId="17508"/>
    <cellStyle name="표준 5 3 14 2 2 3 2" xfId="42860"/>
    <cellStyle name="표준 5 3 14 2 2 4" xfId="30188"/>
    <cellStyle name="표준 5 3 14 2 2 5" xfId="53999"/>
    <cellStyle name="표준 5 3 14 2 3" xfId="8040"/>
    <cellStyle name="표준 5 3 14 2 3 2" xfId="20713"/>
    <cellStyle name="표준 5 3 14 2 3 2 2" xfId="46065"/>
    <cellStyle name="표준 5 3 14 2 3 3" xfId="33393"/>
    <cellStyle name="표준 5 3 14 2 4" xfId="14377"/>
    <cellStyle name="표준 5 3 14 2 4 2" xfId="39729"/>
    <cellStyle name="표준 5 3 14 2 5" xfId="27057"/>
    <cellStyle name="표준 5 3 14 2 6" xfId="54000"/>
    <cellStyle name="표준 5 3 14 3" xfId="4836"/>
    <cellStyle name="표준 5 3 14 3 2" xfId="11172"/>
    <cellStyle name="표준 5 3 14 3 2 2" xfId="23845"/>
    <cellStyle name="표준 5 3 14 3 2 2 2" xfId="49197"/>
    <cellStyle name="표준 5 3 14 3 2 3" xfId="36525"/>
    <cellStyle name="표준 5 3 14 3 3" xfId="17509"/>
    <cellStyle name="표준 5 3 14 3 3 2" xfId="42861"/>
    <cellStyle name="표준 5 3 14 3 4" xfId="30189"/>
    <cellStyle name="표준 5 3 14 3 5" xfId="54001"/>
    <cellStyle name="표준 5 3 14 4" xfId="8039"/>
    <cellStyle name="표준 5 3 14 4 2" xfId="20712"/>
    <cellStyle name="표준 5 3 14 4 2 2" xfId="46064"/>
    <cellStyle name="표준 5 3 14 4 3" xfId="33392"/>
    <cellStyle name="표준 5 3 14 5" xfId="14376"/>
    <cellStyle name="표준 5 3 14 5 2" xfId="39728"/>
    <cellStyle name="표준 5 3 14 6" xfId="27056"/>
    <cellStyle name="표준 5 3 14 7" xfId="54002"/>
    <cellStyle name="표준 5 3 15" xfId="1704"/>
    <cellStyle name="표준 5 3 15 2" xfId="1705"/>
    <cellStyle name="표준 5 3 15 2 2" xfId="4837"/>
    <cellStyle name="표준 5 3 15 2 2 2" xfId="11173"/>
    <cellStyle name="표준 5 3 15 2 2 2 2" xfId="23846"/>
    <cellStyle name="표준 5 3 15 2 2 2 2 2" xfId="49198"/>
    <cellStyle name="표준 5 3 15 2 2 2 3" xfId="36526"/>
    <cellStyle name="표준 5 3 15 2 2 3" xfId="17510"/>
    <cellStyle name="표준 5 3 15 2 2 3 2" xfId="42862"/>
    <cellStyle name="표준 5 3 15 2 2 4" xfId="30190"/>
    <cellStyle name="표준 5 3 15 2 2 5" xfId="54003"/>
    <cellStyle name="표준 5 3 15 2 3" xfId="8042"/>
    <cellStyle name="표준 5 3 15 2 3 2" xfId="20715"/>
    <cellStyle name="표준 5 3 15 2 3 2 2" xfId="46067"/>
    <cellStyle name="표준 5 3 15 2 3 3" xfId="33395"/>
    <cellStyle name="표준 5 3 15 2 4" xfId="14379"/>
    <cellStyle name="표준 5 3 15 2 4 2" xfId="39731"/>
    <cellStyle name="표준 5 3 15 2 5" xfId="27059"/>
    <cellStyle name="표준 5 3 15 2 6" xfId="54004"/>
    <cellStyle name="표준 5 3 15 3" xfId="4838"/>
    <cellStyle name="표준 5 3 15 3 2" xfId="11174"/>
    <cellStyle name="표준 5 3 15 3 2 2" xfId="23847"/>
    <cellStyle name="표준 5 3 15 3 2 2 2" xfId="49199"/>
    <cellStyle name="표준 5 3 15 3 2 3" xfId="36527"/>
    <cellStyle name="표준 5 3 15 3 3" xfId="17511"/>
    <cellStyle name="표준 5 3 15 3 3 2" xfId="42863"/>
    <cellStyle name="표준 5 3 15 3 4" xfId="30191"/>
    <cellStyle name="표준 5 3 15 3 5" xfId="54005"/>
    <cellStyle name="표준 5 3 15 4" xfId="8041"/>
    <cellStyle name="표준 5 3 15 4 2" xfId="20714"/>
    <cellStyle name="표준 5 3 15 4 2 2" xfId="46066"/>
    <cellStyle name="표준 5 3 15 4 3" xfId="33394"/>
    <cellStyle name="표준 5 3 15 5" xfId="14378"/>
    <cellStyle name="표준 5 3 15 5 2" xfId="39730"/>
    <cellStyle name="표준 5 3 15 6" xfId="27058"/>
    <cellStyle name="표준 5 3 15 7" xfId="54006"/>
    <cellStyle name="표준 5 3 16" xfId="1706"/>
    <cellStyle name="표준 5 3 16 2" xfId="1707"/>
    <cellStyle name="표준 5 3 16 2 2" xfId="4839"/>
    <cellStyle name="표준 5 3 16 2 2 2" xfId="11175"/>
    <cellStyle name="표준 5 3 16 2 2 2 2" xfId="23848"/>
    <cellStyle name="표준 5 3 16 2 2 2 2 2" xfId="49200"/>
    <cellStyle name="표준 5 3 16 2 2 2 3" xfId="36528"/>
    <cellStyle name="표준 5 3 16 2 2 3" xfId="17512"/>
    <cellStyle name="표준 5 3 16 2 2 3 2" xfId="42864"/>
    <cellStyle name="표준 5 3 16 2 2 4" xfId="30192"/>
    <cellStyle name="표준 5 3 16 2 2 5" xfId="54007"/>
    <cellStyle name="표준 5 3 16 2 3" xfId="8044"/>
    <cellStyle name="표준 5 3 16 2 3 2" xfId="20717"/>
    <cellStyle name="표준 5 3 16 2 3 2 2" xfId="46069"/>
    <cellStyle name="표준 5 3 16 2 3 3" xfId="33397"/>
    <cellStyle name="표준 5 3 16 2 4" xfId="14381"/>
    <cellStyle name="표준 5 3 16 2 4 2" xfId="39733"/>
    <cellStyle name="표준 5 3 16 2 5" xfId="27061"/>
    <cellStyle name="표준 5 3 16 2 6" xfId="54008"/>
    <cellStyle name="표준 5 3 16 3" xfId="4840"/>
    <cellStyle name="표준 5 3 16 3 2" xfId="11176"/>
    <cellStyle name="표준 5 3 16 3 2 2" xfId="23849"/>
    <cellStyle name="표준 5 3 16 3 2 2 2" xfId="49201"/>
    <cellStyle name="표준 5 3 16 3 2 3" xfId="36529"/>
    <cellStyle name="표준 5 3 16 3 3" xfId="17513"/>
    <cellStyle name="표준 5 3 16 3 3 2" xfId="42865"/>
    <cellStyle name="표준 5 3 16 3 4" xfId="30193"/>
    <cellStyle name="표준 5 3 16 3 5" xfId="54009"/>
    <cellStyle name="표준 5 3 16 4" xfId="8043"/>
    <cellStyle name="표준 5 3 16 4 2" xfId="20716"/>
    <cellStyle name="표준 5 3 16 4 2 2" xfId="46068"/>
    <cellStyle name="표준 5 3 16 4 3" xfId="33396"/>
    <cellStyle name="표준 5 3 16 5" xfId="14380"/>
    <cellStyle name="표준 5 3 16 5 2" xfId="39732"/>
    <cellStyle name="표준 5 3 16 6" xfId="27060"/>
    <cellStyle name="표준 5 3 16 7" xfId="54010"/>
    <cellStyle name="표준 5 3 17" xfId="1708"/>
    <cellStyle name="표준 5 3 17 2" xfId="1709"/>
    <cellStyle name="표준 5 3 17 2 2" xfId="4841"/>
    <cellStyle name="표준 5 3 17 2 2 2" xfId="11177"/>
    <cellStyle name="표준 5 3 17 2 2 2 2" xfId="23850"/>
    <cellStyle name="표준 5 3 17 2 2 2 2 2" xfId="49202"/>
    <cellStyle name="표준 5 3 17 2 2 2 3" xfId="36530"/>
    <cellStyle name="표준 5 3 17 2 2 3" xfId="17514"/>
    <cellStyle name="표준 5 3 17 2 2 3 2" xfId="42866"/>
    <cellStyle name="표준 5 3 17 2 2 4" xfId="30194"/>
    <cellStyle name="표준 5 3 17 2 2 5" xfId="54011"/>
    <cellStyle name="표준 5 3 17 2 3" xfId="8046"/>
    <cellStyle name="표준 5 3 17 2 3 2" xfId="20719"/>
    <cellStyle name="표준 5 3 17 2 3 2 2" xfId="46071"/>
    <cellStyle name="표준 5 3 17 2 3 3" xfId="33399"/>
    <cellStyle name="표준 5 3 17 2 4" xfId="14383"/>
    <cellStyle name="표준 5 3 17 2 4 2" xfId="39735"/>
    <cellStyle name="표준 5 3 17 2 5" xfId="27063"/>
    <cellStyle name="표준 5 3 17 2 6" xfId="54012"/>
    <cellStyle name="표준 5 3 17 3" xfId="4842"/>
    <cellStyle name="표준 5 3 17 3 2" xfId="11178"/>
    <cellStyle name="표준 5 3 17 3 2 2" xfId="23851"/>
    <cellStyle name="표준 5 3 17 3 2 2 2" xfId="49203"/>
    <cellStyle name="표준 5 3 17 3 2 3" xfId="36531"/>
    <cellStyle name="표준 5 3 17 3 3" xfId="17515"/>
    <cellStyle name="표준 5 3 17 3 3 2" xfId="42867"/>
    <cellStyle name="표준 5 3 17 3 4" xfId="30195"/>
    <cellStyle name="표준 5 3 17 3 5" xfId="54013"/>
    <cellStyle name="표준 5 3 17 4" xfId="8045"/>
    <cellStyle name="표준 5 3 17 4 2" xfId="20718"/>
    <cellStyle name="표준 5 3 17 4 2 2" xfId="46070"/>
    <cellStyle name="표준 5 3 17 4 3" xfId="33398"/>
    <cellStyle name="표준 5 3 17 5" xfId="14382"/>
    <cellStyle name="표준 5 3 17 5 2" xfId="39734"/>
    <cellStyle name="표준 5 3 17 6" xfId="27062"/>
    <cellStyle name="표준 5 3 17 7" xfId="54014"/>
    <cellStyle name="표준 5 3 18" xfId="1710"/>
    <cellStyle name="표준 5 3 18 2" xfId="1711"/>
    <cellStyle name="표준 5 3 18 2 2" xfId="4843"/>
    <cellStyle name="표준 5 3 18 2 2 2" xfId="11179"/>
    <cellStyle name="표준 5 3 18 2 2 2 2" xfId="23852"/>
    <cellStyle name="표준 5 3 18 2 2 2 2 2" xfId="49204"/>
    <cellStyle name="표준 5 3 18 2 2 2 3" xfId="36532"/>
    <cellStyle name="표준 5 3 18 2 2 3" xfId="17516"/>
    <cellStyle name="표준 5 3 18 2 2 3 2" xfId="42868"/>
    <cellStyle name="표준 5 3 18 2 2 4" xfId="30196"/>
    <cellStyle name="표준 5 3 18 2 2 5" xfId="54015"/>
    <cellStyle name="표준 5 3 18 2 3" xfId="8048"/>
    <cellStyle name="표준 5 3 18 2 3 2" xfId="20721"/>
    <cellStyle name="표준 5 3 18 2 3 2 2" xfId="46073"/>
    <cellStyle name="표준 5 3 18 2 3 3" xfId="33401"/>
    <cellStyle name="표준 5 3 18 2 4" xfId="14385"/>
    <cellStyle name="표준 5 3 18 2 4 2" xfId="39737"/>
    <cellStyle name="표준 5 3 18 2 5" xfId="27065"/>
    <cellStyle name="표준 5 3 18 2 6" xfId="54016"/>
    <cellStyle name="표준 5 3 18 3" xfId="4844"/>
    <cellStyle name="표준 5 3 18 3 2" xfId="11180"/>
    <cellStyle name="표준 5 3 18 3 2 2" xfId="23853"/>
    <cellStyle name="표준 5 3 18 3 2 2 2" xfId="49205"/>
    <cellStyle name="표준 5 3 18 3 2 3" xfId="36533"/>
    <cellStyle name="표준 5 3 18 3 3" xfId="17517"/>
    <cellStyle name="표준 5 3 18 3 3 2" xfId="42869"/>
    <cellStyle name="표준 5 3 18 3 4" xfId="30197"/>
    <cellStyle name="표준 5 3 18 3 5" xfId="54017"/>
    <cellStyle name="표준 5 3 18 4" xfId="8047"/>
    <cellStyle name="표준 5 3 18 4 2" xfId="20720"/>
    <cellStyle name="표준 5 3 18 4 2 2" xfId="46072"/>
    <cellStyle name="표준 5 3 18 4 3" xfId="33400"/>
    <cellStyle name="표준 5 3 18 5" xfId="14384"/>
    <cellStyle name="표준 5 3 18 5 2" xfId="39736"/>
    <cellStyle name="표준 5 3 18 6" xfId="27064"/>
    <cellStyle name="표준 5 3 18 7" xfId="54018"/>
    <cellStyle name="표준 5 3 19" xfId="1712"/>
    <cellStyle name="표준 5 3 19 2" xfId="1713"/>
    <cellStyle name="표준 5 3 19 2 2" xfId="4845"/>
    <cellStyle name="표준 5 3 19 2 2 2" xfId="11181"/>
    <cellStyle name="표준 5 3 19 2 2 2 2" xfId="23854"/>
    <cellStyle name="표준 5 3 19 2 2 2 2 2" xfId="49206"/>
    <cellStyle name="표준 5 3 19 2 2 2 3" xfId="36534"/>
    <cellStyle name="표준 5 3 19 2 2 3" xfId="17518"/>
    <cellStyle name="표준 5 3 19 2 2 3 2" xfId="42870"/>
    <cellStyle name="표준 5 3 19 2 2 4" xfId="30198"/>
    <cellStyle name="표준 5 3 19 2 2 5" xfId="54019"/>
    <cellStyle name="표준 5 3 19 2 3" xfId="8050"/>
    <cellStyle name="표준 5 3 19 2 3 2" xfId="20723"/>
    <cellStyle name="표준 5 3 19 2 3 2 2" xfId="46075"/>
    <cellStyle name="표준 5 3 19 2 3 3" xfId="33403"/>
    <cellStyle name="표준 5 3 19 2 4" xfId="14387"/>
    <cellStyle name="표준 5 3 19 2 4 2" xfId="39739"/>
    <cellStyle name="표준 5 3 19 2 5" xfId="27067"/>
    <cellStyle name="표준 5 3 19 2 6" xfId="54020"/>
    <cellStyle name="표준 5 3 19 3" xfId="4846"/>
    <cellStyle name="표준 5 3 19 3 2" xfId="11182"/>
    <cellStyle name="표준 5 3 19 3 2 2" xfId="23855"/>
    <cellStyle name="표준 5 3 19 3 2 2 2" xfId="49207"/>
    <cellStyle name="표준 5 3 19 3 2 3" xfId="36535"/>
    <cellStyle name="표준 5 3 19 3 3" xfId="17519"/>
    <cellStyle name="표준 5 3 19 3 3 2" xfId="42871"/>
    <cellStyle name="표준 5 3 19 3 4" xfId="30199"/>
    <cellStyle name="표준 5 3 19 3 5" xfId="54021"/>
    <cellStyle name="표준 5 3 19 4" xfId="8049"/>
    <cellStyle name="표준 5 3 19 4 2" xfId="20722"/>
    <cellStyle name="표준 5 3 19 4 2 2" xfId="46074"/>
    <cellStyle name="표준 5 3 19 4 3" xfId="33402"/>
    <cellStyle name="표준 5 3 19 5" xfId="14386"/>
    <cellStyle name="표준 5 3 19 5 2" xfId="39738"/>
    <cellStyle name="표준 5 3 19 6" xfId="27066"/>
    <cellStyle name="표준 5 3 19 7" xfId="54022"/>
    <cellStyle name="표준 5 3 2" xfId="29"/>
    <cellStyle name="표준 5 3 2 10" xfId="1714"/>
    <cellStyle name="표준 5 3 2 10 2" xfId="1715"/>
    <cellStyle name="표준 5 3 2 10 2 2" xfId="4847"/>
    <cellStyle name="표준 5 3 2 10 2 2 2" xfId="11183"/>
    <cellStyle name="표준 5 3 2 10 2 2 2 2" xfId="23856"/>
    <cellStyle name="표준 5 3 2 10 2 2 2 2 2" xfId="49208"/>
    <cellStyle name="표준 5 3 2 10 2 2 2 3" xfId="36536"/>
    <cellStyle name="표준 5 3 2 10 2 2 3" xfId="17520"/>
    <cellStyle name="표준 5 3 2 10 2 2 3 2" xfId="42872"/>
    <cellStyle name="표준 5 3 2 10 2 2 4" xfId="30200"/>
    <cellStyle name="표준 5 3 2 10 2 2 5" xfId="54023"/>
    <cellStyle name="표준 5 3 2 10 2 3" xfId="8052"/>
    <cellStyle name="표준 5 3 2 10 2 3 2" xfId="20725"/>
    <cellStyle name="표준 5 3 2 10 2 3 2 2" xfId="46077"/>
    <cellStyle name="표준 5 3 2 10 2 3 3" xfId="33405"/>
    <cellStyle name="표준 5 3 2 10 2 4" xfId="14389"/>
    <cellStyle name="표준 5 3 2 10 2 4 2" xfId="39741"/>
    <cellStyle name="표준 5 3 2 10 2 5" xfId="27069"/>
    <cellStyle name="표준 5 3 2 10 2 6" xfId="54024"/>
    <cellStyle name="표준 5 3 2 10 3" xfId="4848"/>
    <cellStyle name="표준 5 3 2 10 3 2" xfId="11184"/>
    <cellStyle name="표준 5 3 2 10 3 2 2" xfId="23857"/>
    <cellStyle name="표준 5 3 2 10 3 2 2 2" xfId="49209"/>
    <cellStyle name="표준 5 3 2 10 3 2 3" xfId="36537"/>
    <cellStyle name="표준 5 3 2 10 3 3" xfId="17521"/>
    <cellStyle name="표준 5 3 2 10 3 3 2" xfId="42873"/>
    <cellStyle name="표준 5 3 2 10 3 4" xfId="30201"/>
    <cellStyle name="표준 5 3 2 10 3 5" xfId="54025"/>
    <cellStyle name="표준 5 3 2 10 4" xfId="8051"/>
    <cellStyle name="표준 5 3 2 10 4 2" xfId="20724"/>
    <cellStyle name="표준 5 3 2 10 4 2 2" xfId="46076"/>
    <cellStyle name="표준 5 3 2 10 4 3" xfId="33404"/>
    <cellStyle name="표준 5 3 2 10 5" xfId="14388"/>
    <cellStyle name="표준 5 3 2 10 5 2" xfId="39740"/>
    <cellStyle name="표준 5 3 2 10 6" xfId="27068"/>
    <cellStyle name="표준 5 3 2 10 7" xfId="54026"/>
    <cellStyle name="표준 5 3 2 11" xfId="1716"/>
    <cellStyle name="표준 5 3 2 11 2" xfId="1717"/>
    <cellStyle name="표준 5 3 2 11 2 2" xfId="4849"/>
    <cellStyle name="표준 5 3 2 11 2 2 2" xfId="11185"/>
    <cellStyle name="표준 5 3 2 11 2 2 2 2" xfId="23858"/>
    <cellStyle name="표준 5 3 2 11 2 2 2 2 2" xfId="49210"/>
    <cellStyle name="표준 5 3 2 11 2 2 2 3" xfId="36538"/>
    <cellStyle name="표준 5 3 2 11 2 2 3" xfId="17522"/>
    <cellStyle name="표준 5 3 2 11 2 2 3 2" xfId="42874"/>
    <cellStyle name="표준 5 3 2 11 2 2 4" xfId="30202"/>
    <cellStyle name="표준 5 3 2 11 2 2 5" xfId="54027"/>
    <cellStyle name="표준 5 3 2 11 2 3" xfId="8054"/>
    <cellStyle name="표준 5 3 2 11 2 3 2" xfId="20727"/>
    <cellStyle name="표준 5 3 2 11 2 3 2 2" xfId="46079"/>
    <cellStyle name="표준 5 3 2 11 2 3 3" xfId="33407"/>
    <cellStyle name="표준 5 3 2 11 2 4" xfId="14391"/>
    <cellStyle name="표준 5 3 2 11 2 4 2" xfId="39743"/>
    <cellStyle name="표준 5 3 2 11 2 5" xfId="27071"/>
    <cellStyle name="표준 5 3 2 11 2 6" xfId="54028"/>
    <cellStyle name="표준 5 3 2 11 3" xfId="4850"/>
    <cellStyle name="표준 5 3 2 11 3 2" xfId="11186"/>
    <cellStyle name="표준 5 3 2 11 3 2 2" xfId="23859"/>
    <cellStyle name="표준 5 3 2 11 3 2 2 2" xfId="49211"/>
    <cellStyle name="표준 5 3 2 11 3 2 3" xfId="36539"/>
    <cellStyle name="표준 5 3 2 11 3 3" xfId="17523"/>
    <cellStyle name="표준 5 3 2 11 3 3 2" xfId="42875"/>
    <cellStyle name="표준 5 3 2 11 3 4" xfId="30203"/>
    <cellStyle name="표준 5 3 2 11 3 5" xfId="54029"/>
    <cellStyle name="표준 5 3 2 11 4" xfId="8053"/>
    <cellStyle name="표준 5 3 2 11 4 2" xfId="20726"/>
    <cellStyle name="표준 5 3 2 11 4 2 2" xfId="46078"/>
    <cellStyle name="표준 5 3 2 11 4 3" xfId="33406"/>
    <cellStyle name="표준 5 3 2 11 5" xfId="14390"/>
    <cellStyle name="표준 5 3 2 11 5 2" xfId="39742"/>
    <cellStyle name="표준 5 3 2 11 6" xfId="27070"/>
    <cellStyle name="표준 5 3 2 11 7" xfId="54030"/>
    <cellStyle name="표준 5 3 2 12" xfId="1718"/>
    <cellStyle name="표준 5 3 2 12 2" xfId="1719"/>
    <cellStyle name="표준 5 3 2 12 2 2" xfId="4851"/>
    <cellStyle name="표준 5 3 2 12 2 2 2" xfId="11187"/>
    <cellStyle name="표준 5 3 2 12 2 2 2 2" xfId="23860"/>
    <cellStyle name="표준 5 3 2 12 2 2 2 2 2" xfId="49212"/>
    <cellStyle name="표준 5 3 2 12 2 2 2 3" xfId="36540"/>
    <cellStyle name="표준 5 3 2 12 2 2 3" xfId="17524"/>
    <cellStyle name="표준 5 3 2 12 2 2 3 2" xfId="42876"/>
    <cellStyle name="표준 5 3 2 12 2 2 4" xfId="30204"/>
    <cellStyle name="표준 5 3 2 12 2 2 5" xfId="54031"/>
    <cellStyle name="표준 5 3 2 12 2 3" xfId="8056"/>
    <cellStyle name="표준 5 3 2 12 2 3 2" xfId="20729"/>
    <cellStyle name="표준 5 3 2 12 2 3 2 2" xfId="46081"/>
    <cellStyle name="표준 5 3 2 12 2 3 3" xfId="33409"/>
    <cellStyle name="표준 5 3 2 12 2 4" xfId="14393"/>
    <cellStyle name="표준 5 3 2 12 2 4 2" xfId="39745"/>
    <cellStyle name="표준 5 3 2 12 2 5" xfId="27073"/>
    <cellStyle name="표준 5 3 2 12 2 6" xfId="54032"/>
    <cellStyle name="표준 5 3 2 12 3" xfId="4852"/>
    <cellStyle name="표준 5 3 2 12 3 2" xfId="11188"/>
    <cellStyle name="표준 5 3 2 12 3 2 2" xfId="23861"/>
    <cellStyle name="표준 5 3 2 12 3 2 2 2" xfId="49213"/>
    <cellStyle name="표준 5 3 2 12 3 2 3" xfId="36541"/>
    <cellStyle name="표준 5 3 2 12 3 3" xfId="17525"/>
    <cellStyle name="표준 5 3 2 12 3 3 2" xfId="42877"/>
    <cellStyle name="표준 5 3 2 12 3 4" xfId="30205"/>
    <cellStyle name="표준 5 3 2 12 3 5" xfId="54033"/>
    <cellStyle name="표준 5 3 2 12 4" xfId="8055"/>
    <cellStyle name="표준 5 3 2 12 4 2" xfId="20728"/>
    <cellStyle name="표준 5 3 2 12 4 2 2" xfId="46080"/>
    <cellStyle name="표준 5 3 2 12 4 3" xfId="33408"/>
    <cellStyle name="표준 5 3 2 12 5" xfId="14392"/>
    <cellStyle name="표준 5 3 2 12 5 2" xfId="39744"/>
    <cellStyle name="표준 5 3 2 12 6" xfId="27072"/>
    <cellStyle name="표준 5 3 2 12 7" xfId="54034"/>
    <cellStyle name="표준 5 3 2 13" xfId="1720"/>
    <cellStyle name="표준 5 3 2 13 2" xfId="1721"/>
    <cellStyle name="표준 5 3 2 13 2 2" xfId="4853"/>
    <cellStyle name="표준 5 3 2 13 2 2 2" xfId="11189"/>
    <cellStyle name="표준 5 3 2 13 2 2 2 2" xfId="23862"/>
    <cellStyle name="표준 5 3 2 13 2 2 2 2 2" xfId="49214"/>
    <cellStyle name="표준 5 3 2 13 2 2 2 3" xfId="36542"/>
    <cellStyle name="표준 5 3 2 13 2 2 3" xfId="17526"/>
    <cellStyle name="표준 5 3 2 13 2 2 3 2" xfId="42878"/>
    <cellStyle name="표준 5 3 2 13 2 2 4" xfId="30206"/>
    <cellStyle name="표준 5 3 2 13 2 2 5" xfId="54035"/>
    <cellStyle name="표준 5 3 2 13 2 3" xfId="8058"/>
    <cellStyle name="표준 5 3 2 13 2 3 2" xfId="20731"/>
    <cellStyle name="표준 5 3 2 13 2 3 2 2" xfId="46083"/>
    <cellStyle name="표준 5 3 2 13 2 3 3" xfId="33411"/>
    <cellStyle name="표준 5 3 2 13 2 4" xfId="14395"/>
    <cellStyle name="표준 5 3 2 13 2 4 2" xfId="39747"/>
    <cellStyle name="표준 5 3 2 13 2 5" xfId="27075"/>
    <cellStyle name="표준 5 3 2 13 2 6" xfId="54036"/>
    <cellStyle name="표준 5 3 2 13 3" xfId="4854"/>
    <cellStyle name="표준 5 3 2 13 3 2" xfId="11190"/>
    <cellStyle name="표준 5 3 2 13 3 2 2" xfId="23863"/>
    <cellStyle name="표준 5 3 2 13 3 2 2 2" xfId="49215"/>
    <cellStyle name="표준 5 3 2 13 3 2 3" xfId="36543"/>
    <cellStyle name="표준 5 3 2 13 3 3" xfId="17527"/>
    <cellStyle name="표준 5 3 2 13 3 3 2" xfId="42879"/>
    <cellStyle name="표준 5 3 2 13 3 4" xfId="30207"/>
    <cellStyle name="표준 5 3 2 13 3 5" xfId="54037"/>
    <cellStyle name="표준 5 3 2 13 4" xfId="8057"/>
    <cellStyle name="표준 5 3 2 13 4 2" xfId="20730"/>
    <cellStyle name="표준 5 3 2 13 4 2 2" xfId="46082"/>
    <cellStyle name="표준 5 3 2 13 4 3" xfId="33410"/>
    <cellStyle name="표준 5 3 2 13 5" xfId="14394"/>
    <cellStyle name="표준 5 3 2 13 5 2" xfId="39746"/>
    <cellStyle name="표준 5 3 2 13 6" xfId="27074"/>
    <cellStyle name="표준 5 3 2 13 7" xfId="54038"/>
    <cellStyle name="표준 5 3 2 14" xfId="1722"/>
    <cellStyle name="표준 5 3 2 14 2" xfId="1723"/>
    <cellStyle name="표준 5 3 2 14 2 2" xfId="4855"/>
    <cellStyle name="표준 5 3 2 14 2 2 2" xfId="11191"/>
    <cellStyle name="표준 5 3 2 14 2 2 2 2" xfId="23864"/>
    <cellStyle name="표준 5 3 2 14 2 2 2 2 2" xfId="49216"/>
    <cellStyle name="표준 5 3 2 14 2 2 2 3" xfId="36544"/>
    <cellStyle name="표준 5 3 2 14 2 2 3" xfId="17528"/>
    <cellStyle name="표준 5 3 2 14 2 2 3 2" xfId="42880"/>
    <cellStyle name="표준 5 3 2 14 2 2 4" xfId="30208"/>
    <cellStyle name="표준 5 3 2 14 2 2 5" xfId="54039"/>
    <cellStyle name="표준 5 3 2 14 2 3" xfId="8060"/>
    <cellStyle name="표준 5 3 2 14 2 3 2" xfId="20733"/>
    <cellStyle name="표준 5 3 2 14 2 3 2 2" xfId="46085"/>
    <cellStyle name="표준 5 3 2 14 2 3 3" xfId="33413"/>
    <cellStyle name="표준 5 3 2 14 2 4" xfId="14397"/>
    <cellStyle name="표준 5 3 2 14 2 4 2" xfId="39749"/>
    <cellStyle name="표준 5 3 2 14 2 5" xfId="27077"/>
    <cellStyle name="표준 5 3 2 14 2 6" xfId="54040"/>
    <cellStyle name="표준 5 3 2 14 3" xfId="4856"/>
    <cellStyle name="표준 5 3 2 14 3 2" xfId="11192"/>
    <cellStyle name="표준 5 3 2 14 3 2 2" xfId="23865"/>
    <cellStyle name="표준 5 3 2 14 3 2 2 2" xfId="49217"/>
    <cellStyle name="표준 5 3 2 14 3 2 3" xfId="36545"/>
    <cellStyle name="표준 5 3 2 14 3 3" xfId="17529"/>
    <cellStyle name="표준 5 3 2 14 3 3 2" xfId="42881"/>
    <cellStyle name="표준 5 3 2 14 3 4" xfId="30209"/>
    <cellStyle name="표준 5 3 2 14 3 5" xfId="54041"/>
    <cellStyle name="표준 5 3 2 14 4" xfId="8059"/>
    <cellStyle name="표준 5 3 2 14 4 2" xfId="20732"/>
    <cellStyle name="표준 5 3 2 14 4 2 2" xfId="46084"/>
    <cellStyle name="표준 5 3 2 14 4 3" xfId="33412"/>
    <cellStyle name="표준 5 3 2 14 5" xfId="14396"/>
    <cellStyle name="표준 5 3 2 14 5 2" xfId="39748"/>
    <cellStyle name="표준 5 3 2 14 6" xfId="27076"/>
    <cellStyle name="표준 5 3 2 14 7" xfId="54042"/>
    <cellStyle name="표준 5 3 2 15" xfId="1724"/>
    <cellStyle name="표준 5 3 2 15 2" xfId="1725"/>
    <cellStyle name="표준 5 3 2 15 2 2" xfId="4857"/>
    <cellStyle name="표준 5 3 2 15 2 2 2" xfId="11193"/>
    <cellStyle name="표준 5 3 2 15 2 2 2 2" xfId="23866"/>
    <cellStyle name="표준 5 3 2 15 2 2 2 2 2" xfId="49218"/>
    <cellStyle name="표준 5 3 2 15 2 2 2 3" xfId="36546"/>
    <cellStyle name="표준 5 3 2 15 2 2 3" xfId="17530"/>
    <cellStyle name="표준 5 3 2 15 2 2 3 2" xfId="42882"/>
    <cellStyle name="표준 5 3 2 15 2 2 4" xfId="30210"/>
    <cellStyle name="표준 5 3 2 15 2 2 5" xfId="54043"/>
    <cellStyle name="표준 5 3 2 15 2 3" xfId="8062"/>
    <cellStyle name="표준 5 3 2 15 2 3 2" xfId="20735"/>
    <cellStyle name="표준 5 3 2 15 2 3 2 2" xfId="46087"/>
    <cellStyle name="표준 5 3 2 15 2 3 3" xfId="33415"/>
    <cellStyle name="표준 5 3 2 15 2 4" xfId="14399"/>
    <cellStyle name="표준 5 3 2 15 2 4 2" xfId="39751"/>
    <cellStyle name="표준 5 3 2 15 2 5" xfId="27079"/>
    <cellStyle name="표준 5 3 2 15 2 6" xfId="54044"/>
    <cellStyle name="표준 5 3 2 15 3" xfId="4858"/>
    <cellStyle name="표준 5 3 2 15 3 2" xfId="11194"/>
    <cellStyle name="표준 5 3 2 15 3 2 2" xfId="23867"/>
    <cellStyle name="표준 5 3 2 15 3 2 2 2" xfId="49219"/>
    <cellStyle name="표준 5 3 2 15 3 2 3" xfId="36547"/>
    <cellStyle name="표준 5 3 2 15 3 3" xfId="17531"/>
    <cellStyle name="표준 5 3 2 15 3 3 2" xfId="42883"/>
    <cellStyle name="표준 5 3 2 15 3 4" xfId="30211"/>
    <cellStyle name="표준 5 3 2 15 3 5" xfId="54045"/>
    <cellStyle name="표준 5 3 2 15 4" xfId="8061"/>
    <cellStyle name="표준 5 3 2 15 4 2" xfId="20734"/>
    <cellStyle name="표준 5 3 2 15 4 2 2" xfId="46086"/>
    <cellStyle name="표준 5 3 2 15 4 3" xfId="33414"/>
    <cellStyle name="표준 5 3 2 15 5" xfId="14398"/>
    <cellStyle name="표준 5 3 2 15 5 2" xfId="39750"/>
    <cellStyle name="표준 5 3 2 15 6" xfId="27078"/>
    <cellStyle name="표준 5 3 2 15 7" xfId="54046"/>
    <cellStyle name="표준 5 3 2 16" xfId="1726"/>
    <cellStyle name="표준 5 3 2 16 2" xfId="1727"/>
    <cellStyle name="표준 5 3 2 16 2 2" xfId="4859"/>
    <cellStyle name="표준 5 3 2 16 2 2 2" xfId="11195"/>
    <cellStyle name="표준 5 3 2 16 2 2 2 2" xfId="23868"/>
    <cellStyle name="표준 5 3 2 16 2 2 2 2 2" xfId="49220"/>
    <cellStyle name="표준 5 3 2 16 2 2 2 3" xfId="36548"/>
    <cellStyle name="표준 5 3 2 16 2 2 3" xfId="17532"/>
    <cellStyle name="표준 5 3 2 16 2 2 3 2" xfId="42884"/>
    <cellStyle name="표준 5 3 2 16 2 2 4" xfId="30212"/>
    <cellStyle name="표준 5 3 2 16 2 2 5" xfId="54047"/>
    <cellStyle name="표준 5 3 2 16 2 3" xfId="8064"/>
    <cellStyle name="표준 5 3 2 16 2 3 2" xfId="20737"/>
    <cellStyle name="표준 5 3 2 16 2 3 2 2" xfId="46089"/>
    <cellStyle name="표준 5 3 2 16 2 3 3" xfId="33417"/>
    <cellStyle name="표준 5 3 2 16 2 4" xfId="14401"/>
    <cellStyle name="표준 5 3 2 16 2 4 2" xfId="39753"/>
    <cellStyle name="표준 5 3 2 16 2 5" xfId="27081"/>
    <cellStyle name="표준 5 3 2 16 2 6" xfId="54048"/>
    <cellStyle name="표준 5 3 2 16 3" xfId="4860"/>
    <cellStyle name="표준 5 3 2 16 3 2" xfId="11196"/>
    <cellStyle name="표준 5 3 2 16 3 2 2" xfId="23869"/>
    <cellStyle name="표준 5 3 2 16 3 2 2 2" xfId="49221"/>
    <cellStyle name="표준 5 3 2 16 3 2 3" xfId="36549"/>
    <cellStyle name="표준 5 3 2 16 3 3" xfId="17533"/>
    <cellStyle name="표준 5 3 2 16 3 3 2" xfId="42885"/>
    <cellStyle name="표준 5 3 2 16 3 4" xfId="30213"/>
    <cellStyle name="표준 5 3 2 16 3 5" xfId="54049"/>
    <cellStyle name="표준 5 3 2 16 4" xfId="8063"/>
    <cellStyle name="표준 5 3 2 16 4 2" xfId="20736"/>
    <cellStyle name="표준 5 3 2 16 4 2 2" xfId="46088"/>
    <cellStyle name="표준 5 3 2 16 4 3" xfId="33416"/>
    <cellStyle name="표준 5 3 2 16 5" xfId="14400"/>
    <cellStyle name="표준 5 3 2 16 5 2" xfId="39752"/>
    <cellStyle name="표준 5 3 2 16 6" xfId="27080"/>
    <cellStyle name="표준 5 3 2 16 7" xfId="54050"/>
    <cellStyle name="표준 5 3 2 17" xfId="1728"/>
    <cellStyle name="표준 5 3 2 17 2" xfId="1729"/>
    <cellStyle name="표준 5 3 2 17 2 2" xfId="4861"/>
    <cellStyle name="표준 5 3 2 17 2 2 2" xfId="11197"/>
    <cellStyle name="표준 5 3 2 17 2 2 2 2" xfId="23870"/>
    <cellStyle name="표준 5 3 2 17 2 2 2 2 2" xfId="49222"/>
    <cellStyle name="표준 5 3 2 17 2 2 2 3" xfId="36550"/>
    <cellStyle name="표준 5 3 2 17 2 2 3" xfId="17534"/>
    <cellStyle name="표준 5 3 2 17 2 2 3 2" xfId="42886"/>
    <cellStyle name="표준 5 3 2 17 2 2 4" xfId="30214"/>
    <cellStyle name="표준 5 3 2 17 2 2 5" xfId="54051"/>
    <cellStyle name="표준 5 3 2 17 2 3" xfId="8066"/>
    <cellStyle name="표준 5 3 2 17 2 3 2" xfId="20739"/>
    <cellStyle name="표준 5 3 2 17 2 3 2 2" xfId="46091"/>
    <cellStyle name="표준 5 3 2 17 2 3 3" xfId="33419"/>
    <cellStyle name="표준 5 3 2 17 2 4" xfId="14403"/>
    <cellStyle name="표준 5 3 2 17 2 4 2" xfId="39755"/>
    <cellStyle name="표준 5 3 2 17 2 5" xfId="27083"/>
    <cellStyle name="표준 5 3 2 17 2 6" xfId="54052"/>
    <cellStyle name="표준 5 3 2 17 3" xfId="4862"/>
    <cellStyle name="표준 5 3 2 17 3 2" xfId="11198"/>
    <cellStyle name="표준 5 3 2 17 3 2 2" xfId="23871"/>
    <cellStyle name="표준 5 3 2 17 3 2 2 2" xfId="49223"/>
    <cellStyle name="표준 5 3 2 17 3 2 3" xfId="36551"/>
    <cellStyle name="표준 5 3 2 17 3 3" xfId="17535"/>
    <cellStyle name="표준 5 3 2 17 3 3 2" xfId="42887"/>
    <cellStyle name="표준 5 3 2 17 3 4" xfId="30215"/>
    <cellStyle name="표준 5 3 2 17 3 5" xfId="54053"/>
    <cellStyle name="표준 5 3 2 17 4" xfId="8065"/>
    <cellStyle name="표준 5 3 2 17 4 2" xfId="20738"/>
    <cellStyle name="표준 5 3 2 17 4 2 2" xfId="46090"/>
    <cellStyle name="표준 5 3 2 17 4 3" xfId="33418"/>
    <cellStyle name="표준 5 3 2 17 5" xfId="14402"/>
    <cellStyle name="표준 5 3 2 17 5 2" xfId="39754"/>
    <cellStyle name="표준 5 3 2 17 6" xfId="27082"/>
    <cellStyle name="표준 5 3 2 17 7" xfId="54054"/>
    <cellStyle name="표준 5 3 2 18" xfId="1730"/>
    <cellStyle name="표준 5 3 2 18 2" xfId="1731"/>
    <cellStyle name="표준 5 3 2 18 2 2" xfId="4863"/>
    <cellStyle name="표준 5 3 2 18 2 2 2" xfId="11199"/>
    <cellStyle name="표준 5 3 2 18 2 2 2 2" xfId="23872"/>
    <cellStyle name="표준 5 3 2 18 2 2 2 2 2" xfId="49224"/>
    <cellStyle name="표준 5 3 2 18 2 2 2 3" xfId="36552"/>
    <cellStyle name="표준 5 3 2 18 2 2 3" xfId="17536"/>
    <cellStyle name="표준 5 3 2 18 2 2 3 2" xfId="42888"/>
    <cellStyle name="표준 5 3 2 18 2 2 4" xfId="30216"/>
    <cellStyle name="표준 5 3 2 18 2 2 5" xfId="54055"/>
    <cellStyle name="표준 5 3 2 18 2 3" xfId="8068"/>
    <cellStyle name="표준 5 3 2 18 2 3 2" xfId="20741"/>
    <cellStyle name="표준 5 3 2 18 2 3 2 2" xfId="46093"/>
    <cellStyle name="표준 5 3 2 18 2 3 3" xfId="33421"/>
    <cellStyle name="표준 5 3 2 18 2 4" xfId="14405"/>
    <cellStyle name="표준 5 3 2 18 2 4 2" xfId="39757"/>
    <cellStyle name="표준 5 3 2 18 2 5" xfId="27085"/>
    <cellStyle name="표준 5 3 2 18 2 6" xfId="54056"/>
    <cellStyle name="표준 5 3 2 18 3" xfId="4864"/>
    <cellStyle name="표준 5 3 2 18 3 2" xfId="11200"/>
    <cellStyle name="표준 5 3 2 18 3 2 2" xfId="23873"/>
    <cellStyle name="표준 5 3 2 18 3 2 2 2" xfId="49225"/>
    <cellStyle name="표준 5 3 2 18 3 2 3" xfId="36553"/>
    <cellStyle name="표준 5 3 2 18 3 3" xfId="17537"/>
    <cellStyle name="표준 5 3 2 18 3 3 2" xfId="42889"/>
    <cellStyle name="표준 5 3 2 18 3 4" xfId="30217"/>
    <cellStyle name="표준 5 3 2 18 3 5" xfId="54057"/>
    <cellStyle name="표준 5 3 2 18 4" xfId="8067"/>
    <cellStyle name="표준 5 3 2 18 4 2" xfId="20740"/>
    <cellStyle name="표준 5 3 2 18 4 2 2" xfId="46092"/>
    <cellStyle name="표준 5 3 2 18 4 3" xfId="33420"/>
    <cellStyle name="표준 5 3 2 18 5" xfId="14404"/>
    <cellStyle name="표준 5 3 2 18 5 2" xfId="39756"/>
    <cellStyle name="표준 5 3 2 18 6" xfId="27084"/>
    <cellStyle name="표준 5 3 2 18 7" xfId="54058"/>
    <cellStyle name="표준 5 3 2 19" xfId="1732"/>
    <cellStyle name="표준 5 3 2 19 2" xfId="1733"/>
    <cellStyle name="표준 5 3 2 19 2 2" xfId="4865"/>
    <cellStyle name="표준 5 3 2 19 2 2 2" xfId="11201"/>
    <cellStyle name="표준 5 3 2 19 2 2 2 2" xfId="23874"/>
    <cellStyle name="표준 5 3 2 19 2 2 2 2 2" xfId="49226"/>
    <cellStyle name="표준 5 3 2 19 2 2 2 3" xfId="36554"/>
    <cellStyle name="표준 5 3 2 19 2 2 3" xfId="17538"/>
    <cellStyle name="표준 5 3 2 19 2 2 3 2" xfId="42890"/>
    <cellStyle name="표준 5 3 2 19 2 2 4" xfId="30218"/>
    <cellStyle name="표준 5 3 2 19 2 2 5" xfId="54059"/>
    <cellStyle name="표준 5 3 2 19 2 3" xfId="8070"/>
    <cellStyle name="표준 5 3 2 19 2 3 2" xfId="20743"/>
    <cellStyle name="표준 5 3 2 19 2 3 2 2" xfId="46095"/>
    <cellStyle name="표준 5 3 2 19 2 3 3" xfId="33423"/>
    <cellStyle name="표준 5 3 2 19 2 4" xfId="14407"/>
    <cellStyle name="표준 5 3 2 19 2 4 2" xfId="39759"/>
    <cellStyle name="표준 5 3 2 19 2 5" xfId="27087"/>
    <cellStyle name="표준 5 3 2 19 2 6" xfId="54060"/>
    <cellStyle name="표준 5 3 2 19 3" xfId="4866"/>
    <cellStyle name="표준 5 3 2 19 3 2" xfId="11202"/>
    <cellStyle name="표준 5 3 2 19 3 2 2" xfId="23875"/>
    <cellStyle name="표준 5 3 2 19 3 2 2 2" xfId="49227"/>
    <cellStyle name="표준 5 3 2 19 3 2 3" xfId="36555"/>
    <cellStyle name="표준 5 3 2 19 3 3" xfId="17539"/>
    <cellStyle name="표준 5 3 2 19 3 3 2" xfId="42891"/>
    <cellStyle name="표준 5 3 2 19 3 4" xfId="30219"/>
    <cellStyle name="표준 5 3 2 19 3 5" xfId="54061"/>
    <cellStyle name="표준 5 3 2 19 4" xfId="8069"/>
    <cellStyle name="표준 5 3 2 19 4 2" xfId="20742"/>
    <cellStyle name="표준 5 3 2 19 4 2 2" xfId="46094"/>
    <cellStyle name="표준 5 3 2 19 4 3" xfId="33422"/>
    <cellStyle name="표준 5 3 2 19 5" xfId="14406"/>
    <cellStyle name="표준 5 3 2 19 5 2" xfId="39758"/>
    <cellStyle name="표준 5 3 2 19 6" xfId="27086"/>
    <cellStyle name="표준 5 3 2 19 7" xfId="54062"/>
    <cellStyle name="표준 5 3 2 2" xfId="81"/>
    <cellStyle name="표준 5 3 2 2 10" xfId="1734"/>
    <cellStyle name="표준 5 3 2 2 10 2" xfId="1735"/>
    <cellStyle name="표준 5 3 2 2 10 2 2" xfId="4867"/>
    <cellStyle name="표준 5 3 2 2 10 2 2 2" xfId="11203"/>
    <cellStyle name="표준 5 3 2 2 10 2 2 2 2" xfId="23876"/>
    <cellStyle name="표준 5 3 2 2 10 2 2 2 2 2" xfId="49228"/>
    <cellStyle name="표준 5 3 2 2 10 2 2 2 3" xfId="36556"/>
    <cellStyle name="표준 5 3 2 2 10 2 2 3" xfId="17540"/>
    <cellStyle name="표준 5 3 2 2 10 2 2 3 2" xfId="42892"/>
    <cellStyle name="표준 5 3 2 2 10 2 2 4" xfId="30220"/>
    <cellStyle name="표준 5 3 2 2 10 2 2 5" xfId="54063"/>
    <cellStyle name="표준 5 3 2 2 10 2 3" xfId="8072"/>
    <cellStyle name="표준 5 3 2 2 10 2 3 2" xfId="20745"/>
    <cellStyle name="표준 5 3 2 2 10 2 3 2 2" xfId="46097"/>
    <cellStyle name="표준 5 3 2 2 10 2 3 3" xfId="33425"/>
    <cellStyle name="표준 5 3 2 2 10 2 4" xfId="14409"/>
    <cellStyle name="표준 5 3 2 2 10 2 4 2" xfId="39761"/>
    <cellStyle name="표준 5 3 2 2 10 2 5" xfId="27089"/>
    <cellStyle name="표준 5 3 2 2 10 2 6" xfId="54064"/>
    <cellStyle name="표준 5 3 2 2 10 3" xfId="4868"/>
    <cellStyle name="표준 5 3 2 2 10 3 2" xfId="11204"/>
    <cellStyle name="표준 5 3 2 2 10 3 2 2" xfId="23877"/>
    <cellStyle name="표준 5 3 2 2 10 3 2 2 2" xfId="49229"/>
    <cellStyle name="표준 5 3 2 2 10 3 2 3" xfId="36557"/>
    <cellStyle name="표준 5 3 2 2 10 3 3" xfId="17541"/>
    <cellStyle name="표준 5 3 2 2 10 3 3 2" xfId="42893"/>
    <cellStyle name="표준 5 3 2 2 10 3 4" xfId="30221"/>
    <cellStyle name="표준 5 3 2 2 10 3 5" xfId="54065"/>
    <cellStyle name="표준 5 3 2 2 10 4" xfId="8071"/>
    <cellStyle name="표준 5 3 2 2 10 4 2" xfId="20744"/>
    <cellStyle name="표준 5 3 2 2 10 4 2 2" xfId="46096"/>
    <cellStyle name="표준 5 3 2 2 10 4 3" xfId="33424"/>
    <cellStyle name="표준 5 3 2 2 10 5" xfId="14408"/>
    <cellStyle name="표준 5 3 2 2 10 5 2" xfId="39760"/>
    <cellStyle name="표준 5 3 2 2 10 6" xfId="27088"/>
    <cellStyle name="표준 5 3 2 2 10 7" xfId="54066"/>
    <cellStyle name="표준 5 3 2 2 11" xfId="1736"/>
    <cellStyle name="표준 5 3 2 2 11 2" xfId="1737"/>
    <cellStyle name="표준 5 3 2 2 11 2 2" xfId="4869"/>
    <cellStyle name="표준 5 3 2 2 11 2 2 2" xfId="11205"/>
    <cellStyle name="표준 5 3 2 2 11 2 2 2 2" xfId="23878"/>
    <cellStyle name="표준 5 3 2 2 11 2 2 2 2 2" xfId="49230"/>
    <cellStyle name="표준 5 3 2 2 11 2 2 2 3" xfId="36558"/>
    <cellStyle name="표준 5 3 2 2 11 2 2 3" xfId="17542"/>
    <cellStyle name="표준 5 3 2 2 11 2 2 3 2" xfId="42894"/>
    <cellStyle name="표준 5 3 2 2 11 2 2 4" xfId="30222"/>
    <cellStyle name="표준 5 3 2 2 11 2 2 5" xfId="54067"/>
    <cellStyle name="표준 5 3 2 2 11 2 3" xfId="8074"/>
    <cellStyle name="표준 5 3 2 2 11 2 3 2" xfId="20747"/>
    <cellStyle name="표준 5 3 2 2 11 2 3 2 2" xfId="46099"/>
    <cellStyle name="표준 5 3 2 2 11 2 3 3" xfId="33427"/>
    <cellStyle name="표준 5 3 2 2 11 2 4" xfId="14411"/>
    <cellStyle name="표준 5 3 2 2 11 2 4 2" xfId="39763"/>
    <cellStyle name="표준 5 3 2 2 11 2 5" xfId="27091"/>
    <cellStyle name="표준 5 3 2 2 11 2 6" xfId="54068"/>
    <cellStyle name="표준 5 3 2 2 11 3" xfId="4870"/>
    <cellStyle name="표준 5 3 2 2 11 3 2" xfId="11206"/>
    <cellStyle name="표준 5 3 2 2 11 3 2 2" xfId="23879"/>
    <cellStyle name="표준 5 3 2 2 11 3 2 2 2" xfId="49231"/>
    <cellStyle name="표준 5 3 2 2 11 3 2 3" xfId="36559"/>
    <cellStyle name="표준 5 3 2 2 11 3 3" xfId="17543"/>
    <cellStyle name="표준 5 3 2 2 11 3 3 2" xfId="42895"/>
    <cellStyle name="표준 5 3 2 2 11 3 4" xfId="30223"/>
    <cellStyle name="표준 5 3 2 2 11 3 5" xfId="54069"/>
    <cellStyle name="표준 5 3 2 2 11 4" xfId="8073"/>
    <cellStyle name="표준 5 3 2 2 11 4 2" xfId="20746"/>
    <cellStyle name="표준 5 3 2 2 11 4 2 2" xfId="46098"/>
    <cellStyle name="표준 5 3 2 2 11 4 3" xfId="33426"/>
    <cellStyle name="표준 5 3 2 2 11 5" xfId="14410"/>
    <cellStyle name="표준 5 3 2 2 11 5 2" xfId="39762"/>
    <cellStyle name="표준 5 3 2 2 11 6" xfId="27090"/>
    <cellStyle name="표준 5 3 2 2 11 7" xfId="54070"/>
    <cellStyle name="표준 5 3 2 2 12" xfId="1738"/>
    <cellStyle name="표준 5 3 2 2 12 2" xfId="1739"/>
    <cellStyle name="표준 5 3 2 2 12 2 2" xfId="4871"/>
    <cellStyle name="표준 5 3 2 2 12 2 2 2" xfId="11207"/>
    <cellStyle name="표준 5 3 2 2 12 2 2 2 2" xfId="23880"/>
    <cellStyle name="표준 5 3 2 2 12 2 2 2 2 2" xfId="49232"/>
    <cellStyle name="표준 5 3 2 2 12 2 2 2 3" xfId="36560"/>
    <cellStyle name="표준 5 3 2 2 12 2 2 3" xfId="17544"/>
    <cellStyle name="표준 5 3 2 2 12 2 2 3 2" xfId="42896"/>
    <cellStyle name="표준 5 3 2 2 12 2 2 4" xfId="30224"/>
    <cellStyle name="표준 5 3 2 2 12 2 2 5" xfId="54071"/>
    <cellStyle name="표준 5 3 2 2 12 2 3" xfId="8076"/>
    <cellStyle name="표준 5 3 2 2 12 2 3 2" xfId="20749"/>
    <cellStyle name="표준 5 3 2 2 12 2 3 2 2" xfId="46101"/>
    <cellStyle name="표준 5 3 2 2 12 2 3 3" xfId="33429"/>
    <cellStyle name="표준 5 3 2 2 12 2 4" xfId="14413"/>
    <cellStyle name="표준 5 3 2 2 12 2 4 2" xfId="39765"/>
    <cellStyle name="표준 5 3 2 2 12 2 5" xfId="27093"/>
    <cellStyle name="표준 5 3 2 2 12 2 6" xfId="54072"/>
    <cellStyle name="표준 5 3 2 2 12 3" xfId="4872"/>
    <cellStyle name="표준 5 3 2 2 12 3 2" xfId="11208"/>
    <cellStyle name="표준 5 3 2 2 12 3 2 2" xfId="23881"/>
    <cellStyle name="표준 5 3 2 2 12 3 2 2 2" xfId="49233"/>
    <cellStyle name="표준 5 3 2 2 12 3 2 3" xfId="36561"/>
    <cellStyle name="표준 5 3 2 2 12 3 3" xfId="17545"/>
    <cellStyle name="표준 5 3 2 2 12 3 3 2" xfId="42897"/>
    <cellStyle name="표준 5 3 2 2 12 3 4" xfId="30225"/>
    <cellStyle name="표준 5 3 2 2 12 3 5" xfId="54073"/>
    <cellStyle name="표준 5 3 2 2 12 4" xfId="8075"/>
    <cellStyle name="표준 5 3 2 2 12 4 2" xfId="20748"/>
    <cellStyle name="표준 5 3 2 2 12 4 2 2" xfId="46100"/>
    <cellStyle name="표준 5 3 2 2 12 4 3" xfId="33428"/>
    <cellStyle name="표준 5 3 2 2 12 5" xfId="14412"/>
    <cellStyle name="표준 5 3 2 2 12 5 2" xfId="39764"/>
    <cellStyle name="표준 5 3 2 2 12 6" xfId="27092"/>
    <cellStyle name="표준 5 3 2 2 12 7" xfId="54074"/>
    <cellStyle name="표준 5 3 2 2 13" xfId="1740"/>
    <cellStyle name="표준 5 3 2 2 13 2" xfId="1741"/>
    <cellStyle name="표준 5 3 2 2 13 2 2" xfId="4873"/>
    <cellStyle name="표준 5 3 2 2 13 2 2 2" xfId="11209"/>
    <cellStyle name="표준 5 3 2 2 13 2 2 2 2" xfId="23882"/>
    <cellStyle name="표준 5 3 2 2 13 2 2 2 2 2" xfId="49234"/>
    <cellStyle name="표준 5 3 2 2 13 2 2 2 3" xfId="36562"/>
    <cellStyle name="표준 5 3 2 2 13 2 2 3" xfId="17546"/>
    <cellStyle name="표준 5 3 2 2 13 2 2 3 2" xfId="42898"/>
    <cellStyle name="표준 5 3 2 2 13 2 2 4" xfId="30226"/>
    <cellStyle name="표준 5 3 2 2 13 2 2 5" xfId="54075"/>
    <cellStyle name="표준 5 3 2 2 13 2 3" xfId="8078"/>
    <cellStyle name="표준 5 3 2 2 13 2 3 2" xfId="20751"/>
    <cellStyle name="표준 5 3 2 2 13 2 3 2 2" xfId="46103"/>
    <cellStyle name="표준 5 3 2 2 13 2 3 3" xfId="33431"/>
    <cellStyle name="표준 5 3 2 2 13 2 4" xfId="14415"/>
    <cellStyle name="표준 5 3 2 2 13 2 4 2" xfId="39767"/>
    <cellStyle name="표준 5 3 2 2 13 2 5" xfId="27095"/>
    <cellStyle name="표준 5 3 2 2 13 2 6" xfId="54076"/>
    <cellStyle name="표준 5 3 2 2 13 3" xfId="4874"/>
    <cellStyle name="표준 5 3 2 2 13 3 2" xfId="11210"/>
    <cellStyle name="표준 5 3 2 2 13 3 2 2" xfId="23883"/>
    <cellStyle name="표준 5 3 2 2 13 3 2 2 2" xfId="49235"/>
    <cellStyle name="표준 5 3 2 2 13 3 2 3" xfId="36563"/>
    <cellStyle name="표준 5 3 2 2 13 3 3" xfId="17547"/>
    <cellStyle name="표준 5 3 2 2 13 3 3 2" xfId="42899"/>
    <cellStyle name="표준 5 3 2 2 13 3 4" xfId="30227"/>
    <cellStyle name="표준 5 3 2 2 13 3 5" xfId="54077"/>
    <cellStyle name="표준 5 3 2 2 13 4" xfId="8077"/>
    <cellStyle name="표준 5 3 2 2 13 4 2" xfId="20750"/>
    <cellStyle name="표준 5 3 2 2 13 4 2 2" xfId="46102"/>
    <cellStyle name="표준 5 3 2 2 13 4 3" xfId="33430"/>
    <cellStyle name="표준 5 3 2 2 13 5" xfId="14414"/>
    <cellStyle name="표준 5 3 2 2 13 5 2" xfId="39766"/>
    <cellStyle name="표준 5 3 2 2 13 6" xfId="27094"/>
    <cellStyle name="표준 5 3 2 2 13 7" xfId="54078"/>
    <cellStyle name="표준 5 3 2 2 14" xfId="1742"/>
    <cellStyle name="표준 5 3 2 2 14 2" xfId="1743"/>
    <cellStyle name="표준 5 3 2 2 14 2 2" xfId="4875"/>
    <cellStyle name="표준 5 3 2 2 14 2 2 2" xfId="11211"/>
    <cellStyle name="표준 5 3 2 2 14 2 2 2 2" xfId="23884"/>
    <cellStyle name="표준 5 3 2 2 14 2 2 2 2 2" xfId="49236"/>
    <cellStyle name="표준 5 3 2 2 14 2 2 2 3" xfId="36564"/>
    <cellStyle name="표준 5 3 2 2 14 2 2 3" xfId="17548"/>
    <cellStyle name="표준 5 3 2 2 14 2 2 3 2" xfId="42900"/>
    <cellStyle name="표준 5 3 2 2 14 2 2 4" xfId="30228"/>
    <cellStyle name="표준 5 3 2 2 14 2 2 5" xfId="54079"/>
    <cellStyle name="표준 5 3 2 2 14 2 3" xfId="8080"/>
    <cellStyle name="표준 5 3 2 2 14 2 3 2" xfId="20753"/>
    <cellStyle name="표준 5 3 2 2 14 2 3 2 2" xfId="46105"/>
    <cellStyle name="표준 5 3 2 2 14 2 3 3" xfId="33433"/>
    <cellStyle name="표준 5 3 2 2 14 2 4" xfId="14417"/>
    <cellStyle name="표준 5 3 2 2 14 2 4 2" xfId="39769"/>
    <cellStyle name="표준 5 3 2 2 14 2 5" xfId="27097"/>
    <cellStyle name="표준 5 3 2 2 14 2 6" xfId="54080"/>
    <cellStyle name="표준 5 3 2 2 14 3" xfId="4876"/>
    <cellStyle name="표준 5 3 2 2 14 3 2" xfId="11212"/>
    <cellStyle name="표준 5 3 2 2 14 3 2 2" xfId="23885"/>
    <cellStyle name="표준 5 3 2 2 14 3 2 2 2" xfId="49237"/>
    <cellStyle name="표준 5 3 2 2 14 3 2 3" xfId="36565"/>
    <cellStyle name="표준 5 3 2 2 14 3 3" xfId="17549"/>
    <cellStyle name="표준 5 3 2 2 14 3 3 2" xfId="42901"/>
    <cellStyle name="표준 5 3 2 2 14 3 4" xfId="30229"/>
    <cellStyle name="표준 5 3 2 2 14 3 5" xfId="54081"/>
    <cellStyle name="표준 5 3 2 2 14 4" xfId="8079"/>
    <cellStyle name="표준 5 3 2 2 14 4 2" xfId="20752"/>
    <cellStyle name="표준 5 3 2 2 14 4 2 2" xfId="46104"/>
    <cellStyle name="표준 5 3 2 2 14 4 3" xfId="33432"/>
    <cellStyle name="표준 5 3 2 2 14 5" xfId="14416"/>
    <cellStyle name="표준 5 3 2 2 14 5 2" xfId="39768"/>
    <cellStyle name="표준 5 3 2 2 14 6" xfId="27096"/>
    <cellStyle name="표준 5 3 2 2 14 7" xfId="54082"/>
    <cellStyle name="표준 5 3 2 2 15" xfId="1744"/>
    <cellStyle name="표준 5 3 2 2 15 2" xfId="1745"/>
    <cellStyle name="표준 5 3 2 2 15 2 2" xfId="4877"/>
    <cellStyle name="표준 5 3 2 2 15 2 2 2" xfId="11213"/>
    <cellStyle name="표준 5 3 2 2 15 2 2 2 2" xfId="23886"/>
    <cellStyle name="표준 5 3 2 2 15 2 2 2 2 2" xfId="49238"/>
    <cellStyle name="표준 5 3 2 2 15 2 2 2 3" xfId="36566"/>
    <cellStyle name="표준 5 3 2 2 15 2 2 3" xfId="17550"/>
    <cellStyle name="표준 5 3 2 2 15 2 2 3 2" xfId="42902"/>
    <cellStyle name="표준 5 3 2 2 15 2 2 4" xfId="30230"/>
    <cellStyle name="표준 5 3 2 2 15 2 2 5" xfId="54083"/>
    <cellStyle name="표준 5 3 2 2 15 2 3" xfId="8082"/>
    <cellStyle name="표준 5 3 2 2 15 2 3 2" xfId="20755"/>
    <cellStyle name="표준 5 3 2 2 15 2 3 2 2" xfId="46107"/>
    <cellStyle name="표준 5 3 2 2 15 2 3 3" xfId="33435"/>
    <cellStyle name="표준 5 3 2 2 15 2 4" xfId="14419"/>
    <cellStyle name="표준 5 3 2 2 15 2 4 2" xfId="39771"/>
    <cellStyle name="표준 5 3 2 2 15 2 5" xfId="27099"/>
    <cellStyle name="표준 5 3 2 2 15 2 6" xfId="54084"/>
    <cellStyle name="표준 5 3 2 2 15 3" xfId="4878"/>
    <cellStyle name="표준 5 3 2 2 15 3 2" xfId="11214"/>
    <cellStyle name="표준 5 3 2 2 15 3 2 2" xfId="23887"/>
    <cellStyle name="표준 5 3 2 2 15 3 2 2 2" xfId="49239"/>
    <cellStyle name="표준 5 3 2 2 15 3 2 3" xfId="36567"/>
    <cellStyle name="표준 5 3 2 2 15 3 3" xfId="17551"/>
    <cellStyle name="표준 5 3 2 2 15 3 3 2" xfId="42903"/>
    <cellStyle name="표준 5 3 2 2 15 3 4" xfId="30231"/>
    <cellStyle name="표준 5 3 2 2 15 3 5" xfId="54085"/>
    <cellStyle name="표준 5 3 2 2 15 4" xfId="8081"/>
    <cellStyle name="표준 5 3 2 2 15 4 2" xfId="20754"/>
    <cellStyle name="표준 5 3 2 2 15 4 2 2" xfId="46106"/>
    <cellStyle name="표준 5 3 2 2 15 4 3" xfId="33434"/>
    <cellStyle name="표준 5 3 2 2 15 5" xfId="14418"/>
    <cellStyle name="표준 5 3 2 2 15 5 2" xfId="39770"/>
    <cellStyle name="표준 5 3 2 2 15 6" xfId="27098"/>
    <cellStyle name="표준 5 3 2 2 15 7" xfId="54086"/>
    <cellStyle name="표준 5 3 2 2 16" xfId="1746"/>
    <cellStyle name="표준 5 3 2 2 16 2" xfId="1747"/>
    <cellStyle name="표준 5 3 2 2 16 2 2" xfId="4879"/>
    <cellStyle name="표준 5 3 2 2 16 2 2 2" xfId="11215"/>
    <cellStyle name="표준 5 3 2 2 16 2 2 2 2" xfId="23888"/>
    <cellStyle name="표준 5 3 2 2 16 2 2 2 2 2" xfId="49240"/>
    <cellStyle name="표준 5 3 2 2 16 2 2 2 3" xfId="36568"/>
    <cellStyle name="표준 5 3 2 2 16 2 2 3" xfId="17552"/>
    <cellStyle name="표준 5 3 2 2 16 2 2 3 2" xfId="42904"/>
    <cellStyle name="표준 5 3 2 2 16 2 2 4" xfId="30232"/>
    <cellStyle name="표준 5 3 2 2 16 2 2 5" xfId="54087"/>
    <cellStyle name="표준 5 3 2 2 16 2 3" xfId="8084"/>
    <cellStyle name="표준 5 3 2 2 16 2 3 2" xfId="20757"/>
    <cellStyle name="표준 5 3 2 2 16 2 3 2 2" xfId="46109"/>
    <cellStyle name="표준 5 3 2 2 16 2 3 3" xfId="33437"/>
    <cellStyle name="표준 5 3 2 2 16 2 4" xfId="14421"/>
    <cellStyle name="표준 5 3 2 2 16 2 4 2" xfId="39773"/>
    <cellStyle name="표준 5 3 2 2 16 2 5" xfId="27101"/>
    <cellStyle name="표준 5 3 2 2 16 2 6" xfId="54088"/>
    <cellStyle name="표준 5 3 2 2 16 3" xfId="4880"/>
    <cellStyle name="표준 5 3 2 2 16 3 2" xfId="11216"/>
    <cellStyle name="표준 5 3 2 2 16 3 2 2" xfId="23889"/>
    <cellStyle name="표준 5 3 2 2 16 3 2 2 2" xfId="49241"/>
    <cellStyle name="표준 5 3 2 2 16 3 2 3" xfId="36569"/>
    <cellStyle name="표준 5 3 2 2 16 3 3" xfId="17553"/>
    <cellStyle name="표준 5 3 2 2 16 3 3 2" xfId="42905"/>
    <cellStyle name="표준 5 3 2 2 16 3 4" xfId="30233"/>
    <cellStyle name="표준 5 3 2 2 16 3 5" xfId="54089"/>
    <cellStyle name="표준 5 3 2 2 16 4" xfId="8083"/>
    <cellStyle name="표준 5 3 2 2 16 4 2" xfId="20756"/>
    <cellStyle name="표준 5 3 2 2 16 4 2 2" xfId="46108"/>
    <cellStyle name="표준 5 3 2 2 16 4 3" xfId="33436"/>
    <cellStyle name="표준 5 3 2 2 16 5" xfId="14420"/>
    <cellStyle name="표준 5 3 2 2 16 5 2" xfId="39772"/>
    <cellStyle name="표준 5 3 2 2 16 6" xfId="27100"/>
    <cellStyle name="표준 5 3 2 2 16 7" xfId="54090"/>
    <cellStyle name="표준 5 3 2 2 17" xfId="1748"/>
    <cellStyle name="표준 5 3 2 2 17 2" xfId="1749"/>
    <cellStyle name="표준 5 3 2 2 17 2 2" xfId="4881"/>
    <cellStyle name="표준 5 3 2 2 17 2 2 2" xfId="11217"/>
    <cellStyle name="표준 5 3 2 2 17 2 2 2 2" xfId="23890"/>
    <cellStyle name="표준 5 3 2 2 17 2 2 2 2 2" xfId="49242"/>
    <cellStyle name="표준 5 3 2 2 17 2 2 2 3" xfId="36570"/>
    <cellStyle name="표준 5 3 2 2 17 2 2 3" xfId="17554"/>
    <cellStyle name="표준 5 3 2 2 17 2 2 3 2" xfId="42906"/>
    <cellStyle name="표준 5 3 2 2 17 2 2 4" xfId="30234"/>
    <cellStyle name="표준 5 3 2 2 17 2 2 5" xfId="54091"/>
    <cellStyle name="표준 5 3 2 2 17 2 3" xfId="8086"/>
    <cellStyle name="표준 5 3 2 2 17 2 3 2" xfId="20759"/>
    <cellStyle name="표준 5 3 2 2 17 2 3 2 2" xfId="46111"/>
    <cellStyle name="표준 5 3 2 2 17 2 3 3" xfId="33439"/>
    <cellStyle name="표준 5 3 2 2 17 2 4" xfId="14423"/>
    <cellStyle name="표준 5 3 2 2 17 2 4 2" xfId="39775"/>
    <cellStyle name="표준 5 3 2 2 17 2 5" xfId="27103"/>
    <cellStyle name="표준 5 3 2 2 17 2 6" xfId="54092"/>
    <cellStyle name="표준 5 3 2 2 17 3" xfId="4882"/>
    <cellStyle name="표준 5 3 2 2 17 3 2" xfId="11218"/>
    <cellStyle name="표준 5 3 2 2 17 3 2 2" xfId="23891"/>
    <cellStyle name="표준 5 3 2 2 17 3 2 2 2" xfId="49243"/>
    <cellStyle name="표준 5 3 2 2 17 3 2 3" xfId="36571"/>
    <cellStyle name="표준 5 3 2 2 17 3 3" xfId="17555"/>
    <cellStyle name="표준 5 3 2 2 17 3 3 2" xfId="42907"/>
    <cellStyle name="표준 5 3 2 2 17 3 4" xfId="30235"/>
    <cellStyle name="표준 5 3 2 2 17 3 5" xfId="54093"/>
    <cellStyle name="표준 5 3 2 2 17 4" xfId="8085"/>
    <cellStyle name="표준 5 3 2 2 17 4 2" xfId="20758"/>
    <cellStyle name="표준 5 3 2 2 17 4 2 2" xfId="46110"/>
    <cellStyle name="표준 5 3 2 2 17 4 3" xfId="33438"/>
    <cellStyle name="표준 5 3 2 2 17 5" xfId="14422"/>
    <cellStyle name="표준 5 3 2 2 17 5 2" xfId="39774"/>
    <cellStyle name="표준 5 3 2 2 17 6" xfId="27102"/>
    <cellStyle name="표준 5 3 2 2 17 7" xfId="54094"/>
    <cellStyle name="표준 5 3 2 2 18" xfId="1750"/>
    <cellStyle name="표준 5 3 2 2 18 2" xfId="1751"/>
    <cellStyle name="표준 5 3 2 2 18 2 2" xfId="4883"/>
    <cellStyle name="표준 5 3 2 2 18 2 2 2" xfId="11219"/>
    <cellStyle name="표준 5 3 2 2 18 2 2 2 2" xfId="23892"/>
    <cellStyle name="표준 5 3 2 2 18 2 2 2 2 2" xfId="49244"/>
    <cellStyle name="표준 5 3 2 2 18 2 2 2 3" xfId="36572"/>
    <cellStyle name="표준 5 3 2 2 18 2 2 3" xfId="17556"/>
    <cellStyle name="표준 5 3 2 2 18 2 2 3 2" xfId="42908"/>
    <cellStyle name="표준 5 3 2 2 18 2 2 4" xfId="30236"/>
    <cellStyle name="표준 5 3 2 2 18 2 2 5" xfId="54095"/>
    <cellStyle name="표준 5 3 2 2 18 2 3" xfId="8088"/>
    <cellStyle name="표준 5 3 2 2 18 2 3 2" xfId="20761"/>
    <cellStyle name="표준 5 3 2 2 18 2 3 2 2" xfId="46113"/>
    <cellStyle name="표준 5 3 2 2 18 2 3 3" xfId="33441"/>
    <cellStyle name="표준 5 3 2 2 18 2 4" xfId="14425"/>
    <cellStyle name="표준 5 3 2 2 18 2 4 2" xfId="39777"/>
    <cellStyle name="표준 5 3 2 2 18 2 5" xfId="27105"/>
    <cellStyle name="표준 5 3 2 2 18 2 6" xfId="54096"/>
    <cellStyle name="표준 5 3 2 2 18 3" xfId="4884"/>
    <cellStyle name="표준 5 3 2 2 18 3 2" xfId="11220"/>
    <cellStyle name="표준 5 3 2 2 18 3 2 2" xfId="23893"/>
    <cellStyle name="표준 5 3 2 2 18 3 2 2 2" xfId="49245"/>
    <cellStyle name="표준 5 3 2 2 18 3 2 3" xfId="36573"/>
    <cellStyle name="표준 5 3 2 2 18 3 3" xfId="17557"/>
    <cellStyle name="표준 5 3 2 2 18 3 3 2" xfId="42909"/>
    <cellStyle name="표준 5 3 2 2 18 3 4" xfId="30237"/>
    <cellStyle name="표준 5 3 2 2 18 3 5" xfId="54097"/>
    <cellStyle name="표준 5 3 2 2 18 4" xfId="8087"/>
    <cellStyle name="표준 5 3 2 2 18 4 2" xfId="20760"/>
    <cellStyle name="표준 5 3 2 2 18 4 2 2" xfId="46112"/>
    <cellStyle name="표준 5 3 2 2 18 4 3" xfId="33440"/>
    <cellStyle name="표준 5 3 2 2 18 5" xfId="14424"/>
    <cellStyle name="표준 5 3 2 2 18 5 2" xfId="39776"/>
    <cellStyle name="표준 5 3 2 2 18 6" xfId="27104"/>
    <cellStyle name="표준 5 3 2 2 18 7" xfId="54098"/>
    <cellStyle name="표준 5 3 2 2 19" xfId="1752"/>
    <cellStyle name="표준 5 3 2 2 19 2" xfId="1753"/>
    <cellStyle name="표준 5 3 2 2 19 2 2" xfId="4885"/>
    <cellStyle name="표준 5 3 2 2 19 2 2 2" xfId="11221"/>
    <cellStyle name="표준 5 3 2 2 19 2 2 2 2" xfId="23894"/>
    <cellStyle name="표준 5 3 2 2 19 2 2 2 2 2" xfId="49246"/>
    <cellStyle name="표준 5 3 2 2 19 2 2 2 3" xfId="36574"/>
    <cellStyle name="표준 5 3 2 2 19 2 2 3" xfId="17558"/>
    <cellStyle name="표준 5 3 2 2 19 2 2 3 2" xfId="42910"/>
    <cellStyle name="표준 5 3 2 2 19 2 2 4" xfId="30238"/>
    <cellStyle name="표준 5 3 2 2 19 2 2 5" xfId="54099"/>
    <cellStyle name="표준 5 3 2 2 19 2 3" xfId="8090"/>
    <cellStyle name="표준 5 3 2 2 19 2 3 2" xfId="20763"/>
    <cellStyle name="표준 5 3 2 2 19 2 3 2 2" xfId="46115"/>
    <cellStyle name="표준 5 3 2 2 19 2 3 3" xfId="33443"/>
    <cellStyle name="표준 5 3 2 2 19 2 4" xfId="14427"/>
    <cellStyle name="표준 5 3 2 2 19 2 4 2" xfId="39779"/>
    <cellStyle name="표준 5 3 2 2 19 2 5" xfId="27107"/>
    <cellStyle name="표준 5 3 2 2 19 2 6" xfId="54100"/>
    <cellStyle name="표준 5 3 2 2 19 3" xfId="4886"/>
    <cellStyle name="표준 5 3 2 2 19 3 2" xfId="11222"/>
    <cellStyle name="표준 5 3 2 2 19 3 2 2" xfId="23895"/>
    <cellStyle name="표준 5 3 2 2 19 3 2 2 2" xfId="49247"/>
    <cellStyle name="표준 5 3 2 2 19 3 2 3" xfId="36575"/>
    <cellStyle name="표준 5 3 2 2 19 3 3" xfId="17559"/>
    <cellStyle name="표준 5 3 2 2 19 3 3 2" xfId="42911"/>
    <cellStyle name="표준 5 3 2 2 19 3 4" xfId="30239"/>
    <cellStyle name="표준 5 3 2 2 19 3 5" xfId="54101"/>
    <cellStyle name="표준 5 3 2 2 19 4" xfId="8089"/>
    <cellStyle name="표준 5 3 2 2 19 4 2" xfId="20762"/>
    <cellStyle name="표준 5 3 2 2 19 4 2 2" xfId="46114"/>
    <cellStyle name="표준 5 3 2 2 19 4 3" xfId="33442"/>
    <cellStyle name="표준 5 3 2 2 19 5" xfId="14426"/>
    <cellStyle name="표준 5 3 2 2 19 5 2" xfId="39778"/>
    <cellStyle name="표준 5 3 2 2 19 6" xfId="27106"/>
    <cellStyle name="표준 5 3 2 2 19 7" xfId="54102"/>
    <cellStyle name="표준 5 3 2 2 2" xfId="1754"/>
    <cellStyle name="표준 5 3 2 2 2 2" xfId="1755"/>
    <cellStyle name="표준 5 3 2 2 2 2 2" xfId="4887"/>
    <cellStyle name="표준 5 3 2 2 2 2 2 2" xfId="11223"/>
    <cellStyle name="표준 5 3 2 2 2 2 2 2 2" xfId="23896"/>
    <cellStyle name="표준 5 3 2 2 2 2 2 2 2 2" xfId="49248"/>
    <cellStyle name="표준 5 3 2 2 2 2 2 2 3" xfId="36576"/>
    <cellStyle name="표준 5 3 2 2 2 2 2 3" xfId="17560"/>
    <cellStyle name="표준 5 3 2 2 2 2 2 3 2" xfId="42912"/>
    <cellStyle name="표준 5 3 2 2 2 2 2 4" xfId="30240"/>
    <cellStyle name="표준 5 3 2 2 2 2 2 5" xfId="54103"/>
    <cellStyle name="표준 5 3 2 2 2 2 3" xfId="8092"/>
    <cellStyle name="표준 5 3 2 2 2 2 3 2" xfId="20765"/>
    <cellStyle name="표준 5 3 2 2 2 2 3 2 2" xfId="46117"/>
    <cellStyle name="표준 5 3 2 2 2 2 3 3" xfId="33445"/>
    <cellStyle name="표준 5 3 2 2 2 2 4" xfId="14429"/>
    <cellStyle name="표준 5 3 2 2 2 2 4 2" xfId="39781"/>
    <cellStyle name="표준 5 3 2 2 2 2 5" xfId="27109"/>
    <cellStyle name="표준 5 3 2 2 2 2 6" xfId="54104"/>
    <cellStyle name="표준 5 3 2 2 2 3" xfId="4888"/>
    <cellStyle name="표준 5 3 2 2 2 3 2" xfId="11224"/>
    <cellStyle name="표준 5 3 2 2 2 3 2 2" xfId="23897"/>
    <cellStyle name="표준 5 3 2 2 2 3 2 2 2" xfId="49249"/>
    <cellStyle name="표준 5 3 2 2 2 3 2 3" xfId="36577"/>
    <cellStyle name="표준 5 3 2 2 2 3 3" xfId="17561"/>
    <cellStyle name="표준 5 3 2 2 2 3 3 2" xfId="42913"/>
    <cellStyle name="표준 5 3 2 2 2 3 4" xfId="30241"/>
    <cellStyle name="표준 5 3 2 2 2 3 5" xfId="54105"/>
    <cellStyle name="표준 5 3 2 2 2 4" xfId="8091"/>
    <cellStyle name="표준 5 3 2 2 2 4 2" xfId="20764"/>
    <cellStyle name="표준 5 3 2 2 2 4 2 2" xfId="46116"/>
    <cellStyle name="표준 5 3 2 2 2 4 3" xfId="33444"/>
    <cellStyle name="표준 5 3 2 2 2 5" xfId="14428"/>
    <cellStyle name="표준 5 3 2 2 2 5 2" xfId="39780"/>
    <cellStyle name="표준 5 3 2 2 2 6" xfId="27108"/>
    <cellStyle name="표준 5 3 2 2 2 7" xfId="54106"/>
    <cellStyle name="표준 5 3 2 2 20" xfId="1756"/>
    <cellStyle name="표준 5 3 2 2 20 2" xfId="1757"/>
    <cellStyle name="표준 5 3 2 2 20 2 2" xfId="4889"/>
    <cellStyle name="표준 5 3 2 2 20 2 2 2" xfId="11225"/>
    <cellStyle name="표준 5 3 2 2 20 2 2 2 2" xfId="23898"/>
    <cellStyle name="표준 5 3 2 2 20 2 2 2 2 2" xfId="49250"/>
    <cellStyle name="표준 5 3 2 2 20 2 2 2 3" xfId="36578"/>
    <cellStyle name="표준 5 3 2 2 20 2 2 3" xfId="17562"/>
    <cellStyle name="표준 5 3 2 2 20 2 2 3 2" xfId="42914"/>
    <cellStyle name="표준 5 3 2 2 20 2 2 4" xfId="30242"/>
    <cellStyle name="표준 5 3 2 2 20 2 2 5" xfId="54107"/>
    <cellStyle name="표준 5 3 2 2 20 2 3" xfId="8094"/>
    <cellStyle name="표준 5 3 2 2 20 2 3 2" xfId="20767"/>
    <cellStyle name="표준 5 3 2 2 20 2 3 2 2" xfId="46119"/>
    <cellStyle name="표준 5 3 2 2 20 2 3 3" xfId="33447"/>
    <cellStyle name="표준 5 3 2 2 20 2 4" xfId="14431"/>
    <cellStyle name="표준 5 3 2 2 20 2 4 2" xfId="39783"/>
    <cellStyle name="표준 5 3 2 2 20 2 5" xfId="27111"/>
    <cellStyle name="표준 5 3 2 2 20 2 6" xfId="54108"/>
    <cellStyle name="표준 5 3 2 2 20 3" xfId="4890"/>
    <cellStyle name="표준 5 3 2 2 20 3 2" xfId="11226"/>
    <cellStyle name="표준 5 3 2 2 20 3 2 2" xfId="23899"/>
    <cellStyle name="표준 5 3 2 2 20 3 2 2 2" xfId="49251"/>
    <cellStyle name="표준 5 3 2 2 20 3 2 3" xfId="36579"/>
    <cellStyle name="표준 5 3 2 2 20 3 3" xfId="17563"/>
    <cellStyle name="표준 5 3 2 2 20 3 3 2" xfId="42915"/>
    <cellStyle name="표준 5 3 2 2 20 3 4" xfId="30243"/>
    <cellStyle name="표준 5 3 2 2 20 3 5" xfId="54109"/>
    <cellStyle name="표준 5 3 2 2 20 4" xfId="8093"/>
    <cellStyle name="표준 5 3 2 2 20 4 2" xfId="20766"/>
    <cellStyle name="표준 5 3 2 2 20 4 2 2" xfId="46118"/>
    <cellStyle name="표준 5 3 2 2 20 4 3" xfId="33446"/>
    <cellStyle name="표준 5 3 2 2 20 5" xfId="14430"/>
    <cellStyle name="표준 5 3 2 2 20 5 2" xfId="39782"/>
    <cellStyle name="표준 5 3 2 2 20 6" xfId="27110"/>
    <cellStyle name="표준 5 3 2 2 20 7" xfId="54110"/>
    <cellStyle name="표준 5 3 2 2 21" xfId="1758"/>
    <cellStyle name="표준 5 3 2 2 21 2" xfId="1759"/>
    <cellStyle name="표준 5 3 2 2 21 2 2" xfId="4891"/>
    <cellStyle name="표준 5 3 2 2 21 2 2 2" xfId="11227"/>
    <cellStyle name="표준 5 3 2 2 21 2 2 2 2" xfId="23900"/>
    <cellStyle name="표준 5 3 2 2 21 2 2 2 2 2" xfId="49252"/>
    <cellStyle name="표준 5 3 2 2 21 2 2 2 3" xfId="36580"/>
    <cellStyle name="표준 5 3 2 2 21 2 2 3" xfId="17564"/>
    <cellStyle name="표준 5 3 2 2 21 2 2 3 2" xfId="42916"/>
    <cellStyle name="표준 5 3 2 2 21 2 2 4" xfId="30244"/>
    <cellStyle name="표준 5 3 2 2 21 2 2 5" xfId="54111"/>
    <cellStyle name="표준 5 3 2 2 21 2 3" xfId="8096"/>
    <cellStyle name="표준 5 3 2 2 21 2 3 2" xfId="20769"/>
    <cellStyle name="표준 5 3 2 2 21 2 3 2 2" xfId="46121"/>
    <cellStyle name="표준 5 3 2 2 21 2 3 3" xfId="33449"/>
    <cellStyle name="표준 5 3 2 2 21 2 4" xfId="14433"/>
    <cellStyle name="표준 5 3 2 2 21 2 4 2" xfId="39785"/>
    <cellStyle name="표준 5 3 2 2 21 2 5" xfId="27113"/>
    <cellStyle name="표준 5 3 2 2 21 2 6" xfId="54112"/>
    <cellStyle name="표준 5 3 2 2 21 3" xfId="4892"/>
    <cellStyle name="표준 5 3 2 2 21 3 2" xfId="11228"/>
    <cellStyle name="표준 5 3 2 2 21 3 2 2" xfId="23901"/>
    <cellStyle name="표준 5 3 2 2 21 3 2 2 2" xfId="49253"/>
    <cellStyle name="표준 5 3 2 2 21 3 2 3" xfId="36581"/>
    <cellStyle name="표준 5 3 2 2 21 3 3" xfId="17565"/>
    <cellStyle name="표준 5 3 2 2 21 3 3 2" xfId="42917"/>
    <cellStyle name="표준 5 3 2 2 21 3 4" xfId="30245"/>
    <cellStyle name="표준 5 3 2 2 21 3 5" xfId="54113"/>
    <cellStyle name="표준 5 3 2 2 21 4" xfId="8095"/>
    <cellStyle name="표준 5 3 2 2 21 4 2" xfId="20768"/>
    <cellStyle name="표준 5 3 2 2 21 4 2 2" xfId="46120"/>
    <cellStyle name="표준 5 3 2 2 21 4 3" xfId="33448"/>
    <cellStyle name="표준 5 3 2 2 21 5" xfId="14432"/>
    <cellStyle name="표준 5 3 2 2 21 5 2" xfId="39784"/>
    <cellStyle name="표준 5 3 2 2 21 6" xfId="27112"/>
    <cellStyle name="표준 5 3 2 2 21 7" xfId="54114"/>
    <cellStyle name="표준 5 3 2 2 22" xfId="1760"/>
    <cellStyle name="표준 5 3 2 2 22 2" xfId="1761"/>
    <cellStyle name="표준 5 3 2 2 22 2 2" xfId="4893"/>
    <cellStyle name="표준 5 3 2 2 22 2 2 2" xfId="11229"/>
    <cellStyle name="표준 5 3 2 2 22 2 2 2 2" xfId="23902"/>
    <cellStyle name="표준 5 3 2 2 22 2 2 2 2 2" xfId="49254"/>
    <cellStyle name="표준 5 3 2 2 22 2 2 2 3" xfId="36582"/>
    <cellStyle name="표준 5 3 2 2 22 2 2 3" xfId="17566"/>
    <cellStyle name="표준 5 3 2 2 22 2 2 3 2" xfId="42918"/>
    <cellStyle name="표준 5 3 2 2 22 2 2 4" xfId="30246"/>
    <cellStyle name="표준 5 3 2 2 22 2 2 5" xfId="54115"/>
    <cellStyle name="표준 5 3 2 2 22 2 3" xfId="8098"/>
    <cellStyle name="표준 5 3 2 2 22 2 3 2" xfId="20771"/>
    <cellStyle name="표준 5 3 2 2 22 2 3 2 2" xfId="46123"/>
    <cellStyle name="표준 5 3 2 2 22 2 3 3" xfId="33451"/>
    <cellStyle name="표준 5 3 2 2 22 2 4" xfId="14435"/>
    <cellStyle name="표준 5 3 2 2 22 2 4 2" xfId="39787"/>
    <cellStyle name="표준 5 3 2 2 22 2 5" xfId="27115"/>
    <cellStyle name="표준 5 3 2 2 22 2 6" xfId="54116"/>
    <cellStyle name="표준 5 3 2 2 22 3" xfId="4894"/>
    <cellStyle name="표준 5 3 2 2 22 3 2" xfId="11230"/>
    <cellStyle name="표준 5 3 2 2 22 3 2 2" xfId="23903"/>
    <cellStyle name="표준 5 3 2 2 22 3 2 2 2" xfId="49255"/>
    <cellStyle name="표준 5 3 2 2 22 3 2 3" xfId="36583"/>
    <cellStyle name="표준 5 3 2 2 22 3 3" xfId="17567"/>
    <cellStyle name="표준 5 3 2 2 22 3 3 2" xfId="42919"/>
    <cellStyle name="표준 5 3 2 2 22 3 4" xfId="30247"/>
    <cellStyle name="표준 5 3 2 2 22 3 5" xfId="54117"/>
    <cellStyle name="표준 5 3 2 2 22 4" xfId="8097"/>
    <cellStyle name="표준 5 3 2 2 22 4 2" xfId="20770"/>
    <cellStyle name="표준 5 3 2 2 22 4 2 2" xfId="46122"/>
    <cellStyle name="표준 5 3 2 2 22 4 3" xfId="33450"/>
    <cellStyle name="표준 5 3 2 2 22 5" xfId="14434"/>
    <cellStyle name="표준 5 3 2 2 22 5 2" xfId="39786"/>
    <cellStyle name="표준 5 3 2 2 22 6" xfId="27114"/>
    <cellStyle name="표준 5 3 2 2 22 7" xfId="54118"/>
    <cellStyle name="표준 5 3 2 2 23" xfId="1762"/>
    <cellStyle name="표준 5 3 2 2 23 2" xfId="1763"/>
    <cellStyle name="표준 5 3 2 2 23 2 2" xfId="4895"/>
    <cellStyle name="표준 5 3 2 2 23 2 2 2" xfId="11231"/>
    <cellStyle name="표준 5 3 2 2 23 2 2 2 2" xfId="23904"/>
    <cellStyle name="표준 5 3 2 2 23 2 2 2 2 2" xfId="49256"/>
    <cellStyle name="표준 5 3 2 2 23 2 2 2 3" xfId="36584"/>
    <cellStyle name="표준 5 3 2 2 23 2 2 3" xfId="17568"/>
    <cellStyle name="표준 5 3 2 2 23 2 2 3 2" xfId="42920"/>
    <cellStyle name="표준 5 3 2 2 23 2 2 4" xfId="30248"/>
    <cellStyle name="표준 5 3 2 2 23 2 2 5" xfId="54119"/>
    <cellStyle name="표준 5 3 2 2 23 2 3" xfId="8100"/>
    <cellStyle name="표준 5 3 2 2 23 2 3 2" xfId="20773"/>
    <cellStyle name="표준 5 3 2 2 23 2 3 2 2" xfId="46125"/>
    <cellStyle name="표준 5 3 2 2 23 2 3 3" xfId="33453"/>
    <cellStyle name="표준 5 3 2 2 23 2 4" xfId="14437"/>
    <cellStyle name="표준 5 3 2 2 23 2 4 2" xfId="39789"/>
    <cellStyle name="표준 5 3 2 2 23 2 5" xfId="27117"/>
    <cellStyle name="표준 5 3 2 2 23 2 6" xfId="54120"/>
    <cellStyle name="표준 5 3 2 2 23 3" xfId="4896"/>
    <cellStyle name="표준 5 3 2 2 23 3 2" xfId="11232"/>
    <cellStyle name="표준 5 3 2 2 23 3 2 2" xfId="23905"/>
    <cellStyle name="표준 5 3 2 2 23 3 2 2 2" xfId="49257"/>
    <cellStyle name="표준 5 3 2 2 23 3 2 3" xfId="36585"/>
    <cellStyle name="표준 5 3 2 2 23 3 3" xfId="17569"/>
    <cellStyle name="표준 5 3 2 2 23 3 3 2" xfId="42921"/>
    <cellStyle name="표준 5 3 2 2 23 3 4" xfId="30249"/>
    <cellStyle name="표준 5 3 2 2 23 3 5" xfId="54121"/>
    <cellStyle name="표준 5 3 2 2 23 4" xfId="8099"/>
    <cellStyle name="표준 5 3 2 2 23 4 2" xfId="20772"/>
    <cellStyle name="표준 5 3 2 2 23 4 2 2" xfId="46124"/>
    <cellStyle name="표준 5 3 2 2 23 4 3" xfId="33452"/>
    <cellStyle name="표준 5 3 2 2 23 5" xfId="14436"/>
    <cellStyle name="표준 5 3 2 2 23 5 2" xfId="39788"/>
    <cellStyle name="표준 5 3 2 2 23 6" xfId="27116"/>
    <cellStyle name="표준 5 3 2 2 23 7" xfId="54122"/>
    <cellStyle name="표준 5 3 2 2 24" xfId="1764"/>
    <cellStyle name="표준 5 3 2 2 24 2" xfId="1765"/>
    <cellStyle name="표준 5 3 2 2 24 2 2" xfId="4897"/>
    <cellStyle name="표준 5 3 2 2 24 2 2 2" xfId="11233"/>
    <cellStyle name="표준 5 3 2 2 24 2 2 2 2" xfId="23906"/>
    <cellStyle name="표준 5 3 2 2 24 2 2 2 2 2" xfId="49258"/>
    <cellStyle name="표준 5 3 2 2 24 2 2 2 3" xfId="36586"/>
    <cellStyle name="표준 5 3 2 2 24 2 2 3" xfId="17570"/>
    <cellStyle name="표준 5 3 2 2 24 2 2 3 2" xfId="42922"/>
    <cellStyle name="표준 5 3 2 2 24 2 2 4" xfId="30250"/>
    <cellStyle name="표준 5 3 2 2 24 2 2 5" xfId="54123"/>
    <cellStyle name="표준 5 3 2 2 24 2 3" xfId="8102"/>
    <cellStyle name="표준 5 3 2 2 24 2 3 2" xfId="20775"/>
    <cellStyle name="표준 5 3 2 2 24 2 3 2 2" xfId="46127"/>
    <cellStyle name="표준 5 3 2 2 24 2 3 3" xfId="33455"/>
    <cellStyle name="표준 5 3 2 2 24 2 4" xfId="14439"/>
    <cellStyle name="표준 5 3 2 2 24 2 4 2" xfId="39791"/>
    <cellStyle name="표준 5 3 2 2 24 2 5" xfId="27119"/>
    <cellStyle name="표준 5 3 2 2 24 2 6" xfId="54124"/>
    <cellStyle name="표준 5 3 2 2 24 3" xfId="4898"/>
    <cellStyle name="표준 5 3 2 2 24 3 2" xfId="11234"/>
    <cellStyle name="표준 5 3 2 2 24 3 2 2" xfId="23907"/>
    <cellStyle name="표준 5 3 2 2 24 3 2 2 2" xfId="49259"/>
    <cellStyle name="표준 5 3 2 2 24 3 2 3" xfId="36587"/>
    <cellStyle name="표준 5 3 2 2 24 3 3" xfId="17571"/>
    <cellStyle name="표준 5 3 2 2 24 3 3 2" xfId="42923"/>
    <cellStyle name="표준 5 3 2 2 24 3 4" xfId="30251"/>
    <cellStyle name="표준 5 3 2 2 24 3 5" xfId="54125"/>
    <cellStyle name="표준 5 3 2 2 24 4" xfId="8101"/>
    <cellStyle name="표준 5 3 2 2 24 4 2" xfId="20774"/>
    <cellStyle name="표준 5 3 2 2 24 4 2 2" xfId="46126"/>
    <cellStyle name="표준 5 3 2 2 24 4 3" xfId="33454"/>
    <cellStyle name="표준 5 3 2 2 24 5" xfId="14438"/>
    <cellStyle name="표준 5 3 2 2 24 5 2" xfId="39790"/>
    <cellStyle name="표준 5 3 2 2 24 6" xfId="27118"/>
    <cellStyle name="표준 5 3 2 2 24 7" xfId="54126"/>
    <cellStyle name="표준 5 3 2 2 25" xfId="1766"/>
    <cellStyle name="표준 5 3 2 2 25 2" xfId="1767"/>
    <cellStyle name="표준 5 3 2 2 25 2 2" xfId="4899"/>
    <cellStyle name="표준 5 3 2 2 25 2 2 2" xfId="11235"/>
    <cellStyle name="표준 5 3 2 2 25 2 2 2 2" xfId="23908"/>
    <cellStyle name="표준 5 3 2 2 25 2 2 2 2 2" xfId="49260"/>
    <cellStyle name="표준 5 3 2 2 25 2 2 2 3" xfId="36588"/>
    <cellStyle name="표준 5 3 2 2 25 2 2 3" xfId="17572"/>
    <cellStyle name="표준 5 3 2 2 25 2 2 3 2" xfId="42924"/>
    <cellStyle name="표준 5 3 2 2 25 2 2 4" xfId="30252"/>
    <cellStyle name="표준 5 3 2 2 25 2 2 5" xfId="54127"/>
    <cellStyle name="표준 5 3 2 2 25 2 3" xfId="8104"/>
    <cellStyle name="표준 5 3 2 2 25 2 3 2" xfId="20777"/>
    <cellStyle name="표준 5 3 2 2 25 2 3 2 2" xfId="46129"/>
    <cellStyle name="표준 5 3 2 2 25 2 3 3" xfId="33457"/>
    <cellStyle name="표준 5 3 2 2 25 2 4" xfId="14441"/>
    <cellStyle name="표준 5 3 2 2 25 2 4 2" xfId="39793"/>
    <cellStyle name="표준 5 3 2 2 25 2 5" xfId="27121"/>
    <cellStyle name="표준 5 3 2 2 25 2 6" xfId="54128"/>
    <cellStyle name="표준 5 3 2 2 25 3" xfId="4900"/>
    <cellStyle name="표준 5 3 2 2 25 3 2" xfId="11236"/>
    <cellStyle name="표준 5 3 2 2 25 3 2 2" xfId="23909"/>
    <cellStyle name="표준 5 3 2 2 25 3 2 2 2" xfId="49261"/>
    <cellStyle name="표준 5 3 2 2 25 3 2 3" xfId="36589"/>
    <cellStyle name="표준 5 3 2 2 25 3 3" xfId="17573"/>
    <cellStyle name="표준 5 3 2 2 25 3 3 2" xfId="42925"/>
    <cellStyle name="표준 5 3 2 2 25 3 4" xfId="30253"/>
    <cellStyle name="표준 5 3 2 2 25 3 5" xfId="54129"/>
    <cellStyle name="표준 5 3 2 2 25 4" xfId="8103"/>
    <cellStyle name="표준 5 3 2 2 25 4 2" xfId="20776"/>
    <cellStyle name="표준 5 3 2 2 25 4 2 2" xfId="46128"/>
    <cellStyle name="표준 5 3 2 2 25 4 3" xfId="33456"/>
    <cellStyle name="표준 5 3 2 2 25 5" xfId="14440"/>
    <cellStyle name="표준 5 3 2 2 25 5 2" xfId="39792"/>
    <cellStyle name="표준 5 3 2 2 25 6" xfId="27120"/>
    <cellStyle name="표준 5 3 2 2 25 7" xfId="54130"/>
    <cellStyle name="표준 5 3 2 2 26" xfId="1768"/>
    <cellStyle name="표준 5 3 2 2 26 2" xfId="1769"/>
    <cellStyle name="표준 5 3 2 2 26 2 2" xfId="4901"/>
    <cellStyle name="표준 5 3 2 2 26 2 2 2" xfId="11237"/>
    <cellStyle name="표준 5 3 2 2 26 2 2 2 2" xfId="23910"/>
    <cellStyle name="표준 5 3 2 2 26 2 2 2 2 2" xfId="49262"/>
    <cellStyle name="표준 5 3 2 2 26 2 2 2 3" xfId="36590"/>
    <cellStyle name="표준 5 3 2 2 26 2 2 3" xfId="17574"/>
    <cellStyle name="표준 5 3 2 2 26 2 2 3 2" xfId="42926"/>
    <cellStyle name="표준 5 3 2 2 26 2 2 4" xfId="30254"/>
    <cellStyle name="표준 5 3 2 2 26 2 2 5" xfId="54131"/>
    <cellStyle name="표준 5 3 2 2 26 2 3" xfId="8106"/>
    <cellStyle name="표준 5 3 2 2 26 2 3 2" xfId="20779"/>
    <cellStyle name="표준 5 3 2 2 26 2 3 2 2" xfId="46131"/>
    <cellStyle name="표준 5 3 2 2 26 2 3 3" xfId="33459"/>
    <cellStyle name="표준 5 3 2 2 26 2 4" xfId="14443"/>
    <cellStyle name="표준 5 3 2 2 26 2 4 2" xfId="39795"/>
    <cellStyle name="표준 5 3 2 2 26 2 5" xfId="27123"/>
    <cellStyle name="표준 5 3 2 2 26 2 6" xfId="54132"/>
    <cellStyle name="표준 5 3 2 2 26 3" xfId="4902"/>
    <cellStyle name="표준 5 3 2 2 26 3 2" xfId="11238"/>
    <cellStyle name="표준 5 3 2 2 26 3 2 2" xfId="23911"/>
    <cellStyle name="표준 5 3 2 2 26 3 2 2 2" xfId="49263"/>
    <cellStyle name="표준 5 3 2 2 26 3 2 3" xfId="36591"/>
    <cellStyle name="표준 5 3 2 2 26 3 3" xfId="17575"/>
    <cellStyle name="표준 5 3 2 2 26 3 3 2" xfId="42927"/>
    <cellStyle name="표준 5 3 2 2 26 3 4" xfId="30255"/>
    <cellStyle name="표준 5 3 2 2 26 3 5" xfId="54133"/>
    <cellStyle name="표준 5 3 2 2 26 4" xfId="8105"/>
    <cellStyle name="표준 5 3 2 2 26 4 2" xfId="20778"/>
    <cellStyle name="표준 5 3 2 2 26 4 2 2" xfId="46130"/>
    <cellStyle name="표준 5 3 2 2 26 4 3" xfId="33458"/>
    <cellStyle name="표준 5 3 2 2 26 5" xfId="14442"/>
    <cellStyle name="표준 5 3 2 2 26 5 2" xfId="39794"/>
    <cellStyle name="표준 5 3 2 2 26 6" xfId="27122"/>
    <cellStyle name="표준 5 3 2 2 26 7" xfId="54134"/>
    <cellStyle name="표준 5 3 2 2 27" xfId="1770"/>
    <cellStyle name="표준 5 3 2 2 27 2" xfId="1771"/>
    <cellStyle name="표준 5 3 2 2 27 2 2" xfId="4903"/>
    <cellStyle name="표준 5 3 2 2 27 2 2 2" xfId="11239"/>
    <cellStyle name="표준 5 3 2 2 27 2 2 2 2" xfId="23912"/>
    <cellStyle name="표준 5 3 2 2 27 2 2 2 2 2" xfId="49264"/>
    <cellStyle name="표준 5 3 2 2 27 2 2 2 3" xfId="36592"/>
    <cellStyle name="표준 5 3 2 2 27 2 2 3" xfId="17576"/>
    <cellStyle name="표준 5 3 2 2 27 2 2 3 2" xfId="42928"/>
    <cellStyle name="표준 5 3 2 2 27 2 2 4" xfId="30256"/>
    <cellStyle name="표준 5 3 2 2 27 2 2 5" xfId="54135"/>
    <cellStyle name="표준 5 3 2 2 27 2 3" xfId="8108"/>
    <cellStyle name="표준 5 3 2 2 27 2 3 2" xfId="20781"/>
    <cellStyle name="표준 5 3 2 2 27 2 3 2 2" xfId="46133"/>
    <cellStyle name="표준 5 3 2 2 27 2 3 3" xfId="33461"/>
    <cellStyle name="표준 5 3 2 2 27 2 4" xfId="14445"/>
    <cellStyle name="표준 5 3 2 2 27 2 4 2" xfId="39797"/>
    <cellStyle name="표준 5 3 2 2 27 2 5" xfId="27125"/>
    <cellStyle name="표준 5 3 2 2 27 2 6" xfId="54136"/>
    <cellStyle name="표준 5 3 2 2 27 3" xfId="4904"/>
    <cellStyle name="표준 5 3 2 2 27 3 2" xfId="11240"/>
    <cellStyle name="표준 5 3 2 2 27 3 2 2" xfId="23913"/>
    <cellStyle name="표준 5 3 2 2 27 3 2 2 2" xfId="49265"/>
    <cellStyle name="표준 5 3 2 2 27 3 2 3" xfId="36593"/>
    <cellStyle name="표준 5 3 2 2 27 3 3" xfId="17577"/>
    <cellStyle name="표준 5 3 2 2 27 3 3 2" xfId="42929"/>
    <cellStyle name="표준 5 3 2 2 27 3 4" xfId="30257"/>
    <cellStyle name="표준 5 3 2 2 27 3 5" xfId="54137"/>
    <cellStyle name="표준 5 3 2 2 27 4" xfId="8107"/>
    <cellStyle name="표준 5 3 2 2 27 4 2" xfId="20780"/>
    <cellStyle name="표준 5 3 2 2 27 4 2 2" xfId="46132"/>
    <cellStyle name="표준 5 3 2 2 27 4 3" xfId="33460"/>
    <cellStyle name="표준 5 3 2 2 27 5" xfId="14444"/>
    <cellStyle name="표준 5 3 2 2 27 5 2" xfId="39796"/>
    <cellStyle name="표준 5 3 2 2 27 6" xfId="27124"/>
    <cellStyle name="표준 5 3 2 2 27 7" xfId="54138"/>
    <cellStyle name="표준 5 3 2 2 28" xfId="1772"/>
    <cellStyle name="표준 5 3 2 2 28 2" xfId="1773"/>
    <cellStyle name="표준 5 3 2 2 28 2 2" xfId="4905"/>
    <cellStyle name="표준 5 3 2 2 28 2 2 2" xfId="11241"/>
    <cellStyle name="표준 5 3 2 2 28 2 2 2 2" xfId="23914"/>
    <cellStyle name="표준 5 3 2 2 28 2 2 2 2 2" xfId="49266"/>
    <cellStyle name="표준 5 3 2 2 28 2 2 2 3" xfId="36594"/>
    <cellStyle name="표준 5 3 2 2 28 2 2 3" xfId="17578"/>
    <cellStyle name="표준 5 3 2 2 28 2 2 3 2" xfId="42930"/>
    <cellStyle name="표준 5 3 2 2 28 2 2 4" xfId="30258"/>
    <cellStyle name="표준 5 3 2 2 28 2 2 5" xfId="54139"/>
    <cellStyle name="표준 5 3 2 2 28 2 3" xfId="8110"/>
    <cellStyle name="표준 5 3 2 2 28 2 3 2" xfId="20783"/>
    <cellStyle name="표준 5 3 2 2 28 2 3 2 2" xfId="46135"/>
    <cellStyle name="표준 5 3 2 2 28 2 3 3" xfId="33463"/>
    <cellStyle name="표준 5 3 2 2 28 2 4" xfId="14447"/>
    <cellStyle name="표준 5 3 2 2 28 2 4 2" xfId="39799"/>
    <cellStyle name="표준 5 3 2 2 28 2 5" xfId="27127"/>
    <cellStyle name="표준 5 3 2 2 28 2 6" xfId="54140"/>
    <cellStyle name="표준 5 3 2 2 28 3" xfId="4906"/>
    <cellStyle name="표준 5 3 2 2 28 3 2" xfId="11242"/>
    <cellStyle name="표준 5 3 2 2 28 3 2 2" xfId="23915"/>
    <cellStyle name="표준 5 3 2 2 28 3 2 2 2" xfId="49267"/>
    <cellStyle name="표준 5 3 2 2 28 3 2 3" xfId="36595"/>
    <cellStyle name="표준 5 3 2 2 28 3 3" xfId="17579"/>
    <cellStyle name="표준 5 3 2 2 28 3 3 2" xfId="42931"/>
    <cellStyle name="표준 5 3 2 2 28 3 4" xfId="30259"/>
    <cellStyle name="표준 5 3 2 2 28 3 5" xfId="54141"/>
    <cellStyle name="표준 5 3 2 2 28 4" xfId="8109"/>
    <cellStyle name="표준 5 3 2 2 28 4 2" xfId="20782"/>
    <cellStyle name="표준 5 3 2 2 28 4 2 2" xfId="46134"/>
    <cellStyle name="표준 5 3 2 2 28 4 3" xfId="33462"/>
    <cellStyle name="표준 5 3 2 2 28 5" xfId="14446"/>
    <cellStyle name="표준 5 3 2 2 28 5 2" xfId="39798"/>
    <cellStyle name="표준 5 3 2 2 28 6" xfId="27126"/>
    <cellStyle name="표준 5 3 2 2 28 7" xfId="54142"/>
    <cellStyle name="표준 5 3 2 2 29" xfId="1774"/>
    <cellStyle name="표준 5 3 2 2 29 2" xfId="1775"/>
    <cellStyle name="표준 5 3 2 2 29 2 2" xfId="4907"/>
    <cellStyle name="표준 5 3 2 2 29 2 2 2" xfId="11243"/>
    <cellStyle name="표준 5 3 2 2 29 2 2 2 2" xfId="23916"/>
    <cellStyle name="표준 5 3 2 2 29 2 2 2 2 2" xfId="49268"/>
    <cellStyle name="표준 5 3 2 2 29 2 2 2 3" xfId="36596"/>
    <cellStyle name="표준 5 3 2 2 29 2 2 3" xfId="17580"/>
    <cellStyle name="표준 5 3 2 2 29 2 2 3 2" xfId="42932"/>
    <cellStyle name="표준 5 3 2 2 29 2 2 4" xfId="30260"/>
    <cellStyle name="표준 5 3 2 2 29 2 2 5" xfId="54143"/>
    <cellStyle name="표준 5 3 2 2 29 2 3" xfId="8112"/>
    <cellStyle name="표준 5 3 2 2 29 2 3 2" xfId="20785"/>
    <cellStyle name="표준 5 3 2 2 29 2 3 2 2" xfId="46137"/>
    <cellStyle name="표준 5 3 2 2 29 2 3 3" xfId="33465"/>
    <cellStyle name="표준 5 3 2 2 29 2 4" xfId="14449"/>
    <cellStyle name="표준 5 3 2 2 29 2 4 2" xfId="39801"/>
    <cellStyle name="표준 5 3 2 2 29 2 5" xfId="27129"/>
    <cellStyle name="표준 5 3 2 2 29 2 6" xfId="54144"/>
    <cellStyle name="표준 5 3 2 2 29 3" xfId="4908"/>
    <cellStyle name="표준 5 3 2 2 29 3 2" xfId="11244"/>
    <cellStyle name="표준 5 3 2 2 29 3 2 2" xfId="23917"/>
    <cellStyle name="표준 5 3 2 2 29 3 2 2 2" xfId="49269"/>
    <cellStyle name="표준 5 3 2 2 29 3 2 3" xfId="36597"/>
    <cellStyle name="표준 5 3 2 2 29 3 3" xfId="17581"/>
    <cellStyle name="표준 5 3 2 2 29 3 3 2" xfId="42933"/>
    <cellStyle name="표준 5 3 2 2 29 3 4" xfId="30261"/>
    <cellStyle name="표준 5 3 2 2 29 3 5" xfId="54145"/>
    <cellStyle name="표준 5 3 2 2 29 4" xfId="8111"/>
    <cellStyle name="표준 5 3 2 2 29 4 2" xfId="20784"/>
    <cellStyle name="표준 5 3 2 2 29 4 2 2" xfId="46136"/>
    <cellStyle name="표준 5 3 2 2 29 4 3" xfId="33464"/>
    <cellStyle name="표준 5 3 2 2 29 5" xfId="14448"/>
    <cellStyle name="표준 5 3 2 2 29 5 2" xfId="39800"/>
    <cellStyle name="표준 5 3 2 2 29 6" xfId="27128"/>
    <cellStyle name="표준 5 3 2 2 29 7" xfId="54146"/>
    <cellStyle name="표준 5 3 2 2 3" xfId="1776"/>
    <cellStyle name="표준 5 3 2 2 3 2" xfId="1777"/>
    <cellStyle name="표준 5 3 2 2 3 2 2" xfId="4909"/>
    <cellStyle name="표준 5 3 2 2 3 2 2 2" xfId="11245"/>
    <cellStyle name="표준 5 3 2 2 3 2 2 2 2" xfId="23918"/>
    <cellStyle name="표준 5 3 2 2 3 2 2 2 2 2" xfId="49270"/>
    <cellStyle name="표준 5 3 2 2 3 2 2 2 3" xfId="36598"/>
    <cellStyle name="표준 5 3 2 2 3 2 2 3" xfId="17582"/>
    <cellStyle name="표준 5 3 2 2 3 2 2 3 2" xfId="42934"/>
    <cellStyle name="표준 5 3 2 2 3 2 2 4" xfId="30262"/>
    <cellStyle name="표준 5 3 2 2 3 2 2 5" xfId="54147"/>
    <cellStyle name="표준 5 3 2 2 3 2 3" xfId="8114"/>
    <cellStyle name="표준 5 3 2 2 3 2 3 2" xfId="20787"/>
    <cellStyle name="표준 5 3 2 2 3 2 3 2 2" xfId="46139"/>
    <cellStyle name="표준 5 3 2 2 3 2 3 3" xfId="33467"/>
    <cellStyle name="표준 5 3 2 2 3 2 4" xfId="14451"/>
    <cellStyle name="표준 5 3 2 2 3 2 4 2" xfId="39803"/>
    <cellStyle name="표준 5 3 2 2 3 2 5" xfId="27131"/>
    <cellStyle name="표준 5 3 2 2 3 2 6" xfId="54148"/>
    <cellStyle name="표준 5 3 2 2 3 3" xfId="4910"/>
    <cellStyle name="표준 5 3 2 2 3 3 2" xfId="11246"/>
    <cellStyle name="표준 5 3 2 2 3 3 2 2" xfId="23919"/>
    <cellStyle name="표준 5 3 2 2 3 3 2 2 2" xfId="49271"/>
    <cellStyle name="표준 5 3 2 2 3 3 2 3" xfId="36599"/>
    <cellStyle name="표준 5 3 2 2 3 3 3" xfId="17583"/>
    <cellStyle name="표준 5 3 2 2 3 3 3 2" xfId="42935"/>
    <cellStyle name="표준 5 3 2 2 3 3 4" xfId="30263"/>
    <cellStyle name="표준 5 3 2 2 3 3 5" xfId="54149"/>
    <cellStyle name="표준 5 3 2 2 3 4" xfId="8113"/>
    <cellStyle name="표준 5 3 2 2 3 4 2" xfId="20786"/>
    <cellStyle name="표준 5 3 2 2 3 4 2 2" xfId="46138"/>
    <cellStyle name="표준 5 3 2 2 3 4 3" xfId="33466"/>
    <cellStyle name="표준 5 3 2 2 3 5" xfId="14450"/>
    <cellStyle name="표준 5 3 2 2 3 5 2" xfId="39802"/>
    <cellStyle name="표준 5 3 2 2 3 6" xfId="27130"/>
    <cellStyle name="표준 5 3 2 2 3 7" xfId="54150"/>
    <cellStyle name="표준 5 3 2 2 30" xfId="1778"/>
    <cellStyle name="표준 5 3 2 2 30 2" xfId="1779"/>
    <cellStyle name="표준 5 3 2 2 30 2 2" xfId="4911"/>
    <cellStyle name="표준 5 3 2 2 30 2 2 2" xfId="11247"/>
    <cellStyle name="표준 5 3 2 2 30 2 2 2 2" xfId="23920"/>
    <cellStyle name="표준 5 3 2 2 30 2 2 2 2 2" xfId="49272"/>
    <cellStyle name="표준 5 3 2 2 30 2 2 2 3" xfId="36600"/>
    <cellStyle name="표준 5 3 2 2 30 2 2 3" xfId="17584"/>
    <cellStyle name="표준 5 3 2 2 30 2 2 3 2" xfId="42936"/>
    <cellStyle name="표준 5 3 2 2 30 2 2 4" xfId="30264"/>
    <cellStyle name="표준 5 3 2 2 30 2 2 5" xfId="54151"/>
    <cellStyle name="표준 5 3 2 2 30 2 3" xfId="8116"/>
    <cellStyle name="표준 5 3 2 2 30 2 3 2" xfId="20789"/>
    <cellStyle name="표준 5 3 2 2 30 2 3 2 2" xfId="46141"/>
    <cellStyle name="표준 5 3 2 2 30 2 3 3" xfId="33469"/>
    <cellStyle name="표준 5 3 2 2 30 2 4" xfId="14453"/>
    <cellStyle name="표준 5 3 2 2 30 2 4 2" xfId="39805"/>
    <cellStyle name="표준 5 3 2 2 30 2 5" xfId="27133"/>
    <cellStyle name="표준 5 3 2 2 30 2 6" xfId="54152"/>
    <cellStyle name="표준 5 3 2 2 30 3" xfId="4912"/>
    <cellStyle name="표준 5 3 2 2 30 3 2" xfId="11248"/>
    <cellStyle name="표준 5 3 2 2 30 3 2 2" xfId="23921"/>
    <cellStyle name="표준 5 3 2 2 30 3 2 2 2" xfId="49273"/>
    <cellStyle name="표준 5 3 2 2 30 3 2 3" xfId="36601"/>
    <cellStyle name="표준 5 3 2 2 30 3 3" xfId="17585"/>
    <cellStyle name="표준 5 3 2 2 30 3 3 2" xfId="42937"/>
    <cellStyle name="표준 5 3 2 2 30 3 4" xfId="30265"/>
    <cellStyle name="표준 5 3 2 2 30 3 5" xfId="54153"/>
    <cellStyle name="표준 5 3 2 2 30 4" xfId="8115"/>
    <cellStyle name="표준 5 3 2 2 30 4 2" xfId="20788"/>
    <cellStyle name="표준 5 3 2 2 30 4 2 2" xfId="46140"/>
    <cellStyle name="표준 5 3 2 2 30 4 3" xfId="33468"/>
    <cellStyle name="표준 5 3 2 2 30 5" xfId="14452"/>
    <cellStyle name="표준 5 3 2 2 30 5 2" xfId="39804"/>
    <cellStyle name="표준 5 3 2 2 30 6" xfId="27132"/>
    <cellStyle name="표준 5 3 2 2 30 7" xfId="54154"/>
    <cellStyle name="표준 5 3 2 2 31" xfId="1780"/>
    <cellStyle name="표준 5 3 2 2 31 2" xfId="1781"/>
    <cellStyle name="표준 5 3 2 2 31 2 2" xfId="4913"/>
    <cellStyle name="표준 5 3 2 2 31 2 2 2" xfId="11249"/>
    <cellStyle name="표준 5 3 2 2 31 2 2 2 2" xfId="23922"/>
    <cellStyle name="표준 5 3 2 2 31 2 2 2 2 2" xfId="49274"/>
    <cellStyle name="표준 5 3 2 2 31 2 2 2 3" xfId="36602"/>
    <cellStyle name="표준 5 3 2 2 31 2 2 3" xfId="17586"/>
    <cellStyle name="표준 5 3 2 2 31 2 2 3 2" xfId="42938"/>
    <cellStyle name="표준 5 3 2 2 31 2 2 4" xfId="30266"/>
    <cellStyle name="표준 5 3 2 2 31 2 2 5" xfId="54155"/>
    <cellStyle name="표준 5 3 2 2 31 2 3" xfId="8118"/>
    <cellStyle name="표준 5 3 2 2 31 2 3 2" xfId="20791"/>
    <cellStyle name="표준 5 3 2 2 31 2 3 2 2" xfId="46143"/>
    <cellStyle name="표준 5 3 2 2 31 2 3 3" xfId="33471"/>
    <cellStyle name="표준 5 3 2 2 31 2 4" xfId="14455"/>
    <cellStyle name="표준 5 3 2 2 31 2 4 2" xfId="39807"/>
    <cellStyle name="표준 5 3 2 2 31 2 5" xfId="27135"/>
    <cellStyle name="표준 5 3 2 2 31 2 6" xfId="54156"/>
    <cellStyle name="표준 5 3 2 2 31 3" xfId="4914"/>
    <cellStyle name="표준 5 3 2 2 31 3 2" xfId="11250"/>
    <cellStyle name="표준 5 3 2 2 31 3 2 2" xfId="23923"/>
    <cellStyle name="표준 5 3 2 2 31 3 2 2 2" xfId="49275"/>
    <cellStyle name="표준 5 3 2 2 31 3 2 3" xfId="36603"/>
    <cellStyle name="표준 5 3 2 2 31 3 3" xfId="17587"/>
    <cellStyle name="표준 5 3 2 2 31 3 3 2" xfId="42939"/>
    <cellStyle name="표준 5 3 2 2 31 3 4" xfId="30267"/>
    <cellStyle name="표준 5 3 2 2 31 3 5" xfId="54157"/>
    <cellStyle name="표준 5 3 2 2 31 4" xfId="8117"/>
    <cellStyle name="표준 5 3 2 2 31 4 2" xfId="20790"/>
    <cellStyle name="표준 5 3 2 2 31 4 2 2" xfId="46142"/>
    <cellStyle name="표준 5 3 2 2 31 4 3" xfId="33470"/>
    <cellStyle name="표준 5 3 2 2 31 5" xfId="14454"/>
    <cellStyle name="표준 5 3 2 2 31 5 2" xfId="39806"/>
    <cellStyle name="표준 5 3 2 2 31 6" xfId="27134"/>
    <cellStyle name="표준 5 3 2 2 31 7" xfId="54158"/>
    <cellStyle name="표준 5 3 2 2 32" xfId="1782"/>
    <cellStyle name="표준 5 3 2 2 32 2" xfId="1783"/>
    <cellStyle name="표준 5 3 2 2 32 2 2" xfId="4915"/>
    <cellStyle name="표준 5 3 2 2 32 2 2 2" xfId="11251"/>
    <cellStyle name="표준 5 3 2 2 32 2 2 2 2" xfId="23924"/>
    <cellStyle name="표준 5 3 2 2 32 2 2 2 2 2" xfId="49276"/>
    <cellStyle name="표준 5 3 2 2 32 2 2 2 3" xfId="36604"/>
    <cellStyle name="표준 5 3 2 2 32 2 2 3" xfId="17588"/>
    <cellStyle name="표준 5 3 2 2 32 2 2 3 2" xfId="42940"/>
    <cellStyle name="표준 5 3 2 2 32 2 2 4" xfId="30268"/>
    <cellStyle name="표준 5 3 2 2 32 2 2 5" xfId="54159"/>
    <cellStyle name="표준 5 3 2 2 32 2 3" xfId="8120"/>
    <cellStyle name="표준 5 3 2 2 32 2 3 2" xfId="20793"/>
    <cellStyle name="표준 5 3 2 2 32 2 3 2 2" xfId="46145"/>
    <cellStyle name="표준 5 3 2 2 32 2 3 3" xfId="33473"/>
    <cellStyle name="표준 5 3 2 2 32 2 4" xfId="14457"/>
    <cellStyle name="표준 5 3 2 2 32 2 4 2" xfId="39809"/>
    <cellStyle name="표준 5 3 2 2 32 2 5" xfId="27137"/>
    <cellStyle name="표준 5 3 2 2 32 2 6" xfId="54160"/>
    <cellStyle name="표준 5 3 2 2 32 3" xfId="4916"/>
    <cellStyle name="표준 5 3 2 2 32 3 2" xfId="11252"/>
    <cellStyle name="표준 5 3 2 2 32 3 2 2" xfId="23925"/>
    <cellStyle name="표준 5 3 2 2 32 3 2 2 2" xfId="49277"/>
    <cellStyle name="표준 5 3 2 2 32 3 2 3" xfId="36605"/>
    <cellStyle name="표준 5 3 2 2 32 3 3" xfId="17589"/>
    <cellStyle name="표준 5 3 2 2 32 3 3 2" xfId="42941"/>
    <cellStyle name="표준 5 3 2 2 32 3 4" xfId="30269"/>
    <cellStyle name="표준 5 3 2 2 32 3 5" xfId="54161"/>
    <cellStyle name="표준 5 3 2 2 32 4" xfId="8119"/>
    <cellStyle name="표준 5 3 2 2 32 4 2" xfId="20792"/>
    <cellStyle name="표준 5 3 2 2 32 4 2 2" xfId="46144"/>
    <cellStyle name="표준 5 3 2 2 32 4 3" xfId="33472"/>
    <cellStyle name="표준 5 3 2 2 32 5" xfId="14456"/>
    <cellStyle name="표준 5 3 2 2 32 5 2" xfId="39808"/>
    <cellStyle name="표준 5 3 2 2 32 6" xfId="27136"/>
    <cellStyle name="표준 5 3 2 2 32 7" xfId="54162"/>
    <cellStyle name="표준 5 3 2 2 33" xfId="1784"/>
    <cellStyle name="표준 5 3 2 2 33 2" xfId="1785"/>
    <cellStyle name="표준 5 3 2 2 33 2 2" xfId="4917"/>
    <cellStyle name="표준 5 3 2 2 33 2 2 2" xfId="11253"/>
    <cellStyle name="표준 5 3 2 2 33 2 2 2 2" xfId="23926"/>
    <cellStyle name="표준 5 3 2 2 33 2 2 2 2 2" xfId="49278"/>
    <cellStyle name="표준 5 3 2 2 33 2 2 2 3" xfId="36606"/>
    <cellStyle name="표준 5 3 2 2 33 2 2 3" xfId="17590"/>
    <cellStyle name="표준 5 3 2 2 33 2 2 3 2" xfId="42942"/>
    <cellStyle name="표준 5 3 2 2 33 2 2 4" xfId="30270"/>
    <cellStyle name="표준 5 3 2 2 33 2 2 5" xfId="54163"/>
    <cellStyle name="표준 5 3 2 2 33 2 3" xfId="8122"/>
    <cellStyle name="표준 5 3 2 2 33 2 3 2" xfId="20795"/>
    <cellStyle name="표준 5 3 2 2 33 2 3 2 2" xfId="46147"/>
    <cellStyle name="표준 5 3 2 2 33 2 3 3" xfId="33475"/>
    <cellStyle name="표준 5 3 2 2 33 2 4" xfId="14459"/>
    <cellStyle name="표준 5 3 2 2 33 2 4 2" xfId="39811"/>
    <cellStyle name="표준 5 3 2 2 33 2 5" xfId="27139"/>
    <cellStyle name="표준 5 3 2 2 33 2 6" xfId="54164"/>
    <cellStyle name="표준 5 3 2 2 33 3" xfId="4918"/>
    <cellStyle name="표준 5 3 2 2 33 3 2" xfId="11254"/>
    <cellStyle name="표준 5 3 2 2 33 3 2 2" xfId="23927"/>
    <cellStyle name="표준 5 3 2 2 33 3 2 2 2" xfId="49279"/>
    <cellStyle name="표준 5 3 2 2 33 3 2 3" xfId="36607"/>
    <cellStyle name="표준 5 3 2 2 33 3 3" xfId="17591"/>
    <cellStyle name="표준 5 3 2 2 33 3 3 2" xfId="42943"/>
    <cellStyle name="표준 5 3 2 2 33 3 4" xfId="30271"/>
    <cellStyle name="표준 5 3 2 2 33 3 5" xfId="54165"/>
    <cellStyle name="표준 5 3 2 2 33 4" xfId="8121"/>
    <cellStyle name="표준 5 3 2 2 33 4 2" xfId="20794"/>
    <cellStyle name="표준 5 3 2 2 33 4 2 2" xfId="46146"/>
    <cellStyle name="표준 5 3 2 2 33 4 3" xfId="33474"/>
    <cellStyle name="표준 5 3 2 2 33 5" xfId="14458"/>
    <cellStyle name="표준 5 3 2 2 33 5 2" xfId="39810"/>
    <cellStyle name="표준 5 3 2 2 33 6" xfId="27138"/>
    <cellStyle name="표준 5 3 2 2 33 7" xfId="54166"/>
    <cellStyle name="표준 5 3 2 2 34" xfId="1786"/>
    <cellStyle name="표준 5 3 2 2 34 2" xfId="4919"/>
    <cellStyle name="표준 5 3 2 2 34 2 2" xfId="11255"/>
    <cellStyle name="표준 5 3 2 2 34 2 2 2" xfId="23928"/>
    <cellStyle name="표준 5 3 2 2 34 2 2 2 2" xfId="49280"/>
    <cellStyle name="표준 5 3 2 2 34 2 2 3" xfId="36608"/>
    <cellStyle name="표준 5 3 2 2 34 2 3" xfId="17592"/>
    <cellStyle name="표준 5 3 2 2 34 2 3 2" xfId="42944"/>
    <cellStyle name="표준 5 3 2 2 34 2 4" xfId="30272"/>
    <cellStyle name="표준 5 3 2 2 34 2 5" xfId="54167"/>
    <cellStyle name="표준 5 3 2 2 34 3" xfId="8123"/>
    <cellStyle name="표준 5 3 2 2 34 3 2" xfId="20796"/>
    <cellStyle name="표준 5 3 2 2 34 3 2 2" xfId="46148"/>
    <cellStyle name="표준 5 3 2 2 34 3 3" xfId="33476"/>
    <cellStyle name="표준 5 3 2 2 34 4" xfId="14460"/>
    <cellStyle name="표준 5 3 2 2 34 4 2" xfId="39812"/>
    <cellStyle name="표준 5 3 2 2 34 5" xfId="27140"/>
    <cellStyle name="표준 5 3 2 2 34 6" xfId="54168"/>
    <cellStyle name="표준 5 3 2 2 35" xfId="4920"/>
    <cellStyle name="표준 5 3 2 2 35 2" xfId="11256"/>
    <cellStyle name="표준 5 3 2 2 35 2 2" xfId="23929"/>
    <cellStyle name="표준 5 3 2 2 35 2 2 2" xfId="49281"/>
    <cellStyle name="표준 5 3 2 2 35 2 3" xfId="36609"/>
    <cellStyle name="표준 5 3 2 2 35 3" xfId="17593"/>
    <cellStyle name="표준 5 3 2 2 35 3 2" xfId="42945"/>
    <cellStyle name="표준 5 3 2 2 35 4" xfId="30273"/>
    <cellStyle name="표준 5 3 2 2 35 5" xfId="54169"/>
    <cellStyle name="표준 5 3 2 2 36" xfId="6419"/>
    <cellStyle name="표준 5 3 2 2 36 2" xfId="19092"/>
    <cellStyle name="표준 5 3 2 2 36 2 2" xfId="44444"/>
    <cellStyle name="표준 5 3 2 2 36 3" xfId="31772"/>
    <cellStyle name="표준 5 3 2 2 37" xfId="12756"/>
    <cellStyle name="표준 5 3 2 2 37 2" xfId="38108"/>
    <cellStyle name="표준 5 3 2 2 38" xfId="25436"/>
    <cellStyle name="표준 5 3 2 2 39" xfId="54170"/>
    <cellStyle name="표준 5 3 2 2 4" xfId="1787"/>
    <cellStyle name="표준 5 3 2 2 4 2" xfId="1788"/>
    <cellStyle name="표준 5 3 2 2 4 2 2" xfId="4921"/>
    <cellStyle name="표준 5 3 2 2 4 2 2 2" xfId="11257"/>
    <cellStyle name="표준 5 3 2 2 4 2 2 2 2" xfId="23930"/>
    <cellStyle name="표준 5 3 2 2 4 2 2 2 2 2" xfId="49282"/>
    <cellStyle name="표준 5 3 2 2 4 2 2 2 3" xfId="36610"/>
    <cellStyle name="표준 5 3 2 2 4 2 2 3" xfId="17594"/>
    <cellStyle name="표준 5 3 2 2 4 2 2 3 2" xfId="42946"/>
    <cellStyle name="표준 5 3 2 2 4 2 2 4" xfId="30274"/>
    <cellStyle name="표준 5 3 2 2 4 2 2 5" xfId="54171"/>
    <cellStyle name="표준 5 3 2 2 4 2 3" xfId="8125"/>
    <cellStyle name="표준 5 3 2 2 4 2 3 2" xfId="20798"/>
    <cellStyle name="표준 5 3 2 2 4 2 3 2 2" xfId="46150"/>
    <cellStyle name="표준 5 3 2 2 4 2 3 3" xfId="33478"/>
    <cellStyle name="표준 5 3 2 2 4 2 4" xfId="14462"/>
    <cellStyle name="표준 5 3 2 2 4 2 4 2" xfId="39814"/>
    <cellStyle name="표준 5 3 2 2 4 2 5" xfId="27142"/>
    <cellStyle name="표준 5 3 2 2 4 2 6" xfId="54172"/>
    <cellStyle name="표준 5 3 2 2 4 3" xfId="4922"/>
    <cellStyle name="표준 5 3 2 2 4 3 2" xfId="11258"/>
    <cellStyle name="표준 5 3 2 2 4 3 2 2" xfId="23931"/>
    <cellStyle name="표준 5 3 2 2 4 3 2 2 2" xfId="49283"/>
    <cellStyle name="표준 5 3 2 2 4 3 2 3" xfId="36611"/>
    <cellStyle name="표준 5 3 2 2 4 3 3" xfId="17595"/>
    <cellStyle name="표준 5 3 2 2 4 3 3 2" xfId="42947"/>
    <cellStyle name="표준 5 3 2 2 4 3 4" xfId="30275"/>
    <cellStyle name="표준 5 3 2 2 4 3 5" xfId="54173"/>
    <cellStyle name="표준 5 3 2 2 4 4" xfId="8124"/>
    <cellStyle name="표준 5 3 2 2 4 4 2" xfId="20797"/>
    <cellStyle name="표준 5 3 2 2 4 4 2 2" xfId="46149"/>
    <cellStyle name="표준 5 3 2 2 4 4 3" xfId="33477"/>
    <cellStyle name="표준 5 3 2 2 4 5" xfId="14461"/>
    <cellStyle name="표준 5 3 2 2 4 5 2" xfId="39813"/>
    <cellStyle name="표준 5 3 2 2 4 6" xfId="27141"/>
    <cellStyle name="표준 5 3 2 2 4 7" xfId="54174"/>
    <cellStyle name="표준 5 3 2 2 5" xfId="1789"/>
    <cellStyle name="표준 5 3 2 2 5 2" xfId="1790"/>
    <cellStyle name="표준 5 3 2 2 5 2 2" xfId="4923"/>
    <cellStyle name="표준 5 3 2 2 5 2 2 2" xfId="11259"/>
    <cellStyle name="표준 5 3 2 2 5 2 2 2 2" xfId="23932"/>
    <cellStyle name="표준 5 3 2 2 5 2 2 2 2 2" xfId="49284"/>
    <cellStyle name="표준 5 3 2 2 5 2 2 2 3" xfId="36612"/>
    <cellStyle name="표준 5 3 2 2 5 2 2 3" xfId="17596"/>
    <cellStyle name="표준 5 3 2 2 5 2 2 3 2" xfId="42948"/>
    <cellStyle name="표준 5 3 2 2 5 2 2 4" xfId="30276"/>
    <cellStyle name="표준 5 3 2 2 5 2 2 5" xfId="54175"/>
    <cellStyle name="표준 5 3 2 2 5 2 3" xfId="8127"/>
    <cellStyle name="표준 5 3 2 2 5 2 3 2" xfId="20800"/>
    <cellStyle name="표준 5 3 2 2 5 2 3 2 2" xfId="46152"/>
    <cellStyle name="표준 5 3 2 2 5 2 3 3" xfId="33480"/>
    <cellStyle name="표준 5 3 2 2 5 2 4" xfId="14464"/>
    <cellStyle name="표준 5 3 2 2 5 2 4 2" xfId="39816"/>
    <cellStyle name="표준 5 3 2 2 5 2 5" xfId="27144"/>
    <cellStyle name="표준 5 3 2 2 5 2 6" xfId="54176"/>
    <cellStyle name="표준 5 3 2 2 5 3" xfId="4924"/>
    <cellStyle name="표준 5 3 2 2 5 3 2" xfId="11260"/>
    <cellStyle name="표준 5 3 2 2 5 3 2 2" xfId="23933"/>
    <cellStyle name="표준 5 3 2 2 5 3 2 2 2" xfId="49285"/>
    <cellStyle name="표준 5 3 2 2 5 3 2 3" xfId="36613"/>
    <cellStyle name="표준 5 3 2 2 5 3 3" xfId="17597"/>
    <cellStyle name="표준 5 3 2 2 5 3 3 2" xfId="42949"/>
    <cellStyle name="표준 5 3 2 2 5 3 4" xfId="30277"/>
    <cellStyle name="표준 5 3 2 2 5 3 5" xfId="54177"/>
    <cellStyle name="표준 5 3 2 2 5 4" xfId="8126"/>
    <cellStyle name="표준 5 3 2 2 5 4 2" xfId="20799"/>
    <cellStyle name="표준 5 3 2 2 5 4 2 2" xfId="46151"/>
    <cellStyle name="표준 5 3 2 2 5 4 3" xfId="33479"/>
    <cellStyle name="표준 5 3 2 2 5 5" xfId="14463"/>
    <cellStyle name="표준 5 3 2 2 5 5 2" xfId="39815"/>
    <cellStyle name="표준 5 3 2 2 5 6" xfId="27143"/>
    <cellStyle name="표준 5 3 2 2 5 7" xfId="54178"/>
    <cellStyle name="표준 5 3 2 2 6" xfId="1791"/>
    <cellStyle name="표준 5 3 2 2 6 2" xfId="1792"/>
    <cellStyle name="표준 5 3 2 2 6 2 2" xfId="4925"/>
    <cellStyle name="표준 5 3 2 2 6 2 2 2" xfId="11261"/>
    <cellStyle name="표준 5 3 2 2 6 2 2 2 2" xfId="23934"/>
    <cellStyle name="표준 5 3 2 2 6 2 2 2 2 2" xfId="49286"/>
    <cellStyle name="표준 5 3 2 2 6 2 2 2 3" xfId="36614"/>
    <cellStyle name="표준 5 3 2 2 6 2 2 3" xfId="17598"/>
    <cellStyle name="표준 5 3 2 2 6 2 2 3 2" xfId="42950"/>
    <cellStyle name="표준 5 3 2 2 6 2 2 4" xfId="30278"/>
    <cellStyle name="표준 5 3 2 2 6 2 2 5" xfId="54179"/>
    <cellStyle name="표준 5 3 2 2 6 2 3" xfId="8129"/>
    <cellStyle name="표준 5 3 2 2 6 2 3 2" xfId="20802"/>
    <cellStyle name="표준 5 3 2 2 6 2 3 2 2" xfId="46154"/>
    <cellStyle name="표준 5 3 2 2 6 2 3 3" xfId="33482"/>
    <cellStyle name="표준 5 3 2 2 6 2 4" xfId="14466"/>
    <cellStyle name="표준 5 3 2 2 6 2 4 2" xfId="39818"/>
    <cellStyle name="표준 5 3 2 2 6 2 5" xfId="27146"/>
    <cellStyle name="표준 5 3 2 2 6 2 6" xfId="54180"/>
    <cellStyle name="표준 5 3 2 2 6 3" xfId="4926"/>
    <cellStyle name="표준 5 3 2 2 6 3 2" xfId="11262"/>
    <cellStyle name="표준 5 3 2 2 6 3 2 2" xfId="23935"/>
    <cellStyle name="표준 5 3 2 2 6 3 2 2 2" xfId="49287"/>
    <cellStyle name="표준 5 3 2 2 6 3 2 3" xfId="36615"/>
    <cellStyle name="표준 5 3 2 2 6 3 3" xfId="17599"/>
    <cellStyle name="표준 5 3 2 2 6 3 3 2" xfId="42951"/>
    <cellStyle name="표준 5 3 2 2 6 3 4" xfId="30279"/>
    <cellStyle name="표준 5 3 2 2 6 3 5" xfId="54181"/>
    <cellStyle name="표준 5 3 2 2 6 4" xfId="8128"/>
    <cellStyle name="표준 5 3 2 2 6 4 2" xfId="20801"/>
    <cellStyle name="표준 5 3 2 2 6 4 2 2" xfId="46153"/>
    <cellStyle name="표준 5 3 2 2 6 4 3" xfId="33481"/>
    <cellStyle name="표준 5 3 2 2 6 5" xfId="14465"/>
    <cellStyle name="표준 5 3 2 2 6 5 2" xfId="39817"/>
    <cellStyle name="표준 5 3 2 2 6 6" xfId="27145"/>
    <cellStyle name="표준 5 3 2 2 6 7" xfId="54182"/>
    <cellStyle name="표준 5 3 2 2 7" xfId="1793"/>
    <cellStyle name="표준 5 3 2 2 7 2" xfId="1794"/>
    <cellStyle name="표준 5 3 2 2 7 2 2" xfId="4927"/>
    <cellStyle name="표준 5 3 2 2 7 2 2 2" xfId="11263"/>
    <cellStyle name="표준 5 3 2 2 7 2 2 2 2" xfId="23936"/>
    <cellStyle name="표준 5 3 2 2 7 2 2 2 2 2" xfId="49288"/>
    <cellStyle name="표준 5 3 2 2 7 2 2 2 3" xfId="36616"/>
    <cellStyle name="표준 5 3 2 2 7 2 2 3" xfId="17600"/>
    <cellStyle name="표준 5 3 2 2 7 2 2 3 2" xfId="42952"/>
    <cellStyle name="표준 5 3 2 2 7 2 2 4" xfId="30280"/>
    <cellStyle name="표준 5 3 2 2 7 2 2 5" xfId="54183"/>
    <cellStyle name="표준 5 3 2 2 7 2 3" xfId="8131"/>
    <cellStyle name="표준 5 3 2 2 7 2 3 2" xfId="20804"/>
    <cellStyle name="표준 5 3 2 2 7 2 3 2 2" xfId="46156"/>
    <cellStyle name="표준 5 3 2 2 7 2 3 3" xfId="33484"/>
    <cellStyle name="표준 5 3 2 2 7 2 4" xfId="14468"/>
    <cellStyle name="표준 5 3 2 2 7 2 4 2" xfId="39820"/>
    <cellStyle name="표준 5 3 2 2 7 2 5" xfId="27148"/>
    <cellStyle name="표준 5 3 2 2 7 2 6" xfId="54184"/>
    <cellStyle name="표준 5 3 2 2 7 3" xfId="4928"/>
    <cellStyle name="표준 5 3 2 2 7 3 2" xfId="11264"/>
    <cellStyle name="표준 5 3 2 2 7 3 2 2" xfId="23937"/>
    <cellStyle name="표준 5 3 2 2 7 3 2 2 2" xfId="49289"/>
    <cellStyle name="표준 5 3 2 2 7 3 2 3" xfId="36617"/>
    <cellStyle name="표준 5 3 2 2 7 3 3" xfId="17601"/>
    <cellStyle name="표준 5 3 2 2 7 3 3 2" xfId="42953"/>
    <cellStyle name="표준 5 3 2 2 7 3 4" xfId="30281"/>
    <cellStyle name="표준 5 3 2 2 7 3 5" xfId="54185"/>
    <cellStyle name="표준 5 3 2 2 7 4" xfId="8130"/>
    <cellStyle name="표준 5 3 2 2 7 4 2" xfId="20803"/>
    <cellStyle name="표준 5 3 2 2 7 4 2 2" xfId="46155"/>
    <cellStyle name="표준 5 3 2 2 7 4 3" xfId="33483"/>
    <cellStyle name="표준 5 3 2 2 7 5" xfId="14467"/>
    <cellStyle name="표준 5 3 2 2 7 5 2" xfId="39819"/>
    <cellStyle name="표준 5 3 2 2 7 6" xfId="27147"/>
    <cellStyle name="표준 5 3 2 2 7 7" xfId="54186"/>
    <cellStyle name="표준 5 3 2 2 8" xfId="1795"/>
    <cellStyle name="표준 5 3 2 2 8 2" xfId="1796"/>
    <cellStyle name="표준 5 3 2 2 8 2 2" xfId="4929"/>
    <cellStyle name="표준 5 3 2 2 8 2 2 2" xfId="11265"/>
    <cellStyle name="표준 5 3 2 2 8 2 2 2 2" xfId="23938"/>
    <cellStyle name="표준 5 3 2 2 8 2 2 2 2 2" xfId="49290"/>
    <cellStyle name="표준 5 3 2 2 8 2 2 2 3" xfId="36618"/>
    <cellStyle name="표준 5 3 2 2 8 2 2 3" xfId="17602"/>
    <cellStyle name="표준 5 3 2 2 8 2 2 3 2" xfId="42954"/>
    <cellStyle name="표준 5 3 2 2 8 2 2 4" xfId="30282"/>
    <cellStyle name="표준 5 3 2 2 8 2 2 5" xfId="54187"/>
    <cellStyle name="표준 5 3 2 2 8 2 3" xfId="8133"/>
    <cellStyle name="표준 5 3 2 2 8 2 3 2" xfId="20806"/>
    <cellStyle name="표준 5 3 2 2 8 2 3 2 2" xfId="46158"/>
    <cellStyle name="표준 5 3 2 2 8 2 3 3" xfId="33486"/>
    <cellStyle name="표준 5 3 2 2 8 2 4" xfId="14470"/>
    <cellStyle name="표준 5 3 2 2 8 2 4 2" xfId="39822"/>
    <cellStyle name="표준 5 3 2 2 8 2 5" xfId="27150"/>
    <cellStyle name="표준 5 3 2 2 8 2 6" xfId="54188"/>
    <cellStyle name="표준 5 3 2 2 8 3" xfId="4930"/>
    <cellStyle name="표준 5 3 2 2 8 3 2" xfId="11266"/>
    <cellStyle name="표준 5 3 2 2 8 3 2 2" xfId="23939"/>
    <cellStyle name="표준 5 3 2 2 8 3 2 2 2" xfId="49291"/>
    <cellStyle name="표준 5 3 2 2 8 3 2 3" xfId="36619"/>
    <cellStyle name="표준 5 3 2 2 8 3 3" xfId="17603"/>
    <cellStyle name="표준 5 3 2 2 8 3 3 2" xfId="42955"/>
    <cellStyle name="표준 5 3 2 2 8 3 4" xfId="30283"/>
    <cellStyle name="표준 5 3 2 2 8 3 5" xfId="54189"/>
    <cellStyle name="표준 5 3 2 2 8 4" xfId="8132"/>
    <cellStyle name="표준 5 3 2 2 8 4 2" xfId="20805"/>
    <cellStyle name="표준 5 3 2 2 8 4 2 2" xfId="46157"/>
    <cellStyle name="표준 5 3 2 2 8 4 3" xfId="33485"/>
    <cellStyle name="표준 5 3 2 2 8 5" xfId="14469"/>
    <cellStyle name="표준 5 3 2 2 8 5 2" xfId="39821"/>
    <cellStyle name="표준 5 3 2 2 8 6" xfId="27149"/>
    <cellStyle name="표준 5 3 2 2 8 7" xfId="54190"/>
    <cellStyle name="표준 5 3 2 2 9" xfId="1797"/>
    <cellStyle name="표준 5 3 2 2 9 2" xfId="1798"/>
    <cellStyle name="표준 5 3 2 2 9 2 2" xfId="4931"/>
    <cellStyle name="표준 5 3 2 2 9 2 2 2" xfId="11267"/>
    <cellStyle name="표준 5 3 2 2 9 2 2 2 2" xfId="23940"/>
    <cellStyle name="표준 5 3 2 2 9 2 2 2 2 2" xfId="49292"/>
    <cellStyle name="표준 5 3 2 2 9 2 2 2 3" xfId="36620"/>
    <cellStyle name="표준 5 3 2 2 9 2 2 3" xfId="17604"/>
    <cellStyle name="표준 5 3 2 2 9 2 2 3 2" xfId="42956"/>
    <cellStyle name="표준 5 3 2 2 9 2 2 4" xfId="30284"/>
    <cellStyle name="표준 5 3 2 2 9 2 2 5" xfId="54191"/>
    <cellStyle name="표준 5 3 2 2 9 2 3" xfId="8135"/>
    <cellStyle name="표준 5 3 2 2 9 2 3 2" xfId="20808"/>
    <cellStyle name="표준 5 3 2 2 9 2 3 2 2" xfId="46160"/>
    <cellStyle name="표준 5 3 2 2 9 2 3 3" xfId="33488"/>
    <cellStyle name="표준 5 3 2 2 9 2 4" xfId="14472"/>
    <cellStyle name="표준 5 3 2 2 9 2 4 2" xfId="39824"/>
    <cellStyle name="표준 5 3 2 2 9 2 5" xfId="27152"/>
    <cellStyle name="표준 5 3 2 2 9 2 6" xfId="54192"/>
    <cellStyle name="표준 5 3 2 2 9 3" xfId="4932"/>
    <cellStyle name="표준 5 3 2 2 9 3 2" xfId="11268"/>
    <cellStyle name="표준 5 3 2 2 9 3 2 2" xfId="23941"/>
    <cellStyle name="표준 5 3 2 2 9 3 2 2 2" xfId="49293"/>
    <cellStyle name="표준 5 3 2 2 9 3 2 3" xfId="36621"/>
    <cellStyle name="표준 5 3 2 2 9 3 3" xfId="17605"/>
    <cellStyle name="표준 5 3 2 2 9 3 3 2" xfId="42957"/>
    <cellStyle name="표준 5 3 2 2 9 3 4" xfId="30285"/>
    <cellStyle name="표준 5 3 2 2 9 3 5" xfId="54193"/>
    <cellStyle name="표준 5 3 2 2 9 4" xfId="8134"/>
    <cellStyle name="표준 5 3 2 2 9 4 2" xfId="20807"/>
    <cellStyle name="표준 5 3 2 2 9 4 2 2" xfId="46159"/>
    <cellStyle name="표준 5 3 2 2 9 4 3" xfId="33487"/>
    <cellStyle name="표준 5 3 2 2 9 5" xfId="14471"/>
    <cellStyle name="표준 5 3 2 2 9 5 2" xfId="39823"/>
    <cellStyle name="표준 5 3 2 2 9 6" xfId="27151"/>
    <cellStyle name="표준 5 3 2 2 9 7" xfId="54194"/>
    <cellStyle name="표준 5 3 2 20" xfId="1799"/>
    <cellStyle name="표준 5 3 2 20 2" xfId="1800"/>
    <cellStyle name="표준 5 3 2 20 2 2" xfId="4933"/>
    <cellStyle name="표준 5 3 2 20 2 2 2" xfId="11269"/>
    <cellStyle name="표준 5 3 2 20 2 2 2 2" xfId="23942"/>
    <cellStyle name="표준 5 3 2 20 2 2 2 2 2" xfId="49294"/>
    <cellStyle name="표준 5 3 2 20 2 2 2 3" xfId="36622"/>
    <cellStyle name="표준 5 3 2 20 2 2 3" xfId="17606"/>
    <cellStyle name="표준 5 3 2 20 2 2 3 2" xfId="42958"/>
    <cellStyle name="표준 5 3 2 20 2 2 4" xfId="30286"/>
    <cellStyle name="표준 5 3 2 20 2 2 5" xfId="54195"/>
    <cellStyle name="표준 5 3 2 20 2 3" xfId="8137"/>
    <cellStyle name="표준 5 3 2 20 2 3 2" xfId="20810"/>
    <cellStyle name="표준 5 3 2 20 2 3 2 2" xfId="46162"/>
    <cellStyle name="표준 5 3 2 20 2 3 3" xfId="33490"/>
    <cellStyle name="표준 5 3 2 20 2 4" xfId="14474"/>
    <cellStyle name="표준 5 3 2 20 2 4 2" xfId="39826"/>
    <cellStyle name="표준 5 3 2 20 2 5" xfId="27154"/>
    <cellStyle name="표준 5 3 2 20 2 6" xfId="54196"/>
    <cellStyle name="표준 5 3 2 20 3" xfId="4934"/>
    <cellStyle name="표준 5 3 2 20 3 2" xfId="11270"/>
    <cellStyle name="표준 5 3 2 20 3 2 2" xfId="23943"/>
    <cellStyle name="표준 5 3 2 20 3 2 2 2" xfId="49295"/>
    <cellStyle name="표준 5 3 2 20 3 2 3" xfId="36623"/>
    <cellStyle name="표준 5 3 2 20 3 3" xfId="17607"/>
    <cellStyle name="표준 5 3 2 20 3 3 2" xfId="42959"/>
    <cellStyle name="표준 5 3 2 20 3 4" xfId="30287"/>
    <cellStyle name="표준 5 3 2 20 3 5" xfId="54197"/>
    <cellStyle name="표준 5 3 2 20 4" xfId="8136"/>
    <cellStyle name="표준 5 3 2 20 4 2" xfId="20809"/>
    <cellStyle name="표준 5 3 2 20 4 2 2" xfId="46161"/>
    <cellStyle name="표준 5 3 2 20 4 3" xfId="33489"/>
    <cellStyle name="표준 5 3 2 20 5" xfId="14473"/>
    <cellStyle name="표준 5 3 2 20 5 2" xfId="39825"/>
    <cellStyle name="표준 5 3 2 20 6" xfId="27153"/>
    <cellStyle name="표준 5 3 2 20 7" xfId="54198"/>
    <cellStyle name="표준 5 3 2 21" xfId="1801"/>
    <cellStyle name="표준 5 3 2 21 2" xfId="1802"/>
    <cellStyle name="표준 5 3 2 21 2 2" xfId="4935"/>
    <cellStyle name="표준 5 3 2 21 2 2 2" xfId="11271"/>
    <cellStyle name="표준 5 3 2 21 2 2 2 2" xfId="23944"/>
    <cellStyle name="표준 5 3 2 21 2 2 2 2 2" xfId="49296"/>
    <cellStyle name="표준 5 3 2 21 2 2 2 3" xfId="36624"/>
    <cellStyle name="표준 5 3 2 21 2 2 3" xfId="17608"/>
    <cellStyle name="표준 5 3 2 21 2 2 3 2" xfId="42960"/>
    <cellStyle name="표준 5 3 2 21 2 2 4" xfId="30288"/>
    <cellStyle name="표준 5 3 2 21 2 2 5" xfId="54199"/>
    <cellStyle name="표준 5 3 2 21 2 3" xfId="8139"/>
    <cellStyle name="표준 5 3 2 21 2 3 2" xfId="20812"/>
    <cellStyle name="표준 5 3 2 21 2 3 2 2" xfId="46164"/>
    <cellStyle name="표준 5 3 2 21 2 3 3" xfId="33492"/>
    <cellStyle name="표준 5 3 2 21 2 4" xfId="14476"/>
    <cellStyle name="표준 5 3 2 21 2 4 2" xfId="39828"/>
    <cellStyle name="표준 5 3 2 21 2 5" xfId="27156"/>
    <cellStyle name="표준 5 3 2 21 2 6" xfId="54200"/>
    <cellStyle name="표준 5 3 2 21 3" xfId="4936"/>
    <cellStyle name="표준 5 3 2 21 3 2" xfId="11272"/>
    <cellStyle name="표준 5 3 2 21 3 2 2" xfId="23945"/>
    <cellStyle name="표준 5 3 2 21 3 2 2 2" xfId="49297"/>
    <cellStyle name="표준 5 3 2 21 3 2 3" xfId="36625"/>
    <cellStyle name="표준 5 3 2 21 3 3" xfId="17609"/>
    <cellStyle name="표준 5 3 2 21 3 3 2" xfId="42961"/>
    <cellStyle name="표준 5 3 2 21 3 4" xfId="30289"/>
    <cellStyle name="표준 5 3 2 21 3 5" xfId="54201"/>
    <cellStyle name="표준 5 3 2 21 4" xfId="8138"/>
    <cellStyle name="표준 5 3 2 21 4 2" xfId="20811"/>
    <cellStyle name="표준 5 3 2 21 4 2 2" xfId="46163"/>
    <cellStyle name="표준 5 3 2 21 4 3" xfId="33491"/>
    <cellStyle name="표준 5 3 2 21 5" xfId="14475"/>
    <cellStyle name="표준 5 3 2 21 5 2" xfId="39827"/>
    <cellStyle name="표준 5 3 2 21 6" xfId="27155"/>
    <cellStyle name="표준 5 3 2 21 7" xfId="54202"/>
    <cellStyle name="표준 5 3 2 22" xfId="1803"/>
    <cellStyle name="표준 5 3 2 22 2" xfId="1804"/>
    <cellStyle name="표준 5 3 2 22 2 2" xfId="4937"/>
    <cellStyle name="표준 5 3 2 22 2 2 2" xfId="11273"/>
    <cellStyle name="표준 5 3 2 22 2 2 2 2" xfId="23946"/>
    <cellStyle name="표준 5 3 2 22 2 2 2 2 2" xfId="49298"/>
    <cellStyle name="표준 5 3 2 22 2 2 2 3" xfId="36626"/>
    <cellStyle name="표준 5 3 2 22 2 2 3" xfId="17610"/>
    <cellStyle name="표준 5 3 2 22 2 2 3 2" xfId="42962"/>
    <cellStyle name="표준 5 3 2 22 2 2 4" xfId="30290"/>
    <cellStyle name="표준 5 3 2 22 2 2 5" xfId="54203"/>
    <cellStyle name="표준 5 3 2 22 2 3" xfId="8141"/>
    <cellStyle name="표준 5 3 2 22 2 3 2" xfId="20814"/>
    <cellStyle name="표준 5 3 2 22 2 3 2 2" xfId="46166"/>
    <cellStyle name="표준 5 3 2 22 2 3 3" xfId="33494"/>
    <cellStyle name="표준 5 3 2 22 2 4" xfId="14478"/>
    <cellStyle name="표준 5 3 2 22 2 4 2" xfId="39830"/>
    <cellStyle name="표준 5 3 2 22 2 5" xfId="27158"/>
    <cellStyle name="표준 5 3 2 22 2 6" xfId="54204"/>
    <cellStyle name="표준 5 3 2 22 3" xfId="4938"/>
    <cellStyle name="표준 5 3 2 22 3 2" xfId="11274"/>
    <cellStyle name="표준 5 3 2 22 3 2 2" xfId="23947"/>
    <cellStyle name="표준 5 3 2 22 3 2 2 2" xfId="49299"/>
    <cellStyle name="표준 5 3 2 22 3 2 3" xfId="36627"/>
    <cellStyle name="표준 5 3 2 22 3 3" xfId="17611"/>
    <cellStyle name="표준 5 3 2 22 3 3 2" xfId="42963"/>
    <cellStyle name="표준 5 3 2 22 3 4" xfId="30291"/>
    <cellStyle name="표준 5 3 2 22 3 5" xfId="54205"/>
    <cellStyle name="표준 5 3 2 22 4" xfId="8140"/>
    <cellStyle name="표준 5 3 2 22 4 2" xfId="20813"/>
    <cellStyle name="표준 5 3 2 22 4 2 2" xfId="46165"/>
    <cellStyle name="표준 5 3 2 22 4 3" xfId="33493"/>
    <cellStyle name="표준 5 3 2 22 5" xfId="14477"/>
    <cellStyle name="표준 5 3 2 22 5 2" xfId="39829"/>
    <cellStyle name="표준 5 3 2 22 6" xfId="27157"/>
    <cellStyle name="표준 5 3 2 22 7" xfId="54206"/>
    <cellStyle name="표준 5 3 2 23" xfId="1805"/>
    <cellStyle name="표준 5 3 2 23 2" xfId="1806"/>
    <cellStyle name="표준 5 3 2 23 2 2" xfId="4939"/>
    <cellStyle name="표준 5 3 2 23 2 2 2" xfId="11275"/>
    <cellStyle name="표준 5 3 2 23 2 2 2 2" xfId="23948"/>
    <cellStyle name="표준 5 3 2 23 2 2 2 2 2" xfId="49300"/>
    <cellStyle name="표준 5 3 2 23 2 2 2 3" xfId="36628"/>
    <cellStyle name="표준 5 3 2 23 2 2 3" xfId="17612"/>
    <cellStyle name="표준 5 3 2 23 2 2 3 2" xfId="42964"/>
    <cellStyle name="표준 5 3 2 23 2 2 4" xfId="30292"/>
    <cellStyle name="표준 5 3 2 23 2 2 5" xfId="54207"/>
    <cellStyle name="표준 5 3 2 23 2 3" xfId="8143"/>
    <cellStyle name="표준 5 3 2 23 2 3 2" xfId="20816"/>
    <cellStyle name="표준 5 3 2 23 2 3 2 2" xfId="46168"/>
    <cellStyle name="표준 5 3 2 23 2 3 3" xfId="33496"/>
    <cellStyle name="표준 5 3 2 23 2 4" xfId="14480"/>
    <cellStyle name="표준 5 3 2 23 2 4 2" xfId="39832"/>
    <cellStyle name="표준 5 3 2 23 2 5" xfId="27160"/>
    <cellStyle name="표준 5 3 2 23 2 6" xfId="54208"/>
    <cellStyle name="표준 5 3 2 23 3" xfId="4940"/>
    <cellStyle name="표준 5 3 2 23 3 2" xfId="11276"/>
    <cellStyle name="표준 5 3 2 23 3 2 2" xfId="23949"/>
    <cellStyle name="표준 5 3 2 23 3 2 2 2" xfId="49301"/>
    <cellStyle name="표준 5 3 2 23 3 2 3" xfId="36629"/>
    <cellStyle name="표준 5 3 2 23 3 3" xfId="17613"/>
    <cellStyle name="표준 5 3 2 23 3 3 2" xfId="42965"/>
    <cellStyle name="표준 5 3 2 23 3 4" xfId="30293"/>
    <cellStyle name="표준 5 3 2 23 3 5" xfId="54209"/>
    <cellStyle name="표준 5 3 2 23 4" xfId="8142"/>
    <cellStyle name="표준 5 3 2 23 4 2" xfId="20815"/>
    <cellStyle name="표준 5 3 2 23 4 2 2" xfId="46167"/>
    <cellStyle name="표준 5 3 2 23 4 3" xfId="33495"/>
    <cellStyle name="표준 5 3 2 23 5" xfId="14479"/>
    <cellStyle name="표준 5 3 2 23 5 2" xfId="39831"/>
    <cellStyle name="표준 5 3 2 23 6" xfId="27159"/>
    <cellStyle name="표준 5 3 2 23 7" xfId="54210"/>
    <cellStyle name="표준 5 3 2 24" xfId="1807"/>
    <cellStyle name="표준 5 3 2 24 2" xfId="1808"/>
    <cellStyle name="표준 5 3 2 24 2 2" xfId="4941"/>
    <cellStyle name="표준 5 3 2 24 2 2 2" xfId="11277"/>
    <cellStyle name="표준 5 3 2 24 2 2 2 2" xfId="23950"/>
    <cellStyle name="표준 5 3 2 24 2 2 2 2 2" xfId="49302"/>
    <cellStyle name="표준 5 3 2 24 2 2 2 3" xfId="36630"/>
    <cellStyle name="표준 5 3 2 24 2 2 3" xfId="17614"/>
    <cellStyle name="표준 5 3 2 24 2 2 3 2" xfId="42966"/>
    <cellStyle name="표준 5 3 2 24 2 2 4" xfId="30294"/>
    <cellStyle name="표준 5 3 2 24 2 2 5" xfId="54211"/>
    <cellStyle name="표준 5 3 2 24 2 3" xfId="8145"/>
    <cellStyle name="표준 5 3 2 24 2 3 2" xfId="20818"/>
    <cellStyle name="표준 5 3 2 24 2 3 2 2" xfId="46170"/>
    <cellStyle name="표준 5 3 2 24 2 3 3" xfId="33498"/>
    <cellStyle name="표준 5 3 2 24 2 4" xfId="14482"/>
    <cellStyle name="표준 5 3 2 24 2 4 2" xfId="39834"/>
    <cellStyle name="표준 5 3 2 24 2 5" xfId="27162"/>
    <cellStyle name="표준 5 3 2 24 2 6" xfId="54212"/>
    <cellStyle name="표준 5 3 2 24 3" xfId="4942"/>
    <cellStyle name="표준 5 3 2 24 3 2" xfId="11278"/>
    <cellStyle name="표준 5 3 2 24 3 2 2" xfId="23951"/>
    <cellStyle name="표준 5 3 2 24 3 2 2 2" xfId="49303"/>
    <cellStyle name="표준 5 3 2 24 3 2 3" xfId="36631"/>
    <cellStyle name="표준 5 3 2 24 3 3" xfId="17615"/>
    <cellStyle name="표준 5 3 2 24 3 3 2" xfId="42967"/>
    <cellStyle name="표준 5 3 2 24 3 4" xfId="30295"/>
    <cellStyle name="표준 5 3 2 24 3 5" xfId="54213"/>
    <cellStyle name="표준 5 3 2 24 4" xfId="8144"/>
    <cellStyle name="표준 5 3 2 24 4 2" xfId="20817"/>
    <cellStyle name="표준 5 3 2 24 4 2 2" xfId="46169"/>
    <cellStyle name="표준 5 3 2 24 4 3" xfId="33497"/>
    <cellStyle name="표준 5 3 2 24 5" xfId="14481"/>
    <cellStyle name="표준 5 3 2 24 5 2" xfId="39833"/>
    <cellStyle name="표준 5 3 2 24 6" xfId="27161"/>
    <cellStyle name="표준 5 3 2 24 7" xfId="54214"/>
    <cellStyle name="표준 5 3 2 25" xfId="1809"/>
    <cellStyle name="표준 5 3 2 25 2" xfId="1810"/>
    <cellStyle name="표준 5 3 2 25 2 2" xfId="4943"/>
    <cellStyle name="표준 5 3 2 25 2 2 2" xfId="11279"/>
    <cellStyle name="표준 5 3 2 25 2 2 2 2" xfId="23952"/>
    <cellStyle name="표준 5 3 2 25 2 2 2 2 2" xfId="49304"/>
    <cellStyle name="표준 5 3 2 25 2 2 2 3" xfId="36632"/>
    <cellStyle name="표준 5 3 2 25 2 2 3" xfId="17616"/>
    <cellStyle name="표준 5 3 2 25 2 2 3 2" xfId="42968"/>
    <cellStyle name="표준 5 3 2 25 2 2 4" xfId="30296"/>
    <cellStyle name="표준 5 3 2 25 2 2 5" xfId="54215"/>
    <cellStyle name="표준 5 3 2 25 2 3" xfId="8147"/>
    <cellStyle name="표준 5 3 2 25 2 3 2" xfId="20820"/>
    <cellStyle name="표준 5 3 2 25 2 3 2 2" xfId="46172"/>
    <cellStyle name="표준 5 3 2 25 2 3 3" xfId="33500"/>
    <cellStyle name="표준 5 3 2 25 2 4" xfId="14484"/>
    <cellStyle name="표준 5 3 2 25 2 4 2" xfId="39836"/>
    <cellStyle name="표준 5 3 2 25 2 5" xfId="27164"/>
    <cellStyle name="표준 5 3 2 25 2 6" xfId="54216"/>
    <cellStyle name="표준 5 3 2 25 3" xfId="4944"/>
    <cellStyle name="표준 5 3 2 25 3 2" xfId="11280"/>
    <cellStyle name="표준 5 3 2 25 3 2 2" xfId="23953"/>
    <cellStyle name="표준 5 3 2 25 3 2 2 2" xfId="49305"/>
    <cellStyle name="표준 5 3 2 25 3 2 3" xfId="36633"/>
    <cellStyle name="표준 5 3 2 25 3 3" xfId="17617"/>
    <cellStyle name="표준 5 3 2 25 3 3 2" xfId="42969"/>
    <cellStyle name="표준 5 3 2 25 3 4" xfId="30297"/>
    <cellStyle name="표준 5 3 2 25 3 5" xfId="54217"/>
    <cellStyle name="표준 5 3 2 25 4" xfId="8146"/>
    <cellStyle name="표준 5 3 2 25 4 2" xfId="20819"/>
    <cellStyle name="표준 5 3 2 25 4 2 2" xfId="46171"/>
    <cellStyle name="표준 5 3 2 25 4 3" xfId="33499"/>
    <cellStyle name="표준 5 3 2 25 5" xfId="14483"/>
    <cellStyle name="표준 5 3 2 25 5 2" xfId="39835"/>
    <cellStyle name="표준 5 3 2 25 6" xfId="27163"/>
    <cellStyle name="표준 5 3 2 25 7" xfId="54218"/>
    <cellStyle name="표준 5 3 2 26" xfId="1811"/>
    <cellStyle name="표준 5 3 2 26 2" xfId="1812"/>
    <cellStyle name="표준 5 3 2 26 2 2" xfId="4945"/>
    <cellStyle name="표준 5 3 2 26 2 2 2" xfId="11281"/>
    <cellStyle name="표준 5 3 2 26 2 2 2 2" xfId="23954"/>
    <cellStyle name="표준 5 3 2 26 2 2 2 2 2" xfId="49306"/>
    <cellStyle name="표준 5 3 2 26 2 2 2 3" xfId="36634"/>
    <cellStyle name="표준 5 3 2 26 2 2 3" xfId="17618"/>
    <cellStyle name="표준 5 3 2 26 2 2 3 2" xfId="42970"/>
    <cellStyle name="표준 5 3 2 26 2 2 4" xfId="30298"/>
    <cellStyle name="표준 5 3 2 26 2 2 5" xfId="54219"/>
    <cellStyle name="표준 5 3 2 26 2 3" xfId="8149"/>
    <cellStyle name="표준 5 3 2 26 2 3 2" xfId="20822"/>
    <cellStyle name="표준 5 3 2 26 2 3 2 2" xfId="46174"/>
    <cellStyle name="표준 5 3 2 26 2 3 3" xfId="33502"/>
    <cellStyle name="표준 5 3 2 26 2 4" xfId="14486"/>
    <cellStyle name="표준 5 3 2 26 2 4 2" xfId="39838"/>
    <cellStyle name="표준 5 3 2 26 2 5" xfId="27166"/>
    <cellStyle name="표준 5 3 2 26 2 6" xfId="54220"/>
    <cellStyle name="표준 5 3 2 26 3" xfId="4946"/>
    <cellStyle name="표준 5 3 2 26 3 2" xfId="11282"/>
    <cellStyle name="표준 5 3 2 26 3 2 2" xfId="23955"/>
    <cellStyle name="표준 5 3 2 26 3 2 2 2" xfId="49307"/>
    <cellStyle name="표준 5 3 2 26 3 2 3" xfId="36635"/>
    <cellStyle name="표준 5 3 2 26 3 3" xfId="17619"/>
    <cellStyle name="표준 5 3 2 26 3 3 2" xfId="42971"/>
    <cellStyle name="표준 5 3 2 26 3 4" xfId="30299"/>
    <cellStyle name="표준 5 3 2 26 3 5" xfId="54221"/>
    <cellStyle name="표준 5 3 2 26 4" xfId="8148"/>
    <cellStyle name="표준 5 3 2 26 4 2" xfId="20821"/>
    <cellStyle name="표준 5 3 2 26 4 2 2" xfId="46173"/>
    <cellStyle name="표준 5 3 2 26 4 3" xfId="33501"/>
    <cellStyle name="표준 5 3 2 26 5" xfId="14485"/>
    <cellStyle name="표준 5 3 2 26 5 2" xfId="39837"/>
    <cellStyle name="표준 5 3 2 26 6" xfId="27165"/>
    <cellStyle name="표준 5 3 2 26 7" xfId="54222"/>
    <cellStyle name="표준 5 3 2 27" xfId="1813"/>
    <cellStyle name="표준 5 3 2 27 2" xfId="1814"/>
    <cellStyle name="표준 5 3 2 27 2 2" xfId="4947"/>
    <cellStyle name="표준 5 3 2 27 2 2 2" xfId="11283"/>
    <cellStyle name="표준 5 3 2 27 2 2 2 2" xfId="23956"/>
    <cellStyle name="표준 5 3 2 27 2 2 2 2 2" xfId="49308"/>
    <cellStyle name="표준 5 3 2 27 2 2 2 3" xfId="36636"/>
    <cellStyle name="표준 5 3 2 27 2 2 3" xfId="17620"/>
    <cellStyle name="표준 5 3 2 27 2 2 3 2" xfId="42972"/>
    <cellStyle name="표준 5 3 2 27 2 2 4" xfId="30300"/>
    <cellStyle name="표준 5 3 2 27 2 2 5" xfId="54223"/>
    <cellStyle name="표준 5 3 2 27 2 3" xfId="8151"/>
    <cellStyle name="표준 5 3 2 27 2 3 2" xfId="20824"/>
    <cellStyle name="표준 5 3 2 27 2 3 2 2" xfId="46176"/>
    <cellStyle name="표준 5 3 2 27 2 3 3" xfId="33504"/>
    <cellStyle name="표준 5 3 2 27 2 4" xfId="14488"/>
    <cellStyle name="표준 5 3 2 27 2 4 2" xfId="39840"/>
    <cellStyle name="표준 5 3 2 27 2 5" xfId="27168"/>
    <cellStyle name="표준 5 3 2 27 2 6" xfId="54224"/>
    <cellStyle name="표준 5 3 2 27 3" xfId="4948"/>
    <cellStyle name="표준 5 3 2 27 3 2" xfId="11284"/>
    <cellStyle name="표준 5 3 2 27 3 2 2" xfId="23957"/>
    <cellStyle name="표준 5 3 2 27 3 2 2 2" xfId="49309"/>
    <cellStyle name="표준 5 3 2 27 3 2 3" xfId="36637"/>
    <cellStyle name="표준 5 3 2 27 3 3" xfId="17621"/>
    <cellStyle name="표준 5 3 2 27 3 3 2" xfId="42973"/>
    <cellStyle name="표준 5 3 2 27 3 4" xfId="30301"/>
    <cellStyle name="표준 5 3 2 27 3 5" xfId="54225"/>
    <cellStyle name="표준 5 3 2 27 4" xfId="8150"/>
    <cellStyle name="표준 5 3 2 27 4 2" xfId="20823"/>
    <cellStyle name="표준 5 3 2 27 4 2 2" xfId="46175"/>
    <cellStyle name="표준 5 3 2 27 4 3" xfId="33503"/>
    <cellStyle name="표준 5 3 2 27 5" xfId="14487"/>
    <cellStyle name="표준 5 3 2 27 5 2" xfId="39839"/>
    <cellStyle name="표준 5 3 2 27 6" xfId="27167"/>
    <cellStyle name="표준 5 3 2 27 7" xfId="54226"/>
    <cellStyle name="표준 5 3 2 28" xfId="1815"/>
    <cellStyle name="표준 5 3 2 28 2" xfId="1816"/>
    <cellStyle name="표준 5 3 2 28 2 2" xfId="4949"/>
    <cellStyle name="표준 5 3 2 28 2 2 2" xfId="11285"/>
    <cellStyle name="표준 5 3 2 28 2 2 2 2" xfId="23958"/>
    <cellStyle name="표준 5 3 2 28 2 2 2 2 2" xfId="49310"/>
    <cellStyle name="표준 5 3 2 28 2 2 2 3" xfId="36638"/>
    <cellStyle name="표준 5 3 2 28 2 2 3" xfId="17622"/>
    <cellStyle name="표준 5 3 2 28 2 2 3 2" xfId="42974"/>
    <cellStyle name="표준 5 3 2 28 2 2 4" xfId="30302"/>
    <cellStyle name="표준 5 3 2 28 2 2 5" xfId="54227"/>
    <cellStyle name="표준 5 3 2 28 2 3" xfId="8153"/>
    <cellStyle name="표준 5 3 2 28 2 3 2" xfId="20826"/>
    <cellStyle name="표준 5 3 2 28 2 3 2 2" xfId="46178"/>
    <cellStyle name="표준 5 3 2 28 2 3 3" xfId="33506"/>
    <cellStyle name="표준 5 3 2 28 2 4" xfId="14490"/>
    <cellStyle name="표준 5 3 2 28 2 4 2" xfId="39842"/>
    <cellStyle name="표준 5 3 2 28 2 5" xfId="27170"/>
    <cellStyle name="표준 5 3 2 28 2 6" xfId="54228"/>
    <cellStyle name="표준 5 3 2 28 3" xfId="4950"/>
    <cellStyle name="표준 5 3 2 28 3 2" xfId="11286"/>
    <cellStyle name="표준 5 3 2 28 3 2 2" xfId="23959"/>
    <cellStyle name="표준 5 3 2 28 3 2 2 2" xfId="49311"/>
    <cellStyle name="표준 5 3 2 28 3 2 3" xfId="36639"/>
    <cellStyle name="표준 5 3 2 28 3 3" xfId="17623"/>
    <cellStyle name="표준 5 3 2 28 3 3 2" xfId="42975"/>
    <cellStyle name="표준 5 3 2 28 3 4" xfId="30303"/>
    <cellStyle name="표준 5 3 2 28 3 5" xfId="54229"/>
    <cellStyle name="표준 5 3 2 28 4" xfId="8152"/>
    <cellStyle name="표준 5 3 2 28 4 2" xfId="20825"/>
    <cellStyle name="표준 5 3 2 28 4 2 2" xfId="46177"/>
    <cellStyle name="표준 5 3 2 28 4 3" xfId="33505"/>
    <cellStyle name="표준 5 3 2 28 5" xfId="14489"/>
    <cellStyle name="표준 5 3 2 28 5 2" xfId="39841"/>
    <cellStyle name="표준 5 3 2 28 6" xfId="27169"/>
    <cellStyle name="표준 5 3 2 28 7" xfId="54230"/>
    <cellStyle name="표준 5 3 2 29" xfId="1817"/>
    <cellStyle name="표준 5 3 2 29 2" xfId="1818"/>
    <cellStyle name="표준 5 3 2 29 2 2" xfId="4951"/>
    <cellStyle name="표준 5 3 2 29 2 2 2" xfId="11287"/>
    <cellStyle name="표준 5 3 2 29 2 2 2 2" xfId="23960"/>
    <cellStyle name="표준 5 3 2 29 2 2 2 2 2" xfId="49312"/>
    <cellStyle name="표준 5 3 2 29 2 2 2 3" xfId="36640"/>
    <cellStyle name="표준 5 3 2 29 2 2 3" xfId="17624"/>
    <cellStyle name="표준 5 3 2 29 2 2 3 2" xfId="42976"/>
    <cellStyle name="표준 5 3 2 29 2 2 4" xfId="30304"/>
    <cellStyle name="표준 5 3 2 29 2 2 5" xfId="54231"/>
    <cellStyle name="표준 5 3 2 29 2 3" xfId="8155"/>
    <cellStyle name="표준 5 3 2 29 2 3 2" xfId="20828"/>
    <cellStyle name="표준 5 3 2 29 2 3 2 2" xfId="46180"/>
    <cellStyle name="표준 5 3 2 29 2 3 3" xfId="33508"/>
    <cellStyle name="표준 5 3 2 29 2 4" xfId="14492"/>
    <cellStyle name="표준 5 3 2 29 2 4 2" xfId="39844"/>
    <cellStyle name="표준 5 3 2 29 2 5" xfId="27172"/>
    <cellStyle name="표준 5 3 2 29 2 6" xfId="54232"/>
    <cellStyle name="표준 5 3 2 29 3" xfId="4952"/>
    <cellStyle name="표준 5 3 2 29 3 2" xfId="11288"/>
    <cellStyle name="표준 5 3 2 29 3 2 2" xfId="23961"/>
    <cellStyle name="표준 5 3 2 29 3 2 2 2" xfId="49313"/>
    <cellStyle name="표준 5 3 2 29 3 2 3" xfId="36641"/>
    <cellStyle name="표준 5 3 2 29 3 3" xfId="17625"/>
    <cellStyle name="표준 5 3 2 29 3 3 2" xfId="42977"/>
    <cellStyle name="표준 5 3 2 29 3 4" xfId="30305"/>
    <cellStyle name="표준 5 3 2 29 3 5" xfId="54233"/>
    <cellStyle name="표준 5 3 2 29 4" xfId="8154"/>
    <cellStyle name="표준 5 3 2 29 4 2" xfId="20827"/>
    <cellStyle name="표준 5 3 2 29 4 2 2" xfId="46179"/>
    <cellStyle name="표준 5 3 2 29 4 3" xfId="33507"/>
    <cellStyle name="표준 5 3 2 29 5" xfId="14491"/>
    <cellStyle name="표준 5 3 2 29 5 2" xfId="39843"/>
    <cellStyle name="표준 5 3 2 29 6" xfId="27171"/>
    <cellStyle name="표준 5 3 2 29 7" xfId="54234"/>
    <cellStyle name="표준 5 3 2 3" xfId="82"/>
    <cellStyle name="표준 5 3 2 3 2" xfId="1819"/>
    <cellStyle name="표준 5 3 2 3 2 2" xfId="4953"/>
    <cellStyle name="표준 5 3 2 3 2 2 2" xfId="11289"/>
    <cellStyle name="표준 5 3 2 3 2 2 2 2" xfId="23962"/>
    <cellStyle name="표준 5 3 2 3 2 2 2 2 2" xfId="49314"/>
    <cellStyle name="표준 5 3 2 3 2 2 2 3" xfId="36642"/>
    <cellStyle name="표준 5 3 2 3 2 2 3" xfId="17626"/>
    <cellStyle name="표준 5 3 2 3 2 2 3 2" xfId="42978"/>
    <cellStyle name="표준 5 3 2 3 2 2 4" xfId="30306"/>
    <cellStyle name="표준 5 3 2 3 2 2 5" xfId="54235"/>
    <cellStyle name="표준 5 3 2 3 2 3" xfId="8156"/>
    <cellStyle name="표준 5 3 2 3 2 3 2" xfId="20829"/>
    <cellStyle name="표준 5 3 2 3 2 3 2 2" xfId="46181"/>
    <cellStyle name="표준 5 3 2 3 2 3 3" xfId="33509"/>
    <cellStyle name="표준 5 3 2 3 2 4" xfId="14493"/>
    <cellStyle name="표준 5 3 2 3 2 4 2" xfId="39845"/>
    <cellStyle name="표준 5 3 2 3 2 5" xfId="27173"/>
    <cellStyle name="표준 5 3 2 3 2 6" xfId="54236"/>
    <cellStyle name="표준 5 3 2 3 3" xfId="4954"/>
    <cellStyle name="표준 5 3 2 3 3 2" xfId="11290"/>
    <cellStyle name="표준 5 3 2 3 3 2 2" xfId="23963"/>
    <cellStyle name="표준 5 3 2 3 3 2 2 2" xfId="49315"/>
    <cellStyle name="표준 5 3 2 3 3 2 3" xfId="36643"/>
    <cellStyle name="표준 5 3 2 3 3 3" xfId="17627"/>
    <cellStyle name="표준 5 3 2 3 3 3 2" xfId="42979"/>
    <cellStyle name="표준 5 3 2 3 3 4" xfId="30307"/>
    <cellStyle name="표준 5 3 2 3 3 5" xfId="54237"/>
    <cellStyle name="표준 5 3 2 3 4" xfId="6420"/>
    <cellStyle name="표준 5 3 2 3 4 2" xfId="19093"/>
    <cellStyle name="표준 5 3 2 3 4 2 2" xfId="44445"/>
    <cellStyle name="표준 5 3 2 3 4 3" xfId="31773"/>
    <cellStyle name="표준 5 3 2 3 5" xfId="12757"/>
    <cellStyle name="표준 5 3 2 3 5 2" xfId="38109"/>
    <cellStyle name="표준 5 3 2 3 6" xfId="25437"/>
    <cellStyle name="표준 5 3 2 3 7" xfId="54238"/>
    <cellStyle name="표준 5 3 2 30" xfId="1820"/>
    <cellStyle name="표준 5 3 2 30 2" xfId="1821"/>
    <cellStyle name="표준 5 3 2 30 2 2" xfId="4955"/>
    <cellStyle name="표준 5 3 2 30 2 2 2" xfId="11291"/>
    <cellStyle name="표준 5 3 2 30 2 2 2 2" xfId="23964"/>
    <cellStyle name="표준 5 3 2 30 2 2 2 2 2" xfId="49316"/>
    <cellStyle name="표준 5 3 2 30 2 2 2 3" xfId="36644"/>
    <cellStyle name="표준 5 3 2 30 2 2 3" xfId="17628"/>
    <cellStyle name="표준 5 3 2 30 2 2 3 2" xfId="42980"/>
    <cellStyle name="표준 5 3 2 30 2 2 4" xfId="30308"/>
    <cellStyle name="표준 5 3 2 30 2 2 5" xfId="54239"/>
    <cellStyle name="표준 5 3 2 30 2 3" xfId="8158"/>
    <cellStyle name="표준 5 3 2 30 2 3 2" xfId="20831"/>
    <cellStyle name="표준 5 3 2 30 2 3 2 2" xfId="46183"/>
    <cellStyle name="표준 5 3 2 30 2 3 3" xfId="33511"/>
    <cellStyle name="표준 5 3 2 30 2 4" xfId="14495"/>
    <cellStyle name="표준 5 3 2 30 2 4 2" xfId="39847"/>
    <cellStyle name="표준 5 3 2 30 2 5" xfId="27175"/>
    <cellStyle name="표준 5 3 2 30 2 6" xfId="54240"/>
    <cellStyle name="표준 5 3 2 30 3" xfId="4956"/>
    <cellStyle name="표준 5 3 2 30 3 2" xfId="11292"/>
    <cellStyle name="표준 5 3 2 30 3 2 2" xfId="23965"/>
    <cellStyle name="표준 5 3 2 30 3 2 2 2" xfId="49317"/>
    <cellStyle name="표준 5 3 2 30 3 2 3" xfId="36645"/>
    <cellStyle name="표준 5 3 2 30 3 3" xfId="17629"/>
    <cellStyle name="표준 5 3 2 30 3 3 2" xfId="42981"/>
    <cellStyle name="표준 5 3 2 30 3 4" xfId="30309"/>
    <cellStyle name="표준 5 3 2 30 3 5" xfId="54241"/>
    <cellStyle name="표준 5 3 2 30 4" xfId="8157"/>
    <cellStyle name="표준 5 3 2 30 4 2" xfId="20830"/>
    <cellStyle name="표준 5 3 2 30 4 2 2" xfId="46182"/>
    <cellStyle name="표준 5 3 2 30 4 3" xfId="33510"/>
    <cellStyle name="표준 5 3 2 30 5" xfId="14494"/>
    <cellStyle name="표준 5 3 2 30 5 2" xfId="39846"/>
    <cellStyle name="표준 5 3 2 30 6" xfId="27174"/>
    <cellStyle name="표준 5 3 2 30 7" xfId="54242"/>
    <cellStyle name="표준 5 3 2 31" xfId="1822"/>
    <cellStyle name="표준 5 3 2 31 2" xfId="1823"/>
    <cellStyle name="표준 5 3 2 31 2 2" xfId="4957"/>
    <cellStyle name="표준 5 3 2 31 2 2 2" xfId="11293"/>
    <cellStyle name="표준 5 3 2 31 2 2 2 2" xfId="23966"/>
    <cellStyle name="표준 5 3 2 31 2 2 2 2 2" xfId="49318"/>
    <cellStyle name="표준 5 3 2 31 2 2 2 3" xfId="36646"/>
    <cellStyle name="표준 5 3 2 31 2 2 3" xfId="17630"/>
    <cellStyle name="표준 5 3 2 31 2 2 3 2" xfId="42982"/>
    <cellStyle name="표준 5 3 2 31 2 2 4" xfId="30310"/>
    <cellStyle name="표준 5 3 2 31 2 2 5" xfId="54243"/>
    <cellStyle name="표준 5 3 2 31 2 3" xfId="8160"/>
    <cellStyle name="표준 5 3 2 31 2 3 2" xfId="20833"/>
    <cellStyle name="표준 5 3 2 31 2 3 2 2" xfId="46185"/>
    <cellStyle name="표준 5 3 2 31 2 3 3" xfId="33513"/>
    <cellStyle name="표준 5 3 2 31 2 4" xfId="14497"/>
    <cellStyle name="표준 5 3 2 31 2 4 2" xfId="39849"/>
    <cellStyle name="표준 5 3 2 31 2 5" xfId="27177"/>
    <cellStyle name="표준 5 3 2 31 2 6" xfId="54244"/>
    <cellStyle name="표준 5 3 2 31 3" xfId="4958"/>
    <cellStyle name="표준 5 3 2 31 3 2" xfId="11294"/>
    <cellStyle name="표준 5 3 2 31 3 2 2" xfId="23967"/>
    <cellStyle name="표준 5 3 2 31 3 2 2 2" xfId="49319"/>
    <cellStyle name="표준 5 3 2 31 3 2 3" xfId="36647"/>
    <cellStyle name="표준 5 3 2 31 3 3" xfId="17631"/>
    <cellStyle name="표준 5 3 2 31 3 3 2" xfId="42983"/>
    <cellStyle name="표준 5 3 2 31 3 4" xfId="30311"/>
    <cellStyle name="표준 5 3 2 31 3 5" xfId="54245"/>
    <cellStyle name="표준 5 3 2 31 4" xfId="8159"/>
    <cellStyle name="표준 5 3 2 31 4 2" xfId="20832"/>
    <cellStyle name="표준 5 3 2 31 4 2 2" xfId="46184"/>
    <cellStyle name="표준 5 3 2 31 4 3" xfId="33512"/>
    <cellStyle name="표준 5 3 2 31 5" xfId="14496"/>
    <cellStyle name="표준 5 3 2 31 5 2" xfId="39848"/>
    <cellStyle name="표준 5 3 2 31 6" xfId="27176"/>
    <cellStyle name="표준 5 3 2 31 7" xfId="54246"/>
    <cellStyle name="표준 5 3 2 32" xfId="1824"/>
    <cellStyle name="표준 5 3 2 32 2" xfId="1825"/>
    <cellStyle name="표준 5 3 2 32 2 2" xfId="4959"/>
    <cellStyle name="표준 5 3 2 32 2 2 2" xfId="11295"/>
    <cellStyle name="표준 5 3 2 32 2 2 2 2" xfId="23968"/>
    <cellStyle name="표준 5 3 2 32 2 2 2 2 2" xfId="49320"/>
    <cellStyle name="표준 5 3 2 32 2 2 2 3" xfId="36648"/>
    <cellStyle name="표준 5 3 2 32 2 2 3" xfId="17632"/>
    <cellStyle name="표준 5 3 2 32 2 2 3 2" xfId="42984"/>
    <cellStyle name="표준 5 3 2 32 2 2 4" xfId="30312"/>
    <cellStyle name="표준 5 3 2 32 2 2 5" xfId="54247"/>
    <cellStyle name="표준 5 3 2 32 2 3" xfId="8162"/>
    <cellStyle name="표준 5 3 2 32 2 3 2" xfId="20835"/>
    <cellStyle name="표준 5 3 2 32 2 3 2 2" xfId="46187"/>
    <cellStyle name="표준 5 3 2 32 2 3 3" xfId="33515"/>
    <cellStyle name="표준 5 3 2 32 2 4" xfId="14499"/>
    <cellStyle name="표준 5 3 2 32 2 4 2" xfId="39851"/>
    <cellStyle name="표준 5 3 2 32 2 5" xfId="27179"/>
    <cellStyle name="표준 5 3 2 32 2 6" xfId="54248"/>
    <cellStyle name="표준 5 3 2 32 3" xfId="4960"/>
    <cellStyle name="표준 5 3 2 32 3 2" xfId="11296"/>
    <cellStyle name="표준 5 3 2 32 3 2 2" xfId="23969"/>
    <cellStyle name="표준 5 3 2 32 3 2 2 2" xfId="49321"/>
    <cellStyle name="표준 5 3 2 32 3 2 3" xfId="36649"/>
    <cellStyle name="표준 5 3 2 32 3 3" xfId="17633"/>
    <cellStyle name="표준 5 3 2 32 3 3 2" xfId="42985"/>
    <cellStyle name="표준 5 3 2 32 3 4" xfId="30313"/>
    <cellStyle name="표준 5 3 2 32 3 5" xfId="54249"/>
    <cellStyle name="표준 5 3 2 32 4" xfId="8161"/>
    <cellStyle name="표준 5 3 2 32 4 2" xfId="20834"/>
    <cellStyle name="표준 5 3 2 32 4 2 2" xfId="46186"/>
    <cellStyle name="표준 5 3 2 32 4 3" xfId="33514"/>
    <cellStyle name="표준 5 3 2 32 5" xfId="14498"/>
    <cellStyle name="표준 5 3 2 32 5 2" xfId="39850"/>
    <cellStyle name="표준 5 3 2 32 6" xfId="27178"/>
    <cellStyle name="표준 5 3 2 32 7" xfId="54250"/>
    <cellStyle name="표준 5 3 2 33" xfId="1826"/>
    <cellStyle name="표준 5 3 2 33 2" xfId="1827"/>
    <cellStyle name="표준 5 3 2 33 2 2" xfId="4961"/>
    <cellStyle name="표준 5 3 2 33 2 2 2" xfId="11297"/>
    <cellStyle name="표준 5 3 2 33 2 2 2 2" xfId="23970"/>
    <cellStyle name="표준 5 3 2 33 2 2 2 2 2" xfId="49322"/>
    <cellStyle name="표준 5 3 2 33 2 2 2 3" xfId="36650"/>
    <cellStyle name="표준 5 3 2 33 2 2 3" xfId="17634"/>
    <cellStyle name="표준 5 3 2 33 2 2 3 2" xfId="42986"/>
    <cellStyle name="표준 5 3 2 33 2 2 4" xfId="30314"/>
    <cellStyle name="표준 5 3 2 33 2 2 5" xfId="54251"/>
    <cellStyle name="표준 5 3 2 33 2 3" xfId="8164"/>
    <cellStyle name="표준 5 3 2 33 2 3 2" xfId="20837"/>
    <cellStyle name="표준 5 3 2 33 2 3 2 2" xfId="46189"/>
    <cellStyle name="표준 5 3 2 33 2 3 3" xfId="33517"/>
    <cellStyle name="표준 5 3 2 33 2 4" xfId="14501"/>
    <cellStyle name="표준 5 3 2 33 2 4 2" xfId="39853"/>
    <cellStyle name="표준 5 3 2 33 2 5" xfId="27181"/>
    <cellStyle name="표준 5 3 2 33 2 6" xfId="54252"/>
    <cellStyle name="표준 5 3 2 33 3" xfId="4962"/>
    <cellStyle name="표준 5 3 2 33 3 2" xfId="11298"/>
    <cellStyle name="표준 5 3 2 33 3 2 2" xfId="23971"/>
    <cellStyle name="표준 5 3 2 33 3 2 2 2" xfId="49323"/>
    <cellStyle name="표준 5 3 2 33 3 2 3" xfId="36651"/>
    <cellStyle name="표준 5 3 2 33 3 3" xfId="17635"/>
    <cellStyle name="표준 5 3 2 33 3 3 2" xfId="42987"/>
    <cellStyle name="표준 5 3 2 33 3 4" xfId="30315"/>
    <cellStyle name="표준 5 3 2 33 3 5" xfId="54253"/>
    <cellStyle name="표준 5 3 2 33 4" xfId="8163"/>
    <cellStyle name="표준 5 3 2 33 4 2" xfId="20836"/>
    <cellStyle name="표준 5 3 2 33 4 2 2" xfId="46188"/>
    <cellStyle name="표준 5 3 2 33 4 3" xfId="33516"/>
    <cellStyle name="표준 5 3 2 33 5" xfId="14500"/>
    <cellStyle name="표준 5 3 2 33 5 2" xfId="39852"/>
    <cellStyle name="표준 5 3 2 33 6" xfId="27180"/>
    <cellStyle name="표준 5 3 2 33 7" xfId="54254"/>
    <cellStyle name="표준 5 3 2 34" xfId="1828"/>
    <cellStyle name="표준 5 3 2 34 2" xfId="1829"/>
    <cellStyle name="표준 5 3 2 34 2 2" xfId="4963"/>
    <cellStyle name="표준 5 3 2 34 2 2 2" xfId="11299"/>
    <cellStyle name="표준 5 3 2 34 2 2 2 2" xfId="23972"/>
    <cellStyle name="표준 5 3 2 34 2 2 2 2 2" xfId="49324"/>
    <cellStyle name="표준 5 3 2 34 2 2 2 3" xfId="36652"/>
    <cellStyle name="표준 5 3 2 34 2 2 3" xfId="17636"/>
    <cellStyle name="표준 5 3 2 34 2 2 3 2" xfId="42988"/>
    <cellStyle name="표준 5 3 2 34 2 2 4" xfId="30316"/>
    <cellStyle name="표준 5 3 2 34 2 2 5" xfId="54255"/>
    <cellStyle name="표준 5 3 2 34 2 3" xfId="8166"/>
    <cellStyle name="표준 5 3 2 34 2 3 2" xfId="20839"/>
    <cellStyle name="표준 5 3 2 34 2 3 2 2" xfId="46191"/>
    <cellStyle name="표준 5 3 2 34 2 3 3" xfId="33519"/>
    <cellStyle name="표준 5 3 2 34 2 4" xfId="14503"/>
    <cellStyle name="표준 5 3 2 34 2 4 2" xfId="39855"/>
    <cellStyle name="표준 5 3 2 34 2 5" xfId="27183"/>
    <cellStyle name="표준 5 3 2 34 2 6" xfId="54256"/>
    <cellStyle name="표준 5 3 2 34 3" xfId="4964"/>
    <cellStyle name="표준 5 3 2 34 3 2" xfId="11300"/>
    <cellStyle name="표준 5 3 2 34 3 2 2" xfId="23973"/>
    <cellStyle name="표준 5 3 2 34 3 2 2 2" xfId="49325"/>
    <cellStyle name="표준 5 3 2 34 3 2 3" xfId="36653"/>
    <cellStyle name="표준 5 3 2 34 3 3" xfId="17637"/>
    <cellStyle name="표준 5 3 2 34 3 3 2" xfId="42989"/>
    <cellStyle name="표준 5 3 2 34 3 4" xfId="30317"/>
    <cellStyle name="표준 5 3 2 34 3 5" xfId="54257"/>
    <cellStyle name="표준 5 3 2 34 4" xfId="8165"/>
    <cellStyle name="표준 5 3 2 34 4 2" xfId="20838"/>
    <cellStyle name="표준 5 3 2 34 4 2 2" xfId="46190"/>
    <cellStyle name="표준 5 3 2 34 4 3" xfId="33518"/>
    <cellStyle name="표준 5 3 2 34 5" xfId="14502"/>
    <cellStyle name="표준 5 3 2 34 5 2" xfId="39854"/>
    <cellStyle name="표준 5 3 2 34 6" xfId="27182"/>
    <cellStyle name="표준 5 3 2 34 7" xfId="54258"/>
    <cellStyle name="표준 5 3 2 35" xfId="1830"/>
    <cellStyle name="표준 5 3 2 35 2" xfId="4965"/>
    <cellStyle name="표준 5 3 2 35 2 2" xfId="11301"/>
    <cellStyle name="표준 5 3 2 35 2 2 2" xfId="23974"/>
    <cellStyle name="표준 5 3 2 35 2 2 2 2" xfId="49326"/>
    <cellStyle name="표준 5 3 2 35 2 2 3" xfId="36654"/>
    <cellStyle name="표준 5 3 2 35 2 3" xfId="17638"/>
    <cellStyle name="표준 5 3 2 35 2 3 2" xfId="42990"/>
    <cellStyle name="표준 5 3 2 35 2 4" xfId="30318"/>
    <cellStyle name="표준 5 3 2 35 2 5" xfId="54259"/>
    <cellStyle name="표준 5 3 2 35 3" xfId="8167"/>
    <cellStyle name="표준 5 3 2 35 3 2" xfId="20840"/>
    <cellStyle name="표준 5 3 2 35 3 2 2" xfId="46192"/>
    <cellStyle name="표준 5 3 2 35 3 3" xfId="33520"/>
    <cellStyle name="표준 5 3 2 35 4" xfId="14504"/>
    <cellStyle name="표준 5 3 2 35 4 2" xfId="39856"/>
    <cellStyle name="표준 5 3 2 35 5" xfId="27184"/>
    <cellStyle name="표준 5 3 2 35 6" xfId="54260"/>
    <cellStyle name="표준 5 3 2 36" xfId="4966"/>
    <cellStyle name="표준 5 3 2 36 2" xfId="11302"/>
    <cellStyle name="표준 5 3 2 36 2 2" xfId="23975"/>
    <cellStyle name="표준 5 3 2 36 2 2 2" xfId="49327"/>
    <cellStyle name="표준 5 3 2 36 2 3" xfId="36655"/>
    <cellStyle name="표준 5 3 2 36 3" xfId="17639"/>
    <cellStyle name="표준 5 3 2 36 3 2" xfId="42991"/>
    <cellStyle name="표준 5 3 2 36 4" xfId="30319"/>
    <cellStyle name="표준 5 3 2 36 5" xfId="54261"/>
    <cellStyle name="표준 5 3 2 37" xfId="6389"/>
    <cellStyle name="표준 5 3 2 37 2" xfId="19062"/>
    <cellStyle name="표준 5 3 2 37 2 2" xfId="44414"/>
    <cellStyle name="표준 5 3 2 37 3" xfId="31742"/>
    <cellStyle name="표준 5 3 2 38" xfId="12726"/>
    <cellStyle name="표준 5 3 2 38 2" xfId="38078"/>
    <cellStyle name="표준 5 3 2 39" xfId="25406"/>
    <cellStyle name="표준 5 3 2 4" xfId="1831"/>
    <cellStyle name="표준 5 3 2 4 2" xfId="1832"/>
    <cellStyle name="표준 5 3 2 4 2 2" xfId="4967"/>
    <cellStyle name="표준 5 3 2 4 2 2 2" xfId="11303"/>
    <cellStyle name="표준 5 3 2 4 2 2 2 2" xfId="23976"/>
    <cellStyle name="표준 5 3 2 4 2 2 2 2 2" xfId="49328"/>
    <cellStyle name="표준 5 3 2 4 2 2 2 3" xfId="36656"/>
    <cellStyle name="표준 5 3 2 4 2 2 3" xfId="17640"/>
    <cellStyle name="표준 5 3 2 4 2 2 3 2" xfId="42992"/>
    <cellStyle name="표준 5 3 2 4 2 2 4" xfId="30320"/>
    <cellStyle name="표준 5 3 2 4 2 2 5" xfId="54262"/>
    <cellStyle name="표준 5 3 2 4 2 3" xfId="8169"/>
    <cellStyle name="표준 5 3 2 4 2 3 2" xfId="20842"/>
    <cellStyle name="표준 5 3 2 4 2 3 2 2" xfId="46194"/>
    <cellStyle name="표준 5 3 2 4 2 3 3" xfId="33522"/>
    <cellStyle name="표준 5 3 2 4 2 4" xfId="14506"/>
    <cellStyle name="표준 5 3 2 4 2 4 2" xfId="39858"/>
    <cellStyle name="표준 5 3 2 4 2 5" xfId="27186"/>
    <cellStyle name="표준 5 3 2 4 2 6" xfId="54263"/>
    <cellStyle name="표준 5 3 2 4 3" xfId="4968"/>
    <cellStyle name="표준 5 3 2 4 3 2" xfId="11304"/>
    <cellStyle name="표준 5 3 2 4 3 2 2" xfId="23977"/>
    <cellStyle name="표준 5 3 2 4 3 2 2 2" xfId="49329"/>
    <cellStyle name="표준 5 3 2 4 3 2 3" xfId="36657"/>
    <cellStyle name="표준 5 3 2 4 3 3" xfId="17641"/>
    <cellStyle name="표준 5 3 2 4 3 3 2" xfId="42993"/>
    <cellStyle name="표준 5 3 2 4 3 4" xfId="30321"/>
    <cellStyle name="표준 5 3 2 4 3 5" xfId="54264"/>
    <cellStyle name="표준 5 3 2 4 4" xfId="8168"/>
    <cellStyle name="표준 5 3 2 4 4 2" xfId="20841"/>
    <cellStyle name="표준 5 3 2 4 4 2 2" xfId="46193"/>
    <cellStyle name="표준 5 3 2 4 4 3" xfId="33521"/>
    <cellStyle name="표준 5 3 2 4 5" xfId="14505"/>
    <cellStyle name="표준 5 3 2 4 5 2" xfId="39857"/>
    <cellStyle name="표준 5 3 2 4 6" xfId="27185"/>
    <cellStyle name="표준 5 3 2 4 7" xfId="54265"/>
    <cellStyle name="표준 5 3 2 40" xfId="54266"/>
    <cellStyle name="표준 5 3 2 5" xfId="1833"/>
    <cellStyle name="표준 5 3 2 5 2" xfId="1834"/>
    <cellStyle name="표준 5 3 2 5 2 2" xfId="4969"/>
    <cellStyle name="표준 5 3 2 5 2 2 2" xfId="11305"/>
    <cellStyle name="표준 5 3 2 5 2 2 2 2" xfId="23978"/>
    <cellStyle name="표준 5 3 2 5 2 2 2 2 2" xfId="49330"/>
    <cellStyle name="표준 5 3 2 5 2 2 2 3" xfId="36658"/>
    <cellStyle name="표준 5 3 2 5 2 2 3" xfId="17642"/>
    <cellStyle name="표준 5 3 2 5 2 2 3 2" xfId="42994"/>
    <cellStyle name="표준 5 3 2 5 2 2 4" xfId="30322"/>
    <cellStyle name="표준 5 3 2 5 2 2 5" xfId="54267"/>
    <cellStyle name="표준 5 3 2 5 2 3" xfId="8171"/>
    <cellStyle name="표준 5 3 2 5 2 3 2" xfId="20844"/>
    <cellStyle name="표준 5 3 2 5 2 3 2 2" xfId="46196"/>
    <cellStyle name="표준 5 3 2 5 2 3 3" xfId="33524"/>
    <cellStyle name="표준 5 3 2 5 2 4" xfId="14508"/>
    <cellStyle name="표준 5 3 2 5 2 4 2" xfId="39860"/>
    <cellStyle name="표준 5 3 2 5 2 5" xfId="27188"/>
    <cellStyle name="표준 5 3 2 5 2 6" xfId="54268"/>
    <cellStyle name="표준 5 3 2 5 3" xfId="4970"/>
    <cellStyle name="표준 5 3 2 5 3 2" xfId="11306"/>
    <cellStyle name="표준 5 3 2 5 3 2 2" xfId="23979"/>
    <cellStyle name="표준 5 3 2 5 3 2 2 2" xfId="49331"/>
    <cellStyle name="표준 5 3 2 5 3 2 3" xfId="36659"/>
    <cellStyle name="표준 5 3 2 5 3 3" xfId="17643"/>
    <cellStyle name="표준 5 3 2 5 3 3 2" xfId="42995"/>
    <cellStyle name="표준 5 3 2 5 3 4" xfId="30323"/>
    <cellStyle name="표준 5 3 2 5 3 5" xfId="54269"/>
    <cellStyle name="표준 5 3 2 5 4" xfId="8170"/>
    <cellStyle name="표준 5 3 2 5 4 2" xfId="20843"/>
    <cellStyle name="표준 5 3 2 5 4 2 2" xfId="46195"/>
    <cellStyle name="표준 5 3 2 5 4 3" xfId="33523"/>
    <cellStyle name="표준 5 3 2 5 5" xfId="14507"/>
    <cellStyle name="표준 5 3 2 5 5 2" xfId="39859"/>
    <cellStyle name="표준 5 3 2 5 6" xfId="27187"/>
    <cellStyle name="표준 5 3 2 5 7" xfId="54270"/>
    <cellStyle name="표준 5 3 2 6" xfId="1835"/>
    <cellStyle name="표준 5 3 2 6 2" xfId="1836"/>
    <cellStyle name="표준 5 3 2 6 2 2" xfId="4971"/>
    <cellStyle name="표준 5 3 2 6 2 2 2" xfId="11307"/>
    <cellStyle name="표준 5 3 2 6 2 2 2 2" xfId="23980"/>
    <cellStyle name="표준 5 3 2 6 2 2 2 2 2" xfId="49332"/>
    <cellStyle name="표준 5 3 2 6 2 2 2 3" xfId="36660"/>
    <cellStyle name="표준 5 3 2 6 2 2 3" xfId="17644"/>
    <cellStyle name="표준 5 3 2 6 2 2 3 2" xfId="42996"/>
    <cellStyle name="표준 5 3 2 6 2 2 4" xfId="30324"/>
    <cellStyle name="표준 5 3 2 6 2 2 5" xfId="54271"/>
    <cellStyle name="표준 5 3 2 6 2 3" xfId="8173"/>
    <cellStyle name="표준 5 3 2 6 2 3 2" xfId="20846"/>
    <cellStyle name="표준 5 3 2 6 2 3 2 2" xfId="46198"/>
    <cellStyle name="표준 5 3 2 6 2 3 3" xfId="33526"/>
    <cellStyle name="표준 5 3 2 6 2 4" xfId="14510"/>
    <cellStyle name="표준 5 3 2 6 2 4 2" xfId="39862"/>
    <cellStyle name="표준 5 3 2 6 2 5" xfId="27190"/>
    <cellStyle name="표준 5 3 2 6 2 6" xfId="54272"/>
    <cellStyle name="표준 5 3 2 6 3" xfId="4972"/>
    <cellStyle name="표준 5 3 2 6 3 2" xfId="11308"/>
    <cellStyle name="표준 5 3 2 6 3 2 2" xfId="23981"/>
    <cellStyle name="표준 5 3 2 6 3 2 2 2" xfId="49333"/>
    <cellStyle name="표준 5 3 2 6 3 2 3" xfId="36661"/>
    <cellStyle name="표준 5 3 2 6 3 3" xfId="17645"/>
    <cellStyle name="표준 5 3 2 6 3 3 2" xfId="42997"/>
    <cellStyle name="표준 5 3 2 6 3 4" xfId="30325"/>
    <cellStyle name="표준 5 3 2 6 3 5" xfId="54273"/>
    <cellStyle name="표준 5 3 2 6 4" xfId="8172"/>
    <cellStyle name="표준 5 3 2 6 4 2" xfId="20845"/>
    <cellStyle name="표준 5 3 2 6 4 2 2" xfId="46197"/>
    <cellStyle name="표준 5 3 2 6 4 3" xfId="33525"/>
    <cellStyle name="표준 5 3 2 6 5" xfId="14509"/>
    <cellStyle name="표준 5 3 2 6 5 2" xfId="39861"/>
    <cellStyle name="표준 5 3 2 6 6" xfId="27189"/>
    <cellStyle name="표준 5 3 2 6 7" xfId="54274"/>
    <cellStyle name="표준 5 3 2 7" xfId="1837"/>
    <cellStyle name="표준 5 3 2 7 2" xfId="1838"/>
    <cellStyle name="표준 5 3 2 7 2 2" xfId="4973"/>
    <cellStyle name="표준 5 3 2 7 2 2 2" xfId="11309"/>
    <cellStyle name="표준 5 3 2 7 2 2 2 2" xfId="23982"/>
    <cellStyle name="표준 5 3 2 7 2 2 2 2 2" xfId="49334"/>
    <cellStyle name="표준 5 3 2 7 2 2 2 3" xfId="36662"/>
    <cellStyle name="표준 5 3 2 7 2 2 3" xfId="17646"/>
    <cellStyle name="표준 5 3 2 7 2 2 3 2" xfId="42998"/>
    <cellStyle name="표준 5 3 2 7 2 2 4" xfId="30326"/>
    <cellStyle name="표준 5 3 2 7 2 2 5" xfId="54275"/>
    <cellStyle name="표준 5 3 2 7 2 3" xfId="8175"/>
    <cellStyle name="표준 5 3 2 7 2 3 2" xfId="20848"/>
    <cellStyle name="표준 5 3 2 7 2 3 2 2" xfId="46200"/>
    <cellStyle name="표준 5 3 2 7 2 3 3" xfId="33528"/>
    <cellStyle name="표준 5 3 2 7 2 4" xfId="14512"/>
    <cellStyle name="표준 5 3 2 7 2 4 2" xfId="39864"/>
    <cellStyle name="표준 5 3 2 7 2 5" xfId="27192"/>
    <cellStyle name="표준 5 3 2 7 2 6" xfId="54276"/>
    <cellStyle name="표준 5 3 2 7 3" xfId="4974"/>
    <cellStyle name="표준 5 3 2 7 3 2" xfId="11310"/>
    <cellStyle name="표준 5 3 2 7 3 2 2" xfId="23983"/>
    <cellStyle name="표준 5 3 2 7 3 2 2 2" xfId="49335"/>
    <cellStyle name="표준 5 3 2 7 3 2 3" xfId="36663"/>
    <cellStyle name="표준 5 3 2 7 3 3" xfId="17647"/>
    <cellStyle name="표준 5 3 2 7 3 3 2" xfId="42999"/>
    <cellStyle name="표준 5 3 2 7 3 4" xfId="30327"/>
    <cellStyle name="표준 5 3 2 7 3 5" xfId="54277"/>
    <cellStyle name="표준 5 3 2 7 4" xfId="8174"/>
    <cellStyle name="표준 5 3 2 7 4 2" xfId="20847"/>
    <cellStyle name="표준 5 3 2 7 4 2 2" xfId="46199"/>
    <cellStyle name="표준 5 3 2 7 4 3" xfId="33527"/>
    <cellStyle name="표준 5 3 2 7 5" xfId="14511"/>
    <cellStyle name="표준 5 3 2 7 5 2" xfId="39863"/>
    <cellStyle name="표준 5 3 2 7 6" xfId="27191"/>
    <cellStyle name="표준 5 3 2 7 7" xfId="54278"/>
    <cellStyle name="표준 5 3 2 8" xfId="1839"/>
    <cellStyle name="표준 5 3 2 8 2" xfId="1840"/>
    <cellStyle name="표준 5 3 2 8 2 2" xfId="4975"/>
    <cellStyle name="표준 5 3 2 8 2 2 2" xfId="11311"/>
    <cellStyle name="표준 5 3 2 8 2 2 2 2" xfId="23984"/>
    <cellStyle name="표준 5 3 2 8 2 2 2 2 2" xfId="49336"/>
    <cellStyle name="표준 5 3 2 8 2 2 2 3" xfId="36664"/>
    <cellStyle name="표준 5 3 2 8 2 2 3" xfId="17648"/>
    <cellStyle name="표준 5 3 2 8 2 2 3 2" xfId="43000"/>
    <cellStyle name="표준 5 3 2 8 2 2 4" xfId="30328"/>
    <cellStyle name="표준 5 3 2 8 2 2 5" xfId="54279"/>
    <cellStyle name="표준 5 3 2 8 2 3" xfId="8177"/>
    <cellStyle name="표준 5 3 2 8 2 3 2" xfId="20850"/>
    <cellStyle name="표준 5 3 2 8 2 3 2 2" xfId="46202"/>
    <cellStyle name="표준 5 3 2 8 2 3 3" xfId="33530"/>
    <cellStyle name="표준 5 3 2 8 2 4" xfId="14514"/>
    <cellStyle name="표준 5 3 2 8 2 4 2" xfId="39866"/>
    <cellStyle name="표준 5 3 2 8 2 5" xfId="27194"/>
    <cellStyle name="표준 5 3 2 8 2 6" xfId="54280"/>
    <cellStyle name="표준 5 3 2 8 3" xfId="4976"/>
    <cellStyle name="표준 5 3 2 8 3 2" xfId="11312"/>
    <cellStyle name="표준 5 3 2 8 3 2 2" xfId="23985"/>
    <cellStyle name="표준 5 3 2 8 3 2 2 2" xfId="49337"/>
    <cellStyle name="표준 5 3 2 8 3 2 3" xfId="36665"/>
    <cellStyle name="표준 5 3 2 8 3 3" xfId="17649"/>
    <cellStyle name="표준 5 3 2 8 3 3 2" xfId="43001"/>
    <cellStyle name="표준 5 3 2 8 3 4" xfId="30329"/>
    <cellStyle name="표준 5 3 2 8 3 5" xfId="54281"/>
    <cellStyle name="표준 5 3 2 8 4" xfId="8176"/>
    <cellStyle name="표준 5 3 2 8 4 2" xfId="20849"/>
    <cellStyle name="표준 5 3 2 8 4 2 2" xfId="46201"/>
    <cellStyle name="표준 5 3 2 8 4 3" xfId="33529"/>
    <cellStyle name="표준 5 3 2 8 5" xfId="14513"/>
    <cellStyle name="표준 5 3 2 8 5 2" xfId="39865"/>
    <cellStyle name="표준 5 3 2 8 6" xfId="27193"/>
    <cellStyle name="표준 5 3 2 8 7" xfId="54282"/>
    <cellStyle name="표준 5 3 2 9" xfId="1841"/>
    <cellStyle name="표준 5 3 2 9 2" xfId="1842"/>
    <cellStyle name="표준 5 3 2 9 2 2" xfId="4977"/>
    <cellStyle name="표준 5 3 2 9 2 2 2" xfId="11313"/>
    <cellStyle name="표준 5 3 2 9 2 2 2 2" xfId="23986"/>
    <cellStyle name="표준 5 3 2 9 2 2 2 2 2" xfId="49338"/>
    <cellStyle name="표준 5 3 2 9 2 2 2 3" xfId="36666"/>
    <cellStyle name="표준 5 3 2 9 2 2 3" xfId="17650"/>
    <cellStyle name="표준 5 3 2 9 2 2 3 2" xfId="43002"/>
    <cellStyle name="표준 5 3 2 9 2 2 4" xfId="30330"/>
    <cellStyle name="표준 5 3 2 9 2 2 5" xfId="54283"/>
    <cellStyle name="표준 5 3 2 9 2 3" xfId="8179"/>
    <cellStyle name="표준 5 3 2 9 2 3 2" xfId="20852"/>
    <cellStyle name="표준 5 3 2 9 2 3 2 2" xfId="46204"/>
    <cellStyle name="표준 5 3 2 9 2 3 3" xfId="33532"/>
    <cellStyle name="표준 5 3 2 9 2 4" xfId="14516"/>
    <cellStyle name="표준 5 3 2 9 2 4 2" xfId="39868"/>
    <cellStyle name="표준 5 3 2 9 2 5" xfId="27196"/>
    <cellStyle name="표준 5 3 2 9 2 6" xfId="54284"/>
    <cellStyle name="표준 5 3 2 9 3" xfId="4978"/>
    <cellStyle name="표준 5 3 2 9 3 2" xfId="11314"/>
    <cellStyle name="표준 5 3 2 9 3 2 2" xfId="23987"/>
    <cellStyle name="표준 5 3 2 9 3 2 2 2" xfId="49339"/>
    <cellStyle name="표준 5 3 2 9 3 2 3" xfId="36667"/>
    <cellStyle name="표준 5 3 2 9 3 3" xfId="17651"/>
    <cellStyle name="표준 5 3 2 9 3 3 2" xfId="43003"/>
    <cellStyle name="표준 5 3 2 9 3 4" xfId="30331"/>
    <cellStyle name="표준 5 3 2 9 3 5" xfId="54285"/>
    <cellStyle name="표준 5 3 2 9 4" xfId="8178"/>
    <cellStyle name="표준 5 3 2 9 4 2" xfId="20851"/>
    <cellStyle name="표준 5 3 2 9 4 2 2" xfId="46203"/>
    <cellStyle name="표준 5 3 2 9 4 3" xfId="33531"/>
    <cellStyle name="표준 5 3 2 9 5" xfId="14515"/>
    <cellStyle name="표준 5 3 2 9 5 2" xfId="39867"/>
    <cellStyle name="표준 5 3 2 9 6" xfId="27195"/>
    <cellStyle name="표준 5 3 2 9 7" xfId="54286"/>
    <cellStyle name="표준 5 3 20" xfId="1843"/>
    <cellStyle name="표준 5 3 20 2" xfId="1844"/>
    <cellStyle name="표준 5 3 20 2 2" xfId="4979"/>
    <cellStyle name="표준 5 3 20 2 2 2" xfId="11315"/>
    <cellStyle name="표준 5 3 20 2 2 2 2" xfId="23988"/>
    <cellStyle name="표준 5 3 20 2 2 2 2 2" xfId="49340"/>
    <cellStyle name="표준 5 3 20 2 2 2 3" xfId="36668"/>
    <cellStyle name="표준 5 3 20 2 2 3" xfId="17652"/>
    <cellStyle name="표준 5 3 20 2 2 3 2" xfId="43004"/>
    <cellStyle name="표준 5 3 20 2 2 4" xfId="30332"/>
    <cellStyle name="표준 5 3 20 2 2 5" xfId="54287"/>
    <cellStyle name="표준 5 3 20 2 3" xfId="8181"/>
    <cellStyle name="표준 5 3 20 2 3 2" xfId="20854"/>
    <cellStyle name="표준 5 3 20 2 3 2 2" xfId="46206"/>
    <cellStyle name="표준 5 3 20 2 3 3" xfId="33534"/>
    <cellStyle name="표준 5 3 20 2 4" xfId="14518"/>
    <cellStyle name="표준 5 3 20 2 4 2" xfId="39870"/>
    <cellStyle name="표준 5 3 20 2 5" xfId="27198"/>
    <cellStyle name="표준 5 3 20 2 6" xfId="54288"/>
    <cellStyle name="표준 5 3 20 3" xfId="4980"/>
    <cellStyle name="표준 5 3 20 3 2" xfId="11316"/>
    <cellStyle name="표준 5 3 20 3 2 2" xfId="23989"/>
    <cellStyle name="표준 5 3 20 3 2 2 2" xfId="49341"/>
    <cellStyle name="표준 5 3 20 3 2 3" xfId="36669"/>
    <cellStyle name="표준 5 3 20 3 3" xfId="17653"/>
    <cellStyle name="표준 5 3 20 3 3 2" xfId="43005"/>
    <cellStyle name="표준 5 3 20 3 4" xfId="30333"/>
    <cellStyle name="표준 5 3 20 3 5" xfId="54289"/>
    <cellStyle name="표준 5 3 20 4" xfId="8180"/>
    <cellStyle name="표준 5 3 20 4 2" xfId="20853"/>
    <cellStyle name="표준 5 3 20 4 2 2" xfId="46205"/>
    <cellStyle name="표준 5 3 20 4 3" xfId="33533"/>
    <cellStyle name="표준 5 3 20 5" xfId="14517"/>
    <cellStyle name="표준 5 3 20 5 2" xfId="39869"/>
    <cellStyle name="표준 5 3 20 6" xfId="27197"/>
    <cellStyle name="표준 5 3 20 7" xfId="54290"/>
    <cellStyle name="표준 5 3 21" xfId="1845"/>
    <cellStyle name="표준 5 3 21 2" xfId="1846"/>
    <cellStyle name="표준 5 3 21 2 2" xfId="4981"/>
    <cellStyle name="표준 5 3 21 2 2 2" xfId="11317"/>
    <cellStyle name="표준 5 3 21 2 2 2 2" xfId="23990"/>
    <cellStyle name="표준 5 3 21 2 2 2 2 2" xfId="49342"/>
    <cellStyle name="표준 5 3 21 2 2 2 3" xfId="36670"/>
    <cellStyle name="표준 5 3 21 2 2 3" xfId="17654"/>
    <cellStyle name="표준 5 3 21 2 2 3 2" xfId="43006"/>
    <cellStyle name="표준 5 3 21 2 2 4" xfId="30334"/>
    <cellStyle name="표준 5 3 21 2 2 5" xfId="54291"/>
    <cellStyle name="표준 5 3 21 2 3" xfId="8183"/>
    <cellStyle name="표준 5 3 21 2 3 2" xfId="20856"/>
    <cellStyle name="표준 5 3 21 2 3 2 2" xfId="46208"/>
    <cellStyle name="표준 5 3 21 2 3 3" xfId="33536"/>
    <cellStyle name="표준 5 3 21 2 4" xfId="14520"/>
    <cellStyle name="표준 5 3 21 2 4 2" xfId="39872"/>
    <cellStyle name="표준 5 3 21 2 5" xfId="27200"/>
    <cellStyle name="표준 5 3 21 2 6" xfId="54292"/>
    <cellStyle name="표준 5 3 21 3" xfId="4982"/>
    <cellStyle name="표준 5 3 21 3 2" xfId="11318"/>
    <cellStyle name="표준 5 3 21 3 2 2" xfId="23991"/>
    <cellStyle name="표준 5 3 21 3 2 2 2" xfId="49343"/>
    <cellStyle name="표준 5 3 21 3 2 3" xfId="36671"/>
    <cellStyle name="표준 5 3 21 3 3" xfId="17655"/>
    <cellStyle name="표준 5 3 21 3 3 2" xfId="43007"/>
    <cellStyle name="표준 5 3 21 3 4" xfId="30335"/>
    <cellStyle name="표준 5 3 21 3 5" xfId="54293"/>
    <cellStyle name="표준 5 3 21 4" xfId="8182"/>
    <cellStyle name="표준 5 3 21 4 2" xfId="20855"/>
    <cellStyle name="표준 5 3 21 4 2 2" xfId="46207"/>
    <cellStyle name="표준 5 3 21 4 3" xfId="33535"/>
    <cellStyle name="표준 5 3 21 5" xfId="14519"/>
    <cellStyle name="표준 5 3 21 5 2" xfId="39871"/>
    <cellStyle name="표준 5 3 21 6" xfId="27199"/>
    <cellStyle name="표준 5 3 21 7" xfId="54294"/>
    <cellStyle name="표준 5 3 22" xfId="1847"/>
    <cellStyle name="표준 5 3 22 2" xfId="1848"/>
    <cellStyle name="표준 5 3 22 2 2" xfId="4983"/>
    <cellStyle name="표준 5 3 22 2 2 2" xfId="11319"/>
    <cellStyle name="표준 5 3 22 2 2 2 2" xfId="23992"/>
    <cellStyle name="표준 5 3 22 2 2 2 2 2" xfId="49344"/>
    <cellStyle name="표준 5 3 22 2 2 2 3" xfId="36672"/>
    <cellStyle name="표준 5 3 22 2 2 3" xfId="17656"/>
    <cellStyle name="표준 5 3 22 2 2 3 2" xfId="43008"/>
    <cellStyle name="표준 5 3 22 2 2 4" xfId="30336"/>
    <cellStyle name="표준 5 3 22 2 2 5" xfId="54295"/>
    <cellStyle name="표준 5 3 22 2 3" xfId="8185"/>
    <cellStyle name="표준 5 3 22 2 3 2" xfId="20858"/>
    <cellStyle name="표준 5 3 22 2 3 2 2" xfId="46210"/>
    <cellStyle name="표준 5 3 22 2 3 3" xfId="33538"/>
    <cellStyle name="표준 5 3 22 2 4" xfId="14522"/>
    <cellStyle name="표준 5 3 22 2 4 2" xfId="39874"/>
    <cellStyle name="표준 5 3 22 2 5" xfId="27202"/>
    <cellStyle name="표준 5 3 22 2 6" xfId="54296"/>
    <cellStyle name="표준 5 3 22 3" xfId="4984"/>
    <cellStyle name="표준 5 3 22 3 2" xfId="11320"/>
    <cellStyle name="표준 5 3 22 3 2 2" xfId="23993"/>
    <cellStyle name="표준 5 3 22 3 2 2 2" xfId="49345"/>
    <cellStyle name="표준 5 3 22 3 2 3" xfId="36673"/>
    <cellStyle name="표준 5 3 22 3 3" xfId="17657"/>
    <cellStyle name="표준 5 3 22 3 3 2" xfId="43009"/>
    <cellStyle name="표준 5 3 22 3 4" xfId="30337"/>
    <cellStyle name="표준 5 3 22 3 5" xfId="54297"/>
    <cellStyle name="표준 5 3 22 4" xfId="8184"/>
    <cellStyle name="표준 5 3 22 4 2" xfId="20857"/>
    <cellStyle name="표준 5 3 22 4 2 2" xfId="46209"/>
    <cellStyle name="표준 5 3 22 4 3" xfId="33537"/>
    <cellStyle name="표준 5 3 22 5" xfId="14521"/>
    <cellStyle name="표준 5 3 22 5 2" xfId="39873"/>
    <cellStyle name="표준 5 3 22 6" xfId="27201"/>
    <cellStyle name="표준 5 3 22 7" xfId="54298"/>
    <cellStyle name="표준 5 3 23" xfId="1849"/>
    <cellStyle name="표준 5 3 23 2" xfId="1850"/>
    <cellStyle name="표준 5 3 23 2 2" xfId="4985"/>
    <cellStyle name="표준 5 3 23 2 2 2" xfId="11321"/>
    <cellStyle name="표준 5 3 23 2 2 2 2" xfId="23994"/>
    <cellStyle name="표준 5 3 23 2 2 2 2 2" xfId="49346"/>
    <cellStyle name="표준 5 3 23 2 2 2 3" xfId="36674"/>
    <cellStyle name="표준 5 3 23 2 2 3" xfId="17658"/>
    <cellStyle name="표준 5 3 23 2 2 3 2" xfId="43010"/>
    <cellStyle name="표준 5 3 23 2 2 4" xfId="30338"/>
    <cellStyle name="표준 5 3 23 2 2 5" xfId="54299"/>
    <cellStyle name="표준 5 3 23 2 3" xfId="8187"/>
    <cellStyle name="표준 5 3 23 2 3 2" xfId="20860"/>
    <cellStyle name="표준 5 3 23 2 3 2 2" xfId="46212"/>
    <cellStyle name="표준 5 3 23 2 3 3" xfId="33540"/>
    <cellStyle name="표준 5 3 23 2 4" xfId="14524"/>
    <cellStyle name="표준 5 3 23 2 4 2" xfId="39876"/>
    <cellStyle name="표준 5 3 23 2 5" xfId="27204"/>
    <cellStyle name="표준 5 3 23 2 6" xfId="54300"/>
    <cellStyle name="표준 5 3 23 3" xfId="4986"/>
    <cellStyle name="표준 5 3 23 3 2" xfId="11322"/>
    <cellStyle name="표준 5 3 23 3 2 2" xfId="23995"/>
    <cellStyle name="표준 5 3 23 3 2 2 2" xfId="49347"/>
    <cellStyle name="표준 5 3 23 3 2 3" xfId="36675"/>
    <cellStyle name="표준 5 3 23 3 3" xfId="17659"/>
    <cellStyle name="표준 5 3 23 3 3 2" xfId="43011"/>
    <cellStyle name="표준 5 3 23 3 4" xfId="30339"/>
    <cellStyle name="표준 5 3 23 3 5" xfId="54301"/>
    <cellStyle name="표준 5 3 23 4" xfId="8186"/>
    <cellStyle name="표준 5 3 23 4 2" xfId="20859"/>
    <cellStyle name="표준 5 3 23 4 2 2" xfId="46211"/>
    <cellStyle name="표준 5 3 23 4 3" xfId="33539"/>
    <cellStyle name="표준 5 3 23 5" xfId="14523"/>
    <cellStyle name="표준 5 3 23 5 2" xfId="39875"/>
    <cellStyle name="표준 5 3 23 6" xfId="27203"/>
    <cellStyle name="표준 5 3 23 7" xfId="54302"/>
    <cellStyle name="표준 5 3 24" xfId="1851"/>
    <cellStyle name="표준 5 3 24 2" xfId="1852"/>
    <cellStyle name="표준 5 3 24 2 2" xfId="4987"/>
    <cellStyle name="표준 5 3 24 2 2 2" xfId="11323"/>
    <cellStyle name="표준 5 3 24 2 2 2 2" xfId="23996"/>
    <cellStyle name="표준 5 3 24 2 2 2 2 2" xfId="49348"/>
    <cellStyle name="표준 5 3 24 2 2 2 3" xfId="36676"/>
    <cellStyle name="표준 5 3 24 2 2 3" xfId="17660"/>
    <cellStyle name="표준 5 3 24 2 2 3 2" xfId="43012"/>
    <cellStyle name="표준 5 3 24 2 2 4" xfId="30340"/>
    <cellStyle name="표준 5 3 24 2 2 5" xfId="54303"/>
    <cellStyle name="표준 5 3 24 2 3" xfId="8189"/>
    <cellStyle name="표준 5 3 24 2 3 2" xfId="20862"/>
    <cellStyle name="표준 5 3 24 2 3 2 2" xfId="46214"/>
    <cellStyle name="표준 5 3 24 2 3 3" xfId="33542"/>
    <cellStyle name="표준 5 3 24 2 4" xfId="14526"/>
    <cellStyle name="표준 5 3 24 2 4 2" xfId="39878"/>
    <cellStyle name="표준 5 3 24 2 5" xfId="27206"/>
    <cellStyle name="표준 5 3 24 2 6" xfId="54304"/>
    <cellStyle name="표준 5 3 24 3" xfId="4988"/>
    <cellStyle name="표준 5 3 24 3 2" xfId="11324"/>
    <cellStyle name="표준 5 3 24 3 2 2" xfId="23997"/>
    <cellStyle name="표준 5 3 24 3 2 2 2" xfId="49349"/>
    <cellStyle name="표준 5 3 24 3 2 3" xfId="36677"/>
    <cellStyle name="표준 5 3 24 3 3" xfId="17661"/>
    <cellStyle name="표준 5 3 24 3 3 2" xfId="43013"/>
    <cellStyle name="표준 5 3 24 3 4" xfId="30341"/>
    <cellStyle name="표준 5 3 24 3 5" xfId="54305"/>
    <cellStyle name="표준 5 3 24 4" xfId="8188"/>
    <cellStyle name="표준 5 3 24 4 2" xfId="20861"/>
    <cellStyle name="표준 5 3 24 4 2 2" xfId="46213"/>
    <cellStyle name="표준 5 3 24 4 3" xfId="33541"/>
    <cellStyle name="표준 5 3 24 5" xfId="14525"/>
    <cellStyle name="표준 5 3 24 5 2" xfId="39877"/>
    <cellStyle name="표준 5 3 24 6" xfId="27205"/>
    <cellStyle name="표준 5 3 24 7" xfId="54306"/>
    <cellStyle name="표준 5 3 25" xfId="1853"/>
    <cellStyle name="표준 5 3 25 2" xfId="1854"/>
    <cellStyle name="표준 5 3 25 2 2" xfId="4989"/>
    <cellStyle name="표준 5 3 25 2 2 2" xfId="11325"/>
    <cellStyle name="표준 5 3 25 2 2 2 2" xfId="23998"/>
    <cellStyle name="표준 5 3 25 2 2 2 2 2" xfId="49350"/>
    <cellStyle name="표준 5 3 25 2 2 2 3" xfId="36678"/>
    <cellStyle name="표준 5 3 25 2 2 3" xfId="17662"/>
    <cellStyle name="표준 5 3 25 2 2 3 2" xfId="43014"/>
    <cellStyle name="표준 5 3 25 2 2 4" xfId="30342"/>
    <cellStyle name="표준 5 3 25 2 2 5" xfId="54307"/>
    <cellStyle name="표준 5 3 25 2 3" xfId="8191"/>
    <cellStyle name="표준 5 3 25 2 3 2" xfId="20864"/>
    <cellStyle name="표준 5 3 25 2 3 2 2" xfId="46216"/>
    <cellStyle name="표준 5 3 25 2 3 3" xfId="33544"/>
    <cellStyle name="표준 5 3 25 2 4" xfId="14528"/>
    <cellStyle name="표준 5 3 25 2 4 2" xfId="39880"/>
    <cellStyle name="표준 5 3 25 2 5" xfId="27208"/>
    <cellStyle name="표준 5 3 25 2 6" xfId="54308"/>
    <cellStyle name="표준 5 3 25 3" xfId="4990"/>
    <cellStyle name="표준 5 3 25 3 2" xfId="11326"/>
    <cellStyle name="표준 5 3 25 3 2 2" xfId="23999"/>
    <cellStyle name="표준 5 3 25 3 2 2 2" xfId="49351"/>
    <cellStyle name="표준 5 3 25 3 2 3" xfId="36679"/>
    <cellStyle name="표준 5 3 25 3 3" xfId="17663"/>
    <cellStyle name="표준 5 3 25 3 3 2" xfId="43015"/>
    <cellStyle name="표준 5 3 25 3 4" xfId="30343"/>
    <cellStyle name="표준 5 3 25 3 5" xfId="54309"/>
    <cellStyle name="표준 5 3 25 4" xfId="8190"/>
    <cellStyle name="표준 5 3 25 4 2" xfId="20863"/>
    <cellStyle name="표준 5 3 25 4 2 2" xfId="46215"/>
    <cellStyle name="표준 5 3 25 4 3" xfId="33543"/>
    <cellStyle name="표준 5 3 25 5" xfId="14527"/>
    <cellStyle name="표준 5 3 25 5 2" xfId="39879"/>
    <cellStyle name="표준 5 3 25 6" xfId="27207"/>
    <cellStyle name="표준 5 3 25 7" xfId="54310"/>
    <cellStyle name="표준 5 3 26" xfId="1855"/>
    <cellStyle name="표준 5 3 26 2" xfId="1856"/>
    <cellStyle name="표준 5 3 26 2 2" xfId="4991"/>
    <cellStyle name="표준 5 3 26 2 2 2" xfId="11327"/>
    <cellStyle name="표준 5 3 26 2 2 2 2" xfId="24000"/>
    <cellStyle name="표준 5 3 26 2 2 2 2 2" xfId="49352"/>
    <cellStyle name="표준 5 3 26 2 2 2 3" xfId="36680"/>
    <cellStyle name="표준 5 3 26 2 2 3" xfId="17664"/>
    <cellStyle name="표준 5 3 26 2 2 3 2" xfId="43016"/>
    <cellStyle name="표준 5 3 26 2 2 4" xfId="30344"/>
    <cellStyle name="표준 5 3 26 2 2 5" xfId="54311"/>
    <cellStyle name="표준 5 3 26 2 3" xfId="8193"/>
    <cellStyle name="표준 5 3 26 2 3 2" xfId="20866"/>
    <cellStyle name="표준 5 3 26 2 3 2 2" xfId="46218"/>
    <cellStyle name="표준 5 3 26 2 3 3" xfId="33546"/>
    <cellStyle name="표준 5 3 26 2 4" xfId="14530"/>
    <cellStyle name="표준 5 3 26 2 4 2" xfId="39882"/>
    <cellStyle name="표준 5 3 26 2 5" xfId="27210"/>
    <cellStyle name="표준 5 3 26 2 6" xfId="54312"/>
    <cellStyle name="표준 5 3 26 3" xfId="4992"/>
    <cellStyle name="표준 5 3 26 3 2" xfId="11328"/>
    <cellStyle name="표준 5 3 26 3 2 2" xfId="24001"/>
    <cellStyle name="표준 5 3 26 3 2 2 2" xfId="49353"/>
    <cellStyle name="표준 5 3 26 3 2 3" xfId="36681"/>
    <cellStyle name="표준 5 3 26 3 3" xfId="17665"/>
    <cellStyle name="표준 5 3 26 3 3 2" xfId="43017"/>
    <cellStyle name="표준 5 3 26 3 4" xfId="30345"/>
    <cellStyle name="표준 5 3 26 3 5" xfId="54313"/>
    <cellStyle name="표준 5 3 26 4" xfId="8192"/>
    <cellStyle name="표준 5 3 26 4 2" xfId="20865"/>
    <cellStyle name="표준 5 3 26 4 2 2" xfId="46217"/>
    <cellStyle name="표준 5 3 26 4 3" xfId="33545"/>
    <cellStyle name="표준 5 3 26 5" xfId="14529"/>
    <cellStyle name="표준 5 3 26 5 2" xfId="39881"/>
    <cellStyle name="표준 5 3 26 6" xfId="27209"/>
    <cellStyle name="표준 5 3 26 7" xfId="54314"/>
    <cellStyle name="표준 5 3 27" xfId="1857"/>
    <cellStyle name="표준 5 3 27 2" xfId="1858"/>
    <cellStyle name="표준 5 3 27 2 2" xfId="4993"/>
    <cellStyle name="표준 5 3 27 2 2 2" xfId="11329"/>
    <cellStyle name="표준 5 3 27 2 2 2 2" xfId="24002"/>
    <cellStyle name="표준 5 3 27 2 2 2 2 2" xfId="49354"/>
    <cellStyle name="표준 5 3 27 2 2 2 3" xfId="36682"/>
    <cellStyle name="표준 5 3 27 2 2 3" xfId="17666"/>
    <cellStyle name="표준 5 3 27 2 2 3 2" xfId="43018"/>
    <cellStyle name="표준 5 3 27 2 2 4" xfId="30346"/>
    <cellStyle name="표준 5 3 27 2 2 5" xfId="54315"/>
    <cellStyle name="표준 5 3 27 2 3" xfId="8195"/>
    <cellStyle name="표준 5 3 27 2 3 2" xfId="20868"/>
    <cellStyle name="표준 5 3 27 2 3 2 2" xfId="46220"/>
    <cellStyle name="표준 5 3 27 2 3 3" xfId="33548"/>
    <cellStyle name="표준 5 3 27 2 4" xfId="14532"/>
    <cellStyle name="표준 5 3 27 2 4 2" xfId="39884"/>
    <cellStyle name="표준 5 3 27 2 5" xfId="27212"/>
    <cellStyle name="표준 5 3 27 2 6" xfId="54316"/>
    <cellStyle name="표준 5 3 27 3" xfId="4994"/>
    <cellStyle name="표준 5 3 27 3 2" xfId="11330"/>
    <cellStyle name="표준 5 3 27 3 2 2" xfId="24003"/>
    <cellStyle name="표준 5 3 27 3 2 2 2" xfId="49355"/>
    <cellStyle name="표준 5 3 27 3 2 3" xfId="36683"/>
    <cellStyle name="표준 5 3 27 3 3" xfId="17667"/>
    <cellStyle name="표준 5 3 27 3 3 2" xfId="43019"/>
    <cellStyle name="표준 5 3 27 3 4" xfId="30347"/>
    <cellStyle name="표준 5 3 27 3 5" xfId="54317"/>
    <cellStyle name="표준 5 3 27 4" xfId="8194"/>
    <cellStyle name="표준 5 3 27 4 2" xfId="20867"/>
    <cellStyle name="표준 5 3 27 4 2 2" xfId="46219"/>
    <cellStyle name="표준 5 3 27 4 3" xfId="33547"/>
    <cellStyle name="표준 5 3 27 5" xfId="14531"/>
    <cellStyle name="표준 5 3 27 5 2" xfId="39883"/>
    <cellStyle name="표준 5 3 27 6" xfId="27211"/>
    <cellStyle name="표준 5 3 27 7" xfId="54318"/>
    <cellStyle name="표준 5 3 28" xfId="1859"/>
    <cellStyle name="표준 5 3 28 2" xfId="1860"/>
    <cellStyle name="표준 5 3 28 2 2" xfId="4995"/>
    <cellStyle name="표준 5 3 28 2 2 2" xfId="11331"/>
    <cellStyle name="표준 5 3 28 2 2 2 2" xfId="24004"/>
    <cellStyle name="표준 5 3 28 2 2 2 2 2" xfId="49356"/>
    <cellStyle name="표준 5 3 28 2 2 2 3" xfId="36684"/>
    <cellStyle name="표준 5 3 28 2 2 3" xfId="17668"/>
    <cellStyle name="표준 5 3 28 2 2 3 2" xfId="43020"/>
    <cellStyle name="표준 5 3 28 2 2 4" xfId="30348"/>
    <cellStyle name="표준 5 3 28 2 2 5" xfId="54319"/>
    <cellStyle name="표준 5 3 28 2 3" xfId="8197"/>
    <cellStyle name="표준 5 3 28 2 3 2" xfId="20870"/>
    <cellStyle name="표준 5 3 28 2 3 2 2" xfId="46222"/>
    <cellStyle name="표준 5 3 28 2 3 3" xfId="33550"/>
    <cellStyle name="표준 5 3 28 2 4" xfId="14534"/>
    <cellStyle name="표준 5 3 28 2 4 2" xfId="39886"/>
    <cellStyle name="표준 5 3 28 2 5" xfId="27214"/>
    <cellStyle name="표준 5 3 28 2 6" xfId="54320"/>
    <cellStyle name="표준 5 3 28 3" xfId="4996"/>
    <cellStyle name="표준 5 3 28 3 2" xfId="11332"/>
    <cellStyle name="표준 5 3 28 3 2 2" xfId="24005"/>
    <cellStyle name="표준 5 3 28 3 2 2 2" xfId="49357"/>
    <cellStyle name="표준 5 3 28 3 2 3" xfId="36685"/>
    <cellStyle name="표준 5 3 28 3 3" xfId="17669"/>
    <cellStyle name="표준 5 3 28 3 3 2" xfId="43021"/>
    <cellStyle name="표준 5 3 28 3 4" xfId="30349"/>
    <cellStyle name="표준 5 3 28 3 5" xfId="54321"/>
    <cellStyle name="표준 5 3 28 4" xfId="8196"/>
    <cellStyle name="표준 5 3 28 4 2" xfId="20869"/>
    <cellStyle name="표준 5 3 28 4 2 2" xfId="46221"/>
    <cellStyle name="표준 5 3 28 4 3" xfId="33549"/>
    <cellStyle name="표준 5 3 28 5" xfId="14533"/>
    <cellStyle name="표준 5 3 28 5 2" xfId="39885"/>
    <cellStyle name="표준 5 3 28 6" xfId="27213"/>
    <cellStyle name="표준 5 3 28 7" xfId="54322"/>
    <cellStyle name="표준 5 3 29" xfId="1861"/>
    <cellStyle name="표준 5 3 29 2" xfId="1862"/>
    <cellStyle name="표준 5 3 29 2 2" xfId="4997"/>
    <cellStyle name="표준 5 3 29 2 2 2" xfId="11333"/>
    <cellStyle name="표준 5 3 29 2 2 2 2" xfId="24006"/>
    <cellStyle name="표준 5 3 29 2 2 2 2 2" xfId="49358"/>
    <cellStyle name="표준 5 3 29 2 2 2 3" xfId="36686"/>
    <cellStyle name="표준 5 3 29 2 2 3" xfId="17670"/>
    <cellStyle name="표준 5 3 29 2 2 3 2" xfId="43022"/>
    <cellStyle name="표준 5 3 29 2 2 4" xfId="30350"/>
    <cellStyle name="표준 5 3 29 2 2 5" xfId="54323"/>
    <cellStyle name="표준 5 3 29 2 3" xfId="8199"/>
    <cellStyle name="표준 5 3 29 2 3 2" xfId="20872"/>
    <cellStyle name="표준 5 3 29 2 3 2 2" xfId="46224"/>
    <cellStyle name="표준 5 3 29 2 3 3" xfId="33552"/>
    <cellStyle name="표준 5 3 29 2 4" xfId="14536"/>
    <cellStyle name="표준 5 3 29 2 4 2" xfId="39888"/>
    <cellStyle name="표준 5 3 29 2 5" xfId="27216"/>
    <cellStyle name="표준 5 3 29 2 6" xfId="54324"/>
    <cellStyle name="표준 5 3 29 3" xfId="4998"/>
    <cellStyle name="표준 5 3 29 3 2" xfId="11334"/>
    <cellStyle name="표준 5 3 29 3 2 2" xfId="24007"/>
    <cellStyle name="표준 5 3 29 3 2 2 2" xfId="49359"/>
    <cellStyle name="표준 5 3 29 3 2 3" xfId="36687"/>
    <cellStyle name="표준 5 3 29 3 3" xfId="17671"/>
    <cellStyle name="표준 5 3 29 3 3 2" xfId="43023"/>
    <cellStyle name="표준 5 3 29 3 4" xfId="30351"/>
    <cellStyle name="표준 5 3 29 3 5" xfId="54325"/>
    <cellStyle name="표준 5 3 29 4" xfId="8198"/>
    <cellStyle name="표준 5 3 29 4 2" xfId="20871"/>
    <cellStyle name="표준 5 3 29 4 2 2" xfId="46223"/>
    <cellStyle name="표준 5 3 29 4 3" xfId="33551"/>
    <cellStyle name="표준 5 3 29 5" xfId="14535"/>
    <cellStyle name="표준 5 3 29 5 2" xfId="39887"/>
    <cellStyle name="표준 5 3 29 6" xfId="27215"/>
    <cellStyle name="표준 5 3 29 7" xfId="54326"/>
    <cellStyle name="표준 5 3 3" xfId="83"/>
    <cellStyle name="표준 5 3 3 10" xfId="1863"/>
    <cellStyle name="표준 5 3 3 10 2" xfId="1864"/>
    <cellStyle name="표준 5 3 3 10 2 2" xfId="4999"/>
    <cellStyle name="표준 5 3 3 10 2 2 2" xfId="11335"/>
    <cellStyle name="표준 5 3 3 10 2 2 2 2" xfId="24008"/>
    <cellStyle name="표준 5 3 3 10 2 2 2 2 2" xfId="49360"/>
    <cellStyle name="표준 5 3 3 10 2 2 2 3" xfId="36688"/>
    <cellStyle name="표준 5 3 3 10 2 2 3" xfId="17672"/>
    <cellStyle name="표준 5 3 3 10 2 2 3 2" xfId="43024"/>
    <cellStyle name="표준 5 3 3 10 2 2 4" xfId="30352"/>
    <cellStyle name="표준 5 3 3 10 2 2 5" xfId="54327"/>
    <cellStyle name="표준 5 3 3 10 2 3" xfId="8201"/>
    <cellStyle name="표준 5 3 3 10 2 3 2" xfId="20874"/>
    <cellStyle name="표준 5 3 3 10 2 3 2 2" xfId="46226"/>
    <cellStyle name="표준 5 3 3 10 2 3 3" xfId="33554"/>
    <cellStyle name="표준 5 3 3 10 2 4" xfId="14538"/>
    <cellStyle name="표준 5 3 3 10 2 4 2" xfId="39890"/>
    <cellStyle name="표준 5 3 3 10 2 5" xfId="27218"/>
    <cellStyle name="표준 5 3 3 10 2 6" xfId="54328"/>
    <cellStyle name="표준 5 3 3 10 3" xfId="5000"/>
    <cellStyle name="표준 5 3 3 10 3 2" xfId="11336"/>
    <cellStyle name="표준 5 3 3 10 3 2 2" xfId="24009"/>
    <cellStyle name="표준 5 3 3 10 3 2 2 2" xfId="49361"/>
    <cellStyle name="표준 5 3 3 10 3 2 3" xfId="36689"/>
    <cellStyle name="표준 5 3 3 10 3 3" xfId="17673"/>
    <cellStyle name="표준 5 3 3 10 3 3 2" xfId="43025"/>
    <cellStyle name="표준 5 3 3 10 3 4" xfId="30353"/>
    <cellStyle name="표준 5 3 3 10 3 5" xfId="54329"/>
    <cellStyle name="표준 5 3 3 10 4" xfId="8200"/>
    <cellStyle name="표준 5 3 3 10 4 2" xfId="20873"/>
    <cellStyle name="표준 5 3 3 10 4 2 2" xfId="46225"/>
    <cellStyle name="표준 5 3 3 10 4 3" xfId="33553"/>
    <cellStyle name="표준 5 3 3 10 5" xfId="14537"/>
    <cellStyle name="표준 5 3 3 10 5 2" xfId="39889"/>
    <cellStyle name="표준 5 3 3 10 6" xfId="27217"/>
    <cellStyle name="표준 5 3 3 10 7" xfId="54330"/>
    <cellStyle name="표준 5 3 3 11" xfId="1865"/>
    <cellStyle name="표준 5 3 3 11 2" xfId="1866"/>
    <cellStyle name="표준 5 3 3 11 2 2" xfId="5001"/>
    <cellStyle name="표준 5 3 3 11 2 2 2" xfId="11337"/>
    <cellStyle name="표준 5 3 3 11 2 2 2 2" xfId="24010"/>
    <cellStyle name="표준 5 3 3 11 2 2 2 2 2" xfId="49362"/>
    <cellStyle name="표준 5 3 3 11 2 2 2 3" xfId="36690"/>
    <cellStyle name="표준 5 3 3 11 2 2 3" xfId="17674"/>
    <cellStyle name="표준 5 3 3 11 2 2 3 2" xfId="43026"/>
    <cellStyle name="표준 5 3 3 11 2 2 4" xfId="30354"/>
    <cellStyle name="표준 5 3 3 11 2 2 5" xfId="54331"/>
    <cellStyle name="표준 5 3 3 11 2 3" xfId="8203"/>
    <cellStyle name="표준 5 3 3 11 2 3 2" xfId="20876"/>
    <cellStyle name="표준 5 3 3 11 2 3 2 2" xfId="46228"/>
    <cellStyle name="표준 5 3 3 11 2 3 3" xfId="33556"/>
    <cellStyle name="표준 5 3 3 11 2 4" xfId="14540"/>
    <cellStyle name="표준 5 3 3 11 2 4 2" xfId="39892"/>
    <cellStyle name="표준 5 3 3 11 2 5" xfId="27220"/>
    <cellStyle name="표준 5 3 3 11 2 6" xfId="54332"/>
    <cellStyle name="표준 5 3 3 11 3" xfId="5002"/>
    <cellStyle name="표준 5 3 3 11 3 2" xfId="11338"/>
    <cellStyle name="표준 5 3 3 11 3 2 2" xfId="24011"/>
    <cellStyle name="표준 5 3 3 11 3 2 2 2" xfId="49363"/>
    <cellStyle name="표준 5 3 3 11 3 2 3" xfId="36691"/>
    <cellStyle name="표준 5 3 3 11 3 3" xfId="17675"/>
    <cellStyle name="표준 5 3 3 11 3 3 2" xfId="43027"/>
    <cellStyle name="표준 5 3 3 11 3 4" xfId="30355"/>
    <cellStyle name="표준 5 3 3 11 3 5" xfId="54333"/>
    <cellStyle name="표준 5 3 3 11 4" xfId="8202"/>
    <cellStyle name="표준 5 3 3 11 4 2" xfId="20875"/>
    <cellStyle name="표준 5 3 3 11 4 2 2" xfId="46227"/>
    <cellStyle name="표준 5 3 3 11 4 3" xfId="33555"/>
    <cellStyle name="표준 5 3 3 11 5" xfId="14539"/>
    <cellStyle name="표준 5 3 3 11 5 2" xfId="39891"/>
    <cellStyle name="표준 5 3 3 11 6" xfId="27219"/>
    <cellStyle name="표준 5 3 3 11 7" xfId="54334"/>
    <cellStyle name="표준 5 3 3 12" xfId="1867"/>
    <cellStyle name="표준 5 3 3 12 2" xfId="1868"/>
    <cellStyle name="표준 5 3 3 12 2 2" xfId="5003"/>
    <cellStyle name="표준 5 3 3 12 2 2 2" xfId="11339"/>
    <cellStyle name="표준 5 3 3 12 2 2 2 2" xfId="24012"/>
    <cellStyle name="표준 5 3 3 12 2 2 2 2 2" xfId="49364"/>
    <cellStyle name="표준 5 3 3 12 2 2 2 3" xfId="36692"/>
    <cellStyle name="표준 5 3 3 12 2 2 3" xfId="17676"/>
    <cellStyle name="표준 5 3 3 12 2 2 3 2" xfId="43028"/>
    <cellStyle name="표준 5 3 3 12 2 2 4" xfId="30356"/>
    <cellStyle name="표준 5 3 3 12 2 2 5" xfId="54335"/>
    <cellStyle name="표준 5 3 3 12 2 3" xfId="8205"/>
    <cellStyle name="표준 5 3 3 12 2 3 2" xfId="20878"/>
    <cellStyle name="표준 5 3 3 12 2 3 2 2" xfId="46230"/>
    <cellStyle name="표준 5 3 3 12 2 3 3" xfId="33558"/>
    <cellStyle name="표준 5 3 3 12 2 4" xfId="14542"/>
    <cellStyle name="표준 5 3 3 12 2 4 2" xfId="39894"/>
    <cellStyle name="표준 5 3 3 12 2 5" xfId="27222"/>
    <cellStyle name="표준 5 3 3 12 2 6" xfId="54336"/>
    <cellStyle name="표준 5 3 3 12 3" xfId="5004"/>
    <cellStyle name="표준 5 3 3 12 3 2" xfId="11340"/>
    <cellStyle name="표준 5 3 3 12 3 2 2" xfId="24013"/>
    <cellStyle name="표준 5 3 3 12 3 2 2 2" xfId="49365"/>
    <cellStyle name="표준 5 3 3 12 3 2 3" xfId="36693"/>
    <cellStyle name="표준 5 3 3 12 3 3" xfId="17677"/>
    <cellStyle name="표준 5 3 3 12 3 3 2" xfId="43029"/>
    <cellStyle name="표준 5 3 3 12 3 4" xfId="30357"/>
    <cellStyle name="표준 5 3 3 12 3 5" xfId="54337"/>
    <cellStyle name="표준 5 3 3 12 4" xfId="8204"/>
    <cellStyle name="표준 5 3 3 12 4 2" xfId="20877"/>
    <cellStyle name="표준 5 3 3 12 4 2 2" xfId="46229"/>
    <cellStyle name="표준 5 3 3 12 4 3" xfId="33557"/>
    <cellStyle name="표준 5 3 3 12 5" xfId="14541"/>
    <cellStyle name="표준 5 3 3 12 5 2" xfId="39893"/>
    <cellStyle name="표준 5 3 3 12 6" xfId="27221"/>
    <cellStyle name="표준 5 3 3 12 7" xfId="54338"/>
    <cellStyle name="표준 5 3 3 13" xfId="1869"/>
    <cellStyle name="표준 5 3 3 13 2" xfId="1870"/>
    <cellStyle name="표준 5 3 3 13 2 2" xfId="5005"/>
    <cellStyle name="표준 5 3 3 13 2 2 2" xfId="11341"/>
    <cellStyle name="표준 5 3 3 13 2 2 2 2" xfId="24014"/>
    <cellStyle name="표준 5 3 3 13 2 2 2 2 2" xfId="49366"/>
    <cellStyle name="표준 5 3 3 13 2 2 2 3" xfId="36694"/>
    <cellStyle name="표준 5 3 3 13 2 2 3" xfId="17678"/>
    <cellStyle name="표준 5 3 3 13 2 2 3 2" xfId="43030"/>
    <cellStyle name="표준 5 3 3 13 2 2 4" xfId="30358"/>
    <cellStyle name="표준 5 3 3 13 2 2 5" xfId="54339"/>
    <cellStyle name="표준 5 3 3 13 2 3" xfId="8207"/>
    <cellStyle name="표준 5 3 3 13 2 3 2" xfId="20880"/>
    <cellStyle name="표준 5 3 3 13 2 3 2 2" xfId="46232"/>
    <cellStyle name="표준 5 3 3 13 2 3 3" xfId="33560"/>
    <cellStyle name="표준 5 3 3 13 2 4" xfId="14544"/>
    <cellStyle name="표준 5 3 3 13 2 4 2" xfId="39896"/>
    <cellStyle name="표준 5 3 3 13 2 5" xfId="27224"/>
    <cellStyle name="표준 5 3 3 13 2 6" xfId="54340"/>
    <cellStyle name="표준 5 3 3 13 3" xfId="5006"/>
    <cellStyle name="표준 5 3 3 13 3 2" xfId="11342"/>
    <cellStyle name="표준 5 3 3 13 3 2 2" xfId="24015"/>
    <cellStyle name="표준 5 3 3 13 3 2 2 2" xfId="49367"/>
    <cellStyle name="표준 5 3 3 13 3 2 3" xfId="36695"/>
    <cellStyle name="표준 5 3 3 13 3 3" xfId="17679"/>
    <cellStyle name="표준 5 3 3 13 3 3 2" xfId="43031"/>
    <cellStyle name="표준 5 3 3 13 3 4" xfId="30359"/>
    <cellStyle name="표준 5 3 3 13 3 5" xfId="54341"/>
    <cellStyle name="표준 5 3 3 13 4" xfId="8206"/>
    <cellStyle name="표준 5 3 3 13 4 2" xfId="20879"/>
    <cellStyle name="표준 5 3 3 13 4 2 2" xfId="46231"/>
    <cellStyle name="표준 5 3 3 13 4 3" xfId="33559"/>
    <cellStyle name="표준 5 3 3 13 5" xfId="14543"/>
    <cellStyle name="표준 5 3 3 13 5 2" xfId="39895"/>
    <cellStyle name="표준 5 3 3 13 6" xfId="27223"/>
    <cellStyle name="표준 5 3 3 13 7" xfId="54342"/>
    <cellStyle name="표준 5 3 3 14" xfId="1871"/>
    <cellStyle name="표준 5 3 3 14 2" xfId="1872"/>
    <cellStyle name="표준 5 3 3 14 2 2" xfId="5007"/>
    <cellStyle name="표준 5 3 3 14 2 2 2" xfId="11343"/>
    <cellStyle name="표준 5 3 3 14 2 2 2 2" xfId="24016"/>
    <cellStyle name="표준 5 3 3 14 2 2 2 2 2" xfId="49368"/>
    <cellStyle name="표준 5 3 3 14 2 2 2 3" xfId="36696"/>
    <cellStyle name="표준 5 3 3 14 2 2 3" xfId="17680"/>
    <cellStyle name="표준 5 3 3 14 2 2 3 2" xfId="43032"/>
    <cellStyle name="표준 5 3 3 14 2 2 4" xfId="30360"/>
    <cellStyle name="표준 5 3 3 14 2 2 5" xfId="54343"/>
    <cellStyle name="표준 5 3 3 14 2 3" xfId="8209"/>
    <cellStyle name="표준 5 3 3 14 2 3 2" xfId="20882"/>
    <cellStyle name="표준 5 3 3 14 2 3 2 2" xfId="46234"/>
    <cellStyle name="표준 5 3 3 14 2 3 3" xfId="33562"/>
    <cellStyle name="표준 5 3 3 14 2 4" xfId="14546"/>
    <cellStyle name="표준 5 3 3 14 2 4 2" xfId="39898"/>
    <cellStyle name="표준 5 3 3 14 2 5" xfId="27226"/>
    <cellStyle name="표준 5 3 3 14 2 6" xfId="54344"/>
    <cellStyle name="표준 5 3 3 14 3" xfId="5008"/>
    <cellStyle name="표준 5 3 3 14 3 2" xfId="11344"/>
    <cellStyle name="표준 5 3 3 14 3 2 2" xfId="24017"/>
    <cellStyle name="표준 5 3 3 14 3 2 2 2" xfId="49369"/>
    <cellStyle name="표준 5 3 3 14 3 2 3" xfId="36697"/>
    <cellStyle name="표준 5 3 3 14 3 3" xfId="17681"/>
    <cellStyle name="표준 5 3 3 14 3 3 2" xfId="43033"/>
    <cellStyle name="표준 5 3 3 14 3 4" xfId="30361"/>
    <cellStyle name="표준 5 3 3 14 3 5" xfId="54345"/>
    <cellStyle name="표준 5 3 3 14 4" xfId="8208"/>
    <cellStyle name="표준 5 3 3 14 4 2" xfId="20881"/>
    <cellStyle name="표준 5 3 3 14 4 2 2" xfId="46233"/>
    <cellStyle name="표준 5 3 3 14 4 3" xfId="33561"/>
    <cellStyle name="표준 5 3 3 14 5" xfId="14545"/>
    <cellStyle name="표준 5 3 3 14 5 2" xfId="39897"/>
    <cellStyle name="표준 5 3 3 14 6" xfId="27225"/>
    <cellStyle name="표준 5 3 3 14 7" xfId="54346"/>
    <cellStyle name="표준 5 3 3 15" xfId="1873"/>
    <cellStyle name="표준 5 3 3 15 2" xfId="1874"/>
    <cellStyle name="표준 5 3 3 15 2 2" xfId="5009"/>
    <cellStyle name="표준 5 3 3 15 2 2 2" xfId="11345"/>
    <cellStyle name="표준 5 3 3 15 2 2 2 2" xfId="24018"/>
    <cellStyle name="표준 5 3 3 15 2 2 2 2 2" xfId="49370"/>
    <cellStyle name="표준 5 3 3 15 2 2 2 3" xfId="36698"/>
    <cellStyle name="표준 5 3 3 15 2 2 3" xfId="17682"/>
    <cellStyle name="표준 5 3 3 15 2 2 3 2" xfId="43034"/>
    <cellStyle name="표준 5 3 3 15 2 2 4" xfId="30362"/>
    <cellStyle name="표준 5 3 3 15 2 2 5" xfId="54347"/>
    <cellStyle name="표준 5 3 3 15 2 3" xfId="8211"/>
    <cellStyle name="표준 5 3 3 15 2 3 2" xfId="20884"/>
    <cellStyle name="표준 5 3 3 15 2 3 2 2" xfId="46236"/>
    <cellStyle name="표준 5 3 3 15 2 3 3" xfId="33564"/>
    <cellStyle name="표준 5 3 3 15 2 4" xfId="14548"/>
    <cellStyle name="표준 5 3 3 15 2 4 2" xfId="39900"/>
    <cellStyle name="표준 5 3 3 15 2 5" xfId="27228"/>
    <cellStyle name="표준 5 3 3 15 2 6" xfId="54348"/>
    <cellStyle name="표준 5 3 3 15 3" xfId="5010"/>
    <cellStyle name="표준 5 3 3 15 3 2" xfId="11346"/>
    <cellStyle name="표준 5 3 3 15 3 2 2" xfId="24019"/>
    <cellStyle name="표준 5 3 3 15 3 2 2 2" xfId="49371"/>
    <cellStyle name="표준 5 3 3 15 3 2 3" xfId="36699"/>
    <cellStyle name="표준 5 3 3 15 3 3" xfId="17683"/>
    <cellStyle name="표준 5 3 3 15 3 3 2" xfId="43035"/>
    <cellStyle name="표준 5 3 3 15 3 4" xfId="30363"/>
    <cellStyle name="표준 5 3 3 15 3 5" xfId="54349"/>
    <cellStyle name="표준 5 3 3 15 4" xfId="8210"/>
    <cellStyle name="표준 5 3 3 15 4 2" xfId="20883"/>
    <cellStyle name="표준 5 3 3 15 4 2 2" xfId="46235"/>
    <cellStyle name="표준 5 3 3 15 4 3" xfId="33563"/>
    <cellStyle name="표준 5 3 3 15 5" xfId="14547"/>
    <cellStyle name="표준 5 3 3 15 5 2" xfId="39899"/>
    <cellStyle name="표준 5 3 3 15 6" xfId="27227"/>
    <cellStyle name="표준 5 3 3 15 7" xfId="54350"/>
    <cellStyle name="표준 5 3 3 16" xfId="1875"/>
    <cellStyle name="표준 5 3 3 16 2" xfId="1876"/>
    <cellStyle name="표준 5 3 3 16 2 2" xfId="5011"/>
    <cellStyle name="표준 5 3 3 16 2 2 2" xfId="11347"/>
    <cellStyle name="표준 5 3 3 16 2 2 2 2" xfId="24020"/>
    <cellStyle name="표준 5 3 3 16 2 2 2 2 2" xfId="49372"/>
    <cellStyle name="표준 5 3 3 16 2 2 2 3" xfId="36700"/>
    <cellStyle name="표준 5 3 3 16 2 2 3" xfId="17684"/>
    <cellStyle name="표준 5 3 3 16 2 2 3 2" xfId="43036"/>
    <cellStyle name="표준 5 3 3 16 2 2 4" xfId="30364"/>
    <cellStyle name="표준 5 3 3 16 2 2 5" xfId="54351"/>
    <cellStyle name="표준 5 3 3 16 2 3" xfId="8213"/>
    <cellStyle name="표준 5 3 3 16 2 3 2" xfId="20886"/>
    <cellStyle name="표준 5 3 3 16 2 3 2 2" xfId="46238"/>
    <cellStyle name="표준 5 3 3 16 2 3 3" xfId="33566"/>
    <cellStyle name="표준 5 3 3 16 2 4" xfId="14550"/>
    <cellStyle name="표준 5 3 3 16 2 4 2" xfId="39902"/>
    <cellStyle name="표준 5 3 3 16 2 5" xfId="27230"/>
    <cellStyle name="표준 5 3 3 16 2 6" xfId="54352"/>
    <cellStyle name="표준 5 3 3 16 3" xfId="5012"/>
    <cellStyle name="표준 5 3 3 16 3 2" xfId="11348"/>
    <cellStyle name="표준 5 3 3 16 3 2 2" xfId="24021"/>
    <cellStyle name="표준 5 3 3 16 3 2 2 2" xfId="49373"/>
    <cellStyle name="표준 5 3 3 16 3 2 3" xfId="36701"/>
    <cellStyle name="표준 5 3 3 16 3 3" xfId="17685"/>
    <cellStyle name="표준 5 3 3 16 3 3 2" xfId="43037"/>
    <cellStyle name="표준 5 3 3 16 3 4" xfId="30365"/>
    <cellStyle name="표준 5 3 3 16 3 5" xfId="54353"/>
    <cellStyle name="표준 5 3 3 16 4" xfId="8212"/>
    <cellStyle name="표준 5 3 3 16 4 2" xfId="20885"/>
    <cellStyle name="표준 5 3 3 16 4 2 2" xfId="46237"/>
    <cellStyle name="표준 5 3 3 16 4 3" xfId="33565"/>
    <cellStyle name="표준 5 3 3 16 5" xfId="14549"/>
    <cellStyle name="표준 5 3 3 16 5 2" xfId="39901"/>
    <cellStyle name="표준 5 3 3 16 6" xfId="27229"/>
    <cellStyle name="표준 5 3 3 16 7" xfId="54354"/>
    <cellStyle name="표준 5 3 3 17" xfId="1877"/>
    <cellStyle name="표준 5 3 3 17 2" xfId="1878"/>
    <cellStyle name="표준 5 3 3 17 2 2" xfId="5013"/>
    <cellStyle name="표준 5 3 3 17 2 2 2" xfId="11349"/>
    <cellStyle name="표준 5 3 3 17 2 2 2 2" xfId="24022"/>
    <cellStyle name="표준 5 3 3 17 2 2 2 2 2" xfId="49374"/>
    <cellStyle name="표준 5 3 3 17 2 2 2 3" xfId="36702"/>
    <cellStyle name="표준 5 3 3 17 2 2 3" xfId="17686"/>
    <cellStyle name="표준 5 3 3 17 2 2 3 2" xfId="43038"/>
    <cellStyle name="표준 5 3 3 17 2 2 4" xfId="30366"/>
    <cellStyle name="표준 5 3 3 17 2 2 5" xfId="54355"/>
    <cellStyle name="표준 5 3 3 17 2 3" xfId="8215"/>
    <cellStyle name="표준 5 3 3 17 2 3 2" xfId="20888"/>
    <cellStyle name="표준 5 3 3 17 2 3 2 2" xfId="46240"/>
    <cellStyle name="표준 5 3 3 17 2 3 3" xfId="33568"/>
    <cellStyle name="표준 5 3 3 17 2 4" xfId="14552"/>
    <cellStyle name="표준 5 3 3 17 2 4 2" xfId="39904"/>
    <cellStyle name="표준 5 3 3 17 2 5" xfId="27232"/>
    <cellStyle name="표준 5 3 3 17 2 6" xfId="54356"/>
    <cellStyle name="표준 5 3 3 17 3" xfId="5014"/>
    <cellStyle name="표준 5 3 3 17 3 2" xfId="11350"/>
    <cellStyle name="표준 5 3 3 17 3 2 2" xfId="24023"/>
    <cellStyle name="표준 5 3 3 17 3 2 2 2" xfId="49375"/>
    <cellStyle name="표준 5 3 3 17 3 2 3" xfId="36703"/>
    <cellStyle name="표준 5 3 3 17 3 3" xfId="17687"/>
    <cellStyle name="표준 5 3 3 17 3 3 2" xfId="43039"/>
    <cellStyle name="표준 5 3 3 17 3 4" xfId="30367"/>
    <cellStyle name="표준 5 3 3 17 3 5" xfId="54357"/>
    <cellStyle name="표준 5 3 3 17 4" xfId="8214"/>
    <cellStyle name="표준 5 3 3 17 4 2" xfId="20887"/>
    <cellStyle name="표준 5 3 3 17 4 2 2" xfId="46239"/>
    <cellStyle name="표준 5 3 3 17 4 3" xfId="33567"/>
    <cellStyle name="표준 5 3 3 17 5" xfId="14551"/>
    <cellStyle name="표준 5 3 3 17 5 2" xfId="39903"/>
    <cellStyle name="표준 5 3 3 17 6" xfId="27231"/>
    <cellStyle name="표준 5 3 3 17 7" xfId="54358"/>
    <cellStyle name="표준 5 3 3 18" xfId="1879"/>
    <cellStyle name="표준 5 3 3 18 2" xfId="1880"/>
    <cellStyle name="표준 5 3 3 18 2 2" xfId="5015"/>
    <cellStyle name="표준 5 3 3 18 2 2 2" xfId="11351"/>
    <cellStyle name="표준 5 3 3 18 2 2 2 2" xfId="24024"/>
    <cellStyle name="표준 5 3 3 18 2 2 2 2 2" xfId="49376"/>
    <cellStyle name="표준 5 3 3 18 2 2 2 3" xfId="36704"/>
    <cellStyle name="표준 5 3 3 18 2 2 3" xfId="17688"/>
    <cellStyle name="표준 5 3 3 18 2 2 3 2" xfId="43040"/>
    <cellStyle name="표준 5 3 3 18 2 2 4" xfId="30368"/>
    <cellStyle name="표준 5 3 3 18 2 2 5" xfId="54359"/>
    <cellStyle name="표준 5 3 3 18 2 3" xfId="8217"/>
    <cellStyle name="표준 5 3 3 18 2 3 2" xfId="20890"/>
    <cellStyle name="표준 5 3 3 18 2 3 2 2" xfId="46242"/>
    <cellStyle name="표준 5 3 3 18 2 3 3" xfId="33570"/>
    <cellStyle name="표준 5 3 3 18 2 4" xfId="14554"/>
    <cellStyle name="표준 5 3 3 18 2 4 2" xfId="39906"/>
    <cellStyle name="표준 5 3 3 18 2 5" xfId="27234"/>
    <cellStyle name="표준 5 3 3 18 2 6" xfId="54360"/>
    <cellStyle name="표준 5 3 3 18 3" xfId="5016"/>
    <cellStyle name="표준 5 3 3 18 3 2" xfId="11352"/>
    <cellStyle name="표준 5 3 3 18 3 2 2" xfId="24025"/>
    <cellStyle name="표준 5 3 3 18 3 2 2 2" xfId="49377"/>
    <cellStyle name="표준 5 3 3 18 3 2 3" xfId="36705"/>
    <cellStyle name="표준 5 3 3 18 3 3" xfId="17689"/>
    <cellStyle name="표준 5 3 3 18 3 3 2" xfId="43041"/>
    <cellStyle name="표준 5 3 3 18 3 4" xfId="30369"/>
    <cellStyle name="표준 5 3 3 18 3 5" xfId="54361"/>
    <cellStyle name="표준 5 3 3 18 4" xfId="8216"/>
    <cellStyle name="표준 5 3 3 18 4 2" xfId="20889"/>
    <cellStyle name="표준 5 3 3 18 4 2 2" xfId="46241"/>
    <cellStyle name="표준 5 3 3 18 4 3" xfId="33569"/>
    <cellStyle name="표준 5 3 3 18 5" xfId="14553"/>
    <cellStyle name="표준 5 3 3 18 5 2" xfId="39905"/>
    <cellStyle name="표준 5 3 3 18 6" xfId="27233"/>
    <cellStyle name="표준 5 3 3 18 7" xfId="54362"/>
    <cellStyle name="표준 5 3 3 19" xfId="1881"/>
    <cellStyle name="표준 5 3 3 19 2" xfId="1882"/>
    <cellStyle name="표준 5 3 3 19 2 2" xfId="5017"/>
    <cellStyle name="표준 5 3 3 19 2 2 2" xfId="11353"/>
    <cellStyle name="표준 5 3 3 19 2 2 2 2" xfId="24026"/>
    <cellStyle name="표준 5 3 3 19 2 2 2 2 2" xfId="49378"/>
    <cellStyle name="표준 5 3 3 19 2 2 2 3" xfId="36706"/>
    <cellStyle name="표준 5 3 3 19 2 2 3" xfId="17690"/>
    <cellStyle name="표준 5 3 3 19 2 2 3 2" xfId="43042"/>
    <cellStyle name="표준 5 3 3 19 2 2 4" xfId="30370"/>
    <cellStyle name="표준 5 3 3 19 2 2 5" xfId="54363"/>
    <cellStyle name="표준 5 3 3 19 2 3" xfId="8219"/>
    <cellStyle name="표준 5 3 3 19 2 3 2" xfId="20892"/>
    <cellStyle name="표준 5 3 3 19 2 3 2 2" xfId="46244"/>
    <cellStyle name="표준 5 3 3 19 2 3 3" xfId="33572"/>
    <cellStyle name="표준 5 3 3 19 2 4" xfId="14556"/>
    <cellStyle name="표준 5 3 3 19 2 4 2" xfId="39908"/>
    <cellStyle name="표준 5 3 3 19 2 5" xfId="27236"/>
    <cellStyle name="표준 5 3 3 19 2 6" xfId="54364"/>
    <cellStyle name="표준 5 3 3 19 3" xfId="5018"/>
    <cellStyle name="표준 5 3 3 19 3 2" xfId="11354"/>
    <cellStyle name="표준 5 3 3 19 3 2 2" xfId="24027"/>
    <cellStyle name="표준 5 3 3 19 3 2 2 2" xfId="49379"/>
    <cellStyle name="표준 5 3 3 19 3 2 3" xfId="36707"/>
    <cellStyle name="표준 5 3 3 19 3 3" xfId="17691"/>
    <cellStyle name="표준 5 3 3 19 3 3 2" xfId="43043"/>
    <cellStyle name="표준 5 3 3 19 3 4" xfId="30371"/>
    <cellStyle name="표준 5 3 3 19 3 5" xfId="54365"/>
    <cellStyle name="표준 5 3 3 19 4" xfId="8218"/>
    <cellStyle name="표준 5 3 3 19 4 2" xfId="20891"/>
    <cellStyle name="표준 5 3 3 19 4 2 2" xfId="46243"/>
    <cellStyle name="표준 5 3 3 19 4 3" xfId="33571"/>
    <cellStyle name="표준 5 3 3 19 5" xfId="14555"/>
    <cellStyle name="표준 5 3 3 19 5 2" xfId="39907"/>
    <cellStyle name="표준 5 3 3 19 6" xfId="27235"/>
    <cellStyle name="표준 5 3 3 19 7" xfId="54366"/>
    <cellStyle name="표준 5 3 3 2" xfId="1883"/>
    <cellStyle name="표준 5 3 3 2 2" xfId="1884"/>
    <cellStyle name="표준 5 3 3 2 2 2" xfId="5019"/>
    <cellStyle name="표준 5 3 3 2 2 2 2" xfId="11355"/>
    <cellStyle name="표준 5 3 3 2 2 2 2 2" xfId="24028"/>
    <cellStyle name="표준 5 3 3 2 2 2 2 2 2" xfId="49380"/>
    <cellStyle name="표준 5 3 3 2 2 2 2 3" xfId="36708"/>
    <cellStyle name="표준 5 3 3 2 2 2 3" xfId="17692"/>
    <cellStyle name="표준 5 3 3 2 2 2 3 2" xfId="43044"/>
    <cellStyle name="표준 5 3 3 2 2 2 4" xfId="30372"/>
    <cellStyle name="표준 5 3 3 2 2 2 5" xfId="54367"/>
    <cellStyle name="표준 5 3 3 2 2 3" xfId="8221"/>
    <cellStyle name="표준 5 3 3 2 2 3 2" xfId="20894"/>
    <cellStyle name="표준 5 3 3 2 2 3 2 2" xfId="46246"/>
    <cellStyle name="표준 5 3 3 2 2 3 3" xfId="33574"/>
    <cellStyle name="표준 5 3 3 2 2 4" xfId="14558"/>
    <cellStyle name="표준 5 3 3 2 2 4 2" xfId="39910"/>
    <cellStyle name="표준 5 3 3 2 2 5" xfId="27238"/>
    <cellStyle name="표준 5 3 3 2 2 6" xfId="54368"/>
    <cellStyle name="표준 5 3 3 2 3" xfId="5020"/>
    <cellStyle name="표준 5 3 3 2 3 2" xfId="11356"/>
    <cellStyle name="표준 5 3 3 2 3 2 2" xfId="24029"/>
    <cellStyle name="표준 5 3 3 2 3 2 2 2" xfId="49381"/>
    <cellStyle name="표준 5 3 3 2 3 2 3" xfId="36709"/>
    <cellStyle name="표준 5 3 3 2 3 3" xfId="17693"/>
    <cellStyle name="표준 5 3 3 2 3 3 2" xfId="43045"/>
    <cellStyle name="표준 5 3 3 2 3 4" xfId="30373"/>
    <cellStyle name="표준 5 3 3 2 3 5" xfId="54369"/>
    <cellStyle name="표준 5 3 3 2 4" xfId="8220"/>
    <cellStyle name="표준 5 3 3 2 4 2" xfId="20893"/>
    <cellStyle name="표준 5 3 3 2 4 2 2" xfId="46245"/>
    <cellStyle name="표준 5 3 3 2 4 3" xfId="33573"/>
    <cellStyle name="표준 5 3 3 2 5" xfId="14557"/>
    <cellStyle name="표준 5 3 3 2 5 2" xfId="39909"/>
    <cellStyle name="표준 5 3 3 2 6" xfId="27237"/>
    <cellStyle name="표준 5 3 3 2 7" xfId="54370"/>
    <cellStyle name="표준 5 3 3 20" xfId="1885"/>
    <cellStyle name="표준 5 3 3 20 2" xfId="1886"/>
    <cellStyle name="표준 5 3 3 20 2 2" xfId="5021"/>
    <cellStyle name="표준 5 3 3 20 2 2 2" xfId="11357"/>
    <cellStyle name="표준 5 3 3 20 2 2 2 2" xfId="24030"/>
    <cellStyle name="표준 5 3 3 20 2 2 2 2 2" xfId="49382"/>
    <cellStyle name="표준 5 3 3 20 2 2 2 3" xfId="36710"/>
    <cellStyle name="표준 5 3 3 20 2 2 3" xfId="17694"/>
    <cellStyle name="표준 5 3 3 20 2 2 3 2" xfId="43046"/>
    <cellStyle name="표준 5 3 3 20 2 2 4" xfId="30374"/>
    <cellStyle name="표준 5 3 3 20 2 2 5" xfId="54371"/>
    <cellStyle name="표준 5 3 3 20 2 3" xfId="8223"/>
    <cellStyle name="표준 5 3 3 20 2 3 2" xfId="20896"/>
    <cellStyle name="표준 5 3 3 20 2 3 2 2" xfId="46248"/>
    <cellStyle name="표준 5 3 3 20 2 3 3" xfId="33576"/>
    <cellStyle name="표준 5 3 3 20 2 4" xfId="14560"/>
    <cellStyle name="표준 5 3 3 20 2 4 2" xfId="39912"/>
    <cellStyle name="표준 5 3 3 20 2 5" xfId="27240"/>
    <cellStyle name="표준 5 3 3 20 2 6" xfId="54372"/>
    <cellStyle name="표준 5 3 3 20 3" xfId="5022"/>
    <cellStyle name="표준 5 3 3 20 3 2" xfId="11358"/>
    <cellStyle name="표준 5 3 3 20 3 2 2" xfId="24031"/>
    <cellStyle name="표준 5 3 3 20 3 2 2 2" xfId="49383"/>
    <cellStyle name="표준 5 3 3 20 3 2 3" xfId="36711"/>
    <cellStyle name="표준 5 3 3 20 3 3" xfId="17695"/>
    <cellStyle name="표준 5 3 3 20 3 3 2" xfId="43047"/>
    <cellStyle name="표준 5 3 3 20 3 4" xfId="30375"/>
    <cellStyle name="표준 5 3 3 20 3 5" xfId="54373"/>
    <cellStyle name="표준 5 3 3 20 4" xfId="8222"/>
    <cellStyle name="표준 5 3 3 20 4 2" xfId="20895"/>
    <cellStyle name="표준 5 3 3 20 4 2 2" xfId="46247"/>
    <cellStyle name="표준 5 3 3 20 4 3" xfId="33575"/>
    <cellStyle name="표준 5 3 3 20 5" xfId="14559"/>
    <cellStyle name="표준 5 3 3 20 5 2" xfId="39911"/>
    <cellStyle name="표준 5 3 3 20 6" xfId="27239"/>
    <cellStyle name="표준 5 3 3 20 7" xfId="54374"/>
    <cellStyle name="표준 5 3 3 21" xfId="1887"/>
    <cellStyle name="표준 5 3 3 21 2" xfId="1888"/>
    <cellStyle name="표준 5 3 3 21 2 2" xfId="5023"/>
    <cellStyle name="표준 5 3 3 21 2 2 2" xfId="11359"/>
    <cellStyle name="표준 5 3 3 21 2 2 2 2" xfId="24032"/>
    <cellStyle name="표준 5 3 3 21 2 2 2 2 2" xfId="49384"/>
    <cellStyle name="표준 5 3 3 21 2 2 2 3" xfId="36712"/>
    <cellStyle name="표준 5 3 3 21 2 2 3" xfId="17696"/>
    <cellStyle name="표준 5 3 3 21 2 2 3 2" xfId="43048"/>
    <cellStyle name="표준 5 3 3 21 2 2 4" xfId="30376"/>
    <cellStyle name="표준 5 3 3 21 2 2 5" xfId="54375"/>
    <cellStyle name="표준 5 3 3 21 2 3" xfId="8225"/>
    <cellStyle name="표준 5 3 3 21 2 3 2" xfId="20898"/>
    <cellStyle name="표준 5 3 3 21 2 3 2 2" xfId="46250"/>
    <cellStyle name="표준 5 3 3 21 2 3 3" xfId="33578"/>
    <cellStyle name="표준 5 3 3 21 2 4" xfId="14562"/>
    <cellStyle name="표준 5 3 3 21 2 4 2" xfId="39914"/>
    <cellStyle name="표준 5 3 3 21 2 5" xfId="27242"/>
    <cellStyle name="표준 5 3 3 21 2 6" xfId="54376"/>
    <cellStyle name="표준 5 3 3 21 3" xfId="5024"/>
    <cellStyle name="표준 5 3 3 21 3 2" xfId="11360"/>
    <cellStyle name="표준 5 3 3 21 3 2 2" xfId="24033"/>
    <cellStyle name="표준 5 3 3 21 3 2 2 2" xfId="49385"/>
    <cellStyle name="표준 5 3 3 21 3 2 3" xfId="36713"/>
    <cellStyle name="표준 5 3 3 21 3 3" xfId="17697"/>
    <cellStyle name="표준 5 3 3 21 3 3 2" xfId="43049"/>
    <cellStyle name="표준 5 3 3 21 3 4" xfId="30377"/>
    <cellStyle name="표준 5 3 3 21 3 5" xfId="54377"/>
    <cellStyle name="표준 5 3 3 21 4" xfId="8224"/>
    <cellStyle name="표준 5 3 3 21 4 2" xfId="20897"/>
    <cellStyle name="표준 5 3 3 21 4 2 2" xfId="46249"/>
    <cellStyle name="표준 5 3 3 21 4 3" xfId="33577"/>
    <cellStyle name="표준 5 3 3 21 5" xfId="14561"/>
    <cellStyle name="표준 5 3 3 21 5 2" xfId="39913"/>
    <cellStyle name="표준 5 3 3 21 6" xfId="27241"/>
    <cellStyle name="표준 5 3 3 21 7" xfId="54378"/>
    <cellStyle name="표준 5 3 3 22" xfId="1889"/>
    <cellStyle name="표준 5 3 3 22 2" xfId="1890"/>
    <cellStyle name="표준 5 3 3 22 2 2" xfId="5025"/>
    <cellStyle name="표준 5 3 3 22 2 2 2" xfId="11361"/>
    <cellStyle name="표준 5 3 3 22 2 2 2 2" xfId="24034"/>
    <cellStyle name="표준 5 3 3 22 2 2 2 2 2" xfId="49386"/>
    <cellStyle name="표준 5 3 3 22 2 2 2 3" xfId="36714"/>
    <cellStyle name="표준 5 3 3 22 2 2 3" xfId="17698"/>
    <cellStyle name="표준 5 3 3 22 2 2 3 2" xfId="43050"/>
    <cellStyle name="표준 5 3 3 22 2 2 4" xfId="30378"/>
    <cellStyle name="표준 5 3 3 22 2 2 5" xfId="54379"/>
    <cellStyle name="표준 5 3 3 22 2 3" xfId="8227"/>
    <cellStyle name="표준 5 3 3 22 2 3 2" xfId="20900"/>
    <cellStyle name="표준 5 3 3 22 2 3 2 2" xfId="46252"/>
    <cellStyle name="표준 5 3 3 22 2 3 3" xfId="33580"/>
    <cellStyle name="표준 5 3 3 22 2 4" xfId="14564"/>
    <cellStyle name="표준 5 3 3 22 2 4 2" xfId="39916"/>
    <cellStyle name="표준 5 3 3 22 2 5" xfId="27244"/>
    <cellStyle name="표준 5 3 3 22 2 6" xfId="54380"/>
    <cellStyle name="표준 5 3 3 22 3" xfId="5026"/>
    <cellStyle name="표준 5 3 3 22 3 2" xfId="11362"/>
    <cellStyle name="표준 5 3 3 22 3 2 2" xfId="24035"/>
    <cellStyle name="표준 5 3 3 22 3 2 2 2" xfId="49387"/>
    <cellStyle name="표준 5 3 3 22 3 2 3" xfId="36715"/>
    <cellStyle name="표준 5 3 3 22 3 3" xfId="17699"/>
    <cellStyle name="표준 5 3 3 22 3 3 2" xfId="43051"/>
    <cellStyle name="표준 5 3 3 22 3 4" xfId="30379"/>
    <cellStyle name="표준 5 3 3 22 3 5" xfId="54381"/>
    <cellStyle name="표준 5 3 3 22 4" xfId="8226"/>
    <cellStyle name="표준 5 3 3 22 4 2" xfId="20899"/>
    <cellStyle name="표준 5 3 3 22 4 2 2" xfId="46251"/>
    <cellStyle name="표준 5 3 3 22 4 3" xfId="33579"/>
    <cellStyle name="표준 5 3 3 22 5" xfId="14563"/>
    <cellStyle name="표준 5 3 3 22 5 2" xfId="39915"/>
    <cellStyle name="표준 5 3 3 22 6" xfId="27243"/>
    <cellStyle name="표준 5 3 3 22 7" xfId="54382"/>
    <cellStyle name="표준 5 3 3 23" xfId="1891"/>
    <cellStyle name="표준 5 3 3 23 2" xfId="1892"/>
    <cellStyle name="표준 5 3 3 23 2 2" xfId="5027"/>
    <cellStyle name="표준 5 3 3 23 2 2 2" xfId="11363"/>
    <cellStyle name="표준 5 3 3 23 2 2 2 2" xfId="24036"/>
    <cellStyle name="표준 5 3 3 23 2 2 2 2 2" xfId="49388"/>
    <cellStyle name="표준 5 3 3 23 2 2 2 3" xfId="36716"/>
    <cellStyle name="표준 5 3 3 23 2 2 3" xfId="17700"/>
    <cellStyle name="표준 5 3 3 23 2 2 3 2" xfId="43052"/>
    <cellStyle name="표준 5 3 3 23 2 2 4" xfId="30380"/>
    <cellStyle name="표준 5 3 3 23 2 2 5" xfId="54383"/>
    <cellStyle name="표준 5 3 3 23 2 3" xfId="8229"/>
    <cellStyle name="표준 5 3 3 23 2 3 2" xfId="20902"/>
    <cellStyle name="표준 5 3 3 23 2 3 2 2" xfId="46254"/>
    <cellStyle name="표준 5 3 3 23 2 3 3" xfId="33582"/>
    <cellStyle name="표준 5 3 3 23 2 4" xfId="14566"/>
    <cellStyle name="표준 5 3 3 23 2 4 2" xfId="39918"/>
    <cellStyle name="표준 5 3 3 23 2 5" xfId="27246"/>
    <cellStyle name="표준 5 3 3 23 2 6" xfId="54384"/>
    <cellStyle name="표준 5 3 3 23 3" xfId="5028"/>
    <cellStyle name="표준 5 3 3 23 3 2" xfId="11364"/>
    <cellStyle name="표준 5 3 3 23 3 2 2" xfId="24037"/>
    <cellStyle name="표준 5 3 3 23 3 2 2 2" xfId="49389"/>
    <cellStyle name="표준 5 3 3 23 3 2 3" xfId="36717"/>
    <cellStyle name="표준 5 3 3 23 3 3" xfId="17701"/>
    <cellStyle name="표준 5 3 3 23 3 3 2" xfId="43053"/>
    <cellStyle name="표준 5 3 3 23 3 4" xfId="30381"/>
    <cellStyle name="표준 5 3 3 23 3 5" xfId="54385"/>
    <cellStyle name="표준 5 3 3 23 4" xfId="8228"/>
    <cellStyle name="표준 5 3 3 23 4 2" xfId="20901"/>
    <cellStyle name="표준 5 3 3 23 4 2 2" xfId="46253"/>
    <cellStyle name="표준 5 3 3 23 4 3" xfId="33581"/>
    <cellStyle name="표준 5 3 3 23 5" xfId="14565"/>
    <cellStyle name="표준 5 3 3 23 5 2" xfId="39917"/>
    <cellStyle name="표준 5 3 3 23 6" xfId="27245"/>
    <cellStyle name="표준 5 3 3 23 7" xfId="54386"/>
    <cellStyle name="표준 5 3 3 24" xfId="1893"/>
    <cellStyle name="표준 5 3 3 24 2" xfId="1894"/>
    <cellStyle name="표준 5 3 3 24 2 2" xfId="5029"/>
    <cellStyle name="표준 5 3 3 24 2 2 2" xfId="11365"/>
    <cellStyle name="표준 5 3 3 24 2 2 2 2" xfId="24038"/>
    <cellStyle name="표준 5 3 3 24 2 2 2 2 2" xfId="49390"/>
    <cellStyle name="표준 5 3 3 24 2 2 2 3" xfId="36718"/>
    <cellStyle name="표준 5 3 3 24 2 2 3" xfId="17702"/>
    <cellStyle name="표준 5 3 3 24 2 2 3 2" xfId="43054"/>
    <cellStyle name="표준 5 3 3 24 2 2 4" xfId="30382"/>
    <cellStyle name="표준 5 3 3 24 2 2 5" xfId="54387"/>
    <cellStyle name="표준 5 3 3 24 2 3" xfId="8231"/>
    <cellStyle name="표준 5 3 3 24 2 3 2" xfId="20904"/>
    <cellStyle name="표준 5 3 3 24 2 3 2 2" xfId="46256"/>
    <cellStyle name="표준 5 3 3 24 2 3 3" xfId="33584"/>
    <cellStyle name="표준 5 3 3 24 2 4" xfId="14568"/>
    <cellStyle name="표준 5 3 3 24 2 4 2" xfId="39920"/>
    <cellStyle name="표준 5 3 3 24 2 5" xfId="27248"/>
    <cellStyle name="표준 5 3 3 24 2 6" xfId="54388"/>
    <cellStyle name="표준 5 3 3 24 3" xfId="5030"/>
    <cellStyle name="표준 5 3 3 24 3 2" xfId="11366"/>
    <cellStyle name="표준 5 3 3 24 3 2 2" xfId="24039"/>
    <cellStyle name="표준 5 3 3 24 3 2 2 2" xfId="49391"/>
    <cellStyle name="표준 5 3 3 24 3 2 3" xfId="36719"/>
    <cellStyle name="표준 5 3 3 24 3 3" xfId="17703"/>
    <cellStyle name="표준 5 3 3 24 3 3 2" xfId="43055"/>
    <cellStyle name="표준 5 3 3 24 3 4" xfId="30383"/>
    <cellStyle name="표준 5 3 3 24 3 5" xfId="54389"/>
    <cellStyle name="표준 5 3 3 24 4" xfId="8230"/>
    <cellStyle name="표준 5 3 3 24 4 2" xfId="20903"/>
    <cellStyle name="표준 5 3 3 24 4 2 2" xfId="46255"/>
    <cellStyle name="표준 5 3 3 24 4 3" xfId="33583"/>
    <cellStyle name="표준 5 3 3 24 5" xfId="14567"/>
    <cellStyle name="표준 5 3 3 24 5 2" xfId="39919"/>
    <cellStyle name="표준 5 3 3 24 6" xfId="27247"/>
    <cellStyle name="표준 5 3 3 24 7" xfId="54390"/>
    <cellStyle name="표준 5 3 3 25" xfId="1895"/>
    <cellStyle name="표준 5 3 3 25 2" xfId="1896"/>
    <cellStyle name="표준 5 3 3 25 2 2" xfId="5031"/>
    <cellStyle name="표준 5 3 3 25 2 2 2" xfId="11367"/>
    <cellStyle name="표준 5 3 3 25 2 2 2 2" xfId="24040"/>
    <cellStyle name="표준 5 3 3 25 2 2 2 2 2" xfId="49392"/>
    <cellStyle name="표준 5 3 3 25 2 2 2 3" xfId="36720"/>
    <cellStyle name="표준 5 3 3 25 2 2 3" xfId="17704"/>
    <cellStyle name="표준 5 3 3 25 2 2 3 2" xfId="43056"/>
    <cellStyle name="표준 5 3 3 25 2 2 4" xfId="30384"/>
    <cellStyle name="표준 5 3 3 25 2 2 5" xfId="54391"/>
    <cellStyle name="표준 5 3 3 25 2 3" xfId="8233"/>
    <cellStyle name="표준 5 3 3 25 2 3 2" xfId="20906"/>
    <cellStyle name="표준 5 3 3 25 2 3 2 2" xfId="46258"/>
    <cellStyle name="표준 5 3 3 25 2 3 3" xfId="33586"/>
    <cellStyle name="표준 5 3 3 25 2 4" xfId="14570"/>
    <cellStyle name="표준 5 3 3 25 2 4 2" xfId="39922"/>
    <cellStyle name="표준 5 3 3 25 2 5" xfId="27250"/>
    <cellStyle name="표준 5 3 3 25 2 6" xfId="54392"/>
    <cellStyle name="표준 5 3 3 25 3" xfId="5032"/>
    <cellStyle name="표준 5 3 3 25 3 2" xfId="11368"/>
    <cellStyle name="표준 5 3 3 25 3 2 2" xfId="24041"/>
    <cellStyle name="표준 5 3 3 25 3 2 2 2" xfId="49393"/>
    <cellStyle name="표준 5 3 3 25 3 2 3" xfId="36721"/>
    <cellStyle name="표준 5 3 3 25 3 3" xfId="17705"/>
    <cellStyle name="표준 5 3 3 25 3 3 2" xfId="43057"/>
    <cellStyle name="표준 5 3 3 25 3 4" xfId="30385"/>
    <cellStyle name="표준 5 3 3 25 3 5" xfId="54393"/>
    <cellStyle name="표준 5 3 3 25 4" xfId="8232"/>
    <cellStyle name="표준 5 3 3 25 4 2" xfId="20905"/>
    <cellStyle name="표준 5 3 3 25 4 2 2" xfId="46257"/>
    <cellStyle name="표준 5 3 3 25 4 3" xfId="33585"/>
    <cellStyle name="표준 5 3 3 25 5" xfId="14569"/>
    <cellStyle name="표준 5 3 3 25 5 2" xfId="39921"/>
    <cellStyle name="표준 5 3 3 25 6" xfId="27249"/>
    <cellStyle name="표준 5 3 3 25 7" xfId="54394"/>
    <cellStyle name="표준 5 3 3 26" xfId="1897"/>
    <cellStyle name="표준 5 3 3 26 2" xfId="1898"/>
    <cellStyle name="표준 5 3 3 26 2 2" xfId="5033"/>
    <cellStyle name="표준 5 3 3 26 2 2 2" xfId="11369"/>
    <cellStyle name="표준 5 3 3 26 2 2 2 2" xfId="24042"/>
    <cellStyle name="표준 5 3 3 26 2 2 2 2 2" xfId="49394"/>
    <cellStyle name="표준 5 3 3 26 2 2 2 3" xfId="36722"/>
    <cellStyle name="표준 5 3 3 26 2 2 3" xfId="17706"/>
    <cellStyle name="표준 5 3 3 26 2 2 3 2" xfId="43058"/>
    <cellStyle name="표준 5 3 3 26 2 2 4" xfId="30386"/>
    <cellStyle name="표준 5 3 3 26 2 2 5" xfId="54395"/>
    <cellStyle name="표준 5 3 3 26 2 3" xfId="8235"/>
    <cellStyle name="표준 5 3 3 26 2 3 2" xfId="20908"/>
    <cellStyle name="표준 5 3 3 26 2 3 2 2" xfId="46260"/>
    <cellStyle name="표준 5 3 3 26 2 3 3" xfId="33588"/>
    <cellStyle name="표준 5 3 3 26 2 4" xfId="14572"/>
    <cellStyle name="표준 5 3 3 26 2 4 2" xfId="39924"/>
    <cellStyle name="표준 5 3 3 26 2 5" xfId="27252"/>
    <cellStyle name="표준 5 3 3 26 2 6" xfId="54396"/>
    <cellStyle name="표준 5 3 3 26 3" xfId="5034"/>
    <cellStyle name="표준 5 3 3 26 3 2" xfId="11370"/>
    <cellStyle name="표준 5 3 3 26 3 2 2" xfId="24043"/>
    <cellStyle name="표준 5 3 3 26 3 2 2 2" xfId="49395"/>
    <cellStyle name="표준 5 3 3 26 3 2 3" xfId="36723"/>
    <cellStyle name="표준 5 3 3 26 3 3" xfId="17707"/>
    <cellStyle name="표준 5 3 3 26 3 3 2" xfId="43059"/>
    <cellStyle name="표준 5 3 3 26 3 4" xfId="30387"/>
    <cellStyle name="표준 5 3 3 26 3 5" xfId="54397"/>
    <cellStyle name="표준 5 3 3 26 4" xfId="8234"/>
    <cellStyle name="표준 5 3 3 26 4 2" xfId="20907"/>
    <cellStyle name="표준 5 3 3 26 4 2 2" xfId="46259"/>
    <cellStyle name="표준 5 3 3 26 4 3" xfId="33587"/>
    <cellStyle name="표준 5 3 3 26 5" xfId="14571"/>
    <cellStyle name="표준 5 3 3 26 5 2" xfId="39923"/>
    <cellStyle name="표준 5 3 3 26 6" xfId="27251"/>
    <cellStyle name="표준 5 3 3 26 7" xfId="54398"/>
    <cellStyle name="표준 5 3 3 27" xfId="1899"/>
    <cellStyle name="표준 5 3 3 27 2" xfId="1900"/>
    <cellStyle name="표준 5 3 3 27 2 2" xfId="5035"/>
    <cellStyle name="표준 5 3 3 27 2 2 2" xfId="11371"/>
    <cellStyle name="표준 5 3 3 27 2 2 2 2" xfId="24044"/>
    <cellStyle name="표준 5 3 3 27 2 2 2 2 2" xfId="49396"/>
    <cellStyle name="표준 5 3 3 27 2 2 2 3" xfId="36724"/>
    <cellStyle name="표준 5 3 3 27 2 2 3" xfId="17708"/>
    <cellStyle name="표준 5 3 3 27 2 2 3 2" xfId="43060"/>
    <cellStyle name="표준 5 3 3 27 2 2 4" xfId="30388"/>
    <cellStyle name="표준 5 3 3 27 2 2 5" xfId="54399"/>
    <cellStyle name="표준 5 3 3 27 2 3" xfId="8237"/>
    <cellStyle name="표준 5 3 3 27 2 3 2" xfId="20910"/>
    <cellStyle name="표준 5 3 3 27 2 3 2 2" xfId="46262"/>
    <cellStyle name="표준 5 3 3 27 2 3 3" xfId="33590"/>
    <cellStyle name="표준 5 3 3 27 2 4" xfId="14574"/>
    <cellStyle name="표준 5 3 3 27 2 4 2" xfId="39926"/>
    <cellStyle name="표준 5 3 3 27 2 5" xfId="27254"/>
    <cellStyle name="표준 5 3 3 27 2 6" xfId="54400"/>
    <cellStyle name="표준 5 3 3 27 3" xfId="5036"/>
    <cellStyle name="표준 5 3 3 27 3 2" xfId="11372"/>
    <cellStyle name="표준 5 3 3 27 3 2 2" xfId="24045"/>
    <cellStyle name="표준 5 3 3 27 3 2 2 2" xfId="49397"/>
    <cellStyle name="표준 5 3 3 27 3 2 3" xfId="36725"/>
    <cellStyle name="표준 5 3 3 27 3 3" xfId="17709"/>
    <cellStyle name="표준 5 3 3 27 3 3 2" xfId="43061"/>
    <cellStyle name="표준 5 3 3 27 3 4" xfId="30389"/>
    <cellStyle name="표준 5 3 3 27 3 5" xfId="54401"/>
    <cellStyle name="표준 5 3 3 27 4" xfId="8236"/>
    <cellStyle name="표준 5 3 3 27 4 2" xfId="20909"/>
    <cellStyle name="표준 5 3 3 27 4 2 2" xfId="46261"/>
    <cellStyle name="표준 5 3 3 27 4 3" xfId="33589"/>
    <cellStyle name="표준 5 3 3 27 5" xfId="14573"/>
    <cellStyle name="표준 5 3 3 27 5 2" xfId="39925"/>
    <cellStyle name="표준 5 3 3 27 6" xfId="27253"/>
    <cellStyle name="표준 5 3 3 27 7" xfId="54402"/>
    <cellStyle name="표준 5 3 3 28" xfId="1901"/>
    <cellStyle name="표준 5 3 3 28 2" xfId="1902"/>
    <cellStyle name="표준 5 3 3 28 2 2" xfId="5037"/>
    <cellStyle name="표준 5 3 3 28 2 2 2" xfId="11373"/>
    <cellStyle name="표준 5 3 3 28 2 2 2 2" xfId="24046"/>
    <cellStyle name="표준 5 3 3 28 2 2 2 2 2" xfId="49398"/>
    <cellStyle name="표준 5 3 3 28 2 2 2 3" xfId="36726"/>
    <cellStyle name="표준 5 3 3 28 2 2 3" xfId="17710"/>
    <cellStyle name="표준 5 3 3 28 2 2 3 2" xfId="43062"/>
    <cellStyle name="표준 5 3 3 28 2 2 4" xfId="30390"/>
    <cellStyle name="표준 5 3 3 28 2 2 5" xfId="54403"/>
    <cellStyle name="표준 5 3 3 28 2 3" xfId="8239"/>
    <cellStyle name="표준 5 3 3 28 2 3 2" xfId="20912"/>
    <cellStyle name="표준 5 3 3 28 2 3 2 2" xfId="46264"/>
    <cellStyle name="표준 5 3 3 28 2 3 3" xfId="33592"/>
    <cellStyle name="표준 5 3 3 28 2 4" xfId="14576"/>
    <cellStyle name="표준 5 3 3 28 2 4 2" xfId="39928"/>
    <cellStyle name="표준 5 3 3 28 2 5" xfId="27256"/>
    <cellStyle name="표준 5 3 3 28 2 6" xfId="54404"/>
    <cellStyle name="표준 5 3 3 28 3" xfId="5038"/>
    <cellStyle name="표준 5 3 3 28 3 2" xfId="11374"/>
    <cellStyle name="표준 5 3 3 28 3 2 2" xfId="24047"/>
    <cellStyle name="표준 5 3 3 28 3 2 2 2" xfId="49399"/>
    <cellStyle name="표준 5 3 3 28 3 2 3" xfId="36727"/>
    <cellStyle name="표준 5 3 3 28 3 3" xfId="17711"/>
    <cellStyle name="표준 5 3 3 28 3 3 2" xfId="43063"/>
    <cellStyle name="표준 5 3 3 28 3 4" xfId="30391"/>
    <cellStyle name="표준 5 3 3 28 3 5" xfId="54405"/>
    <cellStyle name="표준 5 3 3 28 4" xfId="8238"/>
    <cellStyle name="표준 5 3 3 28 4 2" xfId="20911"/>
    <cellStyle name="표준 5 3 3 28 4 2 2" xfId="46263"/>
    <cellStyle name="표준 5 3 3 28 4 3" xfId="33591"/>
    <cellStyle name="표준 5 3 3 28 5" xfId="14575"/>
    <cellStyle name="표준 5 3 3 28 5 2" xfId="39927"/>
    <cellStyle name="표준 5 3 3 28 6" xfId="27255"/>
    <cellStyle name="표준 5 3 3 28 7" xfId="54406"/>
    <cellStyle name="표준 5 3 3 29" xfId="1903"/>
    <cellStyle name="표준 5 3 3 29 2" xfId="1904"/>
    <cellStyle name="표준 5 3 3 29 2 2" xfId="5039"/>
    <cellStyle name="표준 5 3 3 29 2 2 2" xfId="11375"/>
    <cellStyle name="표준 5 3 3 29 2 2 2 2" xfId="24048"/>
    <cellStyle name="표준 5 3 3 29 2 2 2 2 2" xfId="49400"/>
    <cellStyle name="표준 5 3 3 29 2 2 2 3" xfId="36728"/>
    <cellStyle name="표준 5 3 3 29 2 2 3" xfId="17712"/>
    <cellStyle name="표준 5 3 3 29 2 2 3 2" xfId="43064"/>
    <cellStyle name="표준 5 3 3 29 2 2 4" xfId="30392"/>
    <cellStyle name="표준 5 3 3 29 2 2 5" xfId="54407"/>
    <cellStyle name="표준 5 3 3 29 2 3" xfId="8241"/>
    <cellStyle name="표준 5 3 3 29 2 3 2" xfId="20914"/>
    <cellStyle name="표준 5 3 3 29 2 3 2 2" xfId="46266"/>
    <cellStyle name="표준 5 3 3 29 2 3 3" xfId="33594"/>
    <cellStyle name="표준 5 3 3 29 2 4" xfId="14578"/>
    <cellStyle name="표준 5 3 3 29 2 4 2" xfId="39930"/>
    <cellStyle name="표준 5 3 3 29 2 5" xfId="27258"/>
    <cellStyle name="표준 5 3 3 29 2 6" xfId="54408"/>
    <cellStyle name="표준 5 3 3 29 3" xfId="5040"/>
    <cellStyle name="표준 5 3 3 29 3 2" xfId="11376"/>
    <cellStyle name="표준 5 3 3 29 3 2 2" xfId="24049"/>
    <cellStyle name="표준 5 3 3 29 3 2 2 2" xfId="49401"/>
    <cellStyle name="표준 5 3 3 29 3 2 3" xfId="36729"/>
    <cellStyle name="표준 5 3 3 29 3 3" xfId="17713"/>
    <cellStyle name="표준 5 3 3 29 3 3 2" xfId="43065"/>
    <cellStyle name="표준 5 3 3 29 3 4" xfId="30393"/>
    <cellStyle name="표준 5 3 3 29 3 5" xfId="54409"/>
    <cellStyle name="표준 5 3 3 29 4" xfId="8240"/>
    <cellStyle name="표준 5 3 3 29 4 2" xfId="20913"/>
    <cellStyle name="표준 5 3 3 29 4 2 2" xfId="46265"/>
    <cellStyle name="표준 5 3 3 29 4 3" xfId="33593"/>
    <cellStyle name="표준 5 3 3 29 5" xfId="14577"/>
    <cellStyle name="표준 5 3 3 29 5 2" xfId="39929"/>
    <cellStyle name="표준 5 3 3 29 6" xfId="27257"/>
    <cellStyle name="표준 5 3 3 29 7" xfId="54410"/>
    <cellStyle name="표준 5 3 3 3" xfId="1905"/>
    <cellStyle name="표준 5 3 3 3 2" xfId="1906"/>
    <cellStyle name="표준 5 3 3 3 2 2" xfId="5041"/>
    <cellStyle name="표준 5 3 3 3 2 2 2" xfId="11377"/>
    <cellStyle name="표준 5 3 3 3 2 2 2 2" xfId="24050"/>
    <cellStyle name="표준 5 3 3 3 2 2 2 2 2" xfId="49402"/>
    <cellStyle name="표준 5 3 3 3 2 2 2 3" xfId="36730"/>
    <cellStyle name="표준 5 3 3 3 2 2 3" xfId="17714"/>
    <cellStyle name="표준 5 3 3 3 2 2 3 2" xfId="43066"/>
    <cellStyle name="표준 5 3 3 3 2 2 4" xfId="30394"/>
    <cellStyle name="표준 5 3 3 3 2 2 5" xfId="54411"/>
    <cellStyle name="표준 5 3 3 3 2 3" xfId="8243"/>
    <cellStyle name="표준 5 3 3 3 2 3 2" xfId="20916"/>
    <cellStyle name="표준 5 3 3 3 2 3 2 2" xfId="46268"/>
    <cellStyle name="표준 5 3 3 3 2 3 3" xfId="33596"/>
    <cellStyle name="표준 5 3 3 3 2 4" xfId="14580"/>
    <cellStyle name="표준 5 3 3 3 2 4 2" xfId="39932"/>
    <cellStyle name="표준 5 3 3 3 2 5" xfId="27260"/>
    <cellStyle name="표준 5 3 3 3 2 6" xfId="54412"/>
    <cellStyle name="표준 5 3 3 3 3" xfId="5042"/>
    <cellStyle name="표준 5 3 3 3 3 2" xfId="11378"/>
    <cellStyle name="표준 5 3 3 3 3 2 2" xfId="24051"/>
    <cellStyle name="표준 5 3 3 3 3 2 2 2" xfId="49403"/>
    <cellStyle name="표준 5 3 3 3 3 2 3" xfId="36731"/>
    <cellStyle name="표준 5 3 3 3 3 3" xfId="17715"/>
    <cellStyle name="표준 5 3 3 3 3 3 2" xfId="43067"/>
    <cellStyle name="표준 5 3 3 3 3 4" xfId="30395"/>
    <cellStyle name="표준 5 3 3 3 3 5" xfId="54413"/>
    <cellStyle name="표준 5 3 3 3 4" xfId="8242"/>
    <cellStyle name="표준 5 3 3 3 4 2" xfId="20915"/>
    <cellStyle name="표준 5 3 3 3 4 2 2" xfId="46267"/>
    <cellStyle name="표준 5 3 3 3 4 3" xfId="33595"/>
    <cellStyle name="표준 5 3 3 3 5" xfId="14579"/>
    <cellStyle name="표준 5 3 3 3 5 2" xfId="39931"/>
    <cellStyle name="표준 5 3 3 3 6" xfId="27259"/>
    <cellStyle name="표준 5 3 3 3 7" xfId="54414"/>
    <cellStyle name="표준 5 3 3 30" xfId="1907"/>
    <cellStyle name="표준 5 3 3 30 2" xfId="1908"/>
    <cellStyle name="표준 5 3 3 30 2 2" xfId="5043"/>
    <cellStyle name="표준 5 3 3 30 2 2 2" xfId="11379"/>
    <cellStyle name="표준 5 3 3 30 2 2 2 2" xfId="24052"/>
    <cellStyle name="표준 5 3 3 30 2 2 2 2 2" xfId="49404"/>
    <cellStyle name="표준 5 3 3 30 2 2 2 3" xfId="36732"/>
    <cellStyle name="표준 5 3 3 30 2 2 3" xfId="17716"/>
    <cellStyle name="표준 5 3 3 30 2 2 3 2" xfId="43068"/>
    <cellStyle name="표준 5 3 3 30 2 2 4" xfId="30396"/>
    <cellStyle name="표준 5 3 3 30 2 2 5" xfId="54415"/>
    <cellStyle name="표준 5 3 3 30 2 3" xfId="8245"/>
    <cellStyle name="표준 5 3 3 30 2 3 2" xfId="20918"/>
    <cellStyle name="표준 5 3 3 30 2 3 2 2" xfId="46270"/>
    <cellStyle name="표준 5 3 3 30 2 3 3" xfId="33598"/>
    <cellStyle name="표준 5 3 3 30 2 4" xfId="14582"/>
    <cellStyle name="표준 5 3 3 30 2 4 2" xfId="39934"/>
    <cellStyle name="표준 5 3 3 30 2 5" xfId="27262"/>
    <cellStyle name="표준 5 3 3 30 2 6" xfId="54416"/>
    <cellStyle name="표준 5 3 3 30 3" xfId="5044"/>
    <cellStyle name="표준 5 3 3 30 3 2" xfId="11380"/>
    <cellStyle name="표준 5 3 3 30 3 2 2" xfId="24053"/>
    <cellStyle name="표준 5 3 3 30 3 2 2 2" xfId="49405"/>
    <cellStyle name="표준 5 3 3 30 3 2 3" xfId="36733"/>
    <cellStyle name="표준 5 3 3 30 3 3" xfId="17717"/>
    <cellStyle name="표준 5 3 3 30 3 3 2" xfId="43069"/>
    <cellStyle name="표준 5 3 3 30 3 4" xfId="30397"/>
    <cellStyle name="표준 5 3 3 30 3 5" xfId="54417"/>
    <cellStyle name="표준 5 3 3 30 4" xfId="8244"/>
    <cellStyle name="표준 5 3 3 30 4 2" xfId="20917"/>
    <cellStyle name="표준 5 3 3 30 4 2 2" xfId="46269"/>
    <cellStyle name="표준 5 3 3 30 4 3" xfId="33597"/>
    <cellStyle name="표준 5 3 3 30 5" xfId="14581"/>
    <cellStyle name="표준 5 3 3 30 5 2" xfId="39933"/>
    <cellStyle name="표준 5 3 3 30 6" xfId="27261"/>
    <cellStyle name="표준 5 3 3 30 7" xfId="54418"/>
    <cellStyle name="표준 5 3 3 31" xfId="1909"/>
    <cellStyle name="표준 5 3 3 31 2" xfId="1910"/>
    <cellStyle name="표준 5 3 3 31 2 2" xfId="5045"/>
    <cellStyle name="표준 5 3 3 31 2 2 2" xfId="11381"/>
    <cellStyle name="표준 5 3 3 31 2 2 2 2" xfId="24054"/>
    <cellStyle name="표준 5 3 3 31 2 2 2 2 2" xfId="49406"/>
    <cellStyle name="표준 5 3 3 31 2 2 2 3" xfId="36734"/>
    <cellStyle name="표준 5 3 3 31 2 2 3" xfId="17718"/>
    <cellStyle name="표준 5 3 3 31 2 2 3 2" xfId="43070"/>
    <cellStyle name="표준 5 3 3 31 2 2 4" xfId="30398"/>
    <cellStyle name="표준 5 3 3 31 2 2 5" xfId="54419"/>
    <cellStyle name="표준 5 3 3 31 2 3" xfId="8247"/>
    <cellStyle name="표준 5 3 3 31 2 3 2" xfId="20920"/>
    <cellStyle name="표준 5 3 3 31 2 3 2 2" xfId="46272"/>
    <cellStyle name="표준 5 3 3 31 2 3 3" xfId="33600"/>
    <cellStyle name="표준 5 3 3 31 2 4" xfId="14584"/>
    <cellStyle name="표준 5 3 3 31 2 4 2" xfId="39936"/>
    <cellStyle name="표준 5 3 3 31 2 5" xfId="27264"/>
    <cellStyle name="표준 5 3 3 31 2 6" xfId="54420"/>
    <cellStyle name="표준 5 3 3 31 3" xfId="5046"/>
    <cellStyle name="표준 5 3 3 31 3 2" xfId="11382"/>
    <cellStyle name="표준 5 3 3 31 3 2 2" xfId="24055"/>
    <cellStyle name="표준 5 3 3 31 3 2 2 2" xfId="49407"/>
    <cellStyle name="표준 5 3 3 31 3 2 3" xfId="36735"/>
    <cellStyle name="표준 5 3 3 31 3 3" xfId="17719"/>
    <cellStyle name="표준 5 3 3 31 3 3 2" xfId="43071"/>
    <cellStyle name="표준 5 3 3 31 3 4" xfId="30399"/>
    <cellStyle name="표준 5 3 3 31 3 5" xfId="54421"/>
    <cellStyle name="표준 5 3 3 31 4" xfId="8246"/>
    <cellStyle name="표준 5 3 3 31 4 2" xfId="20919"/>
    <cellStyle name="표준 5 3 3 31 4 2 2" xfId="46271"/>
    <cellStyle name="표준 5 3 3 31 4 3" xfId="33599"/>
    <cellStyle name="표준 5 3 3 31 5" xfId="14583"/>
    <cellStyle name="표준 5 3 3 31 5 2" xfId="39935"/>
    <cellStyle name="표준 5 3 3 31 6" xfId="27263"/>
    <cellStyle name="표준 5 3 3 31 7" xfId="54422"/>
    <cellStyle name="표준 5 3 3 32" xfId="1911"/>
    <cellStyle name="표준 5 3 3 32 2" xfId="1912"/>
    <cellStyle name="표준 5 3 3 32 2 2" xfId="5047"/>
    <cellStyle name="표준 5 3 3 32 2 2 2" xfId="11383"/>
    <cellStyle name="표준 5 3 3 32 2 2 2 2" xfId="24056"/>
    <cellStyle name="표준 5 3 3 32 2 2 2 2 2" xfId="49408"/>
    <cellStyle name="표준 5 3 3 32 2 2 2 3" xfId="36736"/>
    <cellStyle name="표준 5 3 3 32 2 2 3" xfId="17720"/>
    <cellStyle name="표준 5 3 3 32 2 2 3 2" xfId="43072"/>
    <cellStyle name="표준 5 3 3 32 2 2 4" xfId="30400"/>
    <cellStyle name="표준 5 3 3 32 2 2 5" xfId="54423"/>
    <cellStyle name="표준 5 3 3 32 2 3" xfId="8249"/>
    <cellStyle name="표준 5 3 3 32 2 3 2" xfId="20922"/>
    <cellStyle name="표준 5 3 3 32 2 3 2 2" xfId="46274"/>
    <cellStyle name="표준 5 3 3 32 2 3 3" xfId="33602"/>
    <cellStyle name="표준 5 3 3 32 2 4" xfId="14586"/>
    <cellStyle name="표준 5 3 3 32 2 4 2" xfId="39938"/>
    <cellStyle name="표준 5 3 3 32 2 5" xfId="27266"/>
    <cellStyle name="표준 5 3 3 32 2 6" xfId="54424"/>
    <cellStyle name="표준 5 3 3 32 3" xfId="5048"/>
    <cellStyle name="표준 5 3 3 32 3 2" xfId="11384"/>
    <cellStyle name="표준 5 3 3 32 3 2 2" xfId="24057"/>
    <cellStyle name="표준 5 3 3 32 3 2 2 2" xfId="49409"/>
    <cellStyle name="표준 5 3 3 32 3 2 3" xfId="36737"/>
    <cellStyle name="표준 5 3 3 32 3 3" xfId="17721"/>
    <cellStyle name="표준 5 3 3 32 3 3 2" xfId="43073"/>
    <cellStyle name="표준 5 3 3 32 3 4" xfId="30401"/>
    <cellStyle name="표준 5 3 3 32 3 5" xfId="54425"/>
    <cellStyle name="표준 5 3 3 32 4" xfId="8248"/>
    <cellStyle name="표준 5 3 3 32 4 2" xfId="20921"/>
    <cellStyle name="표준 5 3 3 32 4 2 2" xfId="46273"/>
    <cellStyle name="표준 5 3 3 32 4 3" xfId="33601"/>
    <cellStyle name="표준 5 3 3 32 5" xfId="14585"/>
    <cellStyle name="표준 5 3 3 32 5 2" xfId="39937"/>
    <cellStyle name="표준 5 3 3 32 6" xfId="27265"/>
    <cellStyle name="표준 5 3 3 32 7" xfId="54426"/>
    <cellStyle name="표준 5 3 3 33" xfId="1913"/>
    <cellStyle name="표준 5 3 3 33 2" xfId="1914"/>
    <cellStyle name="표준 5 3 3 33 2 2" xfId="5049"/>
    <cellStyle name="표준 5 3 3 33 2 2 2" xfId="11385"/>
    <cellStyle name="표준 5 3 3 33 2 2 2 2" xfId="24058"/>
    <cellStyle name="표준 5 3 3 33 2 2 2 2 2" xfId="49410"/>
    <cellStyle name="표준 5 3 3 33 2 2 2 3" xfId="36738"/>
    <cellStyle name="표준 5 3 3 33 2 2 3" xfId="17722"/>
    <cellStyle name="표준 5 3 3 33 2 2 3 2" xfId="43074"/>
    <cellStyle name="표준 5 3 3 33 2 2 4" xfId="30402"/>
    <cellStyle name="표준 5 3 3 33 2 2 5" xfId="54427"/>
    <cellStyle name="표준 5 3 3 33 2 3" xfId="8251"/>
    <cellStyle name="표준 5 3 3 33 2 3 2" xfId="20924"/>
    <cellStyle name="표준 5 3 3 33 2 3 2 2" xfId="46276"/>
    <cellStyle name="표준 5 3 3 33 2 3 3" xfId="33604"/>
    <cellStyle name="표준 5 3 3 33 2 4" xfId="14588"/>
    <cellStyle name="표준 5 3 3 33 2 4 2" xfId="39940"/>
    <cellStyle name="표준 5 3 3 33 2 5" xfId="27268"/>
    <cellStyle name="표준 5 3 3 33 2 6" xfId="54428"/>
    <cellStyle name="표준 5 3 3 33 3" xfId="5050"/>
    <cellStyle name="표준 5 3 3 33 3 2" xfId="11386"/>
    <cellStyle name="표준 5 3 3 33 3 2 2" xfId="24059"/>
    <cellStyle name="표준 5 3 3 33 3 2 2 2" xfId="49411"/>
    <cellStyle name="표준 5 3 3 33 3 2 3" xfId="36739"/>
    <cellStyle name="표준 5 3 3 33 3 3" xfId="17723"/>
    <cellStyle name="표준 5 3 3 33 3 3 2" xfId="43075"/>
    <cellStyle name="표준 5 3 3 33 3 4" xfId="30403"/>
    <cellStyle name="표준 5 3 3 33 3 5" xfId="54429"/>
    <cellStyle name="표준 5 3 3 33 4" xfId="8250"/>
    <cellStyle name="표준 5 3 3 33 4 2" xfId="20923"/>
    <cellStyle name="표준 5 3 3 33 4 2 2" xfId="46275"/>
    <cellStyle name="표준 5 3 3 33 4 3" xfId="33603"/>
    <cellStyle name="표준 5 3 3 33 5" xfId="14587"/>
    <cellStyle name="표준 5 3 3 33 5 2" xfId="39939"/>
    <cellStyle name="표준 5 3 3 33 6" xfId="27267"/>
    <cellStyle name="표준 5 3 3 33 7" xfId="54430"/>
    <cellStyle name="표준 5 3 3 34" xfId="1915"/>
    <cellStyle name="표준 5 3 3 34 2" xfId="5051"/>
    <cellStyle name="표준 5 3 3 34 2 2" xfId="11387"/>
    <cellStyle name="표준 5 3 3 34 2 2 2" xfId="24060"/>
    <cellStyle name="표준 5 3 3 34 2 2 2 2" xfId="49412"/>
    <cellStyle name="표준 5 3 3 34 2 2 3" xfId="36740"/>
    <cellStyle name="표준 5 3 3 34 2 3" xfId="17724"/>
    <cellStyle name="표준 5 3 3 34 2 3 2" xfId="43076"/>
    <cellStyle name="표준 5 3 3 34 2 4" xfId="30404"/>
    <cellStyle name="표준 5 3 3 34 2 5" xfId="54431"/>
    <cellStyle name="표준 5 3 3 34 3" xfId="8252"/>
    <cellStyle name="표준 5 3 3 34 3 2" xfId="20925"/>
    <cellStyle name="표준 5 3 3 34 3 2 2" xfId="46277"/>
    <cellStyle name="표준 5 3 3 34 3 3" xfId="33605"/>
    <cellStyle name="표준 5 3 3 34 4" xfId="14589"/>
    <cellStyle name="표준 5 3 3 34 4 2" xfId="39941"/>
    <cellStyle name="표준 5 3 3 34 5" xfId="27269"/>
    <cellStyle name="표준 5 3 3 34 6" xfId="54432"/>
    <cellStyle name="표준 5 3 3 35" xfId="5052"/>
    <cellStyle name="표준 5 3 3 35 2" xfId="11388"/>
    <cellStyle name="표준 5 3 3 35 2 2" xfId="24061"/>
    <cellStyle name="표준 5 3 3 35 2 2 2" xfId="49413"/>
    <cellStyle name="표준 5 3 3 35 2 3" xfId="36741"/>
    <cellStyle name="표준 5 3 3 35 3" xfId="17725"/>
    <cellStyle name="표준 5 3 3 35 3 2" xfId="43077"/>
    <cellStyle name="표준 5 3 3 35 4" xfId="30405"/>
    <cellStyle name="표준 5 3 3 35 5" xfId="54433"/>
    <cellStyle name="표준 5 3 3 36" xfId="6421"/>
    <cellStyle name="표준 5 3 3 36 2" xfId="19094"/>
    <cellStyle name="표준 5 3 3 36 2 2" xfId="44446"/>
    <cellStyle name="표준 5 3 3 36 3" xfId="31774"/>
    <cellStyle name="표준 5 3 3 37" xfId="12758"/>
    <cellStyle name="표준 5 3 3 37 2" xfId="38110"/>
    <cellStyle name="표준 5 3 3 38" xfId="25438"/>
    <cellStyle name="표준 5 3 3 39" xfId="54434"/>
    <cellStyle name="표준 5 3 3 4" xfId="1916"/>
    <cellStyle name="표준 5 3 3 4 2" xfId="1917"/>
    <cellStyle name="표준 5 3 3 4 2 2" xfId="5053"/>
    <cellStyle name="표준 5 3 3 4 2 2 2" xfId="11389"/>
    <cellStyle name="표준 5 3 3 4 2 2 2 2" xfId="24062"/>
    <cellStyle name="표준 5 3 3 4 2 2 2 2 2" xfId="49414"/>
    <cellStyle name="표준 5 3 3 4 2 2 2 3" xfId="36742"/>
    <cellStyle name="표준 5 3 3 4 2 2 3" xfId="17726"/>
    <cellStyle name="표준 5 3 3 4 2 2 3 2" xfId="43078"/>
    <cellStyle name="표준 5 3 3 4 2 2 4" xfId="30406"/>
    <cellStyle name="표준 5 3 3 4 2 2 5" xfId="54435"/>
    <cellStyle name="표준 5 3 3 4 2 3" xfId="8254"/>
    <cellStyle name="표준 5 3 3 4 2 3 2" xfId="20927"/>
    <cellStyle name="표준 5 3 3 4 2 3 2 2" xfId="46279"/>
    <cellStyle name="표준 5 3 3 4 2 3 3" xfId="33607"/>
    <cellStyle name="표준 5 3 3 4 2 4" xfId="14591"/>
    <cellStyle name="표준 5 3 3 4 2 4 2" xfId="39943"/>
    <cellStyle name="표준 5 3 3 4 2 5" xfId="27271"/>
    <cellStyle name="표준 5 3 3 4 2 6" xfId="54436"/>
    <cellStyle name="표준 5 3 3 4 3" xfId="5054"/>
    <cellStyle name="표준 5 3 3 4 3 2" xfId="11390"/>
    <cellStyle name="표준 5 3 3 4 3 2 2" xfId="24063"/>
    <cellStyle name="표준 5 3 3 4 3 2 2 2" xfId="49415"/>
    <cellStyle name="표준 5 3 3 4 3 2 3" xfId="36743"/>
    <cellStyle name="표준 5 3 3 4 3 3" xfId="17727"/>
    <cellStyle name="표준 5 3 3 4 3 3 2" xfId="43079"/>
    <cellStyle name="표준 5 3 3 4 3 4" xfId="30407"/>
    <cellStyle name="표준 5 3 3 4 3 5" xfId="54437"/>
    <cellStyle name="표준 5 3 3 4 4" xfId="8253"/>
    <cellStyle name="표준 5 3 3 4 4 2" xfId="20926"/>
    <cellStyle name="표준 5 3 3 4 4 2 2" xfId="46278"/>
    <cellStyle name="표준 5 3 3 4 4 3" xfId="33606"/>
    <cellStyle name="표준 5 3 3 4 5" xfId="14590"/>
    <cellStyle name="표준 5 3 3 4 5 2" xfId="39942"/>
    <cellStyle name="표준 5 3 3 4 6" xfId="27270"/>
    <cellStyle name="표준 5 3 3 4 7" xfId="54438"/>
    <cellStyle name="표준 5 3 3 5" xfId="1918"/>
    <cellStyle name="표준 5 3 3 5 2" xfId="1919"/>
    <cellStyle name="표준 5 3 3 5 2 2" xfId="5055"/>
    <cellStyle name="표준 5 3 3 5 2 2 2" xfId="11391"/>
    <cellStyle name="표준 5 3 3 5 2 2 2 2" xfId="24064"/>
    <cellStyle name="표준 5 3 3 5 2 2 2 2 2" xfId="49416"/>
    <cellStyle name="표준 5 3 3 5 2 2 2 3" xfId="36744"/>
    <cellStyle name="표준 5 3 3 5 2 2 3" xfId="17728"/>
    <cellStyle name="표준 5 3 3 5 2 2 3 2" xfId="43080"/>
    <cellStyle name="표준 5 3 3 5 2 2 4" xfId="30408"/>
    <cellStyle name="표준 5 3 3 5 2 2 5" xfId="54439"/>
    <cellStyle name="표준 5 3 3 5 2 3" xfId="8256"/>
    <cellStyle name="표준 5 3 3 5 2 3 2" xfId="20929"/>
    <cellStyle name="표준 5 3 3 5 2 3 2 2" xfId="46281"/>
    <cellStyle name="표준 5 3 3 5 2 3 3" xfId="33609"/>
    <cellStyle name="표준 5 3 3 5 2 4" xfId="14593"/>
    <cellStyle name="표준 5 3 3 5 2 4 2" xfId="39945"/>
    <cellStyle name="표준 5 3 3 5 2 5" xfId="27273"/>
    <cellStyle name="표준 5 3 3 5 2 6" xfId="54440"/>
    <cellStyle name="표준 5 3 3 5 3" xfId="5056"/>
    <cellStyle name="표준 5 3 3 5 3 2" xfId="11392"/>
    <cellStyle name="표준 5 3 3 5 3 2 2" xfId="24065"/>
    <cellStyle name="표준 5 3 3 5 3 2 2 2" xfId="49417"/>
    <cellStyle name="표준 5 3 3 5 3 2 3" xfId="36745"/>
    <cellStyle name="표준 5 3 3 5 3 3" xfId="17729"/>
    <cellStyle name="표준 5 3 3 5 3 3 2" xfId="43081"/>
    <cellStyle name="표준 5 3 3 5 3 4" xfId="30409"/>
    <cellStyle name="표준 5 3 3 5 3 5" xfId="54441"/>
    <cellStyle name="표준 5 3 3 5 4" xfId="8255"/>
    <cellStyle name="표준 5 3 3 5 4 2" xfId="20928"/>
    <cellStyle name="표준 5 3 3 5 4 2 2" xfId="46280"/>
    <cellStyle name="표준 5 3 3 5 4 3" xfId="33608"/>
    <cellStyle name="표준 5 3 3 5 5" xfId="14592"/>
    <cellStyle name="표준 5 3 3 5 5 2" xfId="39944"/>
    <cellStyle name="표준 5 3 3 5 6" xfId="27272"/>
    <cellStyle name="표준 5 3 3 5 7" xfId="54442"/>
    <cellStyle name="표준 5 3 3 6" xfId="1920"/>
    <cellStyle name="표준 5 3 3 6 2" xfId="1921"/>
    <cellStyle name="표준 5 3 3 6 2 2" xfId="5057"/>
    <cellStyle name="표준 5 3 3 6 2 2 2" xfId="11393"/>
    <cellStyle name="표준 5 3 3 6 2 2 2 2" xfId="24066"/>
    <cellStyle name="표준 5 3 3 6 2 2 2 2 2" xfId="49418"/>
    <cellStyle name="표준 5 3 3 6 2 2 2 3" xfId="36746"/>
    <cellStyle name="표준 5 3 3 6 2 2 3" xfId="17730"/>
    <cellStyle name="표준 5 3 3 6 2 2 3 2" xfId="43082"/>
    <cellStyle name="표준 5 3 3 6 2 2 4" xfId="30410"/>
    <cellStyle name="표준 5 3 3 6 2 2 5" xfId="54443"/>
    <cellStyle name="표준 5 3 3 6 2 3" xfId="8258"/>
    <cellStyle name="표준 5 3 3 6 2 3 2" xfId="20931"/>
    <cellStyle name="표준 5 3 3 6 2 3 2 2" xfId="46283"/>
    <cellStyle name="표준 5 3 3 6 2 3 3" xfId="33611"/>
    <cellStyle name="표준 5 3 3 6 2 4" xfId="14595"/>
    <cellStyle name="표준 5 3 3 6 2 4 2" xfId="39947"/>
    <cellStyle name="표준 5 3 3 6 2 5" xfId="27275"/>
    <cellStyle name="표준 5 3 3 6 2 6" xfId="54444"/>
    <cellStyle name="표준 5 3 3 6 3" xfId="5058"/>
    <cellStyle name="표준 5 3 3 6 3 2" xfId="11394"/>
    <cellStyle name="표준 5 3 3 6 3 2 2" xfId="24067"/>
    <cellStyle name="표준 5 3 3 6 3 2 2 2" xfId="49419"/>
    <cellStyle name="표준 5 3 3 6 3 2 3" xfId="36747"/>
    <cellStyle name="표준 5 3 3 6 3 3" xfId="17731"/>
    <cellStyle name="표준 5 3 3 6 3 3 2" xfId="43083"/>
    <cellStyle name="표준 5 3 3 6 3 4" xfId="30411"/>
    <cellStyle name="표준 5 3 3 6 3 5" xfId="54445"/>
    <cellStyle name="표준 5 3 3 6 4" xfId="8257"/>
    <cellStyle name="표준 5 3 3 6 4 2" xfId="20930"/>
    <cellStyle name="표준 5 3 3 6 4 2 2" xfId="46282"/>
    <cellStyle name="표준 5 3 3 6 4 3" xfId="33610"/>
    <cellStyle name="표준 5 3 3 6 5" xfId="14594"/>
    <cellStyle name="표준 5 3 3 6 5 2" xfId="39946"/>
    <cellStyle name="표준 5 3 3 6 6" xfId="27274"/>
    <cellStyle name="표준 5 3 3 6 7" xfId="54446"/>
    <cellStyle name="표준 5 3 3 7" xfId="1922"/>
    <cellStyle name="표준 5 3 3 7 2" xfId="1923"/>
    <cellStyle name="표준 5 3 3 7 2 2" xfId="5059"/>
    <cellStyle name="표준 5 3 3 7 2 2 2" xfId="11395"/>
    <cellStyle name="표준 5 3 3 7 2 2 2 2" xfId="24068"/>
    <cellStyle name="표준 5 3 3 7 2 2 2 2 2" xfId="49420"/>
    <cellStyle name="표준 5 3 3 7 2 2 2 3" xfId="36748"/>
    <cellStyle name="표준 5 3 3 7 2 2 3" xfId="17732"/>
    <cellStyle name="표준 5 3 3 7 2 2 3 2" xfId="43084"/>
    <cellStyle name="표준 5 3 3 7 2 2 4" xfId="30412"/>
    <cellStyle name="표준 5 3 3 7 2 2 5" xfId="54447"/>
    <cellStyle name="표준 5 3 3 7 2 3" xfId="8260"/>
    <cellStyle name="표준 5 3 3 7 2 3 2" xfId="20933"/>
    <cellStyle name="표준 5 3 3 7 2 3 2 2" xfId="46285"/>
    <cellStyle name="표준 5 3 3 7 2 3 3" xfId="33613"/>
    <cellStyle name="표준 5 3 3 7 2 4" xfId="14597"/>
    <cellStyle name="표준 5 3 3 7 2 4 2" xfId="39949"/>
    <cellStyle name="표준 5 3 3 7 2 5" xfId="27277"/>
    <cellStyle name="표준 5 3 3 7 2 6" xfId="54448"/>
    <cellStyle name="표준 5 3 3 7 3" xfId="5060"/>
    <cellStyle name="표준 5 3 3 7 3 2" xfId="11396"/>
    <cellStyle name="표준 5 3 3 7 3 2 2" xfId="24069"/>
    <cellStyle name="표준 5 3 3 7 3 2 2 2" xfId="49421"/>
    <cellStyle name="표준 5 3 3 7 3 2 3" xfId="36749"/>
    <cellStyle name="표준 5 3 3 7 3 3" xfId="17733"/>
    <cellStyle name="표준 5 3 3 7 3 3 2" xfId="43085"/>
    <cellStyle name="표준 5 3 3 7 3 4" xfId="30413"/>
    <cellStyle name="표준 5 3 3 7 3 5" xfId="54449"/>
    <cellStyle name="표준 5 3 3 7 4" xfId="8259"/>
    <cellStyle name="표준 5 3 3 7 4 2" xfId="20932"/>
    <cellStyle name="표준 5 3 3 7 4 2 2" xfId="46284"/>
    <cellStyle name="표준 5 3 3 7 4 3" xfId="33612"/>
    <cellStyle name="표준 5 3 3 7 5" xfId="14596"/>
    <cellStyle name="표준 5 3 3 7 5 2" xfId="39948"/>
    <cellStyle name="표준 5 3 3 7 6" xfId="27276"/>
    <cellStyle name="표준 5 3 3 7 7" xfId="54450"/>
    <cellStyle name="표준 5 3 3 8" xfId="1924"/>
    <cellStyle name="표준 5 3 3 8 2" xfId="1925"/>
    <cellStyle name="표준 5 3 3 8 2 2" xfId="5061"/>
    <cellStyle name="표준 5 3 3 8 2 2 2" xfId="11397"/>
    <cellStyle name="표준 5 3 3 8 2 2 2 2" xfId="24070"/>
    <cellStyle name="표준 5 3 3 8 2 2 2 2 2" xfId="49422"/>
    <cellStyle name="표준 5 3 3 8 2 2 2 3" xfId="36750"/>
    <cellStyle name="표준 5 3 3 8 2 2 3" xfId="17734"/>
    <cellStyle name="표준 5 3 3 8 2 2 3 2" xfId="43086"/>
    <cellStyle name="표준 5 3 3 8 2 2 4" xfId="30414"/>
    <cellStyle name="표준 5 3 3 8 2 2 5" xfId="54451"/>
    <cellStyle name="표준 5 3 3 8 2 3" xfId="8262"/>
    <cellStyle name="표준 5 3 3 8 2 3 2" xfId="20935"/>
    <cellStyle name="표준 5 3 3 8 2 3 2 2" xfId="46287"/>
    <cellStyle name="표준 5 3 3 8 2 3 3" xfId="33615"/>
    <cellStyle name="표준 5 3 3 8 2 4" xfId="14599"/>
    <cellStyle name="표준 5 3 3 8 2 4 2" xfId="39951"/>
    <cellStyle name="표준 5 3 3 8 2 5" xfId="27279"/>
    <cellStyle name="표준 5 3 3 8 2 6" xfId="54452"/>
    <cellStyle name="표준 5 3 3 8 3" xfId="5062"/>
    <cellStyle name="표준 5 3 3 8 3 2" xfId="11398"/>
    <cellStyle name="표준 5 3 3 8 3 2 2" xfId="24071"/>
    <cellStyle name="표준 5 3 3 8 3 2 2 2" xfId="49423"/>
    <cellStyle name="표준 5 3 3 8 3 2 3" xfId="36751"/>
    <cellStyle name="표준 5 3 3 8 3 3" xfId="17735"/>
    <cellStyle name="표준 5 3 3 8 3 3 2" xfId="43087"/>
    <cellStyle name="표준 5 3 3 8 3 4" xfId="30415"/>
    <cellStyle name="표준 5 3 3 8 3 5" xfId="54453"/>
    <cellStyle name="표준 5 3 3 8 4" xfId="8261"/>
    <cellStyle name="표준 5 3 3 8 4 2" xfId="20934"/>
    <cellStyle name="표준 5 3 3 8 4 2 2" xfId="46286"/>
    <cellStyle name="표준 5 3 3 8 4 3" xfId="33614"/>
    <cellStyle name="표준 5 3 3 8 5" xfId="14598"/>
    <cellStyle name="표준 5 3 3 8 5 2" xfId="39950"/>
    <cellStyle name="표준 5 3 3 8 6" xfId="27278"/>
    <cellStyle name="표준 5 3 3 8 7" xfId="54454"/>
    <cellStyle name="표준 5 3 3 9" xfId="1926"/>
    <cellStyle name="표준 5 3 3 9 2" xfId="1927"/>
    <cellStyle name="표준 5 3 3 9 2 2" xfId="5063"/>
    <cellStyle name="표준 5 3 3 9 2 2 2" xfId="11399"/>
    <cellStyle name="표준 5 3 3 9 2 2 2 2" xfId="24072"/>
    <cellStyle name="표준 5 3 3 9 2 2 2 2 2" xfId="49424"/>
    <cellStyle name="표준 5 3 3 9 2 2 2 3" xfId="36752"/>
    <cellStyle name="표준 5 3 3 9 2 2 3" xfId="17736"/>
    <cellStyle name="표준 5 3 3 9 2 2 3 2" xfId="43088"/>
    <cellStyle name="표준 5 3 3 9 2 2 4" xfId="30416"/>
    <cellStyle name="표준 5 3 3 9 2 2 5" xfId="54455"/>
    <cellStyle name="표준 5 3 3 9 2 3" xfId="8264"/>
    <cellStyle name="표준 5 3 3 9 2 3 2" xfId="20937"/>
    <cellStyle name="표준 5 3 3 9 2 3 2 2" xfId="46289"/>
    <cellStyle name="표준 5 3 3 9 2 3 3" xfId="33617"/>
    <cellStyle name="표준 5 3 3 9 2 4" xfId="14601"/>
    <cellStyle name="표준 5 3 3 9 2 4 2" xfId="39953"/>
    <cellStyle name="표준 5 3 3 9 2 5" xfId="27281"/>
    <cellStyle name="표준 5 3 3 9 2 6" xfId="54456"/>
    <cellStyle name="표준 5 3 3 9 3" xfId="5064"/>
    <cellStyle name="표준 5 3 3 9 3 2" xfId="11400"/>
    <cellStyle name="표준 5 3 3 9 3 2 2" xfId="24073"/>
    <cellStyle name="표준 5 3 3 9 3 2 2 2" xfId="49425"/>
    <cellStyle name="표준 5 3 3 9 3 2 3" xfId="36753"/>
    <cellStyle name="표준 5 3 3 9 3 3" xfId="17737"/>
    <cellStyle name="표준 5 3 3 9 3 3 2" xfId="43089"/>
    <cellStyle name="표준 5 3 3 9 3 4" xfId="30417"/>
    <cellStyle name="표준 5 3 3 9 3 5" xfId="54457"/>
    <cellStyle name="표준 5 3 3 9 4" xfId="8263"/>
    <cellStyle name="표준 5 3 3 9 4 2" xfId="20936"/>
    <cellStyle name="표준 5 3 3 9 4 2 2" xfId="46288"/>
    <cellStyle name="표준 5 3 3 9 4 3" xfId="33616"/>
    <cellStyle name="표준 5 3 3 9 5" xfId="14600"/>
    <cellStyle name="표준 5 3 3 9 5 2" xfId="39952"/>
    <cellStyle name="표준 5 3 3 9 6" xfId="27280"/>
    <cellStyle name="표준 5 3 3 9 7" xfId="54458"/>
    <cellStyle name="표준 5 3 30" xfId="1928"/>
    <cellStyle name="표준 5 3 30 2" xfId="1929"/>
    <cellStyle name="표준 5 3 30 2 2" xfId="5065"/>
    <cellStyle name="표준 5 3 30 2 2 2" xfId="11401"/>
    <cellStyle name="표준 5 3 30 2 2 2 2" xfId="24074"/>
    <cellStyle name="표준 5 3 30 2 2 2 2 2" xfId="49426"/>
    <cellStyle name="표준 5 3 30 2 2 2 3" xfId="36754"/>
    <cellStyle name="표준 5 3 30 2 2 3" xfId="17738"/>
    <cellStyle name="표준 5 3 30 2 2 3 2" xfId="43090"/>
    <cellStyle name="표준 5 3 30 2 2 4" xfId="30418"/>
    <cellStyle name="표준 5 3 30 2 2 5" xfId="54459"/>
    <cellStyle name="표준 5 3 30 2 3" xfId="8266"/>
    <cellStyle name="표준 5 3 30 2 3 2" xfId="20939"/>
    <cellStyle name="표준 5 3 30 2 3 2 2" xfId="46291"/>
    <cellStyle name="표준 5 3 30 2 3 3" xfId="33619"/>
    <cellStyle name="표준 5 3 30 2 4" xfId="14603"/>
    <cellStyle name="표준 5 3 30 2 4 2" xfId="39955"/>
    <cellStyle name="표준 5 3 30 2 5" xfId="27283"/>
    <cellStyle name="표준 5 3 30 2 6" xfId="54460"/>
    <cellStyle name="표준 5 3 30 3" xfId="5066"/>
    <cellStyle name="표준 5 3 30 3 2" xfId="11402"/>
    <cellStyle name="표준 5 3 30 3 2 2" xfId="24075"/>
    <cellStyle name="표준 5 3 30 3 2 2 2" xfId="49427"/>
    <cellStyle name="표준 5 3 30 3 2 3" xfId="36755"/>
    <cellStyle name="표준 5 3 30 3 3" xfId="17739"/>
    <cellStyle name="표준 5 3 30 3 3 2" xfId="43091"/>
    <cellStyle name="표준 5 3 30 3 4" xfId="30419"/>
    <cellStyle name="표준 5 3 30 3 5" xfId="54461"/>
    <cellStyle name="표준 5 3 30 4" xfId="8265"/>
    <cellStyle name="표준 5 3 30 4 2" xfId="20938"/>
    <cellStyle name="표준 5 3 30 4 2 2" xfId="46290"/>
    <cellStyle name="표준 5 3 30 4 3" xfId="33618"/>
    <cellStyle name="표준 5 3 30 5" xfId="14602"/>
    <cellStyle name="표준 5 3 30 5 2" xfId="39954"/>
    <cellStyle name="표준 5 3 30 6" xfId="27282"/>
    <cellStyle name="표준 5 3 30 7" xfId="54462"/>
    <cellStyle name="표준 5 3 31" xfId="1930"/>
    <cellStyle name="표준 5 3 31 2" xfId="1931"/>
    <cellStyle name="표준 5 3 31 2 2" xfId="5067"/>
    <cellStyle name="표준 5 3 31 2 2 2" xfId="11403"/>
    <cellStyle name="표준 5 3 31 2 2 2 2" xfId="24076"/>
    <cellStyle name="표준 5 3 31 2 2 2 2 2" xfId="49428"/>
    <cellStyle name="표준 5 3 31 2 2 2 3" xfId="36756"/>
    <cellStyle name="표준 5 3 31 2 2 3" xfId="17740"/>
    <cellStyle name="표준 5 3 31 2 2 3 2" xfId="43092"/>
    <cellStyle name="표준 5 3 31 2 2 4" xfId="30420"/>
    <cellStyle name="표준 5 3 31 2 2 5" xfId="54463"/>
    <cellStyle name="표준 5 3 31 2 3" xfId="8268"/>
    <cellStyle name="표준 5 3 31 2 3 2" xfId="20941"/>
    <cellStyle name="표준 5 3 31 2 3 2 2" xfId="46293"/>
    <cellStyle name="표준 5 3 31 2 3 3" xfId="33621"/>
    <cellStyle name="표준 5 3 31 2 4" xfId="14605"/>
    <cellStyle name="표준 5 3 31 2 4 2" xfId="39957"/>
    <cellStyle name="표준 5 3 31 2 5" xfId="27285"/>
    <cellStyle name="표준 5 3 31 2 6" xfId="54464"/>
    <cellStyle name="표준 5 3 31 3" xfId="5068"/>
    <cellStyle name="표준 5 3 31 3 2" xfId="11404"/>
    <cellStyle name="표준 5 3 31 3 2 2" xfId="24077"/>
    <cellStyle name="표준 5 3 31 3 2 2 2" xfId="49429"/>
    <cellStyle name="표준 5 3 31 3 2 3" xfId="36757"/>
    <cellStyle name="표준 5 3 31 3 3" xfId="17741"/>
    <cellStyle name="표준 5 3 31 3 3 2" xfId="43093"/>
    <cellStyle name="표준 5 3 31 3 4" xfId="30421"/>
    <cellStyle name="표준 5 3 31 3 5" xfId="54465"/>
    <cellStyle name="표준 5 3 31 4" xfId="8267"/>
    <cellStyle name="표준 5 3 31 4 2" xfId="20940"/>
    <cellStyle name="표준 5 3 31 4 2 2" xfId="46292"/>
    <cellStyle name="표준 5 3 31 4 3" xfId="33620"/>
    <cellStyle name="표준 5 3 31 5" xfId="14604"/>
    <cellStyle name="표준 5 3 31 5 2" xfId="39956"/>
    <cellStyle name="표준 5 3 31 6" xfId="27284"/>
    <cellStyle name="표준 5 3 31 7" xfId="54466"/>
    <cellStyle name="표준 5 3 32" xfId="1932"/>
    <cellStyle name="표준 5 3 32 2" xfId="1933"/>
    <cellStyle name="표준 5 3 32 2 2" xfId="5069"/>
    <cellStyle name="표준 5 3 32 2 2 2" xfId="11405"/>
    <cellStyle name="표준 5 3 32 2 2 2 2" xfId="24078"/>
    <cellStyle name="표준 5 3 32 2 2 2 2 2" xfId="49430"/>
    <cellStyle name="표준 5 3 32 2 2 2 3" xfId="36758"/>
    <cellStyle name="표준 5 3 32 2 2 3" xfId="17742"/>
    <cellStyle name="표준 5 3 32 2 2 3 2" xfId="43094"/>
    <cellStyle name="표준 5 3 32 2 2 4" xfId="30422"/>
    <cellStyle name="표준 5 3 32 2 2 5" xfId="54467"/>
    <cellStyle name="표준 5 3 32 2 3" xfId="8270"/>
    <cellStyle name="표준 5 3 32 2 3 2" xfId="20943"/>
    <cellStyle name="표준 5 3 32 2 3 2 2" xfId="46295"/>
    <cellStyle name="표준 5 3 32 2 3 3" xfId="33623"/>
    <cellStyle name="표준 5 3 32 2 4" xfId="14607"/>
    <cellStyle name="표준 5 3 32 2 4 2" xfId="39959"/>
    <cellStyle name="표준 5 3 32 2 5" xfId="27287"/>
    <cellStyle name="표준 5 3 32 2 6" xfId="54468"/>
    <cellStyle name="표준 5 3 32 3" xfId="5070"/>
    <cellStyle name="표준 5 3 32 3 2" xfId="11406"/>
    <cellStyle name="표준 5 3 32 3 2 2" xfId="24079"/>
    <cellStyle name="표준 5 3 32 3 2 2 2" xfId="49431"/>
    <cellStyle name="표준 5 3 32 3 2 3" xfId="36759"/>
    <cellStyle name="표준 5 3 32 3 3" xfId="17743"/>
    <cellStyle name="표준 5 3 32 3 3 2" xfId="43095"/>
    <cellStyle name="표준 5 3 32 3 4" xfId="30423"/>
    <cellStyle name="표준 5 3 32 3 5" xfId="54469"/>
    <cellStyle name="표준 5 3 32 4" xfId="8269"/>
    <cellStyle name="표준 5 3 32 4 2" xfId="20942"/>
    <cellStyle name="표준 5 3 32 4 2 2" xfId="46294"/>
    <cellStyle name="표준 5 3 32 4 3" xfId="33622"/>
    <cellStyle name="표준 5 3 32 5" xfId="14606"/>
    <cellStyle name="표준 5 3 32 5 2" xfId="39958"/>
    <cellStyle name="표준 5 3 32 6" xfId="27286"/>
    <cellStyle name="표준 5 3 32 7" xfId="54470"/>
    <cellStyle name="표준 5 3 33" xfId="1934"/>
    <cellStyle name="표준 5 3 33 2" xfId="1935"/>
    <cellStyle name="표준 5 3 33 2 2" xfId="5071"/>
    <cellStyle name="표준 5 3 33 2 2 2" xfId="11407"/>
    <cellStyle name="표준 5 3 33 2 2 2 2" xfId="24080"/>
    <cellStyle name="표준 5 3 33 2 2 2 2 2" xfId="49432"/>
    <cellStyle name="표준 5 3 33 2 2 2 3" xfId="36760"/>
    <cellStyle name="표준 5 3 33 2 2 3" xfId="17744"/>
    <cellStyle name="표준 5 3 33 2 2 3 2" xfId="43096"/>
    <cellStyle name="표준 5 3 33 2 2 4" xfId="30424"/>
    <cellStyle name="표준 5 3 33 2 2 5" xfId="54471"/>
    <cellStyle name="표준 5 3 33 2 3" xfId="8272"/>
    <cellStyle name="표준 5 3 33 2 3 2" xfId="20945"/>
    <cellStyle name="표준 5 3 33 2 3 2 2" xfId="46297"/>
    <cellStyle name="표준 5 3 33 2 3 3" xfId="33625"/>
    <cellStyle name="표준 5 3 33 2 4" xfId="14609"/>
    <cellStyle name="표준 5 3 33 2 4 2" xfId="39961"/>
    <cellStyle name="표준 5 3 33 2 5" xfId="27289"/>
    <cellStyle name="표준 5 3 33 2 6" xfId="54472"/>
    <cellStyle name="표준 5 3 33 3" xfId="5072"/>
    <cellStyle name="표준 5 3 33 3 2" xfId="11408"/>
    <cellStyle name="표준 5 3 33 3 2 2" xfId="24081"/>
    <cellStyle name="표준 5 3 33 3 2 2 2" xfId="49433"/>
    <cellStyle name="표준 5 3 33 3 2 3" xfId="36761"/>
    <cellStyle name="표준 5 3 33 3 3" xfId="17745"/>
    <cellStyle name="표준 5 3 33 3 3 2" xfId="43097"/>
    <cellStyle name="표준 5 3 33 3 4" xfId="30425"/>
    <cellStyle name="표준 5 3 33 3 5" xfId="54473"/>
    <cellStyle name="표준 5 3 33 4" xfId="8271"/>
    <cellStyle name="표준 5 3 33 4 2" xfId="20944"/>
    <cellStyle name="표준 5 3 33 4 2 2" xfId="46296"/>
    <cellStyle name="표준 5 3 33 4 3" xfId="33624"/>
    <cellStyle name="표준 5 3 33 5" xfId="14608"/>
    <cellStyle name="표준 5 3 33 5 2" xfId="39960"/>
    <cellStyle name="표준 5 3 33 6" xfId="27288"/>
    <cellStyle name="표준 5 3 33 7" xfId="54474"/>
    <cellStyle name="표준 5 3 34" xfId="1936"/>
    <cellStyle name="표준 5 3 34 2" xfId="1937"/>
    <cellStyle name="표준 5 3 34 2 2" xfId="5073"/>
    <cellStyle name="표준 5 3 34 2 2 2" xfId="11409"/>
    <cellStyle name="표준 5 3 34 2 2 2 2" xfId="24082"/>
    <cellStyle name="표준 5 3 34 2 2 2 2 2" xfId="49434"/>
    <cellStyle name="표준 5 3 34 2 2 2 3" xfId="36762"/>
    <cellStyle name="표준 5 3 34 2 2 3" xfId="17746"/>
    <cellStyle name="표준 5 3 34 2 2 3 2" xfId="43098"/>
    <cellStyle name="표준 5 3 34 2 2 4" xfId="30426"/>
    <cellStyle name="표준 5 3 34 2 2 5" xfId="54475"/>
    <cellStyle name="표준 5 3 34 2 3" xfId="8274"/>
    <cellStyle name="표준 5 3 34 2 3 2" xfId="20947"/>
    <cellStyle name="표준 5 3 34 2 3 2 2" xfId="46299"/>
    <cellStyle name="표준 5 3 34 2 3 3" xfId="33627"/>
    <cellStyle name="표준 5 3 34 2 4" xfId="14611"/>
    <cellStyle name="표준 5 3 34 2 4 2" xfId="39963"/>
    <cellStyle name="표준 5 3 34 2 5" xfId="27291"/>
    <cellStyle name="표준 5 3 34 2 6" xfId="54476"/>
    <cellStyle name="표준 5 3 34 3" xfId="5074"/>
    <cellStyle name="표준 5 3 34 3 2" xfId="11410"/>
    <cellStyle name="표준 5 3 34 3 2 2" xfId="24083"/>
    <cellStyle name="표준 5 3 34 3 2 2 2" xfId="49435"/>
    <cellStyle name="표준 5 3 34 3 2 3" xfId="36763"/>
    <cellStyle name="표준 5 3 34 3 3" xfId="17747"/>
    <cellStyle name="표준 5 3 34 3 3 2" xfId="43099"/>
    <cellStyle name="표준 5 3 34 3 4" xfId="30427"/>
    <cellStyle name="표준 5 3 34 3 5" xfId="54477"/>
    <cellStyle name="표준 5 3 34 4" xfId="8273"/>
    <cellStyle name="표준 5 3 34 4 2" xfId="20946"/>
    <cellStyle name="표준 5 3 34 4 2 2" xfId="46298"/>
    <cellStyle name="표준 5 3 34 4 3" xfId="33626"/>
    <cellStyle name="표준 5 3 34 5" xfId="14610"/>
    <cellStyle name="표준 5 3 34 5 2" xfId="39962"/>
    <cellStyle name="표준 5 3 34 6" xfId="27290"/>
    <cellStyle name="표준 5 3 34 7" xfId="54478"/>
    <cellStyle name="표준 5 3 35" xfId="1938"/>
    <cellStyle name="표준 5 3 35 2" xfId="1939"/>
    <cellStyle name="표준 5 3 35 2 2" xfId="5075"/>
    <cellStyle name="표준 5 3 35 2 2 2" xfId="11411"/>
    <cellStyle name="표준 5 3 35 2 2 2 2" xfId="24084"/>
    <cellStyle name="표준 5 3 35 2 2 2 2 2" xfId="49436"/>
    <cellStyle name="표준 5 3 35 2 2 2 3" xfId="36764"/>
    <cellStyle name="표준 5 3 35 2 2 3" xfId="17748"/>
    <cellStyle name="표준 5 3 35 2 2 3 2" xfId="43100"/>
    <cellStyle name="표준 5 3 35 2 2 4" xfId="30428"/>
    <cellStyle name="표준 5 3 35 2 2 5" xfId="54479"/>
    <cellStyle name="표준 5 3 35 2 3" xfId="8276"/>
    <cellStyle name="표준 5 3 35 2 3 2" xfId="20949"/>
    <cellStyle name="표준 5 3 35 2 3 2 2" xfId="46301"/>
    <cellStyle name="표준 5 3 35 2 3 3" xfId="33629"/>
    <cellStyle name="표준 5 3 35 2 4" xfId="14613"/>
    <cellStyle name="표준 5 3 35 2 4 2" xfId="39965"/>
    <cellStyle name="표준 5 3 35 2 5" xfId="27293"/>
    <cellStyle name="표준 5 3 35 2 6" xfId="54480"/>
    <cellStyle name="표준 5 3 35 3" xfId="5076"/>
    <cellStyle name="표준 5 3 35 3 2" xfId="11412"/>
    <cellStyle name="표준 5 3 35 3 2 2" xfId="24085"/>
    <cellStyle name="표준 5 3 35 3 2 2 2" xfId="49437"/>
    <cellStyle name="표준 5 3 35 3 2 3" xfId="36765"/>
    <cellStyle name="표준 5 3 35 3 3" xfId="17749"/>
    <cellStyle name="표준 5 3 35 3 3 2" xfId="43101"/>
    <cellStyle name="표준 5 3 35 3 4" xfId="30429"/>
    <cellStyle name="표준 5 3 35 3 5" xfId="54481"/>
    <cellStyle name="표준 5 3 35 4" xfId="8275"/>
    <cellStyle name="표준 5 3 35 4 2" xfId="20948"/>
    <cellStyle name="표준 5 3 35 4 2 2" xfId="46300"/>
    <cellStyle name="표준 5 3 35 4 3" xfId="33628"/>
    <cellStyle name="표준 5 3 35 5" xfId="14612"/>
    <cellStyle name="표준 5 3 35 5 2" xfId="39964"/>
    <cellStyle name="표준 5 3 35 6" xfId="27292"/>
    <cellStyle name="표준 5 3 35 7" xfId="54482"/>
    <cellStyle name="표준 5 3 36" xfId="1940"/>
    <cellStyle name="표준 5 3 36 2" xfId="5077"/>
    <cellStyle name="표준 5 3 36 2 2" xfId="11413"/>
    <cellStyle name="표준 5 3 36 2 2 2" xfId="24086"/>
    <cellStyle name="표준 5 3 36 2 2 2 2" xfId="49438"/>
    <cellStyle name="표준 5 3 36 2 2 3" xfId="36766"/>
    <cellStyle name="표준 5 3 36 2 3" xfId="17750"/>
    <cellStyle name="표준 5 3 36 2 3 2" xfId="43102"/>
    <cellStyle name="표준 5 3 36 2 4" xfId="30430"/>
    <cellStyle name="표준 5 3 36 2 5" xfId="54483"/>
    <cellStyle name="표준 5 3 36 3" xfId="8277"/>
    <cellStyle name="표준 5 3 36 3 2" xfId="20950"/>
    <cellStyle name="표준 5 3 36 3 2 2" xfId="46302"/>
    <cellStyle name="표준 5 3 36 3 3" xfId="33630"/>
    <cellStyle name="표준 5 3 36 4" xfId="14614"/>
    <cellStyle name="표준 5 3 36 4 2" xfId="39966"/>
    <cellStyle name="표준 5 3 36 5" xfId="27294"/>
    <cellStyle name="표준 5 3 36 6" xfId="54484"/>
    <cellStyle name="표준 5 3 37" xfId="5078"/>
    <cellStyle name="표준 5 3 37 2" xfId="11414"/>
    <cellStyle name="표준 5 3 37 2 2" xfId="24087"/>
    <cellStyle name="표준 5 3 37 2 2 2" xfId="49439"/>
    <cellStyle name="표준 5 3 37 2 3" xfId="36767"/>
    <cellStyle name="표준 5 3 37 3" xfId="17751"/>
    <cellStyle name="표준 5 3 37 3 2" xfId="43103"/>
    <cellStyle name="표준 5 3 37 4" xfId="30431"/>
    <cellStyle name="표준 5 3 37 5" xfId="54485"/>
    <cellStyle name="표준 5 3 38" xfId="6377"/>
    <cellStyle name="표준 5 3 38 2" xfId="19050"/>
    <cellStyle name="표준 5 3 38 2 2" xfId="44402"/>
    <cellStyle name="표준 5 3 38 3" xfId="31730"/>
    <cellStyle name="표준 5 3 39" xfId="12714"/>
    <cellStyle name="표준 5 3 39 2" xfId="38066"/>
    <cellStyle name="표준 5 3 4" xfId="84"/>
    <cellStyle name="표준 5 3 4 2" xfId="1941"/>
    <cellStyle name="표준 5 3 4 2 2" xfId="5079"/>
    <cellStyle name="표준 5 3 4 2 2 2" xfId="11415"/>
    <cellStyle name="표준 5 3 4 2 2 2 2" xfId="24088"/>
    <cellStyle name="표준 5 3 4 2 2 2 2 2" xfId="49440"/>
    <cellStyle name="표준 5 3 4 2 2 2 3" xfId="36768"/>
    <cellStyle name="표준 5 3 4 2 2 3" xfId="17752"/>
    <cellStyle name="표준 5 3 4 2 2 3 2" xfId="43104"/>
    <cellStyle name="표준 5 3 4 2 2 4" xfId="30432"/>
    <cellStyle name="표준 5 3 4 2 2 5" xfId="54486"/>
    <cellStyle name="표준 5 3 4 2 3" xfId="8278"/>
    <cellStyle name="표준 5 3 4 2 3 2" xfId="20951"/>
    <cellStyle name="표준 5 3 4 2 3 2 2" xfId="46303"/>
    <cellStyle name="표준 5 3 4 2 3 3" xfId="33631"/>
    <cellStyle name="표준 5 3 4 2 4" xfId="14615"/>
    <cellStyle name="표준 5 3 4 2 4 2" xfId="39967"/>
    <cellStyle name="표준 5 3 4 2 5" xfId="27295"/>
    <cellStyle name="표준 5 3 4 2 6" xfId="54487"/>
    <cellStyle name="표준 5 3 4 3" xfId="5080"/>
    <cellStyle name="표준 5 3 4 3 2" xfId="11416"/>
    <cellStyle name="표준 5 3 4 3 2 2" xfId="24089"/>
    <cellStyle name="표준 5 3 4 3 2 2 2" xfId="49441"/>
    <cellStyle name="표준 5 3 4 3 2 3" xfId="36769"/>
    <cellStyle name="표준 5 3 4 3 3" xfId="17753"/>
    <cellStyle name="표준 5 3 4 3 3 2" xfId="43105"/>
    <cellStyle name="표준 5 3 4 3 4" xfId="30433"/>
    <cellStyle name="표준 5 3 4 3 5" xfId="54488"/>
    <cellStyle name="표준 5 3 4 4" xfId="6422"/>
    <cellStyle name="표준 5 3 4 4 2" xfId="19095"/>
    <cellStyle name="표준 5 3 4 4 2 2" xfId="44447"/>
    <cellStyle name="표준 5 3 4 4 3" xfId="31775"/>
    <cellStyle name="표준 5 3 4 5" xfId="12759"/>
    <cellStyle name="표준 5 3 4 5 2" xfId="38111"/>
    <cellStyle name="표준 5 3 4 6" xfId="25439"/>
    <cellStyle name="표준 5 3 4 7" xfId="54489"/>
    <cellStyle name="표준 5 3 40" xfId="25394"/>
    <cellStyle name="표준 5 3 41" xfId="54490"/>
    <cellStyle name="표준 5 3 5" xfId="1942"/>
    <cellStyle name="표준 5 3 5 2" xfId="1943"/>
    <cellStyle name="표준 5 3 5 2 2" xfId="5081"/>
    <cellStyle name="표준 5 3 5 2 2 2" xfId="11417"/>
    <cellStyle name="표준 5 3 5 2 2 2 2" xfId="24090"/>
    <cellStyle name="표준 5 3 5 2 2 2 2 2" xfId="49442"/>
    <cellStyle name="표준 5 3 5 2 2 2 3" xfId="36770"/>
    <cellStyle name="표준 5 3 5 2 2 3" xfId="17754"/>
    <cellStyle name="표준 5 3 5 2 2 3 2" xfId="43106"/>
    <cellStyle name="표준 5 3 5 2 2 4" xfId="30434"/>
    <cellStyle name="표준 5 3 5 2 2 5" xfId="54491"/>
    <cellStyle name="표준 5 3 5 2 3" xfId="8280"/>
    <cellStyle name="표준 5 3 5 2 3 2" xfId="20953"/>
    <cellStyle name="표준 5 3 5 2 3 2 2" xfId="46305"/>
    <cellStyle name="표준 5 3 5 2 3 3" xfId="33633"/>
    <cellStyle name="표준 5 3 5 2 4" xfId="14617"/>
    <cellStyle name="표준 5 3 5 2 4 2" xfId="39969"/>
    <cellStyle name="표준 5 3 5 2 5" xfId="27297"/>
    <cellStyle name="표준 5 3 5 2 6" xfId="54492"/>
    <cellStyle name="표준 5 3 5 3" xfId="5082"/>
    <cellStyle name="표준 5 3 5 3 2" xfId="11418"/>
    <cellStyle name="표준 5 3 5 3 2 2" xfId="24091"/>
    <cellStyle name="표준 5 3 5 3 2 2 2" xfId="49443"/>
    <cellStyle name="표준 5 3 5 3 2 3" xfId="36771"/>
    <cellStyle name="표준 5 3 5 3 3" xfId="17755"/>
    <cellStyle name="표준 5 3 5 3 3 2" xfId="43107"/>
    <cellStyle name="표준 5 3 5 3 4" xfId="30435"/>
    <cellStyle name="표준 5 3 5 3 5" xfId="54493"/>
    <cellStyle name="표준 5 3 5 4" xfId="8279"/>
    <cellStyle name="표준 5 3 5 4 2" xfId="20952"/>
    <cellStyle name="표준 5 3 5 4 2 2" xfId="46304"/>
    <cellStyle name="표준 5 3 5 4 3" xfId="33632"/>
    <cellStyle name="표준 5 3 5 5" xfId="14616"/>
    <cellStyle name="표준 5 3 5 5 2" xfId="39968"/>
    <cellStyle name="표준 5 3 5 6" xfId="27296"/>
    <cellStyle name="표준 5 3 5 7" xfId="54494"/>
    <cellStyle name="표준 5 3 6" xfId="1944"/>
    <cellStyle name="표준 5 3 6 2" xfId="1945"/>
    <cellStyle name="표준 5 3 6 2 2" xfId="5083"/>
    <cellStyle name="표준 5 3 6 2 2 2" xfId="11419"/>
    <cellStyle name="표준 5 3 6 2 2 2 2" xfId="24092"/>
    <cellStyle name="표준 5 3 6 2 2 2 2 2" xfId="49444"/>
    <cellStyle name="표준 5 3 6 2 2 2 3" xfId="36772"/>
    <cellStyle name="표준 5 3 6 2 2 3" xfId="17756"/>
    <cellStyle name="표준 5 3 6 2 2 3 2" xfId="43108"/>
    <cellStyle name="표준 5 3 6 2 2 4" xfId="30436"/>
    <cellStyle name="표준 5 3 6 2 2 5" xfId="54495"/>
    <cellStyle name="표준 5 3 6 2 3" xfId="8282"/>
    <cellStyle name="표준 5 3 6 2 3 2" xfId="20955"/>
    <cellStyle name="표준 5 3 6 2 3 2 2" xfId="46307"/>
    <cellStyle name="표준 5 3 6 2 3 3" xfId="33635"/>
    <cellStyle name="표준 5 3 6 2 4" xfId="14619"/>
    <cellStyle name="표준 5 3 6 2 4 2" xfId="39971"/>
    <cellStyle name="표준 5 3 6 2 5" xfId="27299"/>
    <cellStyle name="표준 5 3 6 2 6" xfId="54496"/>
    <cellStyle name="표준 5 3 6 3" xfId="5084"/>
    <cellStyle name="표준 5 3 6 3 2" xfId="11420"/>
    <cellStyle name="표준 5 3 6 3 2 2" xfId="24093"/>
    <cellStyle name="표준 5 3 6 3 2 2 2" xfId="49445"/>
    <cellStyle name="표준 5 3 6 3 2 3" xfId="36773"/>
    <cellStyle name="표준 5 3 6 3 3" xfId="17757"/>
    <cellStyle name="표준 5 3 6 3 3 2" xfId="43109"/>
    <cellStyle name="표준 5 3 6 3 4" xfId="30437"/>
    <cellStyle name="표준 5 3 6 3 5" xfId="54497"/>
    <cellStyle name="표준 5 3 6 4" xfId="8281"/>
    <cellStyle name="표준 5 3 6 4 2" xfId="20954"/>
    <cellStyle name="표준 5 3 6 4 2 2" xfId="46306"/>
    <cellStyle name="표준 5 3 6 4 3" xfId="33634"/>
    <cellStyle name="표준 5 3 6 5" xfId="14618"/>
    <cellStyle name="표준 5 3 6 5 2" xfId="39970"/>
    <cellStyle name="표준 5 3 6 6" xfId="27298"/>
    <cellStyle name="표준 5 3 6 7" xfId="54498"/>
    <cellStyle name="표준 5 3 7" xfId="1946"/>
    <cellStyle name="표준 5 3 7 2" xfId="1947"/>
    <cellStyle name="표준 5 3 7 2 2" xfId="5085"/>
    <cellStyle name="표준 5 3 7 2 2 2" xfId="11421"/>
    <cellStyle name="표준 5 3 7 2 2 2 2" xfId="24094"/>
    <cellStyle name="표준 5 3 7 2 2 2 2 2" xfId="49446"/>
    <cellStyle name="표준 5 3 7 2 2 2 3" xfId="36774"/>
    <cellStyle name="표준 5 3 7 2 2 3" xfId="17758"/>
    <cellStyle name="표준 5 3 7 2 2 3 2" xfId="43110"/>
    <cellStyle name="표준 5 3 7 2 2 4" xfId="30438"/>
    <cellStyle name="표준 5 3 7 2 2 5" xfId="54499"/>
    <cellStyle name="표준 5 3 7 2 3" xfId="8284"/>
    <cellStyle name="표준 5 3 7 2 3 2" xfId="20957"/>
    <cellStyle name="표준 5 3 7 2 3 2 2" xfId="46309"/>
    <cellStyle name="표준 5 3 7 2 3 3" xfId="33637"/>
    <cellStyle name="표준 5 3 7 2 4" xfId="14621"/>
    <cellStyle name="표준 5 3 7 2 4 2" xfId="39973"/>
    <cellStyle name="표준 5 3 7 2 5" xfId="27301"/>
    <cellStyle name="표준 5 3 7 2 6" xfId="54500"/>
    <cellStyle name="표준 5 3 7 3" xfId="5086"/>
    <cellStyle name="표준 5 3 7 3 2" xfId="11422"/>
    <cellStyle name="표준 5 3 7 3 2 2" xfId="24095"/>
    <cellStyle name="표준 5 3 7 3 2 2 2" xfId="49447"/>
    <cellStyle name="표준 5 3 7 3 2 3" xfId="36775"/>
    <cellStyle name="표준 5 3 7 3 3" xfId="17759"/>
    <cellStyle name="표준 5 3 7 3 3 2" xfId="43111"/>
    <cellStyle name="표준 5 3 7 3 4" xfId="30439"/>
    <cellStyle name="표준 5 3 7 3 5" xfId="54501"/>
    <cellStyle name="표준 5 3 7 4" xfId="8283"/>
    <cellStyle name="표준 5 3 7 4 2" xfId="20956"/>
    <cellStyle name="표준 5 3 7 4 2 2" xfId="46308"/>
    <cellStyle name="표준 5 3 7 4 3" xfId="33636"/>
    <cellStyle name="표준 5 3 7 5" xfId="14620"/>
    <cellStyle name="표준 5 3 7 5 2" xfId="39972"/>
    <cellStyle name="표준 5 3 7 6" xfId="27300"/>
    <cellStyle name="표준 5 3 7 7" xfId="54502"/>
    <cellStyle name="표준 5 3 8" xfId="1948"/>
    <cellStyle name="표준 5 3 8 2" xfId="1949"/>
    <cellStyle name="표준 5 3 8 2 2" xfId="5087"/>
    <cellStyle name="표준 5 3 8 2 2 2" xfId="11423"/>
    <cellStyle name="표준 5 3 8 2 2 2 2" xfId="24096"/>
    <cellStyle name="표준 5 3 8 2 2 2 2 2" xfId="49448"/>
    <cellStyle name="표준 5 3 8 2 2 2 3" xfId="36776"/>
    <cellStyle name="표준 5 3 8 2 2 3" xfId="17760"/>
    <cellStyle name="표준 5 3 8 2 2 3 2" xfId="43112"/>
    <cellStyle name="표준 5 3 8 2 2 4" xfId="30440"/>
    <cellStyle name="표준 5 3 8 2 2 5" xfId="54503"/>
    <cellStyle name="표준 5 3 8 2 3" xfId="8286"/>
    <cellStyle name="표준 5 3 8 2 3 2" xfId="20959"/>
    <cellStyle name="표준 5 3 8 2 3 2 2" xfId="46311"/>
    <cellStyle name="표준 5 3 8 2 3 3" xfId="33639"/>
    <cellStyle name="표준 5 3 8 2 4" xfId="14623"/>
    <cellStyle name="표준 5 3 8 2 4 2" xfId="39975"/>
    <cellStyle name="표준 5 3 8 2 5" xfId="27303"/>
    <cellStyle name="표준 5 3 8 2 6" xfId="54504"/>
    <cellStyle name="표준 5 3 8 3" xfId="5088"/>
    <cellStyle name="표준 5 3 8 3 2" xfId="11424"/>
    <cellStyle name="표준 5 3 8 3 2 2" xfId="24097"/>
    <cellStyle name="표준 5 3 8 3 2 2 2" xfId="49449"/>
    <cellStyle name="표준 5 3 8 3 2 3" xfId="36777"/>
    <cellStyle name="표준 5 3 8 3 3" xfId="17761"/>
    <cellStyle name="표준 5 3 8 3 3 2" xfId="43113"/>
    <cellStyle name="표준 5 3 8 3 4" xfId="30441"/>
    <cellStyle name="표준 5 3 8 3 5" xfId="54505"/>
    <cellStyle name="표준 5 3 8 4" xfId="8285"/>
    <cellStyle name="표준 5 3 8 4 2" xfId="20958"/>
    <cellStyle name="표준 5 3 8 4 2 2" xfId="46310"/>
    <cellStyle name="표준 5 3 8 4 3" xfId="33638"/>
    <cellStyle name="표준 5 3 8 5" xfId="14622"/>
    <cellStyle name="표준 5 3 8 5 2" xfId="39974"/>
    <cellStyle name="표준 5 3 8 6" xfId="27302"/>
    <cellStyle name="표준 5 3 8 7" xfId="54506"/>
    <cellStyle name="표준 5 3 9" xfId="1950"/>
    <cellStyle name="표준 5 3 9 2" xfId="1951"/>
    <cellStyle name="표준 5 3 9 2 2" xfId="5089"/>
    <cellStyle name="표준 5 3 9 2 2 2" xfId="11425"/>
    <cellStyle name="표준 5 3 9 2 2 2 2" xfId="24098"/>
    <cellStyle name="표준 5 3 9 2 2 2 2 2" xfId="49450"/>
    <cellStyle name="표준 5 3 9 2 2 2 3" xfId="36778"/>
    <cellStyle name="표준 5 3 9 2 2 3" xfId="17762"/>
    <cellStyle name="표준 5 3 9 2 2 3 2" xfId="43114"/>
    <cellStyle name="표준 5 3 9 2 2 4" xfId="30442"/>
    <cellStyle name="표준 5 3 9 2 2 5" xfId="54507"/>
    <cellStyle name="표준 5 3 9 2 3" xfId="8288"/>
    <cellStyle name="표준 5 3 9 2 3 2" xfId="20961"/>
    <cellStyle name="표준 5 3 9 2 3 2 2" xfId="46313"/>
    <cellStyle name="표준 5 3 9 2 3 3" xfId="33641"/>
    <cellStyle name="표준 5 3 9 2 4" xfId="14625"/>
    <cellStyle name="표준 5 3 9 2 4 2" xfId="39977"/>
    <cellStyle name="표준 5 3 9 2 5" xfId="27305"/>
    <cellStyle name="표준 5 3 9 2 6" xfId="54508"/>
    <cellStyle name="표준 5 3 9 3" xfId="5090"/>
    <cellStyle name="표준 5 3 9 3 2" xfId="11426"/>
    <cellStyle name="표준 5 3 9 3 2 2" xfId="24099"/>
    <cellStyle name="표준 5 3 9 3 2 2 2" xfId="49451"/>
    <cellStyle name="표준 5 3 9 3 2 3" xfId="36779"/>
    <cellStyle name="표준 5 3 9 3 3" xfId="17763"/>
    <cellStyle name="표준 5 3 9 3 3 2" xfId="43115"/>
    <cellStyle name="표준 5 3 9 3 4" xfId="30443"/>
    <cellStyle name="표준 5 3 9 3 5" xfId="54509"/>
    <cellStyle name="표준 5 3 9 4" xfId="8287"/>
    <cellStyle name="표준 5 3 9 4 2" xfId="20960"/>
    <cellStyle name="표준 5 3 9 4 2 2" xfId="46312"/>
    <cellStyle name="표준 5 3 9 4 3" xfId="33640"/>
    <cellStyle name="표준 5 3 9 5" xfId="14624"/>
    <cellStyle name="표준 5 3 9 5 2" xfId="39976"/>
    <cellStyle name="표준 5 3 9 6" xfId="27304"/>
    <cellStyle name="표준 5 3 9 7" xfId="54510"/>
    <cellStyle name="표준 5 30" xfId="1952"/>
    <cellStyle name="표준 5 30 2" xfId="1953"/>
    <cellStyle name="표준 5 30 2 2" xfId="5091"/>
    <cellStyle name="표준 5 30 2 2 2" xfId="11427"/>
    <cellStyle name="표준 5 30 2 2 2 2" xfId="24100"/>
    <cellStyle name="표준 5 30 2 2 2 2 2" xfId="49452"/>
    <cellStyle name="표준 5 30 2 2 2 3" xfId="36780"/>
    <cellStyle name="표준 5 30 2 2 3" xfId="17764"/>
    <cellStyle name="표준 5 30 2 2 3 2" xfId="43116"/>
    <cellStyle name="표준 5 30 2 2 4" xfId="30444"/>
    <cellStyle name="표준 5 30 2 2 5" xfId="54511"/>
    <cellStyle name="표준 5 30 2 3" xfId="8290"/>
    <cellStyle name="표준 5 30 2 3 2" xfId="20963"/>
    <cellStyle name="표준 5 30 2 3 2 2" xfId="46315"/>
    <cellStyle name="표준 5 30 2 3 3" xfId="33643"/>
    <cellStyle name="표준 5 30 2 4" xfId="14627"/>
    <cellStyle name="표준 5 30 2 4 2" xfId="39979"/>
    <cellStyle name="표준 5 30 2 5" xfId="27307"/>
    <cellStyle name="표준 5 30 2 6" xfId="54512"/>
    <cellStyle name="표준 5 30 3" xfId="5092"/>
    <cellStyle name="표준 5 30 3 2" xfId="11428"/>
    <cellStyle name="표준 5 30 3 2 2" xfId="24101"/>
    <cellStyle name="표준 5 30 3 2 2 2" xfId="49453"/>
    <cellStyle name="표준 5 30 3 2 3" xfId="36781"/>
    <cellStyle name="표준 5 30 3 3" xfId="17765"/>
    <cellStyle name="표준 5 30 3 3 2" xfId="43117"/>
    <cellStyle name="표준 5 30 3 4" xfId="30445"/>
    <cellStyle name="표준 5 30 3 5" xfId="54513"/>
    <cellStyle name="표준 5 30 4" xfId="8289"/>
    <cellStyle name="표준 5 30 4 2" xfId="20962"/>
    <cellStyle name="표준 5 30 4 2 2" xfId="46314"/>
    <cellStyle name="표준 5 30 4 3" xfId="33642"/>
    <cellStyle name="표준 5 30 5" xfId="14626"/>
    <cellStyle name="표준 5 30 5 2" xfId="39978"/>
    <cellStyle name="표준 5 30 6" xfId="27306"/>
    <cellStyle name="표준 5 30 7" xfId="54514"/>
    <cellStyle name="표준 5 31" xfId="1954"/>
    <cellStyle name="표준 5 31 2" xfId="1955"/>
    <cellStyle name="표준 5 31 2 2" xfId="5093"/>
    <cellStyle name="표준 5 31 2 2 2" xfId="11429"/>
    <cellStyle name="표준 5 31 2 2 2 2" xfId="24102"/>
    <cellStyle name="표준 5 31 2 2 2 2 2" xfId="49454"/>
    <cellStyle name="표준 5 31 2 2 2 3" xfId="36782"/>
    <cellStyle name="표준 5 31 2 2 3" xfId="17766"/>
    <cellStyle name="표준 5 31 2 2 3 2" xfId="43118"/>
    <cellStyle name="표준 5 31 2 2 4" xfId="30446"/>
    <cellStyle name="표준 5 31 2 2 5" xfId="54515"/>
    <cellStyle name="표준 5 31 2 3" xfId="8292"/>
    <cellStyle name="표준 5 31 2 3 2" xfId="20965"/>
    <cellStyle name="표준 5 31 2 3 2 2" xfId="46317"/>
    <cellStyle name="표준 5 31 2 3 3" xfId="33645"/>
    <cellStyle name="표준 5 31 2 4" xfId="14629"/>
    <cellStyle name="표준 5 31 2 4 2" xfId="39981"/>
    <cellStyle name="표준 5 31 2 5" xfId="27309"/>
    <cellStyle name="표준 5 31 2 6" xfId="54516"/>
    <cellStyle name="표준 5 31 3" xfId="5094"/>
    <cellStyle name="표준 5 31 3 2" xfId="11430"/>
    <cellStyle name="표준 5 31 3 2 2" xfId="24103"/>
    <cellStyle name="표준 5 31 3 2 2 2" xfId="49455"/>
    <cellStyle name="표준 5 31 3 2 3" xfId="36783"/>
    <cellStyle name="표준 5 31 3 3" xfId="17767"/>
    <cellStyle name="표준 5 31 3 3 2" xfId="43119"/>
    <cellStyle name="표준 5 31 3 4" xfId="30447"/>
    <cellStyle name="표준 5 31 3 5" xfId="54517"/>
    <cellStyle name="표준 5 31 4" xfId="8291"/>
    <cellStyle name="표준 5 31 4 2" xfId="20964"/>
    <cellStyle name="표준 5 31 4 2 2" xfId="46316"/>
    <cellStyle name="표준 5 31 4 3" xfId="33644"/>
    <cellStyle name="표준 5 31 5" xfId="14628"/>
    <cellStyle name="표준 5 31 5 2" xfId="39980"/>
    <cellStyle name="표준 5 31 6" xfId="27308"/>
    <cellStyle name="표준 5 31 7" xfId="54518"/>
    <cellStyle name="표준 5 32" xfId="1956"/>
    <cellStyle name="표준 5 32 2" xfId="1957"/>
    <cellStyle name="표준 5 32 2 2" xfId="5095"/>
    <cellStyle name="표준 5 32 2 2 2" xfId="11431"/>
    <cellStyle name="표준 5 32 2 2 2 2" xfId="24104"/>
    <cellStyle name="표준 5 32 2 2 2 2 2" xfId="49456"/>
    <cellStyle name="표준 5 32 2 2 2 3" xfId="36784"/>
    <cellStyle name="표준 5 32 2 2 3" xfId="17768"/>
    <cellStyle name="표준 5 32 2 2 3 2" xfId="43120"/>
    <cellStyle name="표준 5 32 2 2 4" xfId="30448"/>
    <cellStyle name="표준 5 32 2 2 5" xfId="54519"/>
    <cellStyle name="표준 5 32 2 3" xfId="8294"/>
    <cellStyle name="표준 5 32 2 3 2" xfId="20967"/>
    <cellStyle name="표준 5 32 2 3 2 2" xfId="46319"/>
    <cellStyle name="표준 5 32 2 3 3" xfId="33647"/>
    <cellStyle name="표준 5 32 2 4" xfId="14631"/>
    <cellStyle name="표준 5 32 2 4 2" xfId="39983"/>
    <cellStyle name="표준 5 32 2 5" xfId="27311"/>
    <cellStyle name="표준 5 32 2 6" xfId="54520"/>
    <cellStyle name="표준 5 32 3" xfId="5096"/>
    <cellStyle name="표준 5 32 3 2" xfId="11432"/>
    <cellStyle name="표준 5 32 3 2 2" xfId="24105"/>
    <cellStyle name="표준 5 32 3 2 2 2" xfId="49457"/>
    <cellStyle name="표준 5 32 3 2 3" xfId="36785"/>
    <cellStyle name="표준 5 32 3 3" xfId="17769"/>
    <cellStyle name="표준 5 32 3 3 2" xfId="43121"/>
    <cellStyle name="표준 5 32 3 4" xfId="30449"/>
    <cellStyle name="표준 5 32 3 5" xfId="54521"/>
    <cellStyle name="표준 5 32 4" xfId="8293"/>
    <cellStyle name="표준 5 32 4 2" xfId="20966"/>
    <cellStyle name="표준 5 32 4 2 2" xfId="46318"/>
    <cellStyle name="표준 5 32 4 3" xfId="33646"/>
    <cellStyle name="표준 5 32 5" xfId="14630"/>
    <cellStyle name="표준 5 32 5 2" xfId="39982"/>
    <cellStyle name="표준 5 32 6" xfId="27310"/>
    <cellStyle name="표준 5 32 7" xfId="54522"/>
    <cellStyle name="표준 5 33" xfId="1958"/>
    <cellStyle name="표준 5 33 2" xfId="1959"/>
    <cellStyle name="표준 5 33 2 2" xfId="5097"/>
    <cellStyle name="표준 5 33 2 2 2" xfId="11433"/>
    <cellStyle name="표준 5 33 2 2 2 2" xfId="24106"/>
    <cellStyle name="표준 5 33 2 2 2 2 2" xfId="49458"/>
    <cellStyle name="표준 5 33 2 2 2 3" xfId="36786"/>
    <cellStyle name="표준 5 33 2 2 3" xfId="17770"/>
    <cellStyle name="표준 5 33 2 2 3 2" xfId="43122"/>
    <cellStyle name="표준 5 33 2 2 4" xfId="30450"/>
    <cellStyle name="표준 5 33 2 2 5" xfId="54523"/>
    <cellStyle name="표준 5 33 2 3" xfId="8296"/>
    <cellStyle name="표준 5 33 2 3 2" xfId="20969"/>
    <cellStyle name="표준 5 33 2 3 2 2" xfId="46321"/>
    <cellStyle name="표준 5 33 2 3 3" xfId="33649"/>
    <cellStyle name="표준 5 33 2 4" xfId="14633"/>
    <cellStyle name="표준 5 33 2 4 2" xfId="39985"/>
    <cellStyle name="표준 5 33 2 5" xfId="27313"/>
    <cellStyle name="표준 5 33 2 6" xfId="54524"/>
    <cellStyle name="표준 5 33 3" xfId="5098"/>
    <cellStyle name="표준 5 33 3 2" xfId="11434"/>
    <cellStyle name="표준 5 33 3 2 2" xfId="24107"/>
    <cellStyle name="표준 5 33 3 2 2 2" xfId="49459"/>
    <cellStyle name="표준 5 33 3 2 3" xfId="36787"/>
    <cellStyle name="표준 5 33 3 3" xfId="17771"/>
    <cellStyle name="표준 5 33 3 3 2" xfId="43123"/>
    <cellStyle name="표준 5 33 3 4" xfId="30451"/>
    <cellStyle name="표준 5 33 3 5" xfId="54525"/>
    <cellStyle name="표준 5 33 4" xfId="8295"/>
    <cellStyle name="표준 5 33 4 2" xfId="20968"/>
    <cellStyle name="표준 5 33 4 2 2" xfId="46320"/>
    <cellStyle name="표준 5 33 4 3" xfId="33648"/>
    <cellStyle name="표준 5 33 5" xfId="14632"/>
    <cellStyle name="표준 5 33 5 2" xfId="39984"/>
    <cellStyle name="표준 5 33 6" xfId="27312"/>
    <cellStyle name="표준 5 33 7" xfId="54526"/>
    <cellStyle name="표준 5 34" xfId="1960"/>
    <cellStyle name="표준 5 34 2" xfId="1961"/>
    <cellStyle name="표준 5 34 2 2" xfId="5099"/>
    <cellStyle name="표준 5 34 2 2 2" xfId="11435"/>
    <cellStyle name="표준 5 34 2 2 2 2" xfId="24108"/>
    <cellStyle name="표준 5 34 2 2 2 2 2" xfId="49460"/>
    <cellStyle name="표준 5 34 2 2 2 3" xfId="36788"/>
    <cellStyle name="표준 5 34 2 2 3" xfId="17772"/>
    <cellStyle name="표준 5 34 2 2 3 2" xfId="43124"/>
    <cellStyle name="표준 5 34 2 2 4" xfId="30452"/>
    <cellStyle name="표준 5 34 2 2 5" xfId="54527"/>
    <cellStyle name="표준 5 34 2 3" xfId="8298"/>
    <cellStyle name="표준 5 34 2 3 2" xfId="20971"/>
    <cellStyle name="표준 5 34 2 3 2 2" xfId="46323"/>
    <cellStyle name="표준 5 34 2 3 3" xfId="33651"/>
    <cellStyle name="표준 5 34 2 4" xfId="14635"/>
    <cellStyle name="표준 5 34 2 4 2" xfId="39987"/>
    <cellStyle name="표준 5 34 2 5" xfId="27315"/>
    <cellStyle name="표준 5 34 2 6" xfId="54528"/>
    <cellStyle name="표준 5 34 3" xfId="5100"/>
    <cellStyle name="표준 5 34 3 2" xfId="11436"/>
    <cellStyle name="표준 5 34 3 2 2" xfId="24109"/>
    <cellStyle name="표준 5 34 3 2 2 2" xfId="49461"/>
    <cellStyle name="표준 5 34 3 2 3" xfId="36789"/>
    <cellStyle name="표준 5 34 3 3" xfId="17773"/>
    <cellStyle name="표준 5 34 3 3 2" xfId="43125"/>
    <cellStyle name="표준 5 34 3 4" xfId="30453"/>
    <cellStyle name="표준 5 34 3 5" xfId="54529"/>
    <cellStyle name="표준 5 34 4" xfId="8297"/>
    <cellStyle name="표준 5 34 4 2" xfId="20970"/>
    <cellStyle name="표준 5 34 4 2 2" xfId="46322"/>
    <cellStyle name="표준 5 34 4 3" xfId="33650"/>
    <cellStyle name="표준 5 34 5" xfId="14634"/>
    <cellStyle name="표준 5 34 5 2" xfId="39986"/>
    <cellStyle name="표준 5 34 6" xfId="27314"/>
    <cellStyle name="표준 5 34 7" xfId="54530"/>
    <cellStyle name="표준 5 35" xfId="1962"/>
    <cellStyle name="표준 5 35 2" xfId="1963"/>
    <cellStyle name="표준 5 35 2 2" xfId="5101"/>
    <cellStyle name="표준 5 35 2 2 2" xfId="11437"/>
    <cellStyle name="표준 5 35 2 2 2 2" xfId="24110"/>
    <cellStyle name="표준 5 35 2 2 2 2 2" xfId="49462"/>
    <cellStyle name="표준 5 35 2 2 2 3" xfId="36790"/>
    <cellStyle name="표준 5 35 2 2 3" xfId="17774"/>
    <cellStyle name="표준 5 35 2 2 3 2" xfId="43126"/>
    <cellStyle name="표준 5 35 2 2 4" xfId="30454"/>
    <cellStyle name="표준 5 35 2 2 5" xfId="54531"/>
    <cellStyle name="표준 5 35 2 3" xfId="8300"/>
    <cellStyle name="표준 5 35 2 3 2" xfId="20973"/>
    <cellStyle name="표준 5 35 2 3 2 2" xfId="46325"/>
    <cellStyle name="표준 5 35 2 3 3" xfId="33653"/>
    <cellStyle name="표준 5 35 2 4" xfId="14637"/>
    <cellStyle name="표준 5 35 2 4 2" xfId="39989"/>
    <cellStyle name="표준 5 35 2 5" xfId="27317"/>
    <cellStyle name="표준 5 35 2 6" xfId="54532"/>
    <cellStyle name="표준 5 35 3" xfId="5102"/>
    <cellStyle name="표준 5 35 3 2" xfId="11438"/>
    <cellStyle name="표준 5 35 3 2 2" xfId="24111"/>
    <cellStyle name="표준 5 35 3 2 2 2" xfId="49463"/>
    <cellStyle name="표준 5 35 3 2 3" xfId="36791"/>
    <cellStyle name="표준 5 35 3 3" xfId="17775"/>
    <cellStyle name="표준 5 35 3 3 2" xfId="43127"/>
    <cellStyle name="표준 5 35 3 4" xfId="30455"/>
    <cellStyle name="표준 5 35 3 5" xfId="54533"/>
    <cellStyle name="표준 5 35 4" xfId="8299"/>
    <cellStyle name="표준 5 35 4 2" xfId="20972"/>
    <cellStyle name="표준 5 35 4 2 2" xfId="46324"/>
    <cellStyle name="표준 5 35 4 3" xfId="33652"/>
    <cellStyle name="표준 5 35 5" xfId="14636"/>
    <cellStyle name="표준 5 35 5 2" xfId="39988"/>
    <cellStyle name="표준 5 35 6" xfId="27316"/>
    <cellStyle name="표준 5 35 7" xfId="54534"/>
    <cellStyle name="표준 5 36" xfId="1964"/>
    <cellStyle name="표준 5 36 2" xfId="1965"/>
    <cellStyle name="표준 5 36 2 2" xfId="5103"/>
    <cellStyle name="표준 5 36 2 2 2" xfId="11439"/>
    <cellStyle name="표준 5 36 2 2 2 2" xfId="24112"/>
    <cellStyle name="표준 5 36 2 2 2 2 2" xfId="49464"/>
    <cellStyle name="표준 5 36 2 2 2 3" xfId="36792"/>
    <cellStyle name="표준 5 36 2 2 3" xfId="17776"/>
    <cellStyle name="표준 5 36 2 2 3 2" xfId="43128"/>
    <cellStyle name="표준 5 36 2 2 4" xfId="30456"/>
    <cellStyle name="표준 5 36 2 2 5" xfId="54535"/>
    <cellStyle name="표준 5 36 2 3" xfId="8302"/>
    <cellStyle name="표준 5 36 2 3 2" xfId="20975"/>
    <cellStyle name="표준 5 36 2 3 2 2" xfId="46327"/>
    <cellStyle name="표준 5 36 2 3 3" xfId="33655"/>
    <cellStyle name="표준 5 36 2 4" xfId="14639"/>
    <cellStyle name="표준 5 36 2 4 2" xfId="39991"/>
    <cellStyle name="표준 5 36 2 5" xfId="27319"/>
    <cellStyle name="표준 5 36 2 6" xfId="54536"/>
    <cellStyle name="표준 5 36 3" xfId="5104"/>
    <cellStyle name="표준 5 36 3 2" xfId="11440"/>
    <cellStyle name="표준 5 36 3 2 2" xfId="24113"/>
    <cellStyle name="표준 5 36 3 2 2 2" xfId="49465"/>
    <cellStyle name="표준 5 36 3 2 3" xfId="36793"/>
    <cellStyle name="표준 5 36 3 3" xfId="17777"/>
    <cellStyle name="표준 5 36 3 3 2" xfId="43129"/>
    <cellStyle name="표준 5 36 3 4" xfId="30457"/>
    <cellStyle name="표준 5 36 3 5" xfId="54537"/>
    <cellStyle name="표준 5 36 4" xfId="8301"/>
    <cellStyle name="표준 5 36 4 2" xfId="20974"/>
    <cellStyle name="표준 5 36 4 2 2" xfId="46326"/>
    <cellStyle name="표준 5 36 4 3" xfId="33654"/>
    <cellStyle name="표준 5 36 5" xfId="14638"/>
    <cellStyle name="표준 5 36 5 2" xfId="39990"/>
    <cellStyle name="표준 5 36 6" xfId="27318"/>
    <cellStyle name="표준 5 36 7" xfId="54538"/>
    <cellStyle name="표준 5 37" xfId="1966"/>
    <cellStyle name="표준 5 37 2" xfId="1967"/>
    <cellStyle name="표준 5 37 2 2" xfId="5105"/>
    <cellStyle name="표준 5 37 2 2 2" xfId="11441"/>
    <cellStyle name="표준 5 37 2 2 2 2" xfId="24114"/>
    <cellStyle name="표준 5 37 2 2 2 2 2" xfId="49466"/>
    <cellStyle name="표준 5 37 2 2 2 3" xfId="36794"/>
    <cellStyle name="표준 5 37 2 2 3" xfId="17778"/>
    <cellStyle name="표준 5 37 2 2 3 2" xfId="43130"/>
    <cellStyle name="표준 5 37 2 2 4" xfId="30458"/>
    <cellStyle name="표준 5 37 2 2 5" xfId="54539"/>
    <cellStyle name="표준 5 37 2 3" xfId="8304"/>
    <cellStyle name="표준 5 37 2 3 2" xfId="20977"/>
    <cellStyle name="표준 5 37 2 3 2 2" xfId="46329"/>
    <cellStyle name="표준 5 37 2 3 3" xfId="33657"/>
    <cellStyle name="표준 5 37 2 4" xfId="14641"/>
    <cellStyle name="표준 5 37 2 4 2" xfId="39993"/>
    <cellStyle name="표준 5 37 2 5" xfId="27321"/>
    <cellStyle name="표준 5 37 2 6" xfId="54540"/>
    <cellStyle name="표준 5 37 3" xfId="5106"/>
    <cellStyle name="표준 5 37 3 2" xfId="11442"/>
    <cellStyle name="표준 5 37 3 2 2" xfId="24115"/>
    <cellStyle name="표준 5 37 3 2 2 2" xfId="49467"/>
    <cellStyle name="표준 5 37 3 2 3" xfId="36795"/>
    <cellStyle name="표준 5 37 3 3" xfId="17779"/>
    <cellStyle name="표준 5 37 3 3 2" xfId="43131"/>
    <cellStyle name="표준 5 37 3 4" xfId="30459"/>
    <cellStyle name="표준 5 37 3 5" xfId="54541"/>
    <cellStyle name="표준 5 37 4" xfId="8303"/>
    <cellStyle name="표준 5 37 4 2" xfId="20976"/>
    <cellStyle name="표준 5 37 4 2 2" xfId="46328"/>
    <cellStyle name="표준 5 37 4 3" xfId="33656"/>
    <cellStyle name="표준 5 37 5" xfId="14640"/>
    <cellStyle name="표준 5 37 5 2" xfId="39992"/>
    <cellStyle name="표준 5 37 6" xfId="27320"/>
    <cellStyle name="표준 5 37 7" xfId="54542"/>
    <cellStyle name="표준 5 38" xfId="1968"/>
    <cellStyle name="표준 5 38 2" xfId="5107"/>
    <cellStyle name="표준 5 38 2 2" xfId="11443"/>
    <cellStyle name="표준 5 38 2 2 2" xfId="24116"/>
    <cellStyle name="표준 5 38 2 2 2 2" xfId="49468"/>
    <cellStyle name="표준 5 38 2 2 3" xfId="36796"/>
    <cellStyle name="표준 5 38 2 3" xfId="17780"/>
    <cellStyle name="표준 5 38 2 3 2" xfId="43132"/>
    <cellStyle name="표준 5 38 2 4" xfId="30460"/>
    <cellStyle name="표준 5 38 2 5" xfId="54543"/>
    <cellStyle name="표준 5 38 3" xfId="8305"/>
    <cellStyle name="표준 5 38 3 2" xfId="20978"/>
    <cellStyle name="표준 5 38 3 2 2" xfId="46330"/>
    <cellStyle name="표준 5 38 3 3" xfId="33658"/>
    <cellStyle name="표준 5 38 4" xfId="14642"/>
    <cellStyle name="표준 5 38 4 2" xfId="39994"/>
    <cellStyle name="표준 5 38 5" xfId="27322"/>
    <cellStyle name="표준 5 38 6" xfId="54544"/>
    <cellStyle name="표준 5 39" xfId="5108"/>
    <cellStyle name="표준 5 39 2" xfId="11444"/>
    <cellStyle name="표준 5 39 2 2" xfId="24117"/>
    <cellStyle name="표준 5 39 2 2 2" xfId="49469"/>
    <cellStyle name="표준 5 39 2 3" xfId="36797"/>
    <cellStyle name="표준 5 39 3" xfId="17781"/>
    <cellStyle name="표준 5 39 3 2" xfId="43133"/>
    <cellStyle name="표준 5 39 4" xfId="30461"/>
    <cellStyle name="표준 5 39 5" xfId="54545"/>
    <cellStyle name="표준 5 4" xfId="23"/>
    <cellStyle name="표준 5 4 10" xfId="1969"/>
    <cellStyle name="표준 5 4 10 2" xfId="1970"/>
    <cellStyle name="표준 5 4 10 2 2" xfId="5109"/>
    <cellStyle name="표준 5 4 10 2 2 2" xfId="11445"/>
    <cellStyle name="표준 5 4 10 2 2 2 2" xfId="24118"/>
    <cellStyle name="표준 5 4 10 2 2 2 2 2" xfId="49470"/>
    <cellStyle name="표준 5 4 10 2 2 2 3" xfId="36798"/>
    <cellStyle name="표준 5 4 10 2 2 3" xfId="17782"/>
    <cellStyle name="표준 5 4 10 2 2 3 2" xfId="43134"/>
    <cellStyle name="표준 5 4 10 2 2 4" xfId="30462"/>
    <cellStyle name="표준 5 4 10 2 2 5" xfId="54546"/>
    <cellStyle name="표준 5 4 10 2 3" xfId="8307"/>
    <cellStyle name="표준 5 4 10 2 3 2" xfId="20980"/>
    <cellStyle name="표준 5 4 10 2 3 2 2" xfId="46332"/>
    <cellStyle name="표준 5 4 10 2 3 3" xfId="33660"/>
    <cellStyle name="표준 5 4 10 2 4" xfId="14644"/>
    <cellStyle name="표준 5 4 10 2 4 2" xfId="39996"/>
    <cellStyle name="표준 5 4 10 2 5" xfId="27324"/>
    <cellStyle name="표준 5 4 10 2 6" xfId="54547"/>
    <cellStyle name="표준 5 4 10 3" xfId="5110"/>
    <cellStyle name="표준 5 4 10 3 2" xfId="11446"/>
    <cellStyle name="표준 5 4 10 3 2 2" xfId="24119"/>
    <cellStyle name="표준 5 4 10 3 2 2 2" xfId="49471"/>
    <cellStyle name="표준 5 4 10 3 2 3" xfId="36799"/>
    <cellStyle name="표준 5 4 10 3 3" xfId="17783"/>
    <cellStyle name="표준 5 4 10 3 3 2" xfId="43135"/>
    <cellStyle name="표준 5 4 10 3 4" xfId="30463"/>
    <cellStyle name="표준 5 4 10 3 5" xfId="54548"/>
    <cellStyle name="표준 5 4 10 4" xfId="8306"/>
    <cellStyle name="표준 5 4 10 4 2" xfId="20979"/>
    <cellStyle name="표준 5 4 10 4 2 2" xfId="46331"/>
    <cellStyle name="표준 5 4 10 4 3" xfId="33659"/>
    <cellStyle name="표준 5 4 10 5" xfId="14643"/>
    <cellStyle name="표준 5 4 10 5 2" xfId="39995"/>
    <cellStyle name="표준 5 4 10 6" xfId="27323"/>
    <cellStyle name="표준 5 4 10 7" xfId="54549"/>
    <cellStyle name="표준 5 4 11" xfId="1971"/>
    <cellStyle name="표준 5 4 11 2" xfId="1972"/>
    <cellStyle name="표준 5 4 11 2 2" xfId="5111"/>
    <cellStyle name="표준 5 4 11 2 2 2" xfId="11447"/>
    <cellStyle name="표준 5 4 11 2 2 2 2" xfId="24120"/>
    <cellStyle name="표준 5 4 11 2 2 2 2 2" xfId="49472"/>
    <cellStyle name="표준 5 4 11 2 2 2 3" xfId="36800"/>
    <cellStyle name="표준 5 4 11 2 2 3" xfId="17784"/>
    <cellStyle name="표준 5 4 11 2 2 3 2" xfId="43136"/>
    <cellStyle name="표준 5 4 11 2 2 4" xfId="30464"/>
    <cellStyle name="표준 5 4 11 2 2 5" xfId="54550"/>
    <cellStyle name="표준 5 4 11 2 3" xfId="8309"/>
    <cellStyle name="표준 5 4 11 2 3 2" xfId="20982"/>
    <cellStyle name="표준 5 4 11 2 3 2 2" xfId="46334"/>
    <cellStyle name="표준 5 4 11 2 3 3" xfId="33662"/>
    <cellStyle name="표준 5 4 11 2 4" xfId="14646"/>
    <cellStyle name="표준 5 4 11 2 4 2" xfId="39998"/>
    <cellStyle name="표준 5 4 11 2 5" xfId="27326"/>
    <cellStyle name="표준 5 4 11 2 6" xfId="54551"/>
    <cellStyle name="표준 5 4 11 3" xfId="5112"/>
    <cellStyle name="표준 5 4 11 3 2" xfId="11448"/>
    <cellStyle name="표준 5 4 11 3 2 2" xfId="24121"/>
    <cellStyle name="표준 5 4 11 3 2 2 2" xfId="49473"/>
    <cellStyle name="표준 5 4 11 3 2 3" xfId="36801"/>
    <cellStyle name="표준 5 4 11 3 3" xfId="17785"/>
    <cellStyle name="표준 5 4 11 3 3 2" xfId="43137"/>
    <cellStyle name="표준 5 4 11 3 4" xfId="30465"/>
    <cellStyle name="표준 5 4 11 3 5" xfId="54552"/>
    <cellStyle name="표준 5 4 11 4" xfId="8308"/>
    <cellStyle name="표준 5 4 11 4 2" xfId="20981"/>
    <cellStyle name="표준 5 4 11 4 2 2" xfId="46333"/>
    <cellStyle name="표준 5 4 11 4 3" xfId="33661"/>
    <cellStyle name="표준 5 4 11 5" xfId="14645"/>
    <cellStyle name="표준 5 4 11 5 2" xfId="39997"/>
    <cellStyle name="표준 5 4 11 6" xfId="27325"/>
    <cellStyle name="표준 5 4 11 7" xfId="54553"/>
    <cellStyle name="표준 5 4 12" xfId="1973"/>
    <cellStyle name="표준 5 4 12 2" xfId="1974"/>
    <cellStyle name="표준 5 4 12 2 2" xfId="5113"/>
    <cellStyle name="표준 5 4 12 2 2 2" xfId="11449"/>
    <cellStyle name="표준 5 4 12 2 2 2 2" xfId="24122"/>
    <cellStyle name="표준 5 4 12 2 2 2 2 2" xfId="49474"/>
    <cellStyle name="표준 5 4 12 2 2 2 3" xfId="36802"/>
    <cellStyle name="표준 5 4 12 2 2 3" xfId="17786"/>
    <cellStyle name="표준 5 4 12 2 2 3 2" xfId="43138"/>
    <cellStyle name="표준 5 4 12 2 2 4" xfId="30466"/>
    <cellStyle name="표준 5 4 12 2 2 5" xfId="54554"/>
    <cellStyle name="표준 5 4 12 2 3" xfId="8311"/>
    <cellStyle name="표준 5 4 12 2 3 2" xfId="20984"/>
    <cellStyle name="표준 5 4 12 2 3 2 2" xfId="46336"/>
    <cellStyle name="표준 5 4 12 2 3 3" xfId="33664"/>
    <cellStyle name="표준 5 4 12 2 4" xfId="14648"/>
    <cellStyle name="표준 5 4 12 2 4 2" xfId="40000"/>
    <cellStyle name="표준 5 4 12 2 5" xfId="27328"/>
    <cellStyle name="표준 5 4 12 2 6" xfId="54555"/>
    <cellStyle name="표준 5 4 12 3" xfId="5114"/>
    <cellStyle name="표준 5 4 12 3 2" xfId="11450"/>
    <cellStyle name="표준 5 4 12 3 2 2" xfId="24123"/>
    <cellStyle name="표준 5 4 12 3 2 2 2" xfId="49475"/>
    <cellStyle name="표준 5 4 12 3 2 3" xfId="36803"/>
    <cellStyle name="표준 5 4 12 3 3" xfId="17787"/>
    <cellStyle name="표준 5 4 12 3 3 2" xfId="43139"/>
    <cellStyle name="표준 5 4 12 3 4" xfId="30467"/>
    <cellStyle name="표준 5 4 12 3 5" xfId="54556"/>
    <cellStyle name="표준 5 4 12 4" xfId="8310"/>
    <cellStyle name="표준 5 4 12 4 2" xfId="20983"/>
    <cellStyle name="표준 5 4 12 4 2 2" xfId="46335"/>
    <cellStyle name="표준 5 4 12 4 3" xfId="33663"/>
    <cellStyle name="표준 5 4 12 5" xfId="14647"/>
    <cellStyle name="표준 5 4 12 5 2" xfId="39999"/>
    <cellStyle name="표준 5 4 12 6" xfId="27327"/>
    <cellStyle name="표준 5 4 12 7" xfId="54557"/>
    <cellStyle name="표준 5 4 13" xfId="1975"/>
    <cellStyle name="표준 5 4 13 2" xfId="1976"/>
    <cellStyle name="표준 5 4 13 2 2" xfId="5115"/>
    <cellStyle name="표준 5 4 13 2 2 2" xfId="11451"/>
    <cellStyle name="표준 5 4 13 2 2 2 2" xfId="24124"/>
    <cellStyle name="표준 5 4 13 2 2 2 2 2" xfId="49476"/>
    <cellStyle name="표준 5 4 13 2 2 2 3" xfId="36804"/>
    <cellStyle name="표준 5 4 13 2 2 3" xfId="17788"/>
    <cellStyle name="표준 5 4 13 2 2 3 2" xfId="43140"/>
    <cellStyle name="표준 5 4 13 2 2 4" xfId="30468"/>
    <cellStyle name="표준 5 4 13 2 2 5" xfId="54558"/>
    <cellStyle name="표준 5 4 13 2 3" xfId="8313"/>
    <cellStyle name="표준 5 4 13 2 3 2" xfId="20986"/>
    <cellStyle name="표준 5 4 13 2 3 2 2" xfId="46338"/>
    <cellStyle name="표준 5 4 13 2 3 3" xfId="33666"/>
    <cellStyle name="표준 5 4 13 2 4" xfId="14650"/>
    <cellStyle name="표준 5 4 13 2 4 2" xfId="40002"/>
    <cellStyle name="표준 5 4 13 2 5" xfId="27330"/>
    <cellStyle name="표준 5 4 13 2 6" xfId="54559"/>
    <cellStyle name="표준 5 4 13 3" xfId="5116"/>
    <cellStyle name="표준 5 4 13 3 2" xfId="11452"/>
    <cellStyle name="표준 5 4 13 3 2 2" xfId="24125"/>
    <cellStyle name="표준 5 4 13 3 2 2 2" xfId="49477"/>
    <cellStyle name="표준 5 4 13 3 2 3" xfId="36805"/>
    <cellStyle name="표준 5 4 13 3 3" xfId="17789"/>
    <cellStyle name="표준 5 4 13 3 3 2" xfId="43141"/>
    <cellStyle name="표준 5 4 13 3 4" xfId="30469"/>
    <cellStyle name="표준 5 4 13 3 5" xfId="54560"/>
    <cellStyle name="표준 5 4 13 4" xfId="8312"/>
    <cellStyle name="표준 5 4 13 4 2" xfId="20985"/>
    <cellStyle name="표준 5 4 13 4 2 2" xfId="46337"/>
    <cellStyle name="표준 5 4 13 4 3" xfId="33665"/>
    <cellStyle name="표준 5 4 13 5" xfId="14649"/>
    <cellStyle name="표준 5 4 13 5 2" xfId="40001"/>
    <cellStyle name="표준 5 4 13 6" xfId="27329"/>
    <cellStyle name="표준 5 4 13 7" xfId="54561"/>
    <cellStyle name="표준 5 4 14" xfId="1977"/>
    <cellStyle name="표준 5 4 14 2" xfId="1978"/>
    <cellStyle name="표준 5 4 14 2 2" xfId="5117"/>
    <cellStyle name="표준 5 4 14 2 2 2" xfId="11453"/>
    <cellStyle name="표준 5 4 14 2 2 2 2" xfId="24126"/>
    <cellStyle name="표준 5 4 14 2 2 2 2 2" xfId="49478"/>
    <cellStyle name="표준 5 4 14 2 2 2 3" xfId="36806"/>
    <cellStyle name="표준 5 4 14 2 2 3" xfId="17790"/>
    <cellStyle name="표준 5 4 14 2 2 3 2" xfId="43142"/>
    <cellStyle name="표준 5 4 14 2 2 4" xfId="30470"/>
    <cellStyle name="표준 5 4 14 2 2 5" xfId="54562"/>
    <cellStyle name="표준 5 4 14 2 3" xfId="8315"/>
    <cellStyle name="표준 5 4 14 2 3 2" xfId="20988"/>
    <cellStyle name="표준 5 4 14 2 3 2 2" xfId="46340"/>
    <cellStyle name="표준 5 4 14 2 3 3" xfId="33668"/>
    <cellStyle name="표준 5 4 14 2 4" xfId="14652"/>
    <cellStyle name="표준 5 4 14 2 4 2" xfId="40004"/>
    <cellStyle name="표준 5 4 14 2 5" xfId="27332"/>
    <cellStyle name="표준 5 4 14 2 6" xfId="54563"/>
    <cellStyle name="표준 5 4 14 3" xfId="5118"/>
    <cellStyle name="표준 5 4 14 3 2" xfId="11454"/>
    <cellStyle name="표준 5 4 14 3 2 2" xfId="24127"/>
    <cellStyle name="표준 5 4 14 3 2 2 2" xfId="49479"/>
    <cellStyle name="표준 5 4 14 3 2 3" xfId="36807"/>
    <cellStyle name="표준 5 4 14 3 3" xfId="17791"/>
    <cellStyle name="표준 5 4 14 3 3 2" xfId="43143"/>
    <cellStyle name="표준 5 4 14 3 4" xfId="30471"/>
    <cellStyle name="표준 5 4 14 3 5" xfId="54564"/>
    <cellStyle name="표준 5 4 14 4" xfId="8314"/>
    <cellStyle name="표준 5 4 14 4 2" xfId="20987"/>
    <cellStyle name="표준 5 4 14 4 2 2" xfId="46339"/>
    <cellStyle name="표준 5 4 14 4 3" xfId="33667"/>
    <cellStyle name="표준 5 4 14 5" xfId="14651"/>
    <cellStyle name="표준 5 4 14 5 2" xfId="40003"/>
    <cellStyle name="표준 5 4 14 6" xfId="27331"/>
    <cellStyle name="표준 5 4 14 7" xfId="54565"/>
    <cellStyle name="표준 5 4 15" xfId="1979"/>
    <cellStyle name="표준 5 4 15 2" xfId="1980"/>
    <cellStyle name="표준 5 4 15 2 2" xfId="5119"/>
    <cellStyle name="표준 5 4 15 2 2 2" xfId="11455"/>
    <cellStyle name="표준 5 4 15 2 2 2 2" xfId="24128"/>
    <cellStyle name="표준 5 4 15 2 2 2 2 2" xfId="49480"/>
    <cellStyle name="표준 5 4 15 2 2 2 3" xfId="36808"/>
    <cellStyle name="표준 5 4 15 2 2 3" xfId="17792"/>
    <cellStyle name="표준 5 4 15 2 2 3 2" xfId="43144"/>
    <cellStyle name="표준 5 4 15 2 2 4" xfId="30472"/>
    <cellStyle name="표준 5 4 15 2 2 5" xfId="54566"/>
    <cellStyle name="표준 5 4 15 2 3" xfId="8317"/>
    <cellStyle name="표준 5 4 15 2 3 2" xfId="20990"/>
    <cellStyle name="표준 5 4 15 2 3 2 2" xfId="46342"/>
    <cellStyle name="표준 5 4 15 2 3 3" xfId="33670"/>
    <cellStyle name="표준 5 4 15 2 4" xfId="14654"/>
    <cellStyle name="표준 5 4 15 2 4 2" xfId="40006"/>
    <cellStyle name="표준 5 4 15 2 5" xfId="27334"/>
    <cellStyle name="표준 5 4 15 2 6" xfId="54567"/>
    <cellStyle name="표준 5 4 15 3" xfId="5120"/>
    <cellStyle name="표준 5 4 15 3 2" xfId="11456"/>
    <cellStyle name="표준 5 4 15 3 2 2" xfId="24129"/>
    <cellStyle name="표준 5 4 15 3 2 2 2" xfId="49481"/>
    <cellStyle name="표준 5 4 15 3 2 3" xfId="36809"/>
    <cellStyle name="표준 5 4 15 3 3" xfId="17793"/>
    <cellStyle name="표준 5 4 15 3 3 2" xfId="43145"/>
    <cellStyle name="표준 5 4 15 3 4" xfId="30473"/>
    <cellStyle name="표준 5 4 15 3 5" xfId="54568"/>
    <cellStyle name="표준 5 4 15 4" xfId="8316"/>
    <cellStyle name="표준 5 4 15 4 2" xfId="20989"/>
    <cellStyle name="표준 5 4 15 4 2 2" xfId="46341"/>
    <cellStyle name="표준 5 4 15 4 3" xfId="33669"/>
    <cellStyle name="표준 5 4 15 5" xfId="14653"/>
    <cellStyle name="표준 5 4 15 5 2" xfId="40005"/>
    <cellStyle name="표준 5 4 15 6" xfId="27333"/>
    <cellStyle name="표준 5 4 15 7" xfId="54569"/>
    <cellStyle name="표준 5 4 16" xfId="1981"/>
    <cellStyle name="표준 5 4 16 2" xfId="1982"/>
    <cellStyle name="표준 5 4 16 2 2" xfId="5121"/>
    <cellStyle name="표준 5 4 16 2 2 2" xfId="11457"/>
    <cellStyle name="표준 5 4 16 2 2 2 2" xfId="24130"/>
    <cellStyle name="표준 5 4 16 2 2 2 2 2" xfId="49482"/>
    <cellStyle name="표준 5 4 16 2 2 2 3" xfId="36810"/>
    <cellStyle name="표준 5 4 16 2 2 3" xfId="17794"/>
    <cellStyle name="표준 5 4 16 2 2 3 2" xfId="43146"/>
    <cellStyle name="표준 5 4 16 2 2 4" xfId="30474"/>
    <cellStyle name="표준 5 4 16 2 2 5" xfId="54570"/>
    <cellStyle name="표준 5 4 16 2 3" xfId="8319"/>
    <cellStyle name="표준 5 4 16 2 3 2" xfId="20992"/>
    <cellStyle name="표준 5 4 16 2 3 2 2" xfId="46344"/>
    <cellStyle name="표준 5 4 16 2 3 3" xfId="33672"/>
    <cellStyle name="표준 5 4 16 2 4" xfId="14656"/>
    <cellStyle name="표준 5 4 16 2 4 2" xfId="40008"/>
    <cellStyle name="표준 5 4 16 2 5" xfId="27336"/>
    <cellStyle name="표준 5 4 16 2 6" xfId="54571"/>
    <cellStyle name="표준 5 4 16 3" xfId="5122"/>
    <cellStyle name="표준 5 4 16 3 2" xfId="11458"/>
    <cellStyle name="표준 5 4 16 3 2 2" xfId="24131"/>
    <cellStyle name="표준 5 4 16 3 2 2 2" xfId="49483"/>
    <cellStyle name="표준 5 4 16 3 2 3" xfId="36811"/>
    <cellStyle name="표준 5 4 16 3 3" xfId="17795"/>
    <cellStyle name="표준 5 4 16 3 3 2" xfId="43147"/>
    <cellStyle name="표준 5 4 16 3 4" xfId="30475"/>
    <cellStyle name="표준 5 4 16 3 5" xfId="54572"/>
    <cellStyle name="표준 5 4 16 4" xfId="8318"/>
    <cellStyle name="표준 5 4 16 4 2" xfId="20991"/>
    <cellStyle name="표준 5 4 16 4 2 2" xfId="46343"/>
    <cellStyle name="표준 5 4 16 4 3" xfId="33671"/>
    <cellStyle name="표준 5 4 16 5" xfId="14655"/>
    <cellStyle name="표준 5 4 16 5 2" xfId="40007"/>
    <cellStyle name="표준 5 4 16 6" xfId="27335"/>
    <cellStyle name="표준 5 4 16 7" xfId="54573"/>
    <cellStyle name="표준 5 4 17" xfId="1983"/>
    <cellStyle name="표준 5 4 17 2" xfId="1984"/>
    <cellStyle name="표준 5 4 17 2 2" xfId="5123"/>
    <cellStyle name="표준 5 4 17 2 2 2" xfId="11459"/>
    <cellStyle name="표준 5 4 17 2 2 2 2" xfId="24132"/>
    <cellStyle name="표준 5 4 17 2 2 2 2 2" xfId="49484"/>
    <cellStyle name="표준 5 4 17 2 2 2 3" xfId="36812"/>
    <cellStyle name="표준 5 4 17 2 2 3" xfId="17796"/>
    <cellStyle name="표준 5 4 17 2 2 3 2" xfId="43148"/>
    <cellStyle name="표준 5 4 17 2 2 4" xfId="30476"/>
    <cellStyle name="표준 5 4 17 2 2 5" xfId="54574"/>
    <cellStyle name="표준 5 4 17 2 3" xfId="8321"/>
    <cellStyle name="표준 5 4 17 2 3 2" xfId="20994"/>
    <cellStyle name="표준 5 4 17 2 3 2 2" xfId="46346"/>
    <cellStyle name="표준 5 4 17 2 3 3" xfId="33674"/>
    <cellStyle name="표준 5 4 17 2 4" xfId="14658"/>
    <cellStyle name="표준 5 4 17 2 4 2" xfId="40010"/>
    <cellStyle name="표준 5 4 17 2 5" xfId="27338"/>
    <cellStyle name="표준 5 4 17 2 6" xfId="54575"/>
    <cellStyle name="표준 5 4 17 3" xfId="5124"/>
    <cellStyle name="표준 5 4 17 3 2" xfId="11460"/>
    <cellStyle name="표준 5 4 17 3 2 2" xfId="24133"/>
    <cellStyle name="표준 5 4 17 3 2 2 2" xfId="49485"/>
    <cellStyle name="표준 5 4 17 3 2 3" xfId="36813"/>
    <cellStyle name="표준 5 4 17 3 3" xfId="17797"/>
    <cellStyle name="표준 5 4 17 3 3 2" xfId="43149"/>
    <cellStyle name="표준 5 4 17 3 4" xfId="30477"/>
    <cellStyle name="표준 5 4 17 3 5" xfId="54576"/>
    <cellStyle name="표준 5 4 17 4" xfId="8320"/>
    <cellStyle name="표준 5 4 17 4 2" xfId="20993"/>
    <cellStyle name="표준 5 4 17 4 2 2" xfId="46345"/>
    <cellStyle name="표준 5 4 17 4 3" xfId="33673"/>
    <cellStyle name="표준 5 4 17 5" xfId="14657"/>
    <cellStyle name="표준 5 4 17 5 2" xfId="40009"/>
    <cellStyle name="표준 5 4 17 6" xfId="27337"/>
    <cellStyle name="표준 5 4 17 7" xfId="54577"/>
    <cellStyle name="표준 5 4 18" xfId="1985"/>
    <cellStyle name="표준 5 4 18 2" xfId="1986"/>
    <cellStyle name="표준 5 4 18 2 2" xfId="5125"/>
    <cellStyle name="표준 5 4 18 2 2 2" xfId="11461"/>
    <cellStyle name="표준 5 4 18 2 2 2 2" xfId="24134"/>
    <cellStyle name="표준 5 4 18 2 2 2 2 2" xfId="49486"/>
    <cellStyle name="표준 5 4 18 2 2 2 3" xfId="36814"/>
    <cellStyle name="표준 5 4 18 2 2 3" xfId="17798"/>
    <cellStyle name="표준 5 4 18 2 2 3 2" xfId="43150"/>
    <cellStyle name="표준 5 4 18 2 2 4" xfId="30478"/>
    <cellStyle name="표준 5 4 18 2 2 5" xfId="54578"/>
    <cellStyle name="표준 5 4 18 2 3" xfId="8323"/>
    <cellStyle name="표준 5 4 18 2 3 2" xfId="20996"/>
    <cellStyle name="표준 5 4 18 2 3 2 2" xfId="46348"/>
    <cellStyle name="표준 5 4 18 2 3 3" xfId="33676"/>
    <cellStyle name="표준 5 4 18 2 4" xfId="14660"/>
    <cellStyle name="표준 5 4 18 2 4 2" xfId="40012"/>
    <cellStyle name="표준 5 4 18 2 5" xfId="27340"/>
    <cellStyle name="표준 5 4 18 2 6" xfId="54579"/>
    <cellStyle name="표준 5 4 18 3" xfId="5126"/>
    <cellStyle name="표준 5 4 18 3 2" xfId="11462"/>
    <cellStyle name="표준 5 4 18 3 2 2" xfId="24135"/>
    <cellStyle name="표준 5 4 18 3 2 2 2" xfId="49487"/>
    <cellStyle name="표준 5 4 18 3 2 3" xfId="36815"/>
    <cellStyle name="표준 5 4 18 3 3" xfId="17799"/>
    <cellStyle name="표준 5 4 18 3 3 2" xfId="43151"/>
    <cellStyle name="표준 5 4 18 3 4" xfId="30479"/>
    <cellStyle name="표준 5 4 18 3 5" xfId="54580"/>
    <cellStyle name="표준 5 4 18 4" xfId="8322"/>
    <cellStyle name="표준 5 4 18 4 2" xfId="20995"/>
    <cellStyle name="표준 5 4 18 4 2 2" xfId="46347"/>
    <cellStyle name="표준 5 4 18 4 3" xfId="33675"/>
    <cellStyle name="표준 5 4 18 5" xfId="14659"/>
    <cellStyle name="표준 5 4 18 5 2" xfId="40011"/>
    <cellStyle name="표준 5 4 18 6" xfId="27339"/>
    <cellStyle name="표준 5 4 18 7" xfId="54581"/>
    <cellStyle name="표준 5 4 19" xfId="1987"/>
    <cellStyle name="표준 5 4 19 2" xfId="1988"/>
    <cellStyle name="표준 5 4 19 2 2" xfId="5127"/>
    <cellStyle name="표준 5 4 19 2 2 2" xfId="11463"/>
    <cellStyle name="표준 5 4 19 2 2 2 2" xfId="24136"/>
    <cellStyle name="표준 5 4 19 2 2 2 2 2" xfId="49488"/>
    <cellStyle name="표준 5 4 19 2 2 2 3" xfId="36816"/>
    <cellStyle name="표준 5 4 19 2 2 3" xfId="17800"/>
    <cellStyle name="표준 5 4 19 2 2 3 2" xfId="43152"/>
    <cellStyle name="표준 5 4 19 2 2 4" xfId="30480"/>
    <cellStyle name="표준 5 4 19 2 2 5" xfId="54582"/>
    <cellStyle name="표준 5 4 19 2 3" xfId="8325"/>
    <cellStyle name="표준 5 4 19 2 3 2" xfId="20998"/>
    <cellStyle name="표준 5 4 19 2 3 2 2" xfId="46350"/>
    <cellStyle name="표준 5 4 19 2 3 3" xfId="33678"/>
    <cellStyle name="표준 5 4 19 2 4" xfId="14662"/>
    <cellStyle name="표준 5 4 19 2 4 2" xfId="40014"/>
    <cellStyle name="표준 5 4 19 2 5" xfId="27342"/>
    <cellStyle name="표준 5 4 19 2 6" xfId="54583"/>
    <cellStyle name="표준 5 4 19 3" xfId="5128"/>
    <cellStyle name="표준 5 4 19 3 2" xfId="11464"/>
    <cellStyle name="표준 5 4 19 3 2 2" xfId="24137"/>
    <cellStyle name="표준 5 4 19 3 2 2 2" xfId="49489"/>
    <cellStyle name="표준 5 4 19 3 2 3" xfId="36817"/>
    <cellStyle name="표준 5 4 19 3 3" xfId="17801"/>
    <cellStyle name="표준 5 4 19 3 3 2" xfId="43153"/>
    <cellStyle name="표준 5 4 19 3 4" xfId="30481"/>
    <cellStyle name="표준 5 4 19 3 5" xfId="54584"/>
    <cellStyle name="표준 5 4 19 4" xfId="8324"/>
    <cellStyle name="표준 5 4 19 4 2" xfId="20997"/>
    <cellStyle name="표준 5 4 19 4 2 2" xfId="46349"/>
    <cellStyle name="표준 5 4 19 4 3" xfId="33677"/>
    <cellStyle name="표준 5 4 19 5" xfId="14661"/>
    <cellStyle name="표준 5 4 19 5 2" xfId="40013"/>
    <cellStyle name="표준 5 4 19 6" xfId="27341"/>
    <cellStyle name="표준 5 4 19 7" xfId="54585"/>
    <cellStyle name="표준 5 4 2" xfId="85"/>
    <cellStyle name="표준 5 4 2 10" xfId="1989"/>
    <cellStyle name="표준 5 4 2 10 2" xfId="1990"/>
    <cellStyle name="표준 5 4 2 10 2 2" xfId="5129"/>
    <cellStyle name="표준 5 4 2 10 2 2 2" xfId="11465"/>
    <cellStyle name="표준 5 4 2 10 2 2 2 2" xfId="24138"/>
    <cellStyle name="표준 5 4 2 10 2 2 2 2 2" xfId="49490"/>
    <cellStyle name="표준 5 4 2 10 2 2 2 3" xfId="36818"/>
    <cellStyle name="표준 5 4 2 10 2 2 3" xfId="17802"/>
    <cellStyle name="표준 5 4 2 10 2 2 3 2" xfId="43154"/>
    <cellStyle name="표준 5 4 2 10 2 2 4" xfId="30482"/>
    <cellStyle name="표준 5 4 2 10 2 2 5" xfId="54586"/>
    <cellStyle name="표준 5 4 2 10 2 3" xfId="8327"/>
    <cellStyle name="표준 5 4 2 10 2 3 2" xfId="21000"/>
    <cellStyle name="표준 5 4 2 10 2 3 2 2" xfId="46352"/>
    <cellStyle name="표준 5 4 2 10 2 3 3" xfId="33680"/>
    <cellStyle name="표준 5 4 2 10 2 4" xfId="14664"/>
    <cellStyle name="표준 5 4 2 10 2 4 2" xfId="40016"/>
    <cellStyle name="표준 5 4 2 10 2 5" xfId="27344"/>
    <cellStyle name="표준 5 4 2 10 2 6" xfId="54587"/>
    <cellStyle name="표준 5 4 2 10 3" xfId="5130"/>
    <cellStyle name="표준 5 4 2 10 3 2" xfId="11466"/>
    <cellStyle name="표준 5 4 2 10 3 2 2" xfId="24139"/>
    <cellStyle name="표준 5 4 2 10 3 2 2 2" xfId="49491"/>
    <cellStyle name="표준 5 4 2 10 3 2 3" xfId="36819"/>
    <cellStyle name="표준 5 4 2 10 3 3" xfId="17803"/>
    <cellStyle name="표준 5 4 2 10 3 3 2" xfId="43155"/>
    <cellStyle name="표준 5 4 2 10 3 4" xfId="30483"/>
    <cellStyle name="표준 5 4 2 10 3 5" xfId="54588"/>
    <cellStyle name="표준 5 4 2 10 4" xfId="8326"/>
    <cellStyle name="표준 5 4 2 10 4 2" xfId="20999"/>
    <cellStyle name="표준 5 4 2 10 4 2 2" xfId="46351"/>
    <cellStyle name="표준 5 4 2 10 4 3" xfId="33679"/>
    <cellStyle name="표준 5 4 2 10 5" xfId="14663"/>
    <cellStyle name="표준 5 4 2 10 5 2" xfId="40015"/>
    <cellStyle name="표준 5 4 2 10 6" xfId="27343"/>
    <cellStyle name="표준 5 4 2 10 7" xfId="54589"/>
    <cellStyle name="표준 5 4 2 11" xfId="1991"/>
    <cellStyle name="표준 5 4 2 11 2" xfId="1992"/>
    <cellStyle name="표준 5 4 2 11 2 2" xfId="5131"/>
    <cellStyle name="표준 5 4 2 11 2 2 2" xfId="11467"/>
    <cellStyle name="표준 5 4 2 11 2 2 2 2" xfId="24140"/>
    <cellStyle name="표준 5 4 2 11 2 2 2 2 2" xfId="49492"/>
    <cellStyle name="표준 5 4 2 11 2 2 2 3" xfId="36820"/>
    <cellStyle name="표준 5 4 2 11 2 2 3" xfId="17804"/>
    <cellStyle name="표준 5 4 2 11 2 2 3 2" xfId="43156"/>
    <cellStyle name="표준 5 4 2 11 2 2 4" xfId="30484"/>
    <cellStyle name="표준 5 4 2 11 2 2 5" xfId="54590"/>
    <cellStyle name="표준 5 4 2 11 2 3" xfId="8329"/>
    <cellStyle name="표준 5 4 2 11 2 3 2" xfId="21002"/>
    <cellStyle name="표준 5 4 2 11 2 3 2 2" xfId="46354"/>
    <cellStyle name="표준 5 4 2 11 2 3 3" xfId="33682"/>
    <cellStyle name="표준 5 4 2 11 2 4" xfId="14666"/>
    <cellStyle name="표준 5 4 2 11 2 4 2" xfId="40018"/>
    <cellStyle name="표준 5 4 2 11 2 5" xfId="27346"/>
    <cellStyle name="표준 5 4 2 11 2 6" xfId="54591"/>
    <cellStyle name="표준 5 4 2 11 3" xfId="5132"/>
    <cellStyle name="표준 5 4 2 11 3 2" xfId="11468"/>
    <cellStyle name="표준 5 4 2 11 3 2 2" xfId="24141"/>
    <cellStyle name="표준 5 4 2 11 3 2 2 2" xfId="49493"/>
    <cellStyle name="표준 5 4 2 11 3 2 3" xfId="36821"/>
    <cellStyle name="표준 5 4 2 11 3 3" xfId="17805"/>
    <cellStyle name="표준 5 4 2 11 3 3 2" xfId="43157"/>
    <cellStyle name="표준 5 4 2 11 3 4" xfId="30485"/>
    <cellStyle name="표준 5 4 2 11 3 5" xfId="54592"/>
    <cellStyle name="표준 5 4 2 11 4" xfId="8328"/>
    <cellStyle name="표준 5 4 2 11 4 2" xfId="21001"/>
    <cellStyle name="표준 5 4 2 11 4 2 2" xfId="46353"/>
    <cellStyle name="표준 5 4 2 11 4 3" xfId="33681"/>
    <cellStyle name="표준 5 4 2 11 5" xfId="14665"/>
    <cellStyle name="표준 5 4 2 11 5 2" xfId="40017"/>
    <cellStyle name="표준 5 4 2 11 6" xfId="27345"/>
    <cellStyle name="표준 5 4 2 11 7" xfId="54593"/>
    <cellStyle name="표준 5 4 2 12" xfId="1993"/>
    <cellStyle name="표준 5 4 2 12 2" xfId="1994"/>
    <cellStyle name="표준 5 4 2 12 2 2" xfId="5133"/>
    <cellStyle name="표준 5 4 2 12 2 2 2" xfId="11469"/>
    <cellStyle name="표준 5 4 2 12 2 2 2 2" xfId="24142"/>
    <cellStyle name="표준 5 4 2 12 2 2 2 2 2" xfId="49494"/>
    <cellStyle name="표준 5 4 2 12 2 2 2 3" xfId="36822"/>
    <cellStyle name="표준 5 4 2 12 2 2 3" xfId="17806"/>
    <cellStyle name="표준 5 4 2 12 2 2 3 2" xfId="43158"/>
    <cellStyle name="표준 5 4 2 12 2 2 4" xfId="30486"/>
    <cellStyle name="표준 5 4 2 12 2 2 5" xfId="54594"/>
    <cellStyle name="표준 5 4 2 12 2 3" xfId="8331"/>
    <cellStyle name="표준 5 4 2 12 2 3 2" xfId="21004"/>
    <cellStyle name="표준 5 4 2 12 2 3 2 2" xfId="46356"/>
    <cellStyle name="표준 5 4 2 12 2 3 3" xfId="33684"/>
    <cellStyle name="표준 5 4 2 12 2 4" xfId="14668"/>
    <cellStyle name="표준 5 4 2 12 2 4 2" xfId="40020"/>
    <cellStyle name="표준 5 4 2 12 2 5" xfId="27348"/>
    <cellStyle name="표준 5 4 2 12 2 6" xfId="54595"/>
    <cellStyle name="표준 5 4 2 12 3" xfId="5134"/>
    <cellStyle name="표준 5 4 2 12 3 2" xfId="11470"/>
    <cellStyle name="표준 5 4 2 12 3 2 2" xfId="24143"/>
    <cellStyle name="표준 5 4 2 12 3 2 2 2" xfId="49495"/>
    <cellStyle name="표준 5 4 2 12 3 2 3" xfId="36823"/>
    <cellStyle name="표준 5 4 2 12 3 3" xfId="17807"/>
    <cellStyle name="표준 5 4 2 12 3 3 2" xfId="43159"/>
    <cellStyle name="표준 5 4 2 12 3 4" xfId="30487"/>
    <cellStyle name="표준 5 4 2 12 3 5" xfId="54596"/>
    <cellStyle name="표준 5 4 2 12 4" xfId="8330"/>
    <cellStyle name="표준 5 4 2 12 4 2" xfId="21003"/>
    <cellStyle name="표준 5 4 2 12 4 2 2" xfId="46355"/>
    <cellStyle name="표준 5 4 2 12 4 3" xfId="33683"/>
    <cellStyle name="표준 5 4 2 12 5" xfId="14667"/>
    <cellStyle name="표준 5 4 2 12 5 2" xfId="40019"/>
    <cellStyle name="표준 5 4 2 12 6" xfId="27347"/>
    <cellStyle name="표준 5 4 2 12 7" xfId="54597"/>
    <cellStyle name="표준 5 4 2 13" xfId="1995"/>
    <cellStyle name="표준 5 4 2 13 2" xfId="1996"/>
    <cellStyle name="표준 5 4 2 13 2 2" xfId="5135"/>
    <cellStyle name="표준 5 4 2 13 2 2 2" xfId="11471"/>
    <cellStyle name="표준 5 4 2 13 2 2 2 2" xfId="24144"/>
    <cellStyle name="표준 5 4 2 13 2 2 2 2 2" xfId="49496"/>
    <cellStyle name="표준 5 4 2 13 2 2 2 3" xfId="36824"/>
    <cellStyle name="표준 5 4 2 13 2 2 3" xfId="17808"/>
    <cellStyle name="표준 5 4 2 13 2 2 3 2" xfId="43160"/>
    <cellStyle name="표준 5 4 2 13 2 2 4" xfId="30488"/>
    <cellStyle name="표준 5 4 2 13 2 2 5" xfId="54598"/>
    <cellStyle name="표준 5 4 2 13 2 3" xfId="8333"/>
    <cellStyle name="표준 5 4 2 13 2 3 2" xfId="21006"/>
    <cellStyle name="표준 5 4 2 13 2 3 2 2" xfId="46358"/>
    <cellStyle name="표준 5 4 2 13 2 3 3" xfId="33686"/>
    <cellStyle name="표준 5 4 2 13 2 4" xfId="14670"/>
    <cellStyle name="표준 5 4 2 13 2 4 2" xfId="40022"/>
    <cellStyle name="표준 5 4 2 13 2 5" xfId="27350"/>
    <cellStyle name="표준 5 4 2 13 2 6" xfId="54599"/>
    <cellStyle name="표준 5 4 2 13 3" xfId="5136"/>
    <cellStyle name="표준 5 4 2 13 3 2" xfId="11472"/>
    <cellStyle name="표준 5 4 2 13 3 2 2" xfId="24145"/>
    <cellStyle name="표준 5 4 2 13 3 2 2 2" xfId="49497"/>
    <cellStyle name="표준 5 4 2 13 3 2 3" xfId="36825"/>
    <cellStyle name="표준 5 4 2 13 3 3" xfId="17809"/>
    <cellStyle name="표준 5 4 2 13 3 3 2" xfId="43161"/>
    <cellStyle name="표준 5 4 2 13 3 4" xfId="30489"/>
    <cellStyle name="표준 5 4 2 13 3 5" xfId="54600"/>
    <cellStyle name="표준 5 4 2 13 4" xfId="8332"/>
    <cellStyle name="표준 5 4 2 13 4 2" xfId="21005"/>
    <cellStyle name="표준 5 4 2 13 4 2 2" xfId="46357"/>
    <cellStyle name="표준 5 4 2 13 4 3" xfId="33685"/>
    <cellStyle name="표준 5 4 2 13 5" xfId="14669"/>
    <cellStyle name="표준 5 4 2 13 5 2" xfId="40021"/>
    <cellStyle name="표준 5 4 2 13 6" xfId="27349"/>
    <cellStyle name="표준 5 4 2 13 7" xfId="54601"/>
    <cellStyle name="표준 5 4 2 14" xfId="1997"/>
    <cellStyle name="표준 5 4 2 14 2" xfId="1998"/>
    <cellStyle name="표준 5 4 2 14 2 2" xfId="5137"/>
    <cellStyle name="표준 5 4 2 14 2 2 2" xfId="11473"/>
    <cellStyle name="표준 5 4 2 14 2 2 2 2" xfId="24146"/>
    <cellStyle name="표준 5 4 2 14 2 2 2 2 2" xfId="49498"/>
    <cellStyle name="표준 5 4 2 14 2 2 2 3" xfId="36826"/>
    <cellStyle name="표준 5 4 2 14 2 2 3" xfId="17810"/>
    <cellStyle name="표준 5 4 2 14 2 2 3 2" xfId="43162"/>
    <cellStyle name="표준 5 4 2 14 2 2 4" xfId="30490"/>
    <cellStyle name="표준 5 4 2 14 2 2 5" xfId="54602"/>
    <cellStyle name="표준 5 4 2 14 2 3" xfId="8335"/>
    <cellStyle name="표준 5 4 2 14 2 3 2" xfId="21008"/>
    <cellStyle name="표준 5 4 2 14 2 3 2 2" xfId="46360"/>
    <cellStyle name="표준 5 4 2 14 2 3 3" xfId="33688"/>
    <cellStyle name="표준 5 4 2 14 2 4" xfId="14672"/>
    <cellStyle name="표준 5 4 2 14 2 4 2" xfId="40024"/>
    <cellStyle name="표준 5 4 2 14 2 5" xfId="27352"/>
    <cellStyle name="표준 5 4 2 14 2 6" xfId="54603"/>
    <cellStyle name="표준 5 4 2 14 3" xfId="5138"/>
    <cellStyle name="표준 5 4 2 14 3 2" xfId="11474"/>
    <cellStyle name="표준 5 4 2 14 3 2 2" xfId="24147"/>
    <cellStyle name="표준 5 4 2 14 3 2 2 2" xfId="49499"/>
    <cellStyle name="표준 5 4 2 14 3 2 3" xfId="36827"/>
    <cellStyle name="표준 5 4 2 14 3 3" xfId="17811"/>
    <cellStyle name="표준 5 4 2 14 3 3 2" xfId="43163"/>
    <cellStyle name="표준 5 4 2 14 3 4" xfId="30491"/>
    <cellStyle name="표준 5 4 2 14 3 5" xfId="54604"/>
    <cellStyle name="표준 5 4 2 14 4" xfId="8334"/>
    <cellStyle name="표준 5 4 2 14 4 2" xfId="21007"/>
    <cellStyle name="표준 5 4 2 14 4 2 2" xfId="46359"/>
    <cellStyle name="표준 5 4 2 14 4 3" xfId="33687"/>
    <cellStyle name="표준 5 4 2 14 5" xfId="14671"/>
    <cellStyle name="표준 5 4 2 14 5 2" xfId="40023"/>
    <cellStyle name="표준 5 4 2 14 6" xfId="27351"/>
    <cellStyle name="표준 5 4 2 14 7" xfId="54605"/>
    <cellStyle name="표준 5 4 2 15" xfId="1999"/>
    <cellStyle name="표준 5 4 2 15 2" xfId="2000"/>
    <cellStyle name="표준 5 4 2 15 2 2" xfId="5139"/>
    <cellStyle name="표준 5 4 2 15 2 2 2" xfId="11475"/>
    <cellStyle name="표준 5 4 2 15 2 2 2 2" xfId="24148"/>
    <cellStyle name="표준 5 4 2 15 2 2 2 2 2" xfId="49500"/>
    <cellStyle name="표준 5 4 2 15 2 2 2 3" xfId="36828"/>
    <cellStyle name="표준 5 4 2 15 2 2 3" xfId="17812"/>
    <cellStyle name="표준 5 4 2 15 2 2 3 2" xfId="43164"/>
    <cellStyle name="표준 5 4 2 15 2 2 4" xfId="30492"/>
    <cellStyle name="표준 5 4 2 15 2 2 5" xfId="54606"/>
    <cellStyle name="표준 5 4 2 15 2 3" xfId="8337"/>
    <cellStyle name="표준 5 4 2 15 2 3 2" xfId="21010"/>
    <cellStyle name="표준 5 4 2 15 2 3 2 2" xfId="46362"/>
    <cellStyle name="표준 5 4 2 15 2 3 3" xfId="33690"/>
    <cellStyle name="표준 5 4 2 15 2 4" xfId="14674"/>
    <cellStyle name="표준 5 4 2 15 2 4 2" xfId="40026"/>
    <cellStyle name="표준 5 4 2 15 2 5" xfId="27354"/>
    <cellStyle name="표준 5 4 2 15 2 6" xfId="54607"/>
    <cellStyle name="표준 5 4 2 15 3" xfId="5140"/>
    <cellStyle name="표준 5 4 2 15 3 2" xfId="11476"/>
    <cellStyle name="표준 5 4 2 15 3 2 2" xfId="24149"/>
    <cellStyle name="표준 5 4 2 15 3 2 2 2" xfId="49501"/>
    <cellStyle name="표준 5 4 2 15 3 2 3" xfId="36829"/>
    <cellStyle name="표준 5 4 2 15 3 3" xfId="17813"/>
    <cellStyle name="표준 5 4 2 15 3 3 2" xfId="43165"/>
    <cellStyle name="표준 5 4 2 15 3 4" xfId="30493"/>
    <cellStyle name="표준 5 4 2 15 3 5" xfId="54608"/>
    <cellStyle name="표준 5 4 2 15 4" xfId="8336"/>
    <cellStyle name="표준 5 4 2 15 4 2" xfId="21009"/>
    <cellStyle name="표준 5 4 2 15 4 2 2" xfId="46361"/>
    <cellStyle name="표준 5 4 2 15 4 3" xfId="33689"/>
    <cellStyle name="표준 5 4 2 15 5" xfId="14673"/>
    <cellStyle name="표준 5 4 2 15 5 2" xfId="40025"/>
    <cellStyle name="표준 5 4 2 15 6" xfId="27353"/>
    <cellStyle name="표준 5 4 2 15 7" xfId="54609"/>
    <cellStyle name="표준 5 4 2 16" xfId="2001"/>
    <cellStyle name="표준 5 4 2 16 2" xfId="2002"/>
    <cellStyle name="표준 5 4 2 16 2 2" xfId="5141"/>
    <cellStyle name="표준 5 4 2 16 2 2 2" xfId="11477"/>
    <cellStyle name="표준 5 4 2 16 2 2 2 2" xfId="24150"/>
    <cellStyle name="표준 5 4 2 16 2 2 2 2 2" xfId="49502"/>
    <cellStyle name="표준 5 4 2 16 2 2 2 3" xfId="36830"/>
    <cellStyle name="표준 5 4 2 16 2 2 3" xfId="17814"/>
    <cellStyle name="표준 5 4 2 16 2 2 3 2" xfId="43166"/>
    <cellStyle name="표준 5 4 2 16 2 2 4" xfId="30494"/>
    <cellStyle name="표준 5 4 2 16 2 2 5" xfId="54610"/>
    <cellStyle name="표준 5 4 2 16 2 3" xfId="8339"/>
    <cellStyle name="표준 5 4 2 16 2 3 2" xfId="21012"/>
    <cellStyle name="표준 5 4 2 16 2 3 2 2" xfId="46364"/>
    <cellStyle name="표준 5 4 2 16 2 3 3" xfId="33692"/>
    <cellStyle name="표준 5 4 2 16 2 4" xfId="14676"/>
    <cellStyle name="표준 5 4 2 16 2 4 2" xfId="40028"/>
    <cellStyle name="표준 5 4 2 16 2 5" xfId="27356"/>
    <cellStyle name="표준 5 4 2 16 2 6" xfId="54611"/>
    <cellStyle name="표준 5 4 2 16 3" xfId="5142"/>
    <cellStyle name="표준 5 4 2 16 3 2" xfId="11478"/>
    <cellStyle name="표준 5 4 2 16 3 2 2" xfId="24151"/>
    <cellStyle name="표준 5 4 2 16 3 2 2 2" xfId="49503"/>
    <cellStyle name="표준 5 4 2 16 3 2 3" xfId="36831"/>
    <cellStyle name="표준 5 4 2 16 3 3" xfId="17815"/>
    <cellStyle name="표준 5 4 2 16 3 3 2" xfId="43167"/>
    <cellStyle name="표준 5 4 2 16 3 4" xfId="30495"/>
    <cellStyle name="표준 5 4 2 16 3 5" xfId="54612"/>
    <cellStyle name="표준 5 4 2 16 4" xfId="8338"/>
    <cellStyle name="표준 5 4 2 16 4 2" xfId="21011"/>
    <cellStyle name="표준 5 4 2 16 4 2 2" xfId="46363"/>
    <cellStyle name="표준 5 4 2 16 4 3" xfId="33691"/>
    <cellStyle name="표준 5 4 2 16 5" xfId="14675"/>
    <cellStyle name="표준 5 4 2 16 5 2" xfId="40027"/>
    <cellStyle name="표준 5 4 2 16 6" xfId="27355"/>
    <cellStyle name="표준 5 4 2 16 7" xfId="54613"/>
    <cellStyle name="표준 5 4 2 17" xfId="2003"/>
    <cellStyle name="표준 5 4 2 17 2" xfId="2004"/>
    <cellStyle name="표준 5 4 2 17 2 2" xfId="5143"/>
    <cellStyle name="표준 5 4 2 17 2 2 2" xfId="11479"/>
    <cellStyle name="표준 5 4 2 17 2 2 2 2" xfId="24152"/>
    <cellStyle name="표준 5 4 2 17 2 2 2 2 2" xfId="49504"/>
    <cellStyle name="표준 5 4 2 17 2 2 2 3" xfId="36832"/>
    <cellStyle name="표준 5 4 2 17 2 2 3" xfId="17816"/>
    <cellStyle name="표준 5 4 2 17 2 2 3 2" xfId="43168"/>
    <cellStyle name="표준 5 4 2 17 2 2 4" xfId="30496"/>
    <cellStyle name="표준 5 4 2 17 2 2 5" xfId="54614"/>
    <cellStyle name="표준 5 4 2 17 2 3" xfId="8341"/>
    <cellStyle name="표준 5 4 2 17 2 3 2" xfId="21014"/>
    <cellStyle name="표준 5 4 2 17 2 3 2 2" xfId="46366"/>
    <cellStyle name="표준 5 4 2 17 2 3 3" xfId="33694"/>
    <cellStyle name="표준 5 4 2 17 2 4" xfId="14678"/>
    <cellStyle name="표준 5 4 2 17 2 4 2" xfId="40030"/>
    <cellStyle name="표준 5 4 2 17 2 5" xfId="27358"/>
    <cellStyle name="표준 5 4 2 17 2 6" xfId="54615"/>
    <cellStyle name="표준 5 4 2 17 3" xfId="5144"/>
    <cellStyle name="표준 5 4 2 17 3 2" xfId="11480"/>
    <cellStyle name="표준 5 4 2 17 3 2 2" xfId="24153"/>
    <cellStyle name="표준 5 4 2 17 3 2 2 2" xfId="49505"/>
    <cellStyle name="표준 5 4 2 17 3 2 3" xfId="36833"/>
    <cellStyle name="표준 5 4 2 17 3 3" xfId="17817"/>
    <cellStyle name="표준 5 4 2 17 3 3 2" xfId="43169"/>
    <cellStyle name="표준 5 4 2 17 3 4" xfId="30497"/>
    <cellStyle name="표준 5 4 2 17 3 5" xfId="54616"/>
    <cellStyle name="표준 5 4 2 17 4" xfId="8340"/>
    <cellStyle name="표준 5 4 2 17 4 2" xfId="21013"/>
    <cellStyle name="표준 5 4 2 17 4 2 2" xfId="46365"/>
    <cellStyle name="표준 5 4 2 17 4 3" xfId="33693"/>
    <cellStyle name="표준 5 4 2 17 5" xfId="14677"/>
    <cellStyle name="표준 5 4 2 17 5 2" xfId="40029"/>
    <cellStyle name="표준 5 4 2 17 6" xfId="27357"/>
    <cellStyle name="표준 5 4 2 17 7" xfId="54617"/>
    <cellStyle name="표준 5 4 2 18" xfId="2005"/>
    <cellStyle name="표준 5 4 2 18 2" xfId="2006"/>
    <cellStyle name="표준 5 4 2 18 2 2" xfId="5145"/>
    <cellStyle name="표준 5 4 2 18 2 2 2" xfId="11481"/>
    <cellStyle name="표준 5 4 2 18 2 2 2 2" xfId="24154"/>
    <cellStyle name="표준 5 4 2 18 2 2 2 2 2" xfId="49506"/>
    <cellStyle name="표준 5 4 2 18 2 2 2 3" xfId="36834"/>
    <cellStyle name="표준 5 4 2 18 2 2 3" xfId="17818"/>
    <cellStyle name="표준 5 4 2 18 2 2 3 2" xfId="43170"/>
    <cellStyle name="표준 5 4 2 18 2 2 4" xfId="30498"/>
    <cellStyle name="표준 5 4 2 18 2 2 5" xfId="54618"/>
    <cellStyle name="표준 5 4 2 18 2 3" xfId="8343"/>
    <cellStyle name="표준 5 4 2 18 2 3 2" xfId="21016"/>
    <cellStyle name="표준 5 4 2 18 2 3 2 2" xfId="46368"/>
    <cellStyle name="표준 5 4 2 18 2 3 3" xfId="33696"/>
    <cellStyle name="표준 5 4 2 18 2 4" xfId="14680"/>
    <cellStyle name="표준 5 4 2 18 2 4 2" xfId="40032"/>
    <cellStyle name="표준 5 4 2 18 2 5" xfId="27360"/>
    <cellStyle name="표준 5 4 2 18 2 6" xfId="54619"/>
    <cellStyle name="표준 5 4 2 18 3" xfId="5146"/>
    <cellStyle name="표준 5 4 2 18 3 2" xfId="11482"/>
    <cellStyle name="표준 5 4 2 18 3 2 2" xfId="24155"/>
    <cellStyle name="표준 5 4 2 18 3 2 2 2" xfId="49507"/>
    <cellStyle name="표준 5 4 2 18 3 2 3" xfId="36835"/>
    <cellStyle name="표준 5 4 2 18 3 3" xfId="17819"/>
    <cellStyle name="표준 5 4 2 18 3 3 2" xfId="43171"/>
    <cellStyle name="표준 5 4 2 18 3 4" xfId="30499"/>
    <cellStyle name="표준 5 4 2 18 3 5" xfId="54620"/>
    <cellStyle name="표준 5 4 2 18 4" xfId="8342"/>
    <cellStyle name="표준 5 4 2 18 4 2" xfId="21015"/>
    <cellStyle name="표준 5 4 2 18 4 2 2" xfId="46367"/>
    <cellStyle name="표준 5 4 2 18 4 3" xfId="33695"/>
    <cellStyle name="표준 5 4 2 18 5" xfId="14679"/>
    <cellStyle name="표준 5 4 2 18 5 2" xfId="40031"/>
    <cellStyle name="표준 5 4 2 18 6" xfId="27359"/>
    <cellStyle name="표준 5 4 2 18 7" xfId="54621"/>
    <cellStyle name="표준 5 4 2 19" xfId="2007"/>
    <cellStyle name="표준 5 4 2 19 2" xfId="2008"/>
    <cellStyle name="표준 5 4 2 19 2 2" xfId="5147"/>
    <cellStyle name="표준 5 4 2 19 2 2 2" xfId="11483"/>
    <cellStyle name="표준 5 4 2 19 2 2 2 2" xfId="24156"/>
    <cellStyle name="표준 5 4 2 19 2 2 2 2 2" xfId="49508"/>
    <cellStyle name="표준 5 4 2 19 2 2 2 3" xfId="36836"/>
    <cellStyle name="표준 5 4 2 19 2 2 3" xfId="17820"/>
    <cellStyle name="표준 5 4 2 19 2 2 3 2" xfId="43172"/>
    <cellStyle name="표준 5 4 2 19 2 2 4" xfId="30500"/>
    <cellStyle name="표준 5 4 2 19 2 2 5" xfId="54622"/>
    <cellStyle name="표준 5 4 2 19 2 3" xfId="8345"/>
    <cellStyle name="표준 5 4 2 19 2 3 2" xfId="21018"/>
    <cellStyle name="표준 5 4 2 19 2 3 2 2" xfId="46370"/>
    <cellStyle name="표준 5 4 2 19 2 3 3" xfId="33698"/>
    <cellStyle name="표준 5 4 2 19 2 4" xfId="14682"/>
    <cellStyle name="표준 5 4 2 19 2 4 2" xfId="40034"/>
    <cellStyle name="표준 5 4 2 19 2 5" xfId="27362"/>
    <cellStyle name="표준 5 4 2 19 2 6" xfId="54623"/>
    <cellStyle name="표준 5 4 2 19 3" xfId="5148"/>
    <cellStyle name="표준 5 4 2 19 3 2" xfId="11484"/>
    <cellStyle name="표준 5 4 2 19 3 2 2" xfId="24157"/>
    <cellStyle name="표준 5 4 2 19 3 2 2 2" xfId="49509"/>
    <cellStyle name="표준 5 4 2 19 3 2 3" xfId="36837"/>
    <cellStyle name="표준 5 4 2 19 3 3" xfId="17821"/>
    <cellStyle name="표준 5 4 2 19 3 3 2" xfId="43173"/>
    <cellStyle name="표준 5 4 2 19 3 4" xfId="30501"/>
    <cellStyle name="표준 5 4 2 19 3 5" xfId="54624"/>
    <cellStyle name="표준 5 4 2 19 4" xfId="8344"/>
    <cellStyle name="표준 5 4 2 19 4 2" xfId="21017"/>
    <cellStyle name="표준 5 4 2 19 4 2 2" xfId="46369"/>
    <cellStyle name="표준 5 4 2 19 4 3" xfId="33697"/>
    <cellStyle name="표준 5 4 2 19 5" xfId="14681"/>
    <cellStyle name="표준 5 4 2 19 5 2" xfId="40033"/>
    <cellStyle name="표준 5 4 2 19 6" xfId="27361"/>
    <cellStyle name="표준 5 4 2 19 7" xfId="54625"/>
    <cellStyle name="표준 5 4 2 2" xfId="2009"/>
    <cellStyle name="표준 5 4 2 2 2" xfId="2010"/>
    <cellStyle name="표준 5 4 2 2 2 2" xfId="5149"/>
    <cellStyle name="표준 5 4 2 2 2 2 2" xfId="11485"/>
    <cellStyle name="표준 5 4 2 2 2 2 2 2" xfId="24158"/>
    <cellStyle name="표준 5 4 2 2 2 2 2 2 2" xfId="49510"/>
    <cellStyle name="표준 5 4 2 2 2 2 2 3" xfId="36838"/>
    <cellStyle name="표준 5 4 2 2 2 2 3" xfId="17822"/>
    <cellStyle name="표준 5 4 2 2 2 2 3 2" xfId="43174"/>
    <cellStyle name="표준 5 4 2 2 2 2 4" xfId="30502"/>
    <cellStyle name="표준 5 4 2 2 2 2 5" xfId="54626"/>
    <cellStyle name="표준 5 4 2 2 2 3" xfId="8347"/>
    <cellStyle name="표준 5 4 2 2 2 3 2" xfId="21020"/>
    <cellStyle name="표준 5 4 2 2 2 3 2 2" xfId="46372"/>
    <cellStyle name="표준 5 4 2 2 2 3 3" xfId="33700"/>
    <cellStyle name="표준 5 4 2 2 2 4" xfId="14684"/>
    <cellStyle name="표준 5 4 2 2 2 4 2" xfId="40036"/>
    <cellStyle name="표준 5 4 2 2 2 5" xfId="27364"/>
    <cellStyle name="표준 5 4 2 2 2 6" xfId="54627"/>
    <cellStyle name="표준 5 4 2 2 3" xfId="5150"/>
    <cellStyle name="표준 5 4 2 2 3 2" xfId="11486"/>
    <cellStyle name="표준 5 4 2 2 3 2 2" xfId="24159"/>
    <cellStyle name="표준 5 4 2 2 3 2 2 2" xfId="49511"/>
    <cellStyle name="표준 5 4 2 2 3 2 3" xfId="36839"/>
    <cellStyle name="표준 5 4 2 2 3 3" xfId="17823"/>
    <cellStyle name="표준 5 4 2 2 3 3 2" xfId="43175"/>
    <cellStyle name="표준 5 4 2 2 3 4" xfId="30503"/>
    <cellStyle name="표준 5 4 2 2 3 5" xfId="54628"/>
    <cellStyle name="표준 5 4 2 2 4" xfId="8346"/>
    <cellStyle name="표준 5 4 2 2 4 2" xfId="21019"/>
    <cellStyle name="표준 5 4 2 2 4 2 2" xfId="46371"/>
    <cellStyle name="표준 5 4 2 2 4 3" xfId="33699"/>
    <cellStyle name="표준 5 4 2 2 5" xfId="14683"/>
    <cellStyle name="표준 5 4 2 2 5 2" xfId="40035"/>
    <cellStyle name="표준 5 4 2 2 6" xfId="27363"/>
    <cellStyle name="표준 5 4 2 2 7" xfId="54629"/>
    <cellStyle name="표준 5 4 2 20" xfId="2011"/>
    <cellStyle name="표준 5 4 2 20 2" xfId="2012"/>
    <cellStyle name="표준 5 4 2 20 2 2" xfId="5151"/>
    <cellStyle name="표준 5 4 2 20 2 2 2" xfId="11487"/>
    <cellStyle name="표준 5 4 2 20 2 2 2 2" xfId="24160"/>
    <cellStyle name="표준 5 4 2 20 2 2 2 2 2" xfId="49512"/>
    <cellStyle name="표준 5 4 2 20 2 2 2 3" xfId="36840"/>
    <cellStyle name="표준 5 4 2 20 2 2 3" xfId="17824"/>
    <cellStyle name="표준 5 4 2 20 2 2 3 2" xfId="43176"/>
    <cellStyle name="표준 5 4 2 20 2 2 4" xfId="30504"/>
    <cellStyle name="표준 5 4 2 20 2 2 5" xfId="54630"/>
    <cellStyle name="표준 5 4 2 20 2 3" xfId="8349"/>
    <cellStyle name="표준 5 4 2 20 2 3 2" xfId="21022"/>
    <cellStyle name="표준 5 4 2 20 2 3 2 2" xfId="46374"/>
    <cellStyle name="표준 5 4 2 20 2 3 3" xfId="33702"/>
    <cellStyle name="표준 5 4 2 20 2 4" xfId="14686"/>
    <cellStyle name="표준 5 4 2 20 2 4 2" xfId="40038"/>
    <cellStyle name="표준 5 4 2 20 2 5" xfId="27366"/>
    <cellStyle name="표준 5 4 2 20 2 6" xfId="54631"/>
    <cellStyle name="표준 5 4 2 20 3" xfId="5152"/>
    <cellStyle name="표준 5 4 2 20 3 2" xfId="11488"/>
    <cellStyle name="표준 5 4 2 20 3 2 2" xfId="24161"/>
    <cellStyle name="표준 5 4 2 20 3 2 2 2" xfId="49513"/>
    <cellStyle name="표준 5 4 2 20 3 2 3" xfId="36841"/>
    <cellStyle name="표준 5 4 2 20 3 3" xfId="17825"/>
    <cellStyle name="표준 5 4 2 20 3 3 2" xfId="43177"/>
    <cellStyle name="표준 5 4 2 20 3 4" xfId="30505"/>
    <cellStyle name="표준 5 4 2 20 3 5" xfId="54632"/>
    <cellStyle name="표준 5 4 2 20 4" xfId="8348"/>
    <cellStyle name="표준 5 4 2 20 4 2" xfId="21021"/>
    <cellStyle name="표준 5 4 2 20 4 2 2" xfId="46373"/>
    <cellStyle name="표준 5 4 2 20 4 3" xfId="33701"/>
    <cellStyle name="표준 5 4 2 20 5" xfId="14685"/>
    <cellStyle name="표준 5 4 2 20 5 2" xfId="40037"/>
    <cellStyle name="표준 5 4 2 20 6" xfId="27365"/>
    <cellStyle name="표준 5 4 2 20 7" xfId="54633"/>
    <cellStyle name="표준 5 4 2 21" xfId="2013"/>
    <cellStyle name="표준 5 4 2 21 2" xfId="2014"/>
    <cellStyle name="표준 5 4 2 21 2 2" xfId="5153"/>
    <cellStyle name="표준 5 4 2 21 2 2 2" xfId="11489"/>
    <cellStyle name="표준 5 4 2 21 2 2 2 2" xfId="24162"/>
    <cellStyle name="표준 5 4 2 21 2 2 2 2 2" xfId="49514"/>
    <cellStyle name="표준 5 4 2 21 2 2 2 3" xfId="36842"/>
    <cellStyle name="표준 5 4 2 21 2 2 3" xfId="17826"/>
    <cellStyle name="표준 5 4 2 21 2 2 3 2" xfId="43178"/>
    <cellStyle name="표준 5 4 2 21 2 2 4" xfId="30506"/>
    <cellStyle name="표준 5 4 2 21 2 2 5" xfId="54634"/>
    <cellStyle name="표준 5 4 2 21 2 3" xfId="8351"/>
    <cellStyle name="표준 5 4 2 21 2 3 2" xfId="21024"/>
    <cellStyle name="표준 5 4 2 21 2 3 2 2" xfId="46376"/>
    <cellStyle name="표준 5 4 2 21 2 3 3" xfId="33704"/>
    <cellStyle name="표준 5 4 2 21 2 4" xfId="14688"/>
    <cellStyle name="표준 5 4 2 21 2 4 2" xfId="40040"/>
    <cellStyle name="표준 5 4 2 21 2 5" xfId="27368"/>
    <cellStyle name="표준 5 4 2 21 2 6" xfId="54635"/>
    <cellStyle name="표준 5 4 2 21 3" xfId="5154"/>
    <cellStyle name="표준 5 4 2 21 3 2" xfId="11490"/>
    <cellStyle name="표준 5 4 2 21 3 2 2" xfId="24163"/>
    <cellStyle name="표준 5 4 2 21 3 2 2 2" xfId="49515"/>
    <cellStyle name="표준 5 4 2 21 3 2 3" xfId="36843"/>
    <cellStyle name="표준 5 4 2 21 3 3" xfId="17827"/>
    <cellStyle name="표준 5 4 2 21 3 3 2" xfId="43179"/>
    <cellStyle name="표준 5 4 2 21 3 4" xfId="30507"/>
    <cellStyle name="표준 5 4 2 21 3 5" xfId="54636"/>
    <cellStyle name="표준 5 4 2 21 4" xfId="8350"/>
    <cellStyle name="표준 5 4 2 21 4 2" xfId="21023"/>
    <cellStyle name="표준 5 4 2 21 4 2 2" xfId="46375"/>
    <cellStyle name="표준 5 4 2 21 4 3" xfId="33703"/>
    <cellStyle name="표준 5 4 2 21 5" xfId="14687"/>
    <cellStyle name="표준 5 4 2 21 5 2" xfId="40039"/>
    <cellStyle name="표준 5 4 2 21 6" xfId="27367"/>
    <cellStyle name="표준 5 4 2 21 7" xfId="54637"/>
    <cellStyle name="표준 5 4 2 22" xfId="2015"/>
    <cellStyle name="표준 5 4 2 22 2" xfId="2016"/>
    <cellStyle name="표준 5 4 2 22 2 2" xfId="5155"/>
    <cellStyle name="표준 5 4 2 22 2 2 2" xfId="11491"/>
    <cellStyle name="표준 5 4 2 22 2 2 2 2" xfId="24164"/>
    <cellStyle name="표준 5 4 2 22 2 2 2 2 2" xfId="49516"/>
    <cellStyle name="표준 5 4 2 22 2 2 2 3" xfId="36844"/>
    <cellStyle name="표준 5 4 2 22 2 2 3" xfId="17828"/>
    <cellStyle name="표준 5 4 2 22 2 2 3 2" xfId="43180"/>
    <cellStyle name="표준 5 4 2 22 2 2 4" xfId="30508"/>
    <cellStyle name="표준 5 4 2 22 2 2 5" xfId="54638"/>
    <cellStyle name="표준 5 4 2 22 2 3" xfId="8353"/>
    <cellStyle name="표준 5 4 2 22 2 3 2" xfId="21026"/>
    <cellStyle name="표준 5 4 2 22 2 3 2 2" xfId="46378"/>
    <cellStyle name="표준 5 4 2 22 2 3 3" xfId="33706"/>
    <cellStyle name="표준 5 4 2 22 2 4" xfId="14690"/>
    <cellStyle name="표준 5 4 2 22 2 4 2" xfId="40042"/>
    <cellStyle name="표준 5 4 2 22 2 5" xfId="27370"/>
    <cellStyle name="표준 5 4 2 22 2 6" xfId="54639"/>
    <cellStyle name="표준 5 4 2 22 3" xfId="5156"/>
    <cellStyle name="표준 5 4 2 22 3 2" xfId="11492"/>
    <cellStyle name="표준 5 4 2 22 3 2 2" xfId="24165"/>
    <cellStyle name="표준 5 4 2 22 3 2 2 2" xfId="49517"/>
    <cellStyle name="표준 5 4 2 22 3 2 3" xfId="36845"/>
    <cellStyle name="표준 5 4 2 22 3 3" xfId="17829"/>
    <cellStyle name="표준 5 4 2 22 3 3 2" xfId="43181"/>
    <cellStyle name="표준 5 4 2 22 3 4" xfId="30509"/>
    <cellStyle name="표준 5 4 2 22 3 5" xfId="54640"/>
    <cellStyle name="표준 5 4 2 22 4" xfId="8352"/>
    <cellStyle name="표준 5 4 2 22 4 2" xfId="21025"/>
    <cellStyle name="표준 5 4 2 22 4 2 2" xfId="46377"/>
    <cellStyle name="표준 5 4 2 22 4 3" xfId="33705"/>
    <cellStyle name="표준 5 4 2 22 5" xfId="14689"/>
    <cellStyle name="표준 5 4 2 22 5 2" xfId="40041"/>
    <cellStyle name="표준 5 4 2 22 6" xfId="27369"/>
    <cellStyle name="표준 5 4 2 22 7" xfId="54641"/>
    <cellStyle name="표준 5 4 2 23" xfId="2017"/>
    <cellStyle name="표준 5 4 2 23 2" xfId="2018"/>
    <cellStyle name="표준 5 4 2 23 2 2" xfId="5157"/>
    <cellStyle name="표준 5 4 2 23 2 2 2" xfId="11493"/>
    <cellStyle name="표준 5 4 2 23 2 2 2 2" xfId="24166"/>
    <cellStyle name="표준 5 4 2 23 2 2 2 2 2" xfId="49518"/>
    <cellStyle name="표준 5 4 2 23 2 2 2 3" xfId="36846"/>
    <cellStyle name="표준 5 4 2 23 2 2 3" xfId="17830"/>
    <cellStyle name="표준 5 4 2 23 2 2 3 2" xfId="43182"/>
    <cellStyle name="표준 5 4 2 23 2 2 4" xfId="30510"/>
    <cellStyle name="표준 5 4 2 23 2 2 5" xfId="54642"/>
    <cellStyle name="표준 5 4 2 23 2 3" xfId="8355"/>
    <cellStyle name="표준 5 4 2 23 2 3 2" xfId="21028"/>
    <cellStyle name="표준 5 4 2 23 2 3 2 2" xfId="46380"/>
    <cellStyle name="표준 5 4 2 23 2 3 3" xfId="33708"/>
    <cellStyle name="표준 5 4 2 23 2 4" xfId="14692"/>
    <cellStyle name="표준 5 4 2 23 2 4 2" xfId="40044"/>
    <cellStyle name="표준 5 4 2 23 2 5" xfId="27372"/>
    <cellStyle name="표준 5 4 2 23 2 6" xfId="54643"/>
    <cellStyle name="표준 5 4 2 23 3" xfId="5158"/>
    <cellStyle name="표준 5 4 2 23 3 2" xfId="11494"/>
    <cellStyle name="표준 5 4 2 23 3 2 2" xfId="24167"/>
    <cellStyle name="표준 5 4 2 23 3 2 2 2" xfId="49519"/>
    <cellStyle name="표준 5 4 2 23 3 2 3" xfId="36847"/>
    <cellStyle name="표준 5 4 2 23 3 3" xfId="17831"/>
    <cellStyle name="표준 5 4 2 23 3 3 2" xfId="43183"/>
    <cellStyle name="표준 5 4 2 23 3 4" xfId="30511"/>
    <cellStyle name="표준 5 4 2 23 3 5" xfId="54644"/>
    <cellStyle name="표준 5 4 2 23 4" xfId="8354"/>
    <cellStyle name="표준 5 4 2 23 4 2" xfId="21027"/>
    <cellStyle name="표준 5 4 2 23 4 2 2" xfId="46379"/>
    <cellStyle name="표준 5 4 2 23 4 3" xfId="33707"/>
    <cellStyle name="표준 5 4 2 23 5" xfId="14691"/>
    <cellStyle name="표준 5 4 2 23 5 2" xfId="40043"/>
    <cellStyle name="표준 5 4 2 23 6" xfId="27371"/>
    <cellStyle name="표준 5 4 2 23 7" xfId="54645"/>
    <cellStyle name="표준 5 4 2 24" xfId="2019"/>
    <cellStyle name="표준 5 4 2 24 2" xfId="2020"/>
    <cellStyle name="표준 5 4 2 24 2 2" xfId="5159"/>
    <cellStyle name="표준 5 4 2 24 2 2 2" xfId="11495"/>
    <cellStyle name="표준 5 4 2 24 2 2 2 2" xfId="24168"/>
    <cellStyle name="표준 5 4 2 24 2 2 2 2 2" xfId="49520"/>
    <cellStyle name="표준 5 4 2 24 2 2 2 3" xfId="36848"/>
    <cellStyle name="표준 5 4 2 24 2 2 3" xfId="17832"/>
    <cellStyle name="표준 5 4 2 24 2 2 3 2" xfId="43184"/>
    <cellStyle name="표준 5 4 2 24 2 2 4" xfId="30512"/>
    <cellStyle name="표준 5 4 2 24 2 2 5" xfId="54646"/>
    <cellStyle name="표준 5 4 2 24 2 3" xfId="8357"/>
    <cellStyle name="표준 5 4 2 24 2 3 2" xfId="21030"/>
    <cellStyle name="표준 5 4 2 24 2 3 2 2" xfId="46382"/>
    <cellStyle name="표준 5 4 2 24 2 3 3" xfId="33710"/>
    <cellStyle name="표준 5 4 2 24 2 4" xfId="14694"/>
    <cellStyle name="표준 5 4 2 24 2 4 2" xfId="40046"/>
    <cellStyle name="표준 5 4 2 24 2 5" xfId="27374"/>
    <cellStyle name="표준 5 4 2 24 2 6" xfId="54647"/>
    <cellStyle name="표준 5 4 2 24 3" xfId="5160"/>
    <cellStyle name="표준 5 4 2 24 3 2" xfId="11496"/>
    <cellStyle name="표준 5 4 2 24 3 2 2" xfId="24169"/>
    <cellStyle name="표준 5 4 2 24 3 2 2 2" xfId="49521"/>
    <cellStyle name="표준 5 4 2 24 3 2 3" xfId="36849"/>
    <cellStyle name="표준 5 4 2 24 3 3" xfId="17833"/>
    <cellStyle name="표준 5 4 2 24 3 3 2" xfId="43185"/>
    <cellStyle name="표준 5 4 2 24 3 4" xfId="30513"/>
    <cellStyle name="표준 5 4 2 24 3 5" xfId="54648"/>
    <cellStyle name="표준 5 4 2 24 4" xfId="8356"/>
    <cellStyle name="표준 5 4 2 24 4 2" xfId="21029"/>
    <cellStyle name="표준 5 4 2 24 4 2 2" xfId="46381"/>
    <cellStyle name="표준 5 4 2 24 4 3" xfId="33709"/>
    <cellStyle name="표준 5 4 2 24 5" xfId="14693"/>
    <cellStyle name="표준 5 4 2 24 5 2" xfId="40045"/>
    <cellStyle name="표준 5 4 2 24 6" xfId="27373"/>
    <cellStyle name="표준 5 4 2 24 7" xfId="54649"/>
    <cellStyle name="표준 5 4 2 25" xfId="2021"/>
    <cellStyle name="표준 5 4 2 25 2" xfId="2022"/>
    <cellStyle name="표준 5 4 2 25 2 2" xfId="5161"/>
    <cellStyle name="표준 5 4 2 25 2 2 2" xfId="11497"/>
    <cellStyle name="표준 5 4 2 25 2 2 2 2" xfId="24170"/>
    <cellStyle name="표준 5 4 2 25 2 2 2 2 2" xfId="49522"/>
    <cellStyle name="표준 5 4 2 25 2 2 2 3" xfId="36850"/>
    <cellStyle name="표준 5 4 2 25 2 2 3" xfId="17834"/>
    <cellStyle name="표준 5 4 2 25 2 2 3 2" xfId="43186"/>
    <cellStyle name="표준 5 4 2 25 2 2 4" xfId="30514"/>
    <cellStyle name="표준 5 4 2 25 2 2 5" xfId="54650"/>
    <cellStyle name="표준 5 4 2 25 2 3" xfId="8359"/>
    <cellStyle name="표준 5 4 2 25 2 3 2" xfId="21032"/>
    <cellStyle name="표준 5 4 2 25 2 3 2 2" xfId="46384"/>
    <cellStyle name="표준 5 4 2 25 2 3 3" xfId="33712"/>
    <cellStyle name="표준 5 4 2 25 2 4" xfId="14696"/>
    <cellStyle name="표준 5 4 2 25 2 4 2" xfId="40048"/>
    <cellStyle name="표준 5 4 2 25 2 5" xfId="27376"/>
    <cellStyle name="표준 5 4 2 25 2 6" xfId="54651"/>
    <cellStyle name="표준 5 4 2 25 3" xfId="5162"/>
    <cellStyle name="표준 5 4 2 25 3 2" xfId="11498"/>
    <cellStyle name="표준 5 4 2 25 3 2 2" xfId="24171"/>
    <cellStyle name="표준 5 4 2 25 3 2 2 2" xfId="49523"/>
    <cellStyle name="표준 5 4 2 25 3 2 3" xfId="36851"/>
    <cellStyle name="표준 5 4 2 25 3 3" xfId="17835"/>
    <cellStyle name="표준 5 4 2 25 3 3 2" xfId="43187"/>
    <cellStyle name="표준 5 4 2 25 3 4" xfId="30515"/>
    <cellStyle name="표준 5 4 2 25 3 5" xfId="54652"/>
    <cellStyle name="표준 5 4 2 25 4" xfId="8358"/>
    <cellStyle name="표준 5 4 2 25 4 2" xfId="21031"/>
    <cellStyle name="표준 5 4 2 25 4 2 2" xfId="46383"/>
    <cellStyle name="표준 5 4 2 25 4 3" xfId="33711"/>
    <cellStyle name="표준 5 4 2 25 5" xfId="14695"/>
    <cellStyle name="표준 5 4 2 25 5 2" xfId="40047"/>
    <cellStyle name="표준 5 4 2 25 6" xfId="27375"/>
    <cellStyle name="표준 5 4 2 25 7" xfId="54653"/>
    <cellStyle name="표준 5 4 2 26" xfId="2023"/>
    <cellStyle name="표준 5 4 2 26 2" xfId="2024"/>
    <cellStyle name="표준 5 4 2 26 2 2" xfId="5163"/>
    <cellStyle name="표준 5 4 2 26 2 2 2" xfId="11499"/>
    <cellStyle name="표준 5 4 2 26 2 2 2 2" xfId="24172"/>
    <cellStyle name="표준 5 4 2 26 2 2 2 2 2" xfId="49524"/>
    <cellStyle name="표준 5 4 2 26 2 2 2 3" xfId="36852"/>
    <cellStyle name="표준 5 4 2 26 2 2 3" xfId="17836"/>
    <cellStyle name="표준 5 4 2 26 2 2 3 2" xfId="43188"/>
    <cellStyle name="표준 5 4 2 26 2 2 4" xfId="30516"/>
    <cellStyle name="표준 5 4 2 26 2 2 5" xfId="54654"/>
    <cellStyle name="표준 5 4 2 26 2 3" xfId="8361"/>
    <cellStyle name="표준 5 4 2 26 2 3 2" xfId="21034"/>
    <cellStyle name="표준 5 4 2 26 2 3 2 2" xfId="46386"/>
    <cellStyle name="표준 5 4 2 26 2 3 3" xfId="33714"/>
    <cellStyle name="표준 5 4 2 26 2 4" xfId="14698"/>
    <cellStyle name="표준 5 4 2 26 2 4 2" xfId="40050"/>
    <cellStyle name="표준 5 4 2 26 2 5" xfId="27378"/>
    <cellStyle name="표준 5 4 2 26 2 6" xfId="54655"/>
    <cellStyle name="표준 5 4 2 26 3" xfId="5164"/>
    <cellStyle name="표준 5 4 2 26 3 2" xfId="11500"/>
    <cellStyle name="표준 5 4 2 26 3 2 2" xfId="24173"/>
    <cellStyle name="표준 5 4 2 26 3 2 2 2" xfId="49525"/>
    <cellStyle name="표준 5 4 2 26 3 2 3" xfId="36853"/>
    <cellStyle name="표준 5 4 2 26 3 3" xfId="17837"/>
    <cellStyle name="표준 5 4 2 26 3 3 2" xfId="43189"/>
    <cellStyle name="표준 5 4 2 26 3 4" xfId="30517"/>
    <cellStyle name="표준 5 4 2 26 3 5" xfId="54656"/>
    <cellStyle name="표준 5 4 2 26 4" xfId="8360"/>
    <cellStyle name="표준 5 4 2 26 4 2" xfId="21033"/>
    <cellStyle name="표준 5 4 2 26 4 2 2" xfId="46385"/>
    <cellStyle name="표준 5 4 2 26 4 3" xfId="33713"/>
    <cellStyle name="표준 5 4 2 26 5" xfId="14697"/>
    <cellStyle name="표준 5 4 2 26 5 2" xfId="40049"/>
    <cellStyle name="표준 5 4 2 26 6" xfId="27377"/>
    <cellStyle name="표준 5 4 2 26 7" xfId="54657"/>
    <cellStyle name="표준 5 4 2 27" xfId="2025"/>
    <cellStyle name="표준 5 4 2 27 2" xfId="2026"/>
    <cellStyle name="표준 5 4 2 27 2 2" xfId="5165"/>
    <cellStyle name="표준 5 4 2 27 2 2 2" xfId="11501"/>
    <cellStyle name="표준 5 4 2 27 2 2 2 2" xfId="24174"/>
    <cellStyle name="표준 5 4 2 27 2 2 2 2 2" xfId="49526"/>
    <cellStyle name="표준 5 4 2 27 2 2 2 3" xfId="36854"/>
    <cellStyle name="표준 5 4 2 27 2 2 3" xfId="17838"/>
    <cellStyle name="표준 5 4 2 27 2 2 3 2" xfId="43190"/>
    <cellStyle name="표준 5 4 2 27 2 2 4" xfId="30518"/>
    <cellStyle name="표준 5 4 2 27 2 2 5" xfId="54658"/>
    <cellStyle name="표준 5 4 2 27 2 3" xfId="8363"/>
    <cellStyle name="표준 5 4 2 27 2 3 2" xfId="21036"/>
    <cellStyle name="표준 5 4 2 27 2 3 2 2" xfId="46388"/>
    <cellStyle name="표준 5 4 2 27 2 3 3" xfId="33716"/>
    <cellStyle name="표준 5 4 2 27 2 4" xfId="14700"/>
    <cellStyle name="표준 5 4 2 27 2 4 2" xfId="40052"/>
    <cellStyle name="표준 5 4 2 27 2 5" xfId="27380"/>
    <cellStyle name="표준 5 4 2 27 2 6" xfId="54659"/>
    <cellStyle name="표준 5 4 2 27 3" xfId="5166"/>
    <cellStyle name="표준 5 4 2 27 3 2" xfId="11502"/>
    <cellStyle name="표준 5 4 2 27 3 2 2" xfId="24175"/>
    <cellStyle name="표준 5 4 2 27 3 2 2 2" xfId="49527"/>
    <cellStyle name="표준 5 4 2 27 3 2 3" xfId="36855"/>
    <cellStyle name="표준 5 4 2 27 3 3" xfId="17839"/>
    <cellStyle name="표준 5 4 2 27 3 3 2" xfId="43191"/>
    <cellStyle name="표준 5 4 2 27 3 4" xfId="30519"/>
    <cellStyle name="표준 5 4 2 27 3 5" xfId="54660"/>
    <cellStyle name="표준 5 4 2 27 4" xfId="8362"/>
    <cellStyle name="표준 5 4 2 27 4 2" xfId="21035"/>
    <cellStyle name="표준 5 4 2 27 4 2 2" xfId="46387"/>
    <cellStyle name="표준 5 4 2 27 4 3" xfId="33715"/>
    <cellStyle name="표준 5 4 2 27 5" xfId="14699"/>
    <cellStyle name="표준 5 4 2 27 5 2" xfId="40051"/>
    <cellStyle name="표준 5 4 2 27 6" xfId="27379"/>
    <cellStyle name="표준 5 4 2 27 7" xfId="54661"/>
    <cellStyle name="표준 5 4 2 28" xfId="2027"/>
    <cellStyle name="표준 5 4 2 28 2" xfId="2028"/>
    <cellStyle name="표준 5 4 2 28 2 2" xfId="5167"/>
    <cellStyle name="표준 5 4 2 28 2 2 2" xfId="11503"/>
    <cellStyle name="표준 5 4 2 28 2 2 2 2" xfId="24176"/>
    <cellStyle name="표준 5 4 2 28 2 2 2 2 2" xfId="49528"/>
    <cellStyle name="표준 5 4 2 28 2 2 2 3" xfId="36856"/>
    <cellStyle name="표준 5 4 2 28 2 2 3" xfId="17840"/>
    <cellStyle name="표준 5 4 2 28 2 2 3 2" xfId="43192"/>
    <cellStyle name="표준 5 4 2 28 2 2 4" xfId="30520"/>
    <cellStyle name="표준 5 4 2 28 2 2 5" xfId="54662"/>
    <cellStyle name="표준 5 4 2 28 2 3" xfId="8365"/>
    <cellStyle name="표준 5 4 2 28 2 3 2" xfId="21038"/>
    <cellStyle name="표준 5 4 2 28 2 3 2 2" xfId="46390"/>
    <cellStyle name="표준 5 4 2 28 2 3 3" xfId="33718"/>
    <cellStyle name="표준 5 4 2 28 2 4" xfId="14702"/>
    <cellStyle name="표준 5 4 2 28 2 4 2" xfId="40054"/>
    <cellStyle name="표준 5 4 2 28 2 5" xfId="27382"/>
    <cellStyle name="표준 5 4 2 28 2 6" xfId="54663"/>
    <cellStyle name="표준 5 4 2 28 3" xfId="5168"/>
    <cellStyle name="표준 5 4 2 28 3 2" xfId="11504"/>
    <cellStyle name="표준 5 4 2 28 3 2 2" xfId="24177"/>
    <cellStyle name="표준 5 4 2 28 3 2 2 2" xfId="49529"/>
    <cellStyle name="표준 5 4 2 28 3 2 3" xfId="36857"/>
    <cellStyle name="표준 5 4 2 28 3 3" xfId="17841"/>
    <cellStyle name="표준 5 4 2 28 3 3 2" xfId="43193"/>
    <cellStyle name="표준 5 4 2 28 3 4" xfId="30521"/>
    <cellStyle name="표준 5 4 2 28 3 5" xfId="54664"/>
    <cellStyle name="표준 5 4 2 28 4" xfId="8364"/>
    <cellStyle name="표준 5 4 2 28 4 2" xfId="21037"/>
    <cellStyle name="표준 5 4 2 28 4 2 2" xfId="46389"/>
    <cellStyle name="표준 5 4 2 28 4 3" xfId="33717"/>
    <cellStyle name="표준 5 4 2 28 5" xfId="14701"/>
    <cellStyle name="표준 5 4 2 28 5 2" xfId="40053"/>
    <cellStyle name="표준 5 4 2 28 6" xfId="27381"/>
    <cellStyle name="표준 5 4 2 28 7" xfId="54665"/>
    <cellStyle name="표준 5 4 2 29" xfId="2029"/>
    <cellStyle name="표준 5 4 2 29 2" xfId="2030"/>
    <cellStyle name="표준 5 4 2 29 2 2" xfId="5169"/>
    <cellStyle name="표준 5 4 2 29 2 2 2" xfId="11505"/>
    <cellStyle name="표준 5 4 2 29 2 2 2 2" xfId="24178"/>
    <cellStyle name="표준 5 4 2 29 2 2 2 2 2" xfId="49530"/>
    <cellStyle name="표준 5 4 2 29 2 2 2 3" xfId="36858"/>
    <cellStyle name="표준 5 4 2 29 2 2 3" xfId="17842"/>
    <cellStyle name="표준 5 4 2 29 2 2 3 2" xfId="43194"/>
    <cellStyle name="표준 5 4 2 29 2 2 4" xfId="30522"/>
    <cellStyle name="표준 5 4 2 29 2 2 5" xfId="54666"/>
    <cellStyle name="표준 5 4 2 29 2 3" xfId="8367"/>
    <cellStyle name="표준 5 4 2 29 2 3 2" xfId="21040"/>
    <cellStyle name="표준 5 4 2 29 2 3 2 2" xfId="46392"/>
    <cellStyle name="표준 5 4 2 29 2 3 3" xfId="33720"/>
    <cellStyle name="표준 5 4 2 29 2 4" xfId="14704"/>
    <cellStyle name="표준 5 4 2 29 2 4 2" xfId="40056"/>
    <cellStyle name="표준 5 4 2 29 2 5" xfId="27384"/>
    <cellStyle name="표준 5 4 2 29 2 6" xfId="54667"/>
    <cellStyle name="표준 5 4 2 29 3" xfId="5170"/>
    <cellStyle name="표준 5 4 2 29 3 2" xfId="11506"/>
    <cellStyle name="표준 5 4 2 29 3 2 2" xfId="24179"/>
    <cellStyle name="표준 5 4 2 29 3 2 2 2" xfId="49531"/>
    <cellStyle name="표준 5 4 2 29 3 2 3" xfId="36859"/>
    <cellStyle name="표준 5 4 2 29 3 3" xfId="17843"/>
    <cellStyle name="표준 5 4 2 29 3 3 2" xfId="43195"/>
    <cellStyle name="표준 5 4 2 29 3 4" xfId="30523"/>
    <cellStyle name="표준 5 4 2 29 3 5" xfId="54668"/>
    <cellStyle name="표준 5 4 2 29 4" xfId="8366"/>
    <cellStyle name="표준 5 4 2 29 4 2" xfId="21039"/>
    <cellStyle name="표준 5 4 2 29 4 2 2" xfId="46391"/>
    <cellStyle name="표준 5 4 2 29 4 3" xfId="33719"/>
    <cellStyle name="표준 5 4 2 29 5" xfId="14703"/>
    <cellStyle name="표준 5 4 2 29 5 2" xfId="40055"/>
    <cellStyle name="표준 5 4 2 29 6" xfId="27383"/>
    <cellStyle name="표준 5 4 2 29 7" xfId="54669"/>
    <cellStyle name="표준 5 4 2 3" xfId="2031"/>
    <cellStyle name="표준 5 4 2 3 2" xfId="2032"/>
    <cellStyle name="표준 5 4 2 3 2 2" xfId="5171"/>
    <cellStyle name="표준 5 4 2 3 2 2 2" xfId="11507"/>
    <cellStyle name="표준 5 4 2 3 2 2 2 2" xfId="24180"/>
    <cellStyle name="표준 5 4 2 3 2 2 2 2 2" xfId="49532"/>
    <cellStyle name="표준 5 4 2 3 2 2 2 3" xfId="36860"/>
    <cellStyle name="표준 5 4 2 3 2 2 3" xfId="17844"/>
    <cellStyle name="표준 5 4 2 3 2 2 3 2" xfId="43196"/>
    <cellStyle name="표준 5 4 2 3 2 2 4" xfId="30524"/>
    <cellStyle name="표준 5 4 2 3 2 2 5" xfId="54670"/>
    <cellStyle name="표준 5 4 2 3 2 3" xfId="8369"/>
    <cellStyle name="표준 5 4 2 3 2 3 2" xfId="21042"/>
    <cellStyle name="표준 5 4 2 3 2 3 2 2" xfId="46394"/>
    <cellStyle name="표준 5 4 2 3 2 3 3" xfId="33722"/>
    <cellStyle name="표준 5 4 2 3 2 4" xfId="14706"/>
    <cellStyle name="표준 5 4 2 3 2 4 2" xfId="40058"/>
    <cellStyle name="표준 5 4 2 3 2 5" xfId="27386"/>
    <cellStyle name="표준 5 4 2 3 2 6" xfId="54671"/>
    <cellStyle name="표준 5 4 2 3 3" xfId="5172"/>
    <cellStyle name="표준 5 4 2 3 3 2" xfId="11508"/>
    <cellStyle name="표준 5 4 2 3 3 2 2" xfId="24181"/>
    <cellStyle name="표준 5 4 2 3 3 2 2 2" xfId="49533"/>
    <cellStyle name="표준 5 4 2 3 3 2 3" xfId="36861"/>
    <cellStyle name="표준 5 4 2 3 3 3" xfId="17845"/>
    <cellStyle name="표준 5 4 2 3 3 3 2" xfId="43197"/>
    <cellStyle name="표준 5 4 2 3 3 4" xfId="30525"/>
    <cellStyle name="표준 5 4 2 3 3 5" xfId="54672"/>
    <cellStyle name="표준 5 4 2 3 4" xfId="8368"/>
    <cellStyle name="표준 5 4 2 3 4 2" xfId="21041"/>
    <cellStyle name="표준 5 4 2 3 4 2 2" xfId="46393"/>
    <cellStyle name="표준 5 4 2 3 4 3" xfId="33721"/>
    <cellStyle name="표준 5 4 2 3 5" xfId="14705"/>
    <cellStyle name="표준 5 4 2 3 5 2" xfId="40057"/>
    <cellStyle name="표준 5 4 2 3 6" xfId="27385"/>
    <cellStyle name="표준 5 4 2 3 7" xfId="54673"/>
    <cellStyle name="표준 5 4 2 30" xfId="2033"/>
    <cellStyle name="표준 5 4 2 30 2" xfId="2034"/>
    <cellStyle name="표준 5 4 2 30 2 2" xfId="5173"/>
    <cellStyle name="표준 5 4 2 30 2 2 2" xfId="11509"/>
    <cellStyle name="표준 5 4 2 30 2 2 2 2" xfId="24182"/>
    <cellStyle name="표준 5 4 2 30 2 2 2 2 2" xfId="49534"/>
    <cellStyle name="표준 5 4 2 30 2 2 2 3" xfId="36862"/>
    <cellStyle name="표준 5 4 2 30 2 2 3" xfId="17846"/>
    <cellStyle name="표준 5 4 2 30 2 2 3 2" xfId="43198"/>
    <cellStyle name="표준 5 4 2 30 2 2 4" xfId="30526"/>
    <cellStyle name="표준 5 4 2 30 2 2 5" xfId="54674"/>
    <cellStyle name="표준 5 4 2 30 2 3" xfId="8371"/>
    <cellStyle name="표준 5 4 2 30 2 3 2" xfId="21044"/>
    <cellStyle name="표준 5 4 2 30 2 3 2 2" xfId="46396"/>
    <cellStyle name="표준 5 4 2 30 2 3 3" xfId="33724"/>
    <cellStyle name="표준 5 4 2 30 2 4" xfId="14708"/>
    <cellStyle name="표준 5 4 2 30 2 4 2" xfId="40060"/>
    <cellStyle name="표준 5 4 2 30 2 5" xfId="27388"/>
    <cellStyle name="표준 5 4 2 30 2 6" xfId="54675"/>
    <cellStyle name="표준 5 4 2 30 3" xfId="5174"/>
    <cellStyle name="표준 5 4 2 30 3 2" xfId="11510"/>
    <cellStyle name="표준 5 4 2 30 3 2 2" xfId="24183"/>
    <cellStyle name="표준 5 4 2 30 3 2 2 2" xfId="49535"/>
    <cellStyle name="표준 5 4 2 30 3 2 3" xfId="36863"/>
    <cellStyle name="표준 5 4 2 30 3 3" xfId="17847"/>
    <cellStyle name="표준 5 4 2 30 3 3 2" xfId="43199"/>
    <cellStyle name="표준 5 4 2 30 3 4" xfId="30527"/>
    <cellStyle name="표준 5 4 2 30 3 5" xfId="54676"/>
    <cellStyle name="표준 5 4 2 30 4" xfId="8370"/>
    <cellStyle name="표준 5 4 2 30 4 2" xfId="21043"/>
    <cellStyle name="표준 5 4 2 30 4 2 2" xfId="46395"/>
    <cellStyle name="표준 5 4 2 30 4 3" xfId="33723"/>
    <cellStyle name="표준 5 4 2 30 5" xfId="14707"/>
    <cellStyle name="표준 5 4 2 30 5 2" xfId="40059"/>
    <cellStyle name="표준 5 4 2 30 6" xfId="27387"/>
    <cellStyle name="표준 5 4 2 30 7" xfId="54677"/>
    <cellStyle name="표준 5 4 2 31" xfId="2035"/>
    <cellStyle name="표준 5 4 2 31 2" xfId="2036"/>
    <cellStyle name="표준 5 4 2 31 2 2" xfId="5175"/>
    <cellStyle name="표준 5 4 2 31 2 2 2" xfId="11511"/>
    <cellStyle name="표준 5 4 2 31 2 2 2 2" xfId="24184"/>
    <cellStyle name="표준 5 4 2 31 2 2 2 2 2" xfId="49536"/>
    <cellStyle name="표준 5 4 2 31 2 2 2 3" xfId="36864"/>
    <cellStyle name="표준 5 4 2 31 2 2 3" xfId="17848"/>
    <cellStyle name="표준 5 4 2 31 2 2 3 2" xfId="43200"/>
    <cellStyle name="표준 5 4 2 31 2 2 4" xfId="30528"/>
    <cellStyle name="표준 5 4 2 31 2 2 5" xfId="54678"/>
    <cellStyle name="표준 5 4 2 31 2 3" xfId="8373"/>
    <cellStyle name="표준 5 4 2 31 2 3 2" xfId="21046"/>
    <cellStyle name="표준 5 4 2 31 2 3 2 2" xfId="46398"/>
    <cellStyle name="표준 5 4 2 31 2 3 3" xfId="33726"/>
    <cellStyle name="표준 5 4 2 31 2 4" xfId="14710"/>
    <cellStyle name="표준 5 4 2 31 2 4 2" xfId="40062"/>
    <cellStyle name="표준 5 4 2 31 2 5" xfId="27390"/>
    <cellStyle name="표준 5 4 2 31 2 6" xfId="54679"/>
    <cellStyle name="표준 5 4 2 31 3" xfId="5176"/>
    <cellStyle name="표준 5 4 2 31 3 2" xfId="11512"/>
    <cellStyle name="표준 5 4 2 31 3 2 2" xfId="24185"/>
    <cellStyle name="표준 5 4 2 31 3 2 2 2" xfId="49537"/>
    <cellStyle name="표준 5 4 2 31 3 2 3" xfId="36865"/>
    <cellStyle name="표준 5 4 2 31 3 3" xfId="17849"/>
    <cellStyle name="표준 5 4 2 31 3 3 2" xfId="43201"/>
    <cellStyle name="표준 5 4 2 31 3 4" xfId="30529"/>
    <cellStyle name="표준 5 4 2 31 3 5" xfId="54680"/>
    <cellStyle name="표준 5 4 2 31 4" xfId="8372"/>
    <cellStyle name="표준 5 4 2 31 4 2" xfId="21045"/>
    <cellStyle name="표준 5 4 2 31 4 2 2" xfId="46397"/>
    <cellStyle name="표준 5 4 2 31 4 3" xfId="33725"/>
    <cellStyle name="표준 5 4 2 31 5" xfId="14709"/>
    <cellStyle name="표준 5 4 2 31 5 2" xfId="40061"/>
    <cellStyle name="표준 5 4 2 31 6" xfId="27389"/>
    <cellStyle name="표준 5 4 2 31 7" xfId="54681"/>
    <cellStyle name="표준 5 4 2 32" xfId="2037"/>
    <cellStyle name="표준 5 4 2 32 2" xfId="2038"/>
    <cellStyle name="표준 5 4 2 32 2 2" xfId="5177"/>
    <cellStyle name="표준 5 4 2 32 2 2 2" xfId="11513"/>
    <cellStyle name="표준 5 4 2 32 2 2 2 2" xfId="24186"/>
    <cellStyle name="표준 5 4 2 32 2 2 2 2 2" xfId="49538"/>
    <cellStyle name="표준 5 4 2 32 2 2 2 3" xfId="36866"/>
    <cellStyle name="표준 5 4 2 32 2 2 3" xfId="17850"/>
    <cellStyle name="표준 5 4 2 32 2 2 3 2" xfId="43202"/>
    <cellStyle name="표준 5 4 2 32 2 2 4" xfId="30530"/>
    <cellStyle name="표준 5 4 2 32 2 2 5" xfId="54682"/>
    <cellStyle name="표준 5 4 2 32 2 3" xfId="8375"/>
    <cellStyle name="표준 5 4 2 32 2 3 2" xfId="21048"/>
    <cellStyle name="표준 5 4 2 32 2 3 2 2" xfId="46400"/>
    <cellStyle name="표준 5 4 2 32 2 3 3" xfId="33728"/>
    <cellStyle name="표준 5 4 2 32 2 4" xfId="14712"/>
    <cellStyle name="표준 5 4 2 32 2 4 2" xfId="40064"/>
    <cellStyle name="표준 5 4 2 32 2 5" xfId="27392"/>
    <cellStyle name="표준 5 4 2 32 2 6" xfId="54683"/>
    <cellStyle name="표준 5 4 2 32 3" xfId="5178"/>
    <cellStyle name="표준 5 4 2 32 3 2" xfId="11514"/>
    <cellStyle name="표준 5 4 2 32 3 2 2" xfId="24187"/>
    <cellStyle name="표준 5 4 2 32 3 2 2 2" xfId="49539"/>
    <cellStyle name="표준 5 4 2 32 3 2 3" xfId="36867"/>
    <cellStyle name="표준 5 4 2 32 3 3" xfId="17851"/>
    <cellStyle name="표준 5 4 2 32 3 3 2" xfId="43203"/>
    <cellStyle name="표준 5 4 2 32 3 4" xfId="30531"/>
    <cellStyle name="표준 5 4 2 32 3 5" xfId="54684"/>
    <cellStyle name="표준 5 4 2 32 4" xfId="8374"/>
    <cellStyle name="표준 5 4 2 32 4 2" xfId="21047"/>
    <cellStyle name="표준 5 4 2 32 4 2 2" xfId="46399"/>
    <cellStyle name="표준 5 4 2 32 4 3" xfId="33727"/>
    <cellStyle name="표준 5 4 2 32 5" xfId="14711"/>
    <cellStyle name="표준 5 4 2 32 5 2" xfId="40063"/>
    <cellStyle name="표준 5 4 2 32 6" xfId="27391"/>
    <cellStyle name="표준 5 4 2 32 7" xfId="54685"/>
    <cellStyle name="표준 5 4 2 33" xfId="2039"/>
    <cellStyle name="표준 5 4 2 33 2" xfId="2040"/>
    <cellStyle name="표준 5 4 2 33 2 2" xfId="5179"/>
    <cellStyle name="표준 5 4 2 33 2 2 2" xfId="11515"/>
    <cellStyle name="표준 5 4 2 33 2 2 2 2" xfId="24188"/>
    <cellStyle name="표준 5 4 2 33 2 2 2 2 2" xfId="49540"/>
    <cellStyle name="표준 5 4 2 33 2 2 2 3" xfId="36868"/>
    <cellStyle name="표준 5 4 2 33 2 2 3" xfId="17852"/>
    <cellStyle name="표준 5 4 2 33 2 2 3 2" xfId="43204"/>
    <cellStyle name="표준 5 4 2 33 2 2 4" xfId="30532"/>
    <cellStyle name="표준 5 4 2 33 2 2 5" xfId="54686"/>
    <cellStyle name="표준 5 4 2 33 2 3" xfId="8377"/>
    <cellStyle name="표준 5 4 2 33 2 3 2" xfId="21050"/>
    <cellStyle name="표준 5 4 2 33 2 3 2 2" xfId="46402"/>
    <cellStyle name="표준 5 4 2 33 2 3 3" xfId="33730"/>
    <cellStyle name="표준 5 4 2 33 2 4" xfId="14714"/>
    <cellStyle name="표준 5 4 2 33 2 4 2" xfId="40066"/>
    <cellStyle name="표준 5 4 2 33 2 5" xfId="27394"/>
    <cellStyle name="표준 5 4 2 33 2 6" xfId="54687"/>
    <cellStyle name="표준 5 4 2 33 3" xfId="5180"/>
    <cellStyle name="표준 5 4 2 33 3 2" xfId="11516"/>
    <cellStyle name="표준 5 4 2 33 3 2 2" xfId="24189"/>
    <cellStyle name="표준 5 4 2 33 3 2 2 2" xfId="49541"/>
    <cellStyle name="표준 5 4 2 33 3 2 3" xfId="36869"/>
    <cellStyle name="표준 5 4 2 33 3 3" xfId="17853"/>
    <cellStyle name="표준 5 4 2 33 3 3 2" xfId="43205"/>
    <cellStyle name="표준 5 4 2 33 3 4" xfId="30533"/>
    <cellStyle name="표준 5 4 2 33 3 5" xfId="54688"/>
    <cellStyle name="표준 5 4 2 33 4" xfId="8376"/>
    <cellStyle name="표준 5 4 2 33 4 2" xfId="21049"/>
    <cellStyle name="표준 5 4 2 33 4 2 2" xfId="46401"/>
    <cellStyle name="표준 5 4 2 33 4 3" xfId="33729"/>
    <cellStyle name="표준 5 4 2 33 5" xfId="14713"/>
    <cellStyle name="표준 5 4 2 33 5 2" xfId="40065"/>
    <cellStyle name="표준 5 4 2 33 6" xfId="27393"/>
    <cellStyle name="표준 5 4 2 33 7" xfId="54689"/>
    <cellStyle name="표준 5 4 2 34" xfId="2041"/>
    <cellStyle name="표준 5 4 2 34 2" xfId="5181"/>
    <cellStyle name="표준 5 4 2 34 2 2" xfId="11517"/>
    <cellStyle name="표준 5 4 2 34 2 2 2" xfId="24190"/>
    <cellStyle name="표준 5 4 2 34 2 2 2 2" xfId="49542"/>
    <cellStyle name="표준 5 4 2 34 2 2 3" xfId="36870"/>
    <cellStyle name="표준 5 4 2 34 2 3" xfId="17854"/>
    <cellStyle name="표준 5 4 2 34 2 3 2" xfId="43206"/>
    <cellStyle name="표준 5 4 2 34 2 4" xfId="30534"/>
    <cellStyle name="표준 5 4 2 34 2 5" xfId="54690"/>
    <cellStyle name="표준 5 4 2 34 3" xfId="8378"/>
    <cellStyle name="표준 5 4 2 34 3 2" xfId="21051"/>
    <cellStyle name="표준 5 4 2 34 3 2 2" xfId="46403"/>
    <cellStyle name="표준 5 4 2 34 3 3" xfId="33731"/>
    <cellStyle name="표준 5 4 2 34 4" xfId="14715"/>
    <cellStyle name="표준 5 4 2 34 4 2" xfId="40067"/>
    <cellStyle name="표준 5 4 2 34 5" xfId="27395"/>
    <cellStyle name="표준 5 4 2 34 6" xfId="54691"/>
    <cellStyle name="표준 5 4 2 35" xfId="5182"/>
    <cellStyle name="표준 5 4 2 35 2" xfId="11518"/>
    <cellStyle name="표준 5 4 2 35 2 2" xfId="24191"/>
    <cellStyle name="표준 5 4 2 35 2 2 2" xfId="49543"/>
    <cellStyle name="표준 5 4 2 35 2 3" xfId="36871"/>
    <cellStyle name="표준 5 4 2 35 3" xfId="17855"/>
    <cellStyle name="표준 5 4 2 35 3 2" xfId="43207"/>
    <cellStyle name="표준 5 4 2 35 4" xfId="30535"/>
    <cellStyle name="표준 5 4 2 35 5" xfId="54692"/>
    <cellStyle name="표준 5 4 2 36" xfId="6423"/>
    <cellStyle name="표준 5 4 2 36 2" xfId="19096"/>
    <cellStyle name="표준 5 4 2 36 2 2" xfId="44448"/>
    <cellStyle name="표준 5 4 2 36 3" xfId="31776"/>
    <cellStyle name="표준 5 4 2 37" xfId="12760"/>
    <cellStyle name="표준 5 4 2 37 2" xfId="38112"/>
    <cellStyle name="표준 5 4 2 38" xfId="25440"/>
    <cellStyle name="표준 5 4 2 39" xfId="54693"/>
    <cellStyle name="표준 5 4 2 4" xfId="2042"/>
    <cellStyle name="표준 5 4 2 4 2" xfId="2043"/>
    <cellStyle name="표준 5 4 2 4 2 2" xfId="5183"/>
    <cellStyle name="표준 5 4 2 4 2 2 2" xfId="11519"/>
    <cellStyle name="표준 5 4 2 4 2 2 2 2" xfId="24192"/>
    <cellStyle name="표준 5 4 2 4 2 2 2 2 2" xfId="49544"/>
    <cellStyle name="표준 5 4 2 4 2 2 2 3" xfId="36872"/>
    <cellStyle name="표준 5 4 2 4 2 2 3" xfId="17856"/>
    <cellStyle name="표준 5 4 2 4 2 2 3 2" xfId="43208"/>
    <cellStyle name="표준 5 4 2 4 2 2 4" xfId="30536"/>
    <cellStyle name="표준 5 4 2 4 2 2 5" xfId="54694"/>
    <cellStyle name="표준 5 4 2 4 2 3" xfId="8380"/>
    <cellStyle name="표준 5 4 2 4 2 3 2" xfId="21053"/>
    <cellStyle name="표준 5 4 2 4 2 3 2 2" xfId="46405"/>
    <cellStyle name="표준 5 4 2 4 2 3 3" xfId="33733"/>
    <cellStyle name="표준 5 4 2 4 2 4" xfId="14717"/>
    <cellStyle name="표준 5 4 2 4 2 4 2" xfId="40069"/>
    <cellStyle name="표준 5 4 2 4 2 5" xfId="27397"/>
    <cellStyle name="표준 5 4 2 4 2 6" xfId="54695"/>
    <cellStyle name="표준 5 4 2 4 3" xfId="5184"/>
    <cellStyle name="표준 5 4 2 4 3 2" xfId="11520"/>
    <cellStyle name="표준 5 4 2 4 3 2 2" xfId="24193"/>
    <cellStyle name="표준 5 4 2 4 3 2 2 2" xfId="49545"/>
    <cellStyle name="표준 5 4 2 4 3 2 3" xfId="36873"/>
    <cellStyle name="표준 5 4 2 4 3 3" xfId="17857"/>
    <cellStyle name="표준 5 4 2 4 3 3 2" xfId="43209"/>
    <cellStyle name="표준 5 4 2 4 3 4" xfId="30537"/>
    <cellStyle name="표준 5 4 2 4 3 5" xfId="54696"/>
    <cellStyle name="표준 5 4 2 4 4" xfId="8379"/>
    <cellStyle name="표준 5 4 2 4 4 2" xfId="21052"/>
    <cellStyle name="표준 5 4 2 4 4 2 2" xfId="46404"/>
    <cellStyle name="표준 5 4 2 4 4 3" xfId="33732"/>
    <cellStyle name="표준 5 4 2 4 5" xfId="14716"/>
    <cellStyle name="표준 5 4 2 4 5 2" xfId="40068"/>
    <cellStyle name="표준 5 4 2 4 6" xfId="27396"/>
    <cellStyle name="표준 5 4 2 4 7" xfId="54697"/>
    <cellStyle name="표준 5 4 2 5" xfId="2044"/>
    <cellStyle name="표준 5 4 2 5 2" xfId="2045"/>
    <cellStyle name="표준 5 4 2 5 2 2" xfId="5185"/>
    <cellStyle name="표준 5 4 2 5 2 2 2" xfId="11521"/>
    <cellStyle name="표준 5 4 2 5 2 2 2 2" xfId="24194"/>
    <cellStyle name="표준 5 4 2 5 2 2 2 2 2" xfId="49546"/>
    <cellStyle name="표준 5 4 2 5 2 2 2 3" xfId="36874"/>
    <cellStyle name="표준 5 4 2 5 2 2 3" xfId="17858"/>
    <cellStyle name="표준 5 4 2 5 2 2 3 2" xfId="43210"/>
    <cellStyle name="표준 5 4 2 5 2 2 4" xfId="30538"/>
    <cellStyle name="표준 5 4 2 5 2 2 5" xfId="54698"/>
    <cellStyle name="표준 5 4 2 5 2 3" xfId="8382"/>
    <cellStyle name="표준 5 4 2 5 2 3 2" xfId="21055"/>
    <cellStyle name="표준 5 4 2 5 2 3 2 2" xfId="46407"/>
    <cellStyle name="표준 5 4 2 5 2 3 3" xfId="33735"/>
    <cellStyle name="표준 5 4 2 5 2 4" xfId="14719"/>
    <cellStyle name="표준 5 4 2 5 2 4 2" xfId="40071"/>
    <cellStyle name="표준 5 4 2 5 2 5" xfId="27399"/>
    <cellStyle name="표준 5 4 2 5 2 6" xfId="54699"/>
    <cellStyle name="표준 5 4 2 5 3" xfId="5186"/>
    <cellStyle name="표준 5 4 2 5 3 2" xfId="11522"/>
    <cellStyle name="표준 5 4 2 5 3 2 2" xfId="24195"/>
    <cellStyle name="표준 5 4 2 5 3 2 2 2" xfId="49547"/>
    <cellStyle name="표준 5 4 2 5 3 2 3" xfId="36875"/>
    <cellStyle name="표준 5 4 2 5 3 3" xfId="17859"/>
    <cellStyle name="표준 5 4 2 5 3 3 2" xfId="43211"/>
    <cellStyle name="표준 5 4 2 5 3 4" xfId="30539"/>
    <cellStyle name="표준 5 4 2 5 3 5" xfId="54700"/>
    <cellStyle name="표준 5 4 2 5 4" xfId="8381"/>
    <cellStyle name="표준 5 4 2 5 4 2" xfId="21054"/>
    <cellStyle name="표준 5 4 2 5 4 2 2" xfId="46406"/>
    <cellStyle name="표준 5 4 2 5 4 3" xfId="33734"/>
    <cellStyle name="표준 5 4 2 5 5" xfId="14718"/>
    <cellStyle name="표준 5 4 2 5 5 2" xfId="40070"/>
    <cellStyle name="표준 5 4 2 5 6" xfId="27398"/>
    <cellStyle name="표준 5 4 2 5 7" xfId="54701"/>
    <cellStyle name="표준 5 4 2 6" xfId="2046"/>
    <cellStyle name="표준 5 4 2 6 2" xfId="2047"/>
    <cellStyle name="표준 5 4 2 6 2 2" xfId="5187"/>
    <cellStyle name="표준 5 4 2 6 2 2 2" xfId="11523"/>
    <cellStyle name="표준 5 4 2 6 2 2 2 2" xfId="24196"/>
    <cellStyle name="표준 5 4 2 6 2 2 2 2 2" xfId="49548"/>
    <cellStyle name="표준 5 4 2 6 2 2 2 3" xfId="36876"/>
    <cellStyle name="표준 5 4 2 6 2 2 3" xfId="17860"/>
    <cellStyle name="표준 5 4 2 6 2 2 3 2" xfId="43212"/>
    <cellStyle name="표준 5 4 2 6 2 2 4" xfId="30540"/>
    <cellStyle name="표준 5 4 2 6 2 2 5" xfId="54702"/>
    <cellStyle name="표준 5 4 2 6 2 3" xfId="8384"/>
    <cellStyle name="표준 5 4 2 6 2 3 2" xfId="21057"/>
    <cellStyle name="표준 5 4 2 6 2 3 2 2" xfId="46409"/>
    <cellStyle name="표준 5 4 2 6 2 3 3" xfId="33737"/>
    <cellStyle name="표준 5 4 2 6 2 4" xfId="14721"/>
    <cellStyle name="표준 5 4 2 6 2 4 2" xfId="40073"/>
    <cellStyle name="표준 5 4 2 6 2 5" xfId="27401"/>
    <cellStyle name="표준 5 4 2 6 2 6" xfId="54703"/>
    <cellStyle name="표준 5 4 2 6 3" xfId="5188"/>
    <cellStyle name="표준 5 4 2 6 3 2" xfId="11524"/>
    <cellStyle name="표준 5 4 2 6 3 2 2" xfId="24197"/>
    <cellStyle name="표준 5 4 2 6 3 2 2 2" xfId="49549"/>
    <cellStyle name="표준 5 4 2 6 3 2 3" xfId="36877"/>
    <cellStyle name="표준 5 4 2 6 3 3" xfId="17861"/>
    <cellStyle name="표준 5 4 2 6 3 3 2" xfId="43213"/>
    <cellStyle name="표준 5 4 2 6 3 4" xfId="30541"/>
    <cellStyle name="표준 5 4 2 6 3 5" xfId="54704"/>
    <cellStyle name="표준 5 4 2 6 4" xfId="8383"/>
    <cellStyle name="표준 5 4 2 6 4 2" xfId="21056"/>
    <cellStyle name="표준 5 4 2 6 4 2 2" xfId="46408"/>
    <cellStyle name="표준 5 4 2 6 4 3" xfId="33736"/>
    <cellStyle name="표준 5 4 2 6 5" xfId="14720"/>
    <cellStyle name="표준 5 4 2 6 5 2" xfId="40072"/>
    <cellStyle name="표준 5 4 2 6 6" xfId="27400"/>
    <cellStyle name="표준 5 4 2 6 7" xfId="54705"/>
    <cellStyle name="표준 5 4 2 7" xfId="2048"/>
    <cellStyle name="표준 5 4 2 7 2" xfId="2049"/>
    <cellStyle name="표준 5 4 2 7 2 2" xfId="5189"/>
    <cellStyle name="표준 5 4 2 7 2 2 2" xfId="11525"/>
    <cellStyle name="표준 5 4 2 7 2 2 2 2" xfId="24198"/>
    <cellStyle name="표준 5 4 2 7 2 2 2 2 2" xfId="49550"/>
    <cellStyle name="표준 5 4 2 7 2 2 2 3" xfId="36878"/>
    <cellStyle name="표준 5 4 2 7 2 2 3" xfId="17862"/>
    <cellStyle name="표준 5 4 2 7 2 2 3 2" xfId="43214"/>
    <cellStyle name="표준 5 4 2 7 2 2 4" xfId="30542"/>
    <cellStyle name="표준 5 4 2 7 2 2 5" xfId="54706"/>
    <cellStyle name="표준 5 4 2 7 2 3" xfId="8386"/>
    <cellStyle name="표준 5 4 2 7 2 3 2" xfId="21059"/>
    <cellStyle name="표준 5 4 2 7 2 3 2 2" xfId="46411"/>
    <cellStyle name="표준 5 4 2 7 2 3 3" xfId="33739"/>
    <cellStyle name="표준 5 4 2 7 2 4" xfId="14723"/>
    <cellStyle name="표준 5 4 2 7 2 4 2" xfId="40075"/>
    <cellStyle name="표준 5 4 2 7 2 5" xfId="27403"/>
    <cellStyle name="표준 5 4 2 7 2 6" xfId="54707"/>
    <cellStyle name="표준 5 4 2 7 3" xfId="5190"/>
    <cellStyle name="표준 5 4 2 7 3 2" xfId="11526"/>
    <cellStyle name="표준 5 4 2 7 3 2 2" xfId="24199"/>
    <cellStyle name="표준 5 4 2 7 3 2 2 2" xfId="49551"/>
    <cellStyle name="표준 5 4 2 7 3 2 3" xfId="36879"/>
    <cellStyle name="표준 5 4 2 7 3 3" xfId="17863"/>
    <cellStyle name="표준 5 4 2 7 3 3 2" xfId="43215"/>
    <cellStyle name="표준 5 4 2 7 3 4" xfId="30543"/>
    <cellStyle name="표준 5 4 2 7 3 5" xfId="54708"/>
    <cellStyle name="표준 5 4 2 7 4" xfId="8385"/>
    <cellStyle name="표준 5 4 2 7 4 2" xfId="21058"/>
    <cellStyle name="표준 5 4 2 7 4 2 2" xfId="46410"/>
    <cellStyle name="표준 5 4 2 7 4 3" xfId="33738"/>
    <cellStyle name="표준 5 4 2 7 5" xfId="14722"/>
    <cellStyle name="표준 5 4 2 7 5 2" xfId="40074"/>
    <cellStyle name="표준 5 4 2 7 6" xfId="27402"/>
    <cellStyle name="표준 5 4 2 7 7" xfId="54709"/>
    <cellStyle name="표준 5 4 2 8" xfId="2050"/>
    <cellStyle name="표준 5 4 2 8 2" xfId="2051"/>
    <cellStyle name="표준 5 4 2 8 2 2" xfId="5191"/>
    <cellStyle name="표준 5 4 2 8 2 2 2" xfId="11527"/>
    <cellStyle name="표준 5 4 2 8 2 2 2 2" xfId="24200"/>
    <cellStyle name="표준 5 4 2 8 2 2 2 2 2" xfId="49552"/>
    <cellStyle name="표준 5 4 2 8 2 2 2 3" xfId="36880"/>
    <cellStyle name="표준 5 4 2 8 2 2 3" xfId="17864"/>
    <cellStyle name="표준 5 4 2 8 2 2 3 2" xfId="43216"/>
    <cellStyle name="표준 5 4 2 8 2 2 4" xfId="30544"/>
    <cellStyle name="표준 5 4 2 8 2 2 5" xfId="54710"/>
    <cellStyle name="표준 5 4 2 8 2 3" xfId="8388"/>
    <cellStyle name="표준 5 4 2 8 2 3 2" xfId="21061"/>
    <cellStyle name="표준 5 4 2 8 2 3 2 2" xfId="46413"/>
    <cellStyle name="표준 5 4 2 8 2 3 3" xfId="33741"/>
    <cellStyle name="표준 5 4 2 8 2 4" xfId="14725"/>
    <cellStyle name="표준 5 4 2 8 2 4 2" xfId="40077"/>
    <cellStyle name="표준 5 4 2 8 2 5" xfId="27405"/>
    <cellStyle name="표준 5 4 2 8 2 6" xfId="54711"/>
    <cellStyle name="표준 5 4 2 8 3" xfId="5192"/>
    <cellStyle name="표준 5 4 2 8 3 2" xfId="11528"/>
    <cellStyle name="표준 5 4 2 8 3 2 2" xfId="24201"/>
    <cellStyle name="표준 5 4 2 8 3 2 2 2" xfId="49553"/>
    <cellStyle name="표준 5 4 2 8 3 2 3" xfId="36881"/>
    <cellStyle name="표준 5 4 2 8 3 3" xfId="17865"/>
    <cellStyle name="표준 5 4 2 8 3 3 2" xfId="43217"/>
    <cellStyle name="표준 5 4 2 8 3 4" xfId="30545"/>
    <cellStyle name="표준 5 4 2 8 3 5" xfId="54712"/>
    <cellStyle name="표준 5 4 2 8 4" xfId="8387"/>
    <cellStyle name="표준 5 4 2 8 4 2" xfId="21060"/>
    <cellStyle name="표준 5 4 2 8 4 2 2" xfId="46412"/>
    <cellStyle name="표준 5 4 2 8 4 3" xfId="33740"/>
    <cellStyle name="표준 5 4 2 8 5" xfId="14724"/>
    <cellStyle name="표준 5 4 2 8 5 2" xfId="40076"/>
    <cellStyle name="표준 5 4 2 8 6" xfId="27404"/>
    <cellStyle name="표준 5 4 2 8 7" xfId="54713"/>
    <cellStyle name="표준 5 4 2 9" xfId="2052"/>
    <cellStyle name="표준 5 4 2 9 2" xfId="2053"/>
    <cellStyle name="표준 5 4 2 9 2 2" xfId="5193"/>
    <cellStyle name="표준 5 4 2 9 2 2 2" xfId="11529"/>
    <cellStyle name="표준 5 4 2 9 2 2 2 2" xfId="24202"/>
    <cellStyle name="표준 5 4 2 9 2 2 2 2 2" xfId="49554"/>
    <cellStyle name="표준 5 4 2 9 2 2 2 3" xfId="36882"/>
    <cellStyle name="표준 5 4 2 9 2 2 3" xfId="17866"/>
    <cellStyle name="표준 5 4 2 9 2 2 3 2" xfId="43218"/>
    <cellStyle name="표준 5 4 2 9 2 2 4" xfId="30546"/>
    <cellStyle name="표준 5 4 2 9 2 2 5" xfId="54714"/>
    <cellStyle name="표준 5 4 2 9 2 3" xfId="8390"/>
    <cellStyle name="표준 5 4 2 9 2 3 2" xfId="21063"/>
    <cellStyle name="표준 5 4 2 9 2 3 2 2" xfId="46415"/>
    <cellStyle name="표준 5 4 2 9 2 3 3" xfId="33743"/>
    <cellStyle name="표준 5 4 2 9 2 4" xfId="14727"/>
    <cellStyle name="표준 5 4 2 9 2 4 2" xfId="40079"/>
    <cellStyle name="표준 5 4 2 9 2 5" xfId="27407"/>
    <cellStyle name="표준 5 4 2 9 2 6" xfId="54715"/>
    <cellStyle name="표준 5 4 2 9 3" xfId="5194"/>
    <cellStyle name="표준 5 4 2 9 3 2" xfId="11530"/>
    <cellStyle name="표준 5 4 2 9 3 2 2" xfId="24203"/>
    <cellStyle name="표준 5 4 2 9 3 2 2 2" xfId="49555"/>
    <cellStyle name="표준 5 4 2 9 3 2 3" xfId="36883"/>
    <cellStyle name="표준 5 4 2 9 3 3" xfId="17867"/>
    <cellStyle name="표준 5 4 2 9 3 3 2" xfId="43219"/>
    <cellStyle name="표준 5 4 2 9 3 4" xfId="30547"/>
    <cellStyle name="표준 5 4 2 9 3 5" xfId="54716"/>
    <cellStyle name="표준 5 4 2 9 4" xfId="8389"/>
    <cellStyle name="표준 5 4 2 9 4 2" xfId="21062"/>
    <cellStyle name="표준 5 4 2 9 4 2 2" xfId="46414"/>
    <cellStyle name="표준 5 4 2 9 4 3" xfId="33742"/>
    <cellStyle name="표준 5 4 2 9 5" xfId="14726"/>
    <cellStyle name="표준 5 4 2 9 5 2" xfId="40078"/>
    <cellStyle name="표준 5 4 2 9 6" xfId="27406"/>
    <cellStyle name="표준 5 4 2 9 7" xfId="54717"/>
    <cellStyle name="표준 5 4 20" xfId="2054"/>
    <cellStyle name="표준 5 4 20 2" xfId="2055"/>
    <cellStyle name="표준 5 4 20 2 2" xfId="5195"/>
    <cellStyle name="표준 5 4 20 2 2 2" xfId="11531"/>
    <cellStyle name="표준 5 4 20 2 2 2 2" xfId="24204"/>
    <cellStyle name="표준 5 4 20 2 2 2 2 2" xfId="49556"/>
    <cellStyle name="표준 5 4 20 2 2 2 3" xfId="36884"/>
    <cellStyle name="표준 5 4 20 2 2 3" xfId="17868"/>
    <cellStyle name="표준 5 4 20 2 2 3 2" xfId="43220"/>
    <cellStyle name="표준 5 4 20 2 2 4" xfId="30548"/>
    <cellStyle name="표준 5 4 20 2 2 5" xfId="54718"/>
    <cellStyle name="표준 5 4 20 2 3" xfId="8392"/>
    <cellStyle name="표준 5 4 20 2 3 2" xfId="21065"/>
    <cellStyle name="표준 5 4 20 2 3 2 2" xfId="46417"/>
    <cellStyle name="표준 5 4 20 2 3 3" xfId="33745"/>
    <cellStyle name="표준 5 4 20 2 4" xfId="14729"/>
    <cellStyle name="표준 5 4 20 2 4 2" xfId="40081"/>
    <cellStyle name="표준 5 4 20 2 5" xfId="27409"/>
    <cellStyle name="표준 5 4 20 2 6" xfId="54719"/>
    <cellStyle name="표준 5 4 20 3" xfId="5196"/>
    <cellStyle name="표준 5 4 20 3 2" xfId="11532"/>
    <cellStyle name="표준 5 4 20 3 2 2" xfId="24205"/>
    <cellStyle name="표준 5 4 20 3 2 2 2" xfId="49557"/>
    <cellStyle name="표준 5 4 20 3 2 3" xfId="36885"/>
    <cellStyle name="표준 5 4 20 3 3" xfId="17869"/>
    <cellStyle name="표준 5 4 20 3 3 2" xfId="43221"/>
    <cellStyle name="표준 5 4 20 3 4" xfId="30549"/>
    <cellStyle name="표준 5 4 20 3 5" xfId="54720"/>
    <cellStyle name="표준 5 4 20 4" xfId="8391"/>
    <cellStyle name="표준 5 4 20 4 2" xfId="21064"/>
    <cellStyle name="표준 5 4 20 4 2 2" xfId="46416"/>
    <cellStyle name="표준 5 4 20 4 3" xfId="33744"/>
    <cellStyle name="표준 5 4 20 5" xfId="14728"/>
    <cellStyle name="표준 5 4 20 5 2" xfId="40080"/>
    <cellStyle name="표준 5 4 20 6" xfId="27408"/>
    <cellStyle name="표준 5 4 20 7" xfId="54721"/>
    <cellStyle name="표준 5 4 21" xfId="2056"/>
    <cellStyle name="표준 5 4 21 2" xfId="2057"/>
    <cellStyle name="표준 5 4 21 2 2" xfId="5197"/>
    <cellStyle name="표준 5 4 21 2 2 2" xfId="11533"/>
    <cellStyle name="표준 5 4 21 2 2 2 2" xfId="24206"/>
    <cellStyle name="표준 5 4 21 2 2 2 2 2" xfId="49558"/>
    <cellStyle name="표준 5 4 21 2 2 2 3" xfId="36886"/>
    <cellStyle name="표준 5 4 21 2 2 3" xfId="17870"/>
    <cellStyle name="표준 5 4 21 2 2 3 2" xfId="43222"/>
    <cellStyle name="표준 5 4 21 2 2 4" xfId="30550"/>
    <cellStyle name="표준 5 4 21 2 2 5" xfId="54722"/>
    <cellStyle name="표준 5 4 21 2 3" xfId="8394"/>
    <cellStyle name="표준 5 4 21 2 3 2" xfId="21067"/>
    <cellStyle name="표준 5 4 21 2 3 2 2" xfId="46419"/>
    <cellStyle name="표준 5 4 21 2 3 3" xfId="33747"/>
    <cellStyle name="표준 5 4 21 2 4" xfId="14731"/>
    <cellStyle name="표준 5 4 21 2 4 2" xfId="40083"/>
    <cellStyle name="표준 5 4 21 2 5" xfId="27411"/>
    <cellStyle name="표준 5 4 21 2 6" xfId="54723"/>
    <cellStyle name="표준 5 4 21 3" xfId="5198"/>
    <cellStyle name="표준 5 4 21 3 2" xfId="11534"/>
    <cellStyle name="표준 5 4 21 3 2 2" xfId="24207"/>
    <cellStyle name="표준 5 4 21 3 2 2 2" xfId="49559"/>
    <cellStyle name="표준 5 4 21 3 2 3" xfId="36887"/>
    <cellStyle name="표준 5 4 21 3 3" xfId="17871"/>
    <cellStyle name="표준 5 4 21 3 3 2" xfId="43223"/>
    <cellStyle name="표준 5 4 21 3 4" xfId="30551"/>
    <cellStyle name="표준 5 4 21 3 5" xfId="54724"/>
    <cellStyle name="표준 5 4 21 4" xfId="8393"/>
    <cellStyle name="표준 5 4 21 4 2" xfId="21066"/>
    <cellStyle name="표준 5 4 21 4 2 2" xfId="46418"/>
    <cellStyle name="표준 5 4 21 4 3" xfId="33746"/>
    <cellStyle name="표준 5 4 21 5" xfId="14730"/>
    <cellStyle name="표준 5 4 21 5 2" xfId="40082"/>
    <cellStyle name="표준 5 4 21 6" xfId="27410"/>
    <cellStyle name="표준 5 4 21 7" xfId="54725"/>
    <cellStyle name="표준 5 4 22" xfId="2058"/>
    <cellStyle name="표준 5 4 22 2" xfId="2059"/>
    <cellStyle name="표준 5 4 22 2 2" xfId="5199"/>
    <cellStyle name="표준 5 4 22 2 2 2" xfId="11535"/>
    <cellStyle name="표준 5 4 22 2 2 2 2" xfId="24208"/>
    <cellStyle name="표준 5 4 22 2 2 2 2 2" xfId="49560"/>
    <cellStyle name="표준 5 4 22 2 2 2 3" xfId="36888"/>
    <cellStyle name="표준 5 4 22 2 2 3" xfId="17872"/>
    <cellStyle name="표준 5 4 22 2 2 3 2" xfId="43224"/>
    <cellStyle name="표준 5 4 22 2 2 4" xfId="30552"/>
    <cellStyle name="표준 5 4 22 2 2 5" xfId="54726"/>
    <cellStyle name="표준 5 4 22 2 3" xfId="8396"/>
    <cellStyle name="표준 5 4 22 2 3 2" xfId="21069"/>
    <cellStyle name="표준 5 4 22 2 3 2 2" xfId="46421"/>
    <cellStyle name="표준 5 4 22 2 3 3" xfId="33749"/>
    <cellStyle name="표준 5 4 22 2 4" xfId="14733"/>
    <cellStyle name="표준 5 4 22 2 4 2" xfId="40085"/>
    <cellStyle name="표준 5 4 22 2 5" xfId="27413"/>
    <cellStyle name="표준 5 4 22 2 6" xfId="54727"/>
    <cellStyle name="표준 5 4 22 3" xfId="5200"/>
    <cellStyle name="표준 5 4 22 3 2" xfId="11536"/>
    <cellStyle name="표준 5 4 22 3 2 2" xfId="24209"/>
    <cellStyle name="표준 5 4 22 3 2 2 2" xfId="49561"/>
    <cellStyle name="표준 5 4 22 3 2 3" xfId="36889"/>
    <cellStyle name="표준 5 4 22 3 3" xfId="17873"/>
    <cellStyle name="표준 5 4 22 3 3 2" xfId="43225"/>
    <cellStyle name="표준 5 4 22 3 4" xfId="30553"/>
    <cellStyle name="표준 5 4 22 3 5" xfId="54728"/>
    <cellStyle name="표준 5 4 22 4" xfId="8395"/>
    <cellStyle name="표준 5 4 22 4 2" xfId="21068"/>
    <cellStyle name="표준 5 4 22 4 2 2" xfId="46420"/>
    <cellStyle name="표준 5 4 22 4 3" xfId="33748"/>
    <cellStyle name="표준 5 4 22 5" xfId="14732"/>
    <cellStyle name="표준 5 4 22 5 2" xfId="40084"/>
    <cellStyle name="표준 5 4 22 6" xfId="27412"/>
    <cellStyle name="표준 5 4 22 7" xfId="54729"/>
    <cellStyle name="표준 5 4 23" xfId="2060"/>
    <cellStyle name="표준 5 4 23 2" xfId="2061"/>
    <cellStyle name="표준 5 4 23 2 2" xfId="5201"/>
    <cellStyle name="표준 5 4 23 2 2 2" xfId="11537"/>
    <cellStyle name="표준 5 4 23 2 2 2 2" xfId="24210"/>
    <cellStyle name="표준 5 4 23 2 2 2 2 2" xfId="49562"/>
    <cellStyle name="표준 5 4 23 2 2 2 3" xfId="36890"/>
    <cellStyle name="표준 5 4 23 2 2 3" xfId="17874"/>
    <cellStyle name="표준 5 4 23 2 2 3 2" xfId="43226"/>
    <cellStyle name="표준 5 4 23 2 2 4" xfId="30554"/>
    <cellStyle name="표준 5 4 23 2 2 5" xfId="54730"/>
    <cellStyle name="표준 5 4 23 2 3" xfId="8398"/>
    <cellStyle name="표준 5 4 23 2 3 2" xfId="21071"/>
    <cellStyle name="표준 5 4 23 2 3 2 2" xfId="46423"/>
    <cellStyle name="표준 5 4 23 2 3 3" xfId="33751"/>
    <cellStyle name="표준 5 4 23 2 4" xfId="14735"/>
    <cellStyle name="표준 5 4 23 2 4 2" xfId="40087"/>
    <cellStyle name="표준 5 4 23 2 5" xfId="27415"/>
    <cellStyle name="표준 5 4 23 2 6" xfId="54731"/>
    <cellStyle name="표준 5 4 23 3" xfId="5202"/>
    <cellStyle name="표준 5 4 23 3 2" xfId="11538"/>
    <cellStyle name="표준 5 4 23 3 2 2" xfId="24211"/>
    <cellStyle name="표준 5 4 23 3 2 2 2" xfId="49563"/>
    <cellStyle name="표준 5 4 23 3 2 3" xfId="36891"/>
    <cellStyle name="표준 5 4 23 3 3" xfId="17875"/>
    <cellStyle name="표준 5 4 23 3 3 2" xfId="43227"/>
    <cellStyle name="표준 5 4 23 3 4" xfId="30555"/>
    <cellStyle name="표준 5 4 23 3 5" xfId="54732"/>
    <cellStyle name="표준 5 4 23 4" xfId="8397"/>
    <cellStyle name="표준 5 4 23 4 2" xfId="21070"/>
    <cellStyle name="표준 5 4 23 4 2 2" xfId="46422"/>
    <cellStyle name="표준 5 4 23 4 3" xfId="33750"/>
    <cellStyle name="표준 5 4 23 5" xfId="14734"/>
    <cellStyle name="표준 5 4 23 5 2" xfId="40086"/>
    <cellStyle name="표준 5 4 23 6" xfId="27414"/>
    <cellStyle name="표준 5 4 23 7" xfId="54733"/>
    <cellStyle name="표준 5 4 24" xfId="2062"/>
    <cellStyle name="표준 5 4 24 2" xfId="2063"/>
    <cellStyle name="표준 5 4 24 2 2" xfId="5203"/>
    <cellStyle name="표준 5 4 24 2 2 2" xfId="11539"/>
    <cellStyle name="표준 5 4 24 2 2 2 2" xfId="24212"/>
    <cellStyle name="표준 5 4 24 2 2 2 2 2" xfId="49564"/>
    <cellStyle name="표준 5 4 24 2 2 2 3" xfId="36892"/>
    <cellStyle name="표준 5 4 24 2 2 3" xfId="17876"/>
    <cellStyle name="표준 5 4 24 2 2 3 2" xfId="43228"/>
    <cellStyle name="표준 5 4 24 2 2 4" xfId="30556"/>
    <cellStyle name="표준 5 4 24 2 2 5" xfId="54734"/>
    <cellStyle name="표준 5 4 24 2 3" xfId="8400"/>
    <cellStyle name="표준 5 4 24 2 3 2" xfId="21073"/>
    <cellStyle name="표준 5 4 24 2 3 2 2" xfId="46425"/>
    <cellStyle name="표준 5 4 24 2 3 3" xfId="33753"/>
    <cellStyle name="표준 5 4 24 2 4" xfId="14737"/>
    <cellStyle name="표준 5 4 24 2 4 2" xfId="40089"/>
    <cellStyle name="표준 5 4 24 2 5" xfId="27417"/>
    <cellStyle name="표준 5 4 24 2 6" xfId="54735"/>
    <cellStyle name="표준 5 4 24 3" xfId="5204"/>
    <cellStyle name="표준 5 4 24 3 2" xfId="11540"/>
    <cellStyle name="표준 5 4 24 3 2 2" xfId="24213"/>
    <cellStyle name="표준 5 4 24 3 2 2 2" xfId="49565"/>
    <cellStyle name="표준 5 4 24 3 2 3" xfId="36893"/>
    <cellStyle name="표준 5 4 24 3 3" xfId="17877"/>
    <cellStyle name="표준 5 4 24 3 3 2" xfId="43229"/>
    <cellStyle name="표준 5 4 24 3 4" xfId="30557"/>
    <cellStyle name="표준 5 4 24 3 5" xfId="54736"/>
    <cellStyle name="표준 5 4 24 4" xfId="8399"/>
    <cellStyle name="표준 5 4 24 4 2" xfId="21072"/>
    <cellStyle name="표준 5 4 24 4 2 2" xfId="46424"/>
    <cellStyle name="표준 5 4 24 4 3" xfId="33752"/>
    <cellStyle name="표준 5 4 24 5" xfId="14736"/>
    <cellStyle name="표준 5 4 24 5 2" xfId="40088"/>
    <cellStyle name="표준 5 4 24 6" xfId="27416"/>
    <cellStyle name="표준 5 4 24 7" xfId="54737"/>
    <cellStyle name="표준 5 4 25" xfId="2064"/>
    <cellStyle name="표준 5 4 25 2" xfId="2065"/>
    <cellStyle name="표준 5 4 25 2 2" xfId="5205"/>
    <cellStyle name="표준 5 4 25 2 2 2" xfId="11541"/>
    <cellStyle name="표준 5 4 25 2 2 2 2" xfId="24214"/>
    <cellStyle name="표준 5 4 25 2 2 2 2 2" xfId="49566"/>
    <cellStyle name="표준 5 4 25 2 2 2 3" xfId="36894"/>
    <cellStyle name="표준 5 4 25 2 2 3" xfId="17878"/>
    <cellStyle name="표준 5 4 25 2 2 3 2" xfId="43230"/>
    <cellStyle name="표준 5 4 25 2 2 4" xfId="30558"/>
    <cellStyle name="표준 5 4 25 2 2 5" xfId="54738"/>
    <cellStyle name="표준 5 4 25 2 3" xfId="8402"/>
    <cellStyle name="표준 5 4 25 2 3 2" xfId="21075"/>
    <cellStyle name="표준 5 4 25 2 3 2 2" xfId="46427"/>
    <cellStyle name="표준 5 4 25 2 3 3" xfId="33755"/>
    <cellStyle name="표준 5 4 25 2 4" xfId="14739"/>
    <cellStyle name="표준 5 4 25 2 4 2" xfId="40091"/>
    <cellStyle name="표준 5 4 25 2 5" xfId="27419"/>
    <cellStyle name="표준 5 4 25 2 6" xfId="54739"/>
    <cellStyle name="표준 5 4 25 3" xfId="5206"/>
    <cellStyle name="표준 5 4 25 3 2" xfId="11542"/>
    <cellStyle name="표준 5 4 25 3 2 2" xfId="24215"/>
    <cellStyle name="표준 5 4 25 3 2 2 2" xfId="49567"/>
    <cellStyle name="표준 5 4 25 3 2 3" xfId="36895"/>
    <cellStyle name="표준 5 4 25 3 3" xfId="17879"/>
    <cellStyle name="표준 5 4 25 3 3 2" xfId="43231"/>
    <cellStyle name="표준 5 4 25 3 4" xfId="30559"/>
    <cellStyle name="표준 5 4 25 3 5" xfId="54740"/>
    <cellStyle name="표준 5 4 25 4" xfId="8401"/>
    <cellStyle name="표준 5 4 25 4 2" xfId="21074"/>
    <cellStyle name="표준 5 4 25 4 2 2" xfId="46426"/>
    <cellStyle name="표준 5 4 25 4 3" xfId="33754"/>
    <cellStyle name="표준 5 4 25 5" xfId="14738"/>
    <cellStyle name="표준 5 4 25 5 2" xfId="40090"/>
    <cellStyle name="표준 5 4 25 6" xfId="27418"/>
    <cellStyle name="표준 5 4 25 7" xfId="54741"/>
    <cellStyle name="표준 5 4 26" xfId="2066"/>
    <cellStyle name="표준 5 4 26 2" xfId="2067"/>
    <cellStyle name="표준 5 4 26 2 2" xfId="5207"/>
    <cellStyle name="표준 5 4 26 2 2 2" xfId="11543"/>
    <cellStyle name="표준 5 4 26 2 2 2 2" xfId="24216"/>
    <cellStyle name="표준 5 4 26 2 2 2 2 2" xfId="49568"/>
    <cellStyle name="표준 5 4 26 2 2 2 3" xfId="36896"/>
    <cellStyle name="표준 5 4 26 2 2 3" xfId="17880"/>
    <cellStyle name="표준 5 4 26 2 2 3 2" xfId="43232"/>
    <cellStyle name="표준 5 4 26 2 2 4" xfId="30560"/>
    <cellStyle name="표준 5 4 26 2 2 5" xfId="54742"/>
    <cellStyle name="표준 5 4 26 2 3" xfId="8404"/>
    <cellStyle name="표준 5 4 26 2 3 2" xfId="21077"/>
    <cellStyle name="표준 5 4 26 2 3 2 2" xfId="46429"/>
    <cellStyle name="표준 5 4 26 2 3 3" xfId="33757"/>
    <cellStyle name="표준 5 4 26 2 4" xfId="14741"/>
    <cellStyle name="표준 5 4 26 2 4 2" xfId="40093"/>
    <cellStyle name="표준 5 4 26 2 5" xfId="27421"/>
    <cellStyle name="표준 5 4 26 2 6" xfId="54743"/>
    <cellStyle name="표준 5 4 26 3" xfId="5208"/>
    <cellStyle name="표준 5 4 26 3 2" xfId="11544"/>
    <cellStyle name="표준 5 4 26 3 2 2" xfId="24217"/>
    <cellStyle name="표준 5 4 26 3 2 2 2" xfId="49569"/>
    <cellStyle name="표준 5 4 26 3 2 3" xfId="36897"/>
    <cellStyle name="표준 5 4 26 3 3" xfId="17881"/>
    <cellStyle name="표준 5 4 26 3 3 2" xfId="43233"/>
    <cellStyle name="표준 5 4 26 3 4" xfId="30561"/>
    <cellStyle name="표준 5 4 26 3 5" xfId="54744"/>
    <cellStyle name="표준 5 4 26 4" xfId="8403"/>
    <cellStyle name="표준 5 4 26 4 2" xfId="21076"/>
    <cellStyle name="표준 5 4 26 4 2 2" xfId="46428"/>
    <cellStyle name="표준 5 4 26 4 3" xfId="33756"/>
    <cellStyle name="표준 5 4 26 5" xfId="14740"/>
    <cellStyle name="표준 5 4 26 5 2" xfId="40092"/>
    <cellStyle name="표준 5 4 26 6" xfId="27420"/>
    <cellStyle name="표준 5 4 26 7" xfId="54745"/>
    <cellStyle name="표준 5 4 27" xfId="2068"/>
    <cellStyle name="표준 5 4 27 2" xfId="2069"/>
    <cellStyle name="표준 5 4 27 2 2" xfId="5209"/>
    <cellStyle name="표준 5 4 27 2 2 2" xfId="11545"/>
    <cellStyle name="표준 5 4 27 2 2 2 2" xfId="24218"/>
    <cellStyle name="표준 5 4 27 2 2 2 2 2" xfId="49570"/>
    <cellStyle name="표준 5 4 27 2 2 2 3" xfId="36898"/>
    <cellStyle name="표준 5 4 27 2 2 3" xfId="17882"/>
    <cellStyle name="표준 5 4 27 2 2 3 2" xfId="43234"/>
    <cellStyle name="표준 5 4 27 2 2 4" xfId="30562"/>
    <cellStyle name="표준 5 4 27 2 2 5" xfId="54746"/>
    <cellStyle name="표준 5 4 27 2 3" xfId="8406"/>
    <cellStyle name="표준 5 4 27 2 3 2" xfId="21079"/>
    <cellStyle name="표준 5 4 27 2 3 2 2" xfId="46431"/>
    <cellStyle name="표준 5 4 27 2 3 3" xfId="33759"/>
    <cellStyle name="표준 5 4 27 2 4" xfId="14743"/>
    <cellStyle name="표준 5 4 27 2 4 2" xfId="40095"/>
    <cellStyle name="표준 5 4 27 2 5" xfId="27423"/>
    <cellStyle name="표준 5 4 27 2 6" xfId="54747"/>
    <cellStyle name="표준 5 4 27 3" xfId="5210"/>
    <cellStyle name="표준 5 4 27 3 2" xfId="11546"/>
    <cellStyle name="표준 5 4 27 3 2 2" xfId="24219"/>
    <cellStyle name="표준 5 4 27 3 2 2 2" xfId="49571"/>
    <cellStyle name="표준 5 4 27 3 2 3" xfId="36899"/>
    <cellStyle name="표준 5 4 27 3 3" xfId="17883"/>
    <cellStyle name="표준 5 4 27 3 3 2" xfId="43235"/>
    <cellStyle name="표준 5 4 27 3 4" xfId="30563"/>
    <cellStyle name="표준 5 4 27 3 5" xfId="54748"/>
    <cellStyle name="표준 5 4 27 4" xfId="8405"/>
    <cellStyle name="표준 5 4 27 4 2" xfId="21078"/>
    <cellStyle name="표준 5 4 27 4 2 2" xfId="46430"/>
    <cellStyle name="표준 5 4 27 4 3" xfId="33758"/>
    <cellStyle name="표준 5 4 27 5" xfId="14742"/>
    <cellStyle name="표준 5 4 27 5 2" xfId="40094"/>
    <cellStyle name="표준 5 4 27 6" xfId="27422"/>
    <cellStyle name="표준 5 4 27 7" xfId="54749"/>
    <cellStyle name="표준 5 4 28" xfId="2070"/>
    <cellStyle name="표준 5 4 28 2" xfId="2071"/>
    <cellStyle name="표준 5 4 28 2 2" xfId="5211"/>
    <cellStyle name="표준 5 4 28 2 2 2" xfId="11547"/>
    <cellStyle name="표준 5 4 28 2 2 2 2" xfId="24220"/>
    <cellStyle name="표준 5 4 28 2 2 2 2 2" xfId="49572"/>
    <cellStyle name="표준 5 4 28 2 2 2 3" xfId="36900"/>
    <cellStyle name="표준 5 4 28 2 2 3" xfId="17884"/>
    <cellStyle name="표준 5 4 28 2 2 3 2" xfId="43236"/>
    <cellStyle name="표준 5 4 28 2 2 4" xfId="30564"/>
    <cellStyle name="표준 5 4 28 2 2 5" xfId="54750"/>
    <cellStyle name="표준 5 4 28 2 3" xfId="8408"/>
    <cellStyle name="표준 5 4 28 2 3 2" xfId="21081"/>
    <cellStyle name="표준 5 4 28 2 3 2 2" xfId="46433"/>
    <cellStyle name="표준 5 4 28 2 3 3" xfId="33761"/>
    <cellStyle name="표준 5 4 28 2 4" xfId="14745"/>
    <cellStyle name="표준 5 4 28 2 4 2" xfId="40097"/>
    <cellStyle name="표준 5 4 28 2 5" xfId="27425"/>
    <cellStyle name="표준 5 4 28 2 6" xfId="54751"/>
    <cellStyle name="표준 5 4 28 3" xfId="5212"/>
    <cellStyle name="표준 5 4 28 3 2" xfId="11548"/>
    <cellStyle name="표준 5 4 28 3 2 2" xfId="24221"/>
    <cellStyle name="표준 5 4 28 3 2 2 2" xfId="49573"/>
    <cellStyle name="표준 5 4 28 3 2 3" xfId="36901"/>
    <cellStyle name="표준 5 4 28 3 3" xfId="17885"/>
    <cellStyle name="표준 5 4 28 3 3 2" xfId="43237"/>
    <cellStyle name="표준 5 4 28 3 4" xfId="30565"/>
    <cellStyle name="표준 5 4 28 3 5" xfId="54752"/>
    <cellStyle name="표준 5 4 28 4" xfId="8407"/>
    <cellStyle name="표준 5 4 28 4 2" xfId="21080"/>
    <cellStyle name="표준 5 4 28 4 2 2" xfId="46432"/>
    <cellStyle name="표준 5 4 28 4 3" xfId="33760"/>
    <cellStyle name="표준 5 4 28 5" xfId="14744"/>
    <cellStyle name="표준 5 4 28 5 2" xfId="40096"/>
    <cellStyle name="표준 5 4 28 6" xfId="27424"/>
    <cellStyle name="표준 5 4 28 7" xfId="54753"/>
    <cellStyle name="표준 5 4 29" xfId="2072"/>
    <cellStyle name="표준 5 4 29 2" xfId="2073"/>
    <cellStyle name="표준 5 4 29 2 2" xfId="5213"/>
    <cellStyle name="표준 5 4 29 2 2 2" xfId="11549"/>
    <cellStyle name="표준 5 4 29 2 2 2 2" xfId="24222"/>
    <cellStyle name="표준 5 4 29 2 2 2 2 2" xfId="49574"/>
    <cellStyle name="표준 5 4 29 2 2 2 3" xfId="36902"/>
    <cellStyle name="표준 5 4 29 2 2 3" xfId="17886"/>
    <cellStyle name="표준 5 4 29 2 2 3 2" xfId="43238"/>
    <cellStyle name="표준 5 4 29 2 2 4" xfId="30566"/>
    <cellStyle name="표준 5 4 29 2 2 5" xfId="54754"/>
    <cellStyle name="표준 5 4 29 2 3" xfId="8410"/>
    <cellStyle name="표준 5 4 29 2 3 2" xfId="21083"/>
    <cellStyle name="표준 5 4 29 2 3 2 2" xfId="46435"/>
    <cellStyle name="표준 5 4 29 2 3 3" xfId="33763"/>
    <cellStyle name="표준 5 4 29 2 4" xfId="14747"/>
    <cellStyle name="표준 5 4 29 2 4 2" xfId="40099"/>
    <cellStyle name="표준 5 4 29 2 5" xfId="27427"/>
    <cellStyle name="표준 5 4 29 2 6" xfId="54755"/>
    <cellStyle name="표준 5 4 29 3" xfId="5214"/>
    <cellStyle name="표준 5 4 29 3 2" xfId="11550"/>
    <cellStyle name="표준 5 4 29 3 2 2" xfId="24223"/>
    <cellStyle name="표준 5 4 29 3 2 2 2" xfId="49575"/>
    <cellStyle name="표준 5 4 29 3 2 3" xfId="36903"/>
    <cellStyle name="표준 5 4 29 3 3" xfId="17887"/>
    <cellStyle name="표준 5 4 29 3 3 2" xfId="43239"/>
    <cellStyle name="표준 5 4 29 3 4" xfId="30567"/>
    <cellStyle name="표준 5 4 29 3 5" xfId="54756"/>
    <cellStyle name="표준 5 4 29 4" xfId="8409"/>
    <cellStyle name="표준 5 4 29 4 2" xfId="21082"/>
    <cellStyle name="표준 5 4 29 4 2 2" xfId="46434"/>
    <cellStyle name="표준 5 4 29 4 3" xfId="33762"/>
    <cellStyle name="표준 5 4 29 5" xfId="14746"/>
    <cellStyle name="표준 5 4 29 5 2" xfId="40098"/>
    <cellStyle name="표준 5 4 29 6" xfId="27426"/>
    <cellStyle name="표준 5 4 29 7" xfId="54757"/>
    <cellStyle name="표준 5 4 3" xfId="86"/>
    <cellStyle name="표준 5 4 3 2" xfId="2074"/>
    <cellStyle name="표준 5 4 3 2 2" xfId="5215"/>
    <cellStyle name="표준 5 4 3 2 2 2" xfId="11551"/>
    <cellStyle name="표준 5 4 3 2 2 2 2" xfId="24224"/>
    <cellStyle name="표준 5 4 3 2 2 2 2 2" xfId="49576"/>
    <cellStyle name="표준 5 4 3 2 2 2 3" xfId="36904"/>
    <cellStyle name="표준 5 4 3 2 2 3" xfId="17888"/>
    <cellStyle name="표준 5 4 3 2 2 3 2" xfId="43240"/>
    <cellStyle name="표준 5 4 3 2 2 4" xfId="30568"/>
    <cellStyle name="표준 5 4 3 2 2 5" xfId="54758"/>
    <cellStyle name="표준 5 4 3 2 3" xfId="8411"/>
    <cellStyle name="표준 5 4 3 2 3 2" xfId="21084"/>
    <cellStyle name="표준 5 4 3 2 3 2 2" xfId="46436"/>
    <cellStyle name="표준 5 4 3 2 3 3" xfId="33764"/>
    <cellStyle name="표준 5 4 3 2 4" xfId="14748"/>
    <cellStyle name="표준 5 4 3 2 4 2" xfId="40100"/>
    <cellStyle name="표준 5 4 3 2 5" xfId="27428"/>
    <cellStyle name="표준 5 4 3 2 6" xfId="54759"/>
    <cellStyle name="표준 5 4 3 3" xfId="5216"/>
    <cellStyle name="표준 5 4 3 3 2" xfId="11552"/>
    <cellStyle name="표준 5 4 3 3 2 2" xfId="24225"/>
    <cellStyle name="표준 5 4 3 3 2 2 2" xfId="49577"/>
    <cellStyle name="표준 5 4 3 3 2 3" xfId="36905"/>
    <cellStyle name="표준 5 4 3 3 3" xfId="17889"/>
    <cellStyle name="표준 5 4 3 3 3 2" xfId="43241"/>
    <cellStyle name="표준 5 4 3 3 4" xfId="30569"/>
    <cellStyle name="표준 5 4 3 3 5" xfId="54760"/>
    <cellStyle name="표준 5 4 3 4" xfId="6424"/>
    <cellStyle name="표준 5 4 3 4 2" xfId="19097"/>
    <cellStyle name="표준 5 4 3 4 2 2" xfId="44449"/>
    <cellStyle name="표준 5 4 3 4 3" xfId="31777"/>
    <cellStyle name="표준 5 4 3 5" xfId="12761"/>
    <cellStyle name="표준 5 4 3 5 2" xfId="38113"/>
    <cellStyle name="표준 5 4 3 6" xfId="25441"/>
    <cellStyle name="표준 5 4 3 7" xfId="54761"/>
    <cellStyle name="표준 5 4 30" xfId="2075"/>
    <cellStyle name="표준 5 4 30 2" xfId="2076"/>
    <cellStyle name="표준 5 4 30 2 2" xfId="5217"/>
    <cellStyle name="표준 5 4 30 2 2 2" xfId="11553"/>
    <cellStyle name="표준 5 4 30 2 2 2 2" xfId="24226"/>
    <cellStyle name="표준 5 4 30 2 2 2 2 2" xfId="49578"/>
    <cellStyle name="표준 5 4 30 2 2 2 3" xfId="36906"/>
    <cellStyle name="표준 5 4 30 2 2 3" xfId="17890"/>
    <cellStyle name="표준 5 4 30 2 2 3 2" xfId="43242"/>
    <cellStyle name="표준 5 4 30 2 2 4" xfId="30570"/>
    <cellStyle name="표준 5 4 30 2 2 5" xfId="54762"/>
    <cellStyle name="표준 5 4 30 2 3" xfId="8413"/>
    <cellStyle name="표준 5 4 30 2 3 2" xfId="21086"/>
    <cellStyle name="표준 5 4 30 2 3 2 2" xfId="46438"/>
    <cellStyle name="표준 5 4 30 2 3 3" xfId="33766"/>
    <cellStyle name="표준 5 4 30 2 4" xfId="14750"/>
    <cellStyle name="표준 5 4 30 2 4 2" xfId="40102"/>
    <cellStyle name="표준 5 4 30 2 5" xfId="27430"/>
    <cellStyle name="표준 5 4 30 2 6" xfId="54763"/>
    <cellStyle name="표준 5 4 30 3" xfId="5218"/>
    <cellStyle name="표준 5 4 30 3 2" xfId="11554"/>
    <cellStyle name="표준 5 4 30 3 2 2" xfId="24227"/>
    <cellStyle name="표준 5 4 30 3 2 2 2" xfId="49579"/>
    <cellStyle name="표준 5 4 30 3 2 3" xfId="36907"/>
    <cellStyle name="표준 5 4 30 3 3" xfId="17891"/>
    <cellStyle name="표준 5 4 30 3 3 2" xfId="43243"/>
    <cellStyle name="표준 5 4 30 3 4" xfId="30571"/>
    <cellStyle name="표준 5 4 30 3 5" xfId="54764"/>
    <cellStyle name="표준 5 4 30 4" xfId="8412"/>
    <cellStyle name="표준 5 4 30 4 2" xfId="21085"/>
    <cellStyle name="표준 5 4 30 4 2 2" xfId="46437"/>
    <cellStyle name="표준 5 4 30 4 3" xfId="33765"/>
    <cellStyle name="표준 5 4 30 5" xfId="14749"/>
    <cellStyle name="표준 5 4 30 5 2" xfId="40101"/>
    <cellStyle name="표준 5 4 30 6" xfId="27429"/>
    <cellStyle name="표준 5 4 30 7" xfId="54765"/>
    <cellStyle name="표준 5 4 31" xfId="2077"/>
    <cellStyle name="표준 5 4 31 2" xfId="2078"/>
    <cellStyle name="표준 5 4 31 2 2" xfId="5219"/>
    <cellStyle name="표준 5 4 31 2 2 2" xfId="11555"/>
    <cellStyle name="표준 5 4 31 2 2 2 2" xfId="24228"/>
    <cellStyle name="표준 5 4 31 2 2 2 2 2" xfId="49580"/>
    <cellStyle name="표준 5 4 31 2 2 2 3" xfId="36908"/>
    <cellStyle name="표준 5 4 31 2 2 3" xfId="17892"/>
    <cellStyle name="표준 5 4 31 2 2 3 2" xfId="43244"/>
    <cellStyle name="표준 5 4 31 2 2 4" xfId="30572"/>
    <cellStyle name="표준 5 4 31 2 2 5" xfId="54766"/>
    <cellStyle name="표준 5 4 31 2 3" xfId="8415"/>
    <cellStyle name="표준 5 4 31 2 3 2" xfId="21088"/>
    <cellStyle name="표준 5 4 31 2 3 2 2" xfId="46440"/>
    <cellStyle name="표준 5 4 31 2 3 3" xfId="33768"/>
    <cellStyle name="표준 5 4 31 2 4" xfId="14752"/>
    <cellStyle name="표준 5 4 31 2 4 2" xfId="40104"/>
    <cellStyle name="표준 5 4 31 2 5" xfId="27432"/>
    <cellStyle name="표준 5 4 31 2 6" xfId="54767"/>
    <cellStyle name="표준 5 4 31 3" xfId="5220"/>
    <cellStyle name="표준 5 4 31 3 2" xfId="11556"/>
    <cellStyle name="표준 5 4 31 3 2 2" xfId="24229"/>
    <cellStyle name="표준 5 4 31 3 2 2 2" xfId="49581"/>
    <cellStyle name="표준 5 4 31 3 2 3" xfId="36909"/>
    <cellStyle name="표준 5 4 31 3 3" xfId="17893"/>
    <cellStyle name="표준 5 4 31 3 3 2" xfId="43245"/>
    <cellStyle name="표준 5 4 31 3 4" xfId="30573"/>
    <cellStyle name="표준 5 4 31 3 5" xfId="54768"/>
    <cellStyle name="표준 5 4 31 4" xfId="8414"/>
    <cellStyle name="표준 5 4 31 4 2" xfId="21087"/>
    <cellStyle name="표준 5 4 31 4 2 2" xfId="46439"/>
    <cellStyle name="표준 5 4 31 4 3" xfId="33767"/>
    <cellStyle name="표준 5 4 31 5" xfId="14751"/>
    <cellStyle name="표준 5 4 31 5 2" xfId="40103"/>
    <cellStyle name="표준 5 4 31 6" xfId="27431"/>
    <cellStyle name="표준 5 4 31 7" xfId="54769"/>
    <cellStyle name="표준 5 4 32" xfId="2079"/>
    <cellStyle name="표준 5 4 32 2" xfId="2080"/>
    <cellStyle name="표준 5 4 32 2 2" xfId="5221"/>
    <cellStyle name="표준 5 4 32 2 2 2" xfId="11557"/>
    <cellStyle name="표준 5 4 32 2 2 2 2" xfId="24230"/>
    <cellStyle name="표준 5 4 32 2 2 2 2 2" xfId="49582"/>
    <cellStyle name="표준 5 4 32 2 2 2 3" xfId="36910"/>
    <cellStyle name="표준 5 4 32 2 2 3" xfId="17894"/>
    <cellStyle name="표준 5 4 32 2 2 3 2" xfId="43246"/>
    <cellStyle name="표준 5 4 32 2 2 4" xfId="30574"/>
    <cellStyle name="표준 5 4 32 2 2 5" xfId="54770"/>
    <cellStyle name="표준 5 4 32 2 3" xfId="8417"/>
    <cellStyle name="표준 5 4 32 2 3 2" xfId="21090"/>
    <cellStyle name="표준 5 4 32 2 3 2 2" xfId="46442"/>
    <cellStyle name="표준 5 4 32 2 3 3" xfId="33770"/>
    <cellStyle name="표준 5 4 32 2 4" xfId="14754"/>
    <cellStyle name="표준 5 4 32 2 4 2" xfId="40106"/>
    <cellStyle name="표준 5 4 32 2 5" xfId="27434"/>
    <cellStyle name="표준 5 4 32 2 6" xfId="54771"/>
    <cellStyle name="표준 5 4 32 3" xfId="5222"/>
    <cellStyle name="표준 5 4 32 3 2" xfId="11558"/>
    <cellStyle name="표준 5 4 32 3 2 2" xfId="24231"/>
    <cellStyle name="표준 5 4 32 3 2 2 2" xfId="49583"/>
    <cellStyle name="표준 5 4 32 3 2 3" xfId="36911"/>
    <cellStyle name="표준 5 4 32 3 3" xfId="17895"/>
    <cellStyle name="표준 5 4 32 3 3 2" xfId="43247"/>
    <cellStyle name="표준 5 4 32 3 4" xfId="30575"/>
    <cellStyle name="표준 5 4 32 3 5" xfId="54772"/>
    <cellStyle name="표준 5 4 32 4" xfId="8416"/>
    <cellStyle name="표준 5 4 32 4 2" xfId="21089"/>
    <cellStyle name="표준 5 4 32 4 2 2" xfId="46441"/>
    <cellStyle name="표준 5 4 32 4 3" xfId="33769"/>
    <cellStyle name="표준 5 4 32 5" xfId="14753"/>
    <cellStyle name="표준 5 4 32 5 2" xfId="40105"/>
    <cellStyle name="표준 5 4 32 6" xfId="27433"/>
    <cellStyle name="표준 5 4 32 7" xfId="54773"/>
    <cellStyle name="표준 5 4 33" xfId="2081"/>
    <cellStyle name="표준 5 4 33 2" xfId="2082"/>
    <cellStyle name="표준 5 4 33 2 2" xfId="5223"/>
    <cellStyle name="표준 5 4 33 2 2 2" xfId="11559"/>
    <cellStyle name="표준 5 4 33 2 2 2 2" xfId="24232"/>
    <cellStyle name="표준 5 4 33 2 2 2 2 2" xfId="49584"/>
    <cellStyle name="표준 5 4 33 2 2 2 3" xfId="36912"/>
    <cellStyle name="표준 5 4 33 2 2 3" xfId="17896"/>
    <cellStyle name="표준 5 4 33 2 2 3 2" xfId="43248"/>
    <cellStyle name="표준 5 4 33 2 2 4" xfId="30576"/>
    <cellStyle name="표준 5 4 33 2 2 5" xfId="54774"/>
    <cellStyle name="표준 5 4 33 2 3" xfId="8419"/>
    <cellStyle name="표준 5 4 33 2 3 2" xfId="21092"/>
    <cellStyle name="표준 5 4 33 2 3 2 2" xfId="46444"/>
    <cellStyle name="표준 5 4 33 2 3 3" xfId="33772"/>
    <cellStyle name="표준 5 4 33 2 4" xfId="14756"/>
    <cellStyle name="표준 5 4 33 2 4 2" xfId="40108"/>
    <cellStyle name="표준 5 4 33 2 5" xfId="27436"/>
    <cellStyle name="표준 5 4 33 2 6" xfId="54775"/>
    <cellStyle name="표준 5 4 33 3" xfId="5224"/>
    <cellStyle name="표준 5 4 33 3 2" xfId="11560"/>
    <cellStyle name="표준 5 4 33 3 2 2" xfId="24233"/>
    <cellStyle name="표준 5 4 33 3 2 2 2" xfId="49585"/>
    <cellStyle name="표준 5 4 33 3 2 3" xfId="36913"/>
    <cellStyle name="표준 5 4 33 3 3" xfId="17897"/>
    <cellStyle name="표준 5 4 33 3 3 2" xfId="43249"/>
    <cellStyle name="표준 5 4 33 3 4" xfId="30577"/>
    <cellStyle name="표준 5 4 33 3 5" xfId="54776"/>
    <cellStyle name="표준 5 4 33 4" xfId="8418"/>
    <cellStyle name="표준 5 4 33 4 2" xfId="21091"/>
    <cellStyle name="표준 5 4 33 4 2 2" xfId="46443"/>
    <cellStyle name="표준 5 4 33 4 3" xfId="33771"/>
    <cellStyle name="표준 5 4 33 5" xfId="14755"/>
    <cellStyle name="표준 5 4 33 5 2" xfId="40107"/>
    <cellStyle name="표준 5 4 33 6" xfId="27435"/>
    <cellStyle name="표준 5 4 33 7" xfId="54777"/>
    <cellStyle name="표준 5 4 34" xfId="2083"/>
    <cellStyle name="표준 5 4 34 2" xfId="2084"/>
    <cellStyle name="표준 5 4 34 2 2" xfId="5225"/>
    <cellStyle name="표준 5 4 34 2 2 2" xfId="11561"/>
    <cellStyle name="표준 5 4 34 2 2 2 2" xfId="24234"/>
    <cellStyle name="표준 5 4 34 2 2 2 2 2" xfId="49586"/>
    <cellStyle name="표준 5 4 34 2 2 2 3" xfId="36914"/>
    <cellStyle name="표준 5 4 34 2 2 3" xfId="17898"/>
    <cellStyle name="표준 5 4 34 2 2 3 2" xfId="43250"/>
    <cellStyle name="표준 5 4 34 2 2 4" xfId="30578"/>
    <cellStyle name="표준 5 4 34 2 2 5" xfId="54778"/>
    <cellStyle name="표준 5 4 34 2 3" xfId="8421"/>
    <cellStyle name="표준 5 4 34 2 3 2" xfId="21094"/>
    <cellStyle name="표준 5 4 34 2 3 2 2" xfId="46446"/>
    <cellStyle name="표준 5 4 34 2 3 3" xfId="33774"/>
    <cellStyle name="표준 5 4 34 2 4" xfId="14758"/>
    <cellStyle name="표준 5 4 34 2 4 2" xfId="40110"/>
    <cellStyle name="표준 5 4 34 2 5" xfId="27438"/>
    <cellStyle name="표준 5 4 34 2 6" xfId="54779"/>
    <cellStyle name="표준 5 4 34 3" xfId="5226"/>
    <cellStyle name="표준 5 4 34 3 2" xfId="11562"/>
    <cellStyle name="표준 5 4 34 3 2 2" xfId="24235"/>
    <cellStyle name="표준 5 4 34 3 2 2 2" xfId="49587"/>
    <cellStyle name="표준 5 4 34 3 2 3" xfId="36915"/>
    <cellStyle name="표준 5 4 34 3 3" xfId="17899"/>
    <cellStyle name="표준 5 4 34 3 3 2" xfId="43251"/>
    <cellStyle name="표준 5 4 34 3 4" xfId="30579"/>
    <cellStyle name="표준 5 4 34 3 5" xfId="54780"/>
    <cellStyle name="표준 5 4 34 4" xfId="8420"/>
    <cellStyle name="표준 5 4 34 4 2" xfId="21093"/>
    <cellStyle name="표준 5 4 34 4 2 2" xfId="46445"/>
    <cellStyle name="표준 5 4 34 4 3" xfId="33773"/>
    <cellStyle name="표준 5 4 34 5" xfId="14757"/>
    <cellStyle name="표준 5 4 34 5 2" xfId="40109"/>
    <cellStyle name="표준 5 4 34 6" xfId="27437"/>
    <cellStyle name="표준 5 4 34 7" xfId="54781"/>
    <cellStyle name="표준 5 4 35" xfId="2085"/>
    <cellStyle name="표준 5 4 35 2" xfId="5227"/>
    <cellStyle name="표준 5 4 35 2 2" xfId="11563"/>
    <cellStyle name="표준 5 4 35 2 2 2" xfId="24236"/>
    <cellStyle name="표준 5 4 35 2 2 2 2" xfId="49588"/>
    <cellStyle name="표준 5 4 35 2 2 3" xfId="36916"/>
    <cellStyle name="표준 5 4 35 2 3" xfId="17900"/>
    <cellStyle name="표준 5 4 35 2 3 2" xfId="43252"/>
    <cellStyle name="표준 5 4 35 2 4" xfId="30580"/>
    <cellStyle name="표준 5 4 35 2 5" xfId="54782"/>
    <cellStyle name="표준 5 4 35 3" xfId="8422"/>
    <cellStyle name="표준 5 4 35 3 2" xfId="21095"/>
    <cellStyle name="표준 5 4 35 3 2 2" xfId="46447"/>
    <cellStyle name="표준 5 4 35 3 3" xfId="33775"/>
    <cellStyle name="표준 5 4 35 4" xfId="14759"/>
    <cellStyle name="표준 5 4 35 4 2" xfId="40111"/>
    <cellStyle name="표준 5 4 35 5" xfId="27439"/>
    <cellStyle name="표준 5 4 35 6" xfId="54783"/>
    <cellStyle name="표준 5 4 36" xfId="5228"/>
    <cellStyle name="표준 5 4 36 2" xfId="11564"/>
    <cellStyle name="표준 5 4 36 2 2" xfId="24237"/>
    <cellStyle name="표준 5 4 36 2 2 2" xfId="49589"/>
    <cellStyle name="표준 5 4 36 2 3" xfId="36917"/>
    <cellStyle name="표준 5 4 36 3" xfId="17901"/>
    <cellStyle name="표준 5 4 36 3 2" xfId="43253"/>
    <cellStyle name="표준 5 4 36 4" xfId="30581"/>
    <cellStyle name="표준 5 4 36 5" xfId="54784"/>
    <cellStyle name="표준 5 4 37" xfId="6383"/>
    <cellStyle name="표준 5 4 37 2" xfId="19056"/>
    <cellStyle name="표준 5 4 37 2 2" xfId="44408"/>
    <cellStyle name="표준 5 4 37 3" xfId="31736"/>
    <cellStyle name="표준 5 4 38" xfId="12720"/>
    <cellStyle name="표준 5 4 38 2" xfId="38072"/>
    <cellStyle name="표준 5 4 39" xfId="25400"/>
    <cellStyle name="표준 5 4 4" xfId="2086"/>
    <cellStyle name="표준 5 4 4 2" xfId="2087"/>
    <cellStyle name="표준 5 4 4 2 2" xfId="5229"/>
    <cellStyle name="표준 5 4 4 2 2 2" xfId="11565"/>
    <cellStyle name="표준 5 4 4 2 2 2 2" xfId="24238"/>
    <cellStyle name="표준 5 4 4 2 2 2 2 2" xfId="49590"/>
    <cellStyle name="표준 5 4 4 2 2 2 3" xfId="36918"/>
    <cellStyle name="표준 5 4 4 2 2 3" xfId="17902"/>
    <cellStyle name="표준 5 4 4 2 2 3 2" xfId="43254"/>
    <cellStyle name="표준 5 4 4 2 2 4" xfId="30582"/>
    <cellStyle name="표준 5 4 4 2 2 5" xfId="54785"/>
    <cellStyle name="표준 5 4 4 2 3" xfId="8424"/>
    <cellStyle name="표준 5 4 4 2 3 2" xfId="21097"/>
    <cellStyle name="표준 5 4 4 2 3 2 2" xfId="46449"/>
    <cellStyle name="표준 5 4 4 2 3 3" xfId="33777"/>
    <cellStyle name="표준 5 4 4 2 4" xfId="14761"/>
    <cellStyle name="표준 5 4 4 2 4 2" xfId="40113"/>
    <cellStyle name="표준 5 4 4 2 5" xfId="27441"/>
    <cellStyle name="표준 5 4 4 2 6" xfId="54786"/>
    <cellStyle name="표준 5 4 4 3" xfId="5230"/>
    <cellStyle name="표준 5 4 4 3 2" xfId="11566"/>
    <cellStyle name="표준 5 4 4 3 2 2" xfId="24239"/>
    <cellStyle name="표준 5 4 4 3 2 2 2" xfId="49591"/>
    <cellStyle name="표준 5 4 4 3 2 3" xfId="36919"/>
    <cellStyle name="표준 5 4 4 3 3" xfId="17903"/>
    <cellStyle name="표준 5 4 4 3 3 2" xfId="43255"/>
    <cellStyle name="표준 5 4 4 3 4" xfId="30583"/>
    <cellStyle name="표준 5 4 4 3 5" xfId="54787"/>
    <cellStyle name="표준 5 4 4 4" xfId="8423"/>
    <cellStyle name="표준 5 4 4 4 2" xfId="21096"/>
    <cellStyle name="표준 5 4 4 4 2 2" xfId="46448"/>
    <cellStyle name="표준 5 4 4 4 3" xfId="33776"/>
    <cellStyle name="표준 5 4 4 5" xfId="14760"/>
    <cellStyle name="표준 5 4 4 5 2" xfId="40112"/>
    <cellStyle name="표준 5 4 4 6" xfId="27440"/>
    <cellStyle name="표준 5 4 4 7" xfId="54788"/>
    <cellStyle name="표준 5 4 40" xfId="54789"/>
    <cellStyle name="표준 5 4 5" xfId="2088"/>
    <cellStyle name="표준 5 4 5 2" xfId="2089"/>
    <cellStyle name="표준 5 4 5 2 2" xfId="5231"/>
    <cellStyle name="표준 5 4 5 2 2 2" xfId="11567"/>
    <cellStyle name="표준 5 4 5 2 2 2 2" xfId="24240"/>
    <cellStyle name="표준 5 4 5 2 2 2 2 2" xfId="49592"/>
    <cellStyle name="표준 5 4 5 2 2 2 3" xfId="36920"/>
    <cellStyle name="표준 5 4 5 2 2 3" xfId="17904"/>
    <cellStyle name="표준 5 4 5 2 2 3 2" xfId="43256"/>
    <cellStyle name="표준 5 4 5 2 2 4" xfId="30584"/>
    <cellStyle name="표준 5 4 5 2 2 5" xfId="54790"/>
    <cellStyle name="표준 5 4 5 2 3" xfId="8426"/>
    <cellStyle name="표준 5 4 5 2 3 2" xfId="21099"/>
    <cellStyle name="표준 5 4 5 2 3 2 2" xfId="46451"/>
    <cellStyle name="표준 5 4 5 2 3 3" xfId="33779"/>
    <cellStyle name="표준 5 4 5 2 4" xfId="14763"/>
    <cellStyle name="표준 5 4 5 2 4 2" xfId="40115"/>
    <cellStyle name="표준 5 4 5 2 5" xfId="27443"/>
    <cellStyle name="표준 5 4 5 2 6" xfId="54791"/>
    <cellStyle name="표준 5 4 5 3" xfId="5232"/>
    <cellStyle name="표준 5 4 5 3 2" xfId="11568"/>
    <cellStyle name="표준 5 4 5 3 2 2" xfId="24241"/>
    <cellStyle name="표준 5 4 5 3 2 2 2" xfId="49593"/>
    <cellStyle name="표준 5 4 5 3 2 3" xfId="36921"/>
    <cellStyle name="표준 5 4 5 3 3" xfId="17905"/>
    <cellStyle name="표준 5 4 5 3 3 2" xfId="43257"/>
    <cellStyle name="표준 5 4 5 3 4" xfId="30585"/>
    <cellStyle name="표준 5 4 5 3 5" xfId="54792"/>
    <cellStyle name="표준 5 4 5 4" xfId="8425"/>
    <cellStyle name="표준 5 4 5 4 2" xfId="21098"/>
    <cellStyle name="표준 5 4 5 4 2 2" xfId="46450"/>
    <cellStyle name="표준 5 4 5 4 3" xfId="33778"/>
    <cellStyle name="표준 5 4 5 5" xfId="14762"/>
    <cellStyle name="표준 5 4 5 5 2" xfId="40114"/>
    <cellStyle name="표준 5 4 5 6" xfId="27442"/>
    <cellStyle name="표준 5 4 5 7" xfId="54793"/>
    <cellStyle name="표준 5 4 6" xfId="2090"/>
    <cellStyle name="표준 5 4 6 2" xfId="2091"/>
    <cellStyle name="표준 5 4 6 2 2" xfId="5233"/>
    <cellStyle name="표준 5 4 6 2 2 2" xfId="11569"/>
    <cellStyle name="표준 5 4 6 2 2 2 2" xfId="24242"/>
    <cellStyle name="표준 5 4 6 2 2 2 2 2" xfId="49594"/>
    <cellStyle name="표준 5 4 6 2 2 2 3" xfId="36922"/>
    <cellStyle name="표준 5 4 6 2 2 3" xfId="17906"/>
    <cellStyle name="표준 5 4 6 2 2 3 2" xfId="43258"/>
    <cellStyle name="표준 5 4 6 2 2 4" xfId="30586"/>
    <cellStyle name="표준 5 4 6 2 2 5" xfId="54794"/>
    <cellStyle name="표준 5 4 6 2 3" xfId="8428"/>
    <cellStyle name="표준 5 4 6 2 3 2" xfId="21101"/>
    <cellStyle name="표준 5 4 6 2 3 2 2" xfId="46453"/>
    <cellStyle name="표준 5 4 6 2 3 3" xfId="33781"/>
    <cellStyle name="표준 5 4 6 2 4" xfId="14765"/>
    <cellStyle name="표준 5 4 6 2 4 2" xfId="40117"/>
    <cellStyle name="표준 5 4 6 2 5" xfId="27445"/>
    <cellStyle name="표준 5 4 6 2 6" xfId="54795"/>
    <cellStyle name="표준 5 4 6 3" xfId="5234"/>
    <cellStyle name="표준 5 4 6 3 2" xfId="11570"/>
    <cellStyle name="표준 5 4 6 3 2 2" xfId="24243"/>
    <cellStyle name="표준 5 4 6 3 2 2 2" xfId="49595"/>
    <cellStyle name="표준 5 4 6 3 2 3" xfId="36923"/>
    <cellStyle name="표준 5 4 6 3 3" xfId="17907"/>
    <cellStyle name="표준 5 4 6 3 3 2" xfId="43259"/>
    <cellStyle name="표준 5 4 6 3 4" xfId="30587"/>
    <cellStyle name="표준 5 4 6 3 5" xfId="54796"/>
    <cellStyle name="표준 5 4 6 4" xfId="8427"/>
    <cellStyle name="표준 5 4 6 4 2" xfId="21100"/>
    <cellStyle name="표준 5 4 6 4 2 2" xfId="46452"/>
    <cellStyle name="표준 5 4 6 4 3" xfId="33780"/>
    <cellStyle name="표준 5 4 6 5" xfId="14764"/>
    <cellStyle name="표준 5 4 6 5 2" xfId="40116"/>
    <cellStyle name="표준 5 4 6 6" xfId="27444"/>
    <cellStyle name="표준 5 4 6 7" xfId="54797"/>
    <cellStyle name="표준 5 4 7" xfId="2092"/>
    <cellStyle name="표준 5 4 7 2" xfId="2093"/>
    <cellStyle name="표준 5 4 7 2 2" xfId="5235"/>
    <cellStyle name="표준 5 4 7 2 2 2" xfId="11571"/>
    <cellStyle name="표준 5 4 7 2 2 2 2" xfId="24244"/>
    <cellStyle name="표준 5 4 7 2 2 2 2 2" xfId="49596"/>
    <cellStyle name="표준 5 4 7 2 2 2 3" xfId="36924"/>
    <cellStyle name="표준 5 4 7 2 2 3" xfId="17908"/>
    <cellStyle name="표준 5 4 7 2 2 3 2" xfId="43260"/>
    <cellStyle name="표준 5 4 7 2 2 4" xfId="30588"/>
    <cellStyle name="표준 5 4 7 2 2 5" xfId="54798"/>
    <cellStyle name="표준 5 4 7 2 3" xfId="8430"/>
    <cellStyle name="표준 5 4 7 2 3 2" xfId="21103"/>
    <cellStyle name="표준 5 4 7 2 3 2 2" xfId="46455"/>
    <cellStyle name="표준 5 4 7 2 3 3" xfId="33783"/>
    <cellStyle name="표준 5 4 7 2 4" xfId="14767"/>
    <cellStyle name="표준 5 4 7 2 4 2" xfId="40119"/>
    <cellStyle name="표준 5 4 7 2 5" xfId="27447"/>
    <cellStyle name="표준 5 4 7 2 6" xfId="54799"/>
    <cellStyle name="표준 5 4 7 3" xfId="5236"/>
    <cellStyle name="표준 5 4 7 3 2" xfId="11572"/>
    <cellStyle name="표준 5 4 7 3 2 2" xfId="24245"/>
    <cellStyle name="표준 5 4 7 3 2 2 2" xfId="49597"/>
    <cellStyle name="표준 5 4 7 3 2 3" xfId="36925"/>
    <cellStyle name="표준 5 4 7 3 3" xfId="17909"/>
    <cellStyle name="표준 5 4 7 3 3 2" xfId="43261"/>
    <cellStyle name="표준 5 4 7 3 4" xfId="30589"/>
    <cellStyle name="표준 5 4 7 3 5" xfId="54800"/>
    <cellStyle name="표준 5 4 7 4" xfId="8429"/>
    <cellStyle name="표준 5 4 7 4 2" xfId="21102"/>
    <cellStyle name="표준 5 4 7 4 2 2" xfId="46454"/>
    <cellStyle name="표준 5 4 7 4 3" xfId="33782"/>
    <cellStyle name="표준 5 4 7 5" xfId="14766"/>
    <cellStyle name="표준 5 4 7 5 2" xfId="40118"/>
    <cellStyle name="표준 5 4 7 6" xfId="27446"/>
    <cellStyle name="표준 5 4 7 7" xfId="54801"/>
    <cellStyle name="표준 5 4 8" xfId="2094"/>
    <cellStyle name="표준 5 4 8 2" xfId="2095"/>
    <cellStyle name="표준 5 4 8 2 2" xfId="5237"/>
    <cellStyle name="표준 5 4 8 2 2 2" xfId="11573"/>
    <cellStyle name="표준 5 4 8 2 2 2 2" xfId="24246"/>
    <cellStyle name="표준 5 4 8 2 2 2 2 2" xfId="49598"/>
    <cellStyle name="표준 5 4 8 2 2 2 3" xfId="36926"/>
    <cellStyle name="표준 5 4 8 2 2 3" xfId="17910"/>
    <cellStyle name="표준 5 4 8 2 2 3 2" xfId="43262"/>
    <cellStyle name="표준 5 4 8 2 2 4" xfId="30590"/>
    <cellStyle name="표준 5 4 8 2 2 5" xfId="54802"/>
    <cellStyle name="표준 5 4 8 2 3" xfId="8432"/>
    <cellStyle name="표준 5 4 8 2 3 2" xfId="21105"/>
    <cellStyle name="표준 5 4 8 2 3 2 2" xfId="46457"/>
    <cellStyle name="표준 5 4 8 2 3 3" xfId="33785"/>
    <cellStyle name="표준 5 4 8 2 4" xfId="14769"/>
    <cellStyle name="표준 5 4 8 2 4 2" xfId="40121"/>
    <cellStyle name="표준 5 4 8 2 5" xfId="27449"/>
    <cellStyle name="표준 5 4 8 2 6" xfId="54803"/>
    <cellStyle name="표준 5 4 8 3" xfId="5238"/>
    <cellStyle name="표준 5 4 8 3 2" xfId="11574"/>
    <cellStyle name="표준 5 4 8 3 2 2" xfId="24247"/>
    <cellStyle name="표준 5 4 8 3 2 2 2" xfId="49599"/>
    <cellStyle name="표준 5 4 8 3 2 3" xfId="36927"/>
    <cellStyle name="표준 5 4 8 3 3" xfId="17911"/>
    <cellStyle name="표준 5 4 8 3 3 2" xfId="43263"/>
    <cellStyle name="표준 5 4 8 3 4" xfId="30591"/>
    <cellStyle name="표준 5 4 8 3 5" xfId="54804"/>
    <cellStyle name="표준 5 4 8 4" xfId="8431"/>
    <cellStyle name="표준 5 4 8 4 2" xfId="21104"/>
    <cellStyle name="표준 5 4 8 4 2 2" xfId="46456"/>
    <cellStyle name="표준 5 4 8 4 3" xfId="33784"/>
    <cellStyle name="표준 5 4 8 5" xfId="14768"/>
    <cellStyle name="표준 5 4 8 5 2" xfId="40120"/>
    <cellStyle name="표준 5 4 8 6" xfId="27448"/>
    <cellStyle name="표준 5 4 8 7" xfId="54805"/>
    <cellStyle name="표준 5 4 9" xfId="2096"/>
    <cellStyle name="표준 5 4 9 2" xfId="2097"/>
    <cellStyle name="표준 5 4 9 2 2" xfId="5239"/>
    <cellStyle name="표준 5 4 9 2 2 2" xfId="11575"/>
    <cellStyle name="표준 5 4 9 2 2 2 2" xfId="24248"/>
    <cellStyle name="표준 5 4 9 2 2 2 2 2" xfId="49600"/>
    <cellStyle name="표준 5 4 9 2 2 2 3" xfId="36928"/>
    <cellStyle name="표준 5 4 9 2 2 3" xfId="17912"/>
    <cellStyle name="표준 5 4 9 2 2 3 2" xfId="43264"/>
    <cellStyle name="표준 5 4 9 2 2 4" xfId="30592"/>
    <cellStyle name="표준 5 4 9 2 2 5" xfId="54806"/>
    <cellStyle name="표준 5 4 9 2 3" xfId="8434"/>
    <cellStyle name="표준 5 4 9 2 3 2" xfId="21107"/>
    <cellStyle name="표준 5 4 9 2 3 2 2" xfId="46459"/>
    <cellStyle name="표준 5 4 9 2 3 3" xfId="33787"/>
    <cellStyle name="표준 5 4 9 2 4" xfId="14771"/>
    <cellStyle name="표준 5 4 9 2 4 2" xfId="40123"/>
    <cellStyle name="표준 5 4 9 2 5" xfId="27451"/>
    <cellStyle name="표준 5 4 9 2 6" xfId="54807"/>
    <cellStyle name="표준 5 4 9 3" xfId="5240"/>
    <cellStyle name="표준 5 4 9 3 2" xfId="11576"/>
    <cellStyle name="표준 5 4 9 3 2 2" xfId="24249"/>
    <cellStyle name="표준 5 4 9 3 2 2 2" xfId="49601"/>
    <cellStyle name="표준 5 4 9 3 2 3" xfId="36929"/>
    <cellStyle name="표준 5 4 9 3 3" xfId="17913"/>
    <cellStyle name="표준 5 4 9 3 3 2" xfId="43265"/>
    <cellStyle name="표준 5 4 9 3 4" xfId="30593"/>
    <cellStyle name="표준 5 4 9 3 5" xfId="54808"/>
    <cellStyle name="표준 5 4 9 4" xfId="8433"/>
    <cellStyle name="표준 5 4 9 4 2" xfId="21106"/>
    <cellStyle name="표준 5 4 9 4 2 2" xfId="46458"/>
    <cellStyle name="표준 5 4 9 4 3" xfId="33786"/>
    <cellStyle name="표준 5 4 9 5" xfId="14770"/>
    <cellStyle name="표준 5 4 9 5 2" xfId="40122"/>
    <cellStyle name="표준 5 4 9 6" xfId="27450"/>
    <cellStyle name="표준 5 4 9 7" xfId="54809"/>
    <cellStyle name="표준 5 40" xfId="6371"/>
    <cellStyle name="표준 5 40 2" xfId="19044"/>
    <cellStyle name="표준 5 40 2 2" xfId="44396"/>
    <cellStyle name="표준 5 40 3" xfId="31724"/>
    <cellStyle name="표준 5 41" xfId="12708"/>
    <cellStyle name="표준 5 41 2" xfId="38060"/>
    <cellStyle name="표준 5 42" xfId="25388"/>
    <cellStyle name="표준 5 43" xfId="54810"/>
    <cellStyle name="표준 5 5" xfId="87"/>
    <cellStyle name="표준 5 5 10" xfId="2098"/>
    <cellStyle name="표준 5 5 10 2" xfId="2099"/>
    <cellStyle name="표준 5 5 10 2 2" xfId="5241"/>
    <cellStyle name="표준 5 5 10 2 2 2" xfId="11577"/>
    <cellStyle name="표준 5 5 10 2 2 2 2" xfId="24250"/>
    <cellStyle name="표준 5 5 10 2 2 2 2 2" xfId="49602"/>
    <cellStyle name="표준 5 5 10 2 2 2 3" xfId="36930"/>
    <cellStyle name="표준 5 5 10 2 2 3" xfId="17914"/>
    <cellStyle name="표준 5 5 10 2 2 3 2" xfId="43266"/>
    <cellStyle name="표준 5 5 10 2 2 4" xfId="30594"/>
    <cellStyle name="표준 5 5 10 2 2 5" xfId="54811"/>
    <cellStyle name="표준 5 5 10 2 3" xfId="8436"/>
    <cellStyle name="표준 5 5 10 2 3 2" xfId="21109"/>
    <cellStyle name="표준 5 5 10 2 3 2 2" xfId="46461"/>
    <cellStyle name="표준 5 5 10 2 3 3" xfId="33789"/>
    <cellStyle name="표준 5 5 10 2 4" xfId="14773"/>
    <cellStyle name="표준 5 5 10 2 4 2" xfId="40125"/>
    <cellStyle name="표준 5 5 10 2 5" xfId="27453"/>
    <cellStyle name="표준 5 5 10 2 6" xfId="54812"/>
    <cellStyle name="표준 5 5 10 3" xfId="5242"/>
    <cellStyle name="표준 5 5 10 3 2" xfId="11578"/>
    <cellStyle name="표준 5 5 10 3 2 2" xfId="24251"/>
    <cellStyle name="표준 5 5 10 3 2 2 2" xfId="49603"/>
    <cellStyle name="표준 5 5 10 3 2 3" xfId="36931"/>
    <cellStyle name="표준 5 5 10 3 3" xfId="17915"/>
    <cellStyle name="표준 5 5 10 3 3 2" xfId="43267"/>
    <cellStyle name="표준 5 5 10 3 4" xfId="30595"/>
    <cellStyle name="표준 5 5 10 3 5" xfId="54813"/>
    <cellStyle name="표준 5 5 10 4" xfId="8435"/>
    <cellStyle name="표준 5 5 10 4 2" xfId="21108"/>
    <cellStyle name="표준 5 5 10 4 2 2" xfId="46460"/>
    <cellStyle name="표준 5 5 10 4 3" xfId="33788"/>
    <cellStyle name="표준 5 5 10 5" xfId="14772"/>
    <cellStyle name="표준 5 5 10 5 2" xfId="40124"/>
    <cellStyle name="표준 5 5 10 6" xfId="27452"/>
    <cellStyle name="표준 5 5 10 7" xfId="54814"/>
    <cellStyle name="표준 5 5 11" xfId="2100"/>
    <cellStyle name="표준 5 5 11 2" xfId="2101"/>
    <cellStyle name="표준 5 5 11 2 2" xfId="5243"/>
    <cellStyle name="표준 5 5 11 2 2 2" xfId="11579"/>
    <cellStyle name="표준 5 5 11 2 2 2 2" xfId="24252"/>
    <cellStyle name="표준 5 5 11 2 2 2 2 2" xfId="49604"/>
    <cellStyle name="표준 5 5 11 2 2 2 3" xfId="36932"/>
    <cellStyle name="표준 5 5 11 2 2 3" xfId="17916"/>
    <cellStyle name="표준 5 5 11 2 2 3 2" xfId="43268"/>
    <cellStyle name="표준 5 5 11 2 2 4" xfId="30596"/>
    <cellStyle name="표준 5 5 11 2 2 5" xfId="54815"/>
    <cellStyle name="표준 5 5 11 2 3" xfId="8438"/>
    <cellStyle name="표준 5 5 11 2 3 2" xfId="21111"/>
    <cellStyle name="표준 5 5 11 2 3 2 2" xfId="46463"/>
    <cellStyle name="표준 5 5 11 2 3 3" xfId="33791"/>
    <cellStyle name="표준 5 5 11 2 4" xfId="14775"/>
    <cellStyle name="표준 5 5 11 2 4 2" xfId="40127"/>
    <cellStyle name="표준 5 5 11 2 5" xfId="27455"/>
    <cellStyle name="표준 5 5 11 2 6" xfId="54816"/>
    <cellStyle name="표준 5 5 11 3" xfId="5244"/>
    <cellStyle name="표준 5 5 11 3 2" xfId="11580"/>
    <cellStyle name="표준 5 5 11 3 2 2" xfId="24253"/>
    <cellStyle name="표준 5 5 11 3 2 2 2" xfId="49605"/>
    <cellStyle name="표준 5 5 11 3 2 3" xfId="36933"/>
    <cellStyle name="표준 5 5 11 3 3" xfId="17917"/>
    <cellStyle name="표준 5 5 11 3 3 2" xfId="43269"/>
    <cellStyle name="표준 5 5 11 3 4" xfId="30597"/>
    <cellStyle name="표준 5 5 11 3 5" xfId="54817"/>
    <cellStyle name="표준 5 5 11 4" xfId="8437"/>
    <cellStyle name="표준 5 5 11 4 2" xfId="21110"/>
    <cellStyle name="표준 5 5 11 4 2 2" xfId="46462"/>
    <cellStyle name="표준 5 5 11 4 3" xfId="33790"/>
    <cellStyle name="표준 5 5 11 5" xfId="14774"/>
    <cellStyle name="표준 5 5 11 5 2" xfId="40126"/>
    <cellStyle name="표준 5 5 11 6" xfId="27454"/>
    <cellStyle name="표준 5 5 11 7" xfId="54818"/>
    <cellStyle name="표준 5 5 12" xfId="2102"/>
    <cellStyle name="표준 5 5 12 2" xfId="2103"/>
    <cellStyle name="표준 5 5 12 2 2" xfId="5245"/>
    <cellStyle name="표준 5 5 12 2 2 2" xfId="11581"/>
    <cellStyle name="표준 5 5 12 2 2 2 2" xfId="24254"/>
    <cellStyle name="표준 5 5 12 2 2 2 2 2" xfId="49606"/>
    <cellStyle name="표준 5 5 12 2 2 2 3" xfId="36934"/>
    <cellStyle name="표준 5 5 12 2 2 3" xfId="17918"/>
    <cellStyle name="표준 5 5 12 2 2 3 2" xfId="43270"/>
    <cellStyle name="표준 5 5 12 2 2 4" xfId="30598"/>
    <cellStyle name="표준 5 5 12 2 2 5" xfId="54819"/>
    <cellStyle name="표준 5 5 12 2 3" xfId="8440"/>
    <cellStyle name="표준 5 5 12 2 3 2" xfId="21113"/>
    <cellStyle name="표준 5 5 12 2 3 2 2" xfId="46465"/>
    <cellStyle name="표준 5 5 12 2 3 3" xfId="33793"/>
    <cellStyle name="표준 5 5 12 2 4" xfId="14777"/>
    <cellStyle name="표준 5 5 12 2 4 2" xfId="40129"/>
    <cellStyle name="표준 5 5 12 2 5" xfId="27457"/>
    <cellStyle name="표준 5 5 12 2 6" xfId="54820"/>
    <cellStyle name="표준 5 5 12 3" xfId="5246"/>
    <cellStyle name="표준 5 5 12 3 2" xfId="11582"/>
    <cellStyle name="표준 5 5 12 3 2 2" xfId="24255"/>
    <cellStyle name="표준 5 5 12 3 2 2 2" xfId="49607"/>
    <cellStyle name="표준 5 5 12 3 2 3" xfId="36935"/>
    <cellStyle name="표준 5 5 12 3 3" xfId="17919"/>
    <cellStyle name="표준 5 5 12 3 3 2" xfId="43271"/>
    <cellStyle name="표준 5 5 12 3 4" xfId="30599"/>
    <cellStyle name="표준 5 5 12 3 5" xfId="54821"/>
    <cellStyle name="표준 5 5 12 4" xfId="8439"/>
    <cellStyle name="표준 5 5 12 4 2" xfId="21112"/>
    <cellStyle name="표준 5 5 12 4 2 2" xfId="46464"/>
    <cellStyle name="표준 5 5 12 4 3" xfId="33792"/>
    <cellStyle name="표준 5 5 12 5" xfId="14776"/>
    <cellStyle name="표준 5 5 12 5 2" xfId="40128"/>
    <cellStyle name="표준 5 5 12 6" xfId="27456"/>
    <cellStyle name="표준 5 5 12 7" xfId="54822"/>
    <cellStyle name="표준 5 5 13" xfId="2104"/>
    <cellStyle name="표준 5 5 13 2" xfId="2105"/>
    <cellStyle name="표준 5 5 13 2 2" xfId="5247"/>
    <cellStyle name="표준 5 5 13 2 2 2" xfId="11583"/>
    <cellStyle name="표준 5 5 13 2 2 2 2" xfId="24256"/>
    <cellStyle name="표준 5 5 13 2 2 2 2 2" xfId="49608"/>
    <cellStyle name="표준 5 5 13 2 2 2 3" xfId="36936"/>
    <cellStyle name="표준 5 5 13 2 2 3" xfId="17920"/>
    <cellStyle name="표준 5 5 13 2 2 3 2" xfId="43272"/>
    <cellStyle name="표준 5 5 13 2 2 4" xfId="30600"/>
    <cellStyle name="표준 5 5 13 2 2 5" xfId="54823"/>
    <cellStyle name="표준 5 5 13 2 3" xfId="8442"/>
    <cellStyle name="표준 5 5 13 2 3 2" xfId="21115"/>
    <cellStyle name="표준 5 5 13 2 3 2 2" xfId="46467"/>
    <cellStyle name="표준 5 5 13 2 3 3" xfId="33795"/>
    <cellStyle name="표준 5 5 13 2 4" xfId="14779"/>
    <cellStyle name="표준 5 5 13 2 4 2" xfId="40131"/>
    <cellStyle name="표준 5 5 13 2 5" xfId="27459"/>
    <cellStyle name="표준 5 5 13 2 6" xfId="54824"/>
    <cellStyle name="표준 5 5 13 3" xfId="5248"/>
    <cellStyle name="표준 5 5 13 3 2" xfId="11584"/>
    <cellStyle name="표준 5 5 13 3 2 2" xfId="24257"/>
    <cellStyle name="표준 5 5 13 3 2 2 2" xfId="49609"/>
    <cellStyle name="표준 5 5 13 3 2 3" xfId="36937"/>
    <cellStyle name="표준 5 5 13 3 3" xfId="17921"/>
    <cellStyle name="표준 5 5 13 3 3 2" xfId="43273"/>
    <cellStyle name="표준 5 5 13 3 4" xfId="30601"/>
    <cellStyle name="표준 5 5 13 3 5" xfId="54825"/>
    <cellStyle name="표준 5 5 13 4" xfId="8441"/>
    <cellStyle name="표준 5 5 13 4 2" xfId="21114"/>
    <cellStyle name="표준 5 5 13 4 2 2" xfId="46466"/>
    <cellStyle name="표준 5 5 13 4 3" xfId="33794"/>
    <cellStyle name="표준 5 5 13 5" xfId="14778"/>
    <cellStyle name="표준 5 5 13 5 2" xfId="40130"/>
    <cellStyle name="표준 5 5 13 6" xfId="27458"/>
    <cellStyle name="표준 5 5 13 7" xfId="54826"/>
    <cellStyle name="표준 5 5 14" xfId="2106"/>
    <cellStyle name="표준 5 5 14 2" xfId="2107"/>
    <cellStyle name="표준 5 5 14 2 2" xfId="5249"/>
    <cellStyle name="표준 5 5 14 2 2 2" xfId="11585"/>
    <cellStyle name="표준 5 5 14 2 2 2 2" xfId="24258"/>
    <cellStyle name="표준 5 5 14 2 2 2 2 2" xfId="49610"/>
    <cellStyle name="표준 5 5 14 2 2 2 3" xfId="36938"/>
    <cellStyle name="표준 5 5 14 2 2 3" xfId="17922"/>
    <cellStyle name="표준 5 5 14 2 2 3 2" xfId="43274"/>
    <cellStyle name="표준 5 5 14 2 2 4" xfId="30602"/>
    <cellStyle name="표준 5 5 14 2 2 5" xfId="54827"/>
    <cellStyle name="표준 5 5 14 2 3" xfId="8444"/>
    <cellStyle name="표준 5 5 14 2 3 2" xfId="21117"/>
    <cellStyle name="표준 5 5 14 2 3 2 2" xfId="46469"/>
    <cellStyle name="표준 5 5 14 2 3 3" xfId="33797"/>
    <cellStyle name="표준 5 5 14 2 4" xfId="14781"/>
    <cellStyle name="표준 5 5 14 2 4 2" xfId="40133"/>
    <cellStyle name="표준 5 5 14 2 5" xfId="27461"/>
    <cellStyle name="표준 5 5 14 2 6" xfId="54828"/>
    <cellStyle name="표준 5 5 14 3" xfId="5250"/>
    <cellStyle name="표준 5 5 14 3 2" xfId="11586"/>
    <cellStyle name="표준 5 5 14 3 2 2" xfId="24259"/>
    <cellStyle name="표준 5 5 14 3 2 2 2" xfId="49611"/>
    <cellStyle name="표준 5 5 14 3 2 3" xfId="36939"/>
    <cellStyle name="표준 5 5 14 3 3" xfId="17923"/>
    <cellStyle name="표준 5 5 14 3 3 2" xfId="43275"/>
    <cellStyle name="표준 5 5 14 3 4" xfId="30603"/>
    <cellStyle name="표준 5 5 14 3 5" xfId="54829"/>
    <cellStyle name="표준 5 5 14 4" xfId="8443"/>
    <cellStyle name="표준 5 5 14 4 2" xfId="21116"/>
    <cellStyle name="표준 5 5 14 4 2 2" xfId="46468"/>
    <cellStyle name="표준 5 5 14 4 3" xfId="33796"/>
    <cellStyle name="표준 5 5 14 5" xfId="14780"/>
    <cellStyle name="표준 5 5 14 5 2" xfId="40132"/>
    <cellStyle name="표준 5 5 14 6" xfId="27460"/>
    <cellStyle name="표준 5 5 14 7" xfId="54830"/>
    <cellStyle name="표준 5 5 15" xfId="2108"/>
    <cellStyle name="표준 5 5 15 2" xfId="2109"/>
    <cellStyle name="표준 5 5 15 2 2" xfId="5251"/>
    <cellStyle name="표준 5 5 15 2 2 2" xfId="11587"/>
    <cellStyle name="표준 5 5 15 2 2 2 2" xfId="24260"/>
    <cellStyle name="표준 5 5 15 2 2 2 2 2" xfId="49612"/>
    <cellStyle name="표준 5 5 15 2 2 2 3" xfId="36940"/>
    <cellStyle name="표준 5 5 15 2 2 3" xfId="17924"/>
    <cellStyle name="표준 5 5 15 2 2 3 2" xfId="43276"/>
    <cellStyle name="표준 5 5 15 2 2 4" xfId="30604"/>
    <cellStyle name="표준 5 5 15 2 2 5" xfId="54831"/>
    <cellStyle name="표준 5 5 15 2 3" xfId="8446"/>
    <cellStyle name="표준 5 5 15 2 3 2" xfId="21119"/>
    <cellStyle name="표준 5 5 15 2 3 2 2" xfId="46471"/>
    <cellStyle name="표준 5 5 15 2 3 3" xfId="33799"/>
    <cellStyle name="표준 5 5 15 2 4" xfId="14783"/>
    <cellStyle name="표준 5 5 15 2 4 2" xfId="40135"/>
    <cellStyle name="표준 5 5 15 2 5" xfId="27463"/>
    <cellStyle name="표준 5 5 15 2 6" xfId="54832"/>
    <cellStyle name="표준 5 5 15 3" xfId="5252"/>
    <cellStyle name="표준 5 5 15 3 2" xfId="11588"/>
    <cellStyle name="표준 5 5 15 3 2 2" xfId="24261"/>
    <cellStyle name="표준 5 5 15 3 2 2 2" xfId="49613"/>
    <cellStyle name="표준 5 5 15 3 2 3" xfId="36941"/>
    <cellStyle name="표준 5 5 15 3 3" xfId="17925"/>
    <cellStyle name="표준 5 5 15 3 3 2" xfId="43277"/>
    <cellStyle name="표준 5 5 15 3 4" xfId="30605"/>
    <cellStyle name="표준 5 5 15 3 5" xfId="54833"/>
    <cellStyle name="표준 5 5 15 4" xfId="8445"/>
    <cellStyle name="표준 5 5 15 4 2" xfId="21118"/>
    <cellStyle name="표준 5 5 15 4 2 2" xfId="46470"/>
    <cellStyle name="표준 5 5 15 4 3" xfId="33798"/>
    <cellStyle name="표준 5 5 15 5" xfId="14782"/>
    <cellStyle name="표준 5 5 15 5 2" xfId="40134"/>
    <cellStyle name="표준 5 5 15 6" xfId="27462"/>
    <cellStyle name="표준 5 5 15 7" xfId="54834"/>
    <cellStyle name="표준 5 5 16" xfId="2110"/>
    <cellStyle name="표준 5 5 16 2" xfId="2111"/>
    <cellStyle name="표준 5 5 16 2 2" xfId="5253"/>
    <cellStyle name="표준 5 5 16 2 2 2" xfId="11589"/>
    <cellStyle name="표준 5 5 16 2 2 2 2" xfId="24262"/>
    <cellStyle name="표준 5 5 16 2 2 2 2 2" xfId="49614"/>
    <cellStyle name="표준 5 5 16 2 2 2 3" xfId="36942"/>
    <cellStyle name="표준 5 5 16 2 2 3" xfId="17926"/>
    <cellStyle name="표준 5 5 16 2 2 3 2" xfId="43278"/>
    <cellStyle name="표준 5 5 16 2 2 4" xfId="30606"/>
    <cellStyle name="표준 5 5 16 2 2 5" xfId="54835"/>
    <cellStyle name="표준 5 5 16 2 3" xfId="8448"/>
    <cellStyle name="표준 5 5 16 2 3 2" xfId="21121"/>
    <cellStyle name="표준 5 5 16 2 3 2 2" xfId="46473"/>
    <cellStyle name="표준 5 5 16 2 3 3" xfId="33801"/>
    <cellStyle name="표준 5 5 16 2 4" xfId="14785"/>
    <cellStyle name="표준 5 5 16 2 4 2" xfId="40137"/>
    <cellStyle name="표준 5 5 16 2 5" xfId="27465"/>
    <cellStyle name="표준 5 5 16 2 6" xfId="54836"/>
    <cellStyle name="표준 5 5 16 3" xfId="5254"/>
    <cellStyle name="표준 5 5 16 3 2" xfId="11590"/>
    <cellStyle name="표준 5 5 16 3 2 2" xfId="24263"/>
    <cellStyle name="표준 5 5 16 3 2 2 2" xfId="49615"/>
    <cellStyle name="표준 5 5 16 3 2 3" xfId="36943"/>
    <cellStyle name="표준 5 5 16 3 3" xfId="17927"/>
    <cellStyle name="표준 5 5 16 3 3 2" xfId="43279"/>
    <cellStyle name="표준 5 5 16 3 4" xfId="30607"/>
    <cellStyle name="표준 5 5 16 3 5" xfId="54837"/>
    <cellStyle name="표준 5 5 16 4" xfId="8447"/>
    <cellStyle name="표준 5 5 16 4 2" xfId="21120"/>
    <cellStyle name="표준 5 5 16 4 2 2" xfId="46472"/>
    <cellStyle name="표준 5 5 16 4 3" xfId="33800"/>
    <cellStyle name="표준 5 5 16 5" xfId="14784"/>
    <cellStyle name="표준 5 5 16 5 2" xfId="40136"/>
    <cellStyle name="표준 5 5 16 6" xfId="27464"/>
    <cellStyle name="표준 5 5 16 7" xfId="54838"/>
    <cellStyle name="표준 5 5 17" xfId="2112"/>
    <cellStyle name="표준 5 5 17 2" xfId="2113"/>
    <cellStyle name="표준 5 5 17 2 2" xfId="5255"/>
    <cellStyle name="표준 5 5 17 2 2 2" xfId="11591"/>
    <cellStyle name="표준 5 5 17 2 2 2 2" xfId="24264"/>
    <cellStyle name="표준 5 5 17 2 2 2 2 2" xfId="49616"/>
    <cellStyle name="표준 5 5 17 2 2 2 3" xfId="36944"/>
    <cellStyle name="표준 5 5 17 2 2 3" xfId="17928"/>
    <cellStyle name="표준 5 5 17 2 2 3 2" xfId="43280"/>
    <cellStyle name="표준 5 5 17 2 2 4" xfId="30608"/>
    <cellStyle name="표준 5 5 17 2 2 5" xfId="54839"/>
    <cellStyle name="표준 5 5 17 2 3" xfId="8450"/>
    <cellStyle name="표준 5 5 17 2 3 2" xfId="21123"/>
    <cellStyle name="표준 5 5 17 2 3 2 2" xfId="46475"/>
    <cellStyle name="표준 5 5 17 2 3 3" xfId="33803"/>
    <cellStyle name="표준 5 5 17 2 4" xfId="14787"/>
    <cellStyle name="표준 5 5 17 2 4 2" xfId="40139"/>
    <cellStyle name="표준 5 5 17 2 5" xfId="27467"/>
    <cellStyle name="표준 5 5 17 2 6" xfId="54840"/>
    <cellStyle name="표준 5 5 17 3" xfId="5256"/>
    <cellStyle name="표준 5 5 17 3 2" xfId="11592"/>
    <cellStyle name="표준 5 5 17 3 2 2" xfId="24265"/>
    <cellStyle name="표준 5 5 17 3 2 2 2" xfId="49617"/>
    <cellStyle name="표준 5 5 17 3 2 3" xfId="36945"/>
    <cellStyle name="표준 5 5 17 3 3" xfId="17929"/>
    <cellStyle name="표준 5 5 17 3 3 2" xfId="43281"/>
    <cellStyle name="표준 5 5 17 3 4" xfId="30609"/>
    <cellStyle name="표준 5 5 17 3 5" xfId="54841"/>
    <cellStyle name="표준 5 5 17 4" xfId="8449"/>
    <cellStyle name="표준 5 5 17 4 2" xfId="21122"/>
    <cellStyle name="표준 5 5 17 4 2 2" xfId="46474"/>
    <cellStyle name="표준 5 5 17 4 3" xfId="33802"/>
    <cellStyle name="표준 5 5 17 5" xfId="14786"/>
    <cellStyle name="표준 5 5 17 5 2" xfId="40138"/>
    <cellStyle name="표준 5 5 17 6" xfId="27466"/>
    <cellStyle name="표준 5 5 17 7" xfId="54842"/>
    <cellStyle name="표준 5 5 18" xfId="2114"/>
    <cellStyle name="표준 5 5 18 2" xfId="2115"/>
    <cellStyle name="표준 5 5 18 2 2" xfId="5257"/>
    <cellStyle name="표준 5 5 18 2 2 2" xfId="11593"/>
    <cellStyle name="표준 5 5 18 2 2 2 2" xfId="24266"/>
    <cellStyle name="표준 5 5 18 2 2 2 2 2" xfId="49618"/>
    <cellStyle name="표준 5 5 18 2 2 2 3" xfId="36946"/>
    <cellStyle name="표준 5 5 18 2 2 3" xfId="17930"/>
    <cellStyle name="표준 5 5 18 2 2 3 2" xfId="43282"/>
    <cellStyle name="표준 5 5 18 2 2 4" xfId="30610"/>
    <cellStyle name="표준 5 5 18 2 2 5" xfId="54843"/>
    <cellStyle name="표준 5 5 18 2 3" xfId="8452"/>
    <cellStyle name="표준 5 5 18 2 3 2" xfId="21125"/>
    <cellStyle name="표준 5 5 18 2 3 2 2" xfId="46477"/>
    <cellStyle name="표준 5 5 18 2 3 3" xfId="33805"/>
    <cellStyle name="표준 5 5 18 2 4" xfId="14789"/>
    <cellStyle name="표준 5 5 18 2 4 2" xfId="40141"/>
    <cellStyle name="표준 5 5 18 2 5" xfId="27469"/>
    <cellStyle name="표준 5 5 18 2 6" xfId="54844"/>
    <cellStyle name="표준 5 5 18 3" xfId="5258"/>
    <cellStyle name="표준 5 5 18 3 2" xfId="11594"/>
    <cellStyle name="표준 5 5 18 3 2 2" xfId="24267"/>
    <cellStyle name="표준 5 5 18 3 2 2 2" xfId="49619"/>
    <cellStyle name="표준 5 5 18 3 2 3" xfId="36947"/>
    <cellStyle name="표준 5 5 18 3 3" xfId="17931"/>
    <cellStyle name="표준 5 5 18 3 3 2" xfId="43283"/>
    <cellStyle name="표준 5 5 18 3 4" xfId="30611"/>
    <cellStyle name="표준 5 5 18 3 5" xfId="54845"/>
    <cellStyle name="표준 5 5 18 4" xfId="8451"/>
    <cellStyle name="표준 5 5 18 4 2" xfId="21124"/>
    <cellStyle name="표준 5 5 18 4 2 2" xfId="46476"/>
    <cellStyle name="표준 5 5 18 4 3" xfId="33804"/>
    <cellStyle name="표준 5 5 18 5" xfId="14788"/>
    <cellStyle name="표준 5 5 18 5 2" xfId="40140"/>
    <cellStyle name="표준 5 5 18 6" xfId="27468"/>
    <cellStyle name="표준 5 5 18 7" xfId="54846"/>
    <cellStyle name="표준 5 5 19" xfId="2116"/>
    <cellStyle name="표준 5 5 19 2" xfId="2117"/>
    <cellStyle name="표준 5 5 19 2 2" xfId="5259"/>
    <cellStyle name="표준 5 5 19 2 2 2" xfId="11595"/>
    <cellStyle name="표준 5 5 19 2 2 2 2" xfId="24268"/>
    <cellStyle name="표준 5 5 19 2 2 2 2 2" xfId="49620"/>
    <cellStyle name="표준 5 5 19 2 2 2 3" xfId="36948"/>
    <cellStyle name="표준 5 5 19 2 2 3" xfId="17932"/>
    <cellStyle name="표준 5 5 19 2 2 3 2" xfId="43284"/>
    <cellStyle name="표준 5 5 19 2 2 4" xfId="30612"/>
    <cellStyle name="표준 5 5 19 2 2 5" xfId="54847"/>
    <cellStyle name="표준 5 5 19 2 3" xfId="8454"/>
    <cellStyle name="표준 5 5 19 2 3 2" xfId="21127"/>
    <cellStyle name="표준 5 5 19 2 3 2 2" xfId="46479"/>
    <cellStyle name="표준 5 5 19 2 3 3" xfId="33807"/>
    <cellStyle name="표준 5 5 19 2 4" xfId="14791"/>
    <cellStyle name="표준 5 5 19 2 4 2" xfId="40143"/>
    <cellStyle name="표준 5 5 19 2 5" xfId="27471"/>
    <cellStyle name="표준 5 5 19 2 6" xfId="54848"/>
    <cellStyle name="표준 5 5 19 3" xfId="5260"/>
    <cellStyle name="표준 5 5 19 3 2" xfId="11596"/>
    <cellStyle name="표준 5 5 19 3 2 2" xfId="24269"/>
    <cellStyle name="표준 5 5 19 3 2 2 2" xfId="49621"/>
    <cellStyle name="표준 5 5 19 3 2 3" xfId="36949"/>
    <cellStyle name="표준 5 5 19 3 3" xfId="17933"/>
    <cellStyle name="표준 5 5 19 3 3 2" xfId="43285"/>
    <cellStyle name="표준 5 5 19 3 4" xfId="30613"/>
    <cellStyle name="표준 5 5 19 3 5" xfId="54849"/>
    <cellStyle name="표준 5 5 19 4" xfId="8453"/>
    <cellStyle name="표준 5 5 19 4 2" xfId="21126"/>
    <cellStyle name="표준 5 5 19 4 2 2" xfId="46478"/>
    <cellStyle name="표준 5 5 19 4 3" xfId="33806"/>
    <cellStyle name="표준 5 5 19 5" xfId="14790"/>
    <cellStyle name="표준 5 5 19 5 2" xfId="40142"/>
    <cellStyle name="표준 5 5 19 6" xfId="27470"/>
    <cellStyle name="표준 5 5 19 7" xfId="54850"/>
    <cellStyle name="표준 5 5 2" xfId="2118"/>
    <cellStyle name="표준 5 5 2 2" xfId="2119"/>
    <cellStyle name="표준 5 5 2 2 2" xfId="5261"/>
    <cellStyle name="표준 5 5 2 2 2 2" xfId="11597"/>
    <cellStyle name="표준 5 5 2 2 2 2 2" xfId="24270"/>
    <cellStyle name="표준 5 5 2 2 2 2 2 2" xfId="49622"/>
    <cellStyle name="표준 5 5 2 2 2 2 3" xfId="36950"/>
    <cellStyle name="표준 5 5 2 2 2 3" xfId="17934"/>
    <cellStyle name="표준 5 5 2 2 2 3 2" xfId="43286"/>
    <cellStyle name="표준 5 5 2 2 2 4" xfId="30614"/>
    <cellStyle name="표준 5 5 2 2 2 5" xfId="54851"/>
    <cellStyle name="표준 5 5 2 2 3" xfId="8456"/>
    <cellStyle name="표준 5 5 2 2 3 2" xfId="21129"/>
    <cellStyle name="표준 5 5 2 2 3 2 2" xfId="46481"/>
    <cellStyle name="표준 5 5 2 2 3 3" xfId="33809"/>
    <cellStyle name="표준 5 5 2 2 4" xfId="14793"/>
    <cellStyle name="표준 5 5 2 2 4 2" xfId="40145"/>
    <cellStyle name="표준 5 5 2 2 5" xfId="27473"/>
    <cellStyle name="표준 5 5 2 2 6" xfId="54852"/>
    <cellStyle name="표준 5 5 2 3" xfId="5262"/>
    <cellStyle name="표준 5 5 2 3 2" xfId="11598"/>
    <cellStyle name="표준 5 5 2 3 2 2" xfId="24271"/>
    <cellStyle name="표준 5 5 2 3 2 2 2" xfId="49623"/>
    <cellStyle name="표준 5 5 2 3 2 3" xfId="36951"/>
    <cellStyle name="표준 5 5 2 3 3" xfId="17935"/>
    <cellStyle name="표준 5 5 2 3 3 2" xfId="43287"/>
    <cellStyle name="표준 5 5 2 3 4" xfId="30615"/>
    <cellStyle name="표준 5 5 2 3 5" xfId="54853"/>
    <cellStyle name="표준 5 5 2 4" xfId="8455"/>
    <cellStyle name="표준 5 5 2 4 2" xfId="21128"/>
    <cellStyle name="표준 5 5 2 4 2 2" xfId="46480"/>
    <cellStyle name="표준 5 5 2 4 3" xfId="33808"/>
    <cellStyle name="표준 5 5 2 5" xfId="14792"/>
    <cellStyle name="표준 5 5 2 5 2" xfId="40144"/>
    <cellStyle name="표준 5 5 2 6" xfId="27472"/>
    <cellStyle name="표준 5 5 2 7" xfId="54854"/>
    <cellStyle name="표준 5 5 20" xfId="2120"/>
    <cellStyle name="표준 5 5 20 2" xfId="2121"/>
    <cellStyle name="표준 5 5 20 2 2" xfId="5263"/>
    <cellStyle name="표준 5 5 20 2 2 2" xfId="11599"/>
    <cellStyle name="표준 5 5 20 2 2 2 2" xfId="24272"/>
    <cellStyle name="표준 5 5 20 2 2 2 2 2" xfId="49624"/>
    <cellStyle name="표준 5 5 20 2 2 2 3" xfId="36952"/>
    <cellStyle name="표준 5 5 20 2 2 3" xfId="17936"/>
    <cellStyle name="표준 5 5 20 2 2 3 2" xfId="43288"/>
    <cellStyle name="표준 5 5 20 2 2 4" xfId="30616"/>
    <cellStyle name="표준 5 5 20 2 2 5" xfId="54855"/>
    <cellStyle name="표준 5 5 20 2 3" xfId="8458"/>
    <cellStyle name="표준 5 5 20 2 3 2" xfId="21131"/>
    <cellStyle name="표준 5 5 20 2 3 2 2" xfId="46483"/>
    <cellStyle name="표준 5 5 20 2 3 3" xfId="33811"/>
    <cellStyle name="표준 5 5 20 2 4" xfId="14795"/>
    <cellStyle name="표준 5 5 20 2 4 2" xfId="40147"/>
    <cellStyle name="표준 5 5 20 2 5" xfId="27475"/>
    <cellStyle name="표준 5 5 20 2 6" xfId="54856"/>
    <cellStyle name="표준 5 5 20 3" xfId="5264"/>
    <cellStyle name="표준 5 5 20 3 2" xfId="11600"/>
    <cellStyle name="표준 5 5 20 3 2 2" xfId="24273"/>
    <cellStyle name="표준 5 5 20 3 2 2 2" xfId="49625"/>
    <cellStyle name="표준 5 5 20 3 2 3" xfId="36953"/>
    <cellStyle name="표준 5 5 20 3 3" xfId="17937"/>
    <cellStyle name="표준 5 5 20 3 3 2" xfId="43289"/>
    <cellStyle name="표준 5 5 20 3 4" xfId="30617"/>
    <cellStyle name="표준 5 5 20 3 5" xfId="54857"/>
    <cellStyle name="표준 5 5 20 4" xfId="8457"/>
    <cellStyle name="표준 5 5 20 4 2" xfId="21130"/>
    <cellStyle name="표준 5 5 20 4 2 2" xfId="46482"/>
    <cellStyle name="표준 5 5 20 4 3" xfId="33810"/>
    <cellStyle name="표준 5 5 20 5" xfId="14794"/>
    <cellStyle name="표준 5 5 20 5 2" xfId="40146"/>
    <cellStyle name="표준 5 5 20 6" xfId="27474"/>
    <cellStyle name="표준 5 5 20 7" xfId="54858"/>
    <cellStyle name="표준 5 5 21" xfId="2122"/>
    <cellStyle name="표준 5 5 21 2" xfId="2123"/>
    <cellStyle name="표준 5 5 21 2 2" xfId="5265"/>
    <cellStyle name="표준 5 5 21 2 2 2" xfId="11601"/>
    <cellStyle name="표준 5 5 21 2 2 2 2" xfId="24274"/>
    <cellStyle name="표준 5 5 21 2 2 2 2 2" xfId="49626"/>
    <cellStyle name="표준 5 5 21 2 2 2 3" xfId="36954"/>
    <cellStyle name="표준 5 5 21 2 2 3" xfId="17938"/>
    <cellStyle name="표준 5 5 21 2 2 3 2" xfId="43290"/>
    <cellStyle name="표준 5 5 21 2 2 4" xfId="30618"/>
    <cellStyle name="표준 5 5 21 2 2 5" xfId="54859"/>
    <cellStyle name="표준 5 5 21 2 3" xfId="8460"/>
    <cellStyle name="표준 5 5 21 2 3 2" xfId="21133"/>
    <cellStyle name="표준 5 5 21 2 3 2 2" xfId="46485"/>
    <cellStyle name="표준 5 5 21 2 3 3" xfId="33813"/>
    <cellStyle name="표준 5 5 21 2 4" xfId="14797"/>
    <cellStyle name="표준 5 5 21 2 4 2" xfId="40149"/>
    <cellStyle name="표준 5 5 21 2 5" xfId="27477"/>
    <cellStyle name="표준 5 5 21 2 6" xfId="54860"/>
    <cellStyle name="표준 5 5 21 3" xfId="5266"/>
    <cellStyle name="표준 5 5 21 3 2" xfId="11602"/>
    <cellStyle name="표준 5 5 21 3 2 2" xfId="24275"/>
    <cellStyle name="표준 5 5 21 3 2 2 2" xfId="49627"/>
    <cellStyle name="표준 5 5 21 3 2 3" xfId="36955"/>
    <cellStyle name="표준 5 5 21 3 3" xfId="17939"/>
    <cellStyle name="표준 5 5 21 3 3 2" xfId="43291"/>
    <cellStyle name="표준 5 5 21 3 4" xfId="30619"/>
    <cellStyle name="표준 5 5 21 3 5" xfId="54861"/>
    <cellStyle name="표준 5 5 21 4" xfId="8459"/>
    <cellStyle name="표준 5 5 21 4 2" xfId="21132"/>
    <cellStyle name="표준 5 5 21 4 2 2" xfId="46484"/>
    <cellStyle name="표준 5 5 21 4 3" xfId="33812"/>
    <cellStyle name="표준 5 5 21 5" xfId="14796"/>
    <cellStyle name="표준 5 5 21 5 2" xfId="40148"/>
    <cellStyle name="표준 5 5 21 6" xfId="27476"/>
    <cellStyle name="표준 5 5 21 7" xfId="54862"/>
    <cellStyle name="표준 5 5 22" xfId="2124"/>
    <cellStyle name="표준 5 5 22 2" xfId="2125"/>
    <cellStyle name="표준 5 5 22 2 2" xfId="5267"/>
    <cellStyle name="표준 5 5 22 2 2 2" xfId="11603"/>
    <cellStyle name="표준 5 5 22 2 2 2 2" xfId="24276"/>
    <cellStyle name="표준 5 5 22 2 2 2 2 2" xfId="49628"/>
    <cellStyle name="표준 5 5 22 2 2 2 3" xfId="36956"/>
    <cellStyle name="표준 5 5 22 2 2 3" xfId="17940"/>
    <cellStyle name="표준 5 5 22 2 2 3 2" xfId="43292"/>
    <cellStyle name="표준 5 5 22 2 2 4" xfId="30620"/>
    <cellStyle name="표준 5 5 22 2 2 5" xfId="54863"/>
    <cellStyle name="표준 5 5 22 2 3" xfId="8462"/>
    <cellStyle name="표준 5 5 22 2 3 2" xfId="21135"/>
    <cellStyle name="표준 5 5 22 2 3 2 2" xfId="46487"/>
    <cellStyle name="표준 5 5 22 2 3 3" xfId="33815"/>
    <cellStyle name="표준 5 5 22 2 4" xfId="14799"/>
    <cellStyle name="표준 5 5 22 2 4 2" xfId="40151"/>
    <cellStyle name="표준 5 5 22 2 5" xfId="27479"/>
    <cellStyle name="표준 5 5 22 2 6" xfId="54864"/>
    <cellStyle name="표준 5 5 22 3" xfId="5268"/>
    <cellStyle name="표준 5 5 22 3 2" xfId="11604"/>
    <cellStyle name="표준 5 5 22 3 2 2" xfId="24277"/>
    <cellStyle name="표준 5 5 22 3 2 2 2" xfId="49629"/>
    <cellStyle name="표준 5 5 22 3 2 3" xfId="36957"/>
    <cellStyle name="표준 5 5 22 3 3" xfId="17941"/>
    <cellStyle name="표준 5 5 22 3 3 2" xfId="43293"/>
    <cellStyle name="표준 5 5 22 3 4" xfId="30621"/>
    <cellStyle name="표준 5 5 22 3 5" xfId="54865"/>
    <cellStyle name="표준 5 5 22 4" xfId="8461"/>
    <cellStyle name="표준 5 5 22 4 2" xfId="21134"/>
    <cellStyle name="표준 5 5 22 4 2 2" xfId="46486"/>
    <cellStyle name="표준 5 5 22 4 3" xfId="33814"/>
    <cellStyle name="표준 5 5 22 5" xfId="14798"/>
    <cellStyle name="표준 5 5 22 5 2" xfId="40150"/>
    <cellStyle name="표준 5 5 22 6" xfId="27478"/>
    <cellStyle name="표준 5 5 22 7" xfId="54866"/>
    <cellStyle name="표준 5 5 23" xfId="2126"/>
    <cellStyle name="표준 5 5 23 2" xfId="2127"/>
    <cellStyle name="표준 5 5 23 2 2" xfId="5269"/>
    <cellStyle name="표준 5 5 23 2 2 2" xfId="11605"/>
    <cellStyle name="표준 5 5 23 2 2 2 2" xfId="24278"/>
    <cellStyle name="표준 5 5 23 2 2 2 2 2" xfId="49630"/>
    <cellStyle name="표준 5 5 23 2 2 2 3" xfId="36958"/>
    <cellStyle name="표준 5 5 23 2 2 3" xfId="17942"/>
    <cellStyle name="표준 5 5 23 2 2 3 2" xfId="43294"/>
    <cellStyle name="표준 5 5 23 2 2 4" xfId="30622"/>
    <cellStyle name="표준 5 5 23 2 2 5" xfId="54867"/>
    <cellStyle name="표준 5 5 23 2 3" xfId="8464"/>
    <cellStyle name="표준 5 5 23 2 3 2" xfId="21137"/>
    <cellStyle name="표준 5 5 23 2 3 2 2" xfId="46489"/>
    <cellStyle name="표준 5 5 23 2 3 3" xfId="33817"/>
    <cellStyle name="표준 5 5 23 2 4" xfId="14801"/>
    <cellStyle name="표준 5 5 23 2 4 2" xfId="40153"/>
    <cellStyle name="표준 5 5 23 2 5" xfId="27481"/>
    <cellStyle name="표준 5 5 23 2 6" xfId="54868"/>
    <cellStyle name="표준 5 5 23 3" xfId="5270"/>
    <cellStyle name="표준 5 5 23 3 2" xfId="11606"/>
    <cellStyle name="표준 5 5 23 3 2 2" xfId="24279"/>
    <cellStyle name="표준 5 5 23 3 2 2 2" xfId="49631"/>
    <cellStyle name="표준 5 5 23 3 2 3" xfId="36959"/>
    <cellStyle name="표준 5 5 23 3 3" xfId="17943"/>
    <cellStyle name="표준 5 5 23 3 3 2" xfId="43295"/>
    <cellStyle name="표준 5 5 23 3 4" xfId="30623"/>
    <cellStyle name="표준 5 5 23 3 5" xfId="54869"/>
    <cellStyle name="표준 5 5 23 4" xfId="8463"/>
    <cellStyle name="표준 5 5 23 4 2" xfId="21136"/>
    <cellStyle name="표준 5 5 23 4 2 2" xfId="46488"/>
    <cellStyle name="표준 5 5 23 4 3" xfId="33816"/>
    <cellStyle name="표준 5 5 23 5" xfId="14800"/>
    <cellStyle name="표준 5 5 23 5 2" xfId="40152"/>
    <cellStyle name="표준 5 5 23 6" xfId="27480"/>
    <cellStyle name="표준 5 5 23 7" xfId="54870"/>
    <cellStyle name="표준 5 5 24" xfId="2128"/>
    <cellStyle name="표준 5 5 24 2" xfId="2129"/>
    <cellStyle name="표준 5 5 24 2 2" xfId="5271"/>
    <cellStyle name="표준 5 5 24 2 2 2" xfId="11607"/>
    <cellStyle name="표준 5 5 24 2 2 2 2" xfId="24280"/>
    <cellStyle name="표준 5 5 24 2 2 2 2 2" xfId="49632"/>
    <cellStyle name="표준 5 5 24 2 2 2 3" xfId="36960"/>
    <cellStyle name="표준 5 5 24 2 2 3" xfId="17944"/>
    <cellStyle name="표준 5 5 24 2 2 3 2" xfId="43296"/>
    <cellStyle name="표준 5 5 24 2 2 4" xfId="30624"/>
    <cellStyle name="표준 5 5 24 2 2 5" xfId="54871"/>
    <cellStyle name="표준 5 5 24 2 3" xfId="8466"/>
    <cellStyle name="표준 5 5 24 2 3 2" xfId="21139"/>
    <cellStyle name="표준 5 5 24 2 3 2 2" xfId="46491"/>
    <cellStyle name="표준 5 5 24 2 3 3" xfId="33819"/>
    <cellStyle name="표준 5 5 24 2 4" xfId="14803"/>
    <cellStyle name="표준 5 5 24 2 4 2" xfId="40155"/>
    <cellStyle name="표준 5 5 24 2 5" xfId="27483"/>
    <cellStyle name="표준 5 5 24 2 6" xfId="54872"/>
    <cellStyle name="표준 5 5 24 3" xfId="5272"/>
    <cellStyle name="표준 5 5 24 3 2" xfId="11608"/>
    <cellStyle name="표준 5 5 24 3 2 2" xfId="24281"/>
    <cellStyle name="표준 5 5 24 3 2 2 2" xfId="49633"/>
    <cellStyle name="표준 5 5 24 3 2 3" xfId="36961"/>
    <cellStyle name="표준 5 5 24 3 3" xfId="17945"/>
    <cellStyle name="표준 5 5 24 3 3 2" xfId="43297"/>
    <cellStyle name="표준 5 5 24 3 4" xfId="30625"/>
    <cellStyle name="표준 5 5 24 3 5" xfId="54873"/>
    <cellStyle name="표준 5 5 24 4" xfId="8465"/>
    <cellStyle name="표준 5 5 24 4 2" xfId="21138"/>
    <cellStyle name="표준 5 5 24 4 2 2" xfId="46490"/>
    <cellStyle name="표준 5 5 24 4 3" xfId="33818"/>
    <cellStyle name="표준 5 5 24 5" xfId="14802"/>
    <cellStyle name="표준 5 5 24 5 2" xfId="40154"/>
    <cellStyle name="표준 5 5 24 6" xfId="27482"/>
    <cellStyle name="표준 5 5 24 7" xfId="54874"/>
    <cellStyle name="표준 5 5 25" xfId="2130"/>
    <cellStyle name="표준 5 5 25 2" xfId="2131"/>
    <cellStyle name="표준 5 5 25 2 2" xfId="5273"/>
    <cellStyle name="표준 5 5 25 2 2 2" xfId="11609"/>
    <cellStyle name="표준 5 5 25 2 2 2 2" xfId="24282"/>
    <cellStyle name="표준 5 5 25 2 2 2 2 2" xfId="49634"/>
    <cellStyle name="표준 5 5 25 2 2 2 3" xfId="36962"/>
    <cellStyle name="표준 5 5 25 2 2 3" xfId="17946"/>
    <cellStyle name="표준 5 5 25 2 2 3 2" xfId="43298"/>
    <cellStyle name="표준 5 5 25 2 2 4" xfId="30626"/>
    <cellStyle name="표준 5 5 25 2 2 5" xfId="54875"/>
    <cellStyle name="표준 5 5 25 2 3" xfId="8468"/>
    <cellStyle name="표준 5 5 25 2 3 2" xfId="21141"/>
    <cellStyle name="표준 5 5 25 2 3 2 2" xfId="46493"/>
    <cellStyle name="표준 5 5 25 2 3 3" xfId="33821"/>
    <cellStyle name="표준 5 5 25 2 4" xfId="14805"/>
    <cellStyle name="표준 5 5 25 2 4 2" xfId="40157"/>
    <cellStyle name="표준 5 5 25 2 5" xfId="27485"/>
    <cellStyle name="표준 5 5 25 2 6" xfId="54876"/>
    <cellStyle name="표준 5 5 25 3" xfId="5274"/>
    <cellStyle name="표준 5 5 25 3 2" xfId="11610"/>
    <cellStyle name="표준 5 5 25 3 2 2" xfId="24283"/>
    <cellStyle name="표준 5 5 25 3 2 2 2" xfId="49635"/>
    <cellStyle name="표준 5 5 25 3 2 3" xfId="36963"/>
    <cellStyle name="표준 5 5 25 3 3" xfId="17947"/>
    <cellStyle name="표준 5 5 25 3 3 2" xfId="43299"/>
    <cellStyle name="표준 5 5 25 3 4" xfId="30627"/>
    <cellStyle name="표준 5 5 25 3 5" xfId="54877"/>
    <cellStyle name="표준 5 5 25 4" xfId="8467"/>
    <cellStyle name="표준 5 5 25 4 2" xfId="21140"/>
    <cellStyle name="표준 5 5 25 4 2 2" xfId="46492"/>
    <cellStyle name="표준 5 5 25 4 3" xfId="33820"/>
    <cellStyle name="표준 5 5 25 5" xfId="14804"/>
    <cellStyle name="표준 5 5 25 5 2" xfId="40156"/>
    <cellStyle name="표준 5 5 25 6" xfId="27484"/>
    <cellStyle name="표준 5 5 25 7" xfId="54878"/>
    <cellStyle name="표준 5 5 26" xfId="2132"/>
    <cellStyle name="표준 5 5 26 2" xfId="2133"/>
    <cellStyle name="표준 5 5 26 2 2" xfId="5275"/>
    <cellStyle name="표준 5 5 26 2 2 2" xfId="11611"/>
    <cellStyle name="표준 5 5 26 2 2 2 2" xfId="24284"/>
    <cellStyle name="표준 5 5 26 2 2 2 2 2" xfId="49636"/>
    <cellStyle name="표준 5 5 26 2 2 2 3" xfId="36964"/>
    <cellStyle name="표준 5 5 26 2 2 3" xfId="17948"/>
    <cellStyle name="표준 5 5 26 2 2 3 2" xfId="43300"/>
    <cellStyle name="표준 5 5 26 2 2 4" xfId="30628"/>
    <cellStyle name="표준 5 5 26 2 2 5" xfId="54879"/>
    <cellStyle name="표준 5 5 26 2 3" xfId="8470"/>
    <cellStyle name="표준 5 5 26 2 3 2" xfId="21143"/>
    <cellStyle name="표준 5 5 26 2 3 2 2" xfId="46495"/>
    <cellStyle name="표준 5 5 26 2 3 3" xfId="33823"/>
    <cellStyle name="표준 5 5 26 2 4" xfId="14807"/>
    <cellStyle name="표준 5 5 26 2 4 2" xfId="40159"/>
    <cellStyle name="표준 5 5 26 2 5" xfId="27487"/>
    <cellStyle name="표준 5 5 26 2 6" xfId="54880"/>
    <cellStyle name="표준 5 5 26 3" xfId="5276"/>
    <cellStyle name="표준 5 5 26 3 2" xfId="11612"/>
    <cellStyle name="표준 5 5 26 3 2 2" xfId="24285"/>
    <cellStyle name="표준 5 5 26 3 2 2 2" xfId="49637"/>
    <cellStyle name="표준 5 5 26 3 2 3" xfId="36965"/>
    <cellStyle name="표준 5 5 26 3 3" xfId="17949"/>
    <cellStyle name="표준 5 5 26 3 3 2" xfId="43301"/>
    <cellStyle name="표준 5 5 26 3 4" xfId="30629"/>
    <cellStyle name="표준 5 5 26 3 5" xfId="54881"/>
    <cellStyle name="표준 5 5 26 4" xfId="8469"/>
    <cellStyle name="표준 5 5 26 4 2" xfId="21142"/>
    <cellStyle name="표준 5 5 26 4 2 2" xfId="46494"/>
    <cellStyle name="표준 5 5 26 4 3" xfId="33822"/>
    <cellStyle name="표준 5 5 26 5" xfId="14806"/>
    <cellStyle name="표준 5 5 26 5 2" xfId="40158"/>
    <cellStyle name="표준 5 5 26 6" xfId="27486"/>
    <cellStyle name="표준 5 5 26 7" xfId="54882"/>
    <cellStyle name="표준 5 5 27" xfId="2134"/>
    <cellStyle name="표준 5 5 27 2" xfId="2135"/>
    <cellStyle name="표준 5 5 27 2 2" xfId="5277"/>
    <cellStyle name="표준 5 5 27 2 2 2" xfId="11613"/>
    <cellStyle name="표준 5 5 27 2 2 2 2" xfId="24286"/>
    <cellStyle name="표준 5 5 27 2 2 2 2 2" xfId="49638"/>
    <cellStyle name="표준 5 5 27 2 2 2 3" xfId="36966"/>
    <cellStyle name="표준 5 5 27 2 2 3" xfId="17950"/>
    <cellStyle name="표준 5 5 27 2 2 3 2" xfId="43302"/>
    <cellStyle name="표준 5 5 27 2 2 4" xfId="30630"/>
    <cellStyle name="표준 5 5 27 2 2 5" xfId="54883"/>
    <cellStyle name="표준 5 5 27 2 3" xfId="8472"/>
    <cellStyle name="표준 5 5 27 2 3 2" xfId="21145"/>
    <cellStyle name="표준 5 5 27 2 3 2 2" xfId="46497"/>
    <cellStyle name="표준 5 5 27 2 3 3" xfId="33825"/>
    <cellStyle name="표준 5 5 27 2 4" xfId="14809"/>
    <cellStyle name="표준 5 5 27 2 4 2" xfId="40161"/>
    <cellStyle name="표준 5 5 27 2 5" xfId="27489"/>
    <cellStyle name="표준 5 5 27 2 6" xfId="54884"/>
    <cellStyle name="표준 5 5 27 3" xfId="5278"/>
    <cellStyle name="표준 5 5 27 3 2" xfId="11614"/>
    <cellStyle name="표준 5 5 27 3 2 2" xfId="24287"/>
    <cellStyle name="표준 5 5 27 3 2 2 2" xfId="49639"/>
    <cellStyle name="표준 5 5 27 3 2 3" xfId="36967"/>
    <cellStyle name="표준 5 5 27 3 3" xfId="17951"/>
    <cellStyle name="표준 5 5 27 3 3 2" xfId="43303"/>
    <cellStyle name="표준 5 5 27 3 4" xfId="30631"/>
    <cellStyle name="표준 5 5 27 3 5" xfId="54885"/>
    <cellStyle name="표준 5 5 27 4" xfId="8471"/>
    <cellStyle name="표준 5 5 27 4 2" xfId="21144"/>
    <cellStyle name="표준 5 5 27 4 2 2" xfId="46496"/>
    <cellStyle name="표준 5 5 27 4 3" xfId="33824"/>
    <cellStyle name="표준 5 5 27 5" xfId="14808"/>
    <cellStyle name="표준 5 5 27 5 2" xfId="40160"/>
    <cellStyle name="표준 5 5 27 6" xfId="27488"/>
    <cellStyle name="표준 5 5 27 7" xfId="54886"/>
    <cellStyle name="표준 5 5 28" xfId="2136"/>
    <cellStyle name="표준 5 5 28 2" xfId="2137"/>
    <cellStyle name="표준 5 5 28 2 2" xfId="5279"/>
    <cellStyle name="표준 5 5 28 2 2 2" xfId="11615"/>
    <cellStyle name="표준 5 5 28 2 2 2 2" xfId="24288"/>
    <cellStyle name="표준 5 5 28 2 2 2 2 2" xfId="49640"/>
    <cellStyle name="표준 5 5 28 2 2 2 3" xfId="36968"/>
    <cellStyle name="표준 5 5 28 2 2 3" xfId="17952"/>
    <cellStyle name="표준 5 5 28 2 2 3 2" xfId="43304"/>
    <cellStyle name="표준 5 5 28 2 2 4" xfId="30632"/>
    <cellStyle name="표준 5 5 28 2 2 5" xfId="54887"/>
    <cellStyle name="표준 5 5 28 2 3" xfId="8474"/>
    <cellStyle name="표준 5 5 28 2 3 2" xfId="21147"/>
    <cellStyle name="표준 5 5 28 2 3 2 2" xfId="46499"/>
    <cellStyle name="표준 5 5 28 2 3 3" xfId="33827"/>
    <cellStyle name="표준 5 5 28 2 4" xfId="14811"/>
    <cellStyle name="표준 5 5 28 2 4 2" xfId="40163"/>
    <cellStyle name="표준 5 5 28 2 5" xfId="27491"/>
    <cellStyle name="표준 5 5 28 2 6" xfId="54888"/>
    <cellStyle name="표준 5 5 28 3" xfId="5280"/>
    <cellStyle name="표준 5 5 28 3 2" xfId="11616"/>
    <cellStyle name="표준 5 5 28 3 2 2" xfId="24289"/>
    <cellStyle name="표준 5 5 28 3 2 2 2" xfId="49641"/>
    <cellStyle name="표준 5 5 28 3 2 3" xfId="36969"/>
    <cellStyle name="표준 5 5 28 3 3" xfId="17953"/>
    <cellStyle name="표준 5 5 28 3 3 2" xfId="43305"/>
    <cellStyle name="표준 5 5 28 3 4" xfId="30633"/>
    <cellStyle name="표준 5 5 28 3 5" xfId="54889"/>
    <cellStyle name="표준 5 5 28 4" xfId="8473"/>
    <cellStyle name="표준 5 5 28 4 2" xfId="21146"/>
    <cellStyle name="표준 5 5 28 4 2 2" xfId="46498"/>
    <cellStyle name="표준 5 5 28 4 3" xfId="33826"/>
    <cellStyle name="표준 5 5 28 5" xfId="14810"/>
    <cellStyle name="표준 5 5 28 5 2" xfId="40162"/>
    <cellStyle name="표준 5 5 28 6" xfId="27490"/>
    <cellStyle name="표준 5 5 28 7" xfId="54890"/>
    <cellStyle name="표준 5 5 29" xfId="2138"/>
    <cellStyle name="표준 5 5 29 2" xfId="2139"/>
    <cellStyle name="표준 5 5 29 2 2" xfId="5281"/>
    <cellStyle name="표준 5 5 29 2 2 2" xfId="11617"/>
    <cellStyle name="표준 5 5 29 2 2 2 2" xfId="24290"/>
    <cellStyle name="표준 5 5 29 2 2 2 2 2" xfId="49642"/>
    <cellStyle name="표준 5 5 29 2 2 2 3" xfId="36970"/>
    <cellStyle name="표준 5 5 29 2 2 3" xfId="17954"/>
    <cellStyle name="표준 5 5 29 2 2 3 2" xfId="43306"/>
    <cellStyle name="표준 5 5 29 2 2 4" xfId="30634"/>
    <cellStyle name="표준 5 5 29 2 2 5" xfId="54891"/>
    <cellStyle name="표준 5 5 29 2 3" xfId="8476"/>
    <cellStyle name="표준 5 5 29 2 3 2" xfId="21149"/>
    <cellStyle name="표준 5 5 29 2 3 2 2" xfId="46501"/>
    <cellStyle name="표준 5 5 29 2 3 3" xfId="33829"/>
    <cellStyle name="표준 5 5 29 2 4" xfId="14813"/>
    <cellStyle name="표준 5 5 29 2 4 2" xfId="40165"/>
    <cellStyle name="표준 5 5 29 2 5" xfId="27493"/>
    <cellStyle name="표준 5 5 29 2 6" xfId="54892"/>
    <cellStyle name="표준 5 5 29 3" xfId="5282"/>
    <cellStyle name="표준 5 5 29 3 2" xfId="11618"/>
    <cellStyle name="표준 5 5 29 3 2 2" xfId="24291"/>
    <cellStyle name="표준 5 5 29 3 2 2 2" xfId="49643"/>
    <cellStyle name="표준 5 5 29 3 2 3" xfId="36971"/>
    <cellStyle name="표준 5 5 29 3 3" xfId="17955"/>
    <cellStyle name="표준 5 5 29 3 3 2" xfId="43307"/>
    <cellStyle name="표준 5 5 29 3 4" xfId="30635"/>
    <cellStyle name="표준 5 5 29 3 5" xfId="54893"/>
    <cellStyle name="표준 5 5 29 4" xfId="8475"/>
    <cellStyle name="표준 5 5 29 4 2" xfId="21148"/>
    <cellStyle name="표준 5 5 29 4 2 2" xfId="46500"/>
    <cellStyle name="표준 5 5 29 4 3" xfId="33828"/>
    <cellStyle name="표준 5 5 29 5" xfId="14812"/>
    <cellStyle name="표준 5 5 29 5 2" xfId="40164"/>
    <cellStyle name="표준 5 5 29 6" xfId="27492"/>
    <cellStyle name="표준 5 5 29 7" xfId="54894"/>
    <cellStyle name="표준 5 5 3" xfId="2140"/>
    <cellStyle name="표준 5 5 3 2" xfId="2141"/>
    <cellStyle name="표준 5 5 3 2 2" xfId="5283"/>
    <cellStyle name="표준 5 5 3 2 2 2" xfId="11619"/>
    <cellStyle name="표준 5 5 3 2 2 2 2" xfId="24292"/>
    <cellStyle name="표준 5 5 3 2 2 2 2 2" xfId="49644"/>
    <cellStyle name="표준 5 5 3 2 2 2 3" xfId="36972"/>
    <cellStyle name="표준 5 5 3 2 2 3" xfId="17956"/>
    <cellStyle name="표준 5 5 3 2 2 3 2" xfId="43308"/>
    <cellStyle name="표준 5 5 3 2 2 4" xfId="30636"/>
    <cellStyle name="표준 5 5 3 2 2 5" xfId="54895"/>
    <cellStyle name="표준 5 5 3 2 3" xfId="8478"/>
    <cellStyle name="표준 5 5 3 2 3 2" xfId="21151"/>
    <cellStyle name="표준 5 5 3 2 3 2 2" xfId="46503"/>
    <cellStyle name="표준 5 5 3 2 3 3" xfId="33831"/>
    <cellStyle name="표준 5 5 3 2 4" xfId="14815"/>
    <cellStyle name="표준 5 5 3 2 4 2" xfId="40167"/>
    <cellStyle name="표준 5 5 3 2 5" xfId="27495"/>
    <cellStyle name="표준 5 5 3 2 6" xfId="54896"/>
    <cellStyle name="표준 5 5 3 3" xfId="5284"/>
    <cellStyle name="표준 5 5 3 3 2" xfId="11620"/>
    <cellStyle name="표준 5 5 3 3 2 2" xfId="24293"/>
    <cellStyle name="표준 5 5 3 3 2 2 2" xfId="49645"/>
    <cellStyle name="표준 5 5 3 3 2 3" xfId="36973"/>
    <cellStyle name="표준 5 5 3 3 3" xfId="17957"/>
    <cellStyle name="표준 5 5 3 3 3 2" xfId="43309"/>
    <cellStyle name="표준 5 5 3 3 4" xfId="30637"/>
    <cellStyle name="표준 5 5 3 3 5" xfId="54897"/>
    <cellStyle name="표준 5 5 3 4" xfId="8477"/>
    <cellStyle name="표준 5 5 3 4 2" xfId="21150"/>
    <cellStyle name="표준 5 5 3 4 2 2" xfId="46502"/>
    <cellStyle name="표준 5 5 3 4 3" xfId="33830"/>
    <cellStyle name="표준 5 5 3 5" xfId="14814"/>
    <cellStyle name="표준 5 5 3 5 2" xfId="40166"/>
    <cellStyle name="표준 5 5 3 6" xfId="27494"/>
    <cellStyle name="표준 5 5 3 7" xfId="54898"/>
    <cellStyle name="표준 5 5 30" xfId="2142"/>
    <cellStyle name="표준 5 5 30 2" xfId="2143"/>
    <cellStyle name="표준 5 5 30 2 2" xfId="5285"/>
    <cellStyle name="표준 5 5 30 2 2 2" xfId="11621"/>
    <cellStyle name="표준 5 5 30 2 2 2 2" xfId="24294"/>
    <cellStyle name="표준 5 5 30 2 2 2 2 2" xfId="49646"/>
    <cellStyle name="표준 5 5 30 2 2 2 3" xfId="36974"/>
    <cellStyle name="표준 5 5 30 2 2 3" xfId="17958"/>
    <cellStyle name="표준 5 5 30 2 2 3 2" xfId="43310"/>
    <cellStyle name="표준 5 5 30 2 2 4" xfId="30638"/>
    <cellStyle name="표준 5 5 30 2 2 5" xfId="54899"/>
    <cellStyle name="표준 5 5 30 2 3" xfId="8480"/>
    <cellStyle name="표준 5 5 30 2 3 2" xfId="21153"/>
    <cellStyle name="표준 5 5 30 2 3 2 2" xfId="46505"/>
    <cellStyle name="표준 5 5 30 2 3 3" xfId="33833"/>
    <cellStyle name="표준 5 5 30 2 4" xfId="14817"/>
    <cellStyle name="표준 5 5 30 2 4 2" xfId="40169"/>
    <cellStyle name="표준 5 5 30 2 5" xfId="27497"/>
    <cellStyle name="표준 5 5 30 2 6" xfId="54900"/>
    <cellStyle name="표준 5 5 30 3" xfId="5286"/>
    <cellStyle name="표준 5 5 30 3 2" xfId="11622"/>
    <cellStyle name="표준 5 5 30 3 2 2" xfId="24295"/>
    <cellStyle name="표준 5 5 30 3 2 2 2" xfId="49647"/>
    <cellStyle name="표준 5 5 30 3 2 3" xfId="36975"/>
    <cellStyle name="표준 5 5 30 3 3" xfId="17959"/>
    <cellStyle name="표준 5 5 30 3 3 2" xfId="43311"/>
    <cellStyle name="표준 5 5 30 3 4" xfId="30639"/>
    <cellStyle name="표준 5 5 30 3 5" xfId="54901"/>
    <cellStyle name="표준 5 5 30 4" xfId="8479"/>
    <cellStyle name="표준 5 5 30 4 2" xfId="21152"/>
    <cellStyle name="표준 5 5 30 4 2 2" xfId="46504"/>
    <cellStyle name="표준 5 5 30 4 3" xfId="33832"/>
    <cellStyle name="표준 5 5 30 5" xfId="14816"/>
    <cellStyle name="표준 5 5 30 5 2" xfId="40168"/>
    <cellStyle name="표준 5 5 30 6" xfId="27496"/>
    <cellStyle name="표준 5 5 30 7" xfId="54902"/>
    <cellStyle name="표준 5 5 31" xfId="2144"/>
    <cellStyle name="표준 5 5 31 2" xfId="2145"/>
    <cellStyle name="표준 5 5 31 2 2" xfId="5287"/>
    <cellStyle name="표준 5 5 31 2 2 2" xfId="11623"/>
    <cellStyle name="표준 5 5 31 2 2 2 2" xfId="24296"/>
    <cellStyle name="표준 5 5 31 2 2 2 2 2" xfId="49648"/>
    <cellStyle name="표준 5 5 31 2 2 2 3" xfId="36976"/>
    <cellStyle name="표준 5 5 31 2 2 3" xfId="17960"/>
    <cellStyle name="표준 5 5 31 2 2 3 2" xfId="43312"/>
    <cellStyle name="표준 5 5 31 2 2 4" xfId="30640"/>
    <cellStyle name="표준 5 5 31 2 2 5" xfId="54903"/>
    <cellStyle name="표준 5 5 31 2 3" xfId="8482"/>
    <cellStyle name="표준 5 5 31 2 3 2" xfId="21155"/>
    <cellStyle name="표준 5 5 31 2 3 2 2" xfId="46507"/>
    <cellStyle name="표준 5 5 31 2 3 3" xfId="33835"/>
    <cellStyle name="표준 5 5 31 2 4" xfId="14819"/>
    <cellStyle name="표준 5 5 31 2 4 2" xfId="40171"/>
    <cellStyle name="표준 5 5 31 2 5" xfId="27499"/>
    <cellStyle name="표준 5 5 31 2 6" xfId="54904"/>
    <cellStyle name="표준 5 5 31 3" xfId="5288"/>
    <cellStyle name="표준 5 5 31 3 2" xfId="11624"/>
    <cellStyle name="표준 5 5 31 3 2 2" xfId="24297"/>
    <cellStyle name="표준 5 5 31 3 2 2 2" xfId="49649"/>
    <cellStyle name="표준 5 5 31 3 2 3" xfId="36977"/>
    <cellStyle name="표준 5 5 31 3 3" xfId="17961"/>
    <cellStyle name="표준 5 5 31 3 3 2" xfId="43313"/>
    <cellStyle name="표준 5 5 31 3 4" xfId="30641"/>
    <cellStyle name="표준 5 5 31 3 5" xfId="54905"/>
    <cellStyle name="표준 5 5 31 4" xfId="8481"/>
    <cellStyle name="표준 5 5 31 4 2" xfId="21154"/>
    <cellStyle name="표준 5 5 31 4 2 2" xfId="46506"/>
    <cellStyle name="표준 5 5 31 4 3" xfId="33834"/>
    <cellStyle name="표준 5 5 31 5" xfId="14818"/>
    <cellStyle name="표준 5 5 31 5 2" xfId="40170"/>
    <cellStyle name="표준 5 5 31 6" xfId="27498"/>
    <cellStyle name="표준 5 5 31 7" xfId="54906"/>
    <cellStyle name="표준 5 5 32" xfId="2146"/>
    <cellStyle name="표준 5 5 32 2" xfId="2147"/>
    <cellStyle name="표준 5 5 32 2 2" xfId="5289"/>
    <cellStyle name="표준 5 5 32 2 2 2" xfId="11625"/>
    <cellStyle name="표준 5 5 32 2 2 2 2" xfId="24298"/>
    <cellStyle name="표준 5 5 32 2 2 2 2 2" xfId="49650"/>
    <cellStyle name="표준 5 5 32 2 2 2 3" xfId="36978"/>
    <cellStyle name="표준 5 5 32 2 2 3" xfId="17962"/>
    <cellStyle name="표준 5 5 32 2 2 3 2" xfId="43314"/>
    <cellStyle name="표준 5 5 32 2 2 4" xfId="30642"/>
    <cellStyle name="표준 5 5 32 2 2 5" xfId="54907"/>
    <cellStyle name="표준 5 5 32 2 3" xfId="8484"/>
    <cellStyle name="표준 5 5 32 2 3 2" xfId="21157"/>
    <cellStyle name="표준 5 5 32 2 3 2 2" xfId="46509"/>
    <cellStyle name="표준 5 5 32 2 3 3" xfId="33837"/>
    <cellStyle name="표준 5 5 32 2 4" xfId="14821"/>
    <cellStyle name="표준 5 5 32 2 4 2" xfId="40173"/>
    <cellStyle name="표준 5 5 32 2 5" xfId="27501"/>
    <cellStyle name="표준 5 5 32 2 6" xfId="54908"/>
    <cellStyle name="표준 5 5 32 3" xfId="5290"/>
    <cellStyle name="표준 5 5 32 3 2" xfId="11626"/>
    <cellStyle name="표준 5 5 32 3 2 2" xfId="24299"/>
    <cellStyle name="표준 5 5 32 3 2 2 2" xfId="49651"/>
    <cellStyle name="표준 5 5 32 3 2 3" xfId="36979"/>
    <cellStyle name="표준 5 5 32 3 3" xfId="17963"/>
    <cellStyle name="표준 5 5 32 3 3 2" xfId="43315"/>
    <cellStyle name="표준 5 5 32 3 4" xfId="30643"/>
    <cellStyle name="표준 5 5 32 3 5" xfId="54909"/>
    <cellStyle name="표준 5 5 32 4" xfId="8483"/>
    <cellStyle name="표준 5 5 32 4 2" xfId="21156"/>
    <cellStyle name="표준 5 5 32 4 2 2" xfId="46508"/>
    <cellStyle name="표준 5 5 32 4 3" xfId="33836"/>
    <cellStyle name="표준 5 5 32 5" xfId="14820"/>
    <cellStyle name="표준 5 5 32 5 2" xfId="40172"/>
    <cellStyle name="표준 5 5 32 6" xfId="27500"/>
    <cellStyle name="표준 5 5 32 7" xfId="54910"/>
    <cellStyle name="표준 5 5 33" xfId="2148"/>
    <cellStyle name="표준 5 5 33 2" xfId="2149"/>
    <cellStyle name="표준 5 5 33 2 2" xfId="5291"/>
    <cellStyle name="표준 5 5 33 2 2 2" xfId="11627"/>
    <cellStyle name="표준 5 5 33 2 2 2 2" xfId="24300"/>
    <cellStyle name="표준 5 5 33 2 2 2 2 2" xfId="49652"/>
    <cellStyle name="표준 5 5 33 2 2 2 3" xfId="36980"/>
    <cellStyle name="표준 5 5 33 2 2 3" xfId="17964"/>
    <cellStyle name="표준 5 5 33 2 2 3 2" xfId="43316"/>
    <cellStyle name="표준 5 5 33 2 2 4" xfId="30644"/>
    <cellStyle name="표준 5 5 33 2 2 5" xfId="54911"/>
    <cellStyle name="표준 5 5 33 2 3" xfId="8486"/>
    <cellStyle name="표준 5 5 33 2 3 2" xfId="21159"/>
    <cellStyle name="표준 5 5 33 2 3 2 2" xfId="46511"/>
    <cellStyle name="표준 5 5 33 2 3 3" xfId="33839"/>
    <cellStyle name="표준 5 5 33 2 4" xfId="14823"/>
    <cellStyle name="표준 5 5 33 2 4 2" xfId="40175"/>
    <cellStyle name="표준 5 5 33 2 5" xfId="27503"/>
    <cellStyle name="표준 5 5 33 2 6" xfId="54912"/>
    <cellStyle name="표준 5 5 33 3" xfId="5292"/>
    <cellStyle name="표준 5 5 33 3 2" xfId="11628"/>
    <cellStyle name="표준 5 5 33 3 2 2" xfId="24301"/>
    <cellStyle name="표준 5 5 33 3 2 2 2" xfId="49653"/>
    <cellStyle name="표준 5 5 33 3 2 3" xfId="36981"/>
    <cellStyle name="표준 5 5 33 3 3" xfId="17965"/>
    <cellStyle name="표준 5 5 33 3 3 2" xfId="43317"/>
    <cellStyle name="표준 5 5 33 3 4" xfId="30645"/>
    <cellStyle name="표준 5 5 33 3 5" xfId="54913"/>
    <cellStyle name="표준 5 5 33 4" xfId="8485"/>
    <cellStyle name="표준 5 5 33 4 2" xfId="21158"/>
    <cellStyle name="표준 5 5 33 4 2 2" xfId="46510"/>
    <cellStyle name="표준 5 5 33 4 3" xfId="33838"/>
    <cellStyle name="표준 5 5 33 5" xfId="14822"/>
    <cellStyle name="표준 5 5 33 5 2" xfId="40174"/>
    <cellStyle name="표준 5 5 33 6" xfId="27502"/>
    <cellStyle name="표준 5 5 33 7" xfId="54914"/>
    <cellStyle name="표준 5 5 34" xfId="2150"/>
    <cellStyle name="표준 5 5 34 2" xfId="5293"/>
    <cellStyle name="표준 5 5 34 2 2" xfId="11629"/>
    <cellStyle name="표준 5 5 34 2 2 2" xfId="24302"/>
    <cellStyle name="표준 5 5 34 2 2 2 2" xfId="49654"/>
    <cellStyle name="표준 5 5 34 2 2 3" xfId="36982"/>
    <cellStyle name="표준 5 5 34 2 3" xfId="17966"/>
    <cellStyle name="표준 5 5 34 2 3 2" xfId="43318"/>
    <cellStyle name="표준 5 5 34 2 4" xfId="30646"/>
    <cellStyle name="표준 5 5 34 2 5" xfId="54915"/>
    <cellStyle name="표준 5 5 34 3" xfId="8487"/>
    <cellStyle name="표준 5 5 34 3 2" xfId="21160"/>
    <cellStyle name="표준 5 5 34 3 2 2" xfId="46512"/>
    <cellStyle name="표준 5 5 34 3 3" xfId="33840"/>
    <cellStyle name="표준 5 5 34 4" xfId="14824"/>
    <cellStyle name="표준 5 5 34 4 2" xfId="40176"/>
    <cellStyle name="표준 5 5 34 5" xfId="27504"/>
    <cellStyle name="표준 5 5 34 6" xfId="54916"/>
    <cellStyle name="표준 5 5 35" xfId="5294"/>
    <cellStyle name="표준 5 5 35 2" xfId="11630"/>
    <cellStyle name="표준 5 5 35 2 2" xfId="24303"/>
    <cellStyle name="표준 5 5 35 2 2 2" xfId="49655"/>
    <cellStyle name="표준 5 5 35 2 3" xfId="36983"/>
    <cellStyle name="표준 5 5 35 3" xfId="17967"/>
    <cellStyle name="표준 5 5 35 3 2" xfId="43319"/>
    <cellStyle name="표준 5 5 35 4" xfId="30647"/>
    <cellStyle name="표준 5 5 35 5" xfId="54917"/>
    <cellStyle name="표준 5 5 36" xfId="6425"/>
    <cellStyle name="표준 5 5 36 2" xfId="19098"/>
    <cellStyle name="표준 5 5 36 2 2" xfId="44450"/>
    <cellStyle name="표준 5 5 36 3" xfId="31778"/>
    <cellStyle name="표준 5 5 37" xfId="12762"/>
    <cellStyle name="표준 5 5 37 2" xfId="38114"/>
    <cellStyle name="표준 5 5 38" xfId="25442"/>
    <cellStyle name="표준 5 5 39" xfId="54918"/>
    <cellStyle name="표준 5 5 4" xfId="2151"/>
    <cellStyle name="표준 5 5 4 2" xfId="2152"/>
    <cellStyle name="표준 5 5 4 2 2" xfId="5295"/>
    <cellStyle name="표준 5 5 4 2 2 2" xfId="11631"/>
    <cellStyle name="표준 5 5 4 2 2 2 2" xfId="24304"/>
    <cellStyle name="표준 5 5 4 2 2 2 2 2" xfId="49656"/>
    <cellStyle name="표준 5 5 4 2 2 2 3" xfId="36984"/>
    <cellStyle name="표준 5 5 4 2 2 3" xfId="17968"/>
    <cellStyle name="표준 5 5 4 2 2 3 2" xfId="43320"/>
    <cellStyle name="표준 5 5 4 2 2 4" xfId="30648"/>
    <cellStyle name="표준 5 5 4 2 2 5" xfId="54919"/>
    <cellStyle name="표준 5 5 4 2 3" xfId="8489"/>
    <cellStyle name="표준 5 5 4 2 3 2" xfId="21162"/>
    <cellStyle name="표준 5 5 4 2 3 2 2" xfId="46514"/>
    <cellStyle name="표준 5 5 4 2 3 3" xfId="33842"/>
    <cellStyle name="표준 5 5 4 2 4" xfId="14826"/>
    <cellStyle name="표준 5 5 4 2 4 2" xfId="40178"/>
    <cellStyle name="표준 5 5 4 2 5" xfId="27506"/>
    <cellStyle name="표준 5 5 4 2 6" xfId="54920"/>
    <cellStyle name="표준 5 5 4 3" xfId="5296"/>
    <cellStyle name="표준 5 5 4 3 2" xfId="11632"/>
    <cellStyle name="표준 5 5 4 3 2 2" xfId="24305"/>
    <cellStyle name="표준 5 5 4 3 2 2 2" xfId="49657"/>
    <cellStyle name="표준 5 5 4 3 2 3" xfId="36985"/>
    <cellStyle name="표준 5 5 4 3 3" xfId="17969"/>
    <cellStyle name="표준 5 5 4 3 3 2" xfId="43321"/>
    <cellStyle name="표준 5 5 4 3 4" xfId="30649"/>
    <cellStyle name="표준 5 5 4 3 5" xfId="54921"/>
    <cellStyle name="표준 5 5 4 4" xfId="8488"/>
    <cellStyle name="표준 5 5 4 4 2" xfId="21161"/>
    <cellStyle name="표준 5 5 4 4 2 2" xfId="46513"/>
    <cellStyle name="표준 5 5 4 4 3" xfId="33841"/>
    <cellStyle name="표준 5 5 4 5" xfId="14825"/>
    <cellStyle name="표준 5 5 4 5 2" xfId="40177"/>
    <cellStyle name="표준 5 5 4 6" xfId="27505"/>
    <cellStyle name="표준 5 5 4 7" xfId="54922"/>
    <cellStyle name="표준 5 5 5" xfId="2153"/>
    <cellStyle name="표준 5 5 5 2" xfId="2154"/>
    <cellStyle name="표준 5 5 5 2 2" xfId="5297"/>
    <cellStyle name="표준 5 5 5 2 2 2" xfId="11633"/>
    <cellStyle name="표준 5 5 5 2 2 2 2" xfId="24306"/>
    <cellStyle name="표준 5 5 5 2 2 2 2 2" xfId="49658"/>
    <cellStyle name="표준 5 5 5 2 2 2 3" xfId="36986"/>
    <cellStyle name="표준 5 5 5 2 2 3" xfId="17970"/>
    <cellStyle name="표준 5 5 5 2 2 3 2" xfId="43322"/>
    <cellStyle name="표준 5 5 5 2 2 4" xfId="30650"/>
    <cellStyle name="표준 5 5 5 2 2 5" xfId="54923"/>
    <cellStyle name="표준 5 5 5 2 3" xfId="8491"/>
    <cellStyle name="표준 5 5 5 2 3 2" xfId="21164"/>
    <cellStyle name="표준 5 5 5 2 3 2 2" xfId="46516"/>
    <cellStyle name="표준 5 5 5 2 3 3" xfId="33844"/>
    <cellStyle name="표준 5 5 5 2 4" xfId="14828"/>
    <cellStyle name="표준 5 5 5 2 4 2" xfId="40180"/>
    <cellStyle name="표준 5 5 5 2 5" xfId="27508"/>
    <cellStyle name="표준 5 5 5 2 6" xfId="54924"/>
    <cellStyle name="표준 5 5 5 3" xfId="5298"/>
    <cellStyle name="표준 5 5 5 3 2" xfId="11634"/>
    <cellStyle name="표준 5 5 5 3 2 2" xfId="24307"/>
    <cellStyle name="표준 5 5 5 3 2 2 2" xfId="49659"/>
    <cellStyle name="표준 5 5 5 3 2 3" xfId="36987"/>
    <cellStyle name="표준 5 5 5 3 3" xfId="17971"/>
    <cellStyle name="표준 5 5 5 3 3 2" xfId="43323"/>
    <cellStyle name="표준 5 5 5 3 4" xfId="30651"/>
    <cellStyle name="표준 5 5 5 3 5" xfId="54925"/>
    <cellStyle name="표준 5 5 5 4" xfId="8490"/>
    <cellStyle name="표준 5 5 5 4 2" xfId="21163"/>
    <cellStyle name="표준 5 5 5 4 2 2" xfId="46515"/>
    <cellStyle name="표준 5 5 5 4 3" xfId="33843"/>
    <cellStyle name="표준 5 5 5 5" xfId="14827"/>
    <cellStyle name="표준 5 5 5 5 2" xfId="40179"/>
    <cellStyle name="표준 5 5 5 6" xfId="27507"/>
    <cellStyle name="표준 5 5 5 7" xfId="54926"/>
    <cellStyle name="표준 5 5 6" xfId="2155"/>
    <cellStyle name="표준 5 5 6 2" xfId="2156"/>
    <cellStyle name="표준 5 5 6 2 2" xfId="5299"/>
    <cellStyle name="표준 5 5 6 2 2 2" xfId="11635"/>
    <cellStyle name="표준 5 5 6 2 2 2 2" xfId="24308"/>
    <cellStyle name="표준 5 5 6 2 2 2 2 2" xfId="49660"/>
    <cellStyle name="표준 5 5 6 2 2 2 3" xfId="36988"/>
    <cellStyle name="표준 5 5 6 2 2 3" xfId="17972"/>
    <cellStyle name="표준 5 5 6 2 2 3 2" xfId="43324"/>
    <cellStyle name="표준 5 5 6 2 2 4" xfId="30652"/>
    <cellStyle name="표준 5 5 6 2 2 5" xfId="54927"/>
    <cellStyle name="표준 5 5 6 2 3" xfId="8493"/>
    <cellStyle name="표준 5 5 6 2 3 2" xfId="21166"/>
    <cellStyle name="표준 5 5 6 2 3 2 2" xfId="46518"/>
    <cellStyle name="표준 5 5 6 2 3 3" xfId="33846"/>
    <cellStyle name="표준 5 5 6 2 4" xfId="14830"/>
    <cellStyle name="표준 5 5 6 2 4 2" xfId="40182"/>
    <cellStyle name="표준 5 5 6 2 5" xfId="27510"/>
    <cellStyle name="표준 5 5 6 2 6" xfId="54928"/>
    <cellStyle name="표준 5 5 6 3" xfId="5300"/>
    <cellStyle name="표준 5 5 6 3 2" xfId="11636"/>
    <cellStyle name="표준 5 5 6 3 2 2" xfId="24309"/>
    <cellStyle name="표준 5 5 6 3 2 2 2" xfId="49661"/>
    <cellStyle name="표준 5 5 6 3 2 3" xfId="36989"/>
    <cellStyle name="표준 5 5 6 3 3" xfId="17973"/>
    <cellStyle name="표준 5 5 6 3 3 2" xfId="43325"/>
    <cellStyle name="표준 5 5 6 3 4" xfId="30653"/>
    <cellStyle name="표준 5 5 6 3 5" xfId="54929"/>
    <cellStyle name="표준 5 5 6 4" xfId="8492"/>
    <cellStyle name="표준 5 5 6 4 2" xfId="21165"/>
    <cellStyle name="표준 5 5 6 4 2 2" xfId="46517"/>
    <cellStyle name="표준 5 5 6 4 3" xfId="33845"/>
    <cellStyle name="표준 5 5 6 5" xfId="14829"/>
    <cellStyle name="표준 5 5 6 5 2" xfId="40181"/>
    <cellStyle name="표준 5 5 6 6" xfId="27509"/>
    <cellStyle name="표준 5 5 6 7" xfId="54930"/>
    <cellStyle name="표준 5 5 7" xfId="2157"/>
    <cellStyle name="표준 5 5 7 2" xfId="2158"/>
    <cellStyle name="표준 5 5 7 2 2" xfId="5301"/>
    <cellStyle name="표준 5 5 7 2 2 2" xfId="11637"/>
    <cellStyle name="표준 5 5 7 2 2 2 2" xfId="24310"/>
    <cellStyle name="표준 5 5 7 2 2 2 2 2" xfId="49662"/>
    <cellStyle name="표준 5 5 7 2 2 2 3" xfId="36990"/>
    <cellStyle name="표준 5 5 7 2 2 3" xfId="17974"/>
    <cellStyle name="표준 5 5 7 2 2 3 2" xfId="43326"/>
    <cellStyle name="표준 5 5 7 2 2 4" xfId="30654"/>
    <cellStyle name="표준 5 5 7 2 2 5" xfId="54931"/>
    <cellStyle name="표준 5 5 7 2 3" xfId="8495"/>
    <cellStyle name="표준 5 5 7 2 3 2" xfId="21168"/>
    <cellStyle name="표준 5 5 7 2 3 2 2" xfId="46520"/>
    <cellStyle name="표준 5 5 7 2 3 3" xfId="33848"/>
    <cellStyle name="표준 5 5 7 2 4" xfId="14832"/>
    <cellStyle name="표준 5 5 7 2 4 2" xfId="40184"/>
    <cellStyle name="표준 5 5 7 2 5" xfId="27512"/>
    <cellStyle name="표준 5 5 7 2 6" xfId="54932"/>
    <cellStyle name="표준 5 5 7 3" xfId="5302"/>
    <cellStyle name="표준 5 5 7 3 2" xfId="11638"/>
    <cellStyle name="표준 5 5 7 3 2 2" xfId="24311"/>
    <cellStyle name="표준 5 5 7 3 2 2 2" xfId="49663"/>
    <cellStyle name="표준 5 5 7 3 2 3" xfId="36991"/>
    <cellStyle name="표준 5 5 7 3 3" xfId="17975"/>
    <cellStyle name="표준 5 5 7 3 3 2" xfId="43327"/>
    <cellStyle name="표준 5 5 7 3 4" xfId="30655"/>
    <cellStyle name="표준 5 5 7 3 5" xfId="54933"/>
    <cellStyle name="표준 5 5 7 4" xfId="8494"/>
    <cellStyle name="표준 5 5 7 4 2" xfId="21167"/>
    <cellStyle name="표준 5 5 7 4 2 2" xfId="46519"/>
    <cellStyle name="표준 5 5 7 4 3" xfId="33847"/>
    <cellStyle name="표준 5 5 7 5" xfId="14831"/>
    <cellStyle name="표준 5 5 7 5 2" xfId="40183"/>
    <cellStyle name="표준 5 5 7 6" xfId="27511"/>
    <cellStyle name="표준 5 5 7 7" xfId="54934"/>
    <cellStyle name="표준 5 5 8" xfId="2159"/>
    <cellStyle name="표준 5 5 8 2" xfId="2160"/>
    <cellStyle name="표준 5 5 8 2 2" xfId="5303"/>
    <cellStyle name="표준 5 5 8 2 2 2" xfId="11639"/>
    <cellStyle name="표준 5 5 8 2 2 2 2" xfId="24312"/>
    <cellStyle name="표준 5 5 8 2 2 2 2 2" xfId="49664"/>
    <cellStyle name="표준 5 5 8 2 2 2 3" xfId="36992"/>
    <cellStyle name="표준 5 5 8 2 2 3" xfId="17976"/>
    <cellStyle name="표준 5 5 8 2 2 3 2" xfId="43328"/>
    <cellStyle name="표준 5 5 8 2 2 4" xfId="30656"/>
    <cellStyle name="표준 5 5 8 2 2 5" xfId="54935"/>
    <cellStyle name="표준 5 5 8 2 3" xfId="8497"/>
    <cellStyle name="표준 5 5 8 2 3 2" xfId="21170"/>
    <cellStyle name="표준 5 5 8 2 3 2 2" xfId="46522"/>
    <cellStyle name="표준 5 5 8 2 3 3" xfId="33850"/>
    <cellStyle name="표준 5 5 8 2 4" xfId="14834"/>
    <cellStyle name="표준 5 5 8 2 4 2" xfId="40186"/>
    <cellStyle name="표준 5 5 8 2 5" xfId="27514"/>
    <cellStyle name="표준 5 5 8 2 6" xfId="54936"/>
    <cellStyle name="표준 5 5 8 3" xfId="5304"/>
    <cellStyle name="표준 5 5 8 3 2" xfId="11640"/>
    <cellStyle name="표준 5 5 8 3 2 2" xfId="24313"/>
    <cellStyle name="표준 5 5 8 3 2 2 2" xfId="49665"/>
    <cellStyle name="표준 5 5 8 3 2 3" xfId="36993"/>
    <cellStyle name="표준 5 5 8 3 3" xfId="17977"/>
    <cellStyle name="표준 5 5 8 3 3 2" xfId="43329"/>
    <cellStyle name="표준 5 5 8 3 4" xfId="30657"/>
    <cellStyle name="표준 5 5 8 3 5" xfId="54937"/>
    <cellStyle name="표준 5 5 8 4" xfId="8496"/>
    <cellStyle name="표준 5 5 8 4 2" xfId="21169"/>
    <cellStyle name="표준 5 5 8 4 2 2" xfId="46521"/>
    <cellStyle name="표준 5 5 8 4 3" xfId="33849"/>
    <cellStyle name="표준 5 5 8 5" xfId="14833"/>
    <cellStyle name="표준 5 5 8 5 2" xfId="40185"/>
    <cellStyle name="표준 5 5 8 6" xfId="27513"/>
    <cellStyle name="표준 5 5 8 7" xfId="54938"/>
    <cellStyle name="표준 5 5 9" xfId="2161"/>
    <cellStyle name="표준 5 5 9 2" xfId="2162"/>
    <cellStyle name="표준 5 5 9 2 2" xfId="5305"/>
    <cellStyle name="표준 5 5 9 2 2 2" xfId="11641"/>
    <cellStyle name="표준 5 5 9 2 2 2 2" xfId="24314"/>
    <cellStyle name="표준 5 5 9 2 2 2 2 2" xfId="49666"/>
    <cellStyle name="표준 5 5 9 2 2 2 3" xfId="36994"/>
    <cellStyle name="표준 5 5 9 2 2 3" xfId="17978"/>
    <cellStyle name="표준 5 5 9 2 2 3 2" xfId="43330"/>
    <cellStyle name="표준 5 5 9 2 2 4" xfId="30658"/>
    <cellStyle name="표준 5 5 9 2 2 5" xfId="54939"/>
    <cellStyle name="표준 5 5 9 2 3" xfId="8499"/>
    <cellStyle name="표준 5 5 9 2 3 2" xfId="21172"/>
    <cellStyle name="표준 5 5 9 2 3 2 2" xfId="46524"/>
    <cellStyle name="표준 5 5 9 2 3 3" xfId="33852"/>
    <cellStyle name="표준 5 5 9 2 4" xfId="14836"/>
    <cellStyle name="표준 5 5 9 2 4 2" xfId="40188"/>
    <cellStyle name="표준 5 5 9 2 5" xfId="27516"/>
    <cellStyle name="표준 5 5 9 2 6" xfId="54940"/>
    <cellStyle name="표준 5 5 9 3" xfId="5306"/>
    <cellStyle name="표준 5 5 9 3 2" xfId="11642"/>
    <cellStyle name="표준 5 5 9 3 2 2" xfId="24315"/>
    <cellStyle name="표준 5 5 9 3 2 2 2" xfId="49667"/>
    <cellStyle name="표준 5 5 9 3 2 3" xfId="36995"/>
    <cellStyle name="표준 5 5 9 3 3" xfId="17979"/>
    <cellStyle name="표준 5 5 9 3 3 2" xfId="43331"/>
    <cellStyle name="표준 5 5 9 3 4" xfId="30659"/>
    <cellStyle name="표준 5 5 9 3 5" xfId="54941"/>
    <cellStyle name="표준 5 5 9 4" xfId="8498"/>
    <cellStyle name="표준 5 5 9 4 2" xfId="21171"/>
    <cellStyle name="표준 5 5 9 4 2 2" xfId="46523"/>
    <cellStyle name="표준 5 5 9 4 3" xfId="33851"/>
    <cellStyle name="표준 5 5 9 5" xfId="14835"/>
    <cellStyle name="표준 5 5 9 5 2" xfId="40187"/>
    <cellStyle name="표준 5 5 9 6" xfId="27515"/>
    <cellStyle name="표준 5 5 9 7" xfId="54942"/>
    <cellStyle name="표준 5 6" xfId="88"/>
    <cellStyle name="표준 5 6 2" xfId="2163"/>
    <cellStyle name="표준 5 6 2 2" xfId="5307"/>
    <cellStyle name="표준 5 6 2 2 2" xfId="11643"/>
    <cellStyle name="표준 5 6 2 2 2 2" xfId="24316"/>
    <cellStyle name="표준 5 6 2 2 2 2 2" xfId="49668"/>
    <cellStyle name="표준 5 6 2 2 2 3" xfId="36996"/>
    <cellStyle name="표준 5 6 2 2 3" xfId="17980"/>
    <cellStyle name="표준 5 6 2 2 3 2" xfId="43332"/>
    <cellStyle name="표준 5 6 2 2 4" xfId="30660"/>
    <cellStyle name="표준 5 6 2 2 5" xfId="54943"/>
    <cellStyle name="표준 5 6 2 3" xfId="8500"/>
    <cellStyle name="표준 5 6 2 3 2" xfId="21173"/>
    <cellStyle name="표준 5 6 2 3 2 2" xfId="46525"/>
    <cellStyle name="표준 5 6 2 3 3" xfId="33853"/>
    <cellStyle name="표준 5 6 2 4" xfId="14837"/>
    <cellStyle name="표준 5 6 2 4 2" xfId="40189"/>
    <cellStyle name="표준 5 6 2 5" xfId="27517"/>
    <cellStyle name="표준 5 6 2 6" xfId="54944"/>
    <cellStyle name="표준 5 6 3" xfId="5308"/>
    <cellStyle name="표준 5 6 3 2" xfId="11644"/>
    <cellStyle name="표준 5 6 3 2 2" xfId="24317"/>
    <cellStyle name="표준 5 6 3 2 2 2" xfId="49669"/>
    <cellStyle name="표준 5 6 3 2 3" xfId="36997"/>
    <cellStyle name="표준 5 6 3 3" xfId="17981"/>
    <cellStyle name="표준 5 6 3 3 2" xfId="43333"/>
    <cellStyle name="표준 5 6 3 4" xfId="30661"/>
    <cellStyle name="표준 5 6 3 5" xfId="54945"/>
    <cellStyle name="표준 5 6 4" xfId="6426"/>
    <cellStyle name="표준 5 6 4 2" xfId="19099"/>
    <cellStyle name="표준 5 6 4 2 2" xfId="44451"/>
    <cellStyle name="표준 5 6 4 3" xfId="31779"/>
    <cellStyle name="표준 5 6 5" xfId="12763"/>
    <cellStyle name="표준 5 6 5 2" xfId="38115"/>
    <cellStyle name="표준 5 6 6" xfId="25443"/>
    <cellStyle name="표준 5 6 7" xfId="54946"/>
    <cellStyle name="표준 5 7" xfId="2164"/>
    <cellStyle name="표준 5 7 2" xfId="2165"/>
    <cellStyle name="표준 5 7 2 2" xfId="5309"/>
    <cellStyle name="표준 5 7 2 2 2" xfId="11645"/>
    <cellStyle name="표준 5 7 2 2 2 2" xfId="24318"/>
    <cellStyle name="표준 5 7 2 2 2 2 2" xfId="49670"/>
    <cellStyle name="표준 5 7 2 2 2 3" xfId="36998"/>
    <cellStyle name="표준 5 7 2 2 3" xfId="17982"/>
    <cellStyle name="표준 5 7 2 2 3 2" xfId="43334"/>
    <cellStyle name="표준 5 7 2 2 4" xfId="30662"/>
    <cellStyle name="표준 5 7 2 2 5" xfId="54947"/>
    <cellStyle name="표준 5 7 2 3" xfId="8502"/>
    <cellStyle name="표준 5 7 2 3 2" xfId="21175"/>
    <cellStyle name="표준 5 7 2 3 2 2" xfId="46527"/>
    <cellStyle name="표준 5 7 2 3 3" xfId="33855"/>
    <cellStyle name="표준 5 7 2 4" xfId="14839"/>
    <cellStyle name="표준 5 7 2 4 2" xfId="40191"/>
    <cellStyle name="표준 5 7 2 5" xfId="27519"/>
    <cellStyle name="표준 5 7 2 6" xfId="54948"/>
    <cellStyle name="표준 5 7 3" xfId="5310"/>
    <cellStyle name="표준 5 7 3 2" xfId="11646"/>
    <cellStyle name="표준 5 7 3 2 2" xfId="24319"/>
    <cellStyle name="표준 5 7 3 2 2 2" xfId="49671"/>
    <cellStyle name="표준 5 7 3 2 3" xfId="36999"/>
    <cellStyle name="표준 5 7 3 3" xfId="17983"/>
    <cellStyle name="표준 5 7 3 3 2" xfId="43335"/>
    <cellStyle name="표준 5 7 3 4" xfId="30663"/>
    <cellStyle name="표준 5 7 3 5" xfId="54949"/>
    <cellStyle name="표준 5 7 4" xfId="8501"/>
    <cellStyle name="표준 5 7 4 2" xfId="21174"/>
    <cellStyle name="표준 5 7 4 2 2" xfId="46526"/>
    <cellStyle name="표준 5 7 4 3" xfId="33854"/>
    <cellStyle name="표준 5 7 5" xfId="14838"/>
    <cellStyle name="표준 5 7 5 2" xfId="40190"/>
    <cellStyle name="표준 5 7 6" xfId="27518"/>
    <cellStyle name="표준 5 7 7" xfId="54950"/>
    <cellStyle name="표준 5 8" xfId="2166"/>
    <cellStyle name="표준 5 8 2" xfId="2167"/>
    <cellStyle name="표준 5 8 2 2" xfId="5311"/>
    <cellStyle name="표준 5 8 2 2 2" xfId="11647"/>
    <cellStyle name="표준 5 8 2 2 2 2" xfId="24320"/>
    <cellStyle name="표준 5 8 2 2 2 2 2" xfId="49672"/>
    <cellStyle name="표준 5 8 2 2 2 3" xfId="37000"/>
    <cellStyle name="표준 5 8 2 2 3" xfId="17984"/>
    <cellStyle name="표준 5 8 2 2 3 2" xfId="43336"/>
    <cellStyle name="표준 5 8 2 2 4" xfId="30664"/>
    <cellStyle name="표준 5 8 2 2 5" xfId="54951"/>
    <cellStyle name="표준 5 8 2 3" xfId="8504"/>
    <cellStyle name="표준 5 8 2 3 2" xfId="21177"/>
    <cellStyle name="표준 5 8 2 3 2 2" xfId="46529"/>
    <cellStyle name="표준 5 8 2 3 3" xfId="33857"/>
    <cellStyle name="표준 5 8 2 4" xfId="14841"/>
    <cellStyle name="표준 5 8 2 4 2" xfId="40193"/>
    <cellStyle name="표준 5 8 2 5" xfId="27521"/>
    <cellStyle name="표준 5 8 2 6" xfId="54952"/>
    <cellStyle name="표준 5 8 3" xfId="5312"/>
    <cellStyle name="표준 5 8 3 2" xfId="11648"/>
    <cellStyle name="표준 5 8 3 2 2" xfId="24321"/>
    <cellStyle name="표준 5 8 3 2 2 2" xfId="49673"/>
    <cellStyle name="표준 5 8 3 2 3" xfId="37001"/>
    <cellStyle name="표준 5 8 3 3" xfId="17985"/>
    <cellStyle name="표준 5 8 3 3 2" xfId="43337"/>
    <cellStyle name="표준 5 8 3 4" xfId="30665"/>
    <cellStyle name="표준 5 8 3 5" xfId="54953"/>
    <cellStyle name="표준 5 8 4" xfId="8503"/>
    <cellStyle name="표준 5 8 4 2" xfId="21176"/>
    <cellStyle name="표준 5 8 4 2 2" xfId="46528"/>
    <cellStyle name="표준 5 8 4 3" xfId="33856"/>
    <cellStyle name="표준 5 8 5" xfId="14840"/>
    <cellStyle name="표준 5 8 5 2" xfId="40192"/>
    <cellStyle name="표준 5 8 6" xfId="27520"/>
    <cellStyle name="표준 5 8 7" xfId="54954"/>
    <cellStyle name="표준 5 9" xfId="2168"/>
    <cellStyle name="표준 5 9 2" xfId="2169"/>
    <cellStyle name="표준 5 9 2 2" xfId="5313"/>
    <cellStyle name="표준 5 9 2 2 2" xfId="11649"/>
    <cellStyle name="표준 5 9 2 2 2 2" xfId="24322"/>
    <cellStyle name="표준 5 9 2 2 2 2 2" xfId="49674"/>
    <cellStyle name="표준 5 9 2 2 2 3" xfId="37002"/>
    <cellStyle name="표준 5 9 2 2 3" xfId="17986"/>
    <cellStyle name="표준 5 9 2 2 3 2" xfId="43338"/>
    <cellStyle name="표준 5 9 2 2 4" xfId="30666"/>
    <cellStyle name="표준 5 9 2 2 5" xfId="54955"/>
    <cellStyle name="표준 5 9 2 3" xfId="8506"/>
    <cellStyle name="표준 5 9 2 3 2" xfId="21179"/>
    <cellStyle name="표준 5 9 2 3 2 2" xfId="46531"/>
    <cellStyle name="표준 5 9 2 3 3" xfId="33859"/>
    <cellStyle name="표준 5 9 2 4" xfId="14843"/>
    <cellStyle name="표준 5 9 2 4 2" xfId="40195"/>
    <cellStyle name="표준 5 9 2 5" xfId="27523"/>
    <cellStyle name="표준 5 9 2 6" xfId="54956"/>
    <cellStyle name="표준 5 9 3" xfId="5314"/>
    <cellStyle name="표준 5 9 3 2" xfId="11650"/>
    <cellStyle name="표준 5 9 3 2 2" xfId="24323"/>
    <cellStyle name="표준 5 9 3 2 2 2" xfId="49675"/>
    <cellStyle name="표준 5 9 3 2 3" xfId="37003"/>
    <cellStyle name="표준 5 9 3 3" xfId="17987"/>
    <cellStyle name="표준 5 9 3 3 2" xfId="43339"/>
    <cellStyle name="표준 5 9 3 4" xfId="30667"/>
    <cellStyle name="표준 5 9 3 5" xfId="54957"/>
    <cellStyle name="표준 5 9 4" xfId="8505"/>
    <cellStyle name="표준 5 9 4 2" xfId="21178"/>
    <cellStyle name="표준 5 9 4 2 2" xfId="46530"/>
    <cellStyle name="표준 5 9 4 3" xfId="33858"/>
    <cellStyle name="표준 5 9 5" xfId="14842"/>
    <cellStyle name="표준 5 9 5 2" xfId="40194"/>
    <cellStyle name="표준 5 9 6" xfId="27522"/>
    <cellStyle name="표준 5 9 7" xfId="54958"/>
    <cellStyle name="표준 6" xfId="11"/>
    <cellStyle name="표준 6 10" xfId="2170"/>
    <cellStyle name="표준 6 10 2" xfId="2171"/>
    <cellStyle name="표준 6 10 2 2" xfId="5315"/>
    <cellStyle name="표준 6 10 2 2 2" xfId="11651"/>
    <cellStyle name="표준 6 10 2 2 2 2" xfId="24324"/>
    <cellStyle name="표준 6 10 2 2 2 2 2" xfId="49676"/>
    <cellStyle name="표준 6 10 2 2 2 3" xfId="37004"/>
    <cellStyle name="표준 6 10 2 2 3" xfId="17988"/>
    <cellStyle name="표준 6 10 2 2 3 2" xfId="43340"/>
    <cellStyle name="표준 6 10 2 2 4" xfId="30668"/>
    <cellStyle name="표준 6 10 2 2 5" xfId="54959"/>
    <cellStyle name="표준 6 10 2 3" xfId="8508"/>
    <cellStyle name="표준 6 10 2 3 2" xfId="21181"/>
    <cellStyle name="표준 6 10 2 3 2 2" xfId="46533"/>
    <cellStyle name="표준 6 10 2 3 3" xfId="33861"/>
    <cellStyle name="표준 6 10 2 4" xfId="14845"/>
    <cellStyle name="표준 6 10 2 4 2" xfId="40197"/>
    <cellStyle name="표준 6 10 2 5" xfId="27525"/>
    <cellStyle name="표준 6 10 2 6" xfId="54960"/>
    <cellStyle name="표준 6 10 3" xfId="5316"/>
    <cellStyle name="표준 6 10 3 2" xfId="11652"/>
    <cellStyle name="표준 6 10 3 2 2" xfId="24325"/>
    <cellStyle name="표준 6 10 3 2 2 2" xfId="49677"/>
    <cellStyle name="표준 6 10 3 2 3" xfId="37005"/>
    <cellStyle name="표준 6 10 3 3" xfId="17989"/>
    <cellStyle name="표준 6 10 3 3 2" xfId="43341"/>
    <cellStyle name="표준 6 10 3 4" xfId="30669"/>
    <cellStyle name="표준 6 10 3 5" xfId="54961"/>
    <cellStyle name="표준 6 10 4" xfId="8507"/>
    <cellStyle name="표준 6 10 4 2" xfId="21180"/>
    <cellStyle name="표준 6 10 4 2 2" xfId="46532"/>
    <cellStyle name="표준 6 10 4 3" xfId="33860"/>
    <cellStyle name="표준 6 10 5" xfId="14844"/>
    <cellStyle name="표준 6 10 5 2" xfId="40196"/>
    <cellStyle name="표준 6 10 6" xfId="27524"/>
    <cellStyle name="표준 6 10 7" xfId="54962"/>
    <cellStyle name="표준 6 11" xfId="2172"/>
    <cellStyle name="표준 6 11 2" xfId="2173"/>
    <cellStyle name="표준 6 11 2 2" xfId="5317"/>
    <cellStyle name="표준 6 11 2 2 2" xfId="11653"/>
    <cellStyle name="표준 6 11 2 2 2 2" xfId="24326"/>
    <cellStyle name="표준 6 11 2 2 2 2 2" xfId="49678"/>
    <cellStyle name="표준 6 11 2 2 2 3" xfId="37006"/>
    <cellStyle name="표준 6 11 2 2 3" xfId="17990"/>
    <cellStyle name="표준 6 11 2 2 3 2" xfId="43342"/>
    <cellStyle name="표준 6 11 2 2 4" xfId="30670"/>
    <cellStyle name="표준 6 11 2 2 5" xfId="54963"/>
    <cellStyle name="표준 6 11 2 3" xfId="8510"/>
    <cellStyle name="표준 6 11 2 3 2" xfId="21183"/>
    <cellStyle name="표준 6 11 2 3 2 2" xfId="46535"/>
    <cellStyle name="표준 6 11 2 3 3" xfId="33863"/>
    <cellStyle name="표준 6 11 2 4" xfId="14847"/>
    <cellStyle name="표준 6 11 2 4 2" xfId="40199"/>
    <cellStyle name="표준 6 11 2 5" xfId="27527"/>
    <cellStyle name="표준 6 11 2 6" xfId="54964"/>
    <cellStyle name="표준 6 11 3" xfId="5318"/>
    <cellStyle name="표준 6 11 3 2" xfId="11654"/>
    <cellStyle name="표준 6 11 3 2 2" xfId="24327"/>
    <cellStyle name="표준 6 11 3 2 2 2" xfId="49679"/>
    <cellStyle name="표준 6 11 3 2 3" xfId="37007"/>
    <cellStyle name="표준 6 11 3 3" xfId="17991"/>
    <cellStyle name="표준 6 11 3 3 2" xfId="43343"/>
    <cellStyle name="표준 6 11 3 4" xfId="30671"/>
    <cellStyle name="표준 6 11 3 5" xfId="54965"/>
    <cellStyle name="표준 6 11 4" xfId="8509"/>
    <cellStyle name="표준 6 11 4 2" xfId="21182"/>
    <cellStyle name="표준 6 11 4 2 2" xfId="46534"/>
    <cellStyle name="표준 6 11 4 3" xfId="33862"/>
    <cellStyle name="표준 6 11 5" xfId="14846"/>
    <cellStyle name="표준 6 11 5 2" xfId="40198"/>
    <cellStyle name="표준 6 11 6" xfId="27526"/>
    <cellStyle name="표준 6 11 7" xfId="54966"/>
    <cellStyle name="표준 6 12" xfId="2174"/>
    <cellStyle name="표준 6 12 2" xfId="2175"/>
    <cellStyle name="표준 6 12 2 2" xfId="5319"/>
    <cellStyle name="표준 6 12 2 2 2" xfId="11655"/>
    <cellStyle name="표준 6 12 2 2 2 2" xfId="24328"/>
    <cellStyle name="표준 6 12 2 2 2 2 2" xfId="49680"/>
    <cellStyle name="표준 6 12 2 2 2 3" xfId="37008"/>
    <cellStyle name="표준 6 12 2 2 3" xfId="17992"/>
    <cellStyle name="표준 6 12 2 2 3 2" xfId="43344"/>
    <cellStyle name="표준 6 12 2 2 4" xfId="30672"/>
    <cellStyle name="표준 6 12 2 2 5" xfId="54967"/>
    <cellStyle name="표준 6 12 2 3" xfId="8512"/>
    <cellStyle name="표준 6 12 2 3 2" xfId="21185"/>
    <cellStyle name="표준 6 12 2 3 2 2" xfId="46537"/>
    <cellStyle name="표준 6 12 2 3 3" xfId="33865"/>
    <cellStyle name="표준 6 12 2 4" xfId="14849"/>
    <cellStyle name="표준 6 12 2 4 2" xfId="40201"/>
    <cellStyle name="표준 6 12 2 5" xfId="27529"/>
    <cellStyle name="표준 6 12 2 6" xfId="54968"/>
    <cellStyle name="표준 6 12 3" xfId="5320"/>
    <cellStyle name="표준 6 12 3 2" xfId="11656"/>
    <cellStyle name="표준 6 12 3 2 2" xfId="24329"/>
    <cellStyle name="표준 6 12 3 2 2 2" xfId="49681"/>
    <cellStyle name="표준 6 12 3 2 3" xfId="37009"/>
    <cellStyle name="표준 6 12 3 3" xfId="17993"/>
    <cellStyle name="표준 6 12 3 3 2" xfId="43345"/>
    <cellStyle name="표준 6 12 3 4" xfId="30673"/>
    <cellStyle name="표준 6 12 3 5" xfId="54969"/>
    <cellStyle name="표준 6 12 4" xfId="8511"/>
    <cellStyle name="표준 6 12 4 2" xfId="21184"/>
    <cellStyle name="표준 6 12 4 2 2" xfId="46536"/>
    <cellStyle name="표준 6 12 4 3" xfId="33864"/>
    <cellStyle name="표준 6 12 5" xfId="14848"/>
    <cellStyle name="표준 6 12 5 2" xfId="40200"/>
    <cellStyle name="표준 6 12 6" xfId="27528"/>
    <cellStyle name="표준 6 12 7" xfId="54970"/>
    <cellStyle name="표준 6 13" xfId="2176"/>
    <cellStyle name="표준 6 13 2" xfId="2177"/>
    <cellStyle name="표준 6 13 2 2" xfId="5321"/>
    <cellStyle name="표준 6 13 2 2 2" xfId="11657"/>
    <cellStyle name="표준 6 13 2 2 2 2" xfId="24330"/>
    <cellStyle name="표준 6 13 2 2 2 2 2" xfId="49682"/>
    <cellStyle name="표준 6 13 2 2 2 3" xfId="37010"/>
    <cellStyle name="표준 6 13 2 2 3" xfId="17994"/>
    <cellStyle name="표준 6 13 2 2 3 2" xfId="43346"/>
    <cellStyle name="표준 6 13 2 2 4" xfId="30674"/>
    <cellStyle name="표준 6 13 2 2 5" xfId="54971"/>
    <cellStyle name="표준 6 13 2 3" xfId="8514"/>
    <cellStyle name="표준 6 13 2 3 2" xfId="21187"/>
    <cellStyle name="표준 6 13 2 3 2 2" xfId="46539"/>
    <cellStyle name="표준 6 13 2 3 3" xfId="33867"/>
    <cellStyle name="표준 6 13 2 4" xfId="14851"/>
    <cellStyle name="표준 6 13 2 4 2" xfId="40203"/>
    <cellStyle name="표준 6 13 2 5" xfId="27531"/>
    <cellStyle name="표준 6 13 2 6" xfId="54972"/>
    <cellStyle name="표준 6 13 3" xfId="5322"/>
    <cellStyle name="표준 6 13 3 2" xfId="11658"/>
    <cellStyle name="표준 6 13 3 2 2" xfId="24331"/>
    <cellStyle name="표준 6 13 3 2 2 2" xfId="49683"/>
    <cellStyle name="표준 6 13 3 2 3" xfId="37011"/>
    <cellStyle name="표준 6 13 3 3" xfId="17995"/>
    <cellStyle name="표준 6 13 3 3 2" xfId="43347"/>
    <cellStyle name="표준 6 13 3 4" xfId="30675"/>
    <cellStyle name="표준 6 13 3 5" xfId="54973"/>
    <cellStyle name="표준 6 13 4" xfId="8513"/>
    <cellStyle name="표준 6 13 4 2" xfId="21186"/>
    <cellStyle name="표준 6 13 4 2 2" xfId="46538"/>
    <cellStyle name="표준 6 13 4 3" xfId="33866"/>
    <cellStyle name="표준 6 13 5" xfId="14850"/>
    <cellStyle name="표준 6 13 5 2" xfId="40202"/>
    <cellStyle name="표준 6 13 6" xfId="27530"/>
    <cellStyle name="표준 6 13 7" xfId="54974"/>
    <cellStyle name="표준 6 14" xfId="2178"/>
    <cellStyle name="표준 6 14 2" xfId="2179"/>
    <cellStyle name="표준 6 14 2 2" xfId="5323"/>
    <cellStyle name="표준 6 14 2 2 2" xfId="11659"/>
    <cellStyle name="표준 6 14 2 2 2 2" xfId="24332"/>
    <cellStyle name="표준 6 14 2 2 2 2 2" xfId="49684"/>
    <cellStyle name="표준 6 14 2 2 2 3" xfId="37012"/>
    <cellStyle name="표준 6 14 2 2 3" xfId="17996"/>
    <cellStyle name="표준 6 14 2 2 3 2" xfId="43348"/>
    <cellStyle name="표준 6 14 2 2 4" xfId="30676"/>
    <cellStyle name="표준 6 14 2 2 5" xfId="54975"/>
    <cellStyle name="표준 6 14 2 3" xfId="8516"/>
    <cellStyle name="표준 6 14 2 3 2" xfId="21189"/>
    <cellStyle name="표준 6 14 2 3 2 2" xfId="46541"/>
    <cellStyle name="표준 6 14 2 3 3" xfId="33869"/>
    <cellStyle name="표준 6 14 2 4" xfId="14853"/>
    <cellStyle name="표준 6 14 2 4 2" xfId="40205"/>
    <cellStyle name="표준 6 14 2 5" xfId="27533"/>
    <cellStyle name="표준 6 14 2 6" xfId="54976"/>
    <cellStyle name="표준 6 14 3" xfId="5324"/>
    <cellStyle name="표준 6 14 3 2" xfId="11660"/>
    <cellStyle name="표준 6 14 3 2 2" xfId="24333"/>
    <cellStyle name="표준 6 14 3 2 2 2" xfId="49685"/>
    <cellStyle name="표준 6 14 3 2 3" xfId="37013"/>
    <cellStyle name="표준 6 14 3 3" xfId="17997"/>
    <cellStyle name="표준 6 14 3 3 2" xfId="43349"/>
    <cellStyle name="표준 6 14 3 4" xfId="30677"/>
    <cellStyle name="표준 6 14 3 5" xfId="54977"/>
    <cellStyle name="표준 6 14 4" xfId="8515"/>
    <cellStyle name="표준 6 14 4 2" xfId="21188"/>
    <cellStyle name="표준 6 14 4 2 2" xfId="46540"/>
    <cellStyle name="표준 6 14 4 3" xfId="33868"/>
    <cellStyle name="표준 6 14 5" xfId="14852"/>
    <cellStyle name="표준 6 14 5 2" xfId="40204"/>
    <cellStyle name="표준 6 14 6" xfId="27532"/>
    <cellStyle name="표준 6 14 7" xfId="54978"/>
    <cellStyle name="표준 6 15" xfId="2180"/>
    <cellStyle name="표준 6 15 2" xfId="2181"/>
    <cellStyle name="표준 6 15 2 2" xfId="5325"/>
    <cellStyle name="표준 6 15 2 2 2" xfId="11661"/>
    <cellStyle name="표준 6 15 2 2 2 2" xfId="24334"/>
    <cellStyle name="표준 6 15 2 2 2 2 2" xfId="49686"/>
    <cellStyle name="표준 6 15 2 2 2 3" xfId="37014"/>
    <cellStyle name="표준 6 15 2 2 3" xfId="17998"/>
    <cellStyle name="표준 6 15 2 2 3 2" xfId="43350"/>
    <cellStyle name="표준 6 15 2 2 4" xfId="30678"/>
    <cellStyle name="표준 6 15 2 2 5" xfId="54979"/>
    <cellStyle name="표준 6 15 2 3" xfId="8518"/>
    <cellStyle name="표준 6 15 2 3 2" xfId="21191"/>
    <cellStyle name="표준 6 15 2 3 2 2" xfId="46543"/>
    <cellStyle name="표준 6 15 2 3 3" xfId="33871"/>
    <cellStyle name="표준 6 15 2 4" xfId="14855"/>
    <cellStyle name="표준 6 15 2 4 2" xfId="40207"/>
    <cellStyle name="표준 6 15 2 5" xfId="27535"/>
    <cellStyle name="표준 6 15 2 6" xfId="54980"/>
    <cellStyle name="표준 6 15 3" xfId="5326"/>
    <cellStyle name="표준 6 15 3 2" xfId="11662"/>
    <cellStyle name="표준 6 15 3 2 2" xfId="24335"/>
    <cellStyle name="표준 6 15 3 2 2 2" xfId="49687"/>
    <cellStyle name="표준 6 15 3 2 3" xfId="37015"/>
    <cellStyle name="표준 6 15 3 3" xfId="17999"/>
    <cellStyle name="표준 6 15 3 3 2" xfId="43351"/>
    <cellStyle name="표준 6 15 3 4" xfId="30679"/>
    <cellStyle name="표준 6 15 3 5" xfId="54981"/>
    <cellStyle name="표준 6 15 4" xfId="8517"/>
    <cellStyle name="표준 6 15 4 2" xfId="21190"/>
    <cellStyle name="표준 6 15 4 2 2" xfId="46542"/>
    <cellStyle name="표준 6 15 4 3" xfId="33870"/>
    <cellStyle name="표준 6 15 5" xfId="14854"/>
    <cellStyle name="표준 6 15 5 2" xfId="40206"/>
    <cellStyle name="표준 6 15 6" xfId="27534"/>
    <cellStyle name="표준 6 15 7" xfId="54982"/>
    <cellStyle name="표준 6 16" xfId="2182"/>
    <cellStyle name="표준 6 16 2" xfId="2183"/>
    <cellStyle name="표준 6 16 2 2" xfId="5327"/>
    <cellStyle name="표준 6 16 2 2 2" xfId="11663"/>
    <cellStyle name="표준 6 16 2 2 2 2" xfId="24336"/>
    <cellStyle name="표준 6 16 2 2 2 2 2" xfId="49688"/>
    <cellStyle name="표준 6 16 2 2 2 3" xfId="37016"/>
    <cellStyle name="표준 6 16 2 2 3" xfId="18000"/>
    <cellStyle name="표준 6 16 2 2 3 2" xfId="43352"/>
    <cellStyle name="표준 6 16 2 2 4" xfId="30680"/>
    <cellStyle name="표준 6 16 2 2 5" xfId="54983"/>
    <cellStyle name="표준 6 16 2 3" xfId="8520"/>
    <cellStyle name="표준 6 16 2 3 2" xfId="21193"/>
    <cellStyle name="표준 6 16 2 3 2 2" xfId="46545"/>
    <cellStyle name="표준 6 16 2 3 3" xfId="33873"/>
    <cellStyle name="표준 6 16 2 4" xfId="14857"/>
    <cellStyle name="표준 6 16 2 4 2" xfId="40209"/>
    <cellStyle name="표준 6 16 2 5" xfId="27537"/>
    <cellStyle name="표준 6 16 2 6" xfId="54984"/>
    <cellStyle name="표준 6 16 3" xfId="5328"/>
    <cellStyle name="표준 6 16 3 2" xfId="11664"/>
    <cellStyle name="표준 6 16 3 2 2" xfId="24337"/>
    <cellStyle name="표준 6 16 3 2 2 2" xfId="49689"/>
    <cellStyle name="표준 6 16 3 2 3" xfId="37017"/>
    <cellStyle name="표준 6 16 3 3" xfId="18001"/>
    <cellStyle name="표준 6 16 3 3 2" xfId="43353"/>
    <cellStyle name="표준 6 16 3 4" xfId="30681"/>
    <cellStyle name="표준 6 16 3 5" xfId="54985"/>
    <cellStyle name="표준 6 16 4" xfId="8519"/>
    <cellStyle name="표준 6 16 4 2" xfId="21192"/>
    <cellStyle name="표준 6 16 4 2 2" xfId="46544"/>
    <cellStyle name="표준 6 16 4 3" xfId="33872"/>
    <cellStyle name="표준 6 16 5" xfId="14856"/>
    <cellStyle name="표준 6 16 5 2" xfId="40208"/>
    <cellStyle name="표준 6 16 6" xfId="27536"/>
    <cellStyle name="표준 6 16 7" xfId="54986"/>
    <cellStyle name="표준 6 17" xfId="2184"/>
    <cellStyle name="표준 6 17 2" xfId="2185"/>
    <cellStyle name="표준 6 17 2 2" xfId="5329"/>
    <cellStyle name="표준 6 17 2 2 2" xfId="11665"/>
    <cellStyle name="표준 6 17 2 2 2 2" xfId="24338"/>
    <cellStyle name="표준 6 17 2 2 2 2 2" xfId="49690"/>
    <cellStyle name="표준 6 17 2 2 2 3" xfId="37018"/>
    <cellStyle name="표준 6 17 2 2 3" xfId="18002"/>
    <cellStyle name="표준 6 17 2 2 3 2" xfId="43354"/>
    <cellStyle name="표준 6 17 2 2 4" xfId="30682"/>
    <cellStyle name="표준 6 17 2 2 5" xfId="54987"/>
    <cellStyle name="표준 6 17 2 3" xfId="8522"/>
    <cellStyle name="표준 6 17 2 3 2" xfId="21195"/>
    <cellStyle name="표준 6 17 2 3 2 2" xfId="46547"/>
    <cellStyle name="표준 6 17 2 3 3" xfId="33875"/>
    <cellStyle name="표준 6 17 2 4" xfId="14859"/>
    <cellStyle name="표준 6 17 2 4 2" xfId="40211"/>
    <cellStyle name="표준 6 17 2 5" xfId="27539"/>
    <cellStyle name="표준 6 17 2 6" xfId="54988"/>
    <cellStyle name="표준 6 17 3" xfId="5330"/>
    <cellStyle name="표준 6 17 3 2" xfId="11666"/>
    <cellStyle name="표준 6 17 3 2 2" xfId="24339"/>
    <cellStyle name="표준 6 17 3 2 2 2" xfId="49691"/>
    <cellStyle name="표준 6 17 3 2 3" xfId="37019"/>
    <cellStyle name="표준 6 17 3 3" xfId="18003"/>
    <cellStyle name="표준 6 17 3 3 2" xfId="43355"/>
    <cellStyle name="표준 6 17 3 4" xfId="30683"/>
    <cellStyle name="표준 6 17 3 5" xfId="54989"/>
    <cellStyle name="표준 6 17 4" xfId="8521"/>
    <cellStyle name="표준 6 17 4 2" xfId="21194"/>
    <cellStyle name="표준 6 17 4 2 2" xfId="46546"/>
    <cellStyle name="표준 6 17 4 3" xfId="33874"/>
    <cellStyle name="표준 6 17 5" xfId="14858"/>
    <cellStyle name="표준 6 17 5 2" xfId="40210"/>
    <cellStyle name="표준 6 17 6" xfId="27538"/>
    <cellStyle name="표준 6 17 7" xfId="54990"/>
    <cellStyle name="표준 6 18" xfId="2186"/>
    <cellStyle name="표준 6 18 2" xfId="2187"/>
    <cellStyle name="표준 6 18 2 2" xfId="5331"/>
    <cellStyle name="표준 6 18 2 2 2" xfId="11667"/>
    <cellStyle name="표준 6 18 2 2 2 2" xfId="24340"/>
    <cellStyle name="표준 6 18 2 2 2 2 2" xfId="49692"/>
    <cellStyle name="표준 6 18 2 2 2 3" xfId="37020"/>
    <cellStyle name="표준 6 18 2 2 3" xfId="18004"/>
    <cellStyle name="표준 6 18 2 2 3 2" xfId="43356"/>
    <cellStyle name="표준 6 18 2 2 4" xfId="30684"/>
    <cellStyle name="표준 6 18 2 2 5" xfId="54991"/>
    <cellStyle name="표준 6 18 2 3" xfId="8524"/>
    <cellStyle name="표준 6 18 2 3 2" xfId="21197"/>
    <cellStyle name="표준 6 18 2 3 2 2" xfId="46549"/>
    <cellStyle name="표준 6 18 2 3 3" xfId="33877"/>
    <cellStyle name="표준 6 18 2 4" xfId="14861"/>
    <cellStyle name="표준 6 18 2 4 2" xfId="40213"/>
    <cellStyle name="표준 6 18 2 5" xfId="27541"/>
    <cellStyle name="표준 6 18 2 6" xfId="54992"/>
    <cellStyle name="표준 6 18 3" xfId="5332"/>
    <cellStyle name="표준 6 18 3 2" xfId="11668"/>
    <cellStyle name="표준 6 18 3 2 2" xfId="24341"/>
    <cellStyle name="표준 6 18 3 2 2 2" xfId="49693"/>
    <cellStyle name="표준 6 18 3 2 3" xfId="37021"/>
    <cellStyle name="표준 6 18 3 3" xfId="18005"/>
    <cellStyle name="표준 6 18 3 3 2" xfId="43357"/>
    <cellStyle name="표준 6 18 3 4" xfId="30685"/>
    <cellStyle name="표준 6 18 3 5" xfId="54993"/>
    <cellStyle name="표준 6 18 4" xfId="8523"/>
    <cellStyle name="표준 6 18 4 2" xfId="21196"/>
    <cellStyle name="표준 6 18 4 2 2" xfId="46548"/>
    <cellStyle name="표준 6 18 4 3" xfId="33876"/>
    <cellStyle name="표준 6 18 5" xfId="14860"/>
    <cellStyle name="표준 6 18 5 2" xfId="40212"/>
    <cellStyle name="표준 6 18 6" xfId="27540"/>
    <cellStyle name="표준 6 18 7" xfId="54994"/>
    <cellStyle name="표준 6 19" xfId="2188"/>
    <cellStyle name="표준 6 19 2" xfId="2189"/>
    <cellStyle name="표준 6 19 2 2" xfId="5333"/>
    <cellStyle name="표준 6 19 2 2 2" xfId="11669"/>
    <cellStyle name="표준 6 19 2 2 2 2" xfId="24342"/>
    <cellStyle name="표준 6 19 2 2 2 2 2" xfId="49694"/>
    <cellStyle name="표준 6 19 2 2 2 3" xfId="37022"/>
    <cellStyle name="표준 6 19 2 2 3" xfId="18006"/>
    <cellStyle name="표준 6 19 2 2 3 2" xfId="43358"/>
    <cellStyle name="표준 6 19 2 2 4" xfId="30686"/>
    <cellStyle name="표준 6 19 2 2 5" xfId="54995"/>
    <cellStyle name="표준 6 19 2 3" xfId="8526"/>
    <cellStyle name="표준 6 19 2 3 2" xfId="21199"/>
    <cellStyle name="표준 6 19 2 3 2 2" xfId="46551"/>
    <cellStyle name="표준 6 19 2 3 3" xfId="33879"/>
    <cellStyle name="표준 6 19 2 4" xfId="14863"/>
    <cellStyle name="표준 6 19 2 4 2" xfId="40215"/>
    <cellStyle name="표준 6 19 2 5" xfId="27543"/>
    <cellStyle name="표준 6 19 2 6" xfId="54996"/>
    <cellStyle name="표준 6 19 3" xfId="5334"/>
    <cellStyle name="표준 6 19 3 2" xfId="11670"/>
    <cellStyle name="표준 6 19 3 2 2" xfId="24343"/>
    <cellStyle name="표준 6 19 3 2 2 2" xfId="49695"/>
    <cellStyle name="표준 6 19 3 2 3" xfId="37023"/>
    <cellStyle name="표준 6 19 3 3" xfId="18007"/>
    <cellStyle name="표준 6 19 3 3 2" xfId="43359"/>
    <cellStyle name="표준 6 19 3 4" xfId="30687"/>
    <cellStyle name="표준 6 19 3 5" xfId="54997"/>
    <cellStyle name="표준 6 19 4" xfId="8525"/>
    <cellStyle name="표준 6 19 4 2" xfId="21198"/>
    <cellStyle name="표준 6 19 4 2 2" xfId="46550"/>
    <cellStyle name="표준 6 19 4 3" xfId="33878"/>
    <cellStyle name="표준 6 19 5" xfId="14862"/>
    <cellStyle name="표준 6 19 5 2" xfId="40214"/>
    <cellStyle name="표준 6 19 6" xfId="27542"/>
    <cellStyle name="표준 6 19 7" xfId="54998"/>
    <cellStyle name="표준 6 2" xfId="16"/>
    <cellStyle name="표준 6 2 10" xfId="2190"/>
    <cellStyle name="표준 6 2 10 2" xfId="2191"/>
    <cellStyle name="표준 6 2 10 2 2" xfId="5335"/>
    <cellStyle name="표준 6 2 10 2 2 2" xfId="11671"/>
    <cellStyle name="표준 6 2 10 2 2 2 2" xfId="24344"/>
    <cellStyle name="표준 6 2 10 2 2 2 2 2" xfId="49696"/>
    <cellStyle name="표준 6 2 10 2 2 2 3" xfId="37024"/>
    <cellStyle name="표준 6 2 10 2 2 3" xfId="18008"/>
    <cellStyle name="표준 6 2 10 2 2 3 2" xfId="43360"/>
    <cellStyle name="표준 6 2 10 2 2 4" xfId="30688"/>
    <cellStyle name="표준 6 2 10 2 2 5" xfId="54999"/>
    <cellStyle name="표준 6 2 10 2 3" xfId="8528"/>
    <cellStyle name="표준 6 2 10 2 3 2" xfId="21201"/>
    <cellStyle name="표준 6 2 10 2 3 2 2" xfId="46553"/>
    <cellStyle name="표준 6 2 10 2 3 3" xfId="33881"/>
    <cellStyle name="표준 6 2 10 2 4" xfId="14865"/>
    <cellStyle name="표준 6 2 10 2 4 2" xfId="40217"/>
    <cellStyle name="표준 6 2 10 2 5" xfId="27545"/>
    <cellStyle name="표준 6 2 10 2 6" xfId="55000"/>
    <cellStyle name="표준 6 2 10 3" xfId="5336"/>
    <cellStyle name="표준 6 2 10 3 2" xfId="11672"/>
    <cellStyle name="표준 6 2 10 3 2 2" xfId="24345"/>
    <cellStyle name="표준 6 2 10 3 2 2 2" xfId="49697"/>
    <cellStyle name="표준 6 2 10 3 2 3" xfId="37025"/>
    <cellStyle name="표준 6 2 10 3 3" xfId="18009"/>
    <cellStyle name="표준 6 2 10 3 3 2" xfId="43361"/>
    <cellStyle name="표준 6 2 10 3 4" xfId="30689"/>
    <cellStyle name="표준 6 2 10 3 5" xfId="55001"/>
    <cellStyle name="표준 6 2 10 4" xfId="8527"/>
    <cellStyle name="표준 6 2 10 4 2" xfId="21200"/>
    <cellStyle name="표준 6 2 10 4 2 2" xfId="46552"/>
    <cellStyle name="표준 6 2 10 4 3" xfId="33880"/>
    <cellStyle name="표준 6 2 10 5" xfId="14864"/>
    <cellStyle name="표준 6 2 10 5 2" xfId="40216"/>
    <cellStyle name="표준 6 2 10 6" xfId="27544"/>
    <cellStyle name="표준 6 2 10 7" xfId="55002"/>
    <cellStyle name="표준 6 2 11" xfId="2192"/>
    <cellStyle name="표준 6 2 11 2" xfId="2193"/>
    <cellStyle name="표준 6 2 11 2 2" xfId="5337"/>
    <cellStyle name="표준 6 2 11 2 2 2" xfId="11673"/>
    <cellStyle name="표준 6 2 11 2 2 2 2" xfId="24346"/>
    <cellStyle name="표준 6 2 11 2 2 2 2 2" xfId="49698"/>
    <cellStyle name="표준 6 2 11 2 2 2 3" xfId="37026"/>
    <cellStyle name="표준 6 2 11 2 2 3" xfId="18010"/>
    <cellStyle name="표준 6 2 11 2 2 3 2" xfId="43362"/>
    <cellStyle name="표준 6 2 11 2 2 4" xfId="30690"/>
    <cellStyle name="표준 6 2 11 2 2 5" xfId="55003"/>
    <cellStyle name="표준 6 2 11 2 3" xfId="8530"/>
    <cellStyle name="표준 6 2 11 2 3 2" xfId="21203"/>
    <cellStyle name="표준 6 2 11 2 3 2 2" xfId="46555"/>
    <cellStyle name="표준 6 2 11 2 3 3" xfId="33883"/>
    <cellStyle name="표준 6 2 11 2 4" xfId="14867"/>
    <cellStyle name="표준 6 2 11 2 4 2" xfId="40219"/>
    <cellStyle name="표준 6 2 11 2 5" xfId="27547"/>
    <cellStyle name="표준 6 2 11 2 6" xfId="55004"/>
    <cellStyle name="표준 6 2 11 3" xfId="5338"/>
    <cellStyle name="표준 6 2 11 3 2" xfId="11674"/>
    <cellStyle name="표준 6 2 11 3 2 2" xfId="24347"/>
    <cellStyle name="표준 6 2 11 3 2 2 2" xfId="49699"/>
    <cellStyle name="표준 6 2 11 3 2 3" xfId="37027"/>
    <cellStyle name="표준 6 2 11 3 3" xfId="18011"/>
    <cellStyle name="표준 6 2 11 3 3 2" xfId="43363"/>
    <cellStyle name="표준 6 2 11 3 4" xfId="30691"/>
    <cellStyle name="표준 6 2 11 3 5" xfId="55005"/>
    <cellStyle name="표준 6 2 11 4" xfId="8529"/>
    <cellStyle name="표준 6 2 11 4 2" xfId="21202"/>
    <cellStyle name="표준 6 2 11 4 2 2" xfId="46554"/>
    <cellStyle name="표준 6 2 11 4 3" xfId="33882"/>
    <cellStyle name="표준 6 2 11 5" xfId="14866"/>
    <cellStyle name="표준 6 2 11 5 2" xfId="40218"/>
    <cellStyle name="표준 6 2 11 6" xfId="27546"/>
    <cellStyle name="표준 6 2 11 7" xfId="55006"/>
    <cellStyle name="표준 6 2 12" xfId="2194"/>
    <cellStyle name="표준 6 2 12 2" xfId="2195"/>
    <cellStyle name="표준 6 2 12 2 2" xfId="5339"/>
    <cellStyle name="표준 6 2 12 2 2 2" xfId="11675"/>
    <cellStyle name="표준 6 2 12 2 2 2 2" xfId="24348"/>
    <cellStyle name="표준 6 2 12 2 2 2 2 2" xfId="49700"/>
    <cellStyle name="표준 6 2 12 2 2 2 3" xfId="37028"/>
    <cellStyle name="표준 6 2 12 2 2 3" xfId="18012"/>
    <cellStyle name="표준 6 2 12 2 2 3 2" xfId="43364"/>
    <cellStyle name="표준 6 2 12 2 2 4" xfId="30692"/>
    <cellStyle name="표준 6 2 12 2 2 5" xfId="55007"/>
    <cellStyle name="표준 6 2 12 2 3" xfId="8532"/>
    <cellStyle name="표준 6 2 12 2 3 2" xfId="21205"/>
    <cellStyle name="표준 6 2 12 2 3 2 2" xfId="46557"/>
    <cellStyle name="표준 6 2 12 2 3 3" xfId="33885"/>
    <cellStyle name="표준 6 2 12 2 4" xfId="14869"/>
    <cellStyle name="표준 6 2 12 2 4 2" xfId="40221"/>
    <cellStyle name="표준 6 2 12 2 5" xfId="27549"/>
    <cellStyle name="표준 6 2 12 2 6" xfId="55008"/>
    <cellStyle name="표준 6 2 12 3" xfId="5340"/>
    <cellStyle name="표준 6 2 12 3 2" xfId="11676"/>
    <cellStyle name="표준 6 2 12 3 2 2" xfId="24349"/>
    <cellStyle name="표준 6 2 12 3 2 2 2" xfId="49701"/>
    <cellStyle name="표준 6 2 12 3 2 3" xfId="37029"/>
    <cellStyle name="표준 6 2 12 3 3" xfId="18013"/>
    <cellStyle name="표준 6 2 12 3 3 2" xfId="43365"/>
    <cellStyle name="표준 6 2 12 3 4" xfId="30693"/>
    <cellStyle name="표준 6 2 12 3 5" xfId="55009"/>
    <cellStyle name="표준 6 2 12 4" xfId="8531"/>
    <cellStyle name="표준 6 2 12 4 2" xfId="21204"/>
    <cellStyle name="표준 6 2 12 4 2 2" xfId="46556"/>
    <cellStyle name="표준 6 2 12 4 3" xfId="33884"/>
    <cellStyle name="표준 6 2 12 5" xfId="14868"/>
    <cellStyle name="표준 6 2 12 5 2" xfId="40220"/>
    <cellStyle name="표준 6 2 12 6" xfId="27548"/>
    <cellStyle name="표준 6 2 12 7" xfId="55010"/>
    <cellStyle name="표준 6 2 13" xfId="2196"/>
    <cellStyle name="표준 6 2 13 2" xfId="2197"/>
    <cellStyle name="표준 6 2 13 2 2" xfId="5341"/>
    <cellStyle name="표준 6 2 13 2 2 2" xfId="11677"/>
    <cellStyle name="표준 6 2 13 2 2 2 2" xfId="24350"/>
    <cellStyle name="표준 6 2 13 2 2 2 2 2" xfId="49702"/>
    <cellStyle name="표준 6 2 13 2 2 2 3" xfId="37030"/>
    <cellStyle name="표준 6 2 13 2 2 3" xfId="18014"/>
    <cellStyle name="표준 6 2 13 2 2 3 2" xfId="43366"/>
    <cellStyle name="표준 6 2 13 2 2 4" xfId="30694"/>
    <cellStyle name="표준 6 2 13 2 2 5" xfId="55011"/>
    <cellStyle name="표준 6 2 13 2 3" xfId="8534"/>
    <cellStyle name="표준 6 2 13 2 3 2" xfId="21207"/>
    <cellStyle name="표준 6 2 13 2 3 2 2" xfId="46559"/>
    <cellStyle name="표준 6 2 13 2 3 3" xfId="33887"/>
    <cellStyle name="표준 6 2 13 2 4" xfId="14871"/>
    <cellStyle name="표준 6 2 13 2 4 2" xfId="40223"/>
    <cellStyle name="표준 6 2 13 2 5" xfId="27551"/>
    <cellStyle name="표준 6 2 13 2 6" xfId="55012"/>
    <cellStyle name="표준 6 2 13 3" xfId="5342"/>
    <cellStyle name="표준 6 2 13 3 2" xfId="11678"/>
    <cellStyle name="표준 6 2 13 3 2 2" xfId="24351"/>
    <cellStyle name="표준 6 2 13 3 2 2 2" xfId="49703"/>
    <cellStyle name="표준 6 2 13 3 2 3" xfId="37031"/>
    <cellStyle name="표준 6 2 13 3 3" xfId="18015"/>
    <cellStyle name="표준 6 2 13 3 3 2" xfId="43367"/>
    <cellStyle name="표준 6 2 13 3 4" xfId="30695"/>
    <cellStyle name="표준 6 2 13 3 5" xfId="55013"/>
    <cellStyle name="표준 6 2 13 4" xfId="8533"/>
    <cellStyle name="표준 6 2 13 4 2" xfId="21206"/>
    <cellStyle name="표준 6 2 13 4 2 2" xfId="46558"/>
    <cellStyle name="표준 6 2 13 4 3" xfId="33886"/>
    <cellStyle name="표준 6 2 13 5" xfId="14870"/>
    <cellStyle name="표준 6 2 13 5 2" xfId="40222"/>
    <cellStyle name="표준 6 2 13 6" xfId="27550"/>
    <cellStyle name="표준 6 2 13 7" xfId="55014"/>
    <cellStyle name="표준 6 2 14" xfId="2198"/>
    <cellStyle name="표준 6 2 14 2" xfId="2199"/>
    <cellStyle name="표준 6 2 14 2 2" xfId="5343"/>
    <cellStyle name="표준 6 2 14 2 2 2" xfId="11679"/>
    <cellStyle name="표준 6 2 14 2 2 2 2" xfId="24352"/>
    <cellStyle name="표준 6 2 14 2 2 2 2 2" xfId="49704"/>
    <cellStyle name="표준 6 2 14 2 2 2 3" xfId="37032"/>
    <cellStyle name="표준 6 2 14 2 2 3" xfId="18016"/>
    <cellStyle name="표준 6 2 14 2 2 3 2" xfId="43368"/>
    <cellStyle name="표준 6 2 14 2 2 4" xfId="30696"/>
    <cellStyle name="표준 6 2 14 2 2 5" xfId="55015"/>
    <cellStyle name="표준 6 2 14 2 3" xfId="8536"/>
    <cellStyle name="표준 6 2 14 2 3 2" xfId="21209"/>
    <cellStyle name="표준 6 2 14 2 3 2 2" xfId="46561"/>
    <cellStyle name="표준 6 2 14 2 3 3" xfId="33889"/>
    <cellStyle name="표준 6 2 14 2 4" xfId="14873"/>
    <cellStyle name="표준 6 2 14 2 4 2" xfId="40225"/>
    <cellStyle name="표준 6 2 14 2 5" xfId="27553"/>
    <cellStyle name="표준 6 2 14 2 6" xfId="55016"/>
    <cellStyle name="표준 6 2 14 3" xfId="5344"/>
    <cellStyle name="표준 6 2 14 3 2" xfId="11680"/>
    <cellStyle name="표준 6 2 14 3 2 2" xfId="24353"/>
    <cellStyle name="표준 6 2 14 3 2 2 2" xfId="49705"/>
    <cellStyle name="표준 6 2 14 3 2 3" xfId="37033"/>
    <cellStyle name="표준 6 2 14 3 3" xfId="18017"/>
    <cellStyle name="표준 6 2 14 3 3 2" xfId="43369"/>
    <cellStyle name="표준 6 2 14 3 4" xfId="30697"/>
    <cellStyle name="표준 6 2 14 3 5" xfId="55017"/>
    <cellStyle name="표준 6 2 14 4" xfId="8535"/>
    <cellStyle name="표준 6 2 14 4 2" xfId="21208"/>
    <cellStyle name="표준 6 2 14 4 2 2" xfId="46560"/>
    <cellStyle name="표준 6 2 14 4 3" xfId="33888"/>
    <cellStyle name="표준 6 2 14 5" xfId="14872"/>
    <cellStyle name="표준 6 2 14 5 2" xfId="40224"/>
    <cellStyle name="표준 6 2 14 6" xfId="27552"/>
    <cellStyle name="표준 6 2 14 7" xfId="55018"/>
    <cellStyle name="표준 6 2 15" xfId="2200"/>
    <cellStyle name="표준 6 2 15 2" xfId="2201"/>
    <cellStyle name="표준 6 2 15 2 2" xfId="5345"/>
    <cellStyle name="표준 6 2 15 2 2 2" xfId="11681"/>
    <cellStyle name="표준 6 2 15 2 2 2 2" xfId="24354"/>
    <cellStyle name="표준 6 2 15 2 2 2 2 2" xfId="49706"/>
    <cellStyle name="표준 6 2 15 2 2 2 3" xfId="37034"/>
    <cellStyle name="표준 6 2 15 2 2 3" xfId="18018"/>
    <cellStyle name="표준 6 2 15 2 2 3 2" xfId="43370"/>
    <cellStyle name="표준 6 2 15 2 2 4" xfId="30698"/>
    <cellStyle name="표준 6 2 15 2 2 5" xfId="55019"/>
    <cellStyle name="표준 6 2 15 2 3" xfId="8538"/>
    <cellStyle name="표준 6 2 15 2 3 2" xfId="21211"/>
    <cellStyle name="표준 6 2 15 2 3 2 2" xfId="46563"/>
    <cellStyle name="표준 6 2 15 2 3 3" xfId="33891"/>
    <cellStyle name="표준 6 2 15 2 4" xfId="14875"/>
    <cellStyle name="표준 6 2 15 2 4 2" xfId="40227"/>
    <cellStyle name="표준 6 2 15 2 5" xfId="27555"/>
    <cellStyle name="표준 6 2 15 2 6" xfId="55020"/>
    <cellStyle name="표준 6 2 15 3" xfId="5346"/>
    <cellStyle name="표준 6 2 15 3 2" xfId="11682"/>
    <cellStyle name="표준 6 2 15 3 2 2" xfId="24355"/>
    <cellStyle name="표준 6 2 15 3 2 2 2" xfId="49707"/>
    <cellStyle name="표준 6 2 15 3 2 3" xfId="37035"/>
    <cellStyle name="표준 6 2 15 3 3" xfId="18019"/>
    <cellStyle name="표준 6 2 15 3 3 2" xfId="43371"/>
    <cellStyle name="표준 6 2 15 3 4" xfId="30699"/>
    <cellStyle name="표준 6 2 15 3 5" xfId="55021"/>
    <cellStyle name="표준 6 2 15 4" xfId="8537"/>
    <cellStyle name="표준 6 2 15 4 2" xfId="21210"/>
    <cellStyle name="표준 6 2 15 4 2 2" xfId="46562"/>
    <cellStyle name="표준 6 2 15 4 3" xfId="33890"/>
    <cellStyle name="표준 6 2 15 5" xfId="14874"/>
    <cellStyle name="표준 6 2 15 5 2" xfId="40226"/>
    <cellStyle name="표준 6 2 15 6" xfId="27554"/>
    <cellStyle name="표준 6 2 15 7" xfId="55022"/>
    <cellStyle name="표준 6 2 16" xfId="2202"/>
    <cellStyle name="표준 6 2 16 2" xfId="2203"/>
    <cellStyle name="표준 6 2 16 2 2" xfId="5347"/>
    <cellStyle name="표준 6 2 16 2 2 2" xfId="11683"/>
    <cellStyle name="표준 6 2 16 2 2 2 2" xfId="24356"/>
    <cellStyle name="표준 6 2 16 2 2 2 2 2" xfId="49708"/>
    <cellStyle name="표준 6 2 16 2 2 2 3" xfId="37036"/>
    <cellStyle name="표준 6 2 16 2 2 3" xfId="18020"/>
    <cellStyle name="표준 6 2 16 2 2 3 2" xfId="43372"/>
    <cellStyle name="표준 6 2 16 2 2 4" xfId="30700"/>
    <cellStyle name="표준 6 2 16 2 2 5" xfId="55023"/>
    <cellStyle name="표준 6 2 16 2 3" xfId="8540"/>
    <cellStyle name="표준 6 2 16 2 3 2" xfId="21213"/>
    <cellStyle name="표준 6 2 16 2 3 2 2" xfId="46565"/>
    <cellStyle name="표준 6 2 16 2 3 3" xfId="33893"/>
    <cellStyle name="표준 6 2 16 2 4" xfId="14877"/>
    <cellStyle name="표준 6 2 16 2 4 2" xfId="40229"/>
    <cellStyle name="표준 6 2 16 2 5" xfId="27557"/>
    <cellStyle name="표준 6 2 16 2 6" xfId="55024"/>
    <cellStyle name="표준 6 2 16 3" xfId="5348"/>
    <cellStyle name="표준 6 2 16 3 2" xfId="11684"/>
    <cellStyle name="표준 6 2 16 3 2 2" xfId="24357"/>
    <cellStyle name="표준 6 2 16 3 2 2 2" xfId="49709"/>
    <cellStyle name="표준 6 2 16 3 2 3" xfId="37037"/>
    <cellStyle name="표준 6 2 16 3 3" xfId="18021"/>
    <cellStyle name="표준 6 2 16 3 3 2" xfId="43373"/>
    <cellStyle name="표준 6 2 16 3 4" xfId="30701"/>
    <cellStyle name="표준 6 2 16 3 5" xfId="55025"/>
    <cellStyle name="표준 6 2 16 4" xfId="8539"/>
    <cellStyle name="표준 6 2 16 4 2" xfId="21212"/>
    <cellStyle name="표준 6 2 16 4 2 2" xfId="46564"/>
    <cellStyle name="표준 6 2 16 4 3" xfId="33892"/>
    <cellStyle name="표준 6 2 16 5" xfId="14876"/>
    <cellStyle name="표준 6 2 16 5 2" xfId="40228"/>
    <cellStyle name="표준 6 2 16 6" xfId="27556"/>
    <cellStyle name="표준 6 2 16 7" xfId="55026"/>
    <cellStyle name="표준 6 2 17" xfId="2204"/>
    <cellStyle name="표준 6 2 17 2" xfId="2205"/>
    <cellStyle name="표준 6 2 17 2 2" xfId="5349"/>
    <cellStyle name="표준 6 2 17 2 2 2" xfId="11685"/>
    <cellStyle name="표준 6 2 17 2 2 2 2" xfId="24358"/>
    <cellStyle name="표준 6 2 17 2 2 2 2 2" xfId="49710"/>
    <cellStyle name="표준 6 2 17 2 2 2 3" xfId="37038"/>
    <cellStyle name="표준 6 2 17 2 2 3" xfId="18022"/>
    <cellStyle name="표준 6 2 17 2 2 3 2" xfId="43374"/>
    <cellStyle name="표준 6 2 17 2 2 4" xfId="30702"/>
    <cellStyle name="표준 6 2 17 2 2 5" xfId="55027"/>
    <cellStyle name="표준 6 2 17 2 3" xfId="8542"/>
    <cellStyle name="표준 6 2 17 2 3 2" xfId="21215"/>
    <cellStyle name="표준 6 2 17 2 3 2 2" xfId="46567"/>
    <cellStyle name="표준 6 2 17 2 3 3" xfId="33895"/>
    <cellStyle name="표준 6 2 17 2 4" xfId="14879"/>
    <cellStyle name="표준 6 2 17 2 4 2" xfId="40231"/>
    <cellStyle name="표준 6 2 17 2 5" xfId="27559"/>
    <cellStyle name="표준 6 2 17 2 6" xfId="55028"/>
    <cellStyle name="표준 6 2 17 3" xfId="5350"/>
    <cellStyle name="표준 6 2 17 3 2" xfId="11686"/>
    <cellStyle name="표준 6 2 17 3 2 2" xfId="24359"/>
    <cellStyle name="표준 6 2 17 3 2 2 2" xfId="49711"/>
    <cellStyle name="표준 6 2 17 3 2 3" xfId="37039"/>
    <cellStyle name="표준 6 2 17 3 3" xfId="18023"/>
    <cellStyle name="표준 6 2 17 3 3 2" xfId="43375"/>
    <cellStyle name="표준 6 2 17 3 4" xfId="30703"/>
    <cellStyle name="표준 6 2 17 3 5" xfId="55029"/>
    <cellStyle name="표준 6 2 17 4" xfId="8541"/>
    <cellStyle name="표준 6 2 17 4 2" xfId="21214"/>
    <cellStyle name="표준 6 2 17 4 2 2" xfId="46566"/>
    <cellStyle name="표준 6 2 17 4 3" xfId="33894"/>
    <cellStyle name="표준 6 2 17 5" xfId="14878"/>
    <cellStyle name="표준 6 2 17 5 2" xfId="40230"/>
    <cellStyle name="표준 6 2 17 6" xfId="27558"/>
    <cellStyle name="표준 6 2 17 7" xfId="55030"/>
    <cellStyle name="표준 6 2 18" xfId="2206"/>
    <cellStyle name="표준 6 2 18 2" xfId="2207"/>
    <cellStyle name="표준 6 2 18 2 2" xfId="5351"/>
    <cellStyle name="표준 6 2 18 2 2 2" xfId="11687"/>
    <cellStyle name="표준 6 2 18 2 2 2 2" xfId="24360"/>
    <cellStyle name="표준 6 2 18 2 2 2 2 2" xfId="49712"/>
    <cellStyle name="표준 6 2 18 2 2 2 3" xfId="37040"/>
    <cellStyle name="표준 6 2 18 2 2 3" xfId="18024"/>
    <cellStyle name="표준 6 2 18 2 2 3 2" xfId="43376"/>
    <cellStyle name="표준 6 2 18 2 2 4" xfId="30704"/>
    <cellStyle name="표준 6 2 18 2 2 5" xfId="55031"/>
    <cellStyle name="표준 6 2 18 2 3" xfId="8544"/>
    <cellStyle name="표준 6 2 18 2 3 2" xfId="21217"/>
    <cellStyle name="표준 6 2 18 2 3 2 2" xfId="46569"/>
    <cellStyle name="표준 6 2 18 2 3 3" xfId="33897"/>
    <cellStyle name="표준 6 2 18 2 4" xfId="14881"/>
    <cellStyle name="표준 6 2 18 2 4 2" xfId="40233"/>
    <cellStyle name="표준 6 2 18 2 5" xfId="27561"/>
    <cellStyle name="표준 6 2 18 2 6" xfId="55032"/>
    <cellStyle name="표준 6 2 18 3" xfId="5352"/>
    <cellStyle name="표준 6 2 18 3 2" xfId="11688"/>
    <cellStyle name="표준 6 2 18 3 2 2" xfId="24361"/>
    <cellStyle name="표준 6 2 18 3 2 2 2" xfId="49713"/>
    <cellStyle name="표준 6 2 18 3 2 3" xfId="37041"/>
    <cellStyle name="표준 6 2 18 3 3" xfId="18025"/>
    <cellStyle name="표준 6 2 18 3 3 2" xfId="43377"/>
    <cellStyle name="표준 6 2 18 3 4" xfId="30705"/>
    <cellStyle name="표준 6 2 18 3 5" xfId="55033"/>
    <cellStyle name="표준 6 2 18 4" xfId="8543"/>
    <cellStyle name="표준 6 2 18 4 2" xfId="21216"/>
    <cellStyle name="표준 6 2 18 4 2 2" xfId="46568"/>
    <cellStyle name="표준 6 2 18 4 3" xfId="33896"/>
    <cellStyle name="표준 6 2 18 5" xfId="14880"/>
    <cellStyle name="표준 6 2 18 5 2" xfId="40232"/>
    <cellStyle name="표준 6 2 18 6" xfId="27560"/>
    <cellStyle name="표준 6 2 18 7" xfId="55034"/>
    <cellStyle name="표준 6 2 19" xfId="2208"/>
    <cellStyle name="표준 6 2 19 2" xfId="2209"/>
    <cellStyle name="표준 6 2 19 2 2" xfId="5353"/>
    <cellStyle name="표준 6 2 19 2 2 2" xfId="11689"/>
    <cellStyle name="표준 6 2 19 2 2 2 2" xfId="24362"/>
    <cellStyle name="표준 6 2 19 2 2 2 2 2" xfId="49714"/>
    <cellStyle name="표준 6 2 19 2 2 2 3" xfId="37042"/>
    <cellStyle name="표준 6 2 19 2 2 3" xfId="18026"/>
    <cellStyle name="표준 6 2 19 2 2 3 2" xfId="43378"/>
    <cellStyle name="표준 6 2 19 2 2 4" xfId="30706"/>
    <cellStyle name="표준 6 2 19 2 2 5" xfId="55035"/>
    <cellStyle name="표준 6 2 19 2 3" xfId="8546"/>
    <cellStyle name="표준 6 2 19 2 3 2" xfId="21219"/>
    <cellStyle name="표준 6 2 19 2 3 2 2" xfId="46571"/>
    <cellStyle name="표준 6 2 19 2 3 3" xfId="33899"/>
    <cellStyle name="표준 6 2 19 2 4" xfId="14883"/>
    <cellStyle name="표준 6 2 19 2 4 2" xfId="40235"/>
    <cellStyle name="표준 6 2 19 2 5" xfId="27563"/>
    <cellStyle name="표준 6 2 19 2 6" xfId="55036"/>
    <cellStyle name="표준 6 2 19 3" xfId="5354"/>
    <cellStyle name="표준 6 2 19 3 2" xfId="11690"/>
    <cellStyle name="표준 6 2 19 3 2 2" xfId="24363"/>
    <cellStyle name="표준 6 2 19 3 2 2 2" xfId="49715"/>
    <cellStyle name="표준 6 2 19 3 2 3" xfId="37043"/>
    <cellStyle name="표준 6 2 19 3 3" xfId="18027"/>
    <cellStyle name="표준 6 2 19 3 3 2" xfId="43379"/>
    <cellStyle name="표준 6 2 19 3 4" xfId="30707"/>
    <cellStyle name="표준 6 2 19 3 5" xfId="55037"/>
    <cellStyle name="표준 6 2 19 4" xfId="8545"/>
    <cellStyle name="표준 6 2 19 4 2" xfId="21218"/>
    <cellStyle name="표준 6 2 19 4 2 2" xfId="46570"/>
    <cellStyle name="표준 6 2 19 4 3" xfId="33898"/>
    <cellStyle name="표준 6 2 19 5" xfId="14882"/>
    <cellStyle name="표준 6 2 19 5 2" xfId="40234"/>
    <cellStyle name="표준 6 2 19 6" xfId="27562"/>
    <cellStyle name="표준 6 2 19 7" xfId="55038"/>
    <cellStyle name="표준 6 2 2" xfId="22"/>
    <cellStyle name="표준 6 2 2 10" xfId="2210"/>
    <cellStyle name="표준 6 2 2 10 2" xfId="2211"/>
    <cellStyle name="표준 6 2 2 10 2 2" xfId="5355"/>
    <cellStyle name="표준 6 2 2 10 2 2 2" xfId="11691"/>
    <cellStyle name="표준 6 2 2 10 2 2 2 2" xfId="24364"/>
    <cellStyle name="표준 6 2 2 10 2 2 2 2 2" xfId="49716"/>
    <cellStyle name="표준 6 2 2 10 2 2 2 3" xfId="37044"/>
    <cellStyle name="표준 6 2 2 10 2 2 3" xfId="18028"/>
    <cellStyle name="표준 6 2 2 10 2 2 3 2" xfId="43380"/>
    <cellStyle name="표준 6 2 2 10 2 2 4" xfId="30708"/>
    <cellStyle name="표준 6 2 2 10 2 2 5" xfId="55039"/>
    <cellStyle name="표준 6 2 2 10 2 3" xfId="8548"/>
    <cellStyle name="표준 6 2 2 10 2 3 2" xfId="21221"/>
    <cellStyle name="표준 6 2 2 10 2 3 2 2" xfId="46573"/>
    <cellStyle name="표준 6 2 2 10 2 3 3" xfId="33901"/>
    <cellStyle name="표준 6 2 2 10 2 4" xfId="14885"/>
    <cellStyle name="표준 6 2 2 10 2 4 2" xfId="40237"/>
    <cellStyle name="표준 6 2 2 10 2 5" xfId="27565"/>
    <cellStyle name="표준 6 2 2 10 2 6" xfId="55040"/>
    <cellStyle name="표준 6 2 2 10 3" xfId="5356"/>
    <cellStyle name="표준 6 2 2 10 3 2" xfId="11692"/>
    <cellStyle name="표준 6 2 2 10 3 2 2" xfId="24365"/>
    <cellStyle name="표준 6 2 2 10 3 2 2 2" xfId="49717"/>
    <cellStyle name="표준 6 2 2 10 3 2 3" xfId="37045"/>
    <cellStyle name="표준 6 2 2 10 3 3" xfId="18029"/>
    <cellStyle name="표준 6 2 2 10 3 3 2" xfId="43381"/>
    <cellStyle name="표준 6 2 2 10 3 4" xfId="30709"/>
    <cellStyle name="표준 6 2 2 10 3 5" xfId="55041"/>
    <cellStyle name="표준 6 2 2 10 4" xfId="8547"/>
    <cellStyle name="표준 6 2 2 10 4 2" xfId="21220"/>
    <cellStyle name="표준 6 2 2 10 4 2 2" xfId="46572"/>
    <cellStyle name="표준 6 2 2 10 4 3" xfId="33900"/>
    <cellStyle name="표준 6 2 2 10 5" xfId="14884"/>
    <cellStyle name="표준 6 2 2 10 5 2" xfId="40236"/>
    <cellStyle name="표준 6 2 2 10 6" xfId="27564"/>
    <cellStyle name="표준 6 2 2 10 7" xfId="55042"/>
    <cellStyle name="표준 6 2 2 11" xfId="2212"/>
    <cellStyle name="표준 6 2 2 11 2" xfId="2213"/>
    <cellStyle name="표준 6 2 2 11 2 2" xfId="5357"/>
    <cellStyle name="표준 6 2 2 11 2 2 2" xfId="11693"/>
    <cellStyle name="표준 6 2 2 11 2 2 2 2" xfId="24366"/>
    <cellStyle name="표준 6 2 2 11 2 2 2 2 2" xfId="49718"/>
    <cellStyle name="표준 6 2 2 11 2 2 2 3" xfId="37046"/>
    <cellStyle name="표준 6 2 2 11 2 2 3" xfId="18030"/>
    <cellStyle name="표준 6 2 2 11 2 2 3 2" xfId="43382"/>
    <cellStyle name="표준 6 2 2 11 2 2 4" xfId="30710"/>
    <cellStyle name="표준 6 2 2 11 2 2 5" xfId="55043"/>
    <cellStyle name="표준 6 2 2 11 2 3" xfId="8550"/>
    <cellStyle name="표준 6 2 2 11 2 3 2" xfId="21223"/>
    <cellStyle name="표준 6 2 2 11 2 3 2 2" xfId="46575"/>
    <cellStyle name="표준 6 2 2 11 2 3 3" xfId="33903"/>
    <cellStyle name="표준 6 2 2 11 2 4" xfId="14887"/>
    <cellStyle name="표준 6 2 2 11 2 4 2" xfId="40239"/>
    <cellStyle name="표준 6 2 2 11 2 5" xfId="27567"/>
    <cellStyle name="표준 6 2 2 11 2 6" xfId="55044"/>
    <cellStyle name="표준 6 2 2 11 3" xfId="5358"/>
    <cellStyle name="표준 6 2 2 11 3 2" xfId="11694"/>
    <cellStyle name="표준 6 2 2 11 3 2 2" xfId="24367"/>
    <cellStyle name="표준 6 2 2 11 3 2 2 2" xfId="49719"/>
    <cellStyle name="표준 6 2 2 11 3 2 3" xfId="37047"/>
    <cellStyle name="표준 6 2 2 11 3 3" xfId="18031"/>
    <cellStyle name="표준 6 2 2 11 3 3 2" xfId="43383"/>
    <cellStyle name="표준 6 2 2 11 3 4" xfId="30711"/>
    <cellStyle name="표준 6 2 2 11 3 5" xfId="55045"/>
    <cellStyle name="표준 6 2 2 11 4" xfId="8549"/>
    <cellStyle name="표준 6 2 2 11 4 2" xfId="21222"/>
    <cellStyle name="표준 6 2 2 11 4 2 2" xfId="46574"/>
    <cellStyle name="표준 6 2 2 11 4 3" xfId="33902"/>
    <cellStyle name="표준 6 2 2 11 5" xfId="14886"/>
    <cellStyle name="표준 6 2 2 11 5 2" xfId="40238"/>
    <cellStyle name="표준 6 2 2 11 6" xfId="27566"/>
    <cellStyle name="표준 6 2 2 11 7" xfId="55046"/>
    <cellStyle name="표준 6 2 2 12" xfId="2214"/>
    <cellStyle name="표준 6 2 2 12 2" xfId="2215"/>
    <cellStyle name="표준 6 2 2 12 2 2" xfId="5359"/>
    <cellStyle name="표준 6 2 2 12 2 2 2" xfId="11695"/>
    <cellStyle name="표준 6 2 2 12 2 2 2 2" xfId="24368"/>
    <cellStyle name="표준 6 2 2 12 2 2 2 2 2" xfId="49720"/>
    <cellStyle name="표준 6 2 2 12 2 2 2 3" xfId="37048"/>
    <cellStyle name="표준 6 2 2 12 2 2 3" xfId="18032"/>
    <cellStyle name="표준 6 2 2 12 2 2 3 2" xfId="43384"/>
    <cellStyle name="표준 6 2 2 12 2 2 4" xfId="30712"/>
    <cellStyle name="표준 6 2 2 12 2 2 5" xfId="55047"/>
    <cellStyle name="표준 6 2 2 12 2 3" xfId="8552"/>
    <cellStyle name="표준 6 2 2 12 2 3 2" xfId="21225"/>
    <cellStyle name="표준 6 2 2 12 2 3 2 2" xfId="46577"/>
    <cellStyle name="표준 6 2 2 12 2 3 3" xfId="33905"/>
    <cellStyle name="표준 6 2 2 12 2 4" xfId="14889"/>
    <cellStyle name="표준 6 2 2 12 2 4 2" xfId="40241"/>
    <cellStyle name="표준 6 2 2 12 2 5" xfId="27569"/>
    <cellStyle name="표준 6 2 2 12 2 6" xfId="55048"/>
    <cellStyle name="표준 6 2 2 12 3" xfId="5360"/>
    <cellStyle name="표준 6 2 2 12 3 2" xfId="11696"/>
    <cellStyle name="표준 6 2 2 12 3 2 2" xfId="24369"/>
    <cellStyle name="표준 6 2 2 12 3 2 2 2" xfId="49721"/>
    <cellStyle name="표준 6 2 2 12 3 2 3" xfId="37049"/>
    <cellStyle name="표준 6 2 2 12 3 3" xfId="18033"/>
    <cellStyle name="표준 6 2 2 12 3 3 2" xfId="43385"/>
    <cellStyle name="표준 6 2 2 12 3 4" xfId="30713"/>
    <cellStyle name="표준 6 2 2 12 3 5" xfId="55049"/>
    <cellStyle name="표준 6 2 2 12 4" xfId="8551"/>
    <cellStyle name="표준 6 2 2 12 4 2" xfId="21224"/>
    <cellStyle name="표준 6 2 2 12 4 2 2" xfId="46576"/>
    <cellStyle name="표준 6 2 2 12 4 3" xfId="33904"/>
    <cellStyle name="표준 6 2 2 12 5" xfId="14888"/>
    <cellStyle name="표준 6 2 2 12 5 2" xfId="40240"/>
    <cellStyle name="표준 6 2 2 12 6" xfId="27568"/>
    <cellStyle name="표준 6 2 2 12 7" xfId="55050"/>
    <cellStyle name="표준 6 2 2 13" xfId="2216"/>
    <cellStyle name="표준 6 2 2 13 2" xfId="2217"/>
    <cellStyle name="표준 6 2 2 13 2 2" xfId="5361"/>
    <cellStyle name="표준 6 2 2 13 2 2 2" xfId="11697"/>
    <cellStyle name="표준 6 2 2 13 2 2 2 2" xfId="24370"/>
    <cellStyle name="표준 6 2 2 13 2 2 2 2 2" xfId="49722"/>
    <cellStyle name="표준 6 2 2 13 2 2 2 3" xfId="37050"/>
    <cellStyle name="표준 6 2 2 13 2 2 3" xfId="18034"/>
    <cellStyle name="표준 6 2 2 13 2 2 3 2" xfId="43386"/>
    <cellStyle name="표준 6 2 2 13 2 2 4" xfId="30714"/>
    <cellStyle name="표준 6 2 2 13 2 2 5" xfId="55051"/>
    <cellStyle name="표준 6 2 2 13 2 3" xfId="8554"/>
    <cellStyle name="표준 6 2 2 13 2 3 2" xfId="21227"/>
    <cellStyle name="표준 6 2 2 13 2 3 2 2" xfId="46579"/>
    <cellStyle name="표준 6 2 2 13 2 3 3" xfId="33907"/>
    <cellStyle name="표준 6 2 2 13 2 4" xfId="14891"/>
    <cellStyle name="표준 6 2 2 13 2 4 2" xfId="40243"/>
    <cellStyle name="표준 6 2 2 13 2 5" xfId="27571"/>
    <cellStyle name="표준 6 2 2 13 2 6" xfId="55052"/>
    <cellStyle name="표준 6 2 2 13 3" xfId="5362"/>
    <cellStyle name="표준 6 2 2 13 3 2" xfId="11698"/>
    <cellStyle name="표준 6 2 2 13 3 2 2" xfId="24371"/>
    <cellStyle name="표준 6 2 2 13 3 2 2 2" xfId="49723"/>
    <cellStyle name="표준 6 2 2 13 3 2 3" xfId="37051"/>
    <cellStyle name="표준 6 2 2 13 3 3" xfId="18035"/>
    <cellStyle name="표준 6 2 2 13 3 3 2" xfId="43387"/>
    <cellStyle name="표준 6 2 2 13 3 4" xfId="30715"/>
    <cellStyle name="표준 6 2 2 13 3 5" xfId="55053"/>
    <cellStyle name="표준 6 2 2 13 4" xfId="8553"/>
    <cellStyle name="표준 6 2 2 13 4 2" xfId="21226"/>
    <cellStyle name="표준 6 2 2 13 4 2 2" xfId="46578"/>
    <cellStyle name="표준 6 2 2 13 4 3" xfId="33906"/>
    <cellStyle name="표준 6 2 2 13 5" xfId="14890"/>
    <cellStyle name="표준 6 2 2 13 5 2" xfId="40242"/>
    <cellStyle name="표준 6 2 2 13 6" xfId="27570"/>
    <cellStyle name="표준 6 2 2 13 7" xfId="55054"/>
    <cellStyle name="표준 6 2 2 14" xfId="2218"/>
    <cellStyle name="표준 6 2 2 14 2" xfId="2219"/>
    <cellStyle name="표준 6 2 2 14 2 2" xfId="5363"/>
    <cellStyle name="표준 6 2 2 14 2 2 2" xfId="11699"/>
    <cellStyle name="표준 6 2 2 14 2 2 2 2" xfId="24372"/>
    <cellStyle name="표준 6 2 2 14 2 2 2 2 2" xfId="49724"/>
    <cellStyle name="표준 6 2 2 14 2 2 2 3" xfId="37052"/>
    <cellStyle name="표준 6 2 2 14 2 2 3" xfId="18036"/>
    <cellStyle name="표준 6 2 2 14 2 2 3 2" xfId="43388"/>
    <cellStyle name="표준 6 2 2 14 2 2 4" xfId="30716"/>
    <cellStyle name="표준 6 2 2 14 2 2 5" xfId="55055"/>
    <cellStyle name="표준 6 2 2 14 2 3" xfId="8556"/>
    <cellStyle name="표준 6 2 2 14 2 3 2" xfId="21229"/>
    <cellStyle name="표준 6 2 2 14 2 3 2 2" xfId="46581"/>
    <cellStyle name="표준 6 2 2 14 2 3 3" xfId="33909"/>
    <cellStyle name="표준 6 2 2 14 2 4" xfId="14893"/>
    <cellStyle name="표준 6 2 2 14 2 4 2" xfId="40245"/>
    <cellStyle name="표준 6 2 2 14 2 5" xfId="27573"/>
    <cellStyle name="표준 6 2 2 14 2 6" xfId="55056"/>
    <cellStyle name="표준 6 2 2 14 3" xfId="5364"/>
    <cellStyle name="표준 6 2 2 14 3 2" xfId="11700"/>
    <cellStyle name="표준 6 2 2 14 3 2 2" xfId="24373"/>
    <cellStyle name="표준 6 2 2 14 3 2 2 2" xfId="49725"/>
    <cellStyle name="표준 6 2 2 14 3 2 3" xfId="37053"/>
    <cellStyle name="표준 6 2 2 14 3 3" xfId="18037"/>
    <cellStyle name="표준 6 2 2 14 3 3 2" xfId="43389"/>
    <cellStyle name="표준 6 2 2 14 3 4" xfId="30717"/>
    <cellStyle name="표준 6 2 2 14 3 5" xfId="55057"/>
    <cellStyle name="표준 6 2 2 14 4" xfId="8555"/>
    <cellStyle name="표준 6 2 2 14 4 2" xfId="21228"/>
    <cellStyle name="표준 6 2 2 14 4 2 2" xfId="46580"/>
    <cellStyle name="표준 6 2 2 14 4 3" xfId="33908"/>
    <cellStyle name="표준 6 2 2 14 5" xfId="14892"/>
    <cellStyle name="표준 6 2 2 14 5 2" xfId="40244"/>
    <cellStyle name="표준 6 2 2 14 6" xfId="27572"/>
    <cellStyle name="표준 6 2 2 14 7" xfId="55058"/>
    <cellStyle name="표준 6 2 2 15" xfId="2220"/>
    <cellStyle name="표준 6 2 2 15 2" xfId="2221"/>
    <cellStyle name="표준 6 2 2 15 2 2" xfId="5365"/>
    <cellStyle name="표준 6 2 2 15 2 2 2" xfId="11701"/>
    <cellStyle name="표준 6 2 2 15 2 2 2 2" xfId="24374"/>
    <cellStyle name="표준 6 2 2 15 2 2 2 2 2" xfId="49726"/>
    <cellStyle name="표준 6 2 2 15 2 2 2 3" xfId="37054"/>
    <cellStyle name="표준 6 2 2 15 2 2 3" xfId="18038"/>
    <cellStyle name="표준 6 2 2 15 2 2 3 2" xfId="43390"/>
    <cellStyle name="표준 6 2 2 15 2 2 4" xfId="30718"/>
    <cellStyle name="표준 6 2 2 15 2 2 5" xfId="55059"/>
    <cellStyle name="표준 6 2 2 15 2 3" xfId="8558"/>
    <cellStyle name="표준 6 2 2 15 2 3 2" xfId="21231"/>
    <cellStyle name="표준 6 2 2 15 2 3 2 2" xfId="46583"/>
    <cellStyle name="표준 6 2 2 15 2 3 3" xfId="33911"/>
    <cellStyle name="표준 6 2 2 15 2 4" xfId="14895"/>
    <cellStyle name="표준 6 2 2 15 2 4 2" xfId="40247"/>
    <cellStyle name="표준 6 2 2 15 2 5" xfId="27575"/>
    <cellStyle name="표준 6 2 2 15 2 6" xfId="55060"/>
    <cellStyle name="표준 6 2 2 15 3" xfId="5366"/>
    <cellStyle name="표준 6 2 2 15 3 2" xfId="11702"/>
    <cellStyle name="표준 6 2 2 15 3 2 2" xfId="24375"/>
    <cellStyle name="표준 6 2 2 15 3 2 2 2" xfId="49727"/>
    <cellStyle name="표준 6 2 2 15 3 2 3" xfId="37055"/>
    <cellStyle name="표준 6 2 2 15 3 3" xfId="18039"/>
    <cellStyle name="표준 6 2 2 15 3 3 2" xfId="43391"/>
    <cellStyle name="표준 6 2 2 15 3 4" xfId="30719"/>
    <cellStyle name="표준 6 2 2 15 3 5" xfId="55061"/>
    <cellStyle name="표준 6 2 2 15 4" xfId="8557"/>
    <cellStyle name="표준 6 2 2 15 4 2" xfId="21230"/>
    <cellStyle name="표준 6 2 2 15 4 2 2" xfId="46582"/>
    <cellStyle name="표준 6 2 2 15 4 3" xfId="33910"/>
    <cellStyle name="표준 6 2 2 15 5" xfId="14894"/>
    <cellStyle name="표준 6 2 2 15 5 2" xfId="40246"/>
    <cellStyle name="표준 6 2 2 15 6" xfId="27574"/>
    <cellStyle name="표준 6 2 2 15 7" xfId="55062"/>
    <cellStyle name="표준 6 2 2 16" xfId="2222"/>
    <cellStyle name="표준 6 2 2 16 2" xfId="2223"/>
    <cellStyle name="표준 6 2 2 16 2 2" xfId="5367"/>
    <cellStyle name="표준 6 2 2 16 2 2 2" xfId="11703"/>
    <cellStyle name="표준 6 2 2 16 2 2 2 2" xfId="24376"/>
    <cellStyle name="표준 6 2 2 16 2 2 2 2 2" xfId="49728"/>
    <cellStyle name="표준 6 2 2 16 2 2 2 3" xfId="37056"/>
    <cellStyle name="표준 6 2 2 16 2 2 3" xfId="18040"/>
    <cellStyle name="표준 6 2 2 16 2 2 3 2" xfId="43392"/>
    <cellStyle name="표준 6 2 2 16 2 2 4" xfId="30720"/>
    <cellStyle name="표준 6 2 2 16 2 2 5" xfId="55063"/>
    <cellStyle name="표준 6 2 2 16 2 3" xfId="8560"/>
    <cellStyle name="표준 6 2 2 16 2 3 2" xfId="21233"/>
    <cellStyle name="표준 6 2 2 16 2 3 2 2" xfId="46585"/>
    <cellStyle name="표준 6 2 2 16 2 3 3" xfId="33913"/>
    <cellStyle name="표준 6 2 2 16 2 4" xfId="14897"/>
    <cellStyle name="표준 6 2 2 16 2 4 2" xfId="40249"/>
    <cellStyle name="표준 6 2 2 16 2 5" xfId="27577"/>
    <cellStyle name="표준 6 2 2 16 2 6" xfId="55064"/>
    <cellStyle name="표준 6 2 2 16 3" xfId="5368"/>
    <cellStyle name="표준 6 2 2 16 3 2" xfId="11704"/>
    <cellStyle name="표준 6 2 2 16 3 2 2" xfId="24377"/>
    <cellStyle name="표준 6 2 2 16 3 2 2 2" xfId="49729"/>
    <cellStyle name="표준 6 2 2 16 3 2 3" xfId="37057"/>
    <cellStyle name="표준 6 2 2 16 3 3" xfId="18041"/>
    <cellStyle name="표준 6 2 2 16 3 3 2" xfId="43393"/>
    <cellStyle name="표준 6 2 2 16 3 4" xfId="30721"/>
    <cellStyle name="표준 6 2 2 16 3 5" xfId="55065"/>
    <cellStyle name="표준 6 2 2 16 4" xfId="8559"/>
    <cellStyle name="표준 6 2 2 16 4 2" xfId="21232"/>
    <cellStyle name="표준 6 2 2 16 4 2 2" xfId="46584"/>
    <cellStyle name="표준 6 2 2 16 4 3" xfId="33912"/>
    <cellStyle name="표준 6 2 2 16 5" xfId="14896"/>
    <cellStyle name="표준 6 2 2 16 5 2" xfId="40248"/>
    <cellStyle name="표준 6 2 2 16 6" xfId="27576"/>
    <cellStyle name="표준 6 2 2 16 7" xfId="55066"/>
    <cellStyle name="표준 6 2 2 17" xfId="2224"/>
    <cellStyle name="표준 6 2 2 17 2" xfId="2225"/>
    <cellStyle name="표준 6 2 2 17 2 2" xfId="5369"/>
    <cellStyle name="표준 6 2 2 17 2 2 2" xfId="11705"/>
    <cellStyle name="표준 6 2 2 17 2 2 2 2" xfId="24378"/>
    <cellStyle name="표준 6 2 2 17 2 2 2 2 2" xfId="49730"/>
    <cellStyle name="표준 6 2 2 17 2 2 2 3" xfId="37058"/>
    <cellStyle name="표준 6 2 2 17 2 2 3" xfId="18042"/>
    <cellStyle name="표준 6 2 2 17 2 2 3 2" xfId="43394"/>
    <cellStyle name="표준 6 2 2 17 2 2 4" xfId="30722"/>
    <cellStyle name="표준 6 2 2 17 2 2 5" xfId="55067"/>
    <cellStyle name="표준 6 2 2 17 2 3" xfId="8562"/>
    <cellStyle name="표준 6 2 2 17 2 3 2" xfId="21235"/>
    <cellStyle name="표준 6 2 2 17 2 3 2 2" xfId="46587"/>
    <cellStyle name="표준 6 2 2 17 2 3 3" xfId="33915"/>
    <cellStyle name="표준 6 2 2 17 2 4" xfId="14899"/>
    <cellStyle name="표준 6 2 2 17 2 4 2" xfId="40251"/>
    <cellStyle name="표준 6 2 2 17 2 5" xfId="27579"/>
    <cellStyle name="표준 6 2 2 17 2 6" xfId="55068"/>
    <cellStyle name="표준 6 2 2 17 3" xfId="5370"/>
    <cellStyle name="표준 6 2 2 17 3 2" xfId="11706"/>
    <cellStyle name="표준 6 2 2 17 3 2 2" xfId="24379"/>
    <cellStyle name="표준 6 2 2 17 3 2 2 2" xfId="49731"/>
    <cellStyle name="표준 6 2 2 17 3 2 3" xfId="37059"/>
    <cellStyle name="표준 6 2 2 17 3 3" xfId="18043"/>
    <cellStyle name="표준 6 2 2 17 3 3 2" xfId="43395"/>
    <cellStyle name="표준 6 2 2 17 3 4" xfId="30723"/>
    <cellStyle name="표준 6 2 2 17 3 5" xfId="55069"/>
    <cellStyle name="표준 6 2 2 17 4" xfId="8561"/>
    <cellStyle name="표준 6 2 2 17 4 2" xfId="21234"/>
    <cellStyle name="표준 6 2 2 17 4 2 2" xfId="46586"/>
    <cellStyle name="표준 6 2 2 17 4 3" xfId="33914"/>
    <cellStyle name="표준 6 2 2 17 5" xfId="14898"/>
    <cellStyle name="표준 6 2 2 17 5 2" xfId="40250"/>
    <cellStyle name="표준 6 2 2 17 6" xfId="27578"/>
    <cellStyle name="표준 6 2 2 17 7" xfId="55070"/>
    <cellStyle name="표준 6 2 2 18" xfId="2226"/>
    <cellStyle name="표준 6 2 2 18 2" xfId="2227"/>
    <cellStyle name="표준 6 2 2 18 2 2" xfId="5371"/>
    <cellStyle name="표준 6 2 2 18 2 2 2" xfId="11707"/>
    <cellStyle name="표준 6 2 2 18 2 2 2 2" xfId="24380"/>
    <cellStyle name="표준 6 2 2 18 2 2 2 2 2" xfId="49732"/>
    <cellStyle name="표준 6 2 2 18 2 2 2 3" xfId="37060"/>
    <cellStyle name="표준 6 2 2 18 2 2 3" xfId="18044"/>
    <cellStyle name="표준 6 2 2 18 2 2 3 2" xfId="43396"/>
    <cellStyle name="표준 6 2 2 18 2 2 4" xfId="30724"/>
    <cellStyle name="표준 6 2 2 18 2 2 5" xfId="55071"/>
    <cellStyle name="표준 6 2 2 18 2 3" xfId="8564"/>
    <cellStyle name="표준 6 2 2 18 2 3 2" xfId="21237"/>
    <cellStyle name="표준 6 2 2 18 2 3 2 2" xfId="46589"/>
    <cellStyle name="표준 6 2 2 18 2 3 3" xfId="33917"/>
    <cellStyle name="표준 6 2 2 18 2 4" xfId="14901"/>
    <cellStyle name="표준 6 2 2 18 2 4 2" xfId="40253"/>
    <cellStyle name="표준 6 2 2 18 2 5" xfId="27581"/>
    <cellStyle name="표준 6 2 2 18 2 6" xfId="55072"/>
    <cellStyle name="표준 6 2 2 18 3" xfId="5372"/>
    <cellStyle name="표준 6 2 2 18 3 2" xfId="11708"/>
    <cellStyle name="표준 6 2 2 18 3 2 2" xfId="24381"/>
    <cellStyle name="표준 6 2 2 18 3 2 2 2" xfId="49733"/>
    <cellStyle name="표준 6 2 2 18 3 2 3" xfId="37061"/>
    <cellStyle name="표준 6 2 2 18 3 3" xfId="18045"/>
    <cellStyle name="표준 6 2 2 18 3 3 2" xfId="43397"/>
    <cellStyle name="표준 6 2 2 18 3 4" xfId="30725"/>
    <cellStyle name="표준 6 2 2 18 3 5" xfId="55073"/>
    <cellStyle name="표준 6 2 2 18 4" xfId="8563"/>
    <cellStyle name="표준 6 2 2 18 4 2" xfId="21236"/>
    <cellStyle name="표준 6 2 2 18 4 2 2" xfId="46588"/>
    <cellStyle name="표준 6 2 2 18 4 3" xfId="33916"/>
    <cellStyle name="표준 6 2 2 18 5" xfId="14900"/>
    <cellStyle name="표준 6 2 2 18 5 2" xfId="40252"/>
    <cellStyle name="표준 6 2 2 18 6" xfId="27580"/>
    <cellStyle name="표준 6 2 2 18 7" xfId="55074"/>
    <cellStyle name="표준 6 2 2 19" xfId="2228"/>
    <cellStyle name="표준 6 2 2 19 2" xfId="2229"/>
    <cellStyle name="표준 6 2 2 19 2 2" xfId="5373"/>
    <cellStyle name="표준 6 2 2 19 2 2 2" xfId="11709"/>
    <cellStyle name="표준 6 2 2 19 2 2 2 2" xfId="24382"/>
    <cellStyle name="표준 6 2 2 19 2 2 2 2 2" xfId="49734"/>
    <cellStyle name="표준 6 2 2 19 2 2 2 3" xfId="37062"/>
    <cellStyle name="표준 6 2 2 19 2 2 3" xfId="18046"/>
    <cellStyle name="표준 6 2 2 19 2 2 3 2" xfId="43398"/>
    <cellStyle name="표준 6 2 2 19 2 2 4" xfId="30726"/>
    <cellStyle name="표준 6 2 2 19 2 2 5" xfId="55075"/>
    <cellStyle name="표준 6 2 2 19 2 3" xfId="8566"/>
    <cellStyle name="표준 6 2 2 19 2 3 2" xfId="21239"/>
    <cellStyle name="표준 6 2 2 19 2 3 2 2" xfId="46591"/>
    <cellStyle name="표준 6 2 2 19 2 3 3" xfId="33919"/>
    <cellStyle name="표준 6 2 2 19 2 4" xfId="14903"/>
    <cellStyle name="표준 6 2 2 19 2 4 2" xfId="40255"/>
    <cellStyle name="표준 6 2 2 19 2 5" xfId="27583"/>
    <cellStyle name="표준 6 2 2 19 2 6" xfId="55076"/>
    <cellStyle name="표준 6 2 2 19 3" xfId="5374"/>
    <cellStyle name="표준 6 2 2 19 3 2" xfId="11710"/>
    <cellStyle name="표준 6 2 2 19 3 2 2" xfId="24383"/>
    <cellStyle name="표준 6 2 2 19 3 2 2 2" xfId="49735"/>
    <cellStyle name="표준 6 2 2 19 3 2 3" xfId="37063"/>
    <cellStyle name="표준 6 2 2 19 3 3" xfId="18047"/>
    <cellStyle name="표준 6 2 2 19 3 3 2" xfId="43399"/>
    <cellStyle name="표준 6 2 2 19 3 4" xfId="30727"/>
    <cellStyle name="표준 6 2 2 19 3 5" xfId="55077"/>
    <cellStyle name="표준 6 2 2 19 4" xfId="8565"/>
    <cellStyle name="표준 6 2 2 19 4 2" xfId="21238"/>
    <cellStyle name="표준 6 2 2 19 4 2 2" xfId="46590"/>
    <cellStyle name="표준 6 2 2 19 4 3" xfId="33918"/>
    <cellStyle name="표준 6 2 2 19 5" xfId="14902"/>
    <cellStyle name="표준 6 2 2 19 5 2" xfId="40254"/>
    <cellStyle name="표준 6 2 2 19 6" xfId="27582"/>
    <cellStyle name="표준 6 2 2 19 7" xfId="55078"/>
    <cellStyle name="표준 6 2 2 2" xfId="34"/>
    <cellStyle name="표준 6 2 2 2 10" xfId="2230"/>
    <cellStyle name="표준 6 2 2 2 10 2" xfId="2231"/>
    <cellStyle name="표준 6 2 2 2 10 2 2" xfId="5375"/>
    <cellStyle name="표준 6 2 2 2 10 2 2 2" xfId="11711"/>
    <cellStyle name="표준 6 2 2 2 10 2 2 2 2" xfId="24384"/>
    <cellStyle name="표준 6 2 2 2 10 2 2 2 2 2" xfId="49736"/>
    <cellStyle name="표준 6 2 2 2 10 2 2 2 3" xfId="37064"/>
    <cellStyle name="표준 6 2 2 2 10 2 2 3" xfId="18048"/>
    <cellStyle name="표준 6 2 2 2 10 2 2 3 2" xfId="43400"/>
    <cellStyle name="표준 6 2 2 2 10 2 2 4" xfId="30728"/>
    <cellStyle name="표준 6 2 2 2 10 2 2 5" xfId="55079"/>
    <cellStyle name="표준 6 2 2 2 10 2 3" xfId="8568"/>
    <cellStyle name="표준 6 2 2 2 10 2 3 2" xfId="21241"/>
    <cellStyle name="표준 6 2 2 2 10 2 3 2 2" xfId="46593"/>
    <cellStyle name="표준 6 2 2 2 10 2 3 3" xfId="33921"/>
    <cellStyle name="표준 6 2 2 2 10 2 4" xfId="14905"/>
    <cellStyle name="표준 6 2 2 2 10 2 4 2" xfId="40257"/>
    <cellStyle name="표준 6 2 2 2 10 2 5" xfId="27585"/>
    <cellStyle name="표준 6 2 2 2 10 2 6" xfId="55080"/>
    <cellStyle name="표준 6 2 2 2 10 3" xfId="5376"/>
    <cellStyle name="표준 6 2 2 2 10 3 2" xfId="11712"/>
    <cellStyle name="표준 6 2 2 2 10 3 2 2" xfId="24385"/>
    <cellStyle name="표준 6 2 2 2 10 3 2 2 2" xfId="49737"/>
    <cellStyle name="표준 6 2 2 2 10 3 2 3" xfId="37065"/>
    <cellStyle name="표준 6 2 2 2 10 3 3" xfId="18049"/>
    <cellStyle name="표준 6 2 2 2 10 3 3 2" xfId="43401"/>
    <cellStyle name="표준 6 2 2 2 10 3 4" xfId="30729"/>
    <cellStyle name="표준 6 2 2 2 10 3 5" xfId="55081"/>
    <cellStyle name="표준 6 2 2 2 10 4" xfId="8567"/>
    <cellStyle name="표준 6 2 2 2 10 4 2" xfId="21240"/>
    <cellStyle name="표준 6 2 2 2 10 4 2 2" xfId="46592"/>
    <cellStyle name="표준 6 2 2 2 10 4 3" xfId="33920"/>
    <cellStyle name="표준 6 2 2 2 10 5" xfId="14904"/>
    <cellStyle name="표준 6 2 2 2 10 5 2" xfId="40256"/>
    <cellStyle name="표준 6 2 2 2 10 6" xfId="27584"/>
    <cellStyle name="표준 6 2 2 2 10 7" xfId="55082"/>
    <cellStyle name="표준 6 2 2 2 11" xfId="2232"/>
    <cellStyle name="표준 6 2 2 2 11 2" xfId="2233"/>
    <cellStyle name="표준 6 2 2 2 11 2 2" xfId="5377"/>
    <cellStyle name="표준 6 2 2 2 11 2 2 2" xfId="11713"/>
    <cellStyle name="표준 6 2 2 2 11 2 2 2 2" xfId="24386"/>
    <cellStyle name="표준 6 2 2 2 11 2 2 2 2 2" xfId="49738"/>
    <cellStyle name="표준 6 2 2 2 11 2 2 2 3" xfId="37066"/>
    <cellStyle name="표준 6 2 2 2 11 2 2 3" xfId="18050"/>
    <cellStyle name="표준 6 2 2 2 11 2 2 3 2" xfId="43402"/>
    <cellStyle name="표준 6 2 2 2 11 2 2 4" xfId="30730"/>
    <cellStyle name="표준 6 2 2 2 11 2 2 5" xfId="55083"/>
    <cellStyle name="표준 6 2 2 2 11 2 3" xfId="8570"/>
    <cellStyle name="표준 6 2 2 2 11 2 3 2" xfId="21243"/>
    <cellStyle name="표준 6 2 2 2 11 2 3 2 2" xfId="46595"/>
    <cellStyle name="표준 6 2 2 2 11 2 3 3" xfId="33923"/>
    <cellStyle name="표준 6 2 2 2 11 2 4" xfId="14907"/>
    <cellStyle name="표준 6 2 2 2 11 2 4 2" xfId="40259"/>
    <cellStyle name="표준 6 2 2 2 11 2 5" xfId="27587"/>
    <cellStyle name="표준 6 2 2 2 11 2 6" xfId="55084"/>
    <cellStyle name="표준 6 2 2 2 11 3" xfId="5378"/>
    <cellStyle name="표준 6 2 2 2 11 3 2" xfId="11714"/>
    <cellStyle name="표준 6 2 2 2 11 3 2 2" xfId="24387"/>
    <cellStyle name="표준 6 2 2 2 11 3 2 2 2" xfId="49739"/>
    <cellStyle name="표준 6 2 2 2 11 3 2 3" xfId="37067"/>
    <cellStyle name="표준 6 2 2 2 11 3 3" xfId="18051"/>
    <cellStyle name="표준 6 2 2 2 11 3 3 2" xfId="43403"/>
    <cellStyle name="표준 6 2 2 2 11 3 4" xfId="30731"/>
    <cellStyle name="표준 6 2 2 2 11 3 5" xfId="55085"/>
    <cellStyle name="표준 6 2 2 2 11 4" xfId="8569"/>
    <cellStyle name="표준 6 2 2 2 11 4 2" xfId="21242"/>
    <cellStyle name="표준 6 2 2 2 11 4 2 2" xfId="46594"/>
    <cellStyle name="표준 6 2 2 2 11 4 3" xfId="33922"/>
    <cellStyle name="표준 6 2 2 2 11 5" xfId="14906"/>
    <cellStyle name="표준 6 2 2 2 11 5 2" xfId="40258"/>
    <cellStyle name="표준 6 2 2 2 11 6" xfId="27586"/>
    <cellStyle name="표준 6 2 2 2 11 7" xfId="55086"/>
    <cellStyle name="표준 6 2 2 2 12" xfId="2234"/>
    <cellStyle name="표준 6 2 2 2 12 2" xfId="2235"/>
    <cellStyle name="표준 6 2 2 2 12 2 2" xfId="5379"/>
    <cellStyle name="표준 6 2 2 2 12 2 2 2" xfId="11715"/>
    <cellStyle name="표준 6 2 2 2 12 2 2 2 2" xfId="24388"/>
    <cellStyle name="표준 6 2 2 2 12 2 2 2 2 2" xfId="49740"/>
    <cellStyle name="표준 6 2 2 2 12 2 2 2 3" xfId="37068"/>
    <cellStyle name="표준 6 2 2 2 12 2 2 3" xfId="18052"/>
    <cellStyle name="표준 6 2 2 2 12 2 2 3 2" xfId="43404"/>
    <cellStyle name="표준 6 2 2 2 12 2 2 4" xfId="30732"/>
    <cellStyle name="표준 6 2 2 2 12 2 2 5" xfId="55087"/>
    <cellStyle name="표준 6 2 2 2 12 2 3" xfId="8572"/>
    <cellStyle name="표준 6 2 2 2 12 2 3 2" xfId="21245"/>
    <cellStyle name="표준 6 2 2 2 12 2 3 2 2" xfId="46597"/>
    <cellStyle name="표준 6 2 2 2 12 2 3 3" xfId="33925"/>
    <cellStyle name="표준 6 2 2 2 12 2 4" xfId="14909"/>
    <cellStyle name="표준 6 2 2 2 12 2 4 2" xfId="40261"/>
    <cellStyle name="표준 6 2 2 2 12 2 5" xfId="27589"/>
    <cellStyle name="표준 6 2 2 2 12 2 6" xfId="55088"/>
    <cellStyle name="표준 6 2 2 2 12 3" xfId="5380"/>
    <cellStyle name="표준 6 2 2 2 12 3 2" xfId="11716"/>
    <cellStyle name="표준 6 2 2 2 12 3 2 2" xfId="24389"/>
    <cellStyle name="표준 6 2 2 2 12 3 2 2 2" xfId="49741"/>
    <cellStyle name="표준 6 2 2 2 12 3 2 3" xfId="37069"/>
    <cellStyle name="표준 6 2 2 2 12 3 3" xfId="18053"/>
    <cellStyle name="표준 6 2 2 2 12 3 3 2" xfId="43405"/>
    <cellStyle name="표준 6 2 2 2 12 3 4" xfId="30733"/>
    <cellStyle name="표준 6 2 2 2 12 3 5" xfId="55089"/>
    <cellStyle name="표준 6 2 2 2 12 4" xfId="8571"/>
    <cellStyle name="표준 6 2 2 2 12 4 2" xfId="21244"/>
    <cellStyle name="표준 6 2 2 2 12 4 2 2" xfId="46596"/>
    <cellStyle name="표준 6 2 2 2 12 4 3" xfId="33924"/>
    <cellStyle name="표준 6 2 2 2 12 5" xfId="14908"/>
    <cellStyle name="표준 6 2 2 2 12 5 2" xfId="40260"/>
    <cellStyle name="표준 6 2 2 2 12 6" xfId="27588"/>
    <cellStyle name="표준 6 2 2 2 12 7" xfId="55090"/>
    <cellStyle name="표준 6 2 2 2 13" xfId="2236"/>
    <cellStyle name="표준 6 2 2 2 13 2" xfId="2237"/>
    <cellStyle name="표준 6 2 2 2 13 2 2" xfId="5381"/>
    <cellStyle name="표준 6 2 2 2 13 2 2 2" xfId="11717"/>
    <cellStyle name="표준 6 2 2 2 13 2 2 2 2" xfId="24390"/>
    <cellStyle name="표준 6 2 2 2 13 2 2 2 2 2" xfId="49742"/>
    <cellStyle name="표준 6 2 2 2 13 2 2 2 3" xfId="37070"/>
    <cellStyle name="표준 6 2 2 2 13 2 2 3" xfId="18054"/>
    <cellStyle name="표준 6 2 2 2 13 2 2 3 2" xfId="43406"/>
    <cellStyle name="표준 6 2 2 2 13 2 2 4" xfId="30734"/>
    <cellStyle name="표준 6 2 2 2 13 2 2 5" xfId="55091"/>
    <cellStyle name="표준 6 2 2 2 13 2 3" xfId="8574"/>
    <cellStyle name="표준 6 2 2 2 13 2 3 2" xfId="21247"/>
    <cellStyle name="표준 6 2 2 2 13 2 3 2 2" xfId="46599"/>
    <cellStyle name="표준 6 2 2 2 13 2 3 3" xfId="33927"/>
    <cellStyle name="표준 6 2 2 2 13 2 4" xfId="14911"/>
    <cellStyle name="표준 6 2 2 2 13 2 4 2" xfId="40263"/>
    <cellStyle name="표준 6 2 2 2 13 2 5" xfId="27591"/>
    <cellStyle name="표준 6 2 2 2 13 2 6" xfId="55092"/>
    <cellStyle name="표준 6 2 2 2 13 3" xfId="5382"/>
    <cellStyle name="표준 6 2 2 2 13 3 2" xfId="11718"/>
    <cellStyle name="표준 6 2 2 2 13 3 2 2" xfId="24391"/>
    <cellStyle name="표준 6 2 2 2 13 3 2 2 2" xfId="49743"/>
    <cellStyle name="표준 6 2 2 2 13 3 2 3" xfId="37071"/>
    <cellStyle name="표준 6 2 2 2 13 3 3" xfId="18055"/>
    <cellStyle name="표준 6 2 2 2 13 3 3 2" xfId="43407"/>
    <cellStyle name="표준 6 2 2 2 13 3 4" xfId="30735"/>
    <cellStyle name="표준 6 2 2 2 13 3 5" xfId="55093"/>
    <cellStyle name="표준 6 2 2 2 13 4" xfId="8573"/>
    <cellStyle name="표준 6 2 2 2 13 4 2" xfId="21246"/>
    <cellStyle name="표준 6 2 2 2 13 4 2 2" xfId="46598"/>
    <cellStyle name="표준 6 2 2 2 13 4 3" xfId="33926"/>
    <cellStyle name="표준 6 2 2 2 13 5" xfId="14910"/>
    <cellStyle name="표준 6 2 2 2 13 5 2" xfId="40262"/>
    <cellStyle name="표준 6 2 2 2 13 6" xfId="27590"/>
    <cellStyle name="표준 6 2 2 2 13 7" xfId="55094"/>
    <cellStyle name="표준 6 2 2 2 14" xfId="2238"/>
    <cellStyle name="표준 6 2 2 2 14 2" xfId="2239"/>
    <cellStyle name="표준 6 2 2 2 14 2 2" xfId="5383"/>
    <cellStyle name="표준 6 2 2 2 14 2 2 2" xfId="11719"/>
    <cellStyle name="표준 6 2 2 2 14 2 2 2 2" xfId="24392"/>
    <cellStyle name="표준 6 2 2 2 14 2 2 2 2 2" xfId="49744"/>
    <cellStyle name="표준 6 2 2 2 14 2 2 2 3" xfId="37072"/>
    <cellStyle name="표준 6 2 2 2 14 2 2 3" xfId="18056"/>
    <cellStyle name="표준 6 2 2 2 14 2 2 3 2" xfId="43408"/>
    <cellStyle name="표준 6 2 2 2 14 2 2 4" xfId="30736"/>
    <cellStyle name="표준 6 2 2 2 14 2 2 5" xfId="55095"/>
    <cellStyle name="표준 6 2 2 2 14 2 3" xfId="8576"/>
    <cellStyle name="표준 6 2 2 2 14 2 3 2" xfId="21249"/>
    <cellStyle name="표준 6 2 2 2 14 2 3 2 2" xfId="46601"/>
    <cellStyle name="표준 6 2 2 2 14 2 3 3" xfId="33929"/>
    <cellStyle name="표준 6 2 2 2 14 2 4" xfId="14913"/>
    <cellStyle name="표준 6 2 2 2 14 2 4 2" xfId="40265"/>
    <cellStyle name="표준 6 2 2 2 14 2 5" xfId="27593"/>
    <cellStyle name="표준 6 2 2 2 14 2 6" xfId="55096"/>
    <cellStyle name="표준 6 2 2 2 14 3" xfId="5384"/>
    <cellStyle name="표준 6 2 2 2 14 3 2" xfId="11720"/>
    <cellStyle name="표준 6 2 2 2 14 3 2 2" xfId="24393"/>
    <cellStyle name="표준 6 2 2 2 14 3 2 2 2" xfId="49745"/>
    <cellStyle name="표준 6 2 2 2 14 3 2 3" xfId="37073"/>
    <cellStyle name="표준 6 2 2 2 14 3 3" xfId="18057"/>
    <cellStyle name="표준 6 2 2 2 14 3 3 2" xfId="43409"/>
    <cellStyle name="표준 6 2 2 2 14 3 4" xfId="30737"/>
    <cellStyle name="표준 6 2 2 2 14 3 5" xfId="55097"/>
    <cellStyle name="표준 6 2 2 2 14 4" xfId="8575"/>
    <cellStyle name="표준 6 2 2 2 14 4 2" xfId="21248"/>
    <cellStyle name="표준 6 2 2 2 14 4 2 2" xfId="46600"/>
    <cellStyle name="표준 6 2 2 2 14 4 3" xfId="33928"/>
    <cellStyle name="표준 6 2 2 2 14 5" xfId="14912"/>
    <cellStyle name="표준 6 2 2 2 14 5 2" xfId="40264"/>
    <cellStyle name="표준 6 2 2 2 14 6" xfId="27592"/>
    <cellStyle name="표준 6 2 2 2 14 7" xfId="55098"/>
    <cellStyle name="표준 6 2 2 2 15" xfId="2240"/>
    <cellStyle name="표준 6 2 2 2 15 2" xfId="2241"/>
    <cellStyle name="표준 6 2 2 2 15 2 2" xfId="5385"/>
    <cellStyle name="표준 6 2 2 2 15 2 2 2" xfId="11721"/>
    <cellStyle name="표준 6 2 2 2 15 2 2 2 2" xfId="24394"/>
    <cellStyle name="표준 6 2 2 2 15 2 2 2 2 2" xfId="49746"/>
    <cellStyle name="표준 6 2 2 2 15 2 2 2 3" xfId="37074"/>
    <cellStyle name="표준 6 2 2 2 15 2 2 3" xfId="18058"/>
    <cellStyle name="표준 6 2 2 2 15 2 2 3 2" xfId="43410"/>
    <cellStyle name="표준 6 2 2 2 15 2 2 4" xfId="30738"/>
    <cellStyle name="표준 6 2 2 2 15 2 2 5" xfId="55099"/>
    <cellStyle name="표준 6 2 2 2 15 2 3" xfId="8578"/>
    <cellStyle name="표준 6 2 2 2 15 2 3 2" xfId="21251"/>
    <cellStyle name="표준 6 2 2 2 15 2 3 2 2" xfId="46603"/>
    <cellStyle name="표준 6 2 2 2 15 2 3 3" xfId="33931"/>
    <cellStyle name="표준 6 2 2 2 15 2 4" xfId="14915"/>
    <cellStyle name="표준 6 2 2 2 15 2 4 2" xfId="40267"/>
    <cellStyle name="표준 6 2 2 2 15 2 5" xfId="27595"/>
    <cellStyle name="표준 6 2 2 2 15 2 6" xfId="55100"/>
    <cellStyle name="표준 6 2 2 2 15 3" xfId="5386"/>
    <cellStyle name="표준 6 2 2 2 15 3 2" xfId="11722"/>
    <cellStyle name="표준 6 2 2 2 15 3 2 2" xfId="24395"/>
    <cellStyle name="표준 6 2 2 2 15 3 2 2 2" xfId="49747"/>
    <cellStyle name="표준 6 2 2 2 15 3 2 3" xfId="37075"/>
    <cellStyle name="표준 6 2 2 2 15 3 3" xfId="18059"/>
    <cellStyle name="표준 6 2 2 2 15 3 3 2" xfId="43411"/>
    <cellStyle name="표준 6 2 2 2 15 3 4" xfId="30739"/>
    <cellStyle name="표준 6 2 2 2 15 3 5" xfId="55101"/>
    <cellStyle name="표준 6 2 2 2 15 4" xfId="8577"/>
    <cellStyle name="표준 6 2 2 2 15 4 2" xfId="21250"/>
    <cellStyle name="표준 6 2 2 2 15 4 2 2" xfId="46602"/>
    <cellStyle name="표준 6 2 2 2 15 4 3" xfId="33930"/>
    <cellStyle name="표준 6 2 2 2 15 5" xfId="14914"/>
    <cellStyle name="표준 6 2 2 2 15 5 2" xfId="40266"/>
    <cellStyle name="표준 6 2 2 2 15 6" xfId="27594"/>
    <cellStyle name="표준 6 2 2 2 15 7" xfId="55102"/>
    <cellStyle name="표준 6 2 2 2 16" xfId="2242"/>
    <cellStyle name="표준 6 2 2 2 16 2" xfId="2243"/>
    <cellStyle name="표준 6 2 2 2 16 2 2" xfId="5387"/>
    <cellStyle name="표준 6 2 2 2 16 2 2 2" xfId="11723"/>
    <cellStyle name="표준 6 2 2 2 16 2 2 2 2" xfId="24396"/>
    <cellStyle name="표준 6 2 2 2 16 2 2 2 2 2" xfId="49748"/>
    <cellStyle name="표준 6 2 2 2 16 2 2 2 3" xfId="37076"/>
    <cellStyle name="표준 6 2 2 2 16 2 2 3" xfId="18060"/>
    <cellStyle name="표준 6 2 2 2 16 2 2 3 2" xfId="43412"/>
    <cellStyle name="표준 6 2 2 2 16 2 2 4" xfId="30740"/>
    <cellStyle name="표준 6 2 2 2 16 2 2 5" xfId="55103"/>
    <cellStyle name="표준 6 2 2 2 16 2 3" xfId="8580"/>
    <cellStyle name="표준 6 2 2 2 16 2 3 2" xfId="21253"/>
    <cellStyle name="표준 6 2 2 2 16 2 3 2 2" xfId="46605"/>
    <cellStyle name="표준 6 2 2 2 16 2 3 3" xfId="33933"/>
    <cellStyle name="표준 6 2 2 2 16 2 4" xfId="14917"/>
    <cellStyle name="표준 6 2 2 2 16 2 4 2" xfId="40269"/>
    <cellStyle name="표준 6 2 2 2 16 2 5" xfId="27597"/>
    <cellStyle name="표준 6 2 2 2 16 2 6" xfId="55104"/>
    <cellStyle name="표준 6 2 2 2 16 3" xfId="5388"/>
    <cellStyle name="표준 6 2 2 2 16 3 2" xfId="11724"/>
    <cellStyle name="표준 6 2 2 2 16 3 2 2" xfId="24397"/>
    <cellStyle name="표준 6 2 2 2 16 3 2 2 2" xfId="49749"/>
    <cellStyle name="표준 6 2 2 2 16 3 2 3" xfId="37077"/>
    <cellStyle name="표준 6 2 2 2 16 3 3" xfId="18061"/>
    <cellStyle name="표준 6 2 2 2 16 3 3 2" xfId="43413"/>
    <cellStyle name="표준 6 2 2 2 16 3 4" xfId="30741"/>
    <cellStyle name="표준 6 2 2 2 16 3 5" xfId="55105"/>
    <cellStyle name="표준 6 2 2 2 16 4" xfId="8579"/>
    <cellStyle name="표준 6 2 2 2 16 4 2" xfId="21252"/>
    <cellStyle name="표준 6 2 2 2 16 4 2 2" xfId="46604"/>
    <cellStyle name="표준 6 2 2 2 16 4 3" xfId="33932"/>
    <cellStyle name="표준 6 2 2 2 16 5" xfId="14916"/>
    <cellStyle name="표준 6 2 2 2 16 5 2" xfId="40268"/>
    <cellStyle name="표준 6 2 2 2 16 6" xfId="27596"/>
    <cellStyle name="표준 6 2 2 2 16 7" xfId="55106"/>
    <cellStyle name="표준 6 2 2 2 17" xfId="2244"/>
    <cellStyle name="표준 6 2 2 2 17 2" xfId="2245"/>
    <cellStyle name="표준 6 2 2 2 17 2 2" xfId="5389"/>
    <cellStyle name="표준 6 2 2 2 17 2 2 2" xfId="11725"/>
    <cellStyle name="표준 6 2 2 2 17 2 2 2 2" xfId="24398"/>
    <cellStyle name="표준 6 2 2 2 17 2 2 2 2 2" xfId="49750"/>
    <cellStyle name="표준 6 2 2 2 17 2 2 2 3" xfId="37078"/>
    <cellStyle name="표준 6 2 2 2 17 2 2 3" xfId="18062"/>
    <cellStyle name="표준 6 2 2 2 17 2 2 3 2" xfId="43414"/>
    <cellStyle name="표준 6 2 2 2 17 2 2 4" xfId="30742"/>
    <cellStyle name="표준 6 2 2 2 17 2 2 5" xfId="55107"/>
    <cellStyle name="표준 6 2 2 2 17 2 3" xfId="8582"/>
    <cellStyle name="표준 6 2 2 2 17 2 3 2" xfId="21255"/>
    <cellStyle name="표준 6 2 2 2 17 2 3 2 2" xfId="46607"/>
    <cellStyle name="표준 6 2 2 2 17 2 3 3" xfId="33935"/>
    <cellStyle name="표준 6 2 2 2 17 2 4" xfId="14919"/>
    <cellStyle name="표준 6 2 2 2 17 2 4 2" xfId="40271"/>
    <cellStyle name="표준 6 2 2 2 17 2 5" xfId="27599"/>
    <cellStyle name="표준 6 2 2 2 17 2 6" xfId="55108"/>
    <cellStyle name="표준 6 2 2 2 17 3" xfId="5390"/>
    <cellStyle name="표준 6 2 2 2 17 3 2" xfId="11726"/>
    <cellStyle name="표준 6 2 2 2 17 3 2 2" xfId="24399"/>
    <cellStyle name="표준 6 2 2 2 17 3 2 2 2" xfId="49751"/>
    <cellStyle name="표준 6 2 2 2 17 3 2 3" xfId="37079"/>
    <cellStyle name="표준 6 2 2 2 17 3 3" xfId="18063"/>
    <cellStyle name="표준 6 2 2 2 17 3 3 2" xfId="43415"/>
    <cellStyle name="표준 6 2 2 2 17 3 4" xfId="30743"/>
    <cellStyle name="표준 6 2 2 2 17 3 5" xfId="55109"/>
    <cellStyle name="표준 6 2 2 2 17 4" xfId="8581"/>
    <cellStyle name="표준 6 2 2 2 17 4 2" xfId="21254"/>
    <cellStyle name="표준 6 2 2 2 17 4 2 2" xfId="46606"/>
    <cellStyle name="표준 6 2 2 2 17 4 3" xfId="33934"/>
    <cellStyle name="표준 6 2 2 2 17 5" xfId="14918"/>
    <cellStyle name="표준 6 2 2 2 17 5 2" xfId="40270"/>
    <cellStyle name="표준 6 2 2 2 17 6" xfId="27598"/>
    <cellStyle name="표준 6 2 2 2 17 7" xfId="55110"/>
    <cellStyle name="표준 6 2 2 2 18" xfId="2246"/>
    <cellStyle name="표준 6 2 2 2 18 2" xfId="2247"/>
    <cellStyle name="표준 6 2 2 2 18 2 2" xfId="5391"/>
    <cellStyle name="표준 6 2 2 2 18 2 2 2" xfId="11727"/>
    <cellStyle name="표준 6 2 2 2 18 2 2 2 2" xfId="24400"/>
    <cellStyle name="표준 6 2 2 2 18 2 2 2 2 2" xfId="49752"/>
    <cellStyle name="표준 6 2 2 2 18 2 2 2 3" xfId="37080"/>
    <cellStyle name="표준 6 2 2 2 18 2 2 3" xfId="18064"/>
    <cellStyle name="표준 6 2 2 2 18 2 2 3 2" xfId="43416"/>
    <cellStyle name="표준 6 2 2 2 18 2 2 4" xfId="30744"/>
    <cellStyle name="표준 6 2 2 2 18 2 2 5" xfId="55111"/>
    <cellStyle name="표준 6 2 2 2 18 2 3" xfId="8584"/>
    <cellStyle name="표준 6 2 2 2 18 2 3 2" xfId="21257"/>
    <cellStyle name="표준 6 2 2 2 18 2 3 2 2" xfId="46609"/>
    <cellStyle name="표준 6 2 2 2 18 2 3 3" xfId="33937"/>
    <cellStyle name="표준 6 2 2 2 18 2 4" xfId="14921"/>
    <cellStyle name="표준 6 2 2 2 18 2 4 2" xfId="40273"/>
    <cellStyle name="표준 6 2 2 2 18 2 5" xfId="27601"/>
    <cellStyle name="표준 6 2 2 2 18 2 6" xfId="55112"/>
    <cellStyle name="표준 6 2 2 2 18 3" xfId="5392"/>
    <cellStyle name="표준 6 2 2 2 18 3 2" xfId="11728"/>
    <cellStyle name="표준 6 2 2 2 18 3 2 2" xfId="24401"/>
    <cellStyle name="표준 6 2 2 2 18 3 2 2 2" xfId="49753"/>
    <cellStyle name="표준 6 2 2 2 18 3 2 3" xfId="37081"/>
    <cellStyle name="표준 6 2 2 2 18 3 3" xfId="18065"/>
    <cellStyle name="표준 6 2 2 2 18 3 3 2" xfId="43417"/>
    <cellStyle name="표준 6 2 2 2 18 3 4" xfId="30745"/>
    <cellStyle name="표준 6 2 2 2 18 3 5" xfId="55113"/>
    <cellStyle name="표준 6 2 2 2 18 4" xfId="8583"/>
    <cellStyle name="표준 6 2 2 2 18 4 2" xfId="21256"/>
    <cellStyle name="표준 6 2 2 2 18 4 2 2" xfId="46608"/>
    <cellStyle name="표준 6 2 2 2 18 4 3" xfId="33936"/>
    <cellStyle name="표준 6 2 2 2 18 5" xfId="14920"/>
    <cellStyle name="표준 6 2 2 2 18 5 2" xfId="40272"/>
    <cellStyle name="표준 6 2 2 2 18 6" xfId="27600"/>
    <cellStyle name="표준 6 2 2 2 18 7" xfId="55114"/>
    <cellStyle name="표준 6 2 2 2 19" xfId="2248"/>
    <cellStyle name="표준 6 2 2 2 19 2" xfId="2249"/>
    <cellStyle name="표준 6 2 2 2 19 2 2" xfId="5393"/>
    <cellStyle name="표준 6 2 2 2 19 2 2 2" xfId="11729"/>
    <cellStyle name="표준 6 2 2 2 19 2 2 2 2" xfId="24402"/>
    <cellStyle name="표준 6 2 2 2 19 2 2 2 2 2" xfId="49754"/>
    <cellStyle name="표준 6 2 2 2 19 2 2 2 3" xfId="37082"/>
    <cellStyle name="표준 6 2 2 2 19 2 2 3" xfId="18066"/>
    <cellStyle name="표준 6 2 2 2 19 2 2 3 2" xfId="43418"/>
    <cellStyle name="표준 6 2 2 2 19 2 2 4" xfId="30746"/>
    <cellStyle name="표준 6 2 2 2 19 2 2 5" xfId="55115"/>
    <cellStyle name="표준 6 2 2 2 19 2 3" xfId="8586"/>
    <cellStyle name="표준 6 2 2 2 19 2 3 2" xfId="21259"/>
    <cellStyle name="표준 6 2 2 2 19 2 3 2 2" xfId="46611"/>
    <cellStyle name="표준 6 2 2 2 19 2 3 3" xfId="33939"/>
    <cellStyle name="표준 6 2 2 2 19 2 4" xfId="14923"/>
    <cellStyle name="표준 6 2 2 2 19 2 4 2" xfId="40275"/>
    <cellStyle name="표준 6 2 2 2 19 2 5" xfId="27603"/>
    <cellStyle name="표준 6 2 2 2 19 2 6" xfId="55116"/>
    <cellStyle name="표준 6 2 2 2 19 3" xfId="5394"/>
    <cellStyle name="표준 6 2 2 2 19 3 2" xfId="11730"/>
    <cellStyle name="표준 6 2 2 2 19 3 2 2" xfId="24403"/>
    <cellStyle name="표준 6 2 2 2 19 3 2 2 2" xfId="49755"/>
    <cellStyle name="표준 6 2 2 2 19 3 2 3" xfId="37083"/>
    <cellStyle name="표준 6 2 2 2 19 3 3" xfId="18067"/>
    <cellStyle name="표준 6 2 2 2 19 3 3 2" xfId="43419"/>
    <cellStyle name="표준 6 2 2 2 19 3 4" xfId="30747"/>
    <cellStyle name="표준 6 2 2 2 19 3 5" xfId="55117"/>
    <cellStyle name="표준 6 2 2 2 19 4" xfId="8585"/>
    <cellStyle name="표준 6 2 2 2 19 4 2" xfId="21258"/>
    <cellStyle name="표준 6 2 2 2 19 4 2 2" xfId="46610"/>
    <cellStyle name="표준 6 2 2 2 19 4 3" xfId="33938"/>
    <cellStyle name="표준 6 2 2 2 19 5" xfId="14922"/>
    <cellStyle name="표준 6 2 2 2 19 5 2" xfId="40274"/>
    <cellStyle name="표준 6 2 2 2 19 6" xfId="27602"/>
    <cellStyle name="표준 6 2 2 2 19 7" xfId="55118"/>
    <cellStyle name="표준 6 2 2 2 2" xfId="89"/>
    <cellStyle name="표준 6 2 2 2 2 10" xfId="2250"/>
    <cellStyle name="표준 6 2 2 2 2 10 2" xfId="2251"/>
    <cellStyle name="표준 6 2 2 2 2 10 2 2" xfId="5395"/>
    <cellStyle name="표준 6 2 2 2 2 10 2 2 2" xfId="11731"/>
    <cellStyle name="표준 6 2 2 2 2 10 2 2 2 2" xfId="24404"/>
    <cellStyle name="표준 6 2 2 2 2 10 2 2 2 2 2" xfId="49756"/>
    <cellStyle name="표준 6 2 2 2 2 10 2 2 2 3" xfId="37084"/>
    <cellStyle name="표준 6 2 2 2 2 10 2 2 3" xfId="18068"/>
    <cellStyle name="표준 6 2 2 2 2 10 2 2 3 2" xfId="43420"/>
    <cellStyle name="표준 6 2 2 2 2 10 2 2 4" xfId="30748"/>
    <cellStyle name="표준 6 2 2 2 2 10 2 2 5" xfId="55119"/>
    <cellStyle name="표준 6 2 2 2 2 10 2 3" xfId="8588"/>
    <cellStyle name="표준 6 2 2 2 2 10 2 3 2" xfId="21261"/>
    <cellStyle name="표준 6 2 2 2 2 10 2 3 2 2" xfId="46613"/>
    <cellStyle name="표준 6 2 2 2 2 10 2 3 3" xfId="33941"/>
    <cellStyle name="표준 6 2 2 2 2 10 2 4" xfId="14925"/>
    <cellStyle name="표준 6 2 2 2 2 10 2 4 2" xfId="40277"/>
    <cellStyle name="표준 6 2 2 2 2 10 2 5" xfId="27605"/>
    <cellStyle name="표준 6 2 2 2 2 10 2 6" xfId="55120"/>
    <cellStyle name="표준 6 2 2 2 2 10 3" xfId="5396"/>
    <cellStyle name="표준 6 2 2 2 2 10 3 2" xfId="11732"/>
    <cellStyle name="표준 6 2 2 2 2 10 3 2 2" xfId="24405"/>
    <cellStyle name="표준 6 2 2 2 2 10 3 2 2 2" xfId="49757"/>
    <cellStyle name="표준 6 2 2 2 2 10 3 2 3" xfId="37085"/>
    <cellStyle name="표준 6 2 2 2 2 10 3 3" xfId="18069"/>
    <cellStyle name="표준 6 2 2 2 2 10 3 3 2" xfId="43421"/>
    <cellStyle name="표준 6 2 2 2 2 10 3 4" xfId="30749"/>
    <cellStyle name="표준 6 2 2 2 2 10 3 5" xfId="55121"/>
    <cellStyle name="표준 6 2 2 2 2 10 4" xfId="8587"/>
    <cellStyle name="표준 6 2 2 2 2 10 4 2" xfId="21260"/>
    <cellStyle name="표준 6 2 2 2 2 10 4 2 2" xfId="46612"/>
    <cellStyle name="표준 6 2 2 2 2 10 4 3" xfId="33940"/>
    <cellStyle name="표준 6 2 2 2 2 10 5" xfId="14924"/>
    <cellStyle name="표준 6 2 2 2 2 10 5 2" xfId="40276"/>
    <cellStyle name="표준 6 2 2 2 2 10 6" xfId="27604"/>
    <cellStyle name="표준 6 2 2 2 2 10 7" xfId="55122"/>
    <cellStyle name="표준 6 2 2 2 2 11" xfId="2252"/>
    <cellStyle name="표준 6 2 2 2 2 11 2" xfId="2253"/>
    <cellStyle name="표준 6 2 2 2 2 11 2 2" xfId="5397"/>
    <cellStyle name="표준 6 2 2 2 2 11 2 2 2" xfId="11733"/>
    <cellStyle name="표준 6 2 2 2 2 11 2 2 2 2" xfId="24406"/>
    <cellStyle name="표준 6 2 2 2 2 11 2 2 2 2 2" xfId="49758"/>
    <cellStyle name="표준 6 2 2 2 2 11 2 2 2 3" xfId="37086"/>
    <cellStyle name="표준 6 2 2 2 2 11 2 2 3" xfId="18070"/>
    <cellStyle name="표준 6 2 2 2 2 11 2 2 3 2" xfId="43422"/>
    <cellStyle name="표준 6 2 2 2 2 11 2 2 4" xfId="30750"/>
    <cellStyle name="표준 6 2 2 2 2 11 2 2 5" xfId="55123"/>
    <cellStyle name="표준 6 2 2 2 2 11 2 3" xfId="8590"/>
    <cellStyle name="표준 6 2 2 2 2 11 2 3 2" xfId="21263"/>
    <cellStyle name="표준 6 2 2 2 2 11 2 3 2 2" xfId="46615"/>
    <cellStyle name="표준 6 2 2 2 2 11 2 3 3" xfId="33943"/>
    <cellStyle name="표준 6 2 2 2 2 11 2 4" xfId="14927"/>
    <cellStyle name="표준 6 2 2 2 2 11 2 4 2" xfId="40279"/>
    <cellStyle name="표준 6 2 2 2 2 11 2 5" xfId="27607"/>
    <cellStyle name="표준 6 2 2 2 2 11 2 6" xfId="55124"/>
    <cellStyle name="표준 6 2 2 2 2 11 3" xfId="5398"/>
    <cellStyle name="표준 6 2 2 2 2 11 3 2" xfId="11734"/>
    <cellStyle name="표준 6 2 2 2 2 11 3 2 2" xfId="24407"/>
    <cellStyle name="표준 6 2 2 2 2 11 3 2 2 2" xfId="49759"/>
    <cellStyle name="표준 6 2 2 2 2 11 3 2 3" xfId="37087"/>
    <cellStyle name="표준 6 2 2 2 2 11 3 3" xfId="18071"/>
    <cellStyle name="표준 6 2 2 2 2 11 3 3 2" xfId="43423"/>
    <cellStyle name="표준 6 2 2 2 2 11 3 4" xfId="30751"/>
    <cellStyle name="표준 6 2 2 2 2 11 3 5" xfId="55125"/>
    <cellStyle name="표준 6 2 2 2 2 11 4" xfId="8589"/>
    <cellStyle name="표준 6 2 2 2 2 11 4 2" xfId="21262"/>
    <cellStyle name="표준 6 2 2 2 2 11 4 2 2" xfId="46614"/>
    <cellStyle name="표준 6 2 2 2 2 11 4 3" xfId="33942"/>
    <cellStyle name="표준 6 2 2 2 2 11 5" xfId="14926"/>
    <cellStyle name="표준 6 2 2 2 2 11 5 2" xfId="40278"/>
    <cellStyle name="표준 6 2 2 2 2 11 6" xfId="27606"/>
    <cellStyle name="표준 6 2 2 2 2 11 7" xfId="55126"/>
    <cellStyle name="표준 6 2 2 2 2 12" xfId="2254"/>
    <cellStyle name="표준 6 2 2 2 2 12 2" xfId="2255"/>
    <cellStyle name="표준 6 2 2 2 2 12 2 2" xfId="5399"/>
    <cellStyle name="표준 6 2 2 2 2 12 2 2 2" xfId="11735"/>
    <cellStyle name="표준 6 2 2 2 2 12 2 2 2 2" xfId="24408"/>
    <cellStyle name="표준 6 2 2 2 2 12 2 2 2 2 2" xfId="49760"/>
    <cellStyle name="표준 6 2 2 2 2 12 2 2 2 3" xfId="37088"/>
    <cellStyle name="표준 6 2 2 2 2 12 2 2 3" xfId="18072"/>
    <cellStyle name="표준 6 2 2 2 2 12 2 2 3 2" xfId="43424"/>
    <cellStyle name="표준 6 2 2 2 2 12 2 2 4" xfId="30752"/>
    <cellStyle name="표준 6 2 2 2 2 12 2 2 5" xfId="55127"/>
    <cellStyle name="표준 6 2 2 2 2 12 2 3" xfId="8592"/>
    <cellStyle name="표준 6 2 2 2 2 12 2 3 2" xfId="21265"/>
    <cellStyle name="표준 6 2 2 2 2 12 2 3 2 2" xfId="46617"/>
    <cellStyle name="표준 6 2 2 2 2 12 2 3 3" xfId="33945"/>
    <cellStyle name="표준 6 2 2 2 2 12 2 4" xfId="14929"/>
    <cellStyle name="표준 6 2 2 2 2 12 2 4 2" xfId="40281"/>
    <cellStyle name="표준 6 2 2 2 2 12 2 5" xfId="27609"/>
    <cellStyle name="표준 6 2 2 2 2 12 2 6" xfId="55128"/>
    <cellStyle name="표준 6 2 2 2 2 12 3" xfId="5400"/>
    <cellStyle name="표준 6 2 2 2 2 12 3 2" xfId="11736"/>
    <cellStyle name="표준 6 2 2 2 2 12 3 2 2" xfId="24409"/>
    <cellStyle name="표준 6 2 2 2 2 12 3 2 2 2" xfId="49761"/>
    <cellStyle name="표준 6 2 2 2 2 12 3 2 3" xfId="37089"/>
    <cellStyle name="표준 6 2 2 2 2 12 3 3" xfId="18073"/>
    <cellStyle name="표준 6 2 2 2 2 12 3 3 2" xfId="43425"/>
    <cellStyle name="표준 6 2 2 2 2 12 3 4" xfId="30753"/>
    <cellStyle name="표준 6 2 2 2 2 12 3 5" xfId="55129"/>
    <cellStyle name="표준 6 2 2 2 2 12 4" xfId="8591"/>
    <cellStyle name="표준 6 2 2 2 2 12 4 2" xfId="21264"/>
    <cellStyle name="표준 6 2 2 2 2 12 4 2 2" xfId="46616"/>
    <cellStyle name="표준 6 2 2 2 2 12 4 3" xfId="33944"/>
    <cellStyle name="표준 6 2 2 2 2 12 5" xfId="14928"/>
    <cellStyle name="표준 6 2 2 2 2 12 5 2" xfId="40280"/>
    <cellStyle name="표준 6 2 2 2 2 12 6" xfId="27608"/>
    <cellStyle name="표준 6 2 2 2 2 12 7" xfId="55130"/>
    <cellStyle name="표준 6 2 2 2 2 13" xfId="2256"/>
    <cellStyle name="표준 6 2 2 2 2 13 2" xfId="2257"/>
    <cellStyle name="표준 6 2 2 2 2 13 2 2" xfId="5401"/>
    <cellStyle name="표준 6 2 2 2 2 13 2 2 2" xfId="11737"/>
    <cellStyle name="표준 6 2 2 2 2 13 2 2 2 2" xfId="24410"/>
    <cellStyle name="표준 6 2 2 2 2 13 2 2 2 2 2" xfId="49762"/>
    <cellStyle name="표준 6 2 2 2 2 13 2 2 2 3" xfId="37090"/>
    <cellStyle name="표준 6 2 2 2 2 13 2 2 3" xfId="18074"/>
    <cellStyle name="표준 6 2 2 2 2 13 2 2 3 2" xfId="43426"/>
    <cellStyle name="표준 6 2 2 2 2 13 2 2 4" xfId="30754"/>
    <cellStyle name="표준 6 2 2 2 2 13 2 2 5" xfId="55131"/>
    <cellStyle name="표준 6 2 2 2 2 13 2 3" xfId="8594"/>
    <cellStyle name="표준 6 2 2 2 2 13 2 3 2" xfId="21267"/>
    <cellStyle name="표준 6 2 2 2 2 13 2 3 2 2" xfId="46619"/>
    <cellStyle name="표준 6 2 2 2 2 13 2 3 3" xfId="33947"/>
    <cellStyle name="표준 6 2 2 2 2 13 2 4" xfId="14931"/>
    <cellStyle name="표준 6 2 2 2 2 13 2 4 2" xfId="40283"/>
    <cellStyle name="표준 6 2 2 2 2 13 2 5" xfId="27611"/>
    <cellStyle name="표준 6 2 2 2 2 13 2 6" xfId="55132"/>
    <cellStyle name="표준 6 2 2 2 2 13 3" xfId="5402"/>
    <cellStyle name="표준 6 2 2 2 2 13 3 2" xfId="11738"/>
    <cellStyle name="표준 6 2 2 2 2 13 3 2 2" xfId="24411"/>
    <cellStyle name="표준 6 2 2 2 2 13 3 2 2 2" xfId="49763"/>
    <cellStyle name="표준 6 2 2 2 2 13 3 2 3" xfId="37091"/>
    <cellStyle name="표준 6 2 2 2 2 13 3 3" xfId="18075"/>
    <cellStyle name="표준 6 2 2 2 2 13 3 3 2" xfId="43427"/>
    <cellStyle name="표준 6 2 2 2 2 13 3 4" xfId="30755"/>
    <cellStyle name="표준 6 2 2 2 2 13 3 5" xfId="55133"/>
    <cellStyle name="표준 6 2 2 2 2 13 4" xfId="8593"/>
    <cellStyle name="표준 6 2 2 2 2 13 4 2" xfId="21266"/>
    <cellStyle name="표준 6 2 2 2 2 13 4 2 2" xfId="46618"/>
    <cellStyle name="표준 6 2 2 2 2 13 4 3" xfId="33946"/>
    <cellStyle name="표준 6 2 2 2 2 13 5" xfId="14930"/>
    <cellStyle name="표준 6 2 2 2 2 13 5 2" xfId="40282"/>
    <cellStyle name="표준 6 2 2 2 2 13 6" xfId="27610"/>
    <cellStyle name="표준 6 2 2 2 2 13 7" xfId="55134"/>
    <cellStyle name="표준 6 2 2 2 2 14" xfId="2258"/>
    <cellStyle name="표준 6 2 2 2 2 14 2" xfId="2259"/>
    <cellStyle name="표준 6 2 2 2 2 14 2 2" xfId="5403"/>
    <cellStyle name="표준 6 2 2 2 2 14 2 2 2" xfId="11739"/>
    <cellStyle name="표준 6 2 2 2 2 14 2 2 2 2" xfId="24412"/>
    <cellStyle name="표준 6 2 2 2 2 14 2 2 2 2 2" xfId="49764"/>
    <cellStyle name="표준 6 2 2 2 2 14 2 2 2 3" xfId="37092"/>
    <cellStyle name="표준 6 2 2 2 2 14 2 2 3" xfId="18076"/>
    <cellStyle name="표준 6 2 2 2 2 14 2 2 3 2" xfId="43428"/>
    <cellStyle name="표준 6 2 2 2 2 14 2 2 4" xfId="30756"/>
    <cellStyle name="표준 6 2 2 2 2 14 2 2 5" xfId="55135"/>
    <cellStyle name="표준 6 2 2 2 2 14 2 3" xfId="8596"/>
    <cellStyle name="표준 6 2 2 2 2 14 2 3 2" xfId="21269"/>
    <cellStyle name="표준 6 2 2 2 2 14 2 3 2 2" xfId="46621"/>
    <cellStyle name="표준 6 2 2 2 2 14 2 3 3" xfId="33949"/>
    <cellStyle name="표준 6 2 2 2 2 14 2 4" xfId="14933"/>
    <cellStyle name="표준 6 2 2 2 2 14 2 4 2" xfId="40285"/>
    <cellStyle name="표준 6 2 2 2 2 14 2 5" xfId="27613"/>
    <cellStyle name="표준 6 2 2 2 2 14 2 6" xfId="55136"/>
    <cellStyle name="표준 6 2 2 2 2 14 3" xfId="5404"/>
    <cellStyle name="표준 6 2 2 2 2 14 3 2" xfId="11740"/>
    <cellStyle name="표준 6 2 2 2 2 14 3 2 2" xfId="24413"/>
    <cellStyle name="표준 6 2 2 2 2 14 3 2 2 2" xfId="49765"/>
    <cellStyle name="표준 6 2 2 2 2 14 3 2 3" xfId="37093"/>
    <cellStyle name="표준 6 2 2 2 2 14 3 3" xfId="18077"/>
    <cellStyle name="표준 6 2 2 2 2 14 3 3 2" xfId="43429"/>
    <cellStyle name="표준 6 2 2 2 2 14 3 4" xfId="30757"/>
    <cellStyle name="표준 6 2 2 2 2 14 3 5" xfId="55137"/>
    <cellStyle name="표준 6 2 2 2 2 14 4" xfId="8595"/>
    <cellStyle name="표준 6 2 2 2 2 14 4 2" xfId="21268"/>
    <cellStyle name="표준 6 2 2 2 2 14 4 2 2" xfId="46620"/>
    <cellStyle name="표준 6 2 2 2 2 14 4 3" xfId="33948"/>
    <cellStyle name="표준 6 2 2 2 2 14 5" xfId="14932"/>
    <cellStyle name="표준 6 2 2 2 2 14 5 2" xfId="40284"/>
    <cellStyle name="표준 6 2 2 2 2 14 6" xfId="27612"/>
    <cellStyle name="표준 6 2 2 2 2 14 7" xfId="55138"/>
    <cellStyle name="표준 6 2 2 2 2 15" xfId="2260"/>
    <cellStyle name="표준 6 2 2 2 2 15 2" xfId="2261"/>
    <cellStyle name="표준 6 2 2 2 2 15 2 2" xfId="5405"/>
    <cellStyle name="표준 6 2 2 2 2 15 2 2 2" xfId="11741"/>
    <cellStyle name="표준 6 2 2 2 2 15 2 2 2 2" xfId="24414"/>
    <cellStyle name="표준 6 2 2 2 2 15 2 2 2 2 2" xfId="49766"/>
    <cellStyle name="표준 6 2 2 2 2 15 2 2 2 3" xfId="37094"/>
    <cellStyle name="표준 6 2 2 2 2 15 2 2 3" xfId="18078"/>
    <cellStyle name="표준 6 2 2 2 2 15 2 2 3 2" xfId="43430"/>
    <cellStyle name="표준 6 2 2 2 2 15 2 2 4" xfId="30758"/>
    <cellStyle name="표준 6 2 2 2 2 15 2 2 5" xfId="55139"/>
    <cellStyle name="표준 6 2 2 2 2 15 2 3" xfId="8598"/>
    <cellStyle name="표준 6 2 2 2 2 15 2 3 2" xfId="21271"/>
    <cellStyle name="표준 6 2 2 2 2 15 2 3 2 2" xfId="46623"/>
    <cellStyle name="표준 6 2 2 2 2 15 2 3 3" xfId="33951"/>
    <cellStyle name="표준 6 2 2 2 2 15 2 4" xfId="14935"/>
    <cellStyle name="표준 6 2 2 2 2 15 2 4 2" xfId="40287"/>
    <cellStyle name="표준 6 2 2 2 2 15 2 5" xfId="27615"/>
    <cellStyle name="표준 6 2 2 2 2 15 2 6" xfId="55140"/>
    <cellStyle name="표준 6 2 2 2 2 15 3" xfId="5406"/>
    <cellStyle name="표준 6 2 2 2 2 15 3 2" xfId="11742"/>
    <cellStyle name="표준 6 2 2 2 2 15 3 2 2" xfId="24415"/>
    <cellStyle name="표준 6 2 2 2 2 15 3 2 2 2" xfId="49767"/>
    <cellStyle name="표준 6 2 2 2 2 15 3 2 3" xfId="37095"/>
    <cellStyle name="표준 6 2 2 2 2 15 3 3" xfId="18079"/>
    <cellStyle name="표준 6 2 2 2 2 15 3 3 2" xfId="43431"/>
    <cellStyle name="표준 6 2 2 2 2 15 3 4" xfId="30759"/>
    <cellStyle name="표준 6 2 2 2 2 15 3 5" xfId="55141"/>
    <cellStyle name="표준 6 2 2 2 2 15 4" xfId="8597"/>
    <cellStyle name="표준 6 2 2 2 2 15 4 2" xfId="21270"/>
    <cellStyle name="표준 6 2 2 2 2 15 4 2 2" xfId="46622"/>
    <cellStyle name="표준 6 2 2 2 2 15 4 3" xfId="33950"/>
    <cellStyle name="표준 6 2 2 2 2 15 5" xfId="14934"/>
    <cellStyle name="표준 6 2 2 2 2 15 5 2" xfId="40286"/>
    <cellStyle name="표준 6 2 2 2 2 15 6" xfId="27614"/>
    <cellStyle name="표준 6 2 2 2 2 15 7" xfId="55142"/>
    <cellStyle name="표준 6 2 2 2 2 16" xfId="2262"/>
    <cellStyle name="표준 6 2 2 2 2 16 2" xfId="2263"/>
    <cellStyle name="표준 6 2 2 2 2 16 2 2" xfId="5407"/>
    <cellStyle name="표준 6 2 2 2 2 16 2 2 2" xfId="11743"/>
    <cellStyle name="표준 6 2 2 2 2 16 2 2 2 2" xfId="24416"/>
    <cellStyle name="표준 6 2 2 2 2 16 2 2 2 2 2" xfId="49768"/>
    <cellStyle name="표준 6 2 2 2 2 16 2 2 2 3" xfId="37096"/>
    <cellStyle name="표준 6 2 2 2 2 16 2 2 3" xfId="18080"/>
    <cellStyle name="표준 6 2 2 2 2 16 2 2 3 2" xfId="43432"/>
    <cellStyle name="표준 6 2 2 2 2 16 2 2 4" xfId="30760"/>
    <cellStyle name="표준 6 2 2 2 2 16 2 2 5" xfId="55143"/>
    <cellStyle name="표준 6 2 2 2 2 16 2 3" xfId="8600"/>
    <cellStyle name="표준 6 2 2 2 2 16 2 3 2" xfId="21273"/>
    <cellStyle name="표준 6 2 2 2 2 16 2 3 2 2" xfId="46625"/>
    <cellStyle name="표준 6 2 2 2 2 16 2 3 3" xfId="33953"/>
    <cellStyle name="표준 6 2 2 2 2 16 2 4" xfId="14937"/>
    <cellStyle name="표준 6 2 2 2 2 16 2 4 2" xfId="40289"/>
    <cellStyle name="표준 6 2 2 2 2 16 2 5" xfId="27617"/>
    <cellStyle name="표준 6 2 2 2 2 16 2 6" xfId="55144"/>
    <cellStyle name="표준 6 2 2 2 2 16 3" xfId="5408"/>
    <cellStyle name="표준 6 2 2 2 2 16 3 2" xfId="11744"/>
    <cellStyle name="표준 6 2 2 2 2 16 3 2 2" xfId="24417"/>
    <cellStyle name="표준 6 2 2 2 2 16 3 2 2 2" xfId="49769"/>
    <cellStyle name="표준 6 2 2 2 2 16 3 2 3" xfId="37097"/>
    <cellStyle name="표준 6 2 2 2 2 16 3 3" xfId="18081"/>
    <cellStyle name="표준 6 2 2 2 2 16 3 3 2" xfId="43433"/>
    <cellStyle name="표준 6 2 2 2 2 16 3 4" xfId="30761"/>
    <cellStyle name="표준 6 2 2 2 2 16 3 5" xfId="55145"/>
    <cellStyle name="표준 6 2 2 2 2 16 4" xfId="8599"/>
    <cellStyle name="표준 6 2 2 2 2 16 4 2" xfId="21272"/>
    <cellStyle name="표준 6 2 2 2 2 16 4 2 2" xfId="46624"/>
    <cellStyle name="표준 6 2 2 2 2 16 4 3" xfId="33952"/>
    <cellStyle name="표준 6 2 2 2 2 16 5" xfId="14936"/>
    <cellStyle name="표준 6 2 2 2 2 16 5 2" xfId="40288"/>
    <cellStyle name="표준 6 2 2 2 2 16 6" xfId="27616"/>
    <cellStyle name="표준 6 2 2 2 2 16 7" xfId="55146"/>
    <cellStyle name="표준 6 2 2 2 2 17" xfId="2264"/>
    <cellStyle name="표준 6 2 2 2 2 17 2" xfId="2265"/>
    <cellStyle name="표준 6 2 2 2 2 17 2 2" xfId="5409"/>
    <cellStyle name="표준 6 2 2 2 2 17 2 2 2" xfId="11745"/>
    <cellStyle name="표준 6 2 2 2 2 17 2 2 2 2" xfId="24418"/>
    <cellStyle name="표준 6 2 2 2 2 17 2 2 2 2 2" xfId="49770"/>
    <cellStyle name="표준 6 2 2 2 2 17 2 2 2 3" xfId="37098"/>
    <cellStyle name="표준 6 2 2 2 2 17 2 2 3" xfId="18082"/>
    <cellStyle name="표준 6 2 2 2 2 17 2 2 3 2" xfId="43434"/>
    <cellStyle name="표준 6 2 2 2 2 17 2 2 4" xfId="30762"/>
    <cellStyle name="표준 6 2 2 2 2 17 2 2 5" xfId="55147"/>
    <cellStyle name="표준 6 2 2 2 2 17 2 3" xfId="8602"/>
    <cellStyle name="표준 6 2 2 2 2 17 2 3 2" xfId="21275"/>
    <cellStyle name="표준 6 2 2 2 2 17 2 3 2 2" xfId="46627"/>
    <cellStyle name="표준 6 2 2 2 2 17 2 3 3" xfId="33955"/>
    <cellStyle name="표준 6 2 2 2 2 17 2 4" xfId="14939"/>
    <cellStyle name="표준 6 2 2 2 2 17 2 4 2" xfId="40291"/>
    <cellStyle name="표준 6 2 2 2 2 17 2 5" xfId="27619"/>
    <cellStyle name="표준 6 2 2 2 2 17 2 6" xfId="55148"/>
    <cellStyle name="표준 6 2 2 2 2 17 3" xfId="5410"/>
    <cellStyle name="표준 6 2 2 2 2 17 3 2" xfId="11746"/>
    <cellStyle name="표준 6 2 2 2 2 17 3 2 2" xfId="24419"/>
    <cellStyle name="표준 6 2 2 2 2 17 3 2 2 2" xfId="49771"/>
    <cellStyle name="표준 6 2 2 2 2 17 3 2 3" xfId="37099"/>
    <cellStyle name="표준 6 2 2 2 2 17 3 3" xfId="18083"/>
    <cellStyle name="표준 6 2 2 2 2 17 3 3 2" xfId="43435"/>
    <cellStyle name="표준 6 2 2 2 2 17 3 4" xfId="30763"/>
    <cellStyle name="표준 6 2 2 2 2 17 3 5" xfId="55149"/>
    <cellStyle name="표준 6 2 2 2 2 17 4" xfId="8601"/>
    <cellStyle name="표준 6 2 2 2 2 17 4 2" xfId="21274"/>
    <cellStyle name="표준 6 2 2 2 2 17 4 2 2" xfId="46626"/>
    <cellStyle name="표준 6 2 2 2 2 17 4 3" xfId="33954"/>
    <cellStyle name="표준 6 2 2 2 2 17 5" xfId="14938"/>
    <cellStyle name="표준 6 2 2 2 2 17 5 2" xfId="40290"/>
    <cellStyle name="표준 6 2 2 2 2 17 6" xfId="27618"/>
    <cellStyle name="표준 6 2 2 2 2 17 7" xfId="55150"/>
    <cellStyle name="표준 6 2 2 2 2 18" xfId="2266"/>
    <cellStyle name="표준 6 2 2 2 2 18 2" xfId="2267"/>
    <cellStyle name="표준 6 2 2 2 2 18 2 2" xfId="5411"/>
    <cellStyle name="표준 6 2 2 2 2 18 2 2 2" xfId="11747"/>
    <cellStyle name="표준 6 2 2 2 2 18 2 2 2 2" xfId="24420"/>
    <cellStyle name="표준 6 2 2 2 2 18 2 2 2 2 2" xfId="49772"/>
    <cellStyle name="표준 6 2 2 2 2 18 2 2 2 3" xfId="37100"/>
    <cellStyle name="표준 6 2 2 2 2 18 2 2 3" xfId="18084"/>
    <cellStyle name="표준 6 2 2 2 2 18 2 2 3 2" xfId="43436"/>
    <cellStyle name="표준 6 2 2 2 2 18 2 2 4" xfId="30764"/>
    <cellStyle name="표준 6 2 2 2 2 18 2 2 5" xfId="55151"/>
    <cellStyle name="표준 6 2 2 2 2 18 2 3" xfId="8604"/>
    <cellStyle name="표준 6 2 2 2 2 18 2 3 2" xfId="21277"/>
    <cellStyle name="표준 6 2 2 2 2 18 2 3 2 2" xfId="46629"/>
    <cellStyle name="표준 6 2 2 2 2 18 2 3 3" xfId="33957"/>
    <cellStyle name="표준 6 2 2 2 2 18 2 4" xfId="14941"/>
    <cellStyle name="표준 6 2 2 2 2 18 2 4 2" xfId="40293"/>
    <cellStyle name="표준 6 2 2 2 2 18 2 5" xfId="27621"/>
    <cellStyle name="표준 6 2 2 2 2 18 2 6" xfId="55152"/>
    <cellStyle name="표준 6 2 2 2 2 18 3" xfId="5412"/>
    <cellStyle name="표준 6 2 2 2 2 18 3 2" xfId="11748"/>
    <cellStyle name="표준 6 2 2 2 2 18 3 2 2" xfId="24421"/>
    <cellStyle name="표준 6 2 2 2 2 18 3 2 2 2" xfId="49773"/>
    <cellStyle name="표준 6 2 2 2 2 18 3 2 3" xfId="37101"/>
    <cellStyle name="표준 6 2 2 2 2 18 3 3" xfId="18085"/>
    <cellStyle name="표준 6 2 2 2 2 18 3 3 2" xfId="43437"/>
    <cellStyle name="표준 6 2 2 2 2 18 3 4" xfId="30765"/>
    <cellStyle name="표준 6 2 2 2 2 18 3 5" xfId="55153"/>
    <cellStyle name="표준 6 2 2 2 2 18 4" xfId="8603"/>
    <cellStyle name="표준 6 2 2 2 2 18 4 2" xfId="21276"/>
    <cellStyle name="표준 6 2 2 2 2 18 4 2 2" xfId="46628"/>
    <cellStyle name="표준 6 2 2 2 2 18 4 3" xfId="33956"/>
    <cellStyle name="표준 6 2 2 2 2 18 5" xfId="14940"/>
    <cellStyle name="표준 6 2 2 2 2 18 5 2" xfId="40292"/>
    <cellStyle name="표준 6 2 2 2 2 18 6" xfId="27620"/>
    <cellStyle name="표준 6 2 2 2 2 18 7" xfId="55154"/>
    <cellStyle name="표준 6 2 2 2 2 19" xfId="2268"/>
    <cellStyle name="표준 6 2 2 2 2 19 2" xfId="2269"/>
    <cellStyle name="표준 6 2 2 2 2 19 2 2" xfId="5413"/>
    <cellStyle name="표준 6 2 2 2 2 19 2 2 2" xfId="11749"/>
    <cellStyle name="표준 6 2 2 2 2 19 2 2 2 2" xfId="24422"/>
    <cellStyle name="표준 6 2 2 2 2 19 2 2 2 2 2" xfId="49774"/>
    <cellStyle name="표준 6 2 2 2 2 19 2 2 2 3" xfId="37102"/>
    <cellStyle name="표준 6 2 2 2 2 19 2 2 3" xfId="18086"/>
    <cellStyle name="표준 6 2 2 2 2 19 2 2 3 2" xfId="43438"/>
    <cellStyle name="표준 6 2 2 2 2 19 2 2 4" xfId="30766"/>
    <cellStyle name="표준 6 2 2 2 2 19 2 2 5" xfId="55155"/>
    <cellStyle name="표준 6 2 2 2 2 19 2 3" xfId="8606"/>
    <cellStyle name="표준 6 2 2 2 2 19 2 3 2" xfId="21279"/>
    <cellStyle name="표준 6 2 2 2 2 19 2 3 2 2" xfId="46631"/>
    <cellStyle name="표준 6 2 2 2 2 19 2 3 3" xfId="33959"/>
    <cellStyle name="표준 6 2 2 2 2 19 2 4" xfId="14943"/>
    <cellStyle name="표준 6 2 2 2 2 19 2 4 2" xfId="40295"/>
    <cellStyle name="표준 6 2 2 2 2 19 2 5" xfId="27623"/>
    <cellStyle name="표준 6 2 2 2 2 19 2 6" xfId="55156"/>
    <cellStyle name="표준 6 2 2 2 2 19 3" xfId="5414"/>
    <cellStyle name="표준 6 2 2 2 2 19 3 2" xfId="11750"/>
    <cellStyle name="표준 6 2 2 2 2 19 3 2 2" xfId="24423"/>
    <cellStyle name="표준 6 2 2 2 2 19 3 2 2 2" xfId="49775"/>
    <cellStyle name="표준 6 2 2 2 2 19 3 2 3" xfId="37103"/>
    <cellStyle name="표준 6 2 2 2 2 19 3 3" xfId="18087"/>
    <cellStyle name="표준 6 2 2 2 2 19 3 3 2" xfId="43439"/>
    <cellStyle name="표준 6 2 2 2 2 19 3 4" xfId="30767"/>
    <cellStyle name="표준 6 2 2 2 2 19 3 5" xfId="55157"/>
    <cellStyle name="표준 6 2 2 2 2 19 4" xfId="8605"/>
    <cellStyle name="표준 6 2 2 2 2 19 4 2" xfId="21278"/>
    <cellStyle name="표준 6 2 2 2 2 19 4 2 2" xfId="46630"/>
    <cellStyle name="표준 6 2 2 2 2 19 4 3" xfId="33958"/>
    <cellStyle name="표준 6 2 2 2 2 19 5" xfId="14942"/>
    <cellStyle name="표준 6 2 2 2 2 19 5 2" xfId="40294"/>
    <cellStyle name="표준 6 2 2 2 2 19 6" xfId="27622"/>
    <cellStyle name="표준 6 2 2 2 2 19 7" xfId="55158"/>
    <cellStyle name="표준 6 2 2 2 2 2" xfId="2270"/>
    <cellStyle name="표준 6 2 2 2 2 2 2" xfId="2271"/>
    <cellStyle name="표준 6 2 2 2 2 2 2 2" xfId="5415"/>
    <cellStyle name="표준 6 2 2 2 2 2 2 2 2" xfId="11751"/>
    <cellStyle name="표준 6 2 2 2 2 2 2 2 2 2" xfId="24424"/>
    <cellStyle name="표준 6 2 2 2 2 2 2 2 2 2 2" xfId="49776"/>
    <cellStyle name="표준 6 2 2 2 2 2 2 2 2 3" xfId="37104"/>
    <cellStyle name="표준 6 2 2 2 2 2 2 2 3" xfId="18088"/>
    <cellStyle name="표준 6 2 2 2 2 2 2 2 3 2" xfId="43440"/>
    <cellStyle name="표준 6 2 2 2 2 2 2 2 4" xfId="30768"/>
    <cellStyle name="표준 6 2 2 2 2 2 2 2 5" xfId="55159"/>
    <cellStyle name="표준 6 2 2 2 2 2 2 3" xfId="8608"/>
    <cellStyle name="표준 6 2 2 2 2 2 2 3 2" xfId="21281"/>
    <cellStyle name="표준 6 2 2 2 2 2 2 3 2 2" xfId="46633"/>
    <cellStyle name="표준 6 2 2 2 2 2 2 3 3" xfId="33961"/>
    <cellStyle name="표준 6 2 2 2 2 2 2 4" xfId="14945"/>
    <cellStyle name="표준 6 2 2 2 2 2 2 4 2" xfId="40297"/>
    <cellStyle name="표준 6 2 2 2 2 2 2 5" xfId="27625"/>
    <cellStyle name="표준 6 2 2 2 2 2 2 6" xfId="55160"/>
    <cellStyle name="표준 6 2 2 2 2 2 3" xfId="5416"/>
    <cellStyle name="표준 6 2 2 2 2 2 3 2" xfId="11752"/>
    <cellStyle name="표준 6 2 2 2 2 2 3 2 2" xfId="24425"/>
    <cellStyle name="표준 6 2 2 2 2 2 3 2 2 2" xfId="49777"/>
    <cellStyle name="표준 6 2 2 2 2 2 3 2 3" xfId="37105"/>
    <cellStyle name="표준 6 2 2 2 2 2 3 3" xfId="18089"/>
    <cellStyle name="표준 6 2 2 2 2 2 3 3 2" xfId="43441"/>
    <cellStyle name="표준 6 2 2 2 2 2 3 4" xfId="30769"/>
    <cellStyle name="표준 6 2 2 2 2 2 3 5" xfId="55161"/>
    <cellStyle name="표준 6 2 2 2 2 2 4" xfId="8607"/>
    <cellStyle name="표준 6 2 2 2 2 2 4 2" xfId="21280"/>
    <cellStyle name="표준 6 2 2 2 2 2 4 2 2" xfId="46632"/>
    <cellStyle name="표준 6 2 2 2 2 2 4 3" xfId="33960"/>
    <cellStyle name="표준 6 2 2 2 2 2 5" xfId="14944"/>
    <cellStyle name="표준 6 2 2 2 2 2 5 2" xfId="40296"/>
    <cellStyle name="표준 6 2 2 2 2 2 6" xfId="27624"/>
    <cellStyle name="표준 6 2 2 2 2 2 7" xfId="55162"/>
    <cellStyle name="표준 6 2 2 2 2 20" xfId="2272"/>
    <cellStyle name="표준 6 2 2 2 2 20 2" xfId="2273"/>
    <cellStyle name="표준 6 2 2 2 2 20 2 2" xfId="5417"/>
    <cellStyle name="표준 6 2 2 2 2 20 2 2 2" xfId="11753"/>
    <cellStyle name="표준 6 2 2 2 2 20 2 2 2 2" xfId="24426"/>
    <cellStyle name="표준 6 2 2 2 2 20 2 2 2 2 2" xfId="49778"/>
    <cellStyle name="표준 6 2 2 2 2 20 2 2 2 3" xfId="37106"/>
    <cellStyle name="표준 6 2 2 2 2 20 2 2 3" xfId="18090"/>
    <cellStyle name="표준 6 2 2 2 2 20 2 2 3 2" xfId="43442"/>
    <cellStyle name="표준 6 2 2 2 2 20 2 2 4" xfId="30770"/>
    <cellStyle name="표준 6 2 2 2 2 20 2 2 5" xfId="55163"/>
    <cellStyle name="표준 6 2 2 2 2 20 2 3" xfId="8610"/>
    <cellStyle name="표준 6 2 2 2 2 20 2 3 2" xfId="21283"/>
    <cellStyle name="표준 6 2 2 2 2 20 2 3 2 2" xfId="46635"/>
    <cellStyle name="표준 6 2 2 2 2 20 2 3 3" xfId="33963"/>
    <cellStyle name="표준 6 2 2 2 2 20 2 4" xfId="14947"/>
    <cellStyle name="표준 6 2 2 2 2 20 2 4 2" xfId="40299"/>
    <cellStyle name="표준 6 2 2 2 2 20 2 5" xfId="27627"/>
    <cellStyle name="표준 6 2 2 2 2 20 2 6" xfId="55164"/>
    <cellStyle name="표준 6 2 2 2 2 20 3" xfId="5418"/>
    <cellStyle name="표준 6 2 2 2 2 20 3 2" xfId="11754"/>
    <cellStyle name="표준 6 2 2 2 2 20 3 2 2" xfId="24427"/>
    <cellStyle name="표준 6 2 2 2 2 20 3 2 2 2" xfId="49779"/>
    <cellStyle name="표준 6 2 2 2 2 20 3 2 3" xfId="37107"/>
    <cellStyle name="표준 6 2 2 2 2 20 3 3" xfId="18091"/>
    <cellStyle name="표준 6 2 2 2 2 20 3 3 2" xfId="43443"/>
    <cellStyle name="표준 6 2 2 2 2 20 3 4" xfId="30771"/>
    <cellStyle name="표준 6 2 2 2 2 20 3 5" xfId="55165"/>
    <cellStyle name="표준 6 2 2 2 2 20 4" xfId="8609"/>
    <cellStyle name="표준 6 2 2 2 2 20 4 2" xfId="21282"/>
    <cellStyle name="표준 6 2 2 2 2 20 4 2 2" xfId="46634"/>
    <cellStyle name="표준 6 2 2 2 2 20 4 3" xfId="33962"/>
    <cellStyle name="표준 6 2 2 2 2 20 5" xfId="14946"/>
    <cellStyle name="표준 6 2 2 2 2 20 5 2" xfId="40298"/>
    <cellStyle name="표준 6 2 2 2 2 20 6" xfId="27626"/>
    <cellStyle name="표준 6 2 2 2 2 20 7" xfId="55166"/>
    <cellStyle name="표준 6 2 2 2 2 21" xfId="2274"/>
    <cellStyle name="표준 6 2 2 2 2 21 2" xfId="2275"/>
    <cellStyle name="표준 6 2 2 2 2 21 2 2" xfId="5419"/>
    <cellStyle name="표준 6 2 2 2 2 21 2 2 2" xfId="11755"/>
    <cellStyle name="표준 6 2 2 2 2 21 2 2 2 2" xfId="24428"/>
    <cellStyle name="표준 6 2 2 2 2 21 2 2 2 2 2" xfId="49780"/>
    <cellStyle name="표준 6 2 2 2 2 21 2 2 2 3" xfId="37108"/>
    <cellStyle name="표준 6 2 2 2 2 21 2 2 3" xfId="18092"/>
    <cellStyle name="표준 6 2 2 2 2 21 2 2 3 2" xfId="43444"/>
    <cellStyle name="표준 6 2 2 2 2 21 2 2 4" xfId="30772"/>
    <cellStyle name="표준 6 2 2 2 2 21 2 2 5" xfId="55167"/>
    <cellStyle name="표준 6 2 2 2 2 21 2 3" xfId="8612"/>
    <cellStyle name="표준 6 2 2 2 2 21 2 3 2" xfId="21285"/>
    <cellStyle name="표준 6 2 2 2 2 21 2 3 2 2" xfId="46637"/>
    <cellStyle name="표준 6 2 2 2 2 21 2 3 3" xfId="33965"/>
    <cellStyle name="표준 6 2 2 2 2 21 2 4" xfId="14949"/>
    <cellStyle name="표준 6 2 2 2 2 21 2 4 2" xfId="40301"/>
    <cellStyle name="표준 6 2 2 2 2 21 2 5" xfId="27629"/>
    <cellStyle name="표준 6 2 2 2 2 21 2 6" xfId="55168"/>
    <cellStyle name="표준 6 2 2 2 2 21 3" xfId="5420"/>
    <cellStyle name="표준 6 2 2 2 2 21 3 2" xfId="11756"/>
    <cellStyle name="표준 6 2 2 2 2 21 3 2 2" xfId="24429"/>
    <cellStyle name="표준 6 2 2 2 2 21 3 2 2 2" xfId="49781"/>
    <cellStyle name="표준 6 2 2 2 2 21 3 2 3" xfId="37109"/>
    <cellStyle name="표준 6 2 2 2 2 21 3 3" xfId="18093"/>
    <cellStyle name="표준 6 2 2 2 2 21 3 3 2" xfId="43445"/>
    <cellStyle name="표준 6 2 2 2 2 21 3 4" xfId="30773"/>
    <cellStyle name="표준 6 2 2 2 2 21 3 5" xfId="55169"/>
    <cellStyle name="표준 6 2 2 2 2 21 4" xfId="8611"/>
    <cellStyle name="표준 6 2 2 2 2 21 4 2" xfId="21284"/>
    <cellStyle name="표준 6 2 2 2 2 21 4 2 2" xfId="46636"/>
    <cellStyle name="표준 6 2 2 2 2 21 4 3" xfId="33964"/>
    <cellStyle name="표준 6 2 2 2 2 21 5" xfId="14948"/>
    <cellStyle name="표준 6 2 2 2 2 21 5 2" xfId="40300"/>
    <cellStyle name="표준 6 2 2 2 2 21 6" xfId="27628"/>
    <cellStyle name="표준 6 2 2 2 2 21 7" xfId="55170"/>
    <cellStyle name="표준 6 2 2 2 2 22" xfId="2276"/>
    <cellStyle name="표준 6 2 2 2 2 22 2" xfId="2277"/>
    <cellStyle name="표준 6 2 2 2 2 22 2 2" xfId="5421"/>
    <cellStyle name="표준 6 2 2 2 2 22 2 2 2" xfId="11757"/>
    <cellStyle name="표준 6 2 2 2 2 22 2 2 2 2" xfId="24430"/>
    <cellStyle name="표준 6 2 2 2 2 22 2 2 2 2 2" xfId="49782"/>
    <cellStyle name="표준 6 2 2 2 2 22 2 2 2 3" xfId="37110"/>
    <cellStyle name="표준 6 2 2 2 2 22 2 2 3" xfId="18094"/>
    <cellStyle name="표준 6 2 2 2 2 22 2 2 3 2" xfId="43446"/>
    <cellStyle name="표준 6 2 2 2 2 22 2 2 4" xfId="30774"/>
    <cellStyle name="표준 6 2 2 2 2 22 2 2 5" xfId="55171"/>
    <cellStyle name="표준 6 2 2 2 2 22 2 3" xfId="8614"/>
    <cellStyle name="표준 6 2 2 2 2 22 2 3 2" xfId="21287"/>
    <cellStyle name="표준 6 2 2 2 2 22 2 3 2 2" xfId="46639"/>
    <cellStyle name="표준 6 2 2 2 2 22 2 3 3" xfId="33967"/>
    <cellStyle name="표준 6 2 2 2 2 22 2 4" xfId="14951"/>
    <cellStyle name="표준 6 2 2 2 2 22 2 4 2" xfId="40303"/>
    <cellStyle name="표준 6 2 2 2 2 22 2 5" xfId="27631"/>
    <cellStyle name="표준 6 2 2 2 2 22 2 6" xfId="55172"/>
    <cellStyle name="표준 6 2 2 2 2 22 3" xfId="5422"/>
    <cellStyle name="표준 6 2 2 2 2 22 3 2" xfId="11758"/>
    <cellStyle name="표준 6 2 2 2 2 22 3 2 2" xfId="24431"/>
    <cellStyle name="표준 6 2 2 2 2 22 3 2 2 2" xfId="49783"/>
    <cellStyle name="표준 6 2 2 2 2 22 3 2 3" xfId="37111"/>
    <cellStyle name="표준 6 2 2 2 2 22 3 3" xfId="18095"/>
    <cellStyle name="표준 6 2 2 2 2 22 3 3 2" xfId="43447"/>
    <cellStyle name="표준 6 2 2 2 2 22 3 4" xfId="30775"/>
    <cellStyle name="표준 6 2 2 2 2 22 3 5" xfId="55173"/>
    <cellStyle name="표준 6 2 2 2 2 22 4" xfId="8613"/>
    <cellStyle name="표준 6 2 2 2 2 22 4 2" xfId="21286"/>
    <cellStyle name="표준 6 2 2 2 2 22 4 2 2" xfId="46638"/>
    <cellStyle name="표준 6 2 2 2 2 22 4 3" xfId="33966"/>
    <cellStyle name="표준 6 2 2 2 2 22 5" xfId="14950"/>
    <cellStyle name="표준 6 2 2 2 2 22 5 2" xfId="40302"/>
    <cellStyle name="표준 6 2 2 2 2 22 6" xfId="27630"/>
    <cellStyle name="표준 6 2 2 2 2 22 7" xfId="55174"/>
    <cellStyle name="표준 6 2 2 2 2 23" xfId="2278"/>
    <cellStyle name="표준 6 2 2 2 2 23 2" xfId="2279"/>
    <cellStyle name="표준 6 2 2 2 2 23 2 2" xfId="5423"/>
    <cellStyle name="표준 6 2 2 2 2 23 2 2 2" xfId="11759"/>
    <cellStyle name="표준 6 2 2 2 2 23 2 2 2 2" xfId="24432"/>
    <cellStyle name="표준 6 2 2 2 2 23 2 2 2 2 2" xfId="49784"/>
    <cellStyle name="표준 6 2 2 2 2 23 2 2 2 3" xfId="37112"/>
    <cellStyle name="표준 6 2 2 2 2 23 2 2 3" xfId="18096"/>
    <cellStyle name="표준 6 2 2 2 2 23 2 2 3 2" xfId="43448"/>
    <cellStyle name="표준 6 2 2 2 2 23 2 2 4" xfId="30776"/>
    <cellStyle name="표준 6 2 2 2 2 23 2 2 5" xfId="55175"/>
    <cellStyle name="표준 6 2 2 2 2 23 2 3" xfId="8616"/>
    <cellStyle name="표준 6 2 2 2 2 23 2 3 2" xfId="21289"/>
    <cellStyle name="표준 6 2 2 2 2 23 2 3 2 2" xfId="46641"/>
    <cellStyle name="표준 6 2 2 2 2 23 2 3 3" xfId="33969"/>
    <cellStyle name="표준 6 2 2 2 2 23 2 4" xfId="14953"/>
    <cellStyle name="표준 6 2 2 2 2 23 2 4 2" xfId="40305"/>
    <cellStyle name="표준 6 2 2 2 2 23 2 5" xfId="27633"/>
    <cellStyle name="표준 6 2 2 2 2 23 2 6" xfId="55176"/>
    <cellStyle name="표준 6 2 2 2 2 23 3" xfId="5424"/>
    <cellStyle name="표준 6 2 2 2 2 23 3 2" xfId="11760"/>
    <cellStyle name="표준 6 2 2 2 2 23 3 2 2" xfId="24433"/>
    <cellStyle name="표준 6 2 2 2 2 23 3 2 2 2" xfId="49785"/>
    <cellStyle name="표준 6 2 2 2 2 23 3 2 3" xfId="37113"/>
    <cellStyle name="표준 6 2 2 2 2 23 3 3" xfId="18097"/>
    <cellStyle name="표준 6 2 2 2 2 23 3 3 2" xfId="43449"/>
    <cellStyle name="표준 6 2 2 2 2 23 3 4" xfId="30777"/>
    <cellStyle name="표준 6 2 2 2 2 23 3 5" xfId="55177"/>
    <cellStyle name="표준 6 2 2 2 2 23 4" xfId="8615"/>
    <cellStyle name="표준 6 2 2 2 2 23 4 2" xfId="21288"/>
    <cellStyle name="표준 6 2 2 2 2 23 4 2 2" xfId="46640"/>
    <cellStyle name="표준 6 2 2 2 2 23 4 3" xfId="33968"/>
    <cellStyle name="표준 6 2 2 2 2 23 5" xfId="14952"/>
    <cellStyle name="표준 6 2 2 2 2 23 5 2" xfId="40304"/>
    <cellStyle name="표준 6 2 2 2 2 23 6" xfId="27632"/>
    <cellStyle name="표준 6 2 2 2 2 23 7" xfId="55178"/>
    <cellStyle name="표준 6 2 2 2 2 24" xfId="2280"/>
    <cellStyle name="표준 6 2 2 2 2 24 2" xfId="2281"/>
    <cellStyle name="표준 6 2 2 2 2 24 2 2" xfId="5425"/>
    <cellStyle name="표준 6 2 2 2 2 24 2 2 2" xfId="11761"/>
    <cellStyle name="표준 6 2 2 2 2 24 2 2 2 2" xfId="24434"/>
    <cellStyle name="표준 6 2 2 2 2 24 2 2 2 2 2" xfId="49786"/>
    <cellStyle name="표준 6 2 2 2 2 24 2 2 2 3" xfId="37114"/>
    <cellStyle name="표준 6 2 2 2 2 24 2 2 3" xfId="18098"/>
    <cellStyle name="표준 6 2 2 2 2 24 2 2 3 2" xfId="43450"/>
    <cellStyle name="표준 6 2 2 2 2 24 2 2 4" xfId="30778"/>
    <cellStyle name="표준 6 2 2 2 2 24 2 2 5" xfId="55179"/>
    <cellStyle name="표준 6 2 2 2 2 24 2 3" xfId="8618"/>
    <cellStyle name="표준 6 2 2 2 2 24 2 3 2" xfId="21291"/>
    <cellStyle name="표준 6 2 2 2 2 24 2 3 2 2" xfId="46643"/>
    <cellStyle name="표준 6 2 2 2 2 24 2 3 3" xfId="33971"/>
    <cellStyle name="표준 6 2 2 2 2 24 2 4" xfId="14955"/>
    <cellStyle name="표준 6 2 2 2 2 24 2 4 2" xfId="40307"/>
    <cellStyle name="표준 6 2 2 2 2 24 2 5" xfId="27635"/>
    <cellStyle name="표준 6 2 2 2 2 24 2 6" xfId="55180"/>
    <cellStyle name="표준 6 2 2 2 2 24 3" xfId="5426"/>
    <cellStyle name="표준 6 2 2 2 2 24 3 2" xfId="11762"/>
    <cellStyle name="표준 6 2 2 2 2 24 3 2 2" xfId="24435"/>
    <cellStyle name="표준 6 2 2 2 2 24 3 2 2 2" xfId="49787"/>
    <cellStyle name="표준 6 2 2 2 2 24 3 2 3" xfId="37115"/>
    <cellStyle name="표준 6 2 2 2 2 24 3 3" xfId="18099"/>
    <cellStyle name="표준 6 2 2 2 2 24 3 3 2" xfId="43451"/>
    <cellStyle name="표준 6 2 2 2 2 24 3 4" xfId="30779"/>
    <cellStyle name="표준 6 2 2 2 2 24 3 5" xfId="55181"/>
    <cellStyle name="표준 6 2 2 2 2 24 4" xfId="8617"/>
    <cellStyle name="표준 6 2 2 2 2 24 4 2" xfId="21290"/>
    <cellStyle name="표준 6 2 2 2 2 24 4 2 2" xfId="46642"/>
    <cellStyle name="표준 6 2 2 2 2 24 4 3" xfId="33970"/>
    <cellStyle name="표준 6 2 2 2 2 24 5" xfId="14954"/>
    <cellStyle name="표준 6 2 2 2 2 24 5 2" xfId="40306"/>
    <cellStyle name="표준 6 2 2 2 2 24 6" xfId="27634"/>
    <cellStyle name="표준 6 2 2 2 2 24 7" xfId="55182"/>
    <cellStyle name="표준 6 2 2 2 2 25" xfId="2282"/>
    <cellStyle name="표준 6 2 2 2 2 25 2" xfId="2283"/>
    <cellStyle name="표준 6 2 2 2 2 25 2 2" xfId="5427"/>
    <cellStyle name="표준 6 2 2 2 2 25 2 2 2" xfId="11763"/>
    <cellStyle name="표준 6 2 2 2 2 25 2 2 2 2" xfId="24436"/>
    <cellStyle name="표준 6 2 2 2 2 25 2 2 2 2 2" xfId="49788"/>
    <cellStyle name="표준 6 2 2 2 2 25 2 2 2 3" xfId="37116"/>
    <cellStyle name="표준 6 2 2 2 2 25 2 2 3" xfId="18100"/>
    <cellStyle name="표준 6 2 2 2 2 25 2 2 3 2" xfId="43452"/>
    <cellStyle name="표준 6 2 2 2 2 25 2 2 4" xfId="30780"/>
    <cellStyle name="표준 6 2 2 2 2 25 2 2 5" xfId="55183"/>
    <cellStyle name="표준 6 2 2 2 2 25 2 3" xfId="8620"/>
    <cellStyle name="표준 6 2 2 2 2 25 2 3 2" xfId="21293"/>
    <cellStyle name="표준 6 2 2 2 2 25 2 3 2 2" xfId="46645"/>
    <cellStyle name="표준 6 2 2 2 2 25 2 3 3" xfId="33973"/>
    <cellStyle name="표준 6 2 2 2 2 25 2 4" xfId="14957"/>
    <cellStyle name="표준 6 2 2 2 2 25 2 4 2" xfId="40309"/>
    <cellStyle name="표준 6 2 2 2 2 25 2 5" xfId="27637"/>
    <cellStyle name="표준 6 2 2 2 2 25 2 6" xfId="55184"/>
    <cellStyle name="표준 6 2 2 2 2 25 3" xfId="5428"/>
    <cellStyle name="표준 6 2 2 2 2 25 3 2" xfId="11764"/>
    <cellStyle name="표준 6 2 2 2 2 25 3 2 2" xfId="24437"/>
    <cellStyle name="표준 6 2 2 2 2 25 3 2 2 2" xfId="49789"/>
    <cellStyle name="표준 6 2 2 2 2 25 3 2 3" xfId="37117"/>
    <cellStyle name="표준 6 2 2 2 2 25 3 3" xfId="18101"/>
    <cellStyle name="표준 6 2 2 2 2 25 3 3 2" xfId="43453"/>
    <cellStyle name="표준 6 2 2 2 2 25 3 4" xfId="30781"/>
    <cellStyle name="표준 6 2 2 2 2 25 3 5" xfId="55185"/>
    <cellStyle name="표준 6 2 2 2 2 25 4" xfId="8619"/>
    <cellStyle name="표준 6 2 2 2 2 25 4 2" xfId="21292"/>
    <cellStyle name="표준 6 2 2 2 2 25 4 2 2" xfId="46644"/>
    <cellStyle name="표준 6 2 2 2 2 25 4 3" xfId="33972"/>
    <cellStyle name="표준 6 2 2 2 2 25 5" xfId="14956"/>
    <cellStyle name="표준 6 2 2 2 2 25 5 2" xfId="40308"/>
    <cellStyle name="표준 6 2 2 2 2 25 6" xfId="27636"/>
    <cellStyle name="표준 6 2 2 2 2 25 7" xfId="55186"/>
    <cellStyle name="표준 6 2 2 2 2 26" xfId="2284"/>
    <cellStyle name="표준 6 2 2 2 2 26 2" xfId="2285"/>
    <cellStyle name="표준 6 2 2 2 2 26 2 2" xfId="5429"/>
    <cellStyle name="표준 6 2 2 2 2 26 2 2 2" xfId="11765"/>
    <cellStyle name="표준 6 2 2 2 2 26 2 2 2 2" xfId="24438"/>
    <cellStyle name="표준 6 2 2 2 2 26 2 2 2 2 2" xfId="49790"/>
    <cellStyle name="표준 6 2 2 2 2 26 2 2 2 3" xfId="37118"/>
    <cellStyle name="표준 6 2 2 2 2 26 2 2 3" xfId="18102"/>
    <cellStyle name="표준 6 2 2 2 2 26 2 2 3 2" xfId="43454"/>
    <cellStyle name="표준 6 2 2 2 2 26 2 2 4" xfId="30782"/>
    <cellStyle name="표준 6 2 2 2 2 26 2 2 5" xfId="55187"/>
    <cellStyle name="표준 6 2 2 2 2 26 2 3" xfId="8622"/>
    <cellStyle name="표준 6 2 2 2 2 26 2 3 2" xfId="21295"/>
    <cellStyle name="표준 6 2 2 2 2 26 2 3 2 2" xfId="46647"/>
    <cellStyle name="표준 6 2 2 2 2 26 2 3 3" xfId="33975"/>
    <cellStyle name="표준 6 2 2 2 2 26 2 4" xfId="14959"/>
    <cellStyle name="표준 6 2 2 2 2 26 2 4 2" xfId="40311"/>
    <cellStyle name="표준 6 2 2 2 2 26 2 5" xfId="27639"/>
    <cellStyle name="표준 6 2 2 2 2 26 2 6" xfId="55188"/>
    <cellStyle name="표준 6 2 2 2 2 26 3" xfId="5430"/>
    <cellStyle name="표준 6 2 2 2 2 26 3 2" xfId="11766"/>
    <cellStyle name="표준 6 2 2 2 2 26 3 2 2" xfId="24439"/>
    <cellStyle name="표준 6 2 2 2 2 26 3 2 2 2" xfId="49791"/>
    <cellStyle name="표준 6 2 2 2 2 26 3 2 3" xfId="37119"/>
    <cellStyle name="표준 6 2 2 2 2 26 3 3" xfId="18103"/>
    <cellStyle name="표준 6 2 2 2 2 26 3 3 2" xfId="43455"/>
    <cellStyle name="표준 6 2 2 2 2 26 3 4" xfId="30783"/>
    <cellStyle name="표준 6 2 2 2 2 26 3 5" xfId="55189"/>
    <cellStyle name="표준 6 2 2 2 2 26 4" xfId="8621"/>
    <cellStyle name="표준 6 2 2 2 2 26 4 2" xfId="21294"/>
    <cellStyle name="표준 6 2 2 2 2 26 4 2 2" xfId="46646"/>
    <cellStyle name="표준 6 2 2 2 2 26 4 3" xfId="33974"/>
    <cellStyle name="표준 6 2 2 2 2 26 5" xfId="14958"/>
    <cellStyle name="표준 6 2 2 2 2 26 5 2" xfId="40310"/>
    <cellStyle name="표준 6 2 2 2 2 26 6" xfId="27638"/>
    <cellStyle name="표준 6 2 2 2 2 26 7" xfId="55190"/>
    <cellStyle name="표준 6 2 2 2 2 27" xfId="2286"/>
    <cellStyle name="표준 6 2 2 2 2 27 2" xfId="2287"/>
    <cellStyle name="표준 6 2 2 2 2 27 2 2" xfId="5431"/>
    <cellStyle name="표준 6 2 2 2 2 27 2 2 2" xfId="11767"/>
    <cellStyle name="표준 6 2 2 2 2 27 2 2 2 2" xfId="24440"/>
    <cellStyle name="표준 6 2 2 2 2 27 2 2 2 2 2" xfId="49792"/>
    <cellStyle name="표준 6 2 2 2 2 27 2 2 2 3" xfId="37120"/>
    <cellStyle name="표준 6 2 2 2 2 27 2 2 3" xfId="18104"/>
    <cellStyle name="표준 6 2 2 2 2 27 2 2 3 2" xfId="43456"/>
    <cellStyle name="표준 6 2 2 2 2 27 2 2 4" xfId="30784"/>
    <cellStyle name="표준 6 2 2 2 2 27 2 2 5" xfId="55191"/>
    <cellStyle name="표준 6 2 2 2 2 27 2 3" xfId="8624"/>
    <cellStyle name="표준 6 2 2 2 2 27 2 3 2" xfId="21297"/>
    <cellStyle name="표준 6 2 2 2 2 27 2 3 2 2" xfId="46649"/>
    <cellStyle name="표준 6 2 2 2 2 27 2 3 3" xfId="33977"/>
    <cellStyle name="표준 6 2 2 2 2 27 2 4" xfId="14961"/>
    <cellStyle name="표준 6 2 2 2 2 27 2 4 2" xfId="40313"/>
    <cellStyle name="표준 6 2 2 2 2 27 2 5" xfId="27641"/>
    <cellStyle name="표준 6 2 2 2 2 27 2 6" xfId="55192"/>
    <cellStyle name="표준 6 2 2 2 2 27 3" xfId="5432"/>
    <cellStyle name="표준 6 2 2 2 2 27 3 2" xfId="11768"/>
    <cellStyle name="표준 6 2 2 2 2 27 3 2 2" xfId="24441"/>
    <cellStyle name="표준 6 2 2 2 2 27 3 2 2 2" xfId="49793"/>
    <cellStyle name="표준 6 2 2 2 2 27 3 2 3" xfId="37121"/>
    <cellStyle name="표준 6 2 2 2 2 27 3 3" xfId="18105"/>
    <cellStyle name="표준 6 2 2 2 2 27 3 3 2" xfId="43457"/>
    <cellStyle name="표준 6 2 2 2 2 27 3 4" xfId="30785"/>
    <cellStyle name="표준 6 2 2 2 2 27 3 5" xfId="55193"/>
    <cellStyle name="표준 6 2 2 2 2 27 4" xfId="8623"/>
    <cellStyle name="표준 6 2 2 2 2 27 4 2" xfId="21296"/>
    <cellStyle name="표준 6 2 2 2 2 27 4 2 2" xfId="46648"/>
    <cellStyle name="표준 6 2 2 2 2 27 4 3" xfId="33976"/>
    <cellStyle name="표준 6 2 2 2 2 27 5" xfId="14960"/>
    <cellStyle name="표준 6 2 2 2 2 27 5 2" xfId="40312"/>
    <cellStyle name="표준 6 2 2 2 2 27 6" xfId="27640"/>
    <cellStyle name="표준 6 2 2 2 2 27 7" xfId="55194"/>
    <cellStyle name="표준 6 2 2 2 2 28" xfId="2288"/>
    <cellStyle name="표준 6 2 2 2 2 28 2" xfId="2289"/>
    <cellStyle name="표준 6 2 2 2 2 28 2 2" xfId="5433"/>
    <cellStyle name="표준 6 2 2 2 2 28 2 2 2" xfId="11769"/>
    <cellStyle name="표준 6 2 2 2 2 28 2 2 2 2" xfId="24442"/>
    <cellStyle name="표준 6 2 2 2 2 28 2 2 2 2 2" xfId="49794"/>
    <cellStyle name="표준 6 2 2 2 2 28 2 2 2 3" xfId="37122"/>
    <cellStyle name="표준 6 2 2 2 2 28 2 2 3" xfId="18106"/>
    <cellStyle name="표준 6 2 2 2 2 28 2 2 3 2" xfId="43458"/>
    <cellStyle name="표준 6 2 2 2 2 28 2 2 4" xfId="30786"/>
    <cellStyle name="표준 6 2 2 2 2 28 2 2 5" xfId="55195"/>
    <cellStyle name="표준 6 2 2 2 2 28 2 3" xfId="8626"/>
    <cellStyle name="표준 6 2 2 2 2 28 2 3 2" xfId="21299"/>
    <cellStyle name="표준 6 2 2 2 2 28 2 3 2 2" xfId="46651"/>
    <cellStyle name="표준 6 2 2 2 2 28 2 3 3" xfId="33979"/>
    <cellStyle name="표준 6 2 2 2 2 28 2 4" xfId="14963"/>
    <cellStyle name="표준 6 2 2 2 2 28 2 4 2" xfId="40315"/>
    <cellStyle name="표준 6 2 2 2 2 28 2 5" xfId="27643"/>
    <cellStyle name="표준 6 2 2 2 2 28 2 6" xfId="55196"/>
    <cellStyle name="표준 6 2 2 2 2 28 3" xfId="5434"/>
    <cellStyle name="표준 6 2 2 2 2 28 3 2" xfId="11770"/>
    <cellStyle name="표준 6 2 2 2 2 28 3 2 2" xfId="24443"/>
    <cellStyle name="표준 6 2 2 2 2 28 3 2 2 2" xfId="49795"/>
    <cellStyle name="표준 6 2 2 2 2 28 3 2 3" xfId="37123"/>
    <cellStyle name="표준 6 2 2 2 2 28 3 3" xfId="18107"/>
    <cellStyle name="표준 6 2 2 2 2 28 3 3 2" xfId="43459"/>
    <cellStyle name="표준 6 2 2 2 2 28 3 4" xfId="30787"/>
    <cellStyle name="표준 6 2 2 2 2 28 3 5" xfId="55197"/>
    <cellStyle name="표준 6 2 2 2 2 28 4" xfId="8625"/>
    <cellStyle name="표준 6 2 2 2 2 28 4 2" xfId="21298"/>
    <cellStyle name="표준 6 2 2 2 2 28 4 2 2" xfId="46650"/>
    <cellStyle name="표준 6 2 2 2 2 28 4 3" xfId="33978"/>
    <cellStyle name="표준 6 2 2 2 2 28 5" xfId="14962"/>
    <cellStyle name="표준 6 2 2 2 2 28 5 2" xfId="40314"/>
    <cellStyle name="표준 6 2 2 2 2 28 6" xfId="27642"/>
    <cellStyle name="표준 6 2 2 2 2 28 7" xfId="55198"/>
    <cellStyle name="표준 6 2 2 2 2 29" xfId="2290"/>
    <cellStyle name="표준 6 2 2 2 2 29 2" xfId="2291"/>
    <cellStyle name="표준 6 2 2 2 2 29 2 2" xfId="5435"/>
    <cellStyle name="표준 6 2 2 2 2 29 2 2 2" xfId="11771"/>
    <cellStyle name="표준 6 2 2 2 2 29 2 2 2 2" xfId="24444"/>
    <cellStyle name="표준 6 2 2 2 2 29 2 2 2 2 2" xfId="49796"/>
    <cellStyle name="표준 6 2 2 2 2 29 2 2 2 3" xfId="37124"/>
    <cellStyle name="표준 6 2 2 2 2 29 2 2 3" xfId="18108"/>
    <cellStyle name="표준 6 2 2 2 2 29 2 2 3 2" xfId="43460"/>
    <cellStyle name="표준 6 2 2 2 2 29 2 2 4" xfId="30788"/>
    <cellStyle name="표준 6 2 2 2 2 29 2 2 5" xfId="55199"/>
    <cellStyle name="표준 6 2 2 2 2 29 2 3" xfId="8628"/>
    <cellStyle name="표준 6 2 2 2 2 29 2 3 2" xfId="21301"/>
    <cellStyle name="표준 6 2 2 2 2 29 2 3 2 2" xfId="46653"/>
    <cellStyle name="표준 6 2 2 2 2 29 2 3 3" xfId="33981"/>
    <cellStyle name="표준 6 2 2 2 2 29 2 4" xfId="14965"/>
    <cellStyle name="표준 6 2 2 2 2 29 2 4 2" xfId="40317"/>
    <cellStyle name="표준 6 2 2 2 2 29 2 5" xfId="27645"/>
    <cellStyle name="표준 6 2 2 2 2 29 2 6" xfId="55200"/>
    <cellStyle name="표준 6 2 2 2 2 29 3" xfId="5436"/>
    <cellStyle name="표준 6 2 2 2 2 29 3 2" xfId="11772"/>
    <cellStyle name="표준 6 2 2 2 2 29 3 2 2" xfId="24445"/>
    <cellStyle name="표준 6 2 2 2 2 29 3 2 2 2" xfId="49797"/>
    <cellStyle name="표준 6 2 2 2 2 29 3 2 3" xfId="37125"/>
    <cellStyle name="표준 6 2 2 2 2 29 3 3" xfId="18109"/>
    <cellStyle name="표준 6 2 2 2 2 29 3 3 2" xfId="43461"/>
    <cellStyle name="표준 6 2 2 2 2 29 3 4" xfId="30789"/>
    <cellStyle name="표준 6 2 2 2 2 29 3 5" xfId="55201"/>
    <cellStyle name="표준 6 2 2 2 2 29 4" xfId="8627"/>
    <cellStyle name="표준 6 2 2 2 2 29 4 2" xfId="21300"/>
    <cellStyle name="표준 6 2 2 2 2 29 4 2 2" xfId="46652"/>
    <cellStyle name="표준 6 2 2 2 2 29 4 3" xfId="33980"/>
    <cellStyle name="표준 6 2 2 2 2 29 5" xfId="14964"/>
    <cellStyle name="표준 6 2 2 2 2 29 5 2" xfId="40316"/>
    <cellStyle name="표준 6 2 2 2 2 29 6" xfId="27644"/>
    <cellStyle name="표준 6 2 2 2 2 29 7" xfId="55202"/>
    <cellStyle name="표준 6 2 2 2 2 3" xfId="2292"/>
    <cellStyle name="표준 6 2 2 2 2 3 2" xfId="2293"/>
    <cellStyle name="표준 6 2 2 2 2 3 2 2" xfId="5437"/>
    <cellStyle name="표준 6 2 2 2 2 3 2 2 2" xfId="11773"/>
    <cellStyle name="표준 6 2 2 2 2 3 2 2 2 2" xfId="24446"/>
    <cellStyle name="표준 6 2 2 2 2 3 2 2 2 2 2" xfId="49798"/>
    <cellStyle name="표준 6 2 2 2 2 3 2 2 2 3" xfId="37126"/>
    <cellStyle name="표준 6 2 2 2 2 3 2 2 3" xfId="18110"/>
    <cellStyle name="표준 6 2 2 2 2 3 2 2 3 2" xfId="43462"/>
    <cellStyle name="표준 6 2 2 2 2 3 2 2 4" xfId="30790"/>
    <cellStyle name="표준 6 2 2 2 2 3 2 2 5" xfId="55203"/>
    <cellStyle name="표준 6 2 2 2 2 3 2 3" xfId="8630"/>
    <cellStyle name="표준 6 2 2 2 2 3 2 3 2" xfId="21303"/>
    <cellStyle name="표준 6 2 2 2 2 3 2 3 2 2" xfId="46655"/>
    <cellStyle name="표준 6 2 2 2 2 3 2 3 3" xfId="33983"/>
    <cellStyle name="표준 6 2 2 2 2 3 2 4" xfId="14967"/>
    <cellStyle name="표준 6 2 2 2 2 3 2 4 2" xfId="40319"/>
    <cellStyle name="표준 6 2 2 2 2 3 2 5" xfId="27647"/>
    <cellStyle name="표준 6 2 2 2 2 3 2 6" xfId="55204"/>
    <cellStyle name="표준 6 2 2 2 2 3 3" xfId="5438"/>
    <cellStyle name="표준 6 2 2 2 2 3 3 2" xfId="11774"/>
    <cellStyle name="표준 6 2 2 2 2 3 3 2 2" xfId="24447"/>
    <cellStyle name="표준 6 2 2 2 2 3 3 2 2 2" xfId="49799"/>
    <cellStyle name="표준 6 2 2 2 2 3 3 2 3" xfId="37127"/>
    <cellStyle name="표준 6 2 2 2 2 3 3 3" xfId="18111"/>
    <cellStyle name="표준 6 2 2 2 2 3 3 3 2" xfId="43463"/>
    <cellStyle name="표준 6 2 2 2 2 3 3 4" xfId="30791"/>
    <cellStyle name="표준 6 2 2 2 2 3 3 5" xfId="55205"/>
    <cellStyle name="표준 6 2 2 2 2 3 4" xfId="8629"/>
    <cellStyle name="표준 6 2 2 2 2 3 4 2" xfId="21302"/>
    <cellStyle name="표준 6 2 2 2 2 3 4 2 2" xfId="46654"/>
    <cellStyle name="표준 6 2 2 2 2 3 4 3" xfId="33982"/>
    <cellStyle name="표준 6 2 2 2 2 3 5" xfId="14966"/>
    <cellStyle name="표준 6 2 2 2 2 3 5 2" xfId="40318"/>
    <cellStyle name="표준 6 2 2 2 2 3 6" xfId="27646"/>
    <cellStyle name="표준 6 2 2 2 2 3 7" xfId="55206"/>
    <cellStyle name="표준 6 2 2 2 2 30" xfId="2294"/>
    <cellStyle name="표준 6 2 2 2 2 30 2" xfId="2295"/>
    <cellStyle name="표준 6 2 2 2 2 30 2 2" xfId="5439"/>
    <cellStyle name="표준 6 2 2 2 2 30 2 2 2" xfId="11775"/>
    <cellStyle name="표준 6 2 2 2 2 30 2 2 2 2" xfId="24448"/>
    <cellStyle name="표준 6 2 2 2 2 30 2 2 2 2 2" xfId="49800"/>
    <cellStyle name="표준 6 2 2 2 2 30 2 2 2 3" xfId="37128"/>
    <cellStyle name="표준 6 2 2 2 2 30 2 2 3" xfId="18112"/>
    <cellStyle name="표준 6 2 2 2 2 30 2 2 3 2" xfId="43464"/>
    <cellStyle name="표준 6 2 2 2 2 30 2 2 4" xfId="30792"/>
    <cellStyle name="표준 6 2 2 2 2 30 2 2 5" xfId="55207"/>
    <cellStyle name="표준 6 2 2 2 2 30 2 3" xfId="8632"/>
    <cellStyle name="표준 6 2 2 2 2 30 2 3 2" xfId="21305"/>
    <cellStyle name="표준 6 2 2 2 2 30 2 3 2 2" xfId="46657"/>
    <cellStyle name="표준 6 2 2 2 2 30 2 3 3" xfId="33985"/>
    <cellStyle name="표준 6 2 2 2 2 30 2 4" xfId="14969"/>
    <cellStyle name="표준 6 2 2 2 2 30 2 4 2" xfId="40321"/>
    <cellStyle name="표준 6 2 2 2 2 30 2 5" xfId="27649"/>
    <cellStyle name="표준 6 2 2 2 2 30 2 6" xfId="55208"/>
    <cellStyle name="표준 6 2 2 2 2 30 3" xfId="5440"/>
    <cellStyle name="표준 6 2 2 2 2 30 3 2" xfId="11776"/>
    <cellStyle name="표준 6 2 2 2 2 30 3 2 2" xfId="24449"/>
    <cellStyle name="표준 6 2 2 2 2 30 3 2 2 2" xfId="49801"/>
    <cellStyle name="표준 6 2 2 2 2 30 3 2 3" xfId="37129"/>
    <cellStyle name="표준 6 2 2 2 2 30 3 3" xfId="18113"/>
    <cellStyle name="표준 6 2 2 2 2 30 3 3 2" xfId="43465"/>
    <cellStyle name="표준 6 2 2 2 2 30 3 4" xfId="30793"/>
    <cellStyle name="표준 6 2 2 2 2 30 3 5" xfId="55209"/>
    <cellStyle name="표준 6 2 2 2 2 30 4" xfId="8631"/>
    <cellStyle name="표준 6 2 2 2 2 30 4 2" xfId="21304"/>
    <cellStyle name="표준 6 2 2 2 2 30 4 2 2" xfId="46656"/>
    <cellStyle name="표준 6 2 2 2 2 30 4 3" xfId="33984"/>
    <cellStyle name="표준 6 2 2 2 2 30 5" xfId="14968"/>
    <cellStyle name="표준 6 2 2 2 2 30 5 2" xfId="40320"/>
    <cellStyle name="표준 6 2 2 2 2 30 6" xfId="27648"/>
    <cellStyle name="표준 6 2 2 2 2 30 7" xfId="55210"/>
    <cellStyle name="표준 6 2 2 2 2 31" xfId="2296"/>
    <cellStyle name="표준 6 2 2 2 2 31 2" xfId="2297"/>
    <cellStyle name="표준 6 2 2 2 2 31 2 2" xfId="5441"/>
    <cellStyle name="표준 6 2 2 2 2 31 2 2 2" xfId="11777"/>
    <cellStyle name="표준 6 2 2 2 2 31 2 2 2 2" xfId="24450"/>
    <cellStyle name="표준 6 2 2 2 2 31 2 2 2 2 2" xfId="49802"/>
    <cellStyle name="표준 6 2 2 2 2 31 2 2 2 3" xfId="37130"/>
    <cellStyle name="표준 6 2 2 2 2 31 2 2 3" xfId="18114"/>
    <cellStyle name="표준 6 2 2 2 2 31 2 2 3 2" xfId="43466"/>
    <cellStyle name="표준 6 2 2 2 2 31 2 2 4" xfId="30794"/>
    <cellStyle name="표준 6 2 2 2 2 31 2 2 5" xfId="55211"/>
    <cellStyle name="표준 6 2 2 2 2 31 2 3" xfId="8634"/>
    <cellStyle name="표준 6 2 2 2 2 31 2 3 2" xfId="21307"/>
    <cellStyle name="표준 6 2 2 2 2 31 2 3 2 2" xfId="46659"/>
    <cellStyle name="표준 6 2 2 2 2 31 2 3 3" xfId="33987"/>
    <cellStyle name="표준 6 2 2 2 2 31 2 4" xfId="14971"/>
    <cellStyle name="표준 6 2 2 2 2 31 2 4 2" xfId="40323"/>
    <cellStyle name="표준 6 2 2 2 2 31 2 5" xfId="27651"/>
    <cellStyle name="표준 6 2 2 2 2 31 2 6" xfId="55212"/>
    <cellStyle name="표준 6 2 2 2 2 31 3" xfId="5442"/>
    <cellStyle name="표준 6 2 2 2 2 31 3 2" xfId="11778"/>
    <cellStyle name="표준 6 2 2 2 2 31 3 2 2" xfId="24451"/>
    <cellStyle name="표준 6 2 2 2 2 31 3 2 2 2" xfId="49803"/>
    <cellStyle name="표준 6 2 2 2 2 31 3 2 3" xfId="37131"/>
    <cellStyle name="표준 6 2 2 2 2 31 3 3" xfId="18115"/>
    <cellStyle name="표준 6 2 2 2 2 31 3 3 2" xfId="43467"/>
    <cellStyle name="표준 6 2 2 2 2 31 3 4" xfId="30795"/>
    <cellStyle name="표준 6 2 2 2 2 31 3 5" xfId="55213"/>
    <cellStyle name="표준 6 2 2 2 2 31 4" xfId="8633"/>
    <cellStyle name="표준 6 2 2 2 2 31 4 2" xfId="21306"/>
    <cellStyle name="표준 6 2 2 2 2 31 4 2 2" xfId="46658"/>
    <cellStyle name="표준 6 2 2 2 2 31 4 3" xfId="33986"/>
    <cellStyle name="표준 6 2 2 2 2 31 5" xfId="14970"/>
    <cellStyle name="표준 6 2 2 2 2 31 5 2" xfId="40322"/>
    <cellStyle name="표준 6 2 2 2 2 31 6" xfId="27650"/>
    <cellStyle name="표준 6 2 2 2 2 31 7" xfId="55214"/>
    <cellStyle name="표준 6 2 2 2 2 32" xfId="2298"/>
    <cellStyle name="표준 6 2 2 2 2 32 2" xfId="2299"/>
    <cellStyle name="표준 6 2 2 2 2 32 2 2" xfId="5443"/>
    <cellStyle name="표준 6 2 2 2 2 32 2 2 2" xfId="11779"/>
    <cellStyle name="표준 6 2 2 2 2 32 2 2 2 2" xfId="24452"/>
    <cellStyle name="표준 6 2 2 2 2 32 2 2 2 2 2" xfId="49804"/>
    <cellStyle name="표준 6 2 2 2 2 32 2 2 2 3" xfId="37132"/>
    <cellStyle name="표준 6 2 2 2 2 32 2 2 3" xfId="18116"/>
    <cellStyle name="표준 6 2 2 2 2 32 2 2 3 2" xfId="43468"/>
    <cellStyle name="표준 6 2 2 2 2 32 2 2 4" xfId="30796"/>
    <cellStyle name="표준 6 2 2 2 2 32 2 2 5" xfId="55215"/>
    <cellStyle name="표준 6 2 2 2 2 32 2 3" xfId="8636"/>
    <cellStyle name="표준 6 2 2 2 2 32 2 3 2" xfId="21309"/>
    <cellStyle name="표준 6 2 2 2 2 32 2 3 2 2" xfId="46661"/>
    <cellStyle name="표준 6 2 2 2 2 32 2 3 3" xfId="33989"/>
    <cellStyle name="표준 6 2 2 2 2 32 2 4" xfId="14973"/>
    <cellStyle name="표준 6 2 2 2 2 32 2 4 2" xfId="40325"/>
    <cellStyle name="표준 6 2 2 2 2 32 2 5" xfId="27653"/>
    <cellStyle name="표준 6 2 2 2 2 32 2 6" xfId="55216"/>
    <cellStyle name="표준 6 2 2 2 2 32 3" xfId="5444"/>
    <cellStyle name="표준 6 2 2 2 2 32 3 2" xfId="11780"/>
    <cellStyle name="표준 6 2 2 2 2 32 3 2 2" xfId="24453"/>
    <cellStyle name="표준 6 2 2 2 2 32 3 2 2 2" xfId="49805"/>
    <cellStyle name="표준 6 2 2 2 2 32 3 2 3" xfId="37133"/>
    <cellStyle name="표준 6 2 2 2 2 32 3 3" xfId="18117"/>
    <cellStyle name="표준 6 2 2 2 2 32 3 3 2" xfId="43469"/>
    <cellStyle name="표준 6 2 2 2 2 32 3 4" xfId="30797"/>
    <cellStyle name="표준 6 2 2 2 2 32 3 5" xfId="55217"/>
    <cellStyle name="표준 6 2 2 2 2 32 4" xfId="8635"/>
    <cellStyle name="표준 6 2 2 2 2 32 4 2" xfId="21308"/>
    <cellStyle name="표준 6 2 2 2 2 32 4 2 2" xfId="46660"/>
    <cellStyle name="표준 6 2 2 2 2 32 4 3" xfId="33988"/>
    <cellStyle name="표준 6 2 2 2 2 32 5" xfId="14972"/>
    <cellStyle name="표준 6 2 2 2 2 32 5 2" xfId="40324"/>
    <cellStyle name="표준 6 2 2 2 2 32 6" xfId="27652"/>
    <cellStyle name="표준 6 2 2 2 2 32 7" xfId="55218"/>
    <cellStyle name="표준 6 2 2 2 2 33" xfId="2300"/>
    <cellStyle name="표준 6 2 2 2 2 33 2" xfId="2301"/>
    <cellStyle name="표준 6 2 2 2 2 33 2 2" xfId="5445"/>
    <cellStyle name="표준 6 2 2 2 2 33 2 2 2" xfId="11781"/>
    <cellStyle name="표준 6 2 2 2 2 33 2 2 2 2" xfId="24454"/>
    <cellStyle name="표준 6 2 2 2 2 33 2 2 2 2 2" xfId="49806"/>
    <cellStyle name="표준 6 2 2 2 2 33 2 2 2 3" xfId="37134"/>
    <cellStyle name="표준 6 2 2 2 2 33 2 2 3" xfId="18118"/>
    <cellStyle name="표준 6 2 2 2 2 33 2 2 3 2" xfId="43470"/>
    <cellStyle name="표준 6 2 2 2 2 33 2 2 4" xfId="30798"/>
    <cellStyle name="표준 6 2 2 2 2 33 2 2 5" xfId="55219"/>
    <cellStyle name="표준 6 2 2 2 2 33 2 3" xfId="8638"/>
    <cellStyle name="표준 6 2 2 2 2 33 2 3 2" xfId="21311"/>
    <cellStyle name="표준 6 2 2 2 2 33 2 3 2 2" xfId="46663"/>
    <cellStyle name="표준 6 2 2 2 2 33 2 3 3" xfId="33991"/>
    <cellStyle name="표준 6 2 2 2 2 33 2 4" xfId="14975"/>
    <cellStyle name="표준 6 2 2 2 2 33 2 4 2" xfId="40327"/>
    <cellStyle name="표준 6 2 2 2 2 33 2 5" xfId="27655"/>
    <cellStyle name="표준 6 2 2 2 2 33 2 6" xfId="55220"/>
    <cellStyle name="표준 6 2 2 2 2 33 3" xfId="5446"/>
    <cellStyle name="표준 6 2 2 2 2 33 3 2" xfId="11782"/>
    <cellStyle name="표준 6 2 2 2 2 33 3 2 2" xfId="24455"/>
    <cellStyle name="표준 6 2 2 2 2 33 3 2 2 2" xfId="49807"/>
    <cellStyle name="표준 6 2 2 2 2 33 3 2 3" xfId="37135"/>
    <cellStyle name="표준 6 2 2 2 2 33 3 3" xfId="18119"/>
    <cellStyle name="표준 6 2 2 2 2 33 3 3 2" xfId="43471"/>
    <cellStyle name="표준 6 2 2 2 2 33 3 4" xfId="30799"/>
    <cellStyle name="표준 6 2 2 2 2 33 3 5" xfId="55221"/>
    <cellStyle name="표준 6 2 2 2 2 33 4" xfId="8637"/>
    <cellStyle name="표준 6 2 2 2 2 33 4 2" xfId="21310"/>
    <cellStyle name="표준 6 2 2 2 2 33 4 2 2" xfId="46662"/>
    <cellStyle name="표준 6 2 2 2 2 33 4 3" xfId="33990"/>
    <cellStyle name="표준 6 2 2 2 2 33 5" xfId="14974"/>
    <cellStyle name="표준 6 2 2 2 2 33 5 2" xfId="40326"/>
    <cellStyle name="표준 6 2 2 2 2 33 6" xfId="27654"/>
    <cellStyle name="표준 6 2 2 2 2 33 7" xfId="55222"/>
    <cellStyle name="표준 6 2 2 2 2 34" xfId="2302"/>
    <cellStyle name="표준 6 2 2 2 2 34 2" xfId="5447"/>
    <cellStyle name="표준 6 2 2 2 2 34 2 2" xfId="11783"/>
    <cellStyle name="표준 6 2 2 2 2 34 2 2 2" xfId="24456"/>
    <cellStyle name="표준 6 2 2 2 2 34 2 2 2 2" xfId="49808"/>
    <cellStyle name="표준 6 2 2 2 2 34 2 2 3" xfId="37136"/>
    <cellStyle name="표준 6 2 2 2 2 34 2 3" xfId="18120"/>
    <cellStyle name="표준 6 2 2 2 2 34 2 3 2" xfId="43472"/>
    <cellStyle name="표준 6 2 2 2 2 34 2 4" xfId="30800"/>
    <cellStyle name="표준 6 2 2 2 2 34 2 5" xfId="55223"/>
    <cellStyle name="표준 6 2 2 2 2 34 3" xfId="8639"/>
    <cellStyle name="표준 6 2 2 2 2 34 3 2" xfId="21312"/>
    <cellStyle name="표준 6 2 2 2 2 34 3 2 2" xfId="46664"/>
    <cellStyle name="표준 6 2 2 2 2 34 3 3" xfId="33992"/>
    <cellStyle name="표준 6 2 2 2 2 34 4" xfId="14976"/>
    <cellStyle name="표준 6 2 2 2 2 34 4 2" xfId="40328"/>
    <cellStyle name="표준 6 2 2 2 2 34 5" xfId="27656"/>
    <cellStyle name="표준 6 2 2 2 2 34 6" xfId="55224"/>
    <cellStyle name="표준 6 2 2 2 2 35" xfId="5448"/>
    <cellStyle name="표준 6 2 2 2 2 35 2" xfId="11784"/>
    <cellStyle name="표준 6 2 2 2 2 35 2 2" xfId="24457"/>
    <cellStyle name="표준 6 2 2 2 2 35 2 2 2" xfId="49809"/>
    <cellStyle name="표준 6 2 2 2 2 35 2 3" xfId="37137"/>
    <cellStyle name="표준 6 2 2 2 2 35 3" xfId="18121"/>
    <cellStyle name="표준 6 2 2 2 2 35 3 2" xfId="43473"/>
    <cellStyle name="표준 6 2 2 2 2 35 4" xfId="30801"/>
    <cellStyle name="표준 6 2 2 2 2 35 5" xfId="55225"/>
    <cellStyle name="표준 6 2 2 2 2 36" xfId="6427"/>
    <cellStyle name="표준 6 2 2 2 2 36 2" xfId="19100"/>
    <cellStyle name="표준 6 2 2 2 2 36 2 2" xfId="44452"/>
    <cellStyle name="표준 6 2 2 2 2 36 3" xfId="31780"/>
    <cellStyle name="표준 6 2 2 2 2 37" xfId="12764"/>
    <cellStyle name="표준 6 2 2 2 2 37 2" xfId="38116"/>
    <cellStyle name="표준 6 2 2 2 2 38" xfId="25444"/>
    <cellStyle name="표준 6 2 2 2 2 39" xfId="55226"/>
    <cellStyle name="표준 6 2 2 2 2 4" xfId="2303"/>
    <cellStyle name="표준 6 2 2 2 2 4 2" xfId="2304"/>
    <cellStyle name="표준 6 2 2 2 2 4 2 2" xfId="5449"/>
    <cellStyle name="표준 6 2 2 2 2 4 2 2 2" xfId="11785"/>
    <cellStyle name="표준 6 2 2 2 2 4 2 2 2 2" xfId="24458"/>
    <cellStyle name="표준 6 2 2 2 2 4 2 2 2 2 2" xfId="49810"/>
    <cellStyle name="표준 6 2 2 2 2 4 2 2 2 3" xfId="37138"/>
    <cellStyle name="표준 6 2 2 2 2 4 2 2 3" xfId="18122"/>
    <cellStyle name="표준 6 2 2 2 2 4 2 2 3 2" xfId="43474"/>
    <cellStyle name="표준 6 2 2 2 2 4 2 2 4" xfId="30802"/>
    <cellStyle name="표준 6 2 2 2 2 4 2 2 5" xfId="55227"/>
    <cellStyle name="표준 6 2 2 2 2 4 2 3" xfId="8641"/>
    <cellStyle name="표준 6 2 2 2 2 4 2 3 2" xfId="21314"/>
    <cellStyle name="표준 6 2 2 2 2 4 2 3 2 2" xfId="46666"/>
    <cellStyle name="표준 6 2 2 2 2 4 2 3 3" xfId="33994"/>
    <cellStyle name="표준 6 2 2 2 2 4 2 4" xfId="14978"/>
    <cellStyle name="표준 6 2 2 2 2 4 2 4 2" xfId="40330"/>
    <cellStyle name="표준 6 2 2 2 2 4 2 5" xfId="27658"/>
    <cellStyle name="표준 6 2 2 2 2 4 2 6" xfId="55228"/>
    <cellStyle name="표준 6 2 2 2 2 4 3" xfId="5450"/>
    <cellStyle name="표준 6 2 2 2 2 4 3 2" xfId="11786"/>
    <cellStyle name="표준 6 2 2 2 2 4 3 2 2" xfId="24459"/>
    <cellStyle name="표준 6 2 2 2 2 4 3 2 2 2" xfId="49811"/>
    <cellStyle name="표준 6 2 2 2 2 4 3 2 3" xfId="37139"/>
    <cellStyle name="표준 6 2 2 2 2 4 3 3" xfId="18123"/>
    <cellStyle name="표준 6 2 2 2 2 4 3 3 2" xfId="43475"/>
    <cellStyle name="표준 6 2 2 2 2 4 3 4" xfId="30803"/>
    <cellStyle name="표준 6 2 2 2 2 4 3 5" xfId="55229"/>
    <cellStyle name="표준 6 2 2 2 2 4 4" xfId="8640"/>
    <cellStyle name="표준 6 2 2 2 2 4 4 2" xfId="21313"/>
    <cellStyle name="표준 6 2 2 2 2 4 4 2 2" xfId="46665"/>
    <cellStyle name="표준 6 2 2 2 2 4 4 3" xfId="33993"/>
    <cellStyle name="표준 6 2 2 2 2 4 5" xfId="14977"/>
    <cellStyle name="표준 6 2 2 2 2 4 5 2" xfId="40329"/>
    <cellStyle name="표준 6 2 2 2 2 4 6" xfId="27657"/>
    <cellStyle name="표준 6 2 2 2 2 4 7" xfId="55230"/>
    <cellStyle name="표준 6 2 2 2 2 5" xfId="2305"/>
    <cellStyle name="표준 6 2 2 2 2 5 2" xfId="2306"/>
    <cellStyle name="표준 6 2 2 2 2 5 2 2" xfId="5451"/>
    <cellStyle name="표준 6 2 2 2 2 5 2 2 2" xfId="11787"/>
    <cellStyle name="표준 6 2 2 2 2 5 2 2 2 2" xfId="24460"/>
    <cellStyle name="표준 6 2 2 2 2 5 2 2 2 2 2" xfId="49812"/>
    <cellStyle name="표준 6 2 2 2 2 5 2 2 2 3" xfId="37140"/>
    <cellStyle name="표준 6 2 2 2 2 5 2 2 3" xfId="18124"/>
    <cellStyle name="표준 6 2 2 2 2 5 2 2 3 2" xfId="43476"/>
    <cellStyle name="표준 6 2 2 2 2 5 2 2 4" xfId="30804"/>
    <cellStyle name="표준 6 2 2 2 2 5 2 2 5" xfId="55231"/>
    <cellStyle name="표준 6 2 2 2 2 5 2 3" xfId="8643"/>
    <cellStyle name="표준 6 2 2 2 2 5 2 3 2" xfId="21316"/>
    <cellStyle name="표준 6 2 2 2 2 5 2 3 2 2" xfId="46668"/>
    <cellStyle name="표준 6 2 2 2 2 5 2 3 3" xfId="33996"/>
    <cellStyle name="표준 6 2 2 2 2 5 2 4" xfId="14980"/>
    <cellStyle name="표준 6 2 2 2 2 5 2 4 2" xfId="40332"/>
    <cellStyle name="표준 6 2 2 2 2 5 2 5" xfId="27660"/>
    <cellStyle name="표준 6 2 2 2 2 5 2 6" xfId="55232"/>
    <cellStyle name="표준 6 2 2 2 2 5 3" xfId="5452"/>
    <cellStyle name="표준 6 2 2 2 2 5 3 2" xfId="11788"/>
    <cellStyle name="표준 6 2 2 2 2 5 3 2 2" xfId="24461"/>
    <cellStyle name="표준 6 2 2 2 2 5 3 2 2 2" xfId="49813"/>
    <cellStyle name="표준 6 2 2 2 2 5 3 2 3" xfId="37141"/>
    <cellStyle name="표준 6 2 2 2 2 5 3 3" xfId="18125"/>
    <cellStyle name="표준 6 2 2 2 2 5 3 3 2" xfId="43477"/>
    <cellStyle name="표준 6 2 2 2 2 5 3 4" xfId="30805"/>
    <cellStyle name="표준 6 2 2 2 2 5 3 5" xfId="55233"/>
    <cellStyle name="표준 6 2 2 2 2 5 4" xfId="8642"/>
    <cellStyle name="표준 6 2 2 2 2 5 4 2" xfId="21315"/>
    <cellStyle name="표준 6 2 2 2 2 5 4 2 2" xfId="46667"/>
    <cellStyle name="표준 6 2 2 2 2 5 4 3" xfId="33995"/>
    <cellStyle name="표준 6 2 2 2 2 5 5" xfId="14979"/>
    <cellStyle name="표준 6 2 2 2 2 5 5 2" xfId="40331"/>
    <cellStyle name="표준 6 2 2 2 2 5 6" xfId="27659"/>
    <cellStyle name="표준 6 2 2 2 2 5 7" xfId="55234"/>
    <cellStyle name="표준 6 2 2 2 2 6" xfId="2307"/>
    <cellStyle name="표준 6 2 2 2 2 6 2" xfId="2308"/>
    <cellStyle name="표준 6 2 2 2 2 6 2 2" xfId="5453"/>
    <cellStyle name="표준 6 2 2 2 2 6 2 2 2" xfId="11789"/>
    <cellStyle name="표준 6 2 2 2 2 6 2 2 2 2" xfId="24462"/>
    <cellStyle name="표준 6 2 2 2 2 6 2 2 2 2 2" xfId="49814"/>
    <cellStyle name="표준 6 2 2 2 2 6 2 2 2 3" xfId="37142"/>
    <cellStyle name="표준 6 2 2 2 2 6 2 2 3" xfId="18126"/>
    <cellStyle name="표준 6 2 2 2 2 6 2 2 3 2" xfId="43478"/>
    <cellStyle name="표준 6 2 2 2 2 6 2 2 4" xfId="30806"/>
    <cellStyle name="표준 6 2 2 2 2 6 2 2 5" xfId="55235"/>
    <cellStyle name="표준 6 2 2 2 2 6 2 3" xfId="8645"/>
    <cellStyle name="표준 6 2 2 2 2 6 2 3 2" xfId="21318"/>
    <cellStyle name="표준 6 2 2 2 2 6 2 3 2 2" xfId="46670"/>
    <cellStyle name="표준 6 2 2 2 2 6 2 3 3" xfId="33998"/>
    <cellStyle name="표준 6 2 2 2 2 6 2 4" xfId="14982"/>
    <cellStyle name="표준 6 2 2 2 2 6 2 4 2" xfId="40334"/>
    <cellStyle name="표준 6 2 2 2 2 6 2 5" xfId="27662"/>
    <cellStyle name="표준 6 2 2 2 2 6 2 6" xfId="55236"/>
    <cellStyle name="표준 6 2 2 2 2 6 3" xfId="5454"/>
    <cellStyle name="표준 6 2 2 2 2 6 3 2" xfId="11790"/>
    <cellStyle name="표준 6 2 2 2 2 6 3 2 2" xfId="24463"/>
    <cellStyle name="표준 6 2 2 2 2 6 3 2 2 2" xfId="49815"/>
    <cellStyle name="표준 6 2 2 2 2 6 3 2 3" xfId="37143"/>
    <cellStyle name="표준 6 2 2 2 2 6 3 3" xfId="18127"/>
    <cellStyle name="표준 6 2 2 2 2 6 3 3 2" xfId="43479"/>
    <cellStyle name="표준 6 2 2 2 2 6 3 4" xfId="30807"/>
    <cellStyle name="표준 6 2 2 2 2 6 3 5" xfId="55237"/>
    <cellStyle name="표준 6 2 2 2 2 6 4" xfId="8644"/>
    <cellStyle name="표준 6 2 2 2 2 6 4 2" xfId="21317"/>
    <cellStyle name="표준 6 2 2 2 2 6 4 2 2" xfId="46669"/>
    <cellStyle name="표준 6 2 2 2 2 6 4 3" xfId="33997"/>
    <cellStyle name="표준 6 2 2 2 2 6 5" xfId="14981"/>
    <cellStyle name="표준 6 2 2 2 2 6 5 2" xfId="40333"/>
    <cellStyle name="표준 6 2 2 2 2 6 6" xfId="27661"/>
    <cellStyle name="표준 6 2 2 2 2 6 7" xfId="55238"/>
    <cellStyle name="표준 6 2 2 2 2 7" xfId="2309"/>
    <cellStyle name="표준 6 2 2 2 2 7 2" xfId="2310"/>
    <cellStyle name="표준 6 2 2 2 2 7 2 2" xfId="5455"/>
    <cellStyle name="표준 6 2 2 2 2 7 2 2 2" xfId="11791"/>
    <cellStyle name="표준 6 2 2 2 2 7 2 2 2 2" xfId="24464"/>
    <cellStyle name="표준 6 2 2 2 2 7 2 2 2 2 2" xfId="49816"/>
    <cellStyle name="표준 6 2 2 2 2 7 2 2 2 3" xfId="37144"/>
    <cellStyle name="표준 6 2 2 2 2 7 2 2 3" xfId="18128"/>
    <cellStyle name="표준 6 2 2 2 2 7 2 2 3 2" xfId="43480"/>
    <cellStyle name="표준 6 2 2 2 2 7 2 2 4" xfId="30808"/>
    <cellStyle name="표준 6 2 2 2 2 7 2 2 5" xfId="55239"/>
    <cellStyle name="표준 6 2 2 2 2 7 2 3" xfId="8647"/>
    <cellStyle name="표준 6 2 2 2 2 7 2 3 2" xfId="21320"/>
    <cellStyle name="표준 6 2 2 2 2 7 2 3 2 2" xfId="46672"/>
    <cellStyle name="표준 6 2 2 2 2 7 2 3 3" xfId="34000"/>
    <cellStyle name="표준 6 2 2 2 2 7 2 4" xfId="14984"/>
    <cellStyle name="표준 6 2 2 2 2 7 2 4 2" xfId="40336"/>
    <cellStyle name="표준 6 2 2 2 2 7 2 5" xfId="27664"/>
    <cellStyle name="표준 6 2 2 2 2 7 2 6" xfId="55240"/>
    <cellStyle name="표준 6 2 2 2 2 7 3" xfId="5456"/>
    <cellStyle name="표준 6 2 2 2 2 7 3 2" xfId="11792"/>
    <cellStyle name="표준 6 2 2 2 2 7 3 2 2" xfId="24465"/>
    <cellStyle name="표준 6 2 2 2 2 7 3 2 2 2" xfId="49817"/>
    <cellStyle name="표준 6 2 2 2 2 7 3 2 3" xfId="37145"/>
    <cellStyle name="표준 6 2 2 2 2 7 3 3" xfId="18129"/>
    <cellStyle name="표준 6 2 2 2 2 7 3 3 2" xfId="43481"/>
    <cellStyle name="표준 6 2 2 2 2 7 3 4" xfId="30809"/>
    <cellStyle name="표준 6 2 2 2 2 7 3 5" xfId="55241"/>
    <cellStyle name="표준 6 2 2 2 2 7 4" xfId="8646"/>
    <cellStyle name="표준 6 2 2 2 2 7 4 2" xfId="21319"/>
    <cellStyle name="표준 6 2 2 2 2 7 4 2 2" xfId="46671"/>
    <cellStyle name="표준 6 2 2 2 2 7 4 3" xfId="33999"/>
    <cellStyle name="표준 6 2 2 2 2 7 5" xfId="14983"/>
    <cellStyle name="표준 6 2 2 2 2 7 5 2" xfId="40335"/>
    <cellStyle name="표준 6 2 2 2 2 7 6" xfId="27663"/>
    <cellStyle name="표준 6 2 2 2 2 7 7" xfId="55242"/>
    <cellStyle name="표준 6 2 2 2 2 8" xfId="2311"/>
    <cellStyle name="표준 6 2 2 2 2 8 2" xfId="2312"/>
    <cellStyle name="표준 6 2 2 2 2 8 2 2" xfId="5457"/>
    <cellStyle name="표준 6 2 2 2 2 8 2 2 2" xfId="11793"/>
    <cellStyle name="표준 6 2 2 2 2 8 2 2 2 2" xfId="24466"/>
    <cellStyle name="표준 6 2 2 2 2 8 2 2 2 2 2" xfId="49818"/>
    <cellStyle name="표준 6 2 2 2 2 8 2 2 2 3" xfId="37146"/>
    <cellStyle name="표준 6 2 2 2 2 8 2 2 3" xfId="18130"/>
    <cellStyle name="표준 6 2 2 2 2 8 2 2 3 2" xfId="43482"/>
    <cellStyle name="표준 6 2 2 2 2 8 2 2 4" xfId="30810"/>
    <cellStyle name="표준 6 2 2 2 2 8 2 2 5" xfId="55243"/>
    <cellStyle name="표준 6 2 2 2 2 8 2 3" xfId="8649"/>
    <cellStyle name="표준 6 2 2 2 2 8 2 3 2" xfId="21322"/>
    <cellStyle name="표준 6 2 2 2 2 8 2 3 2 2" xfId="46674"/>
    <cellStyle name="표준 6 2 2 2 2 8 2 3 3" xfId="34002"/>
    <cellStyle name="표준 6 2 2 2 2 8 2 4" xfId="14986"/>
    <cellStyle name="표준 6 2 2 2 2 8 2 4 2" xfId="40338"/>
    <cellStyle name="표준 6 2 2 2 2 8 2 5" xfId="27666"/>
    <cellStyle name="표준 6 2 2 2 2 8 2 6" xfId="55244"/>
    <cellStyle name="표준 6 2 2 2 2 8 3" xfId="5458"/>
    <cellStyle name="표준 6 2 2 2 2 8 3 2" xfId="11794"/>
    <cellStyle name="표준 6 2 2 2 2 8 3 2 2" xfId="24467"/>
    <cellStyle name="표준 6 2 2 2 2 8 3 2 2 2" xfId="49819"/>
    <cellStyle name="표준 6 2 2 2 2 8 3 2 3" xfId="37147"/>
    <cellStyle name="표준 6 2 2 2 2 8 3 3" xfId="18131"/>
    <cellStyle name="표준 6 2 2 2 2 8 3 3 2" xfId="43483"/>
    <cellStyle name="표준 6 2 2 2 2 8 3 4" xfId="30811"/>
    <cellStyle name="표준 6 2 2 2 2 8 3 5" xfId="55245"/>
    <cellStyle name="표준 6 2 2 2 2 8 4" xfId="8648"/>
    <cellStyle name="표준 6 2 2 2 2 8 4 2" xfId="21321"/>
    <cellStyle name="표준 6 2 2 2 2 8 4 2 2" xfId="46673"/>
    <cellStyle name="표준 6 2 2 2 2 8 4 3" xfId="34001"/>
    <cellStyle name="표준 6 2 2 2 2 8 5" xfId="14985"/>
    <cellStyle name="표준 6 2 2 2 2 8 5 2" xfId="40337"/>
    <cellStyle name="표준 6 2 2 2 2 8 6" xfId="27665"/>
    <cellStyle name="표준 6 2 2 2 2 8 7" xfId="55246"/>
    <cellStyle name="표준 6 2 2 2 2 9" xfId="2313"/>
    <cellStyle name="표준 6 2 2 2 2 9 2" xfId="2314"/>
    <cellStyle name="표준 6 2 2 2 2 9 2 2" xfId="5459"/>
    <cellStyle name="표준 6 2 2 2 2 9 2 2 2" xfId="11795"/>
    <cellStyle name="표준 6 2 2 2 2 9 2 2 2 2" xfId="24468"/>
    <cellStyle name="표준 6 2 2 2 2 9 2 2 2 2 2" xfId="49820"/>
    <cellStyle name="표준 6 2 2 2 2 9 2 2 2 3" xfId="37148"/>
    <cellStyle name="표준 6 2 2 2 2 9 2 2 3" xfId="18132"/>
    <cellStyle name="표준 6 2 2 2 2 9 2 2 3 2" xfId="43484"/>
    <cellStyle name="표준 6 2 2 2 2 9 2 2 4" xfId="30812"/>
    <cellStyle name="표준 6 2 2 2 2 9 2 2 5" xfId="55247"/>
    <cellStyle name="표준 6 2 2 2 2 9 2 3" xfId="8651"/>
    <cellStyle name="표준 6 2 2 2 2 9 2 3 2" xfId="21324"/>
    <cellStyle name="표준 6 2 2 2 2 9 2 3 2 2" xfId="46676"/>
    <cellStyle name="표준 6 2 2 2 2 9 2 3 3" xfId="34004"/>
    <cellStyle name="표준 6 2 2 2 2 9 2 4" xfId="14988"/>
    <cellStyle name="표준 6 2 2 2 2 9 2 4 2" xfId="40340"/>
    <cellStyle name="표준 6 2 2 2 2 9 2 5" xfId="27668"/>
    <cellStyle name="표준 6 2 2 2 2 9 2 6" xfId="55248"/>
    <cellStyle name="표준 6 2 2 2 2 9 3" xfId="5460"/>
    <cellStyle name="표준 6 2 2 2 2 9 3 2" xfId="11796"/>
    <cellStyle name="표준 6 2 2 2 2 9 3 2 2" xfId="24469"/>
    <cellStyle name="표준 6 2 2 2 2 9 3 2 2 2" xfId="49821"/>
    <cellStyle name="표준 6 2 2 2 2 9 3 2 3" xfId="37149"/>
    <cellStyle name="표준 6 2 2 2 2 9 3 3" xfId="18133"/>
    <cellStyle name="표준 6 2 2 2 2 9 3 3 2" xfId="43485"/>
    <cellStyle name="표준 6 2 2 2 2 9 3 4" xfId="30813"/>
    <cellStyle name="표준 6 2 2 2 2 9 3 5" xfId="55249"/>
    <cellStyle name="표준 6 2 2 2 2 9 4" xfId="8650"/>
    <cellStyle name="표준 6 2 2 2 2 9 4 2" xfId="21323"/>
    <cellStyle name="표준 6 2 2 2 2 9 4 2 2" xfId="46675"/>
    <cellStyle name="표준 6 2 2 2 2 9 4 3" xfId="34003"/>
    <cellStyle name="표준 6 2 2 2 2 9 5" xfId="14987"/>
    <cellStyle name="표준 6 2 2 2 2 9 5 2" xfId="40339"/>
    <cellStyle name="표준 6 2 2 2 2 9 6" xfId="27667"/>
    <cellStyle name="표준 6 2 2 2 2 9 7" xfId="55250"/>
    <cellStyle name="표준 6 2 2 2 20" xfId="2315"/>
    <cellStyle name="표준 6 2 2 2 20 2" xfId="2316"/>
    <cellStyle name="표준 6 2 2 2 20 2 2" xfId="5461"/>
    <cellStyle name="표준 6 2 2 2 20 2 2 2" xfId="11797"/>
    <cellStyle name="표준 6 2 2 2 20 2 2 2 2" xfId="24470"/>
    <cellStyle name="표준 6 2 2 2 20 2 2 2 2 2" xfId="49822"/>
    <cellStyle name="표준 6 2 2 2 20 2 2 2 3" xfId="37150"/>
    <cellStyle name="표준 6 2 2 2 20 2 2 3" xfId="18134"/>
    <cellStyle name="표준 6 2 2 2 20 2 2 3 2" xfId="43486"/>
    <cellStyle name="표준 6 2 2 2 20 2 2 4" xfId="30814"/>
    <cellStyle name="표준 6 2 2 2 20 2 2 5" xfId="55251"/>
    <cellStyle name="표준 6 2 2 2 20 2 3" xfId="8653"/>
    <cellStyle name="표준 6 2 2 2 20 2 3 2" xfId="21326"/>
    <cellStyle name="표준 6 2 2 2 20 2 3 2 2" xfId="46678"/>
    <cellStyle name="표준 6 2 2 2 20 2 3 3" xfId="34006"/>
    <cellStyle name="표준 6 2 2 2 20 2 4" xfId="14990"/>
    <cellStyle name="표준 6 2 2 2 20 2 4 2" xfId="40342"/>
    <cellStyle name="표준 6 2 2 2 20 2 5" xfId="27670"/>
    <cellStyle name="표준 6 2 2 2 20 2 6" xfId="55252"/>
    <cellStyle name="표준 6 2 2 2 20 3" xfId="5462"/>
    <cellStyle name="표준 6 2 2 2 20 3 2" xfId="11798"/>
    <cellStyle name="표준 6 2 2 2 20 3 2 2" xfId="24471"/>
    <cellStyle name="표준 6 2 2 2 20 3 2 2 2" xfId="49823"/>
    <cellStyle name="표준 6 2 2 2 20 3 2 3" xfId="37151"/>
    <cellStyle name="표준 6 2 2 2 20 3 3" xfId="18135"/>
    <cellStyle name="표준 6 2 2 2 20 3 3 2" xfId="43487"/>
    <cellStyle name="표준 6 2 2 2 20 3 4" xfId="30815"/>
    <cellStyle name="표준 6 2 2 2 20 3 5" xfId="55253"/>
    <cellStyle name="표준 6 2 2 2 20 4" xfId="8652"/>
    <cellStyle name="표준 6 2 2 2 20 4 2" xfId="21325"/>
    <cellStyle name="표준 6 2 2 2 20 4 2 2" xfId="46677"/>
    <cellStyle name="표준 6 2 2 2 20 4 3" xfId="34005"/>
    <cellStyle name="표준 6 2 2 2 20 5" xfId="14989"/>
    <cellStyle name="표준 6 2 2 2 20 5 2" xfId="40341"/>
    <cellStyle name="표준 6 2 2 2 20 6" xfId="27669"/>
    <cellStyle name="표준 6 2 2 2 20 7" xfId="55254"/>
    <cellStyle name="표준 6 2 2 2 21" xfId="2317"/>
    <cellStyle name="표준 6 2 2 2 21 2" xfId="2318"/>
    <cellStyle name="표준 6 2 2 2 21 2 2" xfId="5463"/>
    <cellStyle name="표준 6 2 2 2 21 2 2 2" xfId="11799"/>
    <cellStyle name="표준 6 2 2 2 21 2 2 2 2" xfId="24472"/>
    <cellStyle name="표준 6 2 2 2 21 2 2 2 2 2" xfId="49824"/>
    <cellStyle name="표준 6 2 2 2 21 2 2 2 3" xfId="37152"/>
    <cellStyle name="표준 6 2 2 2 21 2 2 3" xfId="18136"/>
    <cellStyle name="표준 6 2 2 2 21 2 2 3 2" xfId="43488"/>
    <cellStyle name="표준 6 2 2 2 21 2 2 4" xfId="30816"/>
    <cellStyle name="표준 6 2 2 2 21 2 2 5" xfId="55255"/>
    <cellStyle name="표준 6 2 2 2 21 2 3" xfId="8655"/>
    <cellStyle name="표준 6 2 2 2 21 2 3 2" xfId="21328"/>
    <cellStyle name="표준 6 2 2 2 21 2 3 2 2" xfId="46680"/>
    <cellStyle name="표준 6 2 2 2 21 2 3 3" xfId="34008"/>
    <cellStyle name="표준 6 2 2 2 21 2 4" xfId="14992"/>
    <cellStyle name="표준 6 2 2 2 21 2 4 2" xfId="40344"/>
    <cellStyle name="표준 6 2 2 2 21 2 5" xfId="27672"/>
    <cellStyle name="표준 6 2 2 2 21 2 6" xfId="55256"/>
    <cellStyle name="표준 6 2 2 2 21 3" xfId="5464"/>
    <cellStyle name="표준 6 2 2 2 21 3 2" xfId="11800"/>
    <cellStyle name="표준 6 2 2 2 21 3 2 2" xfId="24473"/>
    <cellStyle name="표준 6 2 2 2 21 3 2 2 2" xfId="49825"/>
    <cellStyle name="표준 6 2 2 2 21 3 2 3" xfId="37153"/>
    <cellStyle name="표준 6 2 2 2 21 3 3" xfId="18137"/>
    <cellStyle name="표준 6 2 2 2 21 3 3 2" xfId="43489"/>
    <cellStyle name="표준 6 2 2 2 21 3 4" xfId="30817"/>
    <cellStyle name="표준 6 2 2 2 21 3 5" xfId="55257"/>
    <cellStyle name="표준 6 2 2 2 21 4" xfId="8654"/>
    <cellStyle name="표준 6 2 2 2 21 4 2" xfId="21327"/>
    <cellStyle name="표준 6 2 2 2 21 4 2 2" xfId="46679"/>
    <cellStyle name="표준 6 2 2 2 21 4 3" xfId="34007"/>
    <cellStyle name="표준 6 2 2 2 21 5" xfId="14991"/>
    <cellStyle name="표준 6 2 2 2 21 5 2" xfId="40343"/>
    <cellStyle name="표준 6 2 2 2 21 6" xfId="27671"/>
    <cellStyle name="표준 6 2 2 2 21 7" xfId="55258"/>
    <cellStyle name="표준 6 2 2 2 22" xfId="2319"/>
    <cellStyle name="표준 6 2 2 2 22 2" xfId="2320"/>
    <cellStyle name="표준 6 2 2 2 22 2 2" xfId="5465"/>
    <cellStyle name="표준 6 2 2 2 22 2 2 2" xfId="11801"/>
    <cellStyle name="표준 6 2 2 2 22 2 2 2 2" xfId="24474"/>
    <cellStyle name="표준 6 2 2 2 22 2 2 2 2 2" xfId="49826"/>
    <cellStyle name="표준 6 2 2 2 22 2 2 2 3" xfId="37154"/>
    <cellStyle name="표준 6 2 2 2 22 2 2 3" xfId="18138"/>
    <cellStyle name="표준 6 2 2 2 22 2 2 3 2" xfId="43490"/>
    <cellStyle name="표준 6 2 2 2 22 2 2 4" xfId="30818"/>
    <cellStyle name="표준 6 2 2 2 22 2 2 5" xfId="55259"/>
    <cellStyle name="표준 6 2 2 2 22 2 3" xfId="8657"/>
    <cellStyle name="표준 6 2 2 2 22 2 3 2" xfId="21330"/>
    <cellStyle name="표준 6 2 2 2 22 2 3 2 2" xfId="46682"/>
    <cellStyle name="표준 6 2 2 2 22 2 3 3" xfId="34010"/>
    <cellStyle name="표준 6 2 2 2 22 2 4" xfId="14994"/>
    <cellStyle name="표준 6 2 2 2 22 2 4 2" xfId="40346"/>
    <cellStyle name="표준 6 2 2 2 22 2 5" xfId="27674"/>
    <cellStyle name="표준 6 2 2 2 22 2 6" xfId="55260"/>
    <cellStyle name="표준 6 2 2 2 22 3" xfId="5466"/>
    <cellStyle name="표준 6 2 2 2 22 3 2" xfId="11802"/>
    <cellStyle name="표준 6 2 2 2 22 3 2 2" xfId="24475"/>
    <cellStyle name="표준 6 2 2 2 22 3 2 2 2" xfId="49827"/>
    <cellStyle name="표준 6 2 2 2 22 3 2 3" xfId="37155"/>
    <cellStyle name="표준 6 2 2 2 22 3 3" xfId="18139"/>
    <cellStyle name="표준 6 2 2 2 22 3 3 2" xfId="43491"/>
    <cellStyle name="표준 6 2 2 2 22 3 4" xfId="30819"/>
    <cellStyle name="표준 6 2 2 2 22 3 5" xfId="55261"/>
    <cellStyle name="표준 6 2 2 2 22 4" xfId="8656"/>
    <cellStyle name="표준 6 2 2 2 22 4 2" xfId="21329"/>
    <cellStyle name="표준 6 2 2 2 22 4 2 2" xfId="46681"/>
    <cellStyle name="표준 6 2 2 2 22 4 3" xfId="34009"/>
    <cellStyle name="표준 6 2 2 2 22 5" xfId="14993"/>
    <cellStyle name="표준 6 2 2 2 22 5 2" xfId="40345"/>
    <cellStyle name="표준 6 2 2 2 22 6" xfId="27673"/>
    <cellStyle name="표준 6 2 2 2 22 7" xfId="55262"/>
    <cellStyle name="표준 6 2 2 2 23" xfId="2321"/>
    <cellStyle name="표준 6 2 2 2 23 2" xfId="2322"/>
    <cellStyle name="표준 6 2 2 2 23 2 2" xfId="5467"/>
    <cellStyle name="표준 6 2 2 2 23 2 2 2" xfId="11803"/>
    <cellStyle name="표준 6 2 2 2 23 2 2 2 2" xfId="24476"/>
    <cellStyle name="표준 6 2 2 2 23 2 2 2 2 2" xfId="49828"/>
    <cellStyle name="표준 6 2 2 2 23 2 2 2 3" xfId="37156"/>
    <cellStyle name="표준 6 2 2 2 23 2 2 3" xfId="18140"/>
    <cellStyle name="표준 6 2 2 2 23 2 2 3 2" xfId="43492"/>
    <cellStyle name="표준 6 2 2 2 23 2 2 4" xfId="30820"/>
    <cellStyle name="표준 6 2 2 2 23 2 2 5" xfId="55263"/>
    <cellStyle name="표준 6 2 2 2 23 2 3" xfId="8659"/>
    <cellStyle name="표준 6 2 2 2 23 2 3 2" xfId="21332"/>
    <cellStyle name="표준 6 2 2 2 23 2 3 2 2" xfId="46684"/>
    <cellStyle name="표준 6 2 2 2 23 2 3 3" xfId="34012"/>
    <cellStyle name="표준 6 2 2 2 23 2 4" xfId="14996"/>
    <cellStyle name="표준 6 2 2 2 23 2 4 2" xfId="40348"/>
    <cellStyle name="표준 6 2 2 2 23 2 5" xfId="27676"/>
    <cellStyle name="표준 6 2 2 2 23 2 6" xfId="55264"/>
    <cellStyle name="표준 6 2 2 2 23 3" xfId="5468"/>
    <cellStyle name="표준 6 2 2 2 23 3 2" xfId="11804"/>
    <cellStyle name="표준 6 2 2 2 23 3 2 2" xfId="24477"/>
    <cellStyle name="표준 6 2 2 2 23 3 2 2 2" xfId="49829"/>
    <cellStyle name="표준 6 2 2 2 23 3 2 3" xfId="37157"/>
    <cellStyle name="표준 6 2 2 2 23 3 3" xfId="18141"/>
    <cellStyle name="표준 6 2 2 2 23 3 3 2" xfId="43493"/>
    <cellStyle name="표준 6 2 2 2 23 3 4" xfId="30821"/>
    <cellStyle name="표준 6 2 2 2 23 3 5" xfId="55265"/>
    <cellStyle name="표준 6 2 2 2 23 4" xfId="8658"/>
    <cellStyle name="표준 6 2 2 2 23 4 2" xfId="21331"/>
    <cellStyle name="표준 6 2 2 2 23 4 2 2" xfId="46683"/>
    <cellStyle name="표준 6 2 2 2 23 4 3" xfId="34011"/>
    <cellStyle name="표준 6 2 2 2 23 5" xfId="14995"/>
    <cellStyle name="표준 6 2 2 2 23 5 2" xfId="40347"/>
    <cellStyle name="표준 6 2 2 2 23 6" xfId="27675"/>
    <cellStyle name="표준 6 2 2 2 23 7" xfId="55266"/>
    <cellStyle name="표준 6 2 2 2 24" xfId="2323"/>
    <cellStyle name="표준 6 2 2 2 24 2" xfId="2324"/>
    <cellStyle name="표준 6 2 2 2 24 2 2" xfId="5469"/>
    <cellStyle name="표준 6 2 2 2 24 2 2 2" xfId="11805"/>
    <cellStyle name="표준 6 2 2 2 24 2 2 2 2" xfId="24478"/>
    <cellStyle name="표준 6 2 2 2 24 2 2 2 2 2" xfId="49830"/>
    <cellStyle name="표준 6 2 2 2 24 2 2 2 3" xfId="37158"/>
    <cellStyle name="표준 6 2 2 2 24 2 2 3" xfId="18142"/>
    <cellStyle name="표준 6 2 2 2 24 2 2 3 2" xfId="43494"/>
    <cellStyle name="표준 6 2 2 2 24 2 2 4" xfId="30822"/>
    <cellStyle name="표준 6 2 2 2 24 2 2 5" xfId="55267"/>
    <cellStyle name="표준 6 2 2 2 24 2 3" xfId="8661"/>
    <cellStyle name="표준 6 2 2 2 24 2 3 2" xfId="21334"/>
    <cellStyle name="표준 6 2 2 2 24 2 3 2 2" xfId="46686"/>
    <cellStyle name="표준 6 2 2 2 24 2 3 3" xfId="34014"/>
    <cellStyle name="표준 6 2 2 2 24 2 4" xfId="14998"/>
    <cellStyle name="표준 6 2 2 2 24 2 4 2" xfId="40350"/>
    <cellStyle name="표준 6 2 2 2 24 2 5" xfId="27678"/>
    <cellStyle name="표준 6 2 2 2 24 2 6" xfId="55268"/>
    <cellStyle name="표준 6 2 2 2 24 3" xfId="5470"/>
    <cellStyle name="표준 6 2 2 2 24 3 2" xfId="11806"/>
    <cellStyle name="표준 6 2 2 2 24 3 2 2" xfId="24479"/>
    <cellStyle name="표준 6 2 2 2 24 3 2 2 2" xfId="49831"/>
    <cellStyle name="표준 6 2 2 2 24 3 2 3" xfId="37159"/>
    <cellStyle name="표준 6 2 2 2 24 3 3" xfId="18143"/>
    <cellStyle name="표준 6 2 2 2 24 3 3 2" xfId="43495"/>
    <cellStyle name="표준 6 2 2 2 24 3 4" xfId="30823"/>
    <cellStyle name="표준 6 2 2 2 24 3 5" xfId="55269"/>
    <cellStyle name="표준 6 2 2 2 24 4" xfId="8660"/>
    <cellStyle name="표준 6 2 2 2 24 4 2" xfId="21333"/>
    <cellStyle name="표준 6 2 2 2 24 4 2 2" xfId="46685"/>
    <cellStyle name="표준 6 2 2 2 24 4 3" xfId="34013"/>
    <cellStyle name="표준 6 2 2 2 24 5" xfId="14997"/>
    <cellStyle name="표준 6 2 2 2 24 5 2" xfId="40349"/>
    <cellStyle name="표준 6 2 2 2 24 6" xfId="27677"/>
    <cellStyle name="표준 6 2 2 2 24 7" xfId="55270"/>
    <cellStyle name="표준 6 2 2 2 25" xfId="2325"/>
    <cellStyle name="표준 6 2 2 2 25 2" xfId="2326"/>
    <cellStyle name="표준 6 2 2 2 25 2 2" xfId="5471"/>
    <cellStyle name="표준 6 2 2 2 25 2 2 2" xfId="11807"/>
    <cellStyle name="표준 6 2 2 2 25 2 2 2 2" xfId="24480"/>
    <cellStyle name="표준 6 2 2 2 25 2 2 2 2 2" xfId="49832"/>
    <cellStyle name="표준 6 2 2 2 25 2 2 2 3" xfId="37160"/>
    <cellStyle name="표준 6 2 2 2 25 2 2 3" xfId="18144"/>
    <cellStyle name="표준 6 2 2 2 25 2 2 3 2" xfId="43496"/>
    <cellStyle name="표준 6 2 2 2 25 2 2 4" xfId="30824"/>
    <cellStyle name="표준 6 2 2 2 25 2 2 5" xfId="55271"/>
    <cellStyle name="표준 6 2 2 2 25 2 3" xfId="8663"/>
    <cellStyle name="표준 6 2 2 2 25 2 3 2" xfId="21336"/>
    <cellStyle name="표준 6 2 2 2 25 2 3 2 2" xfId="46688"/>
    <cellStyle name="표준 6 2 2 2 25 2 3 3" xfId="34016"/>
    <cellStyle name="표준 6 2 2 2 25 2 4" xfId="15000"/>
    <cellStyle name="표준 6 2 2 2 25 2 4 2" xfId="40352"/>
    <cellStyle name="표준 6 2 2 2 25 2 5" xfId="27680"/>
    <cellStyle name="표준 6 2 2 2 25 2 6" xfId="55272"/>
    <cellStyle name="표준 6 2 2 2 25 3" xfId="5472"/>
    <cellStyle name="표준 6 2 2 2 25 3 2" xfId="11808"/>
    <cellStyle name="표준 6 2 2 2 25 3 2 2" xfId="24481"/>
    <cellStyle name="표준 6 2 2 2 25 3 2 2 2" xfId="49833"/>
    <cellStyle name="표준 6 2 2 2 25 3 2 3" xfId="37161"/>
    <cellStyle name="표준 6 2 2 2 25 3 3" xfId="18145"/>
    <cellStyle name="표준 6 2 2 2 25 3 3 2" xfId="43497"/>
    <cellStyle name="표준 6 2 2 2 25 3 4" xfId="30825"/>
    <cellStyle name="표준 6 2 2 2 25 3 5" xfId="55273"/>
    <cellStyle name="표준 6 2 2 2 25 4" xfId="8662"/>
    <cellStyle name="표준 6 2 2 2 25 4 2" xfId="21335"/>
    <cellStyle name="표준 6 2 2 2 25 4 2 2" xfId="46687"/>
    <cellStyle name="표준 6 2 2 2 25 4 3" xfId="34015"/>
    <cellStyle name="표준 6 2 2 2 25 5" xfId="14999"/>
    <cellStyle name="표준 6 2 2 2 25 5 2" xfId="40351"/>
    <cellStyle name="표준 6 2 2 2 25 6" xfId="27679"/>
    <cellStyle name="표준 6 2 2 2 25 7" xfId="55274"/>
    <cellStyle name="표준 6 2 2 2 26" xfId="2327"/>
    <cellStyle name="표준 6 2 2 2 26 2" xfId="2328"/>
    <cellStyle name="표준 6 2 2 2 26 2 2" xfId="5473"/>
    <cellStyle name="표준 6 2 2 2 26 2 2 2" xfId="11809"/>
    <cellStyle name="표준 6 2 2 2 26 2 2 2 2" xfId="24482"/>
    <cellStyle name="표준 6 2 2 2 26 2 2 2 2 2" xfId="49834"/>
    <cellStyle name="표준 6 2 2 2 26 2 2 2 3" xfId="37162"/>
    <cellStyle name="표준 6 2 2 2 26 2 2 3" xfId="18146"/>
    <cellStyle name="표준 6 2 2 2 26 2 2 3 2" xfId="43498"/>
    <cellStyle name="표준 6 2 2 2 26 2 2 4" xfId="30826"/>
    <cellStyle name="표준 6 2 2 2 26 2 2 5" xfId="55275"/>
    <cellStyle name="표준 6 2 2 2 26 2 3" xfId="8665"/>
    <cellStyle name="표준 6 2 2 2 26 2 3 2" xfId="21338"/>
    <cellStyle name="표준 6 2 2 2 26 2 3 2 2" xfId="46690"/>
    <cellStyle name="표준 6 2 2 2 26 2 3 3" xfId="34018"/>
    <cellStyle name="표준 6 2 2 2 26 2 4" xfId="15002"/>
    <cellStyle name="표준 6 2 2 2 26 2 4 2" xfId="40354"/>
    <cellStyle name="표준 6 2 2 2 26 2 5" xfId="27682"/>
    <cellStyle name="표준 6 2 2 2 26 2 6" xfId="55276"/>
    <cellStyle name="표준 6 2 2 2 26 3" xfId="5474"/>
    <cellStyle name="표준 6 2 2 2 26 3 2" xfId="11810"/>
    <cellStyle name="표준 6 2 2 2 26 3 2 2" xfId="24483"/>
    <cellStyle name="표준 6 2 2 2 26 3 2 2 2" xfId="49835"/>
    <cellStyle name="표준 6 2 2 2 26 3 2 3" xfId="37163"/>
    <cellStyle name="표준 6 2 2 2 26 3 3" xfId="18147"/>
    <cellStyle name="표준 6 2 2 2 26 3 3 2" xfId="43499"/>
    <cellStyle name="표준 6 2 2 2 26 3 4" xfId="30827"/>
    <cellStyle name="표준 6 2 2 2 26 3 5" xfId="55277"/>
    <cellStyle name="표준 6 2 2 2 26 4" xfId="8664"/>
    <cellStyle name="표준 6 2 2 2 26 4 2" xfId="21337"/>
    <cellStyle name="표준 6 2 2 2 26 4 2 2" xfId="46689"/>
    <cellStyle name="표준 6 2 2 2 26 4 3" xfId="34017"/>
    <cellStyle name="표준 6 2 2 2 26 5" xfId="15001"/>
    <cellStyle name="표준 6 2 2 2 26 5 2" xfId="40353"/>
    <cellStyle name="표준 6 2 2 2 26 6" xfId="27681"/>
    <cellStyle name="표준 6 2 2 2 26 7" xfId="55278"/>
    <cellStyle name="표준 6 2 2 2 27" xfId="2329"/>
    <cellStyle name="표준 6 2 2 2 27 2" xfId="2330"/>
    <cellStyle name="표준 6 2 2 2 27 2 2" xfId="5475"/>
    <cellStyle name="표준 6 2 2 2 27 2 2 2" xfId="11811"/>
    <cellStyle name="표준 6 2 2 2 27 2 2 2 2" xfId="24484"/>
    <cellStyle name="표준 6 2 2 2 27 2 2 2 2 2" xfId="49836"/>
    <cellStyle name="표준 6 2 2 2 27 2 2 2 3" xfId="37164"/>
    <cellStyle name="표준 6 2 2 2 27 2 2 3" xfId="18148"/>
    <cellStyle name="표준 6 2 2 2 27 2 2 3 2" xfId="43500"/>
    <cellStyle name="표준 6 2 2 2 27 2 2 4" xfId="30828"/>
    <cellStyle name="표준 6 2 2 2 27 2 2 5" xfId="55279"/>
    <cellStyle name="표준 6 2 2 2 27 2 3" xfId="8667"/>
    <cellStyle name="표준 6 2 2 2 27 2 3 2" xfId="21340"/>
    <cellStyle name="표준 6 2 2 2 27 2 3 2 2" xfId="46692"/>
    <cellStyle name="표준 6 2 2 2 27 2 3 3" xfId="34020"/>
    <cellStyle name="표준 6 2 2 2 27 2 4" xfId="15004"/>
    <cellStyle name="표준 6 2 2 2 27 2 4 2" xfId="40356"/>
    <cellStyle name="표준 6 2 2 2 27 2 5" xfId="27684"/>
    <cellStyle name="표준 6 2 2 2 27 2 6" xfId="55280"/>
    <cellStyle name="표준 6 2 2 2 27 3" xfId="5476"/>
    <cellStyle name="표준 6 2 2 2 27 3 2" xfId="11812"/>
    <cellStyle name="표준 6 2 2 2 27 3 2 2" xfId="24485"/>
    <cellStyle name="표준 6 2 2 2 27 3 2 2 2" xfId="49837"/>
    <cellStyle name="표준 6 2 2 2 27 3 2 3" xfId="37165"/>
    <cellStyle name="표준 6 2 2 2 27 3 3" xfId="18149"/>
    <cellStyle name="표준 6 2 2 2 27 3 3 2" xfId="43501"/>
    <cellStyle name="표준 6 2 2 2 27 3 4" xfId="30829"/>
    <cellStyle name="표준 6 2 2 2 27 3 5" xfId="55281"/>
    <cellStyle name="표준 6 2 2 2 27 4" xfId="8666"/>
    <cellStyle name="표준 6 2 2 2 27 4 2" xfId="21339"/>
    <cellStyle name="표준 6 2 2 2 27 4 2 2" xfId="46691"/>
    <cellStyle name="표준 6 2 2 2 27 4 3" xfId="34019"/>
    <cellStyle name="표준 6 2 2 2 27 5" xfId="15003"/>
    <cellStyle name="표준 6 2 2 2 27 5 2" xfId="40355"/>
    <cellStyle name="표준 6 2 2 2 27 6" xfId="27683"/>
    <cellStyle name="표준 6 2 2 2 27 7" xfId="55282"/>
    <cellStyle name="표준 6 2 2 2 28" xfId="2331"/>
    <cellStyle name="표준 6 2 2 2 28 2" xfId="2332"/>
    <cellStyle name="표준 6 2 2 2 28 2 2" xfId="5477"/>
    <cellStyle name="표준 6 2 2 2 28 2 2 2" xfId="11813"/>
    <cellStyle name="표준 6 2 2 2 28 2 2 2 2" xfId="24486"/>
    <cellStyle name="표준 6 2 2 2 28 2 2 2 2 2" xfId="49838"/>
    <cellStyle name="표준 6 2 2 2 28 2 2 2 3" xfId="37166"/>
    <cellStyle name="표준 6 2 2 2 28 2 2 3" xfId="18150"/>
    <cellStyle name="표준 6 2 2 2 28 2 2 3 2" xfId="43502"/>
    <cellStyle name="표준 6 2 2 2 28 2 2 4" xfId="30830"/>
    <cellStyle name="표준 6 2 2 2 28 2 2 5" xfId="55283"/>
    <cellStyle name="표준 6 2 2 2 28 2 3" xfId="8669"/>
    <cellStyle name="표준 6 2 2 2 28 2 3 2" xfId="21342"/>
    <cellStyle name="표준 6 2 2 2 28 2 3 2 2" xfId="46694"/>
    <cellStyle name="표준 6 2 2 2 28 2 3 3" xfId="34022"/>
    <cellStyle name="표준 6 2 2 2 28 2 4" xfId="15006"/>
    <cellStyle name="표준 6 2 2 2 28 2 4 2" xfId="40358"/>
    <cellStyle name="표준 6 2 2 2 28 2 5" xfId="27686"/>
    <cellStyle name="표준 6 2 2 2 28 2 6" xfId="55284"/>
    <cellStyle name="표준 6 2 2 2 28 3" xfId="5478"/>
    <cellStyle name="표준 6 2 2 2 28 3 2" xfId="11814"/>
    <cellStyle name="표준 6 2 2 2 28 3 2 2" xfId="24487"/>
    <cellStyle name="표준 6 2 2 2 28 3 2 2 2" xfId="49839"/>
    <cellStyle name="표준 6 2 2 2 28 3 2 3" xfId="37167"/>
    <cellStyle name="표준 6 2 2 2 28 3 3" xfId="18151"/>
    <cellStyle name="표준 6 2 2 2 28 3 3 2" xfId="43503"/>
    <cellStyle name="표준 6 2 2 2 28 3 4" xfId="30831"/>
    <cellStyle name="표준 6 2 2 2 28 3 5" xfId="55285"/>
    <cellStyle name="표준 6 2 2 2 28 4" xfId="8668"/>
    <cellStyle name="표준 6 2 2 2 28 4 2" xfId="21341"/>
    <cellStyle name="표준 6 2 2 2 28 4 2 2" xfId="46693"/>
    <cellStyle name="표준 6 2 2 2 28 4 3" xfId="34021"/>
    <cellStyle name="표준 6 2 2 2 28 5" xfId="15005"/>
    <cellStyle name="표준 6 2 2 2 28 5 2" xfId="40357"/>
    <cellStyle name="표준 6 2 2 2 28 6" xfId="27685"/>
    <cellStyle name="표준 6 2 2 2 28 7" xfId="55286"/>
    <cellStyle name="표준 6 2 2 2 29" xfId="2333"/>
    <cellStyle name="표준 6 2 2 2 29 2" xfId="2334"/>
    <cellStyle name="표준 6 2 2 2 29 2 2" xfId="5479"/>
    <cellStyle name="표준 6 2 2 2 29 2 2 2" xfId="11815"/>
    <cellStyle name="표준 6 2 2 2 29 2 2 2 2" xfId="24488"/>
    <cellStyle name="표준 6 2 2 2 29 2 2 2 2 2" xfId="49840"/>
    <cellStyle name="표준 6 2 2 2 29 2 2 2 3" xfId="37168"/>
    <cellStyle name="표준 6 2 2 2 29 2 2 3" xfId="18152"/>
    <cellStyle name="표준 6 2 2 2 29 2 2 3 2" xfId="43504"/>
    <cellStyle name="표준 6 2 2 2 29 2 2 4" xfId="30832"/>
    <cellStyle name="표준 6 2 2 2 29 2 2 5" xfId="55287"/>
    <cellStyle name="표준 6 2 2 2 29 2 3" xfId="8671"/>
    <cellStyle name="표준 6 2 2 2 29 2 3 2" xfId="21344"/>
    <cellStyle name="표준 6 2 2 2 29 2 3 2 2" xfId="46696"/>
    <cellStyle name="표준 6 2 2 2 29 2 3 3" xfId="34024"/>
    <cellStyle name="표준 6 2 2 2 29 2 4" xfId="15008"/>
    <cellStyle name="표준 6 2 2 2 29 2 4 2" xfId="40360"/>
    <cellStyle name="표준 6 2 2 2 29 2 5" xfId="27688"/>
    <cellStyle name="표준 6 2 2 2 29 2 6" xfId="55288"/>
    <cellStyle name="표준 6 2 2 2 29 3" xfId="5480"/>
    <cellStyle name="표준 6 2 2 2 29 3 2" xfId="11816"/>
    <cellStyle name="표준 6 2 2 2 29 3 2 2" xfId="24489"/>
    <cellStyle name="표준 6 2 2 2 29 3 2 2 2" xfId="49841"/>
    <cellStyle name="표준 6 2 2 2 29 3 2 3" xfId="37169"/>
    <cellStyle name="표준 6 2 2 2 29 3 3" xfId="18153"/>
    <cellStyle name="표준 6 2 2 2 29 3 3 2" xfId="43505"/>
    <cellStyle name="표준 6 2 2 2 29 3 4" xfId="30833"/>
    <cellStyle name="표준 6 2 2 2 29 3 5" xfId="55289"/>
    <cellStyle name="표준 6 2 2 2 29 4" xfId="8670"/>
    <cellStyle name="표준 6 2 2 2 29 4 2" xfId="21343"/>
    <cellStyle name="표준 6 2 2 2 29 4 2 2" xfId="46695"/>
    <cellStyle name="표준 6 2 2 2 29 4 3" xfId="34023"/>
    <cellStyle name="표준 6 2 2 2 29 5" xfId="15007"/>
    <cellStyle name="표준 6 2 2 2 29 5 2" xfId="40359"/>
    <cellStyle name="표준 6 2 2 2 29 6" xfId="27687"/>
    <cellStyle name="표준 6 2 2 2 29 7" xfId="55290"/>
    <cellStyle name="표준 6 2 2 2 3" xfId="90"/>
    <cellStyle name="표준 6 2 2 2 3 2" xfId="2335"/>
    <cellStyle name="표준 6 2 2 2 3 2 2" xfId="5481"/>
    <cellStyle name="표준 6 2 2 2 3 2 2 2" xfId="11817"/>
    <cellStyle name="표준 6 2 2 2 3 2 2 2 2" xfId="24490"/>
    <cellStyle name="표준 6 2 2 2 3 2 2 2 2 2" xfId="49842"/>
    <cellStyle name="표준 6 2 2 2 3 2 2 2 3" xfId="37170"/>
    <cellStyle name="표준 6 2 2 2 3 2 2 3" xfId="18154"/>
    <cellStyle name="표준 6 2 2 2 3 2 2 3 2" xfId="43506"/>
    <cellStyle name="표준 6 2 2 2 3 2 2 4" xfId="30834"/>
    <cellStyle name="표준 6 2 2 2 3 2 2 5" xfId="55291"/>
    <cellStyle name="표준 6 2 2 2 3 2 3" xfId="8672"/>
    <cellStyle name="표준 6 2 2 2 3 2 3 2" xfId="21345"/>
    <cellStyle name="표준 6 2 2 2 3 2 3 2 2" xfId="46697"/>
    <cellStyle name="표준 6 2 2 2 3 2 3 3" xfId="34025"/>
    <cellStyle name="표준 6 2 2 2 3 2 4" xfId="15009"/>
    <cellStyle name="표준 6 2 2 2 3 2 4 2" xfId="40361"/>
    <cellStyle name="표준 6 2 2 2 3 2 5" xfId="27689"/>
    <cellStyle name="표준 6 2 2 2 3 2 6" xfId="55292"/>
    <cellStyle name="표준 6 2 2 2 3 3" xfId="5482"/>
    <cellStyle name="표준 6 2 2 2 3 3 2" xfId="11818"/>
    <cellStyle name="표준 6 2 2 2 3 3 2 2" xfId="24491"/>
    <cellStyle name="표준 6 2 2 2 3 3 2 2 2" xfId="49843"/>
    <cellStyle name="표준 6 2 2 2 3 3 2 3" xfId="37171"/>
    <cellStyle name="표준 6 2 2 2 3 3 3" xfId="18155"/>
    <cellStyle name="표준 6 2 2 2 3 3 3 2" xfId="43507"/>
    <cellStyle name="표준 6 2 2 2 3 3 4" xfId="30835"/>
    <cellStyle name="표준 6 2 2 2 3 3 5" xfId="55293"/>
    <cellStyle name="표준 6 2 2 2 3 4" xfId="6428"/>
    <cellStyle name="표준 6 2 2 2 3 4 2" xfId="19101"/>
    <cellStyle name="표준 6 2 2 2 3 4 2 2" xfId="44453"/>
    <cellStyle name="표준 6 2 2 2 3 4 3" xfId="31781"/>
    <cellStyle name="표준 6 2 2 2 3 5" xfId="12765"/>
    <cellStyle name="표준 6 2 2 2 3 5 2" xfId="38117"/>
    <cellStyle name="표준 6 2 2 2 3 6" xfId="25445"/>
    <cellStyle name="표준 6 2 2 2 3 7" xfId="55294"/>
    <cellStyle name="표준 6 2 2 2 30" xfId="2336"/>
    <cellStyle name="표준 6 2 2 2 30 2" xfId="2337"/>
    <cellStyle name="표준 6 2 2 2 30 2 2" xfId="5483"/>
    <cellStyle name="표준 6 2 2 2 30 2 2 2" xfId="11819"/>
    <cellStyle name="표준 6 2 2 2 30 2 2 2 2" xfId="24492"/>
    <cellStyle name="표준 6 2 2 2 30 2 2 2 2 2" xfId="49844"/>
    <cellStyle name="표준 6 2 2 2 30 2 2 2 3" xfId="37172"/>
    <cellStyle name="표준 6 2 2 2 30 2 2 3" xfId="18156"/>
    <cellStyle name="표준 6 2 2 2 30 2 2 3 2" xfId="43508"/>
    <cellStyle name="표준 6 2 2 2 30 2 2 4" xfId="30836"/>
    <cellStyle name="표준 6 2 2 2 30 2 2 5" xfId="55295"/>
    <cellStyle name="표준 6 2 2 2 30 2 3" xfId="8674"/>
    <cellStyle name="표준 6 2 2 2 30 2 3 2" xfId="21347"/>
    <cellStyle name="표준 6 2 2 2 30 2 3 2 2" xfId="46699"/>
    <cellStyle name="표준 6 2 2 2 30 2 3 3" xfId="34027"/>
    <cellStyle name="표준 6 2 2 2 30 2 4" xfId="15011"/>
    <cellStyle name="표준 6 2 2 2 30 2 4 2" xfId="40363"/>
    <cellStyle name="표준 6 2 2 2 30 2 5" xfId="27691"/>
    <cellStyle name="표준 6 2 2 2 30 2 6" xfId="55296"/>
    <cellStyle name="표준 6 2 2 2 30 3" xfId="5484"/>
    <cellStyle name="표준 6 2 2 2 30 3 2" xfId="11820"/>
    <cellStyle name="표준 6 2 2 2 30 3 2 2" xfId="24493"/>
    <cellStyle name="표준 6 2 2 2 30 3 2 2 2" xfId="49845"/>
    <cellStyle name="표준 6 2 2 2 30 3 2 3" xfId="37173"/>
    <cellStyle name="표준 6 2 2 2 30 3 3" xfId="18157"/>
    <cellStyle name="표준 6 2 2 2 30 3 3 2" xfId="43509"/>
    <cellStyle name="표준 6 2 2 2 30 3 4" xfId="30837"/>
    <cellStyle name="표준 6 2 2 2 30 3 5" xfId="55297"/>
    <cellStyle name="표준 6 2 2 2 30 4" xfId="8673"/>
    <cellStyle name="표준 6 2 2 2 30 4 2" xfId="21346"/>
    <cellStyle name="표준 6 2 2 2 30 4 2 2" xfId="46698"/>
    <cellStyle name="표준 6 2 2 2 30 4 3" xfId="34026"/>
    <cellStyle name="표준 6 2 2 2 30 5" xfId="15010"/>
    <cellStyle name="표준 6 2 2 2 30 5 2" xfId="40362"/>
    <cellStyle name="표준 6 2 2 2 30 6" xfId="27690"/>
    <cellStyle name="표준 6 2 2 2 30 7" xfId="55298"/>
    <cellStyle name="표준 6 2 2 2 31" xfId="2338"/>
    <cellStyle name="표준 6 2 2 2 31 2" xfId="2339"/>
    <cellStyle name="표준 6 2 2 2 31 2 2" xfId="5485"/>
    <cellStyle name="표준 6 2 2 2 31 2 2 2" xfId="11821"/>
    <cellStyle name="표준 6 2 2 2 31 2 2 2 2" xfId="24494"/>
    <cellStyle name="표준 6 2 2 2 31 2 2 2 2 2" xfId="49846"/>
    <cellStyle name="표준 6 2 2 2 31 2 2 2 3" xfId="37174"/>
    <cellStyle name="표준 6 2 2 2 31 2 2 3" xfId="18158"/>
    <cellStyle name="표준 6 2 2 2 31 2 2 3 2" xfId="43510"/>
    <cellStyle name="표준 6 2 2 2 31 2 2 4" xfId="30838"/>
    <cellStyle name="표준 6 2 2 2 31 2 2 5" xfId="55299"/>
    <cellStyle name="표준 6 2 2 2 31 2 3" xfId="8676"/>
    <cellStyle name="표준 6 2 2 2 31 2 3 2" xfId="21349"/>
    <cellStyle name="표준 6 2 2 2 31 2 3 2 2" xfId="46701"/>
    <cellStyle name="표준 6 2 2 2 31 2 3 3" xfId="34029"/>
    <cellStyle name="표준 6 2 2 2 31 2 4" xfId="15013"/>
    <cellStyle name="표준 6 2 2 2 31 2 4 2" xfId="40365"/>
    <cellStyle name="표준 6 2 2 2 31 2 5" xfId="27693"/>
    <cellStyle name="표준 6 2 2 2 31 2 6" xfId="55300"/>
    <cellStyle name="표준 6 2 2 2 31 3" xfId="5486"/>
    <cellStyle name="표준 6 2 2 2 31 3 2" xfId="11822"/>
    <cellStyle name="표준 6 2 2 2 31 3 2 2" xfId="24495"/>
    <cellStyle name="표준 6 2 2 2 31 3 2 2 2" xfId="49847"/>
    <cellStyle name="표준 6 2 2 2 31 3 2 3" xfId="37175"/>
    <cellStyle name="표준 6 2 2 2 31 3 3" xfId="18159"/>
    <cellStyle name="표준 6 2 2 2 31 3 3 2" xfId="43511"/>
    <cellStyle name="표준 6 2 2 2 31 3 4" xfId="30839"/>
    <cellStyle name="표준 6 2 2 2 31 3 5" xfId="55301"/>
    <cellStyle name="표준 6 2 2 2 31 4" xfId="8675"/>
    <cellStyle name="표준 6 2 2 2 31 4 2" xfId="21348"/>
    <cellStyle name="표준 6 2 2 2 31 4 2 2" xfId="46700"/>
    <cellStyle name="표준 6 2 2 2 31 4 3" xfId="34028"/>
    <cellStyle name="표준 6 2 2 2 31 5" xfId="15012"/>
    <cellStyle name="표준 6 2 2 2 31 5 2" xfId="40364"/>
    <cellStyle name="표준 6 2 2 2 31 6" xfId="27692"/>
    <cellStyle name="표준 6 2 2 2 31 7" xfId="55302"/>
    <cellStyle name="표준 6 2 2 2 32" xfId="2340"/>
    <cellStyle name="표준 6 2 2 2 32 2" xfId="2341"/>
    <cellStyle name="표준 6 2 2 2 32 2 2" xfId="5487"/>
    <cellStyle name="표준 6 2 2 2 32 2 2 2" xfId="11823"/>
    <cellStyle name="표준 6 2 2 2 32 2 2 2 2" xfId="24496"/>
    <cellStyle name="표준 6 2 2 2 32 2 2 2 2 2" xfId="49848"/>
    <cellStyle name="표준 6 2 2 2 32 2 2 2 3" xfId="37176"/>
    <cellStyle name="표준 6 2 2 2 32 2 2 3" xfId="18160"/>
    <cellStyle name="표준 6 2 2 2 32 2 2 3 2" xfId="43512"/>
    <cellStyle name="표준 6 2 2 2 32 2 2 4" xfId="30840"/>
    <cellStyle name="표준 6 2 2 2 32 2 2 5" xfId="55303"/>
    <cellStyle name="표준 6 2 2 2 32 2 3" xfId="8678"/>
    <cellStyle name="표준 6 2 2 2 32 2 3 2" xfId="21351"/>
    <cellStyle name="표준 6 2 2 2 32 2 3 2 2" xfId="46703"/>
    <cellStyle name="표준 6 2 2 2 32 2 3 3" xfId="34031"/>
    <cellStyle name="표준 6 2 2 2 32 2 4" xfId="15015"/>
    <cellStyle name="표준 6 2 2 2 32 2 4 2" xfId="40367"/>
    <cellStyle name="표준 6 2 2 2 32 2 5" xfId="27695"/>
    <cellStyle name="표준 6 2 2 2 32 2 6" xfId="55304"/>
    <cellStyle name="표준 6 2 2 2 32 3" xfId="5488"/>
    <cellStyle name="표준 6 2 2 2 32 3 2" xfId="11824"/>
    <cellStyle name="표준 6 2 2 2 32 3 2 2" xfId="24497"/>
    <cellStyle name="표준 6 2 2 2 32 3 2 2 2" xfId="49849"/>
    <cellStyle name="표준 6 2 2 2 32 3 2 3" xfId="37177"/>
    <cellStyle name="표준 6 2 2 2 32 3 3" xfId="18161"/>
    <cellStyle name="표준 6 2 2 2 32 3 3 2" xfId="43513"/>
    <cellStyle name="표준 6 2 2 2 32 3 4" xfId="30841"/>
    <cellStyle name="표준 6 2 2 2 32 3 5" xfId="55305"/>
    <cellStyle name="표준 6 2 2 2 32 4" xfId="8677"/>
    <cellStyle name="표준 6 2 2 2 32 4 2" xfId="21350"/>
    <cellStyle name="표준 6 2 2 2 32 4 2 2" xfId="46702"/>
    <cellStyle name="표준 6 2 2 2 32 4 3" xfId="34030"/>
    <cellStyle name="표준 6 2 2 2 32 5" xfId="15014"/>
    <cellStyle name="표준 6 2 2 2 32 5 2" xfId="40366"/>
    <cellStyle name="표준 6 2 2 2 32 6" xfId="27694"/>
    <cellStyle name="표준 6 2 2 2 32 7" xfId="55306"/>
    <cellStyle name="표준 6 2 2 2 33" xfId="2342"/>
    <cellStyle name="표준 6 2 2 2 33 2" xfId="2343"/>
    <cellStyle name="표준 6 2 2 2 33 2 2" xfId="5489"/>
    <cellStyle name="표준 6 2 2 2 33 2 2 2" xfId="11825"/>
    <cellStyle name="표준 6 2 2 2 33 2 2 2 2" xfId="24498"/>
    <cellStyle name="표준 6 2 2 2 33 2 2 2 2 2" xfId="49850"/>
    <cellStyle name="표준 6 2 2 2 33 2 2 2 3" xfId="37178"/>
    <cellStyle name="표준 6 2 2 2 33 2 2 3" xfId="18162"/>
    <cellStyle name="표준 6 2 2 2 33 2 2 3 2" xfId="43514"/>
    <cellStyle name="표준 6 2 2 2 33 2 2 4" xfId="30842"/>
    <cellStyle name="표준 6 2 2 2 33 2 2 5" xfId="55307"/>
    <cellStyle name="표준 6 2 2 2 33 2 3" xfId="8680"/>
    <cellStyle name="표준 6 2 2 2 33 2 3 2" xfId="21353"/>
    <cellStyle name="표준 6 2 2 2 33 2 3 2 2" xfId="46705"/>
    <cellStyle name="표준 6 2 2 2 33 2 3 3" xfId="34033"/>
    <cellStyle name="표준 6 2 2 2 33 2 4" xfId="15017"/>
    <cellStyle name="표준 6 2 2 2 33 2 4 2" xfId="40369"/>
    <cellStyle name="표준 6 2 2 2 33 2 5" xfId="27697"/>
    <cellStyle name="표준 6 2 2 2 33 2 6" xfId="55308"/>
    <cellStyle name="표준 6 2 2 2 33 3" xfId="5490"/>
    <cellStyle name="표준 6 2 2 2 33 3 2" xfId="11826"/>
    <cellStyle name="표준 6 2 2 2 33 3 2 2" xfId="24499"/>
    <cellStyle name="표준 6 2 2 2 33 3 2 2 2" xfId="49851"/>
    <cellStyle name="표준 6 2 2 2 33 3 2 3" xfId="37179"/>
    <cellStyle name="표준 6 2 2 2 33 3 3" xfId="18163"/>
    <cellStyle name="표준 6 2 2 2 33 3 3 2" xfId="43515"/>
    <cellStyle name="표준 6 2 2 2 33 3 4" xfId="30843"/>
    <cellStyle name="표준 6 2 2 2 33 3 5" xfId="55309"/>
    <cellStyle name="표준 6 2 2 2 33 4" xfId="8679"/>
    <cellStyle name="표준 6 2 2 2 33 4 2" xfId="21352"/>
    <cellStyle name="표준 6 2 2 2 33 4 2 2" xfId="46704"/>
    <cellStyle name="표준 6 2 2 2 33 4 3" xfId="34032"/>
    <cellStyle name="표준 6 2 2 2 33 5" xfId="15016"/>
    <cellStyle name="표준 6 2 2 2 33 5 2" xfId="40368"/>
    <cellStyle name="표준 6 2 2 2 33 6" xfId="27696"/>
    <cellStyle name="표준 6 2 2 2 33 7" xfId="55310"/>
    <cellStyle name="표준 6 2 2 2 34" xfId="2344"/>
    <cellStyle name="표준 6 2 2 2 34 2" xfId="2345"/>
    <cellStyle name="표준 6 2 2 2 34 2 2" xfId="5491"/>
    <cellStyle name="표준 6 2 2 2 34 2 2 2" xfId="11827"/>
    <cellStyle name="표준 6 2 2 2 34 2 2 2 2" xfId="24500"/>
    <cellStyle name="표준 6 2 2 2 34 2 2 2 2 2" xfId="49852"/>
    <cellStyle name="표준 6 2 2 2 34 2 2 2 3" xfId="37180"/>
    <cellStyle name="표준 6 2 2 2 34 2 2 3" xfId="18164"/>
    <cellStyle name="표준 6 2 2 2 34 2 2 3 2" xfId="43516"/>
    <cellStyle name="표준 6 2 2 2 34 2 2 4" xfId="30844"/>
    <cellStyle name="표준 6 2 2 2 34 2 2 5" xfId="55311"/>
    <cellStyle name="표준 6 2 2 2 34 2 3" xfId="8682"/>
    <cellStyle name="표준 6 2 2 2 34 2 3 2" xfId="21355"/>
    <cellStyle name="표준 6 2 2 2 34 2 3 2 2" xfId="46707"/>
    <cellStyle name="표준 6 2 2 2 34 2 3 3" xfId="34035"/>
    <cellStyle name="표준 6 2 2 2 34 2 4" xfId="15019"/>
    <cellStyle name="표준 6 2 2 2 34 2 4 2" xfId="40371"/>
    <cellStyle name="표준 6 2 2 2 34 2 5" xfId="27699"/>
    <cellStyle name="표준 6 2 2 2 34 2 6" xfId="55312"/>
    <cellStyle name="표준 6 2 2 2 34 3" xfId="5492"/>
    <cellStyle name="표준 6 2 2 2 34 3 2" xfId="11828"/>
    <cellStyle name="표준 6 2 2 2 34 3 2 2" xfId="24501"/>
    <cellStyle name="표준 6 2 2 2 34 3 2 2 2" xfId="49853"/>
    <cellStyle name="표준 6 2 2 2 34 3 2 3" xfId="37181"/>
    <cellStyle name="표준 6 2 2 2 34 3 3" xfId="18165"/>
    <cellStyle name="표준 6 2 2 2 34 3 3 2" xfId="43517"/>
    <cellStyle name="표준 6 2 2 2 34 3 4" xfId="30845"/>
    <cellStyle name="표준 6 2 2 2 34 3 5" xfId="55313"/>
    <cellStyle name="표준 6 2 2 2 34 4" xfId="8681"/>
    <cellStyle name="표준 6 2 2 2 34 4 2" xfId="21354"/>
    <cellStyle name="표준 6 2 2 2 34 4 2 2" xfId="46706"/>
    <cellStyle name="표준 6 2 2 2 34 4 3" xfId="34034"/>
    <cellStyle name="표준 6 2 2 2 34 5" xfId="15018"/>
    <cellStyle name="표준 6 2 2 2 34 5 2" xfId="40370"/>
    <cellStyle name="표준 6 2 2 2 34 6" xfId="27698"/>
    <cellStyle name="표준 6 2 2 2 34 7" xfId="55314"/>
    <cellStyle name="표준 6 2 2 2 35" xfId="2346"/>
    <cellStyle name="표준 6 2 2 2 35 2" xfId="5493"/>
    <cellStyle name="표준 6 2 2 2 35 2 2" xfId="11829"/>
    <cellStyle name="표준 6 2 2 2 35 2 2 2" xfId="24502"/>
    <cellStyle name="표준 6 2 2 2 35 2 2 2 2" xfId="49854"/>
    <cellStyle name="표준 6 2 2 2 35 2 2 3" xfId="37182"/>
    <cellStyle name="표준 6 2 2 2 35 2 3" xfId="18166"/>
    <cellStyle name="표준 6 2 2 2 35 2 3 2" xfId="43518"/>
    <cellStyle name="표준 6 2 2 2 35 2 4" xfId="30846"/>
    <cellStyle name="표준 6 2 2 2 35 2 5" xfId="55315"/>
    <cellStyle name="표준 6 2 2 2 35 3" xfId="8683"/>
    <cellStyle name="표준 6 2 2 2 35 3 2" xfId="21356"/>
    <cellStyle name="표준 6 2 2 2 35 3 2 2" xfId="46708"/>
    <cellStyle name="표준 6 2 2 2 35 3 3" xfId="34036"/>
    <cellStyle name="표준 6 2 2 2 35 4" xfId="15020"/>
    <cellStyle name="표준 6 2 2 2 35 4 2" xfId="40372"/>
    <cellStyle name="표준 6 2 2 2 35 5" xfId="27700"/>
    <cellStyle name="표준 6 2 2 2 35 6" xfId="55316"/>
    <cellStyle name="표준 6 2 2 2 36" xfId="5494"/>
    <cellStyle name="표준 6 2 2 2 36 2" xfId="11830"/>
    <cellStyle name="표준 6 2 2 2 36 2 2" xfId="24503"/>
    <cellStyle name="표준 6 2 2 2 36 2 2 2" xfId="49855"/>
    <cellStyle name="표준 6 2 2 2 36 2 3" xfId="37183"/>
    <cellStyle name="표준 6 2 2 2 36 3" xfId="18167"/>
    <cellStyle name="표준 6 2 2 2 36 3 2" xfId="43519"/>
    <cellStyle name="표준 6 2 2 2 36 4" xfId="30847"/>
    <cellStyle name="표준 6 2 2 2 36 5" xfId="55317"/>
    <cellStyle name="표준 6 2 2 2 37" xfId="6394"/>
    <cellStyle name="표준 6 2 2 2 37 2" xfId="19067"/>
    <cellStyle name="표준 6 2 2 2 37 2 2" xfId="44419"/>
    <cellStyle name="표준 6 2 2 2 37 3" xfId="31747"/>
    <cellStyle name="표준 6 2 2 2 38" xfId="12731"/>
    <cellStyle name="표준 6 2 2 2 38 2" xfId="38083"/>
    <cellStyle name="표준 6 2 2 2 39" xfId="25411"/>
    <cellStyle name="표준 6 2 2 2 4" xfId="2347"/>
    <cellStyle name="표준 6 2 2 2 4 2" xfId="2348"/>
    <cellStyle name="표준 6 2 2 2 4 2 2" xfId="5495"/>
    <cellStyle name="표준 6 2 2 2 4 2 2 2" xfId="11831"/>
    <cellStyle name="표준 6 2 2 2 4 2 2 2 2" xfId="24504"/>
    <cellStyle name="표준 6 2 2 2 4 2 2 2 2 2" xfId="49856"/>
    <cellStyle name="표준 6 2 2 2 4 2 2 2 3" xfId="37184"/>
    <cellStyle name="표준 6 2 2 2 4 2 2 3" xfId="18168"/>
    <cellStyle name="표준 6 2 2 2 4 2 2 3 2" xfId="43520"/>
    <cellStyle name="표준 6 2 2 2 4 2 2 4" xfId="30848"/>
    <cellStyle name="표준 6 2 2 2 4 2 2 5" xfId="55318"/>
    <cellStyle name="표준 6 2 2 2 4 2 3" xfId="8685"/>
    <cellStyle name="표준 6 2 2 2 4 2 3 2" xfId="21358"/>
    <cellStyle name="표준 6 2 2 2 4 2 3 2 2" xfId="46710"/>
    <cellStyle name="표준 6 2 2 2 4 2 3 3" xfId="34038"/>
    <cellStyle name="표준 6 2 2 2 4 2 4" xfId="15022"/>
    <cellStyle name="표준 6 2 2 2 4 2 4 2" xfId="40374"/>
    <cellStyle name="표준 6 2 2 2 4 2 5" xfId="27702"/>
    <cellStyle name="표준 6 2 2 2 4 2 6" xfId="55319"/>
    <cellStyle name="표준 6 2 2 2 4 3" xfId="5496"/>
    <cellStyle name="표준 6 2 2 2 4 3 2" xfId="11832"/>
    <cellStyle name="표준 6 2 2 2 4 3 2 2" xfId="24505"/>
    <cellStyle name="표준 6 2 2 2 4 3 2 2 2" xfId="49857"/>
    <cellStyle name="표준 6 2 2 2 4 3 2 3" xfId="37185"/>
    <cellStyle name="표준 6 2 2 2 4 3 3" xfId="18169"/>
    <cellStyle name="표준 6 2 2 2 4 3 3 2" xfId="43521"/>
    <cellStyle name="표준 6 2 2 2 4 3 4" xfId="30849"/>
    <cellStyle name="표준 6 2 2 2 4 3 5" xfId="55320"/>
    <cellStyle name="표준 6 2 2 2 4 4" xfId="8684"/>
    <cellStyle name="표준 6 2 2 2 4 4 2" xfId="21357"/>
    <cellStyle name="표준 6 2 2 2 4 4 2 2" xfId="46709"/>
    <cellStyle name="표준 6 2 2 2 4 4 3" xfId="34037"/>
    <cellStyle name="표준 6 2 2 2 4 5" xfId="15021"/>
    <cellStyle name="표준 6 2 2 2 4 5 2" xfId="40373"/>
    <cellStyle name="표준 6 2 2 2 4 6" xfId="27701"/>
    <cellStyle name="표준 6 2 2 2 4 7" xfId="55321"/>
    <cellStyle name="표준 6 2 2 2 40" xfId="55322"/>
    <cellStyle name="표준 6 2 2 2 5" xfId="2349"/>
    <cellStyle name="표준 6 2 2 2 5 2" xfId="2350"/>
    <cellStyle name="표준 6 2 2 2 5 2 2" xfId="5497"/>
    <cellStyle name="표준 6 2 2 2 5 2 2 2" xfId="11833"/>
    <cellStyle name="표준 6 2 2 2 5 2 2 2 2" xfId="24506"/>
    <cellStyle name="표준 6 2 2 2 5 2 2 2 2 2" xfId="49858"/>
    <cellStyle name="표준 6 2 2 2 5 2 2 2 3" xfId="37186"/>
    <cellStyle name="표준 6 2 2 2 5 2 2 3" xfId="18170"/>
    <cellStyle name="표준 6 2 2 2 5 2 2 3 2" xfId="43522"/>
    <cellStyle name="표준 6 2 2 2 5 2 2 4" xfId="30850"/>
    <cellStyle name="표준 6 2 2 2 5 2 2 5" xfId="55323"/>
    <cellStyle name="표준 6 2 2 2 5 2 3" xfId="8687"/>
    <cellStyle name="표준 6 2 2 2 5 2 3 2" xfId="21360"/>
    <cellStyle name="표준 6 2 2 2 5 2 3 2 2" xfId="46712"/>
    <cellStyle name="표준 6 2 2 2 5 2 3 3" xfId="34040"/>
    <cellStyle name="표준 6 2 2 2 5 2 4" xfId="15024"/>
    <cellStyle name="표준 6 2 2 2 5 2 4 2" xfId="40376"/>
    <cellStyle name="표준 6 2 2 2 5 2 5" xfId="27704"/>
    <cellStyle name="표준 6 2 2 2 5 2 6" xfId="55324"/>
    <cellStyle name="표준 6 2 2 2 5 3" xfId="5498"/>
    <cellStyle name="표준 6 2 2 2 5 3 2" xfId="11834"/>
    <cellStyle name="표준 6 2 2 2 5 3 2 2" xfId="24507"/>
    <cellStyle name="표준 6 2 2 2 5 3 2 2 2" xfId="49859"/>
    <cellStyle name="표준 6 2 2 2 5 3 2 3" xfId="37187"/>
    <cellStyle name="표준 6 2 2 2 5 3 3" xfId="18171"/>
    <cellStyle name="표준 6 2 2 2 5 3 3 2" xfId="43523"/>
    <cellStyle name="표준 6 2 2 2 5 3 4" xfId="30851"/>
    <cellStyle name="표준 6 2 2 2 5 3 5" xfId="55325"/>
    <cellStyle name="표준 6 2 2 2 5 4" xfId="8686"/>
    <cellStyle name="표준 6 2 2 2 5 4 2" xfId="21359"/>
    <cellStyle name="표준 6 2 2 2 5 4 2 2" xfId="46711"/>
    <cellStyle name="표준 6 2 2 2 5 4 3" xfId="34039"/>
    <cellStyle name="표준 6 2 2 2 5 5" xfId="15023"/>
    <cellStyle name="표준 6 2 2 2 5 5 2" xfId="40375"/>
    <cellStyle name="표준 6 2 2 2 5 6" xfId="27703"/>
    <cellStyle name="표준 6 2 2 2 5 7" xfId="55326"/>
    <cellStyle name="표준 6 2 2 2 6" xfId="2351"/>
    <cellStyle name="표준 6 2 2 2 6 2" xfId="2352"/>
    <cellStyle name="표준 6 2 2 2 6 2 2" xfId="5499"/>
    <cellStyle name="표준 6 2 2 2 6 2 2 2" xfId="11835"/>
    <cellStyle name="표준 6 2 2 2 6 2 2 2 2" xfId="24508"/>
    <cellStyle name="표준 6 2 2 2 6 2 2 2 2 2" xfId="49860"/>
    <cellStyle name="표준 6 2 2 2 6 2 2 2 3" xfId="37188"/>
    <cellStyle name="표준 6 2 2 2 6 2 2 3" xfId="18172"/>
    <cellStyle name="표준 6 2 2 2 6 2 2 3 2" xfId="43524"/>
    <cellStyle name="표준 6 2 2 2 6 2 2 4" xfId="30852"/>
    <cellStyle name="표준 6 2 2 2 6 2 2 5" xfId="55327"/>
    <cellStyle name="표준 6 2 2 2 6 2 3" xfId="8689"/>
    <cellStyle name="표준 6 2 2 2 6 2 3 2" xfId="21362"/>
    <cellStyle name="표준 6 2 2 2 6 2 3 2 2" xfId="46714"/>
    <cellStyle name="표준 6 2 2 2 6 2 3 3" xfId="34042"/>
    <cellStyle name="표준 6 2 2 2 6 2 4" xfId="15026"/>
    <cellStyle name="표준 6 2 2 2 6 2 4 2" xfId="40378"/>
    <cellStyle name="표준 6 2 2 2 6 2 5" xfId="27706"/>
    <cellStyle name="표준 6 2 2 2 6 2 6" xfId="55328"/>
    <cellStyle name="표준 6 2 2 2 6 3" xfId="5500"/>
    <cellStyle name="표준 6 2 2 2 6 3 2" xfId="11836"/>
    <cellStyle name="표준 6 2 2 2 6 3 2 2" xfId="24509"/>
    <cellStyle name="표준 6 2 2 2 6 3 2 2 2" xfId="49861"/>
    <cellStyle name="표준 6 2 2 2 6 3 2 3" xfId="37189"/>
    <cellStyle name="표준 6 2 2 2 6 3 3" xfId="18173"/>
    <cellStyle name="표준 6 2 2 2 6 3 3 2" xfId="43525"/>
    <cellStyle name="표준 6 2 2 2 6 3 4" xfId="30853"/>
    <cellStyle name="표준 6 2 2 2 6 3 5" xfId="55329"/>
    <cellStyle name="표준 6 2 2 2 6 4" xfId="8688"/>
    <cellStyle name="표준 6 2 2 2 6 4 2" xfId="21361"/>
    <cellStyle name="표준 6 2 2 2 6 4 2 2" xfId="46713"/>
    <cellStyle name="표준 6 2 2 2 6 4 3" xfId="34041"/>
    <cellStyle name="표준 6 2 2 2 6 5" xfId="15025"/>
    <cellStyle name="표준 6 2 2 2 6 5 2" xfId="40377"/>
    <cellStyle name="표준 6 2 2 2 6 6" xfId="27705"/>
    <cellStyle name="표준 6 2 2 2 6 7" xfId="55330"/>
    <cellStyle name="표준 6 2 2 2 7" xfId="2353"/>
    <cellStyle name="표준 6 2 2 2 7 2" xfId="2354"/>
    <cellStyle name="표준 6 2 2 2 7 2 2" xfId="5501"/>
    <cellStyle name="표준 6 2 2 2 7 2 2 2" xfId="11837"/>
    <cellStyle name="표준 6 2 2 2 7 2 2 2 2" xfId="24510"/>
    <cellStyle name="표준 6 2 2 2 7 2 2 2 2 2" xfId="49862"/>
    <cellStyle name="표준 6 2 2 2 7 2 2 2 3" xfId="37190"/>
    <cellStyle name="표준 6 2 2 2 7 2 2 3" xfId="18174"/>
    <cellStyle name="표준 6 2 2 2 7 2 2 3 2" xfId="43526"/>
    <cellStyle name="표준 6 2 2 2 7 2 2 4" xfId="30854"/>
    <cellStyle name="표준 6 2 2 2 7 2 2 5" xfId="55331"/>
    <cellStyle name="표준 6 2 2 2 7 2 3" xfId="8691"/>
    <cellStyle name="표준 6 2 2 2 7 2 3 2" xfId="21364"/>
    <cellStyle name="표준 6 2 2 2 7 2 3 2 2" xfId="46716"/>
    <cellStyle name="표준 6 2 2 2 7 2 3 3" xfId="34044"/>
    <cellStyle name="표준 6 2 2 2 7 2 4" xfId="15028"/>
    <cellStyle name="표준 6 2 2 2 7 2 4 2" xfId="40380"/>
    <cellStyle name="표준 6 2 2 2 7 2 5" xfId="27708"/>
    <cellStyle name="표준 6 2 2 2 7 2 6" xfId="55332"/>
    <cellStyle name="표준 6 2 2 2 7 3" xfId="5502"/>
    <cellStyle name="표준 6 2 2 2 7 3 2" xfId="11838"/>
    <cellStyle name="표준 6 2 2 2 7 3 2 2" xfId="24511"/>
    <cellStyle name="표준 6 2 2 2 7 3 2 2 2" xfId="49863"/>
    <cellStyle name="표준 6 2 2 2 7 3 2 3" xfId="37191"/>
    <cellStyle name="표준 6 2 2 2 7 3 3" xfId="18175"/>
    <cellStyle name="표준 6 2 2 2 7 3 3 2" xfId="43527"/>
    <cellStyle name="표준 6 2 2 2 7 3 4" xfId="30855"/>
    <cellStyle name="표준 6 2 2 2 7 3 5" xfId="55333"/>
    <cellStyle name="표준 6 2 2 2 7 4" xfId="8690"/>
    <cellStyle name="표준 6 2 2 2 7 4 2" xfId="21363"/>
    <cellStyle name="표준 6 2 2 2 7 4 2 2" xfId="46715"/>
    <cellStyle name="표준 6 2 2 2 7 4 3" xfId="34043"/>
    <cellStyle name="표준 6 2 2 2 7 5" xfId="15027"/>
    <cellStyle name="표준 6 2 2 2 7 5 2" xfId="40379"/>
    <cellStyle name="표준 6 2 2 2 7 6" xfId="27707"/>
    <cellStyle name="표준 6 2 2 2 7 7" xfId="55334"/>
    <cellStyle name="표준 6 2 2 2 8" xfId="2355"/>
    <cellStyle name="표준 6 2 2 2 8 2" xfId="2356"/>
    <cellStyle name="표준 6 2 2 2 8 2 2" xfId="5503"/>
    <cellStyle name="표준 6 2 2 2 8 2 2 2" xfId="11839"/>
    <cellStyle name="표준 6 2 2 2 8 2 2 2 2" xfId="24512"/>
    <cellStyle name="표준 6 2 2 2 8 2 2 2 2 2" xfId="49864"/>
    <cellStyle name="표준 6 2 2 2 8 2 2 2 3" xfId="37192"/>
    <cellStyle name="표준 6 2 2 2 8 2 2 3" xfId="18176"/>
    <cellStyle name="표준 6 2 2 2 8 2 2 3 2" xfId="43528"/>
    <cellStyle name="표준 6 2 2 2 8 2 2 4" xfId="30856"/>
    <cellStyle name="표준 6 2 2 2 8 2 2 5" xfId="55335"/>
    <cellStyle name="표준 6 2 2 2 8 2 3" xfId="8693"/>
    <cellStyle name="표준 6 2 2 2 8 2 3 2" xfId="21366"/>
    <cellStyle name="표준 6 2 2 2 8 2 3 2 2" xfId="46718"/>
    <cellStyle name="표준 6 2 2 2 8 2 3 3" xfId="34046"/>
    <cellStyle name="표준 6 2 2 2 8 2 4" xfId="15030"/>
    <cellStyle name="표준 6 2 2 2 8 2 4 2" xfId="40382"/>
    <cellStyle name="표준 6 2 2 2 8 2 5" xfId="27710"/>
    <cellStyle name="표준 6 2 2 2 8 2 6" xfId="55336"/>
    <cellStyle name="표준 6 2 2 2 8 3" xfId="5504"/>
    <cellStyle name="표준 6 2 2 2 8 3 2" xfId="11840"/>
    <cellStyle name="표준 6 2 2 2 8 3 2 2" xfId="24513"/>
    <cellStyle name="표준 6 2 2 2 8 3 2 2 2" xfId="49865"/>
    <cellStyle name="표준 6 2 2 2 8 3 2 3" xfId="37193"/>
    <cellStyle name="표준 6 2 2 2 8 3 3" xfId="18177"/>
    <cellStyle name="표준 6 2 2 2 8 3 3 2" xfId="43529"/>
    <cellStyle name="표준 6 2 2 2 8 3 4" xfId="30857"/>
    <cellStyle name="표준 6 2 2 2 8 3 5" xfId="55337"/>
    <cellStyle name="표준 6 2 2 2 8 4" xfId="8692"/>
    <cellStyle name="표준 6 2 2 2 8 4 2" xfId="21365"/>
    <cellStyle name="표준 6 2 2 2 8 4 2 2" xfId="46717"/>
    <cellStyle name="표준 6 2 2 2 8 4 3" xfId="34045"/>
    <cellStyle name="표준 6 2 2 2 8 5" xfId="15029"/>
    <cellStyle name="표준 6 2 2 2 8 5 2" xfId="40381"/>
    <cellStyle name="표준 6 2 2 2 8 6" xfId="27709"/>
    <cellStyle name="표준 6 2 2 2 8 7" xfId="55338"/>
    <cellStyle name="표준 6 2 2 2 9" xfId="2357"/>
    <cellStyle name="표준 6 2 2 2 9 2" xfId="2358"/>
    <cellStyle name="표준 6 2 2 2 9 2 2" xfId="5505"/>
    <cellStyle name="표준 6 2 2 2 9 2 2 2" xfId="11841"/>
    <cellStyle name="표준 6 2 2 2 9 2 2 2 2" xfId="24514"/>
    <cellStyle name="표준 6 2 2 2 9 2 2 2 2 2" xfId="49866"/>
    <cellStyle name="표준 6 2 2 2 9 2 2 2 3" xfId="37194"/>
    <cellStyle name="표준 6 2 2 2 9 2 2 3" xfId="18178"/>
    <cellStyle name="표준 6 2 2 2 9 2 2 3 2" xfId="43530"/>
    <cellStyle name="표준 6 2 2 2 9 2 2 4" xfId="30858"/>
    <cellStyle name="표준 6 2 2 2 9 2 2 5" xfId="55339"/>
    <cellStyle name="표준 6 2 2 2 9 2 3" xfId="8695"/>
    <cellStyle name="표준 6 2 2 2 9 2 3 2" xfId="21368"/>
    <cellStyle name="표준 6 2 2 2 9 2 3 2 2" xfId="46720"/>
    <cellStyle name="표준 6 2 2 2 9 2 3 3" xfId="34048"/>
    <cellStyle name="표준 6 2 2 2 9 2 4" xfId="15032"/>
    <cellStyle name="표준 6 2 2 2 9 2 4 2" xfId="40384"/>
    <cellStyle name="표준 6 2 2 2 9 2 5" xfId="27712"/>
    <cellStyle name="표준 6 2 2 2 9 2 6" xfId="55340"/>
    <cellStyle name="표준 6 2 2 2 9 3" xfId="5506"/>
    <cellStyle name="표준 6 2 2 2 9 3 2" xfId="11842"/>
    <cellStyle name="표준 6 2 2 2 9 3 2 2" xfId="24515"/>
    <cellStyle name="표준 6 2 2 2 9 3 2 2 2" xfId="49867"/>
    <cellStyle name="표준 6 2 2 2 9 3 2 3" xfId="37195"/>
    <cellStyle name="표준 6 2 2 2 9 3 3" xfId="18179"/>
    <cellStyle name="표준 6 2 2 2 9 3 3 2" xfId="43531"/>
    <cellStyle name="표준 6 2 2 2 9 3 4" xfId="30859"/>
    <cellStyle name="표준 6 2 2 2 9 3 5" xfId="55341"/>
    <cellStyle name="표준 6 2 2 2 9 4" xfId="8694"/>
    <cellStyle name="표준 6 2 2 2 9 4 2" xfId="21367"/>
    <cellStyle name="표준 6 2 2 2 9 4 2 2" xfId="46719"/>
    <cellStyle name="표준 6 2 2 2 9 4 3" xfId="34047"/>
    <cellStyle name="표준 6 2 2 2 9 5" xfId="15031"/>
    <cellStyle name="표준 6 2 2 2 9 5 2" xfId="40383"/>
    <cellStyle name="표준 6 2 2 2 9 6" xfId="27711"/>
    <cellStyle name="표준 6 2 2 2 9 7" xfId="55342"/>
    <cellStyle name="표준 6 2 2 20" xfId="2359"/>
    <cellStyle name="표준 6 2 2 20 2" xfId="2360"/>
    <cellStyle name="표준 6 2 2 20 2 2" xfId="5507"/>
    <cellStyle name="표준 6 2 2 20 2 2 2" xfId="11843"/>
    <cellStyle name="표준 6 2 2 20 2 2 2 2" xfId="24516"/>
    <cellStyle name="표준 6 2 2 20 2 2 2 2 2" xfId="49868"/>
    <cellStyle name="표준 6 2 2 20 2 2 2 3" xfId="37196"/>
    <cellStyle name="표준 6 2 2 20 2 2 3" xfId="18180"/>
    <cellStyle name="표준 6 2 2 20 2 2 3 2" xfId="43532"/>
    <cellStyle name="표준 6 2 2 20 2 2 4" xfId="30860"/>
    <cellStyle name="표준 6 2 2 20 2 2 5" xfId="55343"/>
    <cellStyle name="표준 6 2 2 20 2 3" xfId="8697"/>
    <cellStyle name="표준 6 2 2 20 2 3 2" xfId="21370"/>
    <cellStyle name="표준 6 2 2 20 2 3 2 2" xfId="46722"/>
    <cellStyle name="표준 6 2 2 20 2 3 3" xfId="34050"/>
    <cellStyle name="표준 6 2 2 20 2 4" xfId="15034"/>
    <cellStyle name="표준 6 2 2 20 2 4 2" xfId="40386"/>
    <cellStyle name="표준 6 2 2 20 2 5" xfId="27714"/>
    <cellStyle name="표준 6 2 2 20 2 6" xfId="55344"/>
    <cellStyle name="표준 6 2 2 20 3" xfId="5508"/>
    <cellStyle name="표준 6 2 2 20 3 2" xfId="11844"/>
    <cellStyle name="표준 6 2 2 20 3 2 2" xfId="24517"/>
    <cellStyle name="표준 6 2 2 20 3 2 2 2" xfId="49869"/>
    <cellStyle name="표준 6 2 2 20 3 2 3" xfId="37197"/>
    <cellStyle name="표준 6 2 2 20 3 3" xfId="18181"/>
    <cellStyle name="표준 6 2 2 20 3 3 2" xfId="43533"/>
    <cellStyle name="표준 6 2 2 20 3 4" xfId="30861"/>
    <cellStyle name="표준 6 2 2 20 3 5" xfId="55345"/>
    <cellStyle name="표준 6 2 2 20 4" xfId="8696"/>
    <cellStyle name="표준 6 2 2 20 4 2" xfId="21369"/>
    <cellStyle name="표준 6 2 2 20 4 2 2" xfId="46721"/>
    <cellStyle name="표준 6 2 2 20 4 3" xfId="34049"/>
    <cellStyle name="표준 6 2 2 20 5" xfId="15033"/>
    <cellStyle name="표준 6 2 2 20 5 2" xfId="40385"/>
    <cellStyle name="표준 6 2 2 20 6" xfId="27713"/>
    <cellStyle name="표준 6 2 2 20 7" xfId="55346"/>
    <cellStyle name="표준 6 2 2 21" xfId="2361"/>
    <cellStyle name="표준 6 2 2 21 2" xfId="2362"/>
    <cellStyle name="표준 6 2 2 21 2 2" xfId="5509"/>
    <cellStyle name="표준 6 2 2 21 2 2 2" xfId="11845"/>
    <cellStyle name="표준 6 2 2 21 2 2 2 2" xfId="24518"/>
    <cellStyle name="표준 6 2 2 21 2 2 2 2 2" xfId="49870"/>
    <cellStyle name="표준 6 2 2 21 2 2 2 3" xfId="37198"/>
    <cellStyle name="표준 6 2 2 21 2 2 3" xfId="18182"/>
    <cellStyle name="표준 6 2 2 21 2 2 3 2" xfId="43534"/>
    <cellStyle name="표준 6 2 2 21 2 2 4" xfId="30862"/>
    <cellStyle name="표준 6 2 2 21 2 2 5" xfId="55347"/>
    <cellStyle name="표준 6 2 2 21 2 3" xfId="8699"/>
    <cellStyle name="표준 6 2 2 21 2 3 2" xfId="21372"/>
    <cellStyle name="표준 6 2 2 21 2 3 2 2" xfId="46724"/>
    <cellStyle name="표준 6 2 2 21 2 3 3" xfId="34052"/>
    <cellStyle name="표준 6 2 2 21 2 4" xfId="15036"/>
    <cellStyle name="표준 6 2 2 21 2 4 2" xfId="40388"/>
    <cellStyle name="표준 6 2 2 21 2 5" xfId="27716"/>
    <cellStyle name="표준 6 2 2 21 2 6" xfId="55348"/>
    <cellStyle name="표준 6 2 2 21 3" xfId="5510"/>
    <cellStyle name="표준 6 2 2 21 3 2" xfId="11846"/>
    <cellStyle name="표준 6 2 2 21 3 2 2" xfId="24519"/>
    <cellStyle name="표준 6 2 2 21 3 2 2 2" xfId="49871"/>
    <cellStyle name="표준 6 2 2 21 3 2 3" xfId="37199"/>
    <cellStyle name="표준 6 2 2 21 3 3" xfId="18183"/>
    <cellStyle name="표준 6 2 2 21 3 3 2" xfId="43535"/>
    <cellStyle name="표준 6 2 2 21 3 4" xfId="30863"/>
    <cellStyle name="표준 6 2 2 21 3 5" xfId="55349"/>
    <cellStyle name="표준 6 2 2 21 4" xfId="8698"/>
    <cellStyle name="표준 6 2 2 21 4 2" xfId="21371"/>
    <cellStyle name="표준 6 2 2 21 4 2 2" xfId="46723"/>
    <cellStyle name="표준 6 2 2 21 4 3" xfId="34051"/>
    <cellStyle name="표준 6 2 2 21 5" xfId="15035"/>
    <cellStyle name="표준 6 2 2 21 5 2" xfId="40387"/>
    <cellStyle name="표준 6 2 2 21 6" xfId="27715"/>
    <cellStyle name="표준 6 2 2 21 7" xfId="55350"/>
    <cellStyle name="표준 6 2 2 22" xfId="2363"/>
    <cellStyle name="표준 6 2 2 22 2" xfId="2364"/>
    <cellStyle name="표준 6 2 2 22 2 2" xfId="5511"/>
    <cellStyle name="표준 6 2 2 22 2 2 2" xfId="11847"/>
    <cellStyle name="표준 6 2 2 22 2 2 2 2" xfId="24520"/>
    <cellStyle name="표준 6 2 2 22 2 2 2 2 2" xfId="49872"/>
    <cellStyle name="표준 6 2 2 22 2 2 2 3" xfId="37200"/>
    <cellStyle name="표준 6 2 2 22 2 2 3" xfId="18184"/>
    <cellStyle name="표준 6 2 2 22 2 2 3 2" xfId="43536"/>
    <cellStyle name="표준 6 2 2 22 2 2 4" xfId="30864"/>
    <cellStyle name="표준 6 2 2 22 2 2 5" xfId="55351"/>
    <cellStyle name="표준 6 2 2 22 2 3" xfId="8701"/>
    <cellStyle name="표준 6 2 2 22 2 3 2" xfId="21374"/>
    <cellStyle name="표준 6 2 2 22 2 3 2 2" xfId="46726"/>
    <cellStyle name="표준 6 2 2 22 2 3 3" xfId="34054"/>
    <cellStyle name="표준 6 2 2 22 2 4" xfId="15038"/>
    <cellStyle name="표준 6 2 2 22 2 4 2" xfId="40390"/>
    <cellStyle name="표준 6 2 2 22 2 5" xfId="27718"/>
    <cellStyle name="표준 6 2 2 22 2 6" xfId="55352"/>
    <cellStyle name="표준 6 2 2 22 3" xfId="5512"/>
    <cellStyle name="표준 6 2 2 22 3 2" xfId="11848"/>
    <cellStyle name="표준 6 2 2 22 3 2 2" xfId="24521"/>
    <cellStyle name="표준 6 2 2 22 3 2 2 2" xfId="49873"/>
    <cellStyle name="표준 6 2 2 22 3 2 3" xfId="37201"/>
    <cellStyle name="표준 6 2 2 22 3 3" xfId="18185"/>
    <cellStyle name="표준 6 2 2 22 3 3 2" xfId="43537"/>
    <cellStyle name="표준 6 2 2 22 3 4" xfId="30865"/>
    <cellStyle name="표준 6 2 2 22 3 5" xfId="55353"/>
    <cellStyle name="표준 6 2 2 22 4" xfId="8700"/>
    <cellStyle name="표준 6 2 2 22 4 2" xfId="21373"/>
    <cellStyle name="표준 6 2 2 22 4 2 2" xfId="46725"/>
    <cellStyle name="표준 6 2 2 22 4 3" xfId="34053"/>
    <cellStyle name="표준 6 2 2 22 5" xfId="15037"/>
    <cellStyle name="표준 6 2 2 22 5 2" xfId="40389"/>
    <cellStyle name="표준 6 2 2 22 6" xfId="27717"/>
    <cellStyle name="표준 6 2 2 22 7" xfId="55354"/>
    <cellStyle name="표준 6 2 2 23" xfId="2365"/>
    <cellStyle name="표준 6 2 2 23 2" xfId="2366"/>
    <cellStyle name="표준 6 2 2 23 2 2" xfId="5513"/>
    <cellStyle name="표준 6 2 2 23 2 2 2" xfId="11849"/>
    <cellStyle name="표준 6 2 2 23 2 2 2 2" xfId="24522"/>
    <cellStyle name="표준 6 2 2 23 2 2 2 2 2" xfId="49874"/>
    <cellStyle name="표준 6 2 2 23 2 2 2 3" xfId="37202"/>
    <cellStyle name="표준 6 2 2 23 2 2 3" xfId="18186"/>
    <cellStyle name="표준 6 2 2 23 2 2 3 2" xfId="43538"/>
    <cellStyle name="표준 6 2 2 23 2 2 4" xfId="30866"/>
    <cellStyle name="표준 6 2 2 23 2 2 5" xfId="55355"/>
    <cellStyle name="표준 6 2 2 23 2 3" xfId="8703"/>
    <cellStyle name="표준 6 2 2 23 2 3 2" xfId="21376"/>
    <cellStyle name="표준 6 2 2 23 2 3 2 2" xfId="46728"/>
    <cellStyle name="표준 6 2 2 23 2 3 3" xfId="34056"/>
    <cellStyle name="표준 6 2 2 23 2 4" xfId="15040"/>
    <cellStyle name="표준 6 2 2 23 2 4 2" xfId="40392"/>
    <cellStyle name="표준 6 2 2 23 2 5" xfId="27720"/>
    <cellStyle name="표준 6 2 2 23 2 6" xfId="55356"/>
    <cellStyle name="표준 6 2 2 23 3" xfId="5514"/>
    <cellStyle name="표준 6 2 2 23 3 2" xfId="11850"/>
    <cellStyle name="표준 6 2 2 23 3 2 2" xfId="24523"/>
    <cellStyle name="표준 6 2 2 23 3 2 2 2" xfId="49875"/>
    <cellStyle name="표준 6 2 2 23 3 2 3" xfId="37203"/>
    <cellStyle name="표준 6 2 2 23 3 3" xfId="18187"/>
    <cellStyle name="표준 6 2 2 23 3 3 2" xfId="43539"/>
    <cellStyle name="표준 6 2 2 23 3 4" xfId="30867"/>
    <cellStyle name="표준 6 2 2 23 3 5" xfId="55357"/>
    <cellStyle name="표준 6 2 2 23 4" xfId="8702"/>
    <cellStyle name="표준 6 2 2 23 4 2" xfId="21375"/>
    <cellStyle name="표준 6 2 2 23 4 2 2" xfId="46727"/>
    <cellStyle name="표준 6 2 2 23 4 3" xfId="34055"/>
    <cellStyle name="표준 6 2 2 23 5" xfId="15039"/>
    <cellStyle name="표준 6 2 2 23 5 2" xfId="40391"/>
    <cellStyle name="표준 6 2 2 23 6" xfId="27719"/>
    <cellStyle name="표준 6 2 2 23 7" xfId="55358"/>
    <cellStyle name="표준 6 2 2 24" xfId="2367"/>
    <cellStyle name="표준 6 2 2 24 2" xfId="2368"/>
    <cellStyle name="표준 6 2 2 24 2 2" xfId="5515"/>
    <cellStyle name="표준 6 2 2 24 2 2 2" xfId="11851"/>
    <cellStyle name="표준 6 2 2 24 2 2 2 2" xfId="24524"/>
    <cellStyle name="표준 6 2 2 24 2 2 2 2 2" xfId="49876"/>
    <cellStyle name="표준 6 2 2 24 2 2 2 3" xfId="37204"/>
    <cellStyle name="표준 6 2 2 24 2 2 3" xfId="18188"/>
    <cellStyle name="표준 6 2 2 24 2 2 3 2" xfId="43540"/>
    <cellStyle name="표준 6 2 2 24 2 2 4" xfId="30868"/>
    <cellStyle name="표준 6 2 2 24 2 2 5" xfId="55359"/>
    <cellStyle name="표준 6 2 2 24 2 3" xfId="8705"/>
    <cellStyle name="표준 6 2 2 24 2 3 2" xfId="21378"/>
    <cellStyle name="표준 6 2 2 24 2 3 2 2" xfId="46730"/>
    <cellStyle name="표준 6 2 2 24 2 3 3" xfId="34058"/>
    <cellStyle name="표준 6 2 2 24 2 4" xfId="15042"/>
    <cellStyle name="표준 6 2 2 24 2 4 2" xfId="40394"/>
    <cellStyle name="표준 6 2 2 24 2 5" xfId="27722"/>
    <cellStyle name="표준 6 2 2 24 2 6" xfId="55360"/>
    <cellStyle name="표준 6 2 2 24 3" xfId="5516"/>
    <cellStyle name="표준 6 2 2 24 3 2" xfId="11852"/>
    <cellStyle name="표준 6 2 2 24 3 2 2" xfId="24525"/>
    <cellStyle name="표준 6 2 2 24 3 2 2 2" xfId="49877"/>
    <cellStyle name="표준 6 2 2 24 3 2 3" xfId="37205"/>
    <cellStyle name="표준 6 2 2 24 3 3" xfId="18189"/>
    <cellStyle name="표준 6 2 2 24 3 3 2" xfId="43541"/>
    <cellStyle name="표준 6 2 2 24 3 4" xfId="30869"/>
    <cellStyle name="표준 6 2 2 24 3 5" xfId="55361"/>
    <cellStyle name="표준 6 2 2 24 4" xfId="8704"/>
    <cellStyle name="표준 6 2 2 24 4 2" xfId="21377"/>
    <cellStyle name="표준 6 2 2 24 4 2 2" xfId="46729"/>
    <cellStyle name="표준 6 2 2 24 4 3" xfId="34057"/>
    <cellStyle name="표준 6 2 2 24 5" xfId="15041"/>
    <cellStyle name="표준 6 2 2 24 5 2" xfId="40393"/>
    <cellStyle name="표준 6 2 2 24 6" xfId="27721"/>
    <cellStyle name="표준 6 2 2 24 7" xfId="55362"/>
    <cellStyle name="표준 6 2 2 25" xfId="2369"/>
    <cellStyle name="표준 6 2 2 25 2" xfId="2370"/>
    <cellStyle name="표준 6 2 2 25 2 2" xfId="5517"/>
    <cellStyle name="표준 6 2 2 25 2 2 2" xfId="11853"/>
    <cellStyle name="표준 6 2 2 25 2 2 2 2" xfId="24526"/>
    <cellStyle name="표준 6 2 2 25 2 2 2 2 2" xfId="49878"/>
    <cellStyle name="표준 6 2 2 25 2 2 2 3" xfId="37206"/>
    <cellStyle name="표준 6 2 2 25 2 2 3" xfId="18190"/>
    <cellStyle name="표준 6 2 2 25 2 2 3 2" xfId="43542"/>
    <cellStyle name="표준 6 2 2 25 2 2 4" xfId="30870"/>
    <cellStyle name="표준 6 2 2 25 2 2 5" xfId="55363"/>
    <cellStyle name="표준 6 2 2 25 2 3" xfId="8707"/>
    <cellStyle name="표준 6 2 2 25 2 3 2" xfId="21380"/>
    <cellStyle name="표준 6 2 2 25 2 3 2 2" xfId="46732"/>
    <cellStyle name="표준 6 2 2 25 2 3 3" xfId="34060"/>
    <cellStyle name="표준 6 2 2 25 2 4" xfId="15044"/>
    <cellStyle name="표준 6 2 2 25 2 4 2" xfId="40396"/>
    <cellStyle name="표준 6 2 2 25 2 5" xfId="27724"/>
    <cellStyle name="표준 6 2 2 25 2 6" xfId="55364"/>
    <cellStyle name="표준 6 2 2 25 3" xfId="5518"/>
    <cellStyle name="표준 6 2 2 25 3 2" xfId="11854"/>
    <cellStyle name="표준 6 2 2 25 3 2 2" xfId="24527"/>
    <cellStyle name="표준 6 2 2 25 3 2 2 2" xfId="49879"/>
    <cellStyle name="표준 6 2 2 25 3 2 3" xfId="37207"/>
    <cellStyle name="표준 6 2 2 25 3 3" xfId="18191"/>
    <cellStyle name="표준 6 2 2 25 3 3 2" xfId="43543"/>
    <cellStyle name="표준 6 2 2 25 3 4" xfId="30871"/>
    <cellStyle name="표준 6 2 2 25 3 5" xfId="55365"/>
    <cellStyle name="표준 6 2 2 25 4" xfId="8706"/>
    <cellStyle name="표준 6 2 2 25 4 2" xfId="21379"/>
    <cellStyle name="표준 6 2 2 25 4 2 2" xfId="46731"/>
    <cellStyle name="표준 6 2 2 25 4 3" xfId="34059"/>
    <cellStyle name="표준 6 2 2 25 5" xfId="15043"/>
    <cellStyle name="표준 6 2 2 25 5 2" xfId="40395"/>
    <cellStyle name="표준 6 2 2 25 6" xfId="27723"/>
    <cellStyle name="표준 6 2 2 25 7" xfId="55366"/>
    <cellStyle name="표준 6 2 2 26" xfId="2371"/>
    <cellStyle name="표준 6 2 2 26 2" xfId="2372"/>
    <cellStyle name="표준 6 2 2 26 2 2" xfId="5519"/>
    <cellStyle name="표준 6 2 2 26 2 2 2" xfId="11855"/>
    <cellStyle name="표준 6 2 2 26 2 2 2 2" xfId="24528"/>
    <cellStyle name="표준 6 2 2 26 2 2 2 2 2" xfId="49880"/>
    <cellStyle name="표준 6 2 2 26 2 2 2 3" xfId="37208"/>
    <cellStyle name="표준 6 2 2 26 2 2 3" xfId="18192"/>
    <cellStyle name="표준 6 2 2 26 2 2 3 2" xfId="43544"/>
    <cellStyle name="표준 6 2 2 26 2 2 4" xfId="30872"/>
    <cellStyle name="표준 6 2 2 26 2 2 5" xfId="55367"/>
    <cellStyle name="표준 6 2 2 26 2 3" xfId="8709"/>
    <cellStyle name="표준 6 2 2 26 2 3 2" xfId="21382"/>
    <cellStyle name="표준 6 2 2 26 2 3 2 2" xfId="46734"/>
    <cellStyle name="표준 6 2 2 26 2 3 3" xfId="34062"/>
    <cellStyle name="표준 6 2 2 26 2 4" xfId="15046"/>
    <cellStyle name="표준 6 2 2 26 2 4 2" xfId="40398"/>
    <cellStyle name="표준 6 2 2 26 2 5" xfId="27726"/>
    <cellStyle name="표준 6 2 2 26 2 6" xfId="55368"/>
    <cellStyle name="표준 6 2 2 26 3" xfId="5520"/>
    <cellStyle name="표준 6 2 2 26 3 2" xfId="11856"/>
    <cellStyle name="표준 6 2 2 26 3 2 2" xfId="24529"/>
    <cellStyle name="표준 6 2 2 26 3 2 2 2" xfId="49881"/>
    <cellStyle name="표준 6 2 2 26 3 2 3" xfId="37209"/>
    <cellStyle name="표준 6 2 2 26 3 3" xfId="18193"/>
    <cellStyle name="표준 6 2 2 26 3 3 2" xfId="43545"/>
    <cellStyle name="표준 6 2 2 26 3 4" xfId="30873"/>
    <cellStyle name="표준 6 2 2 26 3 5" xfId="55369"/>
    <cellStyle name="표준 6 2 2 26 4" xfId="8708"/>
    <cellStyle name="표준 6 2 2 26 4 2" xfId="21381"/>
    <cellStyle name="표준 6 2 2 26 4 2 2" xfId="46733"/>
    <cellStyle name="표준 6 2 2 26 4 3" xfId="34061"/>
    <cellStyle name="표준 6 2 2 26 5" xfId="15045"/>
    <cellStyle name="표준 6 2 2 26 5 2" xfId="40397"/>
    <cellStyle name="표준 6 2 2 26 6" xfId="27725"/>
    <cellStyle name="표준 6 2 2 26 7" xfId="55370"/>
    <cellStyle name="표준 6 2 2 27" xfId="2373"/>
    <cellStyle name="표준 6 2 2 27 2" xfId="2374"/>
    <cellStyle name="표준 6 2 2 27 2 2" xfId="5521"/>
    <cellStyle name="표준 6 2 2 27 2 2 2" xfId="11857"/>
    <cellStyle name="표준 6 2 2 27 2 2 2 2" xfId="24530"/>
    <cellStyle name="표준 6 2 2 27 2 2 2 2 2" xfId="49882"/>
    <cellStyle name="표준 6 2 2 27 2 2 2 3" xfId="37210"/>
    <cellStyle name="표준 6 2 2 27 2 2 3" xfId="18194"/>
    <cellStyle name="표준 6 2 2 27 2 2 3 2" xfId="43546"/>
    <cellStyle name="표준 6 2 2 27 2 2 4" xfId="30874"/>
    <cellStyle name="표준 6 2 2 27 2 2 5" xfId="55371"/>
    <cellStyle name="표준 6 2 2 27 2 3" xfId="8711"/>
    <cellStyle name="표준 6 2 2 27 2 3 2" xfId="21384"/>
    <cellStyle name="표준 6 2 2 27 2 3 2 2" xfId="46736"/>
    <cellStyle name="표준 6 2 2 27 2 3 3" xfId="34064"/>
    <cellStyle name="표준 6 2 2 27 2 4" xfId="15048"/>
    <cellStyle name="표준 6 2 2 27 2 4 2" xfId="40400"/>
    <cellStyle name="표준 6 2 2 27 2 5" xfId="27728"/>
    <cellStyle name="표준 6 2 2 27 2 6" xfId="55372"/>
    <cellStyle name="표준 6 2 2 27 3" xfId="5522"/>
    <cellStyle name="표준 6 2 2 27 3 2" xfId="11858"/>
    <cellStyle name="표준 6 2 2 27 3 2 2" xfId="24531"/>
    <cellStyle name="표준 6 2 2 27 3 2 2 2" xfId="49883"/>
    <cellStyle name="표준 6 2 2 27 3 2 3" xfId="37211"/>
    <cellStyle name="표준 6 2 2 27 3 3" xfId="18195"/>
    <cellStyle name="표준 6 2 2 27 3 3 2" xfId="43547"/>
    <cellStyle name="표준 6 2 2 27 3 4" xfId="30875"/>
    <cellStyle name="표준 6 2 2 27 3 5" xfId="55373"/>
    <cellStyle name="표준 6 2 2 27 4" xfId="8710"/>
    <cellStyle name="표준 6 2 2 27 4 2" xfId="21383"/>
    <cellStyle name="표준 6 2 2 27 4 2 2" xfId="46735"/>
    <cellStyle name="표준 6 2 2 27 4 3" xfId="34063"/>
    <cellStyle name="표준 6 2 2 27 5" xfId="15047"/>
    <cellStyle name="표준 6 2 2 27 5 2" xfId="40399"/>
    <cellStyle name="표준 6 2 2 27 6" xfId="27727"/>
    <cellStyle name="표준 6 2 2 27 7" xfId="55374"/>
    <cellStyle name="표준 6 2 2 28" xfId="2375"/>
    <cellStyle name="표준 6 2 2 28 2" xfId="2376"/>
    <cellStyle name="표준 6 2 2 28 2 2" xfId="5523"/>
    <cellStyle name="표준 6 2 2 28 2 2 2" xfId="11859"/>
    <cellStyle name="표준 6 2 2 28 2 2 2 2" xfId="24532"/>
    <cellStyle name="표준 6 2 2 28 2 2 2 2 2" xfId="49884"/>
    <cellStyle name="표준 6 2 2 28 2 2 2 3" xfId="37212"/>
    <cellStyle name="표준 6 2 2 28 2 2 3" xfId="18196"/>
    <cellStyle name="표준 6 2 2 28 2 2 3 2" xfId="43548"/>
    <cellStyle name="표준 6 2 2 28 2 2 4" xfId="30876"/>
    <cellStyle name="표준 6 2 2 28 2 2 5" xfId="55375"/>
    <cellStyle name="표준 6 2 2 28 2 3" xfId="8713"/>
    <cellStyle name="표준 6 2 2 28 2 3 2" xfId="21386"/>
    <cellStyle name="표준 6 2 2 28 2 3 2 2" xfId="46738"/>
    <cellStyle name="표준 6 2 2 28 2 3 3" xfId="34066"/>
    <cellStyle name="표준 6 2 2 28 2 4" xfId="15050"/>
    <cellStyle name="표준 6 2 2 28 2 4 2" xfId="40402"/>
    <cellStyle name="표준 6 2 2 28 2 5" xfId="27730"/>
    <cellStyle name="표준 6 2 2 28 2 6" xfId="55376"/>
    <cellStyle name="표준 6 2 2 28 3" xfId="5524"/>
    <cellStyle name="표준 6 2 2 28 3 2" xfId="11860"/>
    <cellStyle name="표준 6 2 2 28 3 2 2" xfId="24533"/>
    <cellStyle name="표준 6 2 2 28 3 2 2 2" xfId="49885"/>
    <cellStyle name="표준 6 2 2 28 3 2 3" xfId="37213"/>
    <cellStyle name="표준 6 2 2 28 3 3" xfId="18197"/>
    <cellStyle name="표준 6 2 2 28 3 3 2" xfId="43549"/>
    <cellStyle name="표준 6 2 2 28 3 4" xfId="30877"/>
    <cellStyle name="표준 6 2 2 28 3 5" xfId="55377"/>
    <cellStyle name="표준 6 2 2 28 4" xfId="8712"/>
    <cellStyle name="표준 6 2 2 28 4 2" xfId="21385"/>
    <cellStyle name="표준 6 2 2 28 4 2 2" xfId="46737"/>
    <cellStyle name="표준 6 2 2 28 4 3" xfId="34065"/>
    <cellStyle name="표준 6 2 2 28 5" xfId="15049"/>
    <cellStyle name="표준 6 2 2 28 5 2" xfId="40401"/>
    <cellStyle name="표준 6 2 2 28 6" xfId="27729"/>
    <cellStyle name="표준 6 2 2 28 7" xfId="55378"/>
    <cellStyle name="표준 6 2 2 29" xfId="2377"/>
    <cellStyle name="표준 6 2 2 29 2" xfId="2378"/>
    <cellStyle name="표준 6 2 2 29 2 2" xfId="5525"/>
    <cellStyle name="표준 6 2 2 29 2 2 2" xfId="11861"/>
    <cellStyle name="표준 6 2 2 29 2 2 2 2" xfId="24534"/>
    <cellStyle name="표준 6 2 2 29 2 2 2 2 2" xfId="49886"/>
    <cellStyle name="표준 6 2 2 29 2 2 2 3" xfId="37214"/>
    <cellStyle name="표준 6 2 2 29 2 2 3" xfId="18198"/>
    <cellStyle name="표준 6 2 2 29 2 2 3 2" xfId="43550"/>
    <cellStyle name="표준 6 2 2 29 2 2 4" xfId="30878"/>
    <cellStyle name="표준 6 2 2 29 2 2 5" xfId="55379"/>
    <cellStyle name="표준 6 2 2 29 2 3" xfId="8715"/>
    <cellStyle name="표준 6 2 2 29 2 3 2" xfId="21388"/>
    <cellStyle name="표준 6 2 2 29 2 3 2 2" xfId="46740"/>
    <cellStyle name="표준 6 2 2 29 2 3 3" xfId="34068"/>
    <cellStyle name="표준 6 2 2 29 2 4" xfId="15052"/>
    <cellStyle name="표준 6 2 2 29 2 4 2" xfId="40404"/>
    <cellStyle name="표준 6 2 2 29 2 5" xfId="27732"/>
    <cellStyle name="표준 6 2 2 29 2 6" xfId="55380"/>
    <cellStyle name="표준 6 2 2 29 3" xfId="5526"/>
    <cellStyle name="표준 6 2 2 29 3 2" xfId="11862"/>
    <cellStyle name="표준 6 2 2 29 3 2 2" xfId="24535"/>
    <cellStyle name="표준 6 2 2 29 3 2 2 2" xfId="49887"/>
    <cellStyle name="표준 6 2 2 29 3 2 3" xfId="37215"/>
    <cellStyle name="표준 6 2 2 29 3 3" xfId="18199"/>
    <cellStyle name="표준 6 2 2 29 3 3 2" xfId="43551"/>
    <cellStyle name="표준 6 2 2 29 3 4" xfId="30879"/>
    <cellStyle name="표준 6 2 2 29 3 5" xfId="55381"/>
    <cellStyle name="표준 6 2 2 29 4" xfId="8714"/>
    <cellStyle name="표준 6 2 2 29 4 2" xfId="21387"/>
    <cellStyle name="표준 6 2 2 29 4 2 2" xfId="46739"/>
    <cellStyle name="표준 6 2 2 29 4 3" xfId="34067"/>
    <cellStyle name="표준 6 2 2 29 5" xfId="15051"/>
    <cellStyle name="표준 6 2 2 29 5 2" xfId="40403"/>
    <cellStyle name="표준 6 2 2 29 6" xfId="27731"/>
    <cellStyle name="표준 6 2 2 29 7" xfId="55382"/>
    <cellStyle name="표준 6 2 2 3" xfId="91"/>
    <cellStyle name="표준 6 2 2 3 10" xfId="2379"/>
    <cellStyle name="표준 6 2 2 3 10 2" xfId="2380"/>
    <cellStyle name="표준 6 2 2 3 10 2 2" xfId="5527"/>
    <cellStyle name="표준 6 2 2 3 10 2 2 2" xfId="11863"/>
    <cellStyle name="표준 6 2 2 3 10 2 2 2 2" xfId="24536"/>
    <cellStyle name="표준 6 2 2 3 10 2 2 2 2 2" xfId="49888"/>
    <cellStyle name="표준 6 2 2 3 10 2 2 2 3" xfId="37216"/>
    <cellStyle name="표준 6 2 2 3 10 2 2 3" xfId="18200"/>
    <cellStyle name="표준 6 2 2 3 10 2 2 3 2" xfId="43552"/>
    <cellStyle name="표준 6 2 2 3 10 2 2 4" xfId="30880"/>
    <cellStyle name="표준 6 2 2 3 10 2 2 5" xfId="55383"/>
    <cellStyle name="표준 6 2 2 3 10 2 3" xfId="8717"/>
    <cellStyle name="표준 6 2 2 3 10 2 3 2" xfId="21390"/>
    <cellStyle name="표준 6 2 2 3 10 2 3 2 2" xfId="46742"/>
    <cellStyle name="표준 6 2 2 3 10 2 3 3" xfId="34070"/>
    <cellStyle name="표준 6 2 2 3 10 2 4" xfId="15054"/>
    <cellStyle name="표준 6 2 2 3 10 2 4 2" xfId="40406"/>
    <cellStyle name="표준 6 2 2 3 10 2 5" xfId="27734"/>
    <cellStyle name="표준 6 2 2 3 10 2 6" xfId="55384"/>
    <cellStyle name="표준 6 2 2 3 10 3" xfId="5528"/>
    <cellStyle name="표준 6 2 2 3 10 3 2" xfId="11864"/>
    <cellStyle name="표준 6 2 2 3 10 3 2 2" xfId="24537"/>
    <cellStyle name="표준 6 2 2 3 10 3 2 2 2" xfId="49889"/>
    <cellStyle name="표준 6 2 2 3 10 3 2 3" xfId="37217"/>
    <cellStyle name="표준 6 2 2 3 10 3 3" xfId="18201"/>
    <cellStyle name="표준 6 2 2 3 10 3 3 2" xfId="43553"/>
    <cellStyle name="표준 6 2 2 3 10 3 4" xfId="30881"/>
    <cellStyle name="표준 6 2 2 3 10 3 5" xfId="55385"/>
    <cellStyle name="표준 6 2 2 3 10 4" xfId="8716"/>
    <cellStyle name="표준 6 2 2 3 10 4 2" xfId="21389"/>
    <cellStyle name="표준 6 2 2 3 10 4 2 2" xfId="46741"/>
    <cellStyle name="표준 6 2 2 3 10 4 3" xfId="34069"/>
    <cellStyle name="표준 6 2 2 3 10 5" xfId="15053"/>
    <cellStyle name="표준 6 2 2 3 10 5 2" xfId="40405"/>
    <cellStyle name="표준 6 2 2 3 10 6" xfId="27733"/>
    <cellStyle name="표준 6 2 2 3 10 7" xfId="55386"/>
    <cellStyle name="표준 6 2 2 3 11" xfId="2381"/>
    <cellStyle name="표준 6 2 2 3 11 2" xfId="2382"/>
    <cellStyle name="표준 6 2 2 3 11 2 2" xfId="5529"/>
    <cellStyle name="표준 6 2 2 3 11 2 2 2" xfId="11865"/>
    <cellStyle name="표준 6 2 2 3 11 2 2 2 2" xfId="24538"/>
    <cellStyle name="표준 6 2 2 3 11 2 2 2 2 2" xfId="49890"/>
    <cellStyle name="표준 6 2 2 3 11 2 2 2 3" xfId="37218"/>
    <cellStyle name="표준 6 2 2 3 11 2 2 3" xfId="18202"/>
    <cellStyle name="표준 6 2 2 3 11 2 2 3 2" xfId="43554"/>
    <cellStyle name="표준 6 2 2 3 11 2 2 4" xfId="30882"/>
    <cellStyle name="표준 6 2 2 3 11 2 2 5" xfId="55387"/>
    <cellStyle name="표준 6 2 2 3 11 2 3" xfId="8719"/>
    <cellStyle name="표준 6 2 2 3 11 2 3 2" xfId="21392"/>
    <cellStyle name="표준 6 2 2 3 11 2 3 2 2" xfId="46744"/>
    <cellStyle name="표준 6 2 2 3 11 2 3 3" xfId="34072"/>
    <cellStyle name="표준 6 2 2 3 11 2 4" xfId="15056"/>
    <cellStyle name="표준 6 2 2 3 11 2 4 2" xfId="40408"/>
    <cellStyle name="표준 6 2 2 3 11 2 5" xfId="27736"/>
    <cellStyle name="표준 6 2 2 3 11 2 6" xfId="55388"/>
    <cellStyle name="표준 6 2 2 3 11 3" xfId="5530"/>
    <cellStyle name="표준 6 2 2 3 11 3 2" xfId="11866"/>
    <cellStyle name="표준 6 2 2 3 11 3 2 2" xfId="24539"/>
    <cellStyle name="표준 6 2 2 3 11 3 2 2 2" xfId="49891"/>
    <cellStyle name="표준 6 2 2 3 11 3 2 3" xfId="37219"/>
    <cellStyle name="표준 6 2 2 3 11 3 3" xfId="18203"/>
    <cellStyle name="표준 6 2 2 3 11 3 3 2" xfId="43555"/>
    <cellStyle name="표준 6 2 2 3 11 3 4" xfId="30883"/>
    <cellStyle name="표준 6 2 2 3 11 3 5" xfId="55389"/>
    <cellStyle name="표준 6 2 2 3 11 4" xfId="8718"/>
    <cellStyle name="표준 6 2 2 3 11 4 2" xfId="21391"/>
    <cellStyle name="표준 6 2 2 3 11 4 2 2" xfId="46743"/>
    <cellStyle name="표준 6 2 2 3 11 4 3" xfId="34071"/>
    <cellStyle name="표준 6 2 2 3 11 5" xfId="15055"/>
    <cellStyle name="표준 6 2 2 3 11 5 2" xfId="40407"/>
    <cellStyle name="표준 6 2 2 3 11 6" xfId="27735"/>
    <cellStyle name="표준 6 2 2 3 11 7" xfId="55390"/>
    <cellStyle name="표준 6 2 2 3 12" xfId="2383"/>
    <cellStyle name="표준 6 2 2 3 12 2" xfId="2384"/>
    <cellStyle name="표준 6 2 2 3 12 2 2" xfId="5531"/>
    <cellStyle name="표준 6 2 2 3 12 2 2 2" xfId="11867"/>
    <cellStyle name="표준 6 2 2 3 12 2 2 2 2" xfId="24540"/>
    <cellStyle name="표준 6 2 2 3 12 2 2 2 2 2" xfId="49892"/>
    <cellStyle name="표준 6 2 2 3 12 2 2 2 3" xfId="37220"/>
    <cellStyle name="표준 6 2 2 3 12 2 2 3" xfId="18204"/>
    <cellStyle name="표준 6 2 2 3 12 2 2 3 2" xfId="43556"/>
    <cellStyle name="표준 6 2 2 3 12 2 2 4" xfId="30884"/>
    <cellStyle name="표준 6 2 2 3 12 2 2 5" xfId="55391"/>
    <cellStyle name="표준 6 2 2 3 12 2 3" xfId="8721"/>
    <cellStyle name="표준 6 2 2 3 12 2 3 2" xfId="21394"/>
    <cellStyle name="표준 6 2 2 3 12 2 3 2 2" xfId="46746"/>
    <cellStyle name="표준 6 2 2 3 12 2 3 3" xfId="34074"/>
    <cellStyle name="표준 6 2 2 3 12 2 4" xfId="15058"/>
    <cellStyle name="표준 6 2 2 3 12 2 4 2" xfId="40410"/>
    <cellStyle name="표준 6 2 2 3 12 2 5" xfId="27738"/>
    <cellStyle name="표준 6 2 2 3 12 2 6" xfId="55392"/>
    <cellStyle name="표준 6 2 2 3 12 3" xfId="5532"/>
    <cellStyle name="표준 6 2 2 3 12 3 2" xfId="11868"/>
    <cellStyle name="표준 6 2 2 3 12 3 2 2" xfId="24541"/>
    <cellStyle name="표준 6 2 2 3 12 3 2 2 2" xfId="49893"/>
    <cellStyle name="표준 6 2 2 3 12 3 2 3" xfId="37221"/>
    <cellStyle name="표준 6 2 2 3 12 3 3" xfId="18205"/>
    <cellStyle name="표준 6 2 2 3 12 3 3 2" xfId="43557"/>
    <cellStyle name="표준 6 2 2 3 12 3 4" xfId="30885"/>
    <cellStyle name="표준 6 2 2 3 12 3 5" xfId="55393"/>
    <cellStyle name="표준 6 2 2 3 12 4" xfId="8720"/>
    <cellStyle name="표준 6 2 2 3 12 4 2" xfId="21393"/>
    <cellStyle name="표준 6 2 2 3 12 4 2 2" xfId="46745"/>
    <cellStyle name="표준 6 2 2 3 12 4 3" xfId="34073"/>
    <cellStyle name="표준 6 2 2 3 12 5" xfId="15057"/>
    <cellStyle name="표준 6 2 2 3 12 5 2" xfId="40409"/>
    <cellStyle name="표준 6 2 2 3 12 6" xfId="27737"/>
    <cellStyle name="표준 6 2 2 3 12 7" xfId="55394"/>
    <cellStyle name="표준 6 2 2 3 13" xfId="2385"/>
    <cellStyle name="표준 6 2 2 3 13 2" xfId="2386"/>
    <cellStyle name="표준 6 2 2 3 13 2 2" xfId="5533"/>
    <cellStyle name="표준 6 2 2 3 13 2 2 2" xfId="11869"/>
    <cellStyle name="표준 6 2 2 3 13 2 2 2 2" xfId="24542"/>
    <cellStyle name="표준 6 2 2 3 13 2 2 2 2 2" xfId="49894"/>
    <cellStyle name="표준 6 2 2 3 13 2 2 2 3" xfId="37222"/>
    <cellStyle name="표준 6 2 2 3 13 2 2 3" xfId="18206"/>
    <cellStyle name="표준 6 2 2 3 13 2 2 3 2" xfId="43558"/>
    <cellStyle name="표준 6 2 2 3 13 2 2 4" xfId="30886"/>
    <cellStyle name="표준 6 2 2 3 13 2 2 5" xfId="55395"/>
    <cellStyle name="표준 6 2 2 3 13 2 3" xfId="8723"/>
    <cellStyle name="표준 6 2 2 3 13 2 3 2" xfId="21396"/>
    <cellStyle name="표준 6 2 2 3 13 2 3 2 2" xfId="46748"/>
    <cellStyle name="표준 6 2 2 3 13 2 3 3" xfId="34076"/>
    <cellStyle name="표준 6 2 2 3 13 2 4" xfId="15060"/>
    <cellStyle name="표준 6 2 2 3 13 2 4 2" xfId="40412"/>
    <cellStyle name="표준 6 2 2 3 13 2 5" xfId="27740"/>
    <cellStyle name="표준 6 2 2 3 13 2 6" xfId="55396"/>
    <cellStyle name="표준 6 2 2 3 13 3" xfId="5534"/>
    <cellStyle name="표준 6 2 2 3 13 3 2" xfId="11870"/>
    <cellStyle name="표준 6 2 2 3 13 3 2 2" xfId="24543"/>
    <cellStyle name="표준 6 2 2 3 13 3 2 2 2" xfId="49895"/>
    <cellStyle name="표준 6 2 2 3 13 3 2 3" xfId="37223"/>
    <cellStyle name="표준 6 2 2 3 13 3 3" xfId="18207"/>
    <cellStyle name="표준 6 2 2 3 13 3 3 2" xfId="43559"/>
    <cellStyle name="표준 6 2 2 3 13 3 4" xfId="30887"/>
    <cellStyle name="표준 6 2 2 3 13 3 5" xfId="55397"/>
    <cellStyle name="표준 6 2 2 3 13 4" xfId="8722"/>
    <cellStyle name="표준 6 2 2 3 13 4 2" xfId="21395"/>
    <cellStyle name="표준 6 2 2 3 13 4 2 2" xfId="46747"/>
    <cellStyle name="표준 6 2 2 3 13 4 3" xfId="34075"/>
    <cellStyle name="표준 6 2 2 3 13 5" xfId="15059"/>
    <cellStyle name="표준 6 2 2 3 13 5 2" xfId="40411"/>
    <cellStyle name="표준 6 2 2 3 13 6" xfId="27739"/>
    <cellStyle name="표준 6 2 2 3 13 7" xfId="55398"/>
    <cellStyle name="표준 6 2 2 3 14" xfId="2387"/>
    <cellStyle name="표준 6 2 2 3 14 2" xfId="2388"/>
    <cellStyle name="표준 6 2 2 3 14 2 2" xfId="5535"/>
    <cellStyle name="표준 6 2 2 3 14 2 2 2" xfId="11871"/>
    <cellStyle name="표준 6 2 2 3 14 2 2 2 2" xfId="24544"/>
    <cellStyle name="표준 6 2 2 3 14 2 2 2 2 2" xfId="49896"/>
    <cellStyle name="표준 6 2 2 3 14 2 2 2 3" xfId="37224"/>
    <cellStyle name="표준 6 2 2 3 14 2 2 3" xfId="18208"/>
    <cellStyle name="표준 6 2 2 3 14 2 2 3 2" xfId="43560"/>
    <cellStyle name="표준 6 2 2 3 14 2 2 4" xfId="30888"/>
    <cellStyle name="표준 6 2 2 3 14 2 2 5" xfId="55399"/>
    <cellStyle name="표준 6 2 2 3 14 2 3" xfId="8725"/>
    <cellStyle name="표준 6 2 2 3 14 2 3 2" xfId="21398"/>
    <cellStyle name="표준 6 2 2 3 14 2 3 2 2" xfId="46750"/>
    <cellStyle name="표준 6 2 2 3 14 2 3 3" xfId="34078"/>
    <cellStyle name="표준 6 2 2 3 14 2 4" xfId="15062"/>
    <cellStyle name="표준 6 2 2 3 14 2 4 2" xfId="40414"/>
    <cellStyle name="표준 6 2 2 3 14 2 5" xfId="27742"/>
    <cellStyle name="표준 6 2 2 3 14 2 6" xfId="55400"/>
    <cellStyle name="표준 6 2 2 3 14 3" xfId="5536"/>
    <cellStyle name="표준 6 2 2 3 14 3 2" xfId="11872"/>
    <cellStyle name="표준 6 2 2 3 14 3 2 2" xfId="24545"/>
    <cellStyle name="표준 6 2 2 3 14 3 2 2 2" xfId="49897"/>
    <cellStyle name="표준 6 2 2 3 14 3 2 3" xfId="37225"/>
    <cellStyle name="표준 6 2 2 3 14 3 3" xfId="18209"/>
    <cellStyle name="표준 6 2 2 3 14 3 3 2" xfId="43561"/>
    <cellStyle name="표준 6 2 2 3 14 3 4" xfId="30889"/>
    <cellStyle name="표준 6 2 2 3 14 3 5" xfId="55401"/>
    <cellStyle name="표준 6 2 2 3 14 4" xfId="8724"/>
    <cellStyle name="표준 6 2 2 3 14 4 2" xfId="21397"/>
    <cellStyle name="표준 6 2 2 3 14 4 2 2" xfId="46749"/>
    <cellStyle name="표준 6 2 2 3 14 4 3" xfId="34077"/>
    <cellStyle name="표준 6 2 2 3 14 5" xfId="15061"/>
    <cellStyle name="표준 6 2 2 3 14 5 2" xfId="40413"/>
    <cellStyle name="표준 6 2 2 3 14 6" xfId="27741"/>
    <cellStyle name="표준 6 2 2 3 14 7" xfId="55402"/>
    <cellStyle name="표준 6 2 2 3 15" xfId="2389"/>
    <cellStyle name="표준 6 2 2 3 15 2" xfId="2390"/>
    <cellStyle name="표준 6 2 2 3 15 2 2" xfId="5537"/>
    <cellStyle name="표준 6 2 2 3 15 2 2 2" xfId="11873"/>
    <cellStyle name="표준 6 2 2 3 15 2 2 2 2" xfId="24546"/>
    <cellStyle name="표준 6 2 2 3 15 2 2 2 2 2" xfId="49898"/>
    <cellStyle name="표준 6 2 2 3 15 2 2 2 3" xfId="37226"/>
    <cellStyle name="표준 6 2 2 3 15 2 2 3" xfId="18210"/>
    <cellStyle name="표준 6 2 2 3 15 2 2 3 2" xfId="43562"/>
    <cellStyle name="표준 6 2 2 3 15 2 2 4" xfId="30890"/>
    <cellStyle name="표준 6 2 2 3 15 2 2 5" xfId="55403"/>
    <cellStyle name="표준 6 2 2 3 15 2 3" xfId="8727"/>
    <cellStyle name="표준 6 2 2 3 15 2 3 2" xfId="21400"/>
    <cellStyle name="표준 6 2 2 3 15 2 3 2 2" xfId="46752"/>
    <cellStyle name="표준 6 2 2 3 15 2 3 3" xfId="34080"/>
    <cellStyle name="표준 6 2 2 3 15 2 4" xfId="15064"/>
    <cellStyle name="표준 6 2 2 3 15 2 4 2" xfId="40416"/>
    <cellStyle name="표준 6 2 2 3 15 2 5" xfId="27744"/>
    <cellStyle name="표준 6 2 2 3 15 2 6" xfId="55404"/>
    <cellStyle name="표준 6 2 2 3 15 3" xfId="5538"/>
    <cellStyle name="표준 6 2 2 3 15 3 2" xfId="11874"/>
    <cellStyle name="표준 6 2 2 3 15 3 2 2" xfId="24547"/>
    <cellStyle name="표준 6 2 2 3 15 3 2 2 2" xfId="49899"/>
    <cellStyle name="표준 6 2 2 3 15 3 2 3" xfId="37227"/>
    <cellStyle name="표준 6 2 2 3 15 3 3" xfId="18211"/>
    <cellStyle name="표준 6 2 2 3 15 3 3 2" xfId="43563"/>
    <cellStyle name="표준 6 2 2 3 15 3 4" xfId="30891"/>
    <cellStyle name="표준 6 2 2 3 15 3 5" xfId="55405"/>
    <cellStyle name="표준 6 2 2 3 15 4" xfId="8726"/>
    <cellStyle name="표준 6 2 2 3 15 4 2" xfId="21399"/>
    <cellStyle name="표준 6 2 2 3 15 4 2 2" xfId="46751"/>
    <cellStyle name="표준 6 2 2 3 15 4 3" xfId="34079"/>
    <cellStyle name="표준 6 2 2 3 15 5" xfId="15063"/>
    <cellStyle name="표준 6 2 2 3 15 5 2" xfId="40415"/>
    <cellStyle name="표준 6 2 2 3 15 6" xfId="27743"/>
    <cellStyle name="표준 6 2 2 3 15 7" xfId="55406"/>
    <cellStyle name="표준 6 2 2 3 16" xfId="2391"/>
    <cellStyle name="표준 6 2 2 3 16 2" xfId="2392"/>
    <cellStyle name="표준 6 2 2 3 16 2 2" xfId="5539"/>
    <cellStyle name="표준 6 2 2 3 16 2 2 2" xfId="11875"/>
    <cellStyle name="표준 6 2 2 3 16 2 2 2 2" xfId="24548"/>
    <cellStyle name="표준 6 2 2 3 16 2 2 2 2 2" xfId="49900"/>
    <cellStyle name="표준 6 2 2 3 16 2 2 2 3" xfId="37228"/>
    <cellStyle name="표준 6 2 2 3 16 2 2 3" xfId="18212"/>
    <cellStyle name="표준 6 2 2 3 16 2 2 3 2" xfId="43564"/>
    <cellStyle name="표준 6 2 2 3 16 2 2 4" xfId="30892"/>
    <cellStyle name="표준 6 2 2 3 16 2 2 5" xfId="55407"/>
    <cellStyle name="표준 6 2 2 3 16 2 3" xfId="8729"/>
    <cellStyle name="표준 6 2 2 3 16 2 3 2" xfId="21402"/>
    <cellStyle name="표준 6 2 2 3 16 2 3 2 2" xfId="46754"/>
    <cellStyle name="표준 6 2 2 3 16 2 3 3" xfId="34082"/>
    <cellStyle name="표준 6 2 2 3 16 2 4" xfId="15066"/>
    <cellStyle name="표준 6 2 2 3 16 2 4 2" xfId="40418"/>
    <cellStyle name="표준 6 2 2 3 16 2 5" xfId="27746"/>
    <cellStyle name="표준 6 2 2 3 16 2 6" xfId="55408"/>
    <cellStyle name="표준 6 2 2 3 16 3" xfId="5540"/>
    <cellStyle name="표준 6 2 2 3 16 3 2" xfId="11876"/>
    <cellStyle name="표준 6 2 2 3 16 3 2 2" xfId="24549"/>
    <cellStyle name="표준 6 2 2 3 16 3 2 2 2" xfId="49901"/>
    <cellStyle name="표준 6 2 2 3 16 3 2 3" xfId="37229"/>
    <cellStyle name="표준 6 2 2 3 16 3 3" xfId="18213"/>
    <cellStyle name="표준 6 2 2 3 16 3 3 2" xfId="43565"/>
    <cellStyle name="표준 6 2 2 3 16 3 4" xfId="30893"/>
    <cellStyle name="표준 6 2 2 3 16 3 5" xfId="55409"/>
    <cellStyle name="표준 6 2 2 3 16 4" xfId="8728"/>
    <cellStyle name="표준 6 2 2 3 16 4 2" xfId="21401"/>
    <cellStyle name="표준 6 2 2 3 16 4 2 2" xfId="46753"/>
    <cellStyle name="표준 6 2 2 3 16 4 3" xfId="34081"/>
    <cellStyle name="표준 6 2 2 3 16 5" xfId="15065"/>
    <cellStyle name="표준 6 2 2 3 16 5 2" xfId="40417"/>
    <cellStyle name="표준 6 2 2 3 16 6" xfId="27745"/>
    <cellStyle name="표준 6 2 2 3 16 7" xfId="55410"/>
    <cellStyle name="표준 6 2 2 3 17" xfId="2393"/>
    <cellStyle name="표준 6 2 2 3 17 2" xfId="2394"/>
    <cellStyle name="표준 6 2 2 3 17 2 2" xfId="5541"/>
    <cellStyle name="표준 6 2 2 3 17 2 2 2" xfId="11877"/>
    <cellStyle name="표준 6 2 2 3 17 2 2 2 2" xfId="24550"/>
    <cellStyle name="표준 6 2 2 3 17 2 2 2 2 2" xfId="49902"/>
    <cellStyle name="표준 6 2 2 3 17 2 2 2 3" xfId="37230"/>
    <cellStyle name="표준 6 2 2 3 17 2 2 3" xfId="18214"/>
    <cellStyle name="표준 6 2 2 3 17 2 2 3 2" xfId="43566"/>
    <cellStyle name="표준 6 2 2 3 17 2 2 4" xfId="30894"/>
    <cellStyle name="표준 6 2 2 3 17 2 2 5" xfId="55411"/>
    <cellStyle name="표준 6 2 2 3 17 2 3" xfId="8731"/>
    <cellStyle name="표준 6 2 2 3 17 2 3 2" xfId="21404"/>
    <cellStyle name="표준 6 2 2 3 17 2 3 2 2" xfId="46756"/>
    <cellStyle name="표준 6 2 2 3 17 2 3 3" xfId="34084"/>
    <cellStyle name="표준 6 2 2 3 17 2 4" xfId="15068"/>
    <cellStyle name="표준 6 2 2 3 17 2 4 2" xfId="40420"/>
    <cellStyle name="표준 6 2 2 3 17 2 5" xfId="27748"/>
    <cellStyle name="표준 6 2 2 3 17 2 6" xfId="55412"/>
    <cellStyle name="표준 6 2 2 3 17 3" xfId="5542"/>
    <cellStyle name="표준 6 2 2 3 17 3 2" xfId="11878"/>
    <cellStyle name="표준 6 2 2 3 17 3 2 2" xfId="24551"/>
    <cellStyle name="표준 6 2 2 3 17 3 2 2 2" xfId="49903"/>
    <cellStyle name="표준 6 2 2 3 17 3 2 3" xfId="37231"/>
    <cellStyle name="표준 6 2 2 3 17 3 3" xfId="18215"/>
    <cellStyle name="표준 6 2 2 3 17 3 3 2" xfId="43567"/>
    <cellStyle name="표준 6 2 2 3 17 3 4" xfId="30895"/>
    <cellStyle name="표준 6 2 2 3 17 3 5" xfId="55413"/>
    <cellStyle name="표준 6 2 2 3 17 4" xfId="8730"/>
    <cellStyle name="표준 6 2 2 3 17 4 2" xfId="21403"/>
    <cellStyle name="표준 6 2 2 3 17 4 2 2" xfId="46755"/>
    <cellStyle name="표준 6 2 2 3 17 4 3" xfId="34083"/>
    <cellStyle name="표준 6 2 2 3 17 5" xfId="15067"/>
    <cellStyle name="표준 6 2 2 3 17 5 2" xfId="40419"/>
    <cellStyle name="표준 6 2 2 3 17 6" xfId="27747"/>
    <cellStyle name="표준 6 2 2 3 17 7" xfId="55414"/>
    <cellStyle name="표준 6 2 2 3 18" xfId="2395"/>
    <cellStyle name="표준 6 2 2 3 18 2" xfId="2396"/>
    <cellStyle name="표준 6 2 2 3 18 2 2" xfId="5543"/>
    <cellStyle name="표준 6 2 2 3 18 2 2 2" xfId="11879"/>
    <cellStyle name="표준 6 2 2 3 18 2 2 2 2" xfId="24552"/>
    <cellStyle name="표준 6 2 2 3 18 2 2 2 2 2" xfId="49904"/>
    <cellStyle name="표준 6 2 2 3 18 2 2 2 3" xfId="37232"/>
    <cellStyle name="표준 6 2 2 3 18 2 2 3" xfId="18216"/>
    <cellStyle name="표준 6 2 2 3 18 2 2 3 2" xfId="43568"/>
    <cellStyle name="표준 6 2 2 3 18 2 2 4" xfId="30896"/>
    <cellStyle name="표준 6 2 2 3 18 2 2 5" xfId="55415"/>
    <cellStyle name="표준 6 2 2 3 18 2 3" xfId="8733"/>
    <cellStyle name="표준 6 2 2 3 18 2 3 2" xfId="21406"/>
    <cellStyle name="표준 6 2 2 3 18 2 3 2 2" xfId="46758"/>
    <cellStyle name="표준 6 2 2 3 18 2 3 3" xfId="34086"/>
    <cellStyle name="표준 6 2 2 3 18 2 4" xfId="15070"/>
    <cellStyle name="표준 6 2 2 3 18 2 4 2" xfId="40422"/>
    <cellStyle name="표준 6 2 2 3 18 2 5" xfId="27750"/>
    <cellStyle name="표준 6 2 2 3 18 2 6" xfId="55416"/>
    <cellStyle name="표준 6 2 2 3 18 3" xfId="5544"/>
    <cellStyle name="표준 6 2 2 3 18 3 2" xfId="11880"/>
    <cellStyle name="표준 6 2 2 3 18 3 2 2" xfId="24553"/>
    <cellStyle name="표준 6 2 2 3 18 3 2 2 2" xfId="49905"/>
    <cellStyle name="표준 6 2 2 3 18 3 2 3" xfId="37233"/>
    <cellStyle name="표준 6 2 2 3 18 3 3" xfId="18217"/>
    <cellStyle name="표준 6 2 2 3 18 3 3 2" xfId="43569"/>
    <cellStyle name="표준 6 2 2 3 18 3 4" xfId="30897"/>
    <cellStyle name="표준 6 2 2 3 18 3 5" xfId="55417"/>
    <cellStyle name="표준 6 2 2 3 18 4" xfId="8732"/>
    <cellStyle name="표준 6 2 2 3 18 4 2" xfId="21405"/>
    <cellStyle name="표준 6 2 2 3 18 4 2 2" xfId="46757"/>
    <cellStyle name="표준 6 2 2 3 18 4 3" xfId="34085"/>
    <cellStyle name="표준 6 2 2 3 18 5" xfId="15069"/>
    <cellStyle name="표준 6 2 2 3 18 5 2" xfId="40421"/>
    <cellStyle name="표준 6 2 2 3 18 6" xfId="27749"/>
    <cellStyle name="표준 6 2 2 3 18 7" xfId="55418"/>
    <cellStyle name="표준 6 2 2 3 19" xfId="2397"/>
    <cellStyle name="표준 6 2 2 3 19 2" xfId="2398"/>
    <cellStyle name="표준 6 2 2 3 19 2 2" xfId="5545"/>
    <cellStyle name="표준 6 2 2 3 19 2 2 2" xfId="11881"/>
    <cellStyle name="표준 6 2 2 3 19 2 2 2 2" xfId="24554"/>
    <cellStyle name="표준 6 2 2 3 19 2 2 2 2 2" xfId="49906"/>
    <cellStyle name="표준 6 2 2 3 19 2 2 2 3" xfId="37234"/>
    <cellStyle name="표준 6 2 2 3 19 2 2 3" xfId="18218"/>
    <cellStyle name="표준 6 2 2 3 19 2 2 3 2" xfId="43570"/>
    <cellStyle name="표준 6 2 2 3 19 2 2 4" xfId="30898"/>
    <cellStyle name="표준 6 2 2 3 19 2 2 5" xfId="55419"/>
    <cellStyle name="표준 6 2 2 3 19 2 3" xfId="8735"/>
    <cellStyle name="표준 6 2 2 3 19 2 3 2" xfId="21408"/>
    <cellStyle name="표준 6 2 2 3 19 2 3 2 2" xfId="46760"/>
    <cellStyle name="표준 6 2 2 3 19 2 3 3" xfId="34088"/>
    <cellStyle name="표준 6 2 2 3 19 2 4" xfId="15072"/>
    <cellStyle name="표준 6 2 2 3 19 2 4 2" xfId="40424"/>
    <cellStyle name="표준 6 2 2 3 19 2 5" xfId="27752"/>
    <cellStyle name="표준 6 2 2 3 19 2 6" xfId="55420"/>
    <cellStyle name="표준 6 2 2 3 19 3" xfId="5546"/>
    <cellStyle name="표준 6 2 2 3 19 3 2" xfId="11882"/>
    <cellStyle name="표준 6 2 2 3 19 3 2 2" xfId="24555"/>
    <cellStyle name="표준 6 2 2 3 19 3 2 2 2" xfId="49907"/>
    <cellStyle name="표준 6 2 2 3 19 3 2 3" xfId="37235"/>
    <cellStyle name="표준 6 2 2 3 19 3 3" xfId="18219"/>
    <cellStyle name="표준 6 2 2 3 19 3 3 2" xfId="43571"/>
    <cellStyle name="표준 6 2 2 3 19 3 4" xfId="30899"/>
    <cellStyle name="표준 6 2 2 3 19 3 5" xfId="55421"/>
    <cellStyle name="표준 6 2 2 3 19 4" xfId="8734"/>
    <cellStyle name="표준 6 2 2 3 19 4 2" xfId="21407"/>
    <cellStyle name="표준 6 2 2 3 19 4 2 2" xfId="46759"/>
    <cellStyle name="표준 6 2 2 3 19 4 3" xfId="34087"/>
    <cellStyle name="표준 6 2 2 3 19 5" xfId="15071"/>
    <cellStyle name="표준 6 2 2 3 19 5 2" xfId="40423"/>
    <cellStyle name="표준 6 2 2 3 19 6" xfId="27751"/>
    <cellStyle name="표준 6 2 2 3 19 7" xfId="55422"/>
    <cellStyle name="표준 6 2 2 3 2" xfId="2399"/>
    <cellStyle name="표준 6 2 2 3 2 2" xfId="2400"/>
    <cellStyle name="표준 6 2 2 3 2 2 2" xfId="5547"/>
    <cellStyle name="표준 6 2 2 3 2 2 2 2" xfId="11883"/>
    <cellStyle name="표준 6 2 2 3 2 2 2 2 2" xfId="24556"/>
    <cellStyle name="표준 6 2 2 3 2 2 2 2 2 2" xfId="49908"/>
    <cellStyle name="표준 6 2 2 3 2 2 2 2 3" xfId="37236"/>
    <cellStyle name="표준 6 2 2 3 2 2 2 3" xfId="18220"/>
    <cellStyle name="표준 6 2 2 3 2 2 2 3 2" xfId="43572"/>
    <cellStyle name="표준 6 2 2 3 2 2 2 4" xfId="30900"/>
    <cellStyle name="표준 6 2 2 3 2 2 2 5" xfId="55423"/>
    <cellStyle name="표준 6 2 2 3 2 2 3" xfId="8737"/>
    <cellStyle name="표준 6 2 2 3 2 2 3 2" xfId="21410"/>
    <cellStyle name="표준 6 2 2 3 2 2 3 2 2" xfId="46762"/>
    <cellStyle name="표준 6 2 2 3 2 2 3 3" xfId="34090"/>
    <cellStyle name="표준 6 2 2 3 2 2 4" xfId="15074"/>
    <cellStyle name="표준 6 2 2 3 2 2 4 2" xfId="40426"/>
    <cellStyle name="표준 6 2 2 3 2 2 5" xfId="27754"/>
    <cellStyle name="표준 6 2 2 3 2 2 6" xfId="55424"/>
    <cellStyle name="표준 6 2 2 3 2 3" xfId="5548"/>
    <cellStyle name="표준 6 2 2 3 2 3 2" xfId="11884"/>
    <cellStyle name="표준 6 2 2 3 2 3 2 2" xfId="24557"/>
    <cellStyle name="표준 6 2 2 3 2 3 2 2 2" xfId="49909"/>
    <cellStyle name="표준 6 2 2 3 2 3 2 3" xfId="37237"/>
    <cellStyle name="표준 6 2 2 3 2 3 3" xfId="18221"/>
    <cellStyle name="표준 6 2 2 3 2 3 3 2" xfId="43573"/>
    <cellStyle name="표준 6 2 2 3 2 3 4" xfId="30901"/>
    <cellStyle name="표준 6 2 2 3 2 3 5" xfId="55425"/>
    <cellStyle name="표준 6 2 2 3 2 4" xfId="8736"/>
    <cellStyle name="표준 6 2 2 3 2 4 2" xfId="21409"/>
    <cellStyle name="표준 6 2 2 3 2 4 2 2" xfId="46761"/>
    <cellStyle name="표준 6 2 2 3 2 4 3" xfId="34089"/>
    <cellStyle name="표준 6 2 2 3 2 5" xfId="15073"/>
    <cellStyle name="표준 6 2 2 3 2 5 2" xfId="40425"/>
    <cellStyle name="표준 6 2 2 3 2 6" xfId="27753"/>
    <cellStyle name="표준 6 2 2 3 2 7" xfId="55426"/>
    <cellStyle name="표준 6 2 2 3 20" xfId="2401"/>
    <cellStyle name="표준 6 2 2 3 20 2" xfId="2402"/>
    <cellStyle name="표준 6 2 2 3 20 2 2" xfId="5549"/>
    <cellStyle name="표준 6 2 2 3 20 2 2 2" xfId="11885"/>
    <cellStyle name="표준 6 2 2 3 20 2 2 2 2" xfId="24558"/>
    <cellStyle name="표준 6 2 2 3 20 2 2 2 2 2" xfId="49910"/>
    <cellStyle name="표준 6 2 2 3 20 2 2 2 3" xfId="37238"/>
    <cellStyle name="표준 6 2 2 3 20 2 2 3" xfId="18222"/>
    <cellStyle name="표준 6 2 2 3 20 2 2 3 2" xfId="43574"/>
    <cellStyle name="표준 6 2 2 3 20 2 2 4" xfId="30902"/>
    <cellStyle name="표준 6 2 2 3 20 2 2 5" xfId="55427"/>
    <cellStyle name="표준 6 2 2 3 20 2 3" xfId="8739"/>
    <cellStyle name="표준 6 2 2 3 20 2 3 2" xfId="21412"/>
    <cellStyle name="표준 6 2 2 3 20 2 3 2 2" xfId="46764"/>
    <cellStyle name="표준 6 2 2 3 20 2 3 3" xfId="34092"/>
    <cellStyle name="표준 6 2 2 3 20 2 4" xfId="15076"/>
    <cellStyle name="표준 6 2 2 3 20 2 4 2" xfId="40428"/>
    <cellStyle name="표준 6 2 2 3 20 2 5" xfId="27756"/>
    <cellStyle name="표준 6 2 2 3 20 2 6" xfId="55428"/>
    <cellStyle name="표준 6 2 2 3 20 3" xfId="5550"/>
    <cellStyle name="표준 6 2 2 3 20 3 2" xfId="11886"/>
    <cellStyle name="표준 6 2 2 3 20 3 2 2" xfId="24559"/>
    <cellStyle name="표준 6 2 2 3 20 3 2 2 2" xfId="49911"/>
    <cellStyle name="표준 6 2 2 3 20 3 2 3" xfId="37239"/>
    <cellStyle name="표준 6 2 2 3 20 3 3" xfId="18223"/>
    <cellStyle name="표준 6 2 2 3 20 3 3 2" xfId="43575"/>
    <cellStyle name="표준 6 2 2 3 20 3 4" xfId="30903"/>
    <cellStyle name="표준 6 2 2 3 20 3 5" xfId="55429"/>
    <cellStyle name="표준 6 2 2 3 20 4" xfId="8738"/>
    <cellStyle name="표준 6 2 2 3 20 4 2" xfId="21411"/>
    <cellStyle name="표준 6 2 2 3 20 4 2 2" xfId="46763"/>
    <cellStyle name="표준 6 2 2 3 20 4 3" xfId="34091"/>
    <cellStyle name="표준 6 2 2 3 20 5" xfId="15075"/>
    <cellStyle name="표준 6 2 2 3 20 5 2" xfId="40427"/>
    <cellStyle name="표준 6 2 2 3 20 6" xfId="27755"/>
    <cellStyle name="표준 6 2 2 3 20 7" xfId="55430"/>
    <cellStyle name="표준 6 2 2 3 21" xfId="2403"/>
    <cellStyle name="표준 6 2 2 3 21 2" xfId="2404"/>
    <cellStyle name="표준 6 2 2 3 21 2 2" xfId="5551"/>
    <cellStyle name="표준 6 2 2 3 21 2 2 2" xfId="11887"/>
    <cellStyle name="표준 6 2 2 3 21 2 2 2 2" xfId="24560"/>
    <cellStyle name="표준 6 2 2 3 21 2 2 2 2 2" xfId="49912"/>
    <cellStyle name="표준 6 2 2 3 21 2 2 2 3" xfId="37240"/>
    <cellStyle name="표준 6 2 2 3 21 2 2 3" xfId="18224"/>
    <cellStyle name="표준 6 2 2 3 21 2 2 3 2" xfId="43576"/>
    <cellStyle name="표준 6 2 2 3 21 2 2 4" xfId="30904"/>
    <cellStyle name="표준 6 2 2 3 21 2 2 5" xfId="55431"/>
    <cellStyle name="표준 6 2 2 3 21 2 3" xfId="8741"/>
    <cellStyle name="표준 6 2 2 3 21 2 3 2" xfId="21414"/>
    <cellStyle name="표준 6 2 2 3 21 2 3 2 2" xfId="46766"/>
    <cellStyle name="표준 6 2 2 3 21 2 3 3" xfId="34094"/>
    <cellStyle name="표준 6 2 2 3 21 2 4" xfId="15078"/>
    <cellStyle name="표준 6 2 2 3 21 2 4 2" xfId="40430"/>
    <cellStyle name="표준 6 2 2 3 21 2 5" xfId="27758"/>
    <cellStyle name="표준 6 2 2 3 21 2 6" xfId="55432"/>
    <cellStyle name="표준 6 2 2 3 21 3" xfId="5552"/>
    <cellStyle name="표준 6 2 2 3 21 3 2" xfId="11888"/>
    <cellStyle name="표준 6 2 2 3 21 3 2 2" xfId="24561"/>
    <cellStyle name="표준 6 2 2 3 21 3 2 2 2" xfId="49913"/>
    <cellStyle name="표준 6 2 2 3 21 3 2 3" xfId="37241"/>
    <cellStyle name="표준 6 2 2 3 21 3 3" xfId="18225"/>
    <cellStyle name="표준 6 2 2 3 21 3 3 2" xfId="43577"/>
    <cellStyle name="표준 6 2 2 3 21 3 4" xfId="30905"/>
    <cellStyle name="표준 6 2 2 3 21 3 5" xfId="55433"/>
    <cellStyle name="표준 6 2 2 3 21 4" xfId="8740"/>
    <cellStyle name="표준 6 2 2 3 21 4 2" xfId="21413"/>
    <cellStyle name="표준 6 2 2 3 21 4 2 2" xfId="46765"/>
    <cellStyle name="표준 6 2 2 3 21 4 3" xfId="34093"/>
    <cellStyle name="표준 6 2 2 3 21 5" xfId="15077"/>
    <cellStyle name="표준 6 2 2 3 21 5 2" xfId="40429"/>
    <cellStyle name="표준 6 2 2 3 21 6" xfId="27757"/>
    <cellStyle name="표준 6 2 2 3 21 7" xfId="55434"/>
    <cellStyle name="표준 6 2 2 3 22" xfId="2405"/>
    <cellStyle name="표준 6 2 2 3 22 2" xfId="2406"/>
    <cellStyle name="표준 6 2 2 3 22 2 2" xfId="5553"/>
    <cellStyle name="표준 6 2 2 3 22 2 2 2" xfId="11889"/>
    <cellStyle name="표준 6 2 2 3 22 2 2 2 2" xfId="24562"/>
    <cellStyle name="표준 6 2 2 3 22 2 2 2 2 2" xfId="49914"/>
    <cellStyle name="표준 6 2 2 3 22 2 2 2 3" xfId="37242"/>
    <cellStyle name="표준 6 2 2 3 22 2 2 3" xfId="18226"/>
    <cellStyle name="표준 6 2 2 3 22 2 2 3 2" xfId="43578"/>
    <cellStyle name="표준 6 2 2 3 22 2 2 4" xfId="30906"/>
    <cellStyle name="표준 6 2 2 3 22 2 2 5" xfId="55435"/>
    <cellStyle name="표준 6 2 2 3 22 2 3" xfId="8743"/>
    <cellStyle name="표준 6 2 2 3 22 2 3 2" xfId="21416"/>
    <cellStyle name="표준 6 2 2 3 22 2 3 2 2" xfId="46768"/>
    <cellStyle name="표준 6 2 2 3 22 2 3 3" xfId="34096"/>
    <cellStyle name="표준 6 2 2 3 22 2 4" xfId="15080"/>
    <cellStyle name="표준 6 2 2 3 22 2 4 2" xfId="40432"/>
    <cellStyle name="표준 6 2 2 3 22 2 5" xfId="27760"/>
    <cellStyle name="표준 6 2 2 3 22 2 6" xfId="55436"/>
    <cellStyle name="표준 6 2 2 3 22 3" xfId="5554"/>
    <cellStyle name="표준 6 2 2 3 22 3 2" xfId="11890"/>
    <cellStyle name="표준 6 2 2 3 22 3 2 2" xfId="24563"/>
    <cellStyle name="표준 6 2 2 3 22 3 2 2 2" xfId="49915"/>
    <cellStyle name="표준 6 2 2 3 22 3 2 3" xfId="37243"/>
    <cellStyle name="표준 6 2 2 3 22 3 3" xfId="18227"/>
    <cellStyle name="표준 6 2 2 3 22 3 3 2" xfId="43579"/>
    <cellStyle name="표준 6 2 2 3 22 3 4" xfId="30907"/>
    <cellStyle name="표준 6 2 2 3 22 3 5" xfId="55437"/>
    <cellStyle name="표준 6 2 2 3 22 4" xfId="8742"/>
    <cellStyle name="표준 6 2 2 3 22 4 2" xfId="21415"/>
    <cellStyle name="표준 6 2 2 3 22 4 2 2" xfId="46767"/>
    <cellStyle name="표준 6 2 2 3 22 4 3" xfId="34095"/>
    <cellStyle name="표준 6 2 2 3 22 5" xfId="15079"/>
    <cellStyle name="표준 6 2 2 3 22 5 2" xfId="40431"/>
    <cellStyle name="표준 6 2 2 3 22 6" xfId="27759"/>
    <cellStyle name="표준 6 2 2 3 22 7" xfId="55438"/>
    <cellStyle name="표준 6 2 2 3 23" xfId="2407"/>
    <cellStyle name="표준 6 2 2 3 23 2" xfId="2408"/>
    <cellStyle name="표준 6 2 2 3 23 2 2" xfId="5555"/>
    <cellStyle name="표준 6 2 2 3 23 2 2 2" xfId="11891"/>
    <cellStyle name="표준 6 2 2 3 23 2 2 2 2" xfId="24564"/>
    <cellStyle name="표준 6 2 2 3 23 2 2 2 2 2" xfId="49916"/>
    <cellStyle name="표준 6 2 2 3 23 2 2 2 3" xfId="37244"/>
    <cellStyle name="표준 6 2 2 3 23 2 2 3" xfId="18228"/>
    <cellStyle name="표준 6 2 2 3 23 2 2 3 2" xfId="43580"/>
    <cellStyle name="표준 6 2 2 3 23 2 2 4" xfId="30908"/>
    <cellStyle name="표준 6 2 2 3 23 2 2 5" xfId="55439"/>
    <cellStyle name="표준 6 2 2 3 23 2 3" xfId="8745"/>
    <cellStyle name="표준 6 2 2 3 23 2 3 2" xfId="21418"/>
    <cellStyle name="표준 6 2 2 3 23 2 3 2 2" xfId="46770"/>
    <cellStyle name="표준 6 2 2 3 23 2 3 3" xfId="34098"/>
    <cellStyle name="표준 6 2 2 3 23 2 4" xfId="15082"/>
    <cellStyle name="표준 6 2 2 3 23 2 4 2" xfId="40434"/>
    <cellStyle name="표준 6 2 2 3 23 2 5" xfId="27762"/>
    <cellStyle name="표준 6 2 2 3 23 2 6" xfId="55440"/>
    <cellStyle name="표준 6 2 2 3 23 3" xfId="5556"/>
    <cellStyle name="표준 6 2 2 3 23 3 2" xfId="11892"/>
    <cellStyle name="표준 6 2 2 3 23 3 2 2" xfId="24565"/>
    <cellStyle name="표준 6 2 2 3 23 3 2 2 2" xfId="49917"/>
    <cellStyle name="표준 6 2 2 3 23 3 2 3" xfId="37245"/>
    <cellStyle name="표준 6 2 2 3 23 3 3" xfId="18229"/>
    <cellStyle name="표준 6 2 2 3 23 3 3 2" xfId="43581"/>
    <cellStyle name="표준 6 2 2 3 23 3 4" xfId="30909"/>
    <cellStyle name="표준 6 2 2 3 23 3 5" xfId="55441"/>
    <cellStyle name="표준 6 2 2 3 23 4" xfId="8744"/>
    <cellStyle name="표준 6 2 2 3 23 4 2" xfId="21417"/>
    <cellStyle name="표준 6 2 2 3 23 4 2 2" xfId="46769"/>
    <cellStyle name="표준 6 2 2 3 23 4 3" xfId="34097"/>
    <cellStyle name="표준 6 2 2 3 23 5" xfId="15081"/>
    <cellStyle name="표준 6 2 2 3 23 5 2" xfId="40433"/>
    <cellStyle name="표준 6 2 2 3 23 6" xfId="27761"/>
    <cellStyle name="표준 6 2 2 3 23 7" xfId="55442"/>
    <cellStyle name="표준 6 2 2 3 24" xfId="2409"/>
    <cellStyle name="표준 6 2 2 3 24 2" xfId="2410"/>
    <cellStyle name="표준 6 2 2 3 24 2 2" xfId="5557"/>
    <cellStyle name="표준 6 2 2 3 24 2 2 2" xfId="11893"/>
    <cellStyle name="표준 6 2 2 3 24 2 2 2 2" xfId="24566"/>
    <cellStyle name="표준 6 2 2 3 24 2 2 2 2 2" xfId="49918"/>
    <cellStyle name="표준 6 2 2 3 24 2 2 2 3" xfId="37246"/>
    <cellStyle name="표준 6 2 2 3 24 2 2 3" xfId="18230"/>
    <cellStyle name="표준 6 2 2 3 24 2 2 3 2" xfId="43582"/>
    <cellStyle name="표준 6 2 2 3 24 2 2 4" xfId="30910"/>
    <cellStyle name="표준 6 2 2 3 24 2 2 5" xfId="55443"/>
    <cellStyle name="표준 6 2 2 3 24 2 3" xfId="8747"/>
    <cellStyle name="표준 6 2 2 3 24 2 3 2" xfId="21420"/>
    <cellStyle name="표준 6 2 2 3 24 2 3 2 2" xfId="46772"/>
    <cellStyle name="표준 6 2 2 3 24 2 3 3" xfId="34100"/>
    <cellStyle name="표준 6 2 2 3 24 2 4" xfId="15084"/>
    <cellStyle name="표준 6 2 2 3 24 2 4 2" xfId="40436"/>
    <cellStyle name="표준 6 2 2 3 24 2 5" xfId="27764"/>
    <cellStyle name="표준 6 2 2 3 24 2 6" xfId="55444"/>
    <cellStyle name="표준 6 2 2 3 24 3" xfId="5558"/>
    <cellStyle name="표준 6 2 2 3 24 3 2" xfId="11894"/>
    <cellStyle name="표준 6 2 2 3 24 3 2 2" xfId="24567"/>
    <cellStyle name="표준 6 2 2 3 24 3 2 2 2" xfId="49919"/>
    <cellStyle name="표준 6 2 2 3 24 3 2 3" xfId="37247"/>
    <cellStyle name="표준 6 2 2 3 24 3 3" xfId="18231"/>
    <cellStyle name="표준 6 2 2 3 24 3 3 2" xfId="43583"/>
    <cellStyle name="표준 6 2 2 3 24 3 4" xfId="30911"/>
    <cellStyle name="표준 6 2 2 3 24 3 5" xfId="55445"/>
    <cellStyle name="표준 6 2 2 3 24 4" xfId="8746"/>
    <cellStyle name="표준 6 2 2 3 24 4 2" xfId="21419"/>
    <cellStyle name="표준 6 2 2 3 24 4 2 2" xfId="46771"/>
    <cellStyle name="표준 6 2 2 3 24 4 3" xfId="34099"/>
    <cellStyle name="표준 6 2 2 3 24 5" xfId="15083"/>
    <cellStyle name="표준 6 2 2 3 24 5 2" xfId="40435"/>
    <cellStyle name="표준 6 2 2 3 24 6" xfId="27763"/>
    <cellStyle name="표준 6 2 2 3 24 7" xfId="55446"/>
    <cellStyle name="표준 6 2 2 3 25" xfId="2411"/>
    <cellStyle name="표준 6 2 2 3 25 2" xfId="2412"/>
    <cellStyle name="표준 6 2 2 3 25 2 2" xfId="5559"/>
    <cellStyle name="표준 6 2 2 3 25 2 2 2" xfId="11895"/>
    <cellStyle name="표준 6 2 2 3 25 2 2 2 2" xfId="24568"/>
    <cellStyle name="표준 6 2 2 3 25 2 2 2 2 2" xfId="49920"/>
    <cellStyle name="표준 6 2 2 3 25 2 2 2 3" xfId="37248"/>
    <cellStyle name="표준 6 2 2 3 25 2 2 3" xfId="18232"/>
    <cellStyle name="표준 6 2 2 3 25 2 2 3 2" xfId="43584"/>
    <cellStyle name="표준 6 2 2 3 25 2 2 4" xfId="30912"/>
    <cellStyle name="표준 6 2 2 3 25 2 2 5" xfId="55447"/>
    <cellStyle name="표준 6 2 2 3 25 2 3" xfId="8749"/>
    <cellStyle name="표준 6 2 2 3 25 2 3 2" xfId="21422"/>
    <cellStyle name="표준 6 2 2 3 25 2 3 2 2" xfId="46774"/>
    <cellStyle name="표준 6 2 2 3 25 2 3 3" xfId="34102"/>
    <cellStyle name="표준 6 2 2 3 25 2 4" xfId="15086"/>
    <cellStyle name="표준 6 2 2 3 25 2 4 2" xfId="40438"/>
    <cellStyle name="표준 6 2 2 3 25 2 5" xfId="27766"/>
    <cellStyle name="표준 6 2 2 3 25 2 6" xfId="55448"/>
    <cellStyle name="표준 6 2 2 3 25 3" xfId="5560"/>
    <cellStyle name="표준 6 2 2 3 25 3 2" xfId="11896"/>
    <cellStyle name="표준 6 2 2 3 25 3 2 2" xfId="24569"/>
    <cellStyle name="표준 6 2 2 3 25 3 2 2 2" xfId="49921"/>
    <cellStyle name="표준 6 2 2 3 25 3 2 3" xfId="37249"/>
    <cellStyle name="표준 6 2 2 3 25 3 3" xfId="18233"/>
    <cellStyle name="표준 6 2 2 3 25 3 3 2" xfId="43585"/>
    <cellStyle name="표준 6 2 2 3 25 3 4" xfId="30913"/>
    <cellStyle name="표준 6 2 2 3 25 3 5" xfId="55449"/>
    <cellStyle name="표준 6 2 2 3 25 4" xfId="8748"/>
    <cellStyle name="표준 6 2 2 3 25 4 2" xfId="21421"/>
    <cellStyle name="표준 6 2 2 3 25 4 2 2" xfId="46773"/>
    <cellStyle name="표준 6 2 2 3 25 4 3" xfId="34101"/>
    <cellStyle name="표준 6 2 2 3 25 5" xfId="15085"/>
    <cellStyle name="표준 6 2 2 3 25 5 2" xfId="40437"/>
    <cellStyle name="표준 6 2 2 3 25 6" xfId="27765"/>
    <cellStyle name="표준 6 2 2 3 25 7" xfId="55450"/>
    <cellStyle name="표준 6 2 2 3 26" xfId="2413"/>
    <cellStyle name="표준 6 2 2 3 26 2" xfId="2414"/>
    <cellStyle name="표준 6 2 2 3 26 2 2" xfId="5561"/>
    <cellStyle name="표준 6 2 2 3 26 2 2 2" xfId="11897"/>
    <cellStyle name="표준 6 2 2 3 26 2 2 2 2" xfId="24570"/>
    <cellStyle name="표준 6 2 2 3 26 2 2 2 2 2" xfId="49922"/>
    <cellStyle name="표준 6 2 2 3 26 2 2 2 3" xfId="37250"/>
    <cellStyle name="표준 6 2 2 3 26 2 2 3" xfId="18234"/>
    <cellStyle name="표준 6 2 2 3 26 2 2 3 2" xfId="43586"/>
    <cellStyle name="표준 6 2 2 3 26 2 2 4" xfId="30914"/>
    <cellStyle name="표준 6 2 2 3 26 2 2 5" xfId="55451"/>
    <cellStyle name="표준 6 2 2 3 26 2 3" xfId="8751"/>
    <cellStyle name="표준 6 2 2 3 26 2 3 2" xfId="21424"/>
    <cellStyle name="표준 6 2 2 3 26 2 3 2 2" xfId="46776"/>
    <cellStyle name="표준 6 2 2 3 26 2 3 3" xfId="34104"/>
    <cellStyle name="표준 6 2 2 3 26 2 4" xfId="15088"/>
    <cellStyle name="표준 6 2 2 3 26 2 4 2" xfId="40440"/>
    <cellStyle name="표준 6 2 2 3 26 2 5" xfId="27768"/>
    <cellStyle name="표준 6 2 2 3 26 2 6" xfId="55452"/>
    <cellStyle name="표준 6 2 2 3 26 3" xfId="5562"/>
    <cellStyle name="표준 6 2 2 3 26 3 2" xfId="11898"/>
    <cellStyle name="표준 6 2 2 3 26 3 2 2" xfId="24571"/>
    <cellStyle name="표준 6 2 2 3 26 3 2 2 2" xfId="49923"/>
    <cellStyle name="표준 6 2 2 3 26 3 2 3" xfId="37251"/>
    <cellStyle name="표준 6 2 2 3 26 3 3" xfId="18235"/>
    <cellStyle name="표준 6 2 2 3 26 3 3 2" xfId="43587"/>
    <cellStyle name="표준 6 2 2 3 26 3 4" xfId="30915"/>
    <cellStyle name="표준 6 2 2 3 26 3 5" xfId="55453"/>
    <cellStyle name="표준 6 2 2 3 26 4" xfId="8750"/>
    <cellStyle name="표준 6 2 2 3 26 4 2" xfId="21423"/>
    <cellStyle name="표준 6 2 2 3 26 4 2 2" xfId="46775"/>
    <cellStyle name="표준 6 2 2 3 26 4 3" xfId="34103"/>
    <cellStyle name="표준 6 2 2 3 26 5" xfId="15087"/>
    <cellStyle name="표준 6 2 2 3 26 5 2" xfId="40439"/>
    <cellStyle name="표준 6 2 2 3 26 6" xfId="27767"/>
    <cellStyle name="표준 6 2 2 3 26 7" xfId="55454"/>
    <cellStyle name="표준 6 2 2 3 27" xfId="2415"/>
    <cellStyle name="표준 6 2 2 3 27 2" xfId="2416"/>
    <cellStyle name="표준 6 2 2 3 27 2 2" xfId="5563"/>
    <cellStyle name="표준 6 2 2 3 27 2 2 2" xfId="11899"/>
    <cellStyle name="표준 6 2 2 3 27 2 2 2 2" xfId="24572"/>
    <cellStyle name="표준 6 2 2 3 27 2 2 2 2 2" xfId="49924"/>
    <cellStyle name="표준 6 2 2 3 27 2 2 2 3" xfId="37252"/>
    <cellStyle name="표준 6 2 2 3 27 2 2 3" xfId="18236"/>
    <cellStyle name="표준 6 2 2 3 27 2 2 3 2" xfId="43588"/>
    <cellStyle name="표준 6 2 2 3 27 2 2 4" xfId="30916"/>
    <cellStyle name="표준 6 2 2 3 27 2 2 5" xfId="55455"/>
    <cellStyle name="표준 6 2 2 3 27 2 3" xfId="8753"/>
    <cellStyle name="표준 6 2 2 3 27 2 3 2" xfId="21426"/>
    <cellStyle name="표준 6 2 2 3 27 2 3 2 2" xfId="46778"/>
    <cellStyle name="표준 6 2 2 3 27 2 3 3" xfId="34106"/>
    <cellStyle name="표준 6 2 2 3 27 2 4" xfId="15090"/>
    <cellStyle name="표준 6 2 2 3 27 2 4 2" xfId="40442"/>
    <cellStyle name="표준 6 2 2 3 27 2 5" xfId="27770"/>
    <cellStyle name="표준 6 2 2 3 27 2 6" xfId="55456"/>
    <cellStyle name="표준 6 2 2 3 27 3" xfId="5564"/>
    <cellStyle name="표준 6 2 2 3 27 3 2" xfId="11900"/>
    <cellStyle name="표준 6 2 2 3 27 3 2 2" xfId="24573"/>
    <cellStyle name="표준 6 2 2 3 27 3 2 2 2" xfId="49925"/>
    <cellStyle name="표준 6 2 2 3 27 3 2 3" xfId="37253"/>
    <cellStyle name="표준 6 2 2 3 27 3 3" xfId="18237"/>
    <cellStyle name="표준 6 2 2 3 27 3 3 2" xfId="43589"/>
    <cellStyle name="표준 6 2 2 3 27 3 4" xfId="30917"/>
    <cellStyle name="표준 6 2 2 3 27 3 5" xfId="55457"/>
    <cellStyle name="표준 6 2 2 3 27 4" xfId="8752"/>
    <cellStyle name="표준 6 2 2 3 27 4 2" xfId="21425"/>
    <cellStyle name="표준 6 2 2 3 27 4 2 2" xfId="46777"/>
    <cellStyle name="표준 6 2 2 3 27 4 3" xfId="34105"/>
    <cellStyle name="표준 6 2 2 3 27 5" xfId="15089"/>
    <cellStyle name="표준 6 2 2 3 27 5 2" xfId="40441"/>
    <cellStyle name="표준 6 2 2 3 27 6" xfId="27769"/>
    <cellStyle name="표준 6 2 2 3 27 7" xfId="55458"/>
    <cellStyle name="표준 6 2 2 3 28" xfId="2417"/>
    <cellStyle name="표준 6 2 2 3 28 2" xfId="2418"/>
    <cellStyle name="표준 6 2 2 3 28 2 2" xfId="5565"/>
    <cellStyle name="표준 6 2 2 3 28 2 2 2" xfId="11901"/>
    <cellStyle name="표준 6 2 2 3 28 2 2 2 2" xfId="24574"/>
    <cellStyle name="표준 6 2 2 3 28 2 2 2 2 2" xfId="49926"/>
    <cellStyle name="표준 6 2 2 3 28 2 2 2 3" xfId="37254"/>
    <cellStyle name="표준 6 2 2 3 28 2 2 3" xfId="18238"/>
    <cellStyle name="표준 6 2 2 3 28 2 2 3 2" xfId="43590"/>
    <cellStyle name="표준 6 2 2 3 28 2 2 4" xfId="30918"/>
    <cellStyle name="표준 6 2 2 3 28 2 2 5" xfId="55459"/>
    <cellStyle name="표준 6 2 2 3 28 2 3" xfId="8755"/>
    <cellStyle name="표준 6 2 2 3 28 2 3 2" xfId="21428"/>
    <cellStyle name="표준 6 2 2 3 28 2 3 2 2" xfId="46780"/>
    <cellStyle name="표준 6 2 2 3 28 2 3 3" xfId="34108"/>
    <cellStyle name="표준 6 2 2 3 28 2 4" xfId="15092"/>
    <cellStyle name="표준 6 2 2 3 28 2 4 2" xfId="40444"/>
    <cellStyle name="표준 6 2 2 3 28 2 5" xfId="27772"/>
    <cellStyle name="표준 6 2 2 3 28 2 6" xfId="55460"/>
    <cellStyle name="표준 6 2 2 3 28 3" xfId="5566"/>
    <cellStyle name="표준 6 2 2 3 28 3 2" xfId="11902"/>
    <cellStyle name="표준 6 2 2 3 28 3 2 2" xfId="24575"/>
    <cellStyle name="표준 6 2 2 3 28 3 2 2 2" xfId="49927"/>
    <cellStyle name="표준 6 2 2 3 28 3 2 3" xfId="37255"/>
    <cellStyle name="표준 6 2 2 3 28 3 3" xfId="18239"/>
    <cellStyle name="표준 6 2 2 3 28 3 3 2" xfId="43591"/>
    <cellStyle name="표준 6 2 2 3 28 3 4" xfId="30919"/>
    <cellStyle name="표준 6 2 2 3 28 3 5" xfId="55461"/>
    <cellStyle name="표준 6 2 2 3 28 4" xfId="8754"/>
    <cellStyle name="표준 6 2 2 3 28 4 2" xfId="21427"/>
    <cellStyle name="표준 6 2 2 3 28 4 2 2" xfId="46779"/>
    <cellStyle name="표준 6 2 2 3 28 4 3" xfId="34107"/>
    <cellStyle name="표준 6 2 2 3 28 5" xfId="15091"/>
    <cellStyle name="표준 6 2 2 3 28 5 2" xfId="40443"/>
    <cellStyle name="표준 6 2 2 3 28 6" xfId="27771"/>
    <cellStyle name="표준 6 2 2 3 28 7" xfId="55462"/>
    <cellStyle name="표준 6 2 2 3 29" xfId="2419"/>
    <cellStyle name="표준 6 2 2 3 29 2" xfId="2420"/>
    <cellStyle name="표준 6 2 2 3 29 2 2" xfId="5567"/>
    <cellStyle name="표준 6 2 2 3 29 2 2 2" xfId="11903"/>
    <cellStyle name="표준 6 2 2 3 29 2 2 2 2" xfId="24576"/>
    <cellStyle name="표준 6 2 2 3 29 2 2 2 2 2" xfId="49928"/>
    <cellStyle name="표준 6 2 2 3 29 2 2 2 3" xfId="37256"/>
    <cellStyle name="표준 6 2 2 3 29 2 2 3" xfId="18240"/>
    <cellStyle name="표준 6 2 2 3 29 2 2 3 2" xfId="43592"/>
    <cellStyle name="표준 6 2 2 3 29 2 2 4" xfId="30920"/>
    <cellStyle name="표준 6 2 2 3 29 2 2 5" xfId="55463"/>
    <cellStyle name="표준 6 2 2 3 29 2 3" xfId="8757"/>
    <cellStyle name="표준 6 2 2 3 29 2 3 2" xfId="21430"/>
    <cellStyle name="표준 6 2 2 3 29 2 3 2 2" xfId="46782"/>
    <cellStyle name="표준 6 2 2 3 29 2 3 3" xfId="34110"/>
    <cellStyle name="표준 6 2 2 3 29 2 4" xfId="15094"/>
    <cellStyle name="표준 6 2 2 3 29 2 4 2" xfId="40446"/>
    <cellStyle name="표준 6 2 2 3 29 2 5" xfId="27774"/>
    <cellStyle name="표준 6 2 2 3 29 2 6" xfId="55464"/>
    <cellStyle name="표준 6 2 2 3 29 3" xfId="5568"/>
    <cellStyle name="표준 6 2 2 3 29 3 2" xfId="11904"/>
    <cellStyle name="표준 6 2 2 3 29 3 2 2" xfId="24577"/>
    <cellStyle name="표준 6 2 2 3 29 3 2 2 2" xfId="49929"/>
    <cellStyle name="표준 6 2 2 3 29 3 2 3" xfId="37257"/>
    <cellStyle name="표준 6 2 2 3 29 3 3" xfId="18241"/>
    <cellStyle name="표준 6 2 2 3 29 3 3 2" xfId="43593"/>
    <cellStyle name="표준 6 2 2 3 29 3 4" xfId="30921"/>
    <cellStyle name="표준 6 2 2 3 29 3 5" xfId="55465"/>
    <cellStyle name="표준 6 2 2 3 29 4" xfId="8756"/>
    <cellStyle name="표준 6 2 2 3 29 4 2" xfId="21429"/>
    <cellStyle name="표준 6 2 2 3 29 4 2 2" xfId="46781"/>
    <cellStyle name="표준 6 2 2 3 29 4 3" xfId="34109"/>
    <cellStyle name="표준 6 2 2 3 29 5" xfId="15093"/>
    <cellStyle name="표준 6 2 2 3 29 5 2" xfId="40445"/>
    <cellStyle name="표준 6 2 2 3 29 6" xfId="27773"/>
    <cellStyle name="표준 6 2 2 3 29 7" xfId="55466"/>
    <cellStyle name="표준 6 2 2 3 3" xfId="2421"/>
    <cellStyle name="표준 6 2 2 3 3 2" xfId="2422"/>
    <cellStyle name="표준 6 2 2 3 3 2 2" xfId="5569"/>
    <cellStyle name="표준 6 2 2 3 3 2 2 2" xfId="11905"/>
    <cellStyle name="표준 6 2 2 3 3 2 2 2 2" xfId="24578"/>
    <cellStyle name="표준 6 2 2 3 3 2 2 2 2 2" xfId="49930"/>
    <cellStyle name="표준 6 2 2 3 3 2 2 2 3" xfId="37258"/>
    <cellStyle name="표준 6 2 2 3 3 2 2 3" xfId="18242"/>
    <cellStyle name="표준 6 2 2 3 3 2 2 3 2" xfId="43594"/>
    <cellStyle name="표준 6 2 2 3 3 2 2 4" xfId="30922"/>
    <cellStyle name="표준 6 2 2 3 3 2 2 5" xfId="55467"/>
    <cellStyle name="표준 6 2 2 3 3 2 3" xfId="8759"/>
    <cellStyle name="표준 6 2 2 3 3 2 3 2" xfId="21432"/>
    <cellStyle name="표준 6 2 2 3 3 2 3 2 2" xfId="46784"/>
    <cellStyle name="표준 6 2 2 3 3 2 3 3" xfId="34112"/>
    <cellStyle name="표준 6 2 2 3 3 2 4" xfId="15096"/>
    <cellStyle name="표준 6 2 2 3 3 2 4 2" xfId="40448"/>
    <cellStyle name="표준 6 2 2 3 3 2 5" xfId="27776"/>
    <cellStyle name="표준 6 2 2 3 3 2 6" xfId="55468"/>
    <cellStyle name="표준 6 2 2 3 3 3" xfId="5570"/>
    <cellStyle name="표준 6 2 2 3 3 3 2" xfId="11906"/>
    <cellStyle name="표준 6 2 2 3 3 3 2 2" xfId="24579"/>
    <cellStyle name="표준 6 2 2 3 3 3 2 2 2" xfId="49931"/>
    <cellStyle name="표준 6 2 2 3 3 3 2 3" xfId="37259"/>
    <cellStyle name="표준 6 2 2 3 3 3 3" xfId="18243"/>
    <cellStyle name="표준 6 2 2 3 3 3 3 2" xfId="43595"/>
    <cellStyle name="표준 6 2 2 3 3 3 4" xfId="30923"/>
    <cellStyle name="표준 6 2 2 3 3 3 5" xfId="55469"/>
    <cellStyle name="표준 6 2 2 3 3 4" xfId="8758"/>
    <cellStyle name="표준 6 2 2 3 3 4 2" xfId="21431"/>
    <cellStyle name="표준 6 2 2 3 3 4 2 2" xfId="46783"/>
    <cellStyle name="표준 6 2 2 3 3 4 3" xfId="34111"/>
    <cellStyle name="표준 6 2 2 3 3 5" xfId="15095"/>
    <cellStyle name="표준 6 2 2 3 3 5 2" xfId="40447"/>
    <cellStyle name="표준 6 2 2 3 3 6" xfId="27775"/>
    <cellStyle name="표준 6 2 2 3 3 7" xfId="55470"/>
    <cellStyle name="표준 6 2 2 3 30" xfId="2423"/>
    <cellStyle name="표준 6 2 2 3 30 2" xfId="2424"/>
    <cellStyle name="표준 6 2 2 3 30 2 2" xfId="5571"/>
    <cellStyle name="표준 6 2 2 3 30 2 2 2" xfId="11907"/>
    <cellStyle name="표준 6 2 2 3 30 2 2 2 2" xfId="24580"/>
    <cellStyle name="표준 6 2 2 3 30 2 2 2 2 2" xfId="49932"/>
    <cellStyle name="표준 6 2 2 3 30 2 2 2 3" xfId="37260"/>
    <cellStyle name="표준 6 2 2 3 30 2 2 3" xfId="18244"/>
    <cellStyle name="표준 6 2 2 3 30 2 2 3 2" xfId="43596"/>
    <cellStyle name="표준 6 2 2 3 30 2 2 4" xfId="30924"/>
    <cellStyle name="표준 6 2 2 3 30 2 2 5" xfId="55471"/>
    <cellStyle name="표준 6 2 2 3 30 2 3" xfId="8761"/>
    <cellStyle name="표준 6 2 2 3 30 2 3 2" xfId="21434"/>
    <cellStyle name="표준 6 2 2 3 30 2 3 2 2" xfId="46786"/>
    <cellStyle name="표준 6 2 2 3 30 2 3 3" xfId="34114"/>
    <cellStyle name="표준 6 2 2 3 30 2 4" xfId="15098"/>
    <cellStyle name="표준 6 2 2 3 30 2 4 2" xfId="40450"/>
    <cellStyle name="표준 6 2 2 3 30 2 5" xfId="27778"/>
    <cellStyle name="표준 6 2 2 3 30 2 6" xfId="55472"/>
    <cellStyle name="표준 6 2 2 3 30 3" xfId="5572"/>
    <cellStyle name="표준 6 2 2 3 30 3 2" xfId="11908"/>
    <cellStyle name="표준 6 2 2 3 30 3 2 2" xfId="24581"/>
    <cellStyle name="표준 6 2 2 3 30 3 2 2 2" xfId="49933"/>
    <cellStyle name="표준 6 2 2 3 30 3 2 3" xfId="37261"/>
    <cellStyle name="표준 6 2 2 3 30 3 3" xfId="18245"/>
    <cellStyle name="표준 6 2 2 3 30 3 3 2" xfId="43597"/>
    <cellStyle name="표준 6 2 2 3 30 3 4" xfId="30925"/>
    <cellStyle name="표준 6 2 2 3 30 3 5" xfId="55473"/>
    <cellStyle name="표준 6 2 2 3 30 4" xfId="8760"/>
    <cellStyle name="표준 6 2 2 3 30 4 2" xfId="21433"/>
    <cellStyle name="표준 6 2 2 3 30 4 2 2" xfId="46785"/>
    <cellStyle name="표준 6 2 2 3 30 4 3" xfId="34113"/>
    <cellStyle name="표준 6 2 2 3 30 5" xfId="15097"/>
    <cellStyle name="표준 6 2 2 3 30 5 2" xfId="40449"/>
    <cellStyle name="표준 6 2 2 3 30 6" xfId="27777"/>
    <cellStyle name="표준 6 2 2 3 30 7" xfId="55474"/>
    <cellStyle name="표준 6 2 2 3 31" xfId="2425"/>
    <cellStyle name="표준 6 2 2 3 31 2" xfId="2426"/>
    <cellStyle name="표준 6 2 2 3 31 2 2" xfId="5573"/>
    <cellStyle name="표준 6 2 2 3 31 2 2 2" xfId="11909"/>
    <cellStyle name="표준 6 2 2 3 31 2 2 2 2" xfId="24582"/>
    <cellStyle name="표준 6 2 2 3 31 2 2 2 2 2" xfId="49934"/>
    <cellStyle name="표준 6 2 2 3 31 2 2 2 3" xfId="37262"/>
    <cellStyle name="표준 6 2 2 3 31 2 2 3" xfId="18246"/>
    <cellStyle name="표준 6 2 2 3 31 2 2 3 2" xfId="43598"/>
    <cellStyle name="표준 6 2 2 3 31 2 2 4" xfId="30926"/>
    <cellStyle name="표준 6 2 2 3 31 2 2 5" xfId="55475"/>
    <cellStyle name="표준 6 2 2 3 31 2 3" xfId="8763"/>
    <cellStyle name="표준 6 2 2 3 31 2 3 2" xfId="21436"/>
    <cellStyle name="표준 6 2 2 3 31 2 3 2 2" xfId="46788"/>
    <cellStyle name="표준 6 2 2 3 31 2 3 3" xfId="34116"/>
    <cellStyle name="표준 6 2 2 3 31 2 4" xfId="15100"/>
    <cellStyle name="표준 6 2 2 3 31 2 4 2" xfId="40452"/>
    <cellStyle name="표준 6 2 2 3 31 2 5" xfId="27780"/>
    <cellStyle name="표준 6 2 2 3 31 2 6" xfId="55476"/>
    <cellStyle name="표준 6 2 2 3 31 3" xfId="5574"/>
    <cellStyle name="표준 6 2 2 3 31 3 2" xfId="11910"/>
    <cellStyle name="표준 6 2 2 3 31 3 2 2" xfId="24583"/>
    <cellStyle name="표준 6 2 2 3 31 3 2 2 2" xfId="49935"/>
    <cellStyle name="표준 6 2 2 3 31 3 2 3" xfId="37263"/>
    <cellStyle name="표준 6 2 2 3 31 3 3" xfId="18247"/>
    <cellStyle name="표준 6 2 2 3 31 3 3 2" xfId="43599"/>
    <cellStyle name="표준 6 2 2 3 31 3 4" xfId="30927"/>
    <cellStyle name="표준 6 2 2 3 31 3 5" xfId="55477"/>
    <cellStyle name="표준 6 2 2 3 31 4" xfId="8762"/>
    <cellStyle name="표준 6 2 2 3 31 4 2" xfId="21435"/>
    <cellStyle name="표준 6 2 2 3 31 4 2 2" xfId="46787"/>
    <cellStyle name="표준 6 2 2 3 31 4 3" xfId="34115"/>
    <cellStyle name="표준 6 2 2 3 31 5" xfId="15099"/>
    <cellStyle name="표준 6 2 2 3 31 5 2" xfId="40451"/>
    <cellStyle name="표준 6 2 2 3 31 6" xfId="27779"/>
    <cellStyle name="표준 6 2 2 3 31 7" xfId="55478"/>
    <cellStyle name="표준 6 2 2 3 32" xfId="2427"/>
    <cellStyle name="표준 6 2 2 3 32 2" xfId="2428"/>
    <cellStyle name="표준 6 2 2 3 32 2 2" xfId="5575"/>
    <cellStyle name="표준 6 2 2 3 32 2 2 2" xfId="11911"/>
    <cellStyle name="표준 6 2 2 3 32 2 2 2 2" xfId="24584"/>
    <cellStyle name="표준 6 2 2 3 32 2 2 2 2 2" xfId="49936"/>
    <cellStyle name="표준 6 2 2 3 32 2 2 2 3" xfId="37264"/>
    <cellStyle name="표준 6 2 2 3 32 2 2 3" xfId="18248"/>
    <cellStyle name="표준 6 2 2 3 32 2 2 3 2" xfId="43600"/>
    <cellStyle name="표준 6 2 2 3 32 2 2 4" xfId="30928"/>
    <cellStyle name="표준 6 2 2 3 32 2 2 5" xfId="55479"/>
    <cellStyle name="표준 6 2 2 3 32 2 3" xfId="8765"/>
    <cellStyle name="표준 6 2 2 3 32 2 3 2" xfId="21438"/>
    <cellStyle name="표준 6 2 2 3 32 2 3 2 2" xfId="46790"/>
    <cellStyle name="표준 6 2 2 3 32 2 3 3" xfId="34118"/>
    <cellStyle name="표준 6 2 2 3 32 2 4" xfId="15102"/>
    <cellStyle name="표준 6 2 2 3 32 2 4 2" xfId="40454"/>
    <cellStyle name="표준 6 2 2 3 32 2 5" xfId="27782"/>
    <cellStyle name="표준 6 2 2 3 32 2 6" xfId="55480"/>
    <cellStyle name="표준 6 2 2 3 32 3" xfId="5576"/>
    <cellStyle name="표준 6 2 2 3 32 3 2" xfId="11912"/>
    <cellStyle name="표준 6 2 2 3 32 3 2 2" xfId="24585"/>
    <cellStyle name="표준 6 2 2 3 32 3 2 2 2" xfId="49937"/>
    <cellStyle name="표준 6 2 2 3 32 3 2 3" xfId="37265"/>
    <cellStyle name="표준 6 2 2 3 32 3 3" xfId="18249"/>
    <cellStyle name="표준 6 2 2 3 32 3 3 2" xfId="43601"/>
    <cellStyle name="표준 6 2 2 3 32 3 4" xfId="30929"/>
    <cellStyle name="표준 6 2 2 3 32 3 5" xfId="55481"/>
    <cellStyle name="표준 6 2 2 3 32 4" xfId="8764"/>
    <cellStyle name="표준 6 2 2 3 32 4 2" xfId="21437"/>
    <cellStyle name="표준 6 2 2 3 32 4 2 2" xfId="46789"/>
    <cellStyle name="표준 6 2 2 3 32 4 3" xfId="34117"/>
    <cellStyle name="표준 6 2 2 3 32 5" xfId="15101"/>
    <cellStyle name="표준 6 2 2 3 32 5 2" xfId="40453"/>
    <cellStyle name="표준 6 2 2 3 32 6" xfId="27781"/>
    <cellStyle name="표준 6 2 2 3 32 7" xfId="55482"/>
    <cellStyle name="표준 6 2 2 3 33" xfId="2429"/>
    <cellStyle name="표준 6 2 2 3 33 2" xfId="2430"/>
    <cellStyle name="표준 6 2 2 3 33 2 2" xfId="5577"/>
    <cellStyle name="표준 6 2 2 3 33 2 2 2" xfId="11913"/>
    <cellStyle name="표준 6 2 2 3 33 2 2 2 2" xfId="24586"/>
    <cellStyle name="표준 6 2 2 3 33 2 2 2 2 2" xfId="49938"/>
    <cellStyle name="표준 6 2 2 3 33 2 2 2 3" xfId="37266"/>
    <cellStyle name="표준 6 2 2 3 33 2 2 3" xfId="18250"/>
    <cellStyle name="표준 6 2 2 3 33 2 2 3 2" xfId="43602"/>
    <cellStyle name="표준 6 2 2 3 33 2 2 4" xfId="30930"/>
    <cellStyle name="표준 6 2 2 3 33 2 2 5" xfId="55483"/>
    <cellStyle name="표준 6 2 2 3 33 2 3" xfId="8767"/>
    <cellStyle name="표준 6 2 2 3 33 2 3 2" xfId="21440"/>
    <cellStyle name="표준 6 2 2 3 33 2 3 2 2" xfId="46792"/>
    <cellStyle name="표준 6 2 2 3 33 2 3 3" xfId="34120"/>
    <cellStyle name="표준 6 2 2 3 33 2 4" xfId="15104"/>
    <cellStyle name="표준 6 2 2 3 33 2 4 2" xfId="40456"/>
    <cellStyle name="표준 6 2 2 3 33 2 5" xfId="27784"/>
    <cellStyle name="표준 6 2 2 3 33 2 6" xfId="55484"/>
    <cellStyle name="표준 6 2 2 3 33 3" xfId="5578"/>
    <cellStyle name="표준 6 2 2 3 33 3 2" xfId="11914"/>
    <cellStyle name="표준 6 2 2 3 33 3 2 2" xfId="24587"/>
    <cellStyle name="표준 6 2 2 3 33 3 2 2 2" xfId="49939"/>
    <cellStyle name="표준 6 2 2 3 33 3 2 3" xfId="37267"/>
    <cellStyle name="표준 6 2 2 3 33 3 3" xfId="18251"/>
    <cellStyle name="표준 6 2 2 3 33 3 3 2" xfId="43603"/>
    <cellStyle name="표준 6 2 2 3 33 3 4" xfId="30931"/>
    <cellStyle name="표준 6 2 2 3 33 3 5" xfId="55485"/>
    <cellStyle name="표준 6 2 2 3 33 4" xfId="8766"/>
    <cellStyle name="표준 6 2 2 3 33 4 2" xfId="21439"/>
    <cellStyle name="표준 6 2 2 3 33 4 2 2" xfId="46791"/>
    <cellStyle name="표준 6 2 2 3 33 4 3" xfId="34119"/>
    <cellStyle name="표준 6 2 2 3 33 5" xfId="15103"/>
    <cellStyle name="표준 6 2 2 3 33 5 2" xfId="40455"/>
    <cellStyle name="표준 6 2 2 3 33 6" xfId="27783"/>
    <cellStyle name="표준 6 2 2 3 33 7" xfId="55486"/>
    <cellStyle name="표준 6 2 2 3 34" xfId="2431"/>
    <cellStyle name="표준 6 2 2 3 34 2" xfId="5579"/>
    <cellStyle name="표준 6 2 2 3 34 2 2" xfId="11915"/>
    <cellStyle name="표준 6 2 2 3 34 2 2 2" xfId="24588"/>
    <cellStyle name="표준 6 2 2 3 34 2 2 2 2" xfId="49940"/>
    <cellStyle name="표준 6 2 2 3 34 2 2 3" xfId="37268"/>
    <cellStyle name="표준 6 2 2 3 34 2 3" xfId="18252"/>
    <cellStyle name="표준 6 2 2 3 34 2 3 2" xfId="43604"/>
    <cellStyle name="표준 6 2 2 3 34 2 4" xfId="30932"/>
    <cellStyle name="표준 6 2 2 3 34 2 5" xfId="55487"/>
    <cellStyle name="표준 6 2 2 3 34 3" xfId="8768"/>
    <cellStyle name="표준 6 2 2 3 34 3 2" xfId="21441"/>
    <cellStyle name="표준 6 2 2 3 34 3 2 2" xfId="46793"/>
    <cellStyle name="표준 6 2 2 3 34 3 3" xfId="34121"/>
    <cellStyle name="표준 6 2 2 3 34 4" xfId="15105"/>
    <cellStyle name="표준 6 2 2 3 34 4 2" xfId="40457"/>
    <cellStyle name="표준 6 2 2 3 34 5" xfId="27785"/>
    <cellStyle name="표준 6 2 2 3 34 6" xfId="55488"/>
    <cellStyle name="표준 6 2 2 3 35" xfId="5580"/>
    <cellStyle name="표준 6 2 2 3 35 2" xfId="11916"/>
    <cellStyle name="표준 6 2 2 3 35 2 2" xfId="24589"/>
    <cellStyle name="표준 6 2 2 3 35 2 2 2" xfId="49941"/>
    <cellStyle name="표준 6 2 2 3 35 2 3" xfId="37269"/>
    <cellStyle name="표준 6 2 2 3 35 3" xfId="18253"/>
    <cellStyle name="표준 6 2 2 3 35 3 2" xfId="43605"/>
    <cellStyle name="표준 6 2 2 3 35 4" xfId="30933"/>
    <cellStyle name="표준 6 2 2 3 35 5" xfId="55489"/>
    <cellStyle name="표준 6 2 2 3 36" xfId="6429"/>
    <cellStyle name="표준 6 2 2 3 36 2" xfId="19102"/>
    <cellStyle name="표준 6 2 2 3 36 2 2" xfId="44454"/>
    <cellStyle name="표준 6 2 2 3 36 3" xfId="31782"/>
    <cellStyle name="표준 6 2 2 3 37" xfId="12766"/>
    <cellStyle name="표준 6 2 2 3 37 2" xfId="38118"/>
    <cellStyle name="표준 6 2 2 3 38" xfId="25446"/>
    <cellStyle name="표준 6 2 2 3 39" xfId="55490"/>
    <cellStyle name="표준 6 2 2 3 4" xfId="2432"/>
    <cellStyle name="표준 6 2 2 3 4 2" xfId="2433"/>
    <cellStyle name="표준 6 2 2 3 4 2 2" xfId="5581"/>
    <cellStyle name="표준 6 2 2 3 4 2 2 2" xfId="11917"/>
    <cellStyle name="표준 6 2 2 3 4 2 2 2 2" xfId="24590"/>
    <cellStyle name="표준 6 2 2 3 4 2 2 2 2 2" xfId="49942"/>
    <cellStyle name="표준 6 2 2 3 4 2 2 2 3" xfId="37270"/>
    <cellStyle name="표준 6 2 2 3 4 2 2 3" xfId="18254"/>
    <cellStyle name="표준 6 2 2 3 4 2 2 3 2" xfId="43606"/>
    <cellStyle name="표준 6 2 2 3 4 2 2 4" xfId="30934"/>
    <cellStyle name="표준 6 2 2 3 4 2 2 5" xfId="55491"/>
    <cellStyle name="표준 6 2 2 3 4 2 3" xfId="8770"/>
    <cellStyle name="표준 6 2 2 3 4 2 3 2" xfId="21443"/>
    <cellStyle name="표준 6 2 2 3 4 2 3 2 2" xfId="46795"/>
    <cellStyle name="표준 6 2 2 3 4 2 3 3" xfId="34123"/>
    <cellStyle name="표준 6 2 2 3 4 2 4" xfId="15107"/>
    <cellStyle name="표준 6 2 2 3 4 2 4 2" xfId="40459"/>
    <cellStyle name="표준 6 2 2 3 4 2 5" xfId="27787"/>
    <cellStyle name="표준 6 2 2 3 4 2 6" xfId="55492"/>
    <cellStyle name="표준 6 2 2 3 4 3" xfId="5582"/>
    <cellStyle name="표준 6 2 2 3 4 3 2" xfId="11918"/>
    <cellStyle name="표준 6 2 2 3 4 3 2 2" xfId="24591"/>
    <cellStyle name="표준 6 2 2 3 4 3 2 2 2" xfId="49943"/>
    <cellStyle name="표준 6 2 2 3 4 3 2 3" xfId="37271"/>
    <cellStyle name="표준 6 2 2 3 4 3 3" xfId="18255"/>
    <cellStyle name="표준 6 2 2 3 4 3 3 2" xfId="43607"/>
    <cellStyle name="표준 6 2 2 3 4 3 4" xfId="30935"/>
    <cellStyle name="표준 6 2 2 3 4 3 5" xfId="55493"/>
    <cellStyle name="표준 6 2 2 3 4 4" xfId="8769"/>
    <cellStyle name="표준 6 2 2 3 4 4 2" xfId="21442"/>
    <cellStyle name="표준 6 2 2 3 4 4 2 2" xfId="46794"/>
    <cellStyle name="표준 6 2 2 3 4 4 3" xfId="34122"/>
    <cellStyle name="표준 6 2 2 3 4 5" xfId="15106"/>
    <cellStyle name="표준 6 2 2 3 4 5 2" xfId="40458"/>
    <cellStyle name="표준 6 2 2 3 4 6" xfId="27786"/>
    <cellStyle name="표준 6 2 2 3 4 7" xfId="55494"/>
    <cellStyle name="표준 6 2 2 3 5" xfId="2434"/>
    <cellStyle name="표준 6 2 2 3 5 2" xfId="2435"/>
    <cellStyle name="표준 6 2 2 3 5 2 2" xfId="5583"/>
    <cellStyle name="표준 6 2 2 3 5 2 2 2" xfId="11919"/>
    <cellStyle name="표준 6 2 2 3 5 2 2 2 2" xfId="24592"/>
    <cellStyle name="표준 6 2 2 3 5 2 2 2 2 2" xfId="49944"/>
    <cellStyle name="표준 6 2 2 3 5 2 2 2 3" xfId="37272"/>
    <cellStyle name="표준 6 2 2 3 5 2 2 3" xfId="18256"/>
    <cellStyle name="표준 6 2 2 3 5 2 2 3 2" xfId="43608"/>
    <cellStyle name="표준 6 2 2 3 5 2 2 4" xfId="30936"/>
    <cellStyle name="표준 6 2 2 3 5 2 2 5" xfId="55495"/>
    <cellStyle name="표준 6 2 2 3 5 2 3" xfId="8772"/>
    <cellStyle name="표준 6 2 2 3 5 2 3 2" xfId="21445"/>
    <cellStyle name="표준 6 2 2 3 5 2 3 2 2" xfId="46797"/>
    <cellStyle name="표준 6 2 2 3 5 2 3 3" xfId="34125"/>
    <cellStyle name="표준 6 2 2 3 5 2 4" xfId="15109"/>
    <cellStyle name="표준 6 2 2 3 5 2 4 2" xfId="40461"/>
    <cellStyle name="표준 6 2 2 3 5 2 5" xfId="27789"/>
    <cellStyle name="표준 6 2 2 3 5 2 6" xfId="55496"/>
    <cellStyle name="표준 6 2 2 3 5 3" xfId="5584"/>
    <cellStyle name="표준 6 2 2 3 5 3 2" xfId="11920"/>
    <cellStyle name="표준 6 2 2 3 5 3 2 2" xfId="24593"/>
    <cellStyle name="표준 6 2 2 3 5 3 2 2 2" xfId="49945"/>
    <cellStyle name="표준 6 2 2 3 5 3 2 3" xfId="37273"/>
    <cellStyle name="표준 6 2 2 3 5 3 3" xfId="18257"/>
    <cellStyle name="표준 6 2 2 3 5 3 3 2" xfId="43609"/>
    <cellStyle name="표준 6 2 2 3 5 3 4" xfId="30937"/>
    <cellStyle name="표준 6 2 2 3 5 3 5" xfId="55497"/>
    <cellStyle name="표준 6 2 2 3 5 4" xfId="8771"/>
    <cellStyle name="표준 6 2 2 3 5 4 2" xfId="21444"/>
    <cellStyle name="표준 6 2 2 3 5 4 2 2" xfId="46796"/>
    <cellStyle name="표준 6 2 2 3 5 4 3" xfId="34124"/>
    <cellStyle name="표준 6 2 2 3 5 5" xfId="15108"/>
    <cellStyle name="표준 6 2 2 3 5 5 2" xfId="40460"/>
    <cellStyle name="표준 6 2 2 3 5 6" xfId="27788"/>
    <cellStyle name="표준 6 2 2 3 5 7" xfId="55498"/>
    <cellStyle name="표준 6 2 2 3 6" xfId="2436"/>
    <cellStyle name="표준 6 2 2 3 6 2" xfId="2437"/>
    <cellStyle name="표준 6 2 2 3 6 2 2" xfId="5585"/>
    <cellStyle name="표준 6 2 2 3 6 2 2 2" xfId="11921"/>
    <cellStyle name="표준 6 2 2 3 6 2 2 2 2" xfId="24594"/>
    <cellStyle name="표준 6 2 2 3 6 2 2 2 2 2" xfId="49946"/>
    <cellStyle name="표준 6 2 2 3 6 2 2 2 3" xfId="37274"/>
    <cellStyle name="표준 6 2 2 3 6 2 2 3" xfId="18258"/>
    <cellStyle name="표준 6 2 2 3 6 2 2 3 2" xfId="43610"/>
    <cellStyle name="표준 6 2 2 3 6 2 2 4" xfId="30938"/>
    <cellStyle name="표준 6 2 2 3 6 2 2 5" xfId="55499"/>
    <cellStyle name="표준 6 2 2 3 6 2 3" xfId="8774"/>
    <cellStyle name="표준 6 2 2 3 6 2 3 2" xfId="21447"/>
    <cellStyle name="표준 6 2 2 3 6 2 3 2 2" xfId="46799"/>
    <cellStyle name="표준 6 2 2 3 6 2 3 3" xfId="34127"/>
    <cellStyle name="표준 6 2 2 3 6 2 4" xfId="15111"/>
    <cellStyle name="표준 6 2 2 3 6 2 4 2" xfId="40463"/>
    <cellStyle name="표준 6 2 2 3 6 2 5" xfId="27791"/>
    <cellStyle name="표준 6 2 2 3 6 2 6" xfId="55500"/>
    <cellStyle name="표준 6 2 2 3 6 3" xfId="5586"/>
    <cellStyle name="표준 6 2 2 3 6 3 2" xfId="11922"/>
    <cellStyle name="표준 6 2 2 3 6 3 2 2" xfId="24595"/>
    <cellStyle name="표준 6 2 2 3 6 3 2 2 2" xfId="49947"/>
    <cellStyle name="표준 6 2 2 3 6 3 2 3" xfId="37275"/>
    <cellStyle name="표준 6 2 2 3 6 3 3" xfId="18259"/>
    <cellStyle name="표준 6 2 2 3 6 3 3 2" xfId="43611"/>
    <cellStyle name="표준 6 2 2 3 6 3 4" xfId="30939"/>
    <cellStyle name="표준 6 2 2 3 6 3 5" xfId="55501"/>
    <cellStyle name="표준 6 2 2 3 6 4" xfId="8773"/>
    <cellStyle name="표준 6 2 2 3 6 4 2" xfId="21446"/>
    <cellStyle name="표준 6 2 2 3 6 4 2 2" xfId="46798"/>
    <cellStyle name="표준 6 2 2 3 6 4 3" xfId="34126"/>
    <cellStyle name="표준 6 2 2 3 6 5" xfId="15110"/>
    <cellStyle name="표준 6 2 2 3 6 5 2" xfId="40462"/>
    <cellStyle name="표준 6 2 2 3 6 6" xfId="27790"/>
    <cellStyle name="표준 6 2 2 3 6 7" xfId="55502"/>
    <cellStyle name="표준 6 2 2 3 7" xfId="2438"/>
    <cellStyle name="표준 6 2 2 3 7 2" xfId="2439"/>
    <cellStyle name="표준 6 2 2 3 7 2 2" xfId="5587"/>
    <cellStyle name="표준 6 2 2 3 7 2 2 2" xfId="11923"/>
    <cellStyle name="표준 6 2 2 3 7 2 2 2 2" xfId="24596"/>
    <cellStyle name="표준 6 2 2 3 7 2 2 2 2 2" xfId="49948"/>
    <cellStyle name="표준 6 2 2 3 7 2 2 2 3" xfId="37276"/>
    <cellStyle name="표준 6 2 2 3 7 2 2 3" xfId="18260"/>
    <cellStyle name="표준 6 2 2 3 7 2 2 3 2" xfId="43612"/>
    <cellStyle name="표준 6 2 2 3 7 2 2 4" xfId="30940"/>
    <cellStyle name="표준 6 2 2 3 7 2 2 5" xfId="55503"/>
    <cellStyle name="표준 6 2 2 3 7 2 3" xfId="8776"/>
    <cellStyle name="표준 6 2 2 3 7 2 3 2" xfId="21449"/>
    <cellStyle name="표준 6 2 2 3 7 2 3 2 2" xfId="46801"/>
    <cellStyle name="표준 6 2 2 3 7 2 3 3" xfId="34129"/>
    <cellStyle name="표준 6 2 2 3 7 2 4" xfId="15113"/>
    <cellStyle name="표준 6 2 2 3 7 2 4 2" xfId="40465"/>
    <cellStyle name="표준 6 2 2 3 7 2 5" xfId="27793"/>
    <cellStyle name="표준 6 2 2 3 7 2 6" xfId="55504"/>
    <cellStyle name="표준 6 2 2 3 7 3" xfId="5588"/>
    <cellStyle name="표준 6 2 2 3 7 3 2" xfId="11924"/>
    <cellStyle name="표준 6 2 2 3 7 3 2 2" xfId="24597"/>
    <cellStyle name="표준 6 2 2 3 7 3 2 2 2" xfId="49949"/>
    <cellStyle name="표준 6 2 2 3 7 3 2 3" xfId="37277"/>
    <cellStyle name="표준 6 2 2 3 7 3 3" xfId="18261"/>
    <cellStyle name="표준 6 2 2 3 7 3 3 2" xfId="43613"/>
    <cellStyle name="표준 6 2 2 3 7 3 4" xfId="30941"/>
    <cellStyle name="표준 6 2 2 3 7 3 5" xfId="55505"/>
    <cellStyle name="표준 6 2 2 3 7 4" xfId="8775"/>
    <cellStyle name="표준 6 2 2 3 7 4 2" xfId="21448"/>
    <cellStyle name="표준 6 2 2 3 7 4 2 2" xfId="46800"/>
    <cellStyle name="표준 6 2 2 3 7 4 3" xfId="34128"/>
    <cellStyle name="표준 6 2 2 3 7 5" xfId="15112"/>
    <cellStyle name="표준 6 2 2 3 7 5 2" xfId="40464"/>
    <cellStyle name="표준 6 2 2 3 7 6" xfId="27792"/>
    <cellStyle name="표준 6 2 2 3 7 7" xfId="55506"/>
    <cellStyle name="표준 6 2 2 3 8" xfId="2440"/>
    <cellStyle name="표준 6 2 2 3 8 2" xfId="2441"/>
    <cellStyle name="표준 6 2 2 3 8 2 2" xfId="5589"/>
    <cellStyle name="표준 6 2 2 3 8 2 2 2" xfId="11925"/>
    <cellStyle name="표준 6 2 2 3 8 2 2 2 2" xfId="24598"/>
    <cellStyle name="표준 6 2 2 3 8 2 2 2 2 2" xfId="49950"/>
    <cellStyle name="표준 6 2 2 3 8 2 2 2 3" xfId="37278"/>
    <cellStyle name="표준 6 2 2 3 8 2 2 3" xfId="18262"/>
    <cellStyle name="표준 6 2 2 3 8 2 2 3 2" xfId="43614"/>
    <cellStyle name="표준 6 2 2 3 8 2 2 4" xfId="30942"/>
    <cellStyle name="표준 6 2 2 3 8 2 2 5" xfId="55507"/>
    <cellStyle name="표준 6 2 2 3 8 2 3" xfId="8778"/>
    <cellStyle name="표준 6 2 2 3 8 2 3 2" xfId="21451"/>
    <cellStyle name="표준 6 2 2 3 8 2 3 2 2" xfId="46803"/>
    <cellStyle name="표준 6 2 2 3 8 2 3 3" xfId="34131"/>
    <cellStyle name="표준 6 2 2 3 8 2 4" xfId="15115"/>
    <cellStyle name="표준 6 2 2 3 8 2 4 2" xfId="40467"/>
    <cellStyle name="표준 6 2 2 3 8 2 5" xfId="27795"/>
    <cellStyle name="표준 6 2 2 3 8 2 6" xfId="55508"/>
    <cellStyle name="표준 6 2 2 3 8 3" xfId="5590"/>
    <cellStyle name="표준 6 2 2 3 8 3 2" xfId="11926"/>
    <cellStyle name="표준 6 2 2 3 8 3 2 2" xfId="24599"/>
    <cellStyle name="표준 6 2 2 3 8 3 2 2 2" xfId="49951"/>
    <cellStyle name="표준 6 2 2 3 8 3 2 3" xfId="37279"/>
    <cellStyle name="표준 6 2 2 3 8 3 3" xfId="18263"/>
    <cellStyle name="표준 6 2 2 3 8 3 3 2" xfId="43615"/>
    <cellStyle name="표준 6 2 2 3 8 3 4" xfId="30943"/>
    <cellStyle name="표준 6 2 2 3 8 3 5" xfId="55509"/>
    <cellStyle name="표준 6 2 2 3 8 4" xfId="8777"/>
    <cellStyle name="표준 6 2 2 3 8 4 2" xfId="21450"/>
    <cellStyle name="표준 6 2 2 3 8 4 2 2" xfId="46802"/>
    <cellStyle name="표준 6 2 2 3 8 4 3" xfId="34130"/>
    <cellStyle name="표준 6 2 2 3 8 5" xfId="15114"/>
    <cellStyle name="표준 6 2 2 3 8 5 2" xfId="40466"/>
    <cellStyle name="표준 6 2 2 3 8 6" xfId="27794"/>
    <cellStyle name="표준 6 2 2 3 8 7" xfId="55510"/>
    <cellStyle name="표준 6 2 2 3 9" xfId="2442"/>
    <cellStyle name="표준 6 2 2 3 9 2" xfId="2443"/>
    <cellStyle name="표준 6 2 2 3 9 2 2" xfId="5591"/>
    <cellStyle name="표준 6 2 2 3 9 2 2 2" xfId="11927"/>
    <cellStyle name="표준 6 2 2 3 9 2 2 2 2" xfId="24600"/>
    <cellStyle name="표준 6 2 2 3 9 2 2 2 2 2" xfId="49952"/>
    <cellStyle name="표준 6 2 2 3 9 2 2 2 3" xfId="37280"/>
    <cellStyle name="표준 6 2 2 3 9 2 2 3" xfId="18264"/>
    <cellStyle name="표준 6 2 2 3 9 2 2 3 2" xfId="43616"/>
    <cellStyle name="표준 6 2 2 3 9 2 2 4" xfId="30944"/>
    <cellStyle name="표준 6 2 2 3 9 2 2 5" xfId="55511"/>
    <cellStyle name="표준 6 2 2 3 9 2 3" xfId="8780"/>
    <cellStyle name="표준 6 2 2 3 9 2 3 2" xfId="21453"/>
    <cellStyle name="표준 6 2 2 3 9 2 3 2 2" xfId="46805"/>
    <cellStyle name="표준 6 2 2 3 9 2 3 3" xfId="34133"/>
    <cellStyle name="표준 6 2 2 3 9 2 4" xfId="15117"/>
    <cellStyle name="표준 6 2 2 3 9 2 4 2" xfId="40469"/>
    <cellStyle name="표준 6 2 2 3 9 2 5" xfId="27797"/>
    <cellStyle name="표준 6 2 2 3 9 2 6" xfId="55512"/>
    <cellStyle name="표준 6 2 2 3 9 3" xfId="5592"/>
    <cellStyle name="표준 6 2 2 3 9 3 2" xfId="11928"/>
    <cellStyle name="표준 6 2 2 3 9 3 2 2" xfId="24601"/>
    <cellStyle name="표준 6 2 2 3 9 3 2 2 2" xfId="49953"/>
    <cellStyle name="표준 6 2 2 3 9 3 2 3" xfId="37281"/>
    <cellStyle name="표준 6 2 2 3 9 3 3" xfId="18265"/>
    <cellStyle name="표준 6 2 2 3 9 3 3 2" xfId="43617"/>
    <cellStyle name="표준 6 2 2 3 9 3 4" xfId="30945"/>
    <cellStyle name="표준 6 2 2 3 9 3 5" xfId="55513"/>
    <cellStyle name="표준 6 2 2 3 9 4" xfId="8779"/>
    <cellStyle name="표준 6 2 2 3 9 4 2" xfId="21452"/>
    <cellStyle name="표준 6 2 2 3 9 4 2 2" xfId="46804"/>
    <cellStyle name="표준 6 2 2 3 9 4 3" xfId="34132"/>
    <cellStyle name="표준 6 2 2 3 9 5" xfId="15116"/>
    <cellStyle name="표준 6 2 2 3 9 5 2" xfId="40468"/>
    <cellStyle name="표준 6 2 2 3 9 6" xfId="27796"/>
    <cellStyle name="표준 6 2 2 3 9 7" xfId="55514"/>
    <cellStyle name="표준 6 2 2 30" xfId="2444"/>
    <cellStyle name="표준 6 2 2 30 2" xfId="2445"/>
    <cellStyle name="표준 6 2 2 30 2 2" xfId="5593"/>
    <cellStyle name="표준 6 2 2 30 2 2 2" xfId="11929"/>
    <cellStyle name="표준 6 2 2 30 2 2 2 2" xfId="24602"/>
    <cellStyle name="표준 6 2 2 30 2 2 2 2 2" xfId="49954"/>
    <cellStyle name="표준 6 2 2 30 2 2 2 3" xfId="37282"/>
    <cellStyle name="표준 6 2 2 30 2 2 3" xfId="18266"/>
    <cellStyle name="표준 6 2 2 30 2 2 3 2" xfId="43618"/>
    <cellStyle name="표준 6 2 2 30 2 2 4" xfId="30946"/>
    <cellStyle name="표준 6 2 2 30 2 2 5" xfId="55515"/>
    <cellStyle name="표준 6 2 2 30 2 3" xfId="8782"/>
    <cellStyle name="표준 6 2 2 30 2 3 2" xfId="21455"/>
    <cellStyle name="표준 6 2 2 30 2 3 2 2" xfId="46807"/>
    <cellStyle name="표준 6 2 2 30 2 3 3" xfId="34135"/>
    <cellStyle name="표준 6 2 2 30 2 4" xfId="15119"/>
    <cellStyle name="표준 6 2 2 30 2 4 2" xfId="40471"/>
    <cellStyle name="표준 6 2 2 30 2 5" xfId="27799"/>
    <cellStyle name="표준 6 2 2 30 2 6" xfId="55516"/>
    <cellStyle name="표준 6 2 2 30 3" xfId="5594"/>
    <cellStyle name="표준 6 2 2 30 3 2" xfId="11930"/>
    <cellStyle name="표준 6 2 2 30 3 2 2" xfId="24603"/>
    <cellStyle name="표준 6 2 2 30 3 2 2 2" xfId="49955"/>
    <cellStyle name="표준 6 2 2 30 3 2 3" xfId="37283"/>
    <cellStyle name="표준 6 2 2 30 3 3" xfId="18267"/>
    <cellStyle name="표준 6 2 2 30 3 3 2" xfId="43619"/>
    <cellStyle name="표준 6 2 2 30 3 4" xfId="30947"/>
    <cellStyle name="표준 6 2 2 30 3 5" xfId="55517"/>
    <cellStyle name="표준 6 2 2 30 4" xfId="8781"/>
    <cellStyle name="표준 6 2 2 30 4 2" xfId="21454"/>
    <cellStyle name="표준 6 2 2 30 4 2 2" xfId="46806"/>
    <cellStyle name="표준 6 2 2 30 4 3" xfId="34134"/>
    <cellStyle name="표준 6 2 2 30 5" xfId="15118"/>
    <cellStyle name="표준 6 2 2 30 5 2" xfId="40470"/>
    <cellStyle name="표준 6 2 2 30 6" xfId="27798"/>
    <cellStyle name="표준 6 2 2 30 7" xfId="55518"/>
    <cellStyle name="표준 6 2 2 31" xfId="2446"/>
    <cellStyle name="표준 6 2 2 31 2" xfId="2447"/>
    <cellStyle name="표준 6 2 2 31 2 2" xfId="5595"/>
    <cellStyle name="표준 6 2 2 31 2 2 2" xfId="11931"/>
    <cellStyle name="표준 6 2 2 31 2 2 2 2" xfId="24604"/>
    <cellStyle name="표준 6 2 2 31 2 2 2 2 2" xfId="49956"/>
    <cellStyle name="표준 6 2 2 31 2 2 2 3" xfId="37284"/>
    <cellStyle name="표준 6 2 2 31 2 2 3" xfId="18268"/>
    <cellStyle name="표준 6 2 2 31 2 2 3 2" xfId="43620"/>
    <cellStyle name="표준 6 2 2 31 2 2 4" xfId="30948"/>
    <cellStyle name="표준 6 2 2 31 2 2 5" xfId="55519"/>
    <cellStyle name="표준 6 2 2 31 2 3" xfId="8784"/>
    <cellStyle name="표준 6 2 2 31 2 3 2" xfId="21457"/>
    <cellStyle name="표준 6 2 2 31 2 3 2 2" xfId="46809"/>
    <cellStyle name="표준 6 2 2 31 2 3 3" xfId="34137"/>
    <cellStyle name="표준 6 2 2 31 2 4" xfId="15121"/>
    <cellStyle name="표준 6 2 2 31 2 4 2" xfId="40473"/>
    <cellStyle name="표준 6 2 2 31 2 5" xfId="27801"/>
    <cellStyle name="표준 6 2 2 31 2 6" xfId="55520"/>
    <cellStyle name="표준 6 2 2 31 3" xfId="5596"/>
    <cellStyle name="표준 6 2 2 31 3 2" xfId="11932"/>
    <cellStyle name="표준 6 2 2 31 3 2 2" xfId="24605"/>
    <cellStyle name="표준 6 2 2 31 3 2 2 2" xfId="49957"/>
    <cellStyle name="표준 6 2 2 31 3 2 3" xfId="37285"/>
    <cellStyle name="표준 6 2 2 31 3 3" xfId="18269"/>
    <cellStyle name="표준 6 2 2 31 3 3 2" xfId="43621"/>
    <cellStyle name="표준 6 2 2 31 3 4" xfId="30949"/>
    <cellStyle name="표준 6 2 2 31 3 5" xfId="55521"/>
    <cellStyle name="표준 6 2 2 31 4" xfId="8783"/>
    <cellStyle name="표준 6 2 2 31 4 2" xfId="21456"/>
    <cellStyle name="표준 6 2 2 31 4 2 2" xfId="46808"/>
    <cellStyle name="표준 6 2 2 31 4 3" xfId="34136"/>
    <cellStyle name="표준 6 2 2 31 5" xfId="15120"/>
    <cellStyle name="표준 6 2 2 31 5 2" xfId="40472"/>
    <cellStyle name="표준 6 2 2 31 6" xfId="27800"/>
    <cellStyle name="표준 6 2 2 31 7" xfId="55522"/>
    <cellStyle name="표준 6 2 2 32" xfId="2448"/>
    <cellStyle name="표준 6 2 2 32 2" xfId="2449"/>
    <cellStyle name="표준 6 2 2 32 2 2" xfId="5597"/>
    <cellStyle name="표준 6 2 2 32 2 2 2" xfId="11933"/>
    <cellStyle name="표준 6 2 2 32 2 2 2 2" xfId="24606"/>
    <cellStyle name="표준 6 2 2 32 2 2 2 2 2" xfId="49958"/>
    <cellStyle name="표준 6 2 2 32 2 2 2 3" xfId="37286"/>
    <cellStyle name="표준 6 2 2 32 2 2 3" xfId="18270"/>
    <cellStyle name="표준 6 2 2 32 2 2 3 2" xfId="43622"/>
    <cellStyle name="표준 6 2 2 32 2 2 4" xfId="30950"/>
    <cellStyle name="표준 6 2 2 32 2 2 5" xfId="55523"/>
    <cellStyle name="표준 6 2 2 32 2 3" xfId="8786"/>
    <cellStyle name="표준 6 2 2 32 2 3 2" xfId="21459"/>
    <cellStyle name="표준 6 2 2 32 2 3 2 2" xfId="46811"/>
    <cellStyle name="표준 6 2 2 32 2 3 3" xfId="34139"/>
    <cellStyle name="표준 6 2 2 32 2 4" xfId="15123"/>
    <cellStyle name="표준 6 2 2 32 2 4 2" xfId="40475"/>
    <cellStyle name="표준 6 2 2 32 2 5" xfId="27803"/>
    <cellStyle name="표준 6 2 2 32 2 6" xfId="55524"/>
    <cellStyle name="표준 6 2 2 32 3" xfId="5598"/>
    <cellStyle name="표준 6 2 2 32 3 2" xfId="11934"/>
    <cellStyle name="표준 6 2 2 32 3 2 2" xfId="24607"/>
    <cellStyle name="표준 6 2 2 32 3 2 2 2" xfId="49959"/>
    <cellStyle name="표준 6 2 2 32 3 2 3" xfId="37287"/>
    <cellStyle name="표준 6 2 2 32 3 3" xfId="18271"/>
    <cellStyle name="표준 6 2 2 32 3 3 2" xfId="43623"/>
    <cellStyle name="표준 6 2 2 32 3 4" xfId="30951"/>
    <cellStyle name="표준 6 2 2 32 3 5" xfId="55525"/>
    <cellStyle name="표준 6 2 2 32 4" xfId="8785"/>
    <cellStyle name="표준 6 2 2 32 4 2" xfId="21458"/>
    <cellStyle name="표준 6 2 2 32 4 2 2" xfId="46810"/>
    <cellStyle name="표준 6 2 2 32 4 3" xfId="34138"/>
    <cellStyle name="표준 6 2 2 32 5" xfId="15122"/>
    <cellStyle name="표준 6 2 2 32 5 2" xfId="40474"/>
    <cellStyle name="표준 6 2 2 32 6" xfId="27802"/>
    <cellStyle name="표준 6 2 2 32 7" xfId="55526"/>
    <cellStyle name="표준 6 2 2 33" xfId="2450"/>
    <cellStyle name="표준 6 2 2 33 2" xfId="2451"/>
    <cellStyle name="표준 6 2 2 33 2 2" xfId="5599"/>
    <cellStyle name="표준 6 2 2 33 2 2 2" xfId="11935"/>
    <cellStyle name="표준 6 2 2 33 2 2 2 2" xfId="24608"/>
    <cellStyle name="표준 6 2 2 33 2 2 2 2 2" xfId="49960"/>
    <cellStyle name="표준 6 2 2 33 2 2 2 3" xfId="37288"/>
    <cellStyle name="표준 6 2 2 33 2 2 3" xfId="18272"/>
    <cellStyle name="표준 6 2 2 33 2 2 3 2" xfId="43624"/>
    <cellStyle name="표준 6 2 2 33 2 2 4" xfId="30952"/>
    <cellStyle name="표준 6 2 2 33 2 2 5" xfId="55527"/>
    <cellStyle name="표준 6 2 2 33 2 3" xfId="8788"/>
    <cellStyle name="표준 6 2 2 33 2 3 2" xfId="21461"/>
    <cellStyle name="표준 6 2 2 33 2 3 2 2" xfId="46813"/>
    <cellStyle name="표준 6 2 2 33 2 3 3" xfId="34141"/>
    <cellStyle name="표준 6 2 2 33 2 4" xfId="15125"/>
    <cellStyle name="표준 6 2 2 33 2 4 2" xfId="40477"/>
    <cellStyle name="표준 6 2 2 33 2 5" xfId="27805"/>
    <cellStyle name="표준 6 2 2 33 2 6" xfId="55528"/>
    <cellStyle name="표준 6 2 2 33 3" xfId="5600"/>
    <cellStyle name="표준 6 2 2 33 3 2" xfId="11936"/>
    <cellStyle name="표준 6 2 2 33 3 2 2" xfId="24609"/>
    <cellStyle name="표준 6 2 2 33 3 2 2 2" xfId="49961"/>
    <cellStyle name="표준 6 2 2 33 3 2 3" xfId="37289"/>
    <cellStyle name="표준 6 2 2 33 3 3" xfId="18273"/>
    <cellStyle name="표준 6 2 2 33 3 3 2" xfId="43625"/>
    <cellStyle name="표준 6 2 2 33 3 4" xfId="30953"/>
    <cellStyle name="표준 6 2 2 33 3 5" xfId="55529"/>
    <cellStyle name="표준 6 2 2 33 4" xfId="8787"/>
    <cellStyle name="표준 6 2 2 33 4 2" xfId="21460"/>
    <cellStyle name="표준 6 2 2 33 4 2 2" xfId="46812"/>
    <cellStyle name="표준 6 2 2 33 4 3" xfId="34140"/>
    <cellStyle name="표준 6 2 2 33 5" xfId="15124"/>
    <cellStyle name="표준 6 2 2 33 5 2" xfId="40476"/>
    <cellStyle name="표준 6 2 2 33 6" xfId="27804"/>
    <cellStyle name="표준 6 2 2 33 7" xfId="55530"/>
    <cellStyle name="표준 6 2 2 34" xfId="2452"/>
    <cellStyle name="표준 6 2 2 34 2" xfId="2453"/>
    <cellStyle name="표준 6 2 2 34 2 2" xfId="5601"/>
    <cellStyle name="표준 6 2 2 34 2 2 2" xfId="11937"/>
    <cellStyle name="표준 6 2 2 34 2 2 2 2" xfId="24610"/>
    <cellStyle name="표준 6 2 2 34 2 2 2 2 2" xfId="49962"/>
    <cellStyle name="표준 6 2 2 34 2 2 2 3" xfId="37290"/>
    <cellStyle name="표준 6 2 2 34 2 2 3" xfId="18274"/>
    <cellStyle name="표준 6 2 2 34 2 2 3 2" xfId="43626"/>
    <cellStyle name="표준 6 2 2 34 2 2 4" xfId="30954"/>
    <cellStyle name="표준 6 2 2 34 2 2 5" xfId="55531"/>
    <cellStyle name="표준 6 2 2 34 2 3" xfId="8790"/>
    <cellStyle name="표준 6 2 2 34 2 3 2" xfId="21463"/>
    <cellStyle name="표준 6 2 2 34 2 3 2 2" xfId="46815"/>
    <cellStyle name="표준 6 2 2 34 2 3 3" xfId="34143"/>
    <cellStyle name="표준 6 2 2 34 2 4" xfId="15127"/>
    <cellStyle name="표준 6 2 2 34 2 4 2" xfId="40479"/>
    <cellStyle name="표준 6 2 2 34 2 5" xfId="27807"/>
    <cellStyle name="표준 6 2 2 34 2 6" xfId="55532"/>
    <cellStyle name="표준 6 2 2 34 3" xfId="5602"/>
    <cellStyle name="표준 6 2 2 34 3 2" xfId="11938"/>
    <cellStyle name="표준 6 2 2 34 3 2 2" xfId="24611"/>
    <cellStyle name="표준 6 2 2 34 3 2 2 2" xfId="49963"/>
    <cellStyle name="표준 6 2 2 34 3 2 3" xfId="37291"/>
    <cellStyle name="표준 6 2 2 34 3 3" xfId="18275"/>
    <cellStyle name="표준 6 2 2 34 3 3 2" xfId="43627"/>
    <cellStyle name="표준 6 2 2 34 3 4" xfId="30955"/>
    <cellStyle name="표준 6 2 2 34 3 5" xfId="55533"/>
    <cellStyle name="표준 6 2 2 34 4" xfId="8789"/>
    <cellStyle name="표준 6 2 2 34 4 2" xfId="21462"/>
    <cellStyle name="표준 6 2 2 34 4 2 2" xfId="46814"/>
    <cellStyle name="표준 6 2 2 34 4 3" xfId="34142"/>
    <cellStyle name="표준 6 2 2 34 5" xfId="15126"/>
    <cellStyle name="표준 6 2 2 34 5 2" xfId="40478"/>
    <cellStyle name="표준 6 2 2 34 6" xfId="27806"/>
    <cellStyle name="표준 6 2 2 34 7" xfId="55534"/>
    <cellStyle name="표준 6 2 2 35" xfId="2454"/>
    <cellStyle name="표준 6 2 2 35 2" xfId="2455"/>
    <cellStyle name="표준 6 2 2 35 2 2" xfId="5603"/>
    <cellStyle name="표준 6 2 2 35 2 2 2" xfId="11939"/>
    <cellStyle name="표준 6 2 2 35 2 2 2 2" xfId="24612"/>
    <cellStyle name="표준 6 2 2 35 2 2 2 2 2" xfId="49964"/>
    <cellStyle name="표준 6 2 2 35 2 2 2 3" xfId="37292"/>
    <cellStyle name="표준 6 2 2 35 2 2 3" xfId="18276"/>
    <cellStyle name="표준 6 2 2 35 2 2 3 2" xfId="43628"/>
    <cellStyle name="표준 6 2 2 35 2 2 4" xfId="30956"/>
    <cellStyle name="표준 6 2 2 35 2 2 5" xfId="55535"/>
    <cellStyle name="표준 6 2 2 35 2 3" xfId="8792"/>
    <cellStyle name="표준 6 2 2 35 2 3 2" xfId="21465"/>
    <cellStyle name="표준 6 2 2 35 2 3 2 2" xfId="46817"/>
    <cellStyle name="표준 6 2 2 35 2 3 3" xfId="34145"/>
    <cellStyle name="표준 6 2 2 35 2 4" xfId="15129"/>
    <cellStyle name="표준 6 2 2 35 2 4 2" xfId="40481"/>
    <cellStyle name="표준 6 2 2 35 2 5" xfId="27809"/>
    <cellStyle name="표준 6 2 2 35 2 6" xfId="55536"/>
    <cellStyle name="표준 6 2 2 35 3" xfId="5604"/>
    <cellStyle name="표준 6 2 2 35 3 2" xfId="11940"/>
    <cellStyle name="표준 6 2 2 35 3 2 2" xfId="24613"/>
    <cellStyle name="표준 6 2 2 35 3 2 2 2" xfId="49965"/>
    <cellStyle name="표준 6 2 2 35 3 2 3" xfId="37293"/>
    <cellStyle name="표준 6 2 2 35 3 3" xfId="18277"/>
    <cellStyle name="표준 6 2 2 35 3 3 2" xfId="43629"/>
    <cellStyle name="표준 6 2 2 35 3 4" xfId="30957"/>
    <cellStyle name="표준 6 2 2 35 3 5" xfId="55537"/>
    <cellStyle name="표준 6 2 2 35 4" xfId="8791"/>
    <cellStyle name="표준 6 2 2 35 4 2" xfId="21464"/>
    <cellStyle name="표준 6 2 2 35 4 2 2" xfId="46816"/>
    <cellStyle name="표준 6 2 2 35 4 3" xfId="34144"/>
    <cellStyle name="표준 6 2 2 35 5" xfId="15128"/>
    <cellStyle name="표준 6 2 2 35 5 2" xfId="40480"/>
    <cellStyle name="표준 6 2 2 35 6" xfId="27808"/>
    <cellStyle name="표준 6 2 2 35 7" xfId="55538"/>
    <cellStyle name="표준 6 2 2 36" xfId="2456"/>
    <cellStyle name="표준 6 2 2 36 2" xfId="5605"/>
    <cellStyle name="표준 6 2 2 36 2 2" xfId="11941"/>
    <cellStyle name="표준 6 2 2 36 2 2 2" xfId="24614"/>
    <cellStyle name="표준 6 2 2 36 2 2 2 2" xfId="49966"/>
    <cellStyle name="표준 6 2 2 36 2 2 3" xfId="37294"/>
    <cellStyle name="표준 6 2 2 36 2 3" xfId="18278"/>
    <cellStyle name="표준 6 2 2 36 2 3 2" xfId="43630"/>
    <cellStyle name="표준 6 2 2 36 2 4" xfId="30958"/>
    <cellStyle name="표준 6 2 2 36 2 5" xfId="55539"/>
    <cellStyle name="표준 6 2 2 36 3" xfId="8793"/>
    <cellStyle name="표준 6 2 2 36 3 2" xfId="21466"/>
    <cellStyle name="표준 6 2 2 36 3 2 2" xfId="46818"/>
    <cellStyle name="표준 6 2 2 36 3 3" xfId="34146"/>
    <cellStyle name="표준 6 2 2 36 4" xfId="15130"/>
    <cellStyle name="표준 6 2 2 36 4 2" xfId="40482"/>
    <cellStyle name="표준 6 2 2 36 5" xfId="27810"/>
    <cellStyle name="표준 6 2 2 36 6" xfId="55540"/>
    <cellStyle name="표준 6 2 2 37" xfId="5606"/>
    <cellStyle name="표준 6 2 2 37 2" xfId="11942"/>
    <cellStyle name="표준 6 2 2 37 2 2" xfId="24615"/>
    <cellStyle name="표준 6 2 2 37 2 2 2" xfId="49967"/>
    <cellStyle name="표준 6 2 2 37 2 3" xfId="37295"/>
    <cellStyle name="표준 6 2 2 37 3" xfId="18279"/>
    <cellStyle name="표준 6 2 2 37 3 2" xfId="43631"/>
    <cellStyle name="표준 6 2 2 37 4" xfId="30959"/>
    <cellStyle name="표준 6 2 2 37 5" xfId="55541"/>
    <cellStyle name="표준 6 2 2 38" xfId="6382"/>
    <cellStyle name="표준 6 2 2 38 2" xfId="19055"/>
    <cellStyle name="표준 6 2 2 38 2 2" xfId="44407"/>
    <cellStyle name="표준 6 2 2 38 3" xfId="31735"/>
    <cellStyle name="표준 6 2 2 39" xfId="12719"/>
    <cellStyle name="표준 6 2 2 39 2" xfId="38071"/>
    <cellStyle name="표준 6 2 2 4" xfId="92"/>
    <cellStyle name="표준 6 2 2 4 2" xfId="2457"/>
    <cellStyle name="표준 6 2 2 4 2 2" xfId="5607"/>
    <cellStyle name="표준 6 2 2 4 2 2 2" xfId="11943"/>
    <cellStyle name="표준 6 2 2 4 2 2 2 2" xfId="24616"/>
    <cellStyle name="표준 6 2 2 4 2 2 2 2 2" xfId="49968"/>
    <cellStyle name="표준 6 2 2 4 2 2 2 3" xfId="37296"/>
    <cellStyle name="표준 6 2 2 4 2 2 3" xfId="18280"/>
    <cellStyle name="표준 6 2 2 4 2 2 3 2" xfId="43632"/>
    <cellStyle name="표준 6 2 2 4 2 2 4" xfId="30960"/>
    <cellStyle name="표준 6 2 2 4 2 2 5" xfId="55542"/>
    <cellStyle name="표준 6 2 2 4 2 3" xfId="8794"/>
    <cellStyle name="표준 6 2 2 4 2 3 2" xfId="21467"/>
    <cellStyle name="표준 6 2 2 4 2 3 2 2" xfId="46819"/>
    <cellStyle name="표준 6 2 2 4 2 3 3" xfId="34147"/>
    <cellStyle name="표준 6 2 2 4 2 4" xfId="15131"/>
    <cellStyle name="표준 6 2 2 4 2 4 2" xfId="40483"/>
    <cellStyle name="표준 6 2 2 4 2 5" xfId="27811"/>
    <cellStyle name="표준 6 2 2 4 2 6" xfId="55543"/>
    <cellStyle name="표준 6 2 2 4 3" xfId="5608"/>
    <cellStyle name="표준 6 2 2 4 3 2" xfId="11944"/>
    <cellStyle name="표준 6 2 2 4 3 2 2" xfId="24617"/>
    <cellStyle name="표준 6 2 2 4 3 2 2 2" xfId="49969"/>
    <cellStyle name="표준 6 2 2 4 3 2 3" xfId="37297"/>
    <cellStyle name="표준 6 2 2 4 3 3" xfId="18281"/>
    <cellStyle name="표준 6 2 2 4 3 3 2" xfId="43633"/>
    <cellStyle name="표준 6 2 2 4 3 4" xfId="30961"/>
    <cellStyle name="표준 6 2 2 4 3 5" xfId="55544"/>
    <cellStyle name="표준 6 2 2 4 4" xfId="6430"/>
    <cellStyle name="표준 6 2 2 4 4 2" xfId="19103"/>
    <cellStyle name="표준 6 2 2 4 4 2 2" xfId="44455"/>
    <cellStyle name="표준 6 2 2 4 4 3" xfId="31783"/>
    <cellStyle name="표준 6 2 2 4 5" xfId="12767"/>
    <cellStyle name="표준 6 2 2 4 5 2" xfId="38119"/>
    <cellStyle name="표준 6 2 2 4 6" xfId="25447"/>
    <cellStyle name="표준 6 2 2 4 7" xfId="55545"/>
    <cellStyle name="표준 6 2 2 40" xfId="25399"/>
    <cellStyle name="표준 6 2 2 41" xfId="55546"/>
    <cellStyle name="표준 6 2 2 5" xfId="2458"/>
    <cellStyle name="표준 6 2 2 5 2" xfId="2459"/>
    <cellStyle name="표준 6 2 2 5 2 2" xfId="5609"/>
    <cellStyle name="표준 6 2 2 5 2 2 2" xfId="11945"/>
    <cellStyle name="표준 6 2 2 5 2 2 2 2" xfId="24618"/>
    <cellStyle name="표준 6 2 2 5 2 2 2 2 2" xfId="49970"/>
    <cellStyle name="표준 6 2 2 5 2 2 2 3" xfId="37298"/>
    <cellStyle name="표준 6 2 2 5 2 2 3" xfId="18282"/>
    <cellStyle name="표준 6 2 2 5 2 2 3 2" xfId="43634"/>
    <cellStyle name="표준 6 2 2 5 2 2 4" xfId="30962"/>
    <cellStyle name="표준 6 2 2 5 2 2 5" xfId="55547"/>
    <cellStyle name="표준 6 2 2 5 2 3" xfId="8796"/>
    <cellStyle name="표준 6 2 2 5 2 3 2" xfId="21469"/>
    <cellStyle name="표준 6 2 2 5 2 3 2 2" xfId="46821"/>
    <cellStyle name="표준 6 2 2 5 2 3 3" xfId="34149"/>
    <cellStyle name="표준 6 2 2 5 2 4" xfId="15133"/>
    <cellStyle name="표준 6 2 2 5 2 4 2" xfId="40485"/>
    <cellStyle name="표준 6 2 2 5 2 5" xfId="27813"/>
    <cellStyle name="표준 6 2 2 5 2 6" xfId="55548"/>
    <cellStyle name="표준 6 2 2 5 3" xfId="5610"/>
    <cellStyle name="표준 6 2 2 5 3 2" xfId="11946"/>
    <cellStyle name="표준 6 2 2 5 3 2 2" xfId="24619"/>
    <cellStyle name="표준 6 2 2 5 3 2 2 2" xfId="49971"/>
    <cellStyle name="표준 6 2 2 5 3 2 3" xfId="37299"/>
    <cellStyle name="표준 6 2 2 5 3 3" xfId="18283"/>
    <cellStyle name="표준 6 2 2 5 3 3 2" xfId="43635"/>
    <cellStyle name="표준 6 2 2 5 3 4" xfId="30963"/>
    <cellStyle name="표준 6 2 2 5 3 5" xfId="55549"/>
    <cellStyle name="표준 6 2 2 5 4" xfId="8795"/>
    <cellStyle name="표준 6 2 2 5 4 2" xfId="21468"/>
    <cellStyle name="표준 6 2 2 5 4 2 2" xfId="46820"/>
    <cellStyle name="표준 6 2 2 5 4 3" xfId="34148"/>
    <cellStyle name="표준 6 2 2 5 5" xfId="15132"/>
    <cellStyle name="표준 6 2 2 5 5 2" xfId="40484"/>
    <cellStyle name="표준 6 2 2 5 6" xfId="27812"/>
    <cellStyle name="표준 6 2 2 5 7" xfId="55550"/>
    <cellStyle name="표준 6 2 2 6" xfId="2460"/>
    <cellStyle name="표준 6 2 2 6 2" xfId="2461"/>
    <cellStyle name="표준 6 2 2 6 2 2" xfId="5611"/>
    <cellStyle name="표준 6 2 2 6 2 2 2" xfId="11947"/>
    <cellStyle name="표준 6 2 2 6 2 2 2 2" xfId="24620"/>
    <cellStyle name="표준 6 2 2 6 2 2 2 2 2" xfId="49972"/>
    <cellStyle name="표준 6 2 2 6 2 2 2 3" xfId="37300"/>
    <cellStyle name="표준 6 2 2 6 2 2 3" xfId="18284"/>
    <cellStyle name="표준 6 2 2 6 2 2 3 2" xfId="43636"/>
    <cellStyle name="표준 6 2 2 6 2 2 4" xfId="30964"/>
    <cellStyle name="표준 6 2 2 6 2 2 5" xfId="55551"/>
    <cellStyle name="표준 6 2 2 6 2 3" xfId="8798"/>
    <cellStyle name="표준 6 2 2 6 2 3 2" xfId="21471"/>
    <cellStyle name="표준 6 2 2 6 2 3 2 2" xfId="46823"/>
    <cellStyle name="표준 6 2 2 6 2 3 3" xfId="34151"/>
    <cellStyle name="표준 6 2 2 6 2 4" xfId="15135"/>
    <cellStyle name="표준 6 2 2 6 2 4 2" xfId="40487"/>
    <cellStyle name="표준 6 2 2 6 2 5" xfId="27815"/>
    <cellStyle name="표준 6 2 2 6 2 6" xfId="55552"/>
    <cellStyle name="표준 6 2 2 6 3" xfId="5612"/>
    <cellStyle name="표준 6 2 2 6 3 2" xfId="11948"/>
    <cellStyle name="표준 6 2 2 6 3 2 2" xfId="24621"/>
    <cellStyle name="표준 6 2 2 6 3 2 2 2" xfId="49973"/>
    <cellStyle name="표준 6 2 2 6 3 2 3" xfId="37301"/>
    <cellStyle name="표준 6 2 2 6 3 3" xfId="18285"/>
    <cellStyle name="표준 6 2 2 6 3 3 2" xfId="43637"/>
    <cellStyle name="표준 6 2 2 6 3 4" xfId="30965"/>
    <cellStyle name="표준 6 2 2 6 3 5" xfId="55553"/>
    <cellStyle name="표준 6 2 2 6 4" xfId="8797"/>
    <cellStyle name="표준 6 2 2 6 4 2" xfId="21470"/>
    <cellStyle name="표준 6 2 2 6 4 2 2" xfId="46822"/>
    <cellStyle name="표준 6 2 2 6 4 3" xfId="34150"/>
    <cellStyle name="표준 6 2 2 6 5" xfId="15134"/>
    <cellStyle name="표준 6 2 2 6 5 2" xfId="40486"/>
    <cellStyle name="표준 6 2 2 6 6" xfId="27814"/>
    <cellStyle name="표준 6 2 2 6 7" xfId="55554"/>
    <cellStyle name="표준 6 2 2 7" xfId="2462"/>
    <cellStyle name="표준 6 2 2 7 2" xfId="2463"/>
    <cellStyle name="표준 6 2 2 7 2 2" xfId="5613"/>
    <cellStyle name="표준 6 2 2 7 2 2 2" xfId="11949"/>
    <cellStyle name="표준 6 2 2 7 2 2 2 2" xfId="24622"/>
    <cellStyle name="표준 6 2 2 7 2 2 2 2 2" xfId="49974"/>
    <cellStyle name="표준 6 2 2 7 2 2 2 3" xfId="37302"/>
    <cellStyle name="표준 6 2 2 7 2 2 3" xfId="18286"/>
    <cellStyle name="표준 6 2 2 7 2 2 3 2" xfId="43638"/>
    <cellStyle name="표준 6 2 2 7 2 2 4" xfId="30966"/>
    <cellStyle name="표준 6 2 2 7 2 2 5" xfId="55555"/>
    <cellStyle name="표준 6 2 2 7 2 3" xfId="8800"/>
    <cellStyle name="표준 6 2 2 7 2 3 2" xfId="21473"/>
    <cellStyle name="표준 6 2 2 7 2 3 2 2" xfId="46825"/>
    <cellStyle name="표준 6 2 2 7 2 3 3" xfId="34153"/>
    <cellStyle name="표준 6 2 2 7 2 4" xfId="15137"/>
    <cellStyle name="표준 6 2 2 7 2 4 2" xfId="40489"/>
    <cellStyle name="표준 6 2 2 7 2 5" xfId="27817"/>
    <cellStyle name="표준 6 2 2 7 2 6" xfId="55556"/>
    <cellStyle name="표준 6 2 2 7 3" xfId="5614"/>
    <cellStyle name="표준 6 2 2 7 3 2" xfId="11950"/>
    <cellStyle name="표준 6 2 2 7 3 2 2" xfId="24623"/>
    <cellStyle name="표준 6 2 2 7 3 2 2 2" xfId="49975"/>
    <cellStyle name="표준 6 2 2 7 3 2 3" xfId="37303"/>
    <cellStyle name="표준 6 2 2 7 3 3" xfId="18287"/>
    <cellStyle name="표준 6 2 2 7 3 3 2" xfId="43639"/>
    <cellStyle name="표준 6 2 2 7 3 4" xfId="30967"/>
    <cellStyle name="표준 6 2 2 7 3 5" xfId="55557"/>
    <cellStyle name="표준 6 2 2 7 4" xfId="8799"/>
    <cellStyle name="표준 6 2 2 7 4 2" xfId="21472"/>
    <cellStyle name="표준 6 2 2 7 4 2 2" xfId="46824"/>
    <cellStyle name="표준 6 2 2 7 4 3" xfId="34152"/>
    <cellStyle name="표준 6 2 2 7 5" xfId="15136"/>
    <cellStyle name="표준 6 2 2 7 5 2" xfId="40488"/>
    <cellStyle name="표준 6 2 2 7 6" xfId="27816"/>
    <cellStyle name="표준 6 2 2 7 7" xfId="55558"/>
    <cellStyle name="표준 6 2 2 8" xfId="2464"/>
    <cellStyle name="표준 6 2 2 8 2" xfId="2465"/>
    <cellStyle name="표준 6 2 2 8 2 2" xfId="5615"/>
    <cellStyle name="표준 6 2 2 8 2 2 2" xfId="11951"/>
    <cellStyle name="표준 6 2 2 8 2 2 2 2" xfId="24624"/>
    <cellStyle name="표준 6 2 2 8 2 2 2 2 2" xfId="49976"/>
    <cellStyle name="표준 6 2 2 8 2 2 2 3" xfId="37304"/>
    <cellStyle name="표준 6 2 2 8 2 2 3" xfId="18288"/>
    <cellStyle name="표준 6 2 2 8 2 2 3 2" xfId="43640"/>
    <cellStyle name="표준 6 2 2 8 2 2 4" xfId="30968"/>
    <cellStyle name="표준 6 2 2 8 2 2 5" xfId="55559"/>
    <cellStyle name="표준 6 2 2 8 2 3" xfId="8802"/>
    <cellStyle name="표준 6 2 2 8 2 3 2" xfId="21475"/>
    <cellStyle name="표준 6 2 2 8 2 3 2 2" xfId="46827"/>
    <cellStyle name="표준 6 2 2 8 2 3 3" xfId="34155"/>
    <cellStyle name="표준 6 2 2 8 2 4" xfId="15139"/>
    <cellStyle name="표준 6 2 2 8 2 4 2" xfId="40491"/>
    <cellStyle name="표준 6 2 2 8 2 5" xfId="27819"/>
    <cellStyle name="표준 6 2 2 8 2 6" xfId="55560"/>
    <cellStyle name="표준 6 2 2 8 3" xfId="5616"/>
    <cellStyle name="표준 6 2 2 8 3 2" xfId="11952"/>
    <cellStyle name="표준 6 2 2 8 3 2 2" xfId="24625"/>
    <cellStyle name="표준 6 2 2 8 3 2 2 2" xfId="49977"/>
    <cellStyle name="표준 6 2 2 8 3 2 3" xfId="37305"/>
    <cellStyle name="표준 6 2 2 8 3 3" xfId="18289"/>
    <cellStyle name="표준 6 2 2 8 3 3 2" xfId="43641"/>
    <cellStyle name="표준 6 2 2 8 3 4" xfId="30969"/>
    <cellStyle name="표준 6 2 2 8 3 5" xfId="55561"/>
    <cellStyle name="표준 6 2 2 8 4" xfId="8801"/>
    <cellStyle name="표준 6 2 2 8 4 2" xfId="21474"/>
    <cellStyle name="표준 6 2 2 8 4 2 2" xfId="46826"/>
    <cellStyle name="표준 6 2 2 8 4 3" xfId="34154"/>
    <cellStyle name="표준 6 2 2 8 5" xfId="15138"/>
    <cellStyle name="표준 6 2 2 8 5 2" xfId="40490"/>
    <cellStyle name="표준 6 2 2 8 6" xfId="27818"/>
    <cellStyle name="표준 6 2 2 8 7" xfId="55562"/>
    <cellStyle name="표준 6 2 2 9" xfId="2466"/>
    <cellStyle name="표준 6 2 2 9 2" xfId="2467"/>
    <cellStyle name="표준 6 2 2 9 2 2" xfId="5617"/>
    <cellStyle name="표준 6 2 2 9 2 2 2" xfId="11953"/>
    <cellStyle name="표준 6 2 2 9 2 2 2 2" xfId="24626"/>
    <cellStyle name="표준 6 2 2 9 2 2 2 2 2" xfId="49978"/>
    <cellStyle name="표준 6 2 2 9 2 2 2 3" xfId="37306"/>
    <cellStyle name="표준 6 2 2 9 2 2 3" xfId="18290"/>
    <cellStyle name="표준 6 2 2 9 2 2 3 2" xfId="43642"/>
    <cellStyle name="표준 6 2 2 9 2 2 4" xfId="30970"/>
    <cellStyle name="표준 6 2 2 9 2 2 5" xfId="55563"/>
    <cellStyle name="표준 6 2 2 9 2 3" xfId="8804"/>
    <cellStyle name="표준 6 2 2 9 2 3 2" xfId="21477"/>
    <cellStyle name="표준 6 2 2 9 2 3 2 2" xfId="46829"/>
    <cellStyle name="표준 6 2 2 9 2 3 3" xfId="34157"/>
    <cellStyle name="표준 6 2 2 9 2 4" xfId="15141"/>
    <cellStyle name="표준 6 2 2 9 2 4 2" xfId="40493"/>
    <cellStyle name="표준 6 2 2 9 2 5" xfId="27821"/>
    <cellStyle name="표준 6 2 2 9 2 6" xfId="55564"/>
    <cellStyle name="표준 6 2 2 9 3" xfId="5618"/>
    <cellStyle name="표준 6 2 2 9 3 2" xfId="11954"/>
    <cellStyle name="표준 6 2 2 9 3 2 2" xfId="24627"/>
    <cellStyle name="표준 6 2 2 9 3 2 2 2" xfId="49979"/>
    <cellStyle name="표준 6 2 2 9 3 2 3" xfId="37307"/>
    <cellStyle name="표준 6 2 2 9 3 3" xfId="18291"/>
    <cellStyle name="표준 6 2 2 9 3 3 2" xfId="43643"/>
    <cellStyle name="표준 6 2 2 9 3 4" xfId="30971"/>
    <cellStyle name="표준 6 2 2 9 3 5" xfId="55565"/>
    <cellStyle name="표준 6 2 2 9 4" xfId="8803"/>
    <cellStyle name="표준 6 2 2 9 4 2" xfId="21476"/>
    <cellStyle name="표준 6 2 2 9 4 2 2" xfId="46828"/>
    <cellStyle name="표준 6 2 2 9 4 3" xfId="34156"/>
    <cellStyle name="표준 6 2 2 9 5" xfId="15140"/>
    <cellStyle name="표준 6 2 2 9 5 2" xfId="40492"/>
    <cellStyle name="표준 6 2 2 9 6" xfId="27820"/>
    <cellStyle name="표준 6 2 2 9 7" xfId="55566"/>
    <cellStyle name="표준 6 2 20" xfId="2468"/>
    <cellStyle name="표준 6 2 20 2" xfId="2469"/>
    <cellStyle name="표준 6 2 20 2 2" xfId="5619"/>
    <cellStyle name="표준 6 2 20 2 2 2" xfId="11955"/>
    <cellStyle name="표준 6 2 20 2 2 2 2" xfId="24628"/>
    <cellStyle name="표준 6 2 20 2 2 2 2 2" xfId="49980"/>
    <cellStyle name="표준 6 2 20 2 2 2 3" xfId="37308"/>
    <cellStyle name="표준 6 2 20 2 2 3" xfId="18292"/>
    <cellStyle name="표준 6 2 20 2 2 3 2" xfId="43644"/>
    <cellStyle name="표준 6 2 20 2 2 4" xfId="30972"/>
    <cellStyle name="표준 6 2 20 2 2 5" xfId="55567"/>
    <cellStyle name="표준 6 2 20 2 3" xfId="8806"/>
    <cellStyle name="표준 6 2 20 2 3 2" xfId="21479"/>
    <cellStyle name="표준 6 2 20 2 3 2 2" xfId="46831"/>
    <cellStyle name="표준 6 2 20 2 3 3" xfId="34159"/>
    <cellStyle name="표준 6 2 20 2 4" xfId="15143"/>
    <cellStyle name="표준 6 2 20 2 4 2" xfId="40495"/>
    <cellStyle name="표준 6 2 20 2 5" xfId="27823"/>
    <cellStyle name="표준 6 2 20 2 6" xfId="55568"/>
    <cellStyle name="표준 6 2 20 3" xfId="5620"/>
    <cellStyle name="표준 6 2 20 3 2" xfId="11956"/>
    <cellStyle name="표준 6 2 20 3 2 2" xfId="24629"/>
    <cellStyle name="표준 6 2 20 3 2 2 2" xfId="49981"/>
    <cellStyle name="표준 6 2 20 3 2 3" xfId="37309"/>
    <cellStyle name="표준 6 2 20 3 3" xfId="18293"/>
    <cellStyle name="표준 6 2 20 3 3 2" xfId="43645"/>
    <cellStyle name="표준 6 2 20 3 4" xfId="30973"/>
    <cellStyle name="표준 6 2 20 3 5" xfId="55569"/>
    <cellStyle name="표준 6 2 20 4" xfId="8805"/>
    <cellStyle name="표준 6 2 20 4 2" xfId="21478"/>
    <cellStyle name="표준 6 2 20 4 2 2" xfId="46830"/>
    <cellStyle name="표준 6 2 20 4 3" xfId="34158"/>
    <cellStyle name="표준 6 2 20 5" xfId="15142"/>
    <cellStyle name="표준 6 2 20 5 2" xfId="40494"/>
    <cellStyle name="표준 6 2 20 6" xfId="27822"/>
    <cellStyle name="표준 6 2 20 7" xfId="55570"/>
    <cellStyle name="표준 6 2 21" xfId="2470"/>
    <cellStyle name="표준 6 2 21 2" xfId="2471"/>
    <cellStyle name="표준 6 2 21 2 2" xfId="5621"/>
    <cellStyle name="표준 6 2 21 2 2 2" xfId="11957"/>
    <cellStyle name="표준 6 2 21 2 2 2 2" xfId="24630"/>
    <cellStyle name="표준 6 2 21 2 2 2 2 2" xfId="49982"/>
    <cellStyle name="표준 6 2 21 2 2 2 3" xfId="37310"/>
    <cellStyle name="표준 6 2 21 2 2 3" xfId="18294"/>
    <cellStyle name="표준 6 2 21 2 2 3 2" xfId="43646"/>
    <cellStyle name="표준 6 2 21 2 2 4" xfId="30974"/>
    <cellStyle name="표준 6 2 21 2 2 5" xfId="55571"/>
    <cellStyle name="표준 6 2 21 2 3" xfId="8808"/>
    <cellStyle name="표준 6 2 21 2 3 2" xfId="21481"/>
    <cellStyle name="표준 6 2 21 2 3 2 2" xfId="46833"/>
    <cellStyle name="표준 6 2 21 2 3 3" xfId="34161"/>
    <cellStyle name="표준 6 2 21 2 4" xfId="15145"/>
    <cellStyle name="표준 6 2 21 2 4 2" xfId="40497"/>
    <cellStyle name="표준 6 2 21 2 5" xfId="27825"/>
    <cellStyle name="표준 6 2 21 2 6" xfId="55572"/>
    <cellStyle name="표준 6 2 21 3" xfId="5622"/>
    <cellStyle name="표준 6 2 21 3 2" xfId="11958"/>
    <cellStyle name="표준 6 2 21 3 2 2" xfId="24631"/>
    <cellStyle name="표준 6 2 21 3 2 2 2" xfId="49983"/>
    <cellStyle name="표준 6 2 21 3 2 3" xfId="37311"/>
    <cellStyle name="표준 6 2 21 3 3" xfId="18295"/>
    <cellStyle name="표준 6 2 21 3 3 2" xfId="43647"/>
    <cellStyle name="표준 6 2 21 3 4" xfId="30975"/>
    <cellStyle name="표준 6 2 21 3 5" xfId="55573"/>
    <cellStyle name="표준 6 2 21 4" xfId="8807"/>
    <cellStyle name="표준 6 2 21 4 2" xfId="21480"/>
    <cellStyle name="표준 6 2 21 4 2 2" xfId="46832"/>
    <cellStyle name="표준 6 2 21 4 3" xfId="34160"/>
    <cellStyle name="표준 6 2 21 5" xfId="15144"/>
    <cellStyle name="표준 6 2 21 5 2" xfId="40496"/>
    <cellStyle name="표준 6 2 21 6" xfId="27824"/>
    <cellStyle name="표준 6 2 21 7" xfId="55574"/>
    <cellStyle name="표준 6 2 22" xfId="2472"/>
    <cellStyle name="표준 6 2 22 2" xfId="2473"/>
    <cellStyle name="표준 6 2 22 2 2" xfId="5623"/>
    <cellStyle name="표준 6 2 22 2 2 2" xfId="11959"/>
    <cellStyle name="표준 6 2 22 2 2 2 2" xfId="24632"/>
    <cellStyle name="표준 6 2 22 2 2 2 2 2" xfId="49984"/>
    <cellStyle name="표준 6 2 22 2 2 2 3" xfId="37312"/>
    <cellStyle name="표준 6 2 22 2 2 3" xfId="18296"/>
    <cellStyle name="표준 6 2 22 2 2 3 2" xfId="43648"/>
    <cellStyle name="표준 6 2 22 2 2 4" xfId="30976"/>
    <cellStyle name="표준 6 2 22 2 2 5" xfId="55575"/>
    <cellStyle name="표준 6 2 22 2 3" xfId="8810"/>
    <cellStyle name="표준 6 2 22 2 3 2" xfId="21483"/>
    <cellStyle name="표준 6 2 22 2 3 2 2" xfId="46835"/>
    <cellStyle name="표준 6 2 22 2 3 3" xfId="34163"/>
    <cellStyle name="표준 6 2 22 2 4" xfId="15147"/>
    <cellStyle name="표준 6 2 22 2 4 2" xfId="40499"/>
    <cellStyle name="표준 6 2 22 2 5" xfId="27827"/>
    <cellStyle name="표준 6 2 22 2 6" xfId="55576"/>
    <cellStyle name="표준 6 2 22 3" xfId="5624"/>
    <cellStyle name="표준 6 2 22 3 2" xfId="11960"/>
    <cellStyle name="표준 6 2 22 3 2 2" xfId="24633"/>
    <cellStyle name="표준 6 2 22 3 2 2 2" xfId="49985"/>
    <cellStyle name="표준 6 2 22 3 2 3" xfId="37313"/>
    <cellStyle name="표준 6 2 22 3 3" xfId="18297"/>
    <cellStyle name="표준 6 2 22 3 3 2" xfId="43649"/>
    <cellStyle name="표준 6 2 22 3 4" xfId="30977"/>
    <cellStyle name="표준 6 2 22 3 5" xfId="55577"/>
    <cellStyle name="표준 6 2 22 4" xfId="8809"/>
    <cellStyle name="표준 6 2 22 4 2" xfId="21482"/>
    <cellStyle name="표준 6 2 22 4 2 2" xfId="46834"/>
    <cellStyle name="표준 6 2 22 4 3" xfId="34162"/>
    <cellStyle name="표준 6 2 22 5" xfId="15146"/>
    <cellStyle name="표준 6 2 22 5 2" xfId="40498"/>
    <cellStyle name="표준 6 2 22 6" xfId="27826"/>
    <cellStyle name="표준 6 2 22 7" xfId="55578"/>
    <cellStyle name="표준 6 2 23" xfId="2474"/>
    <cellStyle name="표준 6 2 23 2" xfId="2475"/>
    <cellStyle name="표준 6 2 23 2 2" xfId="5625"/>
    <cellStyle name="표준 6 2 23 2 2 2" xfId="11961"/>
    <cellStyle name="표준 6 2 23 2 2 2 2" xfId="24634"/>
    <cellStyle name="표준 6 2 23 2 2 2 2 2" xfId="49986"/>
    <cellStyle name="표준 6 2 23 2 2 2 3" xfId="37314"/>
    <cellStyle name="표준 6 2 23 2 2 3" xfId="18298"/>
    <cellStyle name="표준 6 2 23 2 2 3 2" xfId="43650"/>
    <cellStyle name="표준 6 2 23 2 2 4" xfId="30978"/>
    <cellStyle name="표준 6 2 23 2 2 5" xfId="55579"/>
    <cellStyle name="표준 6 2 23 2 3" xfId="8812"/>
    <cellStyle name="표준 6 2 23 2 3 2" xfId="21485"/>
    <cellStyle name="표준 6 2 23 2 3 2 2" xfId="46837"/>
    <cellStyle name="표준 6 2 23 2 3 3" xfId="34165"/>
    <cellStyle name="표준 6 2 23 2 4" xfId="15149"/>
    <cellStyle name="표준 6 2 23 2 4 2" xfId="40501"/>
    <cellStyle name="표준 6 2 23 2 5" xfId="27829"/>
    <cellStyle name="표준 6 2 23 2 6" xfId="55580"/>
    <cellStyle name="표준 6 2 23 3" xfId="5626"/>
    <cellStyle name="표준 6 2 23 3 2" xfId="11962"/>
    <cellStyle name="표준 6 2 23 3 2 2" xfId="24635"/>
    <cellStyle name="표준 6 2 23 3 2 2 2" xfId="49987"/>
    <cellStyle name="표준 6 2 23 3 2 3" xfId="37315"/>
    <cellStyle name="표준 6 2 23 3 3" xfId="18299"/>
    <cellStyle name="표준 6 2 23 3 3 2" xfId="43651"/>
    <cellStyle name="표준 6 2 23 3 4" xfId="30979"/>
    <cellStyle name="표준 6 2 23 3 5" xfId="55581"/>
    <cellStyle name="표준 6 2 23 4" xfId="8811"/>
    <cellStyle name="표준 6 2 23 4 2" xfId="21484"/>
    <cellStyle name="표준 6 2 23 4 2 2" xfId="46836"/>
    <cellStyle name="표준 6 2 23 4 3" xfId="34164"/>
    <cellStyle name="표준 6 2 23 5" xfId="15148"/>
    <cellStyle name="표준 6 2 23 5 2" xfId="40500"/>
    <cellStyle name="표준 6 2 23 6" xfId="27828"/>
    <cellStyle name="표준 6 2 23 7" xfId="55582"/>
    <cellStyle name="표준 6 2 24" xfId="2476"/>
    <cellStyle name="표준 6 2 24 2" xfId="2477"/>
    <cellStyle name="표준 6 2 24 2 2" xfId="5627"/>
    <cellStyle name="표준 6 2 24 2 2 2" xfId="11963"/>
    <cellStyle name="표준 6 2 24 2 2 2 2" xfId="24636"/>
    <cellStyle name="표준 6 2 24 2 2 2 2 2" xfId="49988"/>
    <cellStyle name="표준 6 2 24 2 2 2 3" xfId="37316"/>
    <cellStyle name="표준 6 2 24 2 2 3" xfId="18300"/>
    <cellStyle name="표준 6 2 24 2 2 3 2" xfId="43652"/>
    <cellStyle name="표준 6 2 24 2 2 4" xfId="30980"/>
    <cellStyle name="표준 6 2 24 2 2 5" xfId="55583"/>
    <cellStyle name="표준 6 2 24 2 3" xfId="8814"/>
    <cellStyle name="표준 6 2 24 2 3 2" xfId="21487"/>
    <cellStyle name="표준 6 2 24 2 3 2 2" xfId="46839"/>
    <cellStyle name="표준 6 2 24 2 3 3" xfId="34167"/>
    <cellStyle name="표준 6 2 24 2 4" xfId="15151"/>
    <cellStyle name="표준 6 2 24 2 4 2" xfId="40503"/>
    <cellStyle name="표준 6 2 24 2 5" xfId="27831"/>
    <cellStyle name="표준 6 2 24 2 6" xfId="55584"/>
    <cellStyle name="표준 6 2 24 3" xfId="5628"/>
    <cellStyle name="표준 6 2 24 3 2" xfId="11964"/>
    <cellStyle name="표준 6 2 24 3 2 2" xfId="24637"/>
    <cellStyle name="표준 6 2 24 3 2 2 2" xfId="49989"/>
    <cellStyle name="표준 6 2 24 3 2 3" xfId="37317"/>
    <cellStyle name="표준 6 2 24 3 3" xfId="18301"/>
    <cellStyle name="표준 6 2 24 3 3 2" xfId="43653"/>
    <cellStyle name="표준 6 2 24 3 4" xfId="30981"/>
    <cellStyle name="표준 6 2 24 3 5" xfId="55585"/>
    <cellStyle name="표준 6 2 24 4" xfId="8813"/>
    <cellStyle name="표준 6 2 24 4 2" xfId="21486"/>
    <cellStyle name="표준 6 2 24 4 2 2" xfId="46838"/>
    <cellStyle name="표준 6 2 24 4 3" xfId="34166"/>
    <cellStyle name="표준 6 2 24 5" xfId="15150"/>
    <cellStyle name="표준 6 2 24 5 2" xfId="40502"/>
    <cellStyle name="표준 6 2 24 6" xfId="27830"/>
    <cellStyle name="표준 6 2 24 7" xfId="55586"/>
    <cellStyle name="표준 6 2 25" xfId="2478"/>
    <cellStyle name="표준 6 2 25 2" xfId="2479"/>
    <cellStyle name="표준 6 2 25 2 2" xfId="5629"/>
    <cellStyle name="표준 6 2 25 2 2 2" xfId="11965"/>
    <cellStyle name="표준 6 2 25 2 2 2 2" xfId="24638"/>
    <cellStyle name="표준 6 2 25 2 2 2 2 2" xfId="49990"/>
    <cellStyle name="표준 6 2 25 2 2 2 3" xfId="37318"/>
    <cellStyle name="표준 6 2 25 2 2 3" xfId="18302"/>
    <cellStyle name="표준 6 2 25 2 2 3 2" xfId="43654"/>
    <cellStyle name="표준 6 2 25 2 2 4" xfId="30982"/>
    <cellStyle name="표준 6 2 25 2 2 5" xfId="55587"/>
    <cellStyle name="표준 6 2 25 2 3" xfId="8816"/>
    <cellStyle name="표준 6 2 25 2 3 2" xfId="21489"/>
    <cellStyle name="표준 6 2 25 2 3 2 2" xfId="46841"/>
    <cellStyle name="표준 6 2 25 2 3 3" xfId="34169"/>
    <cellStyle name="표준 6 2 25 2 4" xfId="15153"/>
    <cellStyle name="표준 6 2 25 2 4 2" xfId="40505"/>
    <cellStyle name="표준 6 2 25 2 5" xfId="27833"/>
    <cellStyle name="표준 6 2 25 2 6" xfId="55588"/>
    <cellStyle name="표준 6 2 25 3" xfId="5630"/>
    <cellStyle name="표준 6 2 25 3 2" xfId="11966"/>
    <cellStyle name="표준 6 2 25 3 2 2" xfId="24639"/>
    <cellStyle name="표준 6 2 25 3 2 2 2" xfId="49991"/>
    <cellStyle name="표준 6 2 25 3 2 3" xfId="37319"/>
    <cellStyle name="표준 6 2 25 3 3" xfId="18303"/>
    <cellStyle name="표준 6 2 25 3 3 2" xfId="43655"/>
    <cellStyle name="표준 6 2 25 3 4" xfId="30983"/>
    <cellStyle name="표준 6 2 25 3 5" xfId="55589"/>
    <cellStyle name="표준 6 2 25 4" xfId="8815"/>
    <cellStyle name="표준 6 2 25 4 2" xfId="21488"/>
    <cellStyle name="표준 6 2 25 4 2 2" xfId="46840"/>
    <cellStyle name="표준 6 2 25 4 3" xfId="34168"/>
    <cellStyle name="표준 6 2 25 5" xfId="15152"/>
    <cellStyle name="표준 6 2 25 5 2" xfId="40504"/>
    <cellStyle name="표준 6 2 25 6" xfId="27832"/>
    <cellStyle name="표준 6 2 25 7" xfId="55590"/>
    <cellStyle name="표준 6 2 26" xfId="2480"/>
    <cellStyle name="표준 6 2 26 2" xfId="2481"/>
    <cellStyle name="표준 6 2 26 2 2" xfId="5631"/>
    <cellStyle name="표준 6 2 26 2 2 2" xfId="11967"/>
    <cellStyle name="표준 6 2 26 2 2 2 2" xfId="24640"/>
    <cellStyle name="표준 6 2 26 2 2 2 2 2" xfId="49992"/>
    <cellStyle name="표준 6 2 26 2 2 2 3" xfId="37320"/>
    <cellStyle name="표준 6 2 26 2 2 3" xfId="18304"/>
    <cellStyle name="표준 6 2 26 2 2 3 2" xfId="43656"/>
    <cellStyle name="표준 6 2 26 2 2 4" xfId="30984"/>
    <cellStyle name="표준 6 2 26 2 2 5" xfId="55591"/>
    <cellStyle name="표준 6 2 26 2 3" xfId="8818"/>
    <cellStyle name="표준 6 2 26 2 3 2" xfId="21491"/>
    <cellStyle name="표준 6 2 26 2 3 2 2" xfId="46843"/>
    <cellStyle name="표준 6 2 26 2 3 3" xfId="34171"/>
    <cellStyle name="표준 6 2 26 2 4" xfId="15155"/>
    <cellStyle name="표준 6 2 26 2 4 2" xfId="40507"/>
    <cellStyle name="표준 6 2 26 2 5" xfId="27835"/>
    <cellStyle name="표준 6 2 26 2 6" xfId="55592"/>
    <cellStyle name="표준 6 2 26 3" xfId="5632"/>
    <cellStyle name="표준 6 2 26 3 2" xfId="11968"/>
    <cellStyle name="표준 6 2 26 3 2 2" xfId="24641"/>
    <cellStyle name="표준 6 2 26 3 2 2 2" xfId="49993"/>
    <cellStyle name="표준 6 2 26 3 2 3" xfId="37321"/>
    <cellStyle name="표준 6 2 26 3 3" xfId="18305"/>
    <cellStyle name="표준 6 2 26 3 3 2" xfId="43657"/>
    <cellStyle name="표준 6 2 26 3 4" xfId="30985"/>
    <cellStyle name="표준 6 2 26 3 5" xfId="55593"/>
    <cellStyle name="표준 6 2 26 4" xfId="8817"/>
    <cellStyle name="표준 6 2 26 4 2" xfId="21490"/>
    <cellStyle name="표준 6 2 26 4 2 2" xfId="46842"/>
    <cellStyle name="표준 6 2 26 4 3" xfId="34170"/>
    <cellStyle name="표준 6 2 26 5" xfId="15154"/>
    <cellStyle name="표준 6 2 26 5 2" xfId="40506"/>
    <cellStyle name="표준 6 2 26 6" xfId="27834"/>
    <cellStyle name="표준 6 2 26 7" xfId="55594"/>
    <cellStyle name="표준 6 2 27" xfId="2482"/>
    <cellStyle name="표준 6 2 27 2" xfId="2483"/>
    <cellStyle name="표준 6 2 27 2 2" xfId="5633"/>
    <cellStyle name="표준 6 2 27 2 2 2" xfId="11969"/>
    <cellStyle name="표준 6 2 27 2 2 2 2" xfId="24642"/>
    <cellStyle name="표준 6 2 27 2 2 2 2 2" xfId="49994"/>
    <cellStyle name="표준 6 2 27 2 2 2 3" xfId="37322"/>
    <cellStyle name="표준 6 2 27 2 2 3" xfId="18306"/>
    <cellStyle name="표준 6 2 27 2 2 3 2" xfId="43658"/>
    <cellStyle name="표준 6 2 27 2 2 4" xfId="30986"/>
    <cellStyle name="표준 6 2 27 2 2 5" xfId="55595"/>
    <cellStyle name="표준 6 2 27 2 3" xfId="8820"/>
    <cellStyle name="표준 6 2 27 2 3 2" xfId="21493"/>
    <cellStyle name="표준 6 2 27 2 3 2 2" xfId="46845"/>
    <cellStyle name="표준 6 2 27 2 3 3" xfId="34173"/>
    <cellStyle name="표준 6 2 27 2 4" xfId="15157"/>
    <cellStyle name="표준 6 2 27 2 4 2" xfId="40509"/>
    <cellStyle name="표준 6 2 27 2 5" xfId="27837"/>
    <cellStyle name="표준 6 2 27 2 6" xfId="55596"/>
    <cellStyle name="표준 6 2 27 3" xfId="5634"/>
    <cellStyle name="표준 6 2 27 3 2" xfId="11970"/>
    <cellStyle name="표준 6 2 27 3 2 2" xfId="24643"/>
    <cellStyle name="표준 6 2 27 3 2 2 2" xfId="49995"/>
    <cellStyle name="표준 6 2 27 3 2 3" xfId="37323"/>
    <cellStyle name="표준 6 2 27 3 3" xfId="18307"/>
    <cellStyle name="표준 6 2 27 3 3 2" xfId="43659"/>
    <cellStyle name="표준 6 2 27 3 4" xfId="30987"/>
    <cellStyle name="표준 6 2 27 3 5" xfId="55597"/>
    <cellStyle name="표준 6 2 27 4" xfId="8819"/>
    <cellStyle name="표준 6 2 27 4 2" xfId="21492"/>
    <cellStyle name="표준 6 2 27 4 2 2" xfId="46844"/>
    <cellStyle name="표준 6 2 27 4 3" xfId="34172"/>
    <cellStyle name="표준 6 2 27 5" xfId="15156"/>
    <cellStyle name="표준 6 2 27 5 2" xfId="40508"/>
    <cellStyle name="표준 6 2 27 6" xfId="27836"/>
    <cellStyle name="표준 6 2 27 7" xfId="55598"/>
    <cellStyle name="표준 6 2 28" xfId="2484"/>
    <cellStyle name="표준 6 2 28 2" xfId="2485"/>
    <cellStyle name="표준 6 2 28 2 2" xfId="5635"/>
    <cellStyle name="표준 6 2 28 2 2 2" xfId="11971"/>
    <cellStyle name="표준 6 2 28 2 2 2 2" xfId="24644"/>
    <cellStyle name="표준 6 2 28 2 2 2 2 2" xfId="49996"/>
    <cellStyle name="표준 6 2 28 2 2 2 3" xfId="37324"/>
    <cellStyle name="표준 6 2 28 2 2 3" xfId="18308"/>
    <cellStyle name="표준 6 2 28 2 2 3 2" xfId="43660"/>
    <cellStyle name="표준 6 2 28 2 2 4" xfId="30988"/>
    <cellStyle name="표준 6 2 28 2 2 5" xfId="55599"/>
    <cellStyle name="표준 6 2 28 2 3" xfId="8822"/>
    <cellStyle name="표준 6 2 28 2 3 2" xfId="21495"/>
    <cellStyle name="표준 6 2 28 2 3 2 2" xfId="46847"/>
    <cellStyle name="표준 6 2 28 2 3 3" xfId="34175"/>
    <cellStyle name="표준 6 2 28 2 4" xfId="15159"/>
    <cellStyle name="표준 6 2 28 2 4 2" xfId="40511"/>
    <cellStyle name="표준 6 2 28 2 5" xfId="27839"/>
    <cellStyle name="표준 6 2 28 2 6" xfId="55600"/>
    <cellStyle name="표준 6 2 28 3" xfId="5636"/>
    <cellStyle name="표준 6 2 28 3 2" xfId="11972"/>
    <cellStyle name="표준 6 2 28 3 2 2" xfId="24645"/>
    <cellStyle name="표준 6 2 28 3 2 2 2" xfId="49997"/>
    <cellStyle name="표준 6 2 28 3 2 3" xfId="37325"/>
    <cellStyle name="표준 6 2 28 3 3" xfId="18309"/>
    <cellStyle name="표준 6 2 28 3 3 2" xfId="43661"/>
    <cellStyle name="표준 6 2 28 3 4" xfId="30989"/>
    <cellStyle name="표준 6 2 28 3 5" xfId="55601"/>
    <cellStyle name="표준 6 2 28 4" xfId="8821"/>
    <cellStyle name="표준 6 2 28 4 2" xfId="21494"/>
    <cellStyle name="표준 6 2 28 4 2 2" xfId="46846"/>
    <cellStyle name="표준 6 2 28 4 3" xfId="34174"/>
    <cellStyle name="표준 6 2 28 5" xfId="15158"/>
    <cellStyle name="표준 6 2 28 5 2" xfId="40510"/>
    <cellStyle name="표준 6 2 28 6" xfId="27838"/>
    <cellStyle name="표준 6 2 28 7" xfId="55602"/>
    <cellStyle name="표준 6 2 29" xfId="2486"/>
    <cellStyle name="표준 6 2 29 2" xfId="2487"/>
    <cellStyle name="표준 6 2 29 2 2" xfId="5637"/>
    <cellStyle name="표준 6 2 29 2 2 2" xfId="11973"/>
    <cellStyle name="표준 6 2 29 2 2 2 2" xfId="24646"/>
    <cellStyle name="표준 6 2 29 2 2 2 2 2" xfId="49998"/>
    <cellStyle name="표준 6 2 29 2 2 2 3" xfId="37326"/>
    <cellStyle name="표준 6 2 29 2 2 3" xfId="18310"/>
    <cellStyle name="표준 6 2 29 2 2 3 2" xfId="43662"/>
    <cellStyle name="표준 6 2 29 2 2 4" xfId="30990"/>
    <cellStyle name="표준 6 2 29 2 2 5" xfId="55603"/>
    <cellStyle name="표준 6 2 29 2 3" xfId="8824"/>
    <cellStyle name="표준 6 2 29 2 3 2" xfId="21497"/>
    <cellStyle name="표준 6 2 29 2 3 2 2" xfId="46849"/>
    <cellStyle name="표준 6 2 29 2 3 3" xfId="34177"/>
    <cellStyle name="표준 6 2 29 2 4" xfId="15161"/>
    <cellStyle name="표준 6 2 29 2 4 2" xfId="40513"/>
    <cellStyle name="표준 6 2 29 2 5" xfId="27841"/>
    <cellStyle name="표준 6 2 29 2 6" xfId="55604"/>
    <cellStyle name="표준 6 2 29 3" xfId="5638"/>
    <cellStyle name="표준 6 2 29 3 2" xfId="11974"/>
    <cellStyle name="표준 6 2 29 3 2 2" xfId="24647"/>
    <cellStyle name="표준 6 2 29 3 2 2 2" xfId="49999"/>
    <cellStyle name="표준 6 2 29 3 2 3" xfId="37327"/>
    <cellStyle name="표준 6 2 29 3 3" xfId="18311"/>
    <cellStyle name="표준 6 2 29 3 3 2" xfId="43663"/>
    <cellStyle name="표준 6 2 29 3 4" xfId="30991"/>
    <cellStyle name="표준 6 2 29 3 5" xfId="55605"/>
    <cellStyle name="표준 6 2 29 4" xfId="8823"/>
    <cellStyle name="표준 6 2 29 4 2" xfId="21496"/>
    <cellStyle name="표준 6 2 29 4 2 2" xfId="46848"/>
    <cellStyle name="표준 6 2 29 4 3" xfId="34176"/>
    <cellStyle name="표준 6 2 29 5" xfId="15160"/>
    <cellStyle name="표준 6 2 29 5 2" xfId="40512"/>
    <cellStyle name="표준 6 2 29 6" xfId="27840"/>
    <cellStyle name="표준 6 2 29 7" xfId="55606"/>
    <cellStyle name="표준 6 2 3" xfId="28"/>
    <cellStyle name="표준 6 2 3 10" xfId="2488"/>
    <cellStyle name="표준 6 2 3 10 2" xfId="2489"/>
    <cellStyle name="표준 6 2 3 10 2 2" xfId="5639"/>
    <cellStyle name="표준 6 2 3 10 2 2 2" xfId="11975"/>
    <cellStyle name="표준 6 2 3 10 2 2 2 2" xfId="24648"/>
    <cellStyle name="표준 6 2 3 10 2 2 2 2 2" xfId="50000"/>
    <cellStyle name="표준 6 2 3 10 2 2 2 3" xfId="37328"/>
    <cellStyle name="표준 6 2 3 10 2 2 3" xfId="18312"/>
    <cellStyle name="표준 6 2 3 10 2 2 3 2" xfId="43664"/>
    <cellStyle name="표준 6 2 3 10 2 2 4" xfId="30992"/>
    <cellStyle name="표준 6 2 3 10 2 2 5" xfId="55607"/>
    <cellStyle name="표준 6 2 3 10 2 3" xfId="8826"/>
    <cellStyle name="표준 6 2 3 10 2 3 2" xfId="21499"/>
    <cellStyle name="표준 6 2 3 10 2 3 2 2" xfId="46851"/>
    <cellStyle name="표준 6 2 3 10 2 3 3" xfId="34179"/>
    <cellStyle name="표준 6 2 3 10 2 4" xfId="15163"/>
    <cellStyle name="표준 6 2 3 10 2 4 2" xfId="40515"/>
    <cellStyle name="표준 6 2 3 10 2 5" xfId="27843"/>
    <cellStyle name="표준 6 2 3 10 2 6" xfId="55608"/>
    <cellStyle name="표준 6 2 3 10 3" xfId="5640"/>
    <cellStyle name="표준 6 2 3 10 3 2" xfId="11976"/>
    <cellStyle name="표준 6 2 3 10 3 2 2" xfId="24649"/>
    <cellStyle name="표준 6 2 3 10 3 2 2 2" xfId="50001"/>
    <cellStyle name="표준 6 2 3 10 3 2 3" xfId="37329"/>
    <cellStyle name="표준 6 2 3 10 3 3" xfId="18313"/>
    <cellStyle name="표준 6 2 3 10 3 3 2" xfId="43665"/>
    <cellStyle name="표준 6 2 3 10 3 4" xfId="30993"/>
    <cellStyle name="표준 6 2 3 10 3 5" xfId="55609"/>
    <cellStyle name="표준 6 2 3 10 4" xfId="8825"/>
    <cellStyle name="표준 6 2 3 10 4 2" xfId="21498"/>
    <cellStyle name="표준 6 2 3 10 4 2 2" xfId="46850"/>
    <cellStyle name="표준 6 2 3 10 4 3" xfId="34178"/>
    <cellStyle name="표준 6 2 3 10 5" xfId="15162"/>
    <cellStyle name="표준 6 2 3 10 5 2" xfId="40514"/>
    <cellStyle name="표준 6 2 3 10 6" xfId="27842"/>
    <cellStyle name="표준 6 2 3 10 7" xfId="55610"/>
    <cellStyle name="표준 6 2 3 11" xfId="2490"/>
    <cellStyle name="표준 6 2 3 11 2" xfId="2491"/>
    <cellStyle name="표준 6 2 3 11 2 2" xfId="5641"/>
    <cellStyle name="표준 6 2 3 11 2 2 2" xfId="11977"/>
    <cellStyle name="표준 6 2 3 11 2 2 2 2" xfId="24650"/>
    <cellStyle name="표준 6 2 3 11 2 2 2 2 2" xfId="50002"/>
    <cellStyle name="표준 6 2 3 11 2 2 2 3" xfId="37330"/>
    <cellStyle name="표준 6 2 3 11 2 2 3" xfId="18314"/>
    <cellStyle name="표준 6 2 3 11 2 2 3 2" xfId="43666"/>
    <cellStyle name="표준 6 2 3 11 2 2 4" xfId="30994"/>
    <cellStyle name="표준 6 2 3 11 2 2 5" xfId="55611"/>
    <cellStyle name="표준 6 2 3 11 2 3" xfId="8828"/>
    <cellStyle name="표준 6 2 3 11 2 3 2" xfId="21501"/>
    <cellStyle name="표준 6 2 3 11 2 3 2 2" xfId="46853"/>
    <cellStyle name="표준 6 2 3 11 2 3 3" xfId="34181"/>
    <cellStyle name="표준 6 2 3 11 2 4" xfId="15165"/>
    <cellStyle name="표준 6 2 3 11 2 4 2" xfId="40517"/>
    <cellStyle name="표준 6 2 3 11 2 5" xfId="27845"/>
    <cellStyle name="표준 6 2 3 11 2 6" xfId="55612"/>
    <cellStyle name="표준 6 2 3 11 3" xfId="5642"/>
    <cellStyle name="표준 6 2 3 11 3 2" xfId="11978"/>
    <cellStyle name="표준 6 2 3 11 3 2 2" xfId="24651"/>
    <cellStyle name="표준 6 2 3 11 3 2 2 2" xfId="50003"/>
    <cellStyle name="표준 6 2 3 11 3 2 3" xfId="37331"/>
    <cellStyle name="표준 6 2 3 11 3 3" xfId="18315"/>
    <cellStyle name="표준 6 2 3 11 3 3 2" xfId="43667"/>
    <cellStyle name="표준 6 2 3 11 3 4" xfId="30995"/>
    <cellStyle name="표준 6 2 3 11 3 5" xfId="55613"/>
    <cellStyle name="표준 6 2 3 11 4" xfId="8827"/>
    <cellStyle name="표준 6 2 3 11 4 2" xfId="21500"/>
    <cellStyle name="표준 6 2 3 11 4 2 2" xfId="46852"/>
    <cellStyle name="표준 6 2 3 11 4 3" xfId="34180"/>
    <cellStyle name="표준 6 2 3 11 5" xfId="15164"/>
    <cellStyle name="표준 6 2 3 11 5 2" xfId="40516"/>
    <cellStyle name="표준 6 2 3 11 6" xfId="27844"/>
    <cellStyle name="표준 6 2 3 11 7" xfId="55614"/>
    <cellStyle name="표준 6 2 3 12" xfId="2492"/>
    <cellStyle name="표준 6 2 3 12 2" xfId="2493"/>
    <cellStyle name="표준 6 2 3 12 2 2" xfId="5643"/>
    <cellStyle name="표준 6 2 3 12 2 2 2" xfId="11979"/>
    <cellStyle name="표준 6 2 3 12 2 2 2 2" xfId="24652"/>
    <cellStyle name="표준 6 2 3 12 2 2 2 2 2" xfId="50004"/>
    <cellStyle name="표준 6 2 3 12 2 2 2 3" xfId="37332"/>
    <cellStyle name="표준 6 2 3 12 2 2 3" xfId="18316"/>
    <cellStyle name="표준 6 2 3 12 2 2 3 2" xfId="43668"/>
    <cellStyle name="표준 6 2 3 12 2 2 4" xfId="30996"/>
    <cellStyle name="표준 6 2 3 12 2 2 5" xfId="55615"/>
    <cellStyle name="표준 6 2 3 12 2 3" xfId="8830"/>
    <cellStyle name="표준 6 2 3 12 2 3 2" xfId="21503"/>
    <cellStyle name="표준 6 2 3 12 2 3 2 2" xfId="46855"/>
    <cellStyle name="표준 6 2 3 12 2 3 3" xfId="34183"/>
    <cellStyle name="표준 6 2 3 12 2 4" xfId="15167"/>
    <cellStyle name="표준 6 2 3 12 2 4 2" xfId="40519"/>
    <cellStyle name="표준 6 2 3 12 2 5" xfId="27847"/>
    <cellStyle name="표준 6 2 3 12 2 6" xfId="55616"/>
    <cellStyle name="표준 6 2 3 12 3" xfId="5644"/>
    <cellStyle name="표준 6 2 3 12 3 2" xfId="11980"/>
    <cellStyle name="표준 6 2 3 12 3 2 2" xfId="24653"/>
    <cellStyle name="표준 6 2 3 12 3 2 2 2" xfId="50005"/>
    <cellStyle name="표준 6 2 3 12 3 2 3" xfId="37333"/>
    <cellStyle name="표준 6 2 3 12 3 3" xfId="18317"/>
    <cellStyle name="표준 6 2 3 12 3 3 2" xfId="43669"/>
    <cellStyle name="표준 6 2 3 12 3 4" xfId="30997"/>
    <cellStyle name="표준 6 2 3 12 3 5" xfId="55617"/>
    <cellStyle name="표준 6 2 3 12 4" xfId="8829"/>
    <cellStyle name="표준 6 2 3 12 4 2" xfId="21502"/>
    <cellStyle name="표준 6 2 3 12 4 2 2" xfId="46854"/>
    <cellStyle name="표준 6 2 3 12 4 3" xfId="34182"/>
    <cellStyle name="표준 6 2 3 12 5" xfId="15166"/>
    <cellStyle name="표준 6 2 3 12 5 2" xfId="40518"/>
    <cellStyle name="표준 6 2 3 12 6" xfId="27846"/>
    <cellStyle name="표준 6 2 3 12 7" xfId="55618"/>
    <cellStyle name="표준 6 2 3 13" xfId="2494"/>
    <cellStyle name="표준 6 2 3 13 2" xfId="2495"/>
    <cellStyle name="표준 6 2 3 13 2 2" xfId="5645"/>
    <cellStyle name="표준 6 2 3 13 2 2 2" xfId="11981"/>
    <cellStyle name="표준 6 2 3 13 2 2 2 2" xfId="24654"/>
    <cellStyle name="표준 6 2 3 13 2 2 2 2 2" xfId="50006"/>
    <cellStyle name="표준 6 2 3 13 2 2 2 3" xfId="37334"/>
    <cellStyle name="표준 6 2 3 13 2 2 3" xfId="18318"/>
    <cellStyle name="표준 6 2 3 13 2 2 3 2" xfId="43670"/>
    <cellStyle name="표준 6 2 3 13 2 2 4" xfId="30998"/>
    <cellStyle name="표준 6 2 3 13 2 2 5" xfId="55619"/>
    <cellStyle name="표준 6 2 3 13 2 3" xfId="8832"/>
    <cellStyle name="표준 6 2 3 13 2 3 2" xfId="21505"/>
    <cellStyle name="표준 6 2 3 13 2 3 2 2" xfId="46857"/>
    <cellStyle name="표준 6 2 3 13 2 3 3" xfId="34185"/>
    <cellStyle name="표준 6 2 3 13 2 4" xfId="15169"/>
    <cellStyle name="표준 6 2 3 13 2 4 2" xfId="40521"/>
    <cellStyle name="표준 6 2 3 13 2 5" xfId="27849"/>
    <cellStyle name="표준 6 2 3 13 2 6" xfId="55620"/>
    <cellStyle name="표준 6 2 3 13 3" xfId="5646"/>
    <cellStyle name="표준 6 2 3 13 3 2" xfId="11982"/>
    <cellStyle name="표준 6 2 3 13 3 2 2" xfId="24655"/>
    <cellStyle name="표준 6 2 3 13 3 2 2 2" xfId="50007"/>
    <cellStyle name="표준 6 2 3 13 3 2 3" xfId="37335"/>
    <cellStyle name="표준 6 2 3 13 3 3" xfId="18319"/>
    <cellStyle name="표준 6 2 3 13 3 3 2" xfId="43671"/>
    <cellStyle name="표준 6 2 3 13 3 4" xfId="30999"/>
    <cellStyle name="표준 6 2 3 13 3 5" xfId="55621"/>
    <cellStyle name="표준 6 2 3 13 4" xfId="8831"/>
    <cellStyle name="표준 6 2 3 13 4 2" xfId="21504"/>
    <cellStyle name="표준 6 2 3 13 4 2 2" xfId="46856"/>
    <cellStyle name="표준 6 2 3 13 4 3" xfId="34184"/>
    <cellStyle name="표준 6 2 3 13 5" xfId="15168"/>
    <cellStyle name="표준 6 2 3 13 5 2" xfId="40520"/>
    <cellStyle name="표준 6 2 3 13 6" xfId="27848"/>
    <cellStyle name="표준 6 2 3 13 7" xfId="55622"/>
    <cellStyle name="표준 6 2 3 14" xfId="2496"/>
    <cellStyle name="표준 6 2 3 14 2" xfId="2497"/>
    <cellStyle name="표준 6 2 3 14 2 2" xfId="5647"/>
    <cellStyle name="표준 6 2 3 14 2 2 2" xfId="11983"/>
    <cellStyle name="표준 6 2 3 14 2 2 2 2" xfId="24656"/>
    <cellStyle name="표준 6 2 3 14 2 2 2 2 2" xfId="50008"/>
    <cellStyle name="표준 6 2 3 14 2 2 2 3" xfId="37336"/>
    <cellStyle name="표준 6 2 3 14 2 2 3" xfId="18320"/>
    <cellStyle name="표준 6 2 3 14 2 2 3 2" xfId="43672"/>
    <cellStyle name="표준 6 2 3 14 2 2 4" xfId="31000"/>
    <cellStyle name="표준 6 2 3 14 2 2 5" xfId="55623"/>
    <cellStyle name="표준 6 2 3 14 2 3" xfId="8834"/>
    <cellStyle name="표준 6 2 3 14 2 3 2" xfId="21507"/>
    <cellStyle name="표준 6 2 3 14 2 3 2 2" xfId="46859"/>
    <cellStyle name="표준 6 2 3 14 2 3 3" xfId="34187"/>
    <cellStyle name="표준 6 2 3 14 2 4" xfId="15171"/>
    <cellStyle name="표준 6 2 3 14 2 4 2" xfId="40523"/>
    <cellStyle name="표준 6 2 3 14 2 5" xfId="27851"/>
    <cellStyle name="표준 6 2 3 14 2 6" xfId="55624"/>
    <cellStyle name="표준 6 2 3 14 3" xfId="5648"/>
    <cellStyle name="표준 6 2 3 14 3 2" xfId="11984"/>
    <cellStyle name="표준 6 2 3 14 3 2 2" xfId="24657"/>
    <cellStyle name="표준 6 2 3 14 3 2 2 2" xfId="50009"/>
    <cellStyle name="표준 6 2 3 14 3 2 3" xfId="37337"/>
    <cellStyle name="표준 6 2 3 14 3 3" xfId="18321"/>
    <cellStyle name="표준 6 2 3 14 3 3 2" xfId="43673"/>
    <cellStyle name="표준 6 2 3 14 3 4" xfId="31001"/>
    <cellStyle name="표준 6 2 3 14 3 5" xfId="55625"/>
    <cellStyle name="표준 6 2 3 14 4" xfId="8833"/>
    <cellStyle name="표준 6 2 3 14 4 2" xfId="21506"/>
    <cellStyle name="표준 6 2 3 14 4 2 2" xfId="46858"/>
    <cellStyle name="표준 6 2 3 14 4 3" xfId="34186"/>
    <cellStyle name="표준 6 2 3 14 5" xfId="15170"/>
    <cellStyle name="표준 6 2 3 14 5 2" xfId="40522"/>
    <cellStyle name="표준 6 2 3 14 6" xfId="27850"/>
    <cellStyle name="표준 6 2 3 14 7" xfId="55626"/>
    <cellStyle name="표준 6 2 3 15" xfId="2498"/>
    <cellStyle name="표준 6 2 3 15 2" xfId="2499"/>
    <cellStyle name="표준 6 2 3 15 2 2" xfId="5649"/>
    <cellStyle name="표준 6 2 3 15 2 2 2" xfId="11985"/>
    <cellStyle name="표준 6 2 3 15 2 2 2 2" xfId="24658"/>
    <cellStyle name="표준 6 2 3 15 2 2 2 2 2" xfId="50010"/>
    <cellStyle name="표준 6 2 3 15 2 2 2 3" xfId="37338"/>
    <cellStyle name="표준 6 2 3 15 2 2 3" xfId="18322"/>
    <cellStyle name="표준 6 2 3 15 2 2 3 2" xfId="43674"/>
    <cellStyle name="표준 6 2 3 15 2 2 4" xfId="31002"/>
    <cellStyle name="표준 6 2 3 15 2 2 5" xfId="55627"/>
    <cellStyle name="표준 6 2 3 15 2 3" xfId="8836"/>
    <cellStyle name="표준 6 2 3 15 2 3 2" xfId="21509"/>
    <cellStyle name="표준 6 2 3 15 2 3 2 2" xfId="46861"/>
    <cellStyle name="표준 6 2 3 15 2 3 3" xfId="34189"/>
    <cellStyle name="표준 6 2 3 15 2 4" xfId="15173"/>
    <cellStyle name="표준 6 2 3 15 2 4 2" xfId="40525"/>
    <cellStyle name="표준 6 2 3 15 2 5" xfId="27853"/>
    <cellStyle name="표준 6 2 3 15 2 6" xfId="55628"/>
    <cellStyle name="표준 6 2 3 15 3" xfId="5650"/>
    <cellStyle name="표준 6 2 3 15 3 2" xfId="11986"/>
    <cellStyle name="표준 6 2 3 15 3 2 2" xfId="24659"/>
    <cellStyle name="표준 6 2 3 15 3 2 2 2" xfId="50011"/>
    <cellStyle name="표준 6 2 3 15 3 2 3" xfId="37339"/>
    <cellStyle name="표준 6 2 3 15 3 3" xfId="18323"/>
    <cellStyle name="표준 6 2 3 15 3 3 2" xfId="43675"/>
    <cellStyle name="표준 6 2 3 15 3 4" xfId="31003"/>
    <cellStyle name="표준 6 2 3 15 3 5" xfId="55629"/>
    <cellStyle name="표준 6 2 3 15 4" xfId="8835"/>
    <cellStyle name="표준 6 2 3 15 4 2" xfId="21508"/>
    <cellStyle name="표준 6 2 3 15 4 2 2" xfId="46860"/>
    <cellStyle name="표준 6 2 3 15 4 3" xfId="34188"/>
    <cellStyle name="표준 6 2 3 15 5" xfId="15172"/>
    <cellStyle name="표준 6 2 3 15 5 2" xfId="40524"/>
    <cellStyle name="표준 6 2 3 15 6" xfId="27852"/>
    <cellStyle name="표준 6 2 3 15 7" xfId="55630"/>
    <cellStyle name="표준 6 2 3 16" xfId="2500"/>
    <cellStyle name="표준 6 2 3 16 2" xfId="2501"/>
    <cellStyle name="표준 6 2 3 16 2 2" xfId="5651"/>
    <cellStyle name="표준 6 2 3 16 2 2 2" xfId="11987"/>
    <cellStyle name="표준 6 2 3 16 2 2 2 2" xfId="24660"/>
    <cellStyle name="표준 6 2 3 16 2 2 2 2 2" xfId="50012"/>
    <cellStyle name="표준 6 2 3 16 2 2 2 3" xfId="37340"/>
    <cellStyle name="표준 6 2 3 16 2 2 3" xfId="18324"/>
    <cellStyle name="표준 6 2 3 16 2 2 3 2" xfId="43676"/>
    <cellStyle name="표준 6 2 3 16 2 2 4" xfId="31004"/>
    <cellStyle name="표준 6 2 3 16 2 2 5" xfId="55631"/>
    <cellStyle name="표준 6 2 3 16 2 3" xfId="8838"/>
    <cellStyle name="표준 6 2 3 16 2 3 2" xfId="21511"/>
    <cellStyle name="표준 6 2 3 16 2 3 2 2" xfId="46863"/>
    <cellStyle name="표준 6 2 3 16 2 3 3" xfId="34191"/>
    <cellStyle name="표준 6 2 3 16 2 4" xfId="15175"/>
    <cellStyle name="표준 6 2 3 16 2 4 2" xfId="40527"/>
    <cellStyle name="표준 6 2 3 16 2 5" xfId="27855"/>
    <cellStyle name="표준 6 2 3 16 2 6" xfId="55632"/>
    <cellStyle name="표준 6 2 3 16 3" xfId="5652"/>
    <cellStyle name="표준 6 2 3 16 3 2" xfId="11988"/>
    <cellStyle name="표준 6 2 3 16 3 2 2" xfId="24661"/>
    <cellStyle name="표준 6 2 3 16 3 2 2 2" xfId="50013"/>
    <cellStyle name="표준 6 2 3 16 3 2 3" xfId="37341"/>
    <cellStyle name="표준 6 2 3 16 3 3" xfId="18325"/>
    <cellStyle name="표준 6 2 3 16 3 3 2" xfId="43677"/>
    <cellStyle name="표준 6 2 3 16 3 4" xfId="31005"/>
    <cellStyle name="표준 6 2 3 16 3 5" xfId="55633"/>
    <cellStyle name="표준 6 2 3 16 4" xfId="8837"/>
    <cellStyle name="표준 6 2 3 16 4 2" xfId="21510"/>
    <cellStyle name="표준 6 2 3 16 4 2 2" xfId="46862"/>
    <cellStyle name="표준 6 2 3 16 4 3" xfId="34190"/>
    <cellStyle name="표준 6 2 3 16 5" xfId="15174"/>
    <cellStyle name="표준 6 2 3 16 5 2" xfId="40526"/>
    <cellStyle name="표준 6 2 3 16 6" xfId="27854"/>
    <cellStyle name="표준 6 2 3 16 7" xfId="55634"/>
    <cellStyle name="표준 6 2 3 17" xfId="2502"/>
    <cellStyle name="표준 6 2 3 17 2" xfId="2503"/>
    <cellStyle name="표준 6 2 3 17 2 2" xfId="5653"/>
    <cellStyle name="표준 6 2 3 17 2 2 2" xfId="11989"/>
    <cellStyle name="표준 6 2 3 17 2 2 2 2" xfId="24662"/>
    <cellStyle name="표준 6 2 3 17 2 2 2 2 2" xfId="50014"/>
    <cellStyle name="표준 6 2 3 17 2 2 2 3" xfId="37342"/>
    <cellStyle name="표준 6 2 3 17 2 2 3" xfId="18326"/>
    <cellStyle name="표준 6 2 3 17 2 2 3 2" xfId="43678"/>
    <cellStyle name="표준 6 2 3 17 2 2 4" xfId="31006"/>
    <cellStyle name="표준 6 2 3 17 2 2 5" xfId="55635"/>
    <cellStyle name="표준 6 2 3 17 2 3" xfId="8840"/>
    <cellStyle name="표준 6 2 3 17 2 3 2" xfId="21513"/>
    <cellStyle name="표준 6 2 3 17 2 3 2 2" xfId="46865"/>
    <cellStyle name="표준 6 2 3 17 2 3 3" xfId="34193"/>
    <cellStyle name="표준 6 2 3 17 2 4" xfId="15177"/>
    <cellStyle name="표준 6 2 3 17 2 4 2" xfId="40529"/>
    <cellStyle name="표준 6 2 3 17 2 5" xfId="27857"/>
    <cellStyle name="표준 6 2 3 17 2 6" xfId="55636"/>
    <cellStyle name="표준 6 2 3 17 3" xfId="5654"/>
    <cellStyle name="표준 6 2 3 17 3 2" xfId="11990"/>
    <cellStyle name="표준 6 2 3 17 3 2 2" xfId="24663"/>
    <cellStyle name="표준 6 2 3 17 3 2 2 2" xfId="50015"/>
    <cellStyle name="표준 6 2 3 17 3 2 3" xfId="37343"/>
    <cellStyle name="표준 6 2 3 17 3 3" xfId="18327"/>
    <cellStyle name="표준 6 2 3 17 3 3 2" xfId="43679"/>
    <cellStyle name="표준 6 2 3 17 3 4" xfId="31007"/>
    <cellStyle name="표준 6 2 3 17 3 5" xfId="55637"/>
    <cellStyle name="표준 6 2 3 17 4" xfId="8839"/>
    <cellStyle name="표준 6 2 3 17 4 2" xfId="21512"/>
    <cellStyle name="표준 6 2 3 17 4 2 2" xfId="46864"/>
    <cellStyle name="표준 6 2 3 17 4 3" xfId="34192"/>
    <cellStyle name="표준 6 2 3 17 5" xfId="15176"/>
    <cellStyle name="표준 6 2 3 17 5 2" xfId="40528"/>
    <cellStyle name="표준 6 2 3 17 6" xfId="27856"/>
    <cellStyle name="표준 6 2 3 17 7" xfId="55638"/>
    <cellStyle name="표준 6 2 3 18" xfId="2504"/>
    <cellStyle name="표준 6 2 3 18 2" xfId="2505"/>
    <cellStyle name="표준 6 2 3 18 2 2" xfId="5655"/>
    <cellStyle name="표준 6 2 3 18 2 2 2" xfId="11991"/>
    <cellStyle name="표준 6 2 3 18 2 2 2 2" xfId="24664"/>
    <cellStyle name="표준 6 2 3 18 2 2 2 2 2" xfId="50016"/>
    <cellStyle name="표준 6 2 3 18 2 2 2 3" xfId="37344"/>
    <cellStyle name="표준 6 2 3 18 2 2 3" xfId="18328"/>
    <cellStyle name="표준 6 2 3 18 2 2 3 2" xfId="43680"/>
    <cellStyle name="표준 6 2 3 18 2 2 4" xfId="31008"/>
    <cellStyle name="표준 6 2 3 18 2 2 5" xfId="55639"/>
    <cellStyle name="표준 6 2 3 18 2 3" xfId="8842"/>
    <cellStyle name="표준 6 2 3 18 2 3 2" xfId="21515"/>
    <cellStyle name="표준 6 2 3 18 2 3 2 2" xfId="46867"/>
    <cellStyle name="표준 6 2 3 18 2 3 3" xfId="34195"/>
    <cellStyle name="표준 6 2 3 18 2 4" xfId="15179"/>
    <cellStyle name="표준 6 2 3 18 2 4 2" xfId="40531"/>
    <cellStyle name="표준 6 2 3 18 2 5" xfId="27859"/>
    <cellStyle name="표준 6 2 3 18 2 6" xfId="55640"/>
    <cellStyle name="표준 6 2 3 18 3" xfId="5656"/>
    <cellStyle name="표준 6 2 3 18 3 2" xfId="11992"/>
    <cellStyle name="표준 6 2 3 18 3 2 2" xfId="24665"/>
    <cellStyle name="표준 6 2 3 18 3 2 2 2" xfId="50017"/>
    <cellStyle name="표준 6 2 3 18 3 2 3" xfId="37345"/>
    <cellStyle name="표준 6 2 3 18 3 3" xfId="18329"/>
    <cellStyle name="표준 6 2 3 18 3 3 2" xfId="43681"/>
    <cellStyle name="표준 6 2 3 18 3 4" xfId="31009"/>
    <cellStyle name="표준 6 2 3 18 3 5" xfId="55641"/>
    <cellStyle name="표준 6 2 3 18 4" xfId="8841"/>
    <cellStyle name="표준 6 2 3 18 4 2" xfId="21514"/>
    <cellStyle name="표준 6 2 3 18 4 2 2" xfId="46866"/>
    <cellStyle name="표준 6 2 3 18 4 3" xfId="34194"/>
    <cellStyle name="표준 6 2 3 18 5" xfId="15178"/>
    <cellStyle name="표준 6 2 3 18 5 2" xfId="40530"/>
    <cellStyle name="표준 6 2 3 18 6" xfId="27858"/>
    <cellStyle name="표준 6 2 3 18 7" xfId="55642"/>
    <cellStyle name="표준 6 2 3 19" xfId="2506"/>
    <cellStyle name="표준 6 2 3 19 2" xfId="2507"/>
    <cellStyle name="표준 6 2 3 19 2 2" xfId="5657"/>
    <cellStyle name="표준 6 2 3 19 2 2 2" xfId="11993"/>
    <cellStyle name="표준 6 2 3 19 2 2 2 2" xfId="24666"/>
    <cellStyle name="표준 6 2 3 19 2 2 2 2 2" xfId="50018"/>
    <cellStyle name="표준 6 2 3 19 2 2 2 3" xfId="37346"/>
    <cellStyle name="표준 6 2 3 19 2 2 3" xfId="18330"/>
    <cellStyle name="표준 6 2 3 19 2 2 3 2" xfId="43682"/>
    <cellStyle name="표준 6 2 3 19 2 2 4" xfId="31010"/>
    <cellStyle name="표준 6 2 3 19 2 2 5" xfId="55643"/>
    <cellStyle name="표준 6 2 3 19 2 3" xfId="8844"/>
    <cellStyle name="표준 6 2 3 19 2 3 2" xfId="21517"/>
    <cellStyle name="표준 6 2 3 19 2 3 2 2" xfId="46869"/>
    <cellStyle name="표준 6 2 3 19 2 3 3" xfId="34197"/>
    <cellStyle name="표준 6 2 3 19 2 4" xfId="15181"/>
    <cellStyle name="표준 6 2 3 19 2 4 2" xfId="40533"/>
    <cellStyle name="표준 6 2 3 19 2 5" xfId="27861"/>
    <cellStyle name="표준 6 2 3 19 2 6" xfId="55644"/>
    <cellStyle name="표준 6 2 3 19 3" xfId="5658"/>
    <cellStyle name="표준 6 2 3 19 3 2" xfId="11994"/>
    <cellStyle name="표준 6 2 3 19 3 2 2" xfId="24667"/>
    <cellStyle name="표준 6 2 3 19 3 2 2 2" xfId="50019"/>
    <cellStyle name="표준 6 2 3 19 3 2 3" xfId="37347"/>
    <cellStyle name="표준 6 2 3 19 3 3" xfId="18331"/>
    <cellStyle name="표준 6 2 3 19 3 3 2" xfId="43683"/>
    <cellStyle name="표준 6 2 3 19 3 4" xfId="31011"/>
    <cellStyle name="표준 6 2 3 19 3 5" xfId="55645"/>
    <cellStyle name="표준 6 2 3 19 4" xfId="8843"/>
    <cellStyle name="표준 6 2 3 19 4 2" xfId="21516"/>
    <cellStyle name="표준 6 2 3 19 4 2 2" xfId="46868"/>
    <cellStyle name="표준 6 2 3 19 4 3" xfId="34196"/>
    <cellStyle name="표준 6 2 3 19 5" xfId="15180"/>
    <cellStyle name="표준 6 2 3 19 5 2" xfId="40532"/>
    <cellStyle name="표준 6 2 3 19 6" xfId="27860"/>
    <cellStyle name="표준 6 2 3 19 7" xfId="55646"/>
    <cellStyle name="표준 6 2 3 2" xfId="93"/>
    <cellStyle name="표준 6 2 3 2 10" xfId="2508"/>
    <cellStyle name="표준 6 2 3 2 10 2" xfId="2509"/>
    <cellStyle name="표준 6 2 3 2 10 2 2" xfId="5659"/>
    <cellStyle name="표준 6 2 3 2 10 2 2 2" xfId="11995"/>
    <cellStyle name="표준 6 2 3 2 10 2 2 2 2" xfId="24668"/>
    <cellStyle name="표준 6 2 3 2 10 2 2 2 2 2" xfId="50020"/>
    <cellStyle name="표준 6 2 3 2 10 2 2 2 3" xfId="37348"/>
    <cellStyle name="표준 6 2 3 2 10 2 2 3" xfId="18332"/>
    <cellStyle name="표준 6 2 3 2 10 2 2 3 2" xfId="43684"/>
    <cellStyle name="표준 6 2 3 2 10 2 2 4" xfId="31012"/>
    <cellStyle name="표준 6 2 3 2 10 2 2 5" xfId="55647"/>
    <cellStyle name="표준 6 2 3 2 10 2 3" xfId="8846"/>
    <cellStyle name="표준 6 2 3 2 10 2 3 2" xfId="21519"/>
    <cellStyle name="표준 6 2 3 2 10 2 3 2 2" xfId="46871"/>
    <cellStyle name="표준 6 2 3 2 10 2 3 3" xfId="34199"/>
    <cellStyle name="표준 6 2 3 2 10 2 4" xfId="15183"/>
    <cellStyle name="표준 6 2 3 2 10 2 4 2" xfId="40535"/>
    <cellStyle name="표준 6 2 3 2 10 2 5" xfId="27863"/>
    <cellStyle name="표준 6 2 3 2 10 2 6" xfId="55648"/>
    <cellStyle name="표준 6 2 3 2 10 3" xfId="5660"/>
    <cellStyle name="표준 6 2 3 2 10 3 2" xfId="11996"/>
    <cellStyle name="표준 6 2 3 2 10 3 2 2" xfId="24669"/>
    <cellStyle name="표준 6 2 3 2 10 3 2 2 2" xfId="50021"/>
    <cellStyle name="표준 6 2 3 2 10 3 2 3" xfId="37349"/>
    <cellStyle name="표준 6 2 3 2 10 3 3" xfId="18333"/>
    <cellStyle name="표준 6 2 3 2 10 3 3 2" xfId="43685"/>
    <cellStyle name="표준 6 2 3 2 10 3 4" xfId="31013"/>
    <cellStyle name="표준 6 2 3 2 10 3 5" xfId="55649"/>
    <cellStyle name="표준 6 2 3 2 10 4" xfId="8845"/>
    <cellStyle name="표준 6 2 3 2 10 4 2" xfId="21518"/>
    <cellStyle name="표준 6 2 3 2 10 4 2 2" xfId="46870"/>
    <cellStyle name="표준 6 2 3 2 10 4 3" xfId="34198"/>
    <cellStyle name="표준 6 2 3 2 10 5" xfId="15182"/>
    <cellStyle name="표준 6 2 3 2 10 5 2" xfId="40534"/>
    <cellStyle name="표준 6 2 3 2 10 6" xfId="27862"/>
    <cellStyle name="표준 6 2 3 2 10 7" xfId="55650"/>
    <cellStyle name="표준 6 2 3 2 11" xfId="2510"/>
    <cellStyle name="표준 6 2 3 2 11 2" xfId="2511"/>
    <cellStyle name="표준 6 2 3 2 11 2 2" xfId="5661"/>
    <cellStyle name="표준 6 2 3 2 11 2 2 2" xfId="11997"/>
    <cellStyle name="표준 6 2 3 2 11 2 2 2 2" xfId="24670"/>
    <cellStyle name="표준 6 2 3 2 11 2 2 2 2 2" xfId="50022"/>
    <cellStyle name="표준 6 2 3 2 11 2 2 2 3" xfId="37350"/>
    <cellStyle name="표준 6 2 3 2 11 2 2 3" xfId="18334"/>
    <cellStyle name="표준 6 2 3 2 11 2 2 3 2" xfId="43686"/>
    <cellStyle name="표준 6 2 3 2 11 2 2 4" xfId="31014"/>
    <cellStyle name="표준 6 2 3 2 11 2 2 5" xfId="55651"/>
    <cellStyle name="표준 6 2 3 2 11 2 3" xfId="8848"/>
    <cellStyle name="표준 6 2 3 2 11 2 3 2" xfId="21521"/>
    <cellStyle name="표준 6 2 3 2 11 2 3 2 2" xfId="46873"/>
    <cellStyle name="표준 6 2 3 2 11 2 3 3" xfId="34201"/>
    <cellStyle name="표준 6 2 3 2 11 2 4" xfId="15185"/>
    <cellStyle name="표준 6 2 3 2 11 2 4 2" xfId="40537"/>
    <cellStyle name="표준 6 2 3 2 11 2 5" xfId="27865"/>
    <cellStyle name="표준 6 2 3 2 11 2 6" xfId="55652"/>
    <cellStyle name="표준 6 2 3 2 11 3" xfId="5662"/>
    <cellStyle name="표준 6 2 3 2 11 3 2" xfId="11998"/>
    <cellStyle name="표준 6 2 3 2 11 3 2 2" xfId="24671"/>
    <cellStyle name="표준 6 2 3 2 11 3 2 2 2" xfId="50023"/>
    <cellStyle name="표준 6 2 3 2 11 3 2 3" xfId="37351"/>
    <cellStyle name="표준 6 2 3 2 11 3 3" xfId="18335"/>
    <cellStyle name="표준 6 2 3 2 11 3 3 2" xfId="43687"/>
    <cellStyle name="표준 6 2 3 2 11 3 4" xfId="31015"/>
    <cellStyle name="표준 6 2 3 2 11 3 5" xfId="55653"/>
    <cellStyle name="표준 6 2 3 2 11 4" xfId="8847"/>
    <cellStyle name="표준 6 2 3 2 11 4 2" xfId="21520"/>
    <cellStyle name="표준 6 2 3 2 11 4 2 2" xfId="46872"/>
    <cellStyle name="표준 6 2 3 2 11 4 3" xfId="34200"/>
    <cellStyle name="표준 6 2 3 2 11 5" xfId="15184"/>
    <cellStyle name="표준 6 2 3 2 11 5 2" xfId="40536"/>
    <cellStyle name="표준 6 2 3 2 11 6" xfId="27864"/>
    <cellStyle name="표준 6 2 3 2 11 7" xfId="55654"/>
    <cellStyle name="표준 6 2 3 2 12" xfId="2512"/>
    <cellStyle name="표준 6 2 3 2 12 2" xfId="2513"/>
    <cellStyle name="표준 6 2 3 2 12 2 2" xfId="5663"/>
    <cellStyle name="표준 6 2 3 2 12 2 2 2" xfId="11999"/>
    <cellStyle name="표준 6 2 3 2 12 2 2 2 2" xfId="24672"/>
    <cellStyle name="표준 6 2 3 2 12 2 2 2 2 2" xfId="50024"/>
    <cellStyle name="표준 6 2 3 2 12 2 2 2 3" xfId="37352"/>
    <cellStyle name="표준 6 2 3 2 12 2 2 3" xfId="18336"/>
    <cellStyle name="표준 6 2 3 2 12 2 2 3 2" xfId="43688"/>
    <cellStyle name="표준 6 2 3 2 12 2 2 4" xfId="31016"/>
    <cellStyle name="표준 6 2 3 2 12 2 2 5" xfId="55655"/>
    <cellStyle name="표준 6 2 3 2 12 2 3" xfId="8850"/>
    <cellStyle name="표준 6 2 3 2 12 2 3 2" xfId="21523"/>
    <cellStyle name="표준 6 2 3 2 12 2 3 2 2" xfId="46875"/>
    <cellStyle name="표준 6 2 3 2 12 2 3 3" xfId="34203"/>
    <cellStyle name="표준 6 2 3 2 12 2 4" xfId="15187"/>
    <cellStyle name="표준 6 2 3 2 12 2 4 2" xfId="40539"/>
    <cellStyle name="표준 6 2 3 2 12 2 5" xfId="27867"/>
    <cellStyle name="표준 6 2 3 2 12 2 6" xfId="55656"/>
    <cellStyle name="표준 6 2 3 2 12 3" xfId="5664"/>
    <cellStyle name="표준 6 2 3 2 12 3 2" xfId="12000"/>
    <cellStyle name="표준 6 2 3 2 12 3 2 2" xfId="24673"/>
    <cellStyle name="표준 6 2 3 2 12 3 2 2 2" xfId="50025"/>
    <cellStyle name="표준 6 2 3 2 12 3 2 3" xfId="37353"/>
    <cellStyle name="표준 6 2 3 2 12 3 3" xfId="18337"/>
    <cellStyle name="표준 6 2 3 2 12 3 3 2" xfId="43689"/>
    <cellStyle name="표준 6 2 3 2 12 3 4" xfId="31017"/>
    <cellStyle name="표준 6 2 3 2 12 3 5" xfId="55657"/>
    <cellStyle name="표준 6 2 3 2 12 4" xfId="8849"/>
    <cellStyle name="표준 6 2 3 2 12 4 2" xfId="21522"/>
    <cellStyle name="표준 6 2 3 2 12 4 2 2" xfId="46874"/>
    <cellStyle name="표준 6 2 3 2 12 4 3" xfId="34202"/>
    <cellStyle name="표준 6 2 3 2 12 5" xfId="15186"/>
    <cellStyle name="표준 6 2 3 2 12 5 2" xfId="40538"/>
    <cellStyle name="표준 6 2 3 2 12 6" xfId="27866"/>
    <cellStyle name="표준 6 2 3 2 12 7" xfId="55658"/>
    <cellStyle name="표준 6 2 3 2 13" xfId="2514"/>
    <cellStyle name="표준 6 2 3 2 13 2" xfId="2515"/>
    <cellStyle name="표준 6 2 3 2 13 2 2" xfId="5665"/>
    <cellStyle name="표준 6 2 3 2 13 2 2 2" xfId="12001"/>
    <cellStyle name="표준 6 2 3 2 13 2 2 2 2" xfId="24674"/>
    <cellStyle name="표준 6 2 3 2 13 2 2 2 2 2" xfId="50026"/>
    <cellStyle name="표준 6 2 3 2 13 2 2 2 3" xfId="37354"/>
    <cellStyle name="표준 6 2 3 2 13 2 2 3" xfId="18338"/>
    <cellStyle name="표준 6 2 3 2 13 2 2 3 2" xfId="43690"/>
    <cellStyle name="표준 6 2 3 2 13 2 2 4" xfId="31018"/>
    <cellStyle name="표준 6 2 3 2 13 2 2 5" xfId="55659"/>
    <cellStyle name="표준 6 2 3 2 13 2 3" xfId="8852"/>
    <cellStyle name="표준 6 2 3 2 13 2 3 2" xfId="21525"/>
    <cellStyle name="표준 6 2 3 2 13 2 3 2 2" xfId="46877"/>
    <cellStyle name="표준 6 2 3 2 13 2 3 3" xfId="34205"/>
    <cellStyle name="표준 6 2 3 2 13 2 4" xfId="15189"/>
    <cellStyle name="표준 6 2 3 2 13 2 4 2" xfId="40541"/>
    <cellStyle name="표준 6 2 3 2 13 2 5" xfId="27869"/>
    <cellStyle name="표준 6 2 3 2 13 2 6" xfId="55660"/>
    <cellStyle name="표준 6 2 3 2 13 3" xfId="5666"/>
    <cellStyle name="표준 6 2 3 2 13 3 2" xfId="12002"/>
    <cellStyle name="표준 6 2 3 2 13 3 2 2" xfId="24675"/>
    <cellStyle name="표준 6 2 3 2 13 3 2 2 2" xfId="50027"/>
    <cellStyle name="표준 6 2 3 2 13 3 2 3" xfId="37355"/>
    <cellStyle name="표준 6 2 3 2 13 3 3" xfId="18339"/>
    <cellStyle name="표준 6 2 3 2 13 3 3 2" xfId="43691"/>
    <cellStyle name="표준 6 2 3 2 13 3 4" xfId="31019"/>
    <cellStyle name="표준 6 2 3 2 13 3 5" xfId="55661"/>
    <cellStyle name="표준 6 2 3 2 13 4" xfId="8851"/>
    <cellStyle name="표준 6 2 3 2 13 4 2" xfId="21524"/>
    <cellStyle name="표준 6 2 3 2 13 4 2 2" xfId="46876"/>
    <cellStyle name="표준 6 2 3 2 13 4 3" xfId="34204"/>
    <cellStyle name="표준 6 2 3 2 13 5" xfId="15188"/>
    <cellStyle name="표준 6 2 3 2 13 5 2" xfId="40540"/>
    <cellStyle name="표준 6 2 3 2 13 6" xfId="27868"/>
    <cellStyle name="표준 6 2 3 2 13 7" xfId="55662"/>
    <cellStyle name="표준 6 2 3 2 14" xfId="2516"/>
    <cellStyle name="표준 6 2 3 2 14 2" xfId="2517"/>
    <cellStyle name="표준 6 2 3 2 14 2 2" xfId="5667"/>
    <cellStyle name="표준 6 2 3 2 14 2 2 2" xfId="12003"/>
    <cellStyle name="표준 6 2 3 2 14 2 2 2 2" xfId="24676"/>
    <cellStyle name="표준 6 2 3 2 14 2 2 2 2 2" xfId="50028"/>
    <cellStyle name="표준 6 2 3 2 14 2 2 2 3" xfId="37356"/>
    <cellStyle name="표준 6 2 3 2 14 2 2 3" xfId="18340"/>
    <cellStyle name="표준 6 2 3 2 14 2 2 3 2" xfId="43692"/>
    <cellStyle name="표준 6 2 3 2 14 2 2 4" xfId="31020"/>
    <cellStyle name="표준 6 2 3 2 14 2 2 5" xfId="55663"/>
    <cellStyle name="표준 6 2 3 2 14 2 3" xfId="8854"/>
    <cellStyle name="표준 6 2 3 2 14 2 3 2" xfId="21527"/>
    <cellStyle name="표준 6 2 3 2 14 2 3 2 2" xfId="46879"/>
    <cellStyle name="표준 6 2 3 2 14 2 3 3" xfId="34207"/>
    <cellStyle name="표준 6 2 3 2 14 2 4" xfId="15191"/>
    <cellStyle name="표준 6 2 3 2 14 2 4 2" xfId="40543"/>
    <cellStyle name="표준 6 2 3 2 14 2 5" xfId="27871"/>
    <cellStyle name="표준 6 2 3 2 14 2 6" xfId="55664"/>
    <cellStyle name="표준 6 2 3 2 14 3" xfId="5668"/>
    <cellStyle name="표준 6 2 3 2 14 3 2" xfId="12004"/>
    <cellStyle name="표준 6 2 3 2 14 3 2 2" xfId="24677"/>
    <cellStyle name="표준 6 2 3 2 14 3 2 2 2" xfId="50029"/>
    <cellStyle name="표준 6 2 3 2 14 3 2 3" xfId="37357"/>
    <cellStyle name="표준 6 2 3 2 14 3 3" xfId="18341"/>
    <cellStyle name="표준 6 2 3 2 14 3 3 2" xfId="43693"/>
    <cellStyle name="표준 6 2 3 2 14 3 4" xfId="31021"/>
    <cellStyle name="표준 6 2 3 2 14 3 5" xfId="55665"/>
    <cellStyle name="표준 6 2 3 2 14 4" xfId="8853"/>
    <cellStyle name="표준 6 2 3 2 14 4 2" xfId="21526"/>
    <cellStyle name="표준 6 2 3 2 14 4 2 2" xfId="46878"/>
    <cellStyle name="표준 6 2 3 2 14 4 3" xfId="34206"/>
    <cellStyle name="표준 6 2 3 2 14 5" xfId="15190"/>
    <cellStyle name="표준 6 2 3 2 14 5 2" xfId="40542"/>
    <cellStyle name="표준 6 2 3 2 14 6" xfId="27870"/>
    <cellStyle name="표준 6 2 3 2 14 7" xfId="55666"/>
    <cellStyle name="표준 6 2 3 2 15" xfId="2518"/>
    <cellStyle name="표준 6 2 3 2 15 2" xfId="2519"/>
    <cellStyle name="표준 6 2 3 2 15 2 2" xfId="5669"/>
    <cellStyle name="표준 6 2 3 2 15 2 2 2" xfId="12005"/>
    <cellStyle name="표준 6 2 3 2 15 2 2 2 2" xfId="24678"/>
    <cellStyle name="표준 6 2 3 2 15 2 2 2 2 2" xfId="50030"/>
    <cellStyle name="표준 6 2 3 2 15 2 2 2 3" xfId="37358"/>
    <cellStyle name="표준 6 2 3 2 15 2 2 3" xfId="18342"/>
    <cellStyle name="표준 6 2 3 2 15 2 2 3 2" xfId="43694"/>
    <cellStyle name="표준 6 2 3 2 15 2 2 4" xfId="31022"/>
    <cellStyle name="표준 6 2 3 2 15 2 2 5" xfId="55667"/>
    <cellStyle name="표준 6 2 3 2 15 2 3" xfId="8856"/>
    <cellStyle name="표준 6 2 3 2 15 2 3 2" xfId="21529"/>
    <cellStyle name="표준 6 2 3 2 15 2 3 2 2" xfId="46881"/>
    <cellStyle name="표준 6 2 3 2 15 2 3 3" xfId="34209"/>
    <cellStyle name="표준 6 2 3 2 15 2 4" xfId="15193"/>
    <cellStyle name="표준 6 2 3 2 15 2 4 2" xfId="40545"/>
    <cellStyle name="표준 6 2 3 2 15 2 5" xfId="27873"/>
    <cellStyle name="표준 6 2 3 2 15 2 6" xfId="55668"/>
    <cellStyle name="표준 6 2 3 2 15 3" xfId="5670"/>
    <cellStyle name="표준 6 2 3 2 15 3 2" xfId="12006"/>
    <cellStyle name="표준 6 2 3 2 15 3 2 2" xfId="24679"/>
    <cellStyle name="표준 6 2 3 2 15 3 2 2 2" xfId="50031"/>
    <cellStyle name="표준 6 2 3 2 15 3 2 3" xfId="37359"/>
    <cellStyle name="표준 6 2 3 2 15 3 3" xfId="18343"/>
    <cellStyle name="표준 6 2 3 2 15 3 3 2" xfId="43695"/>
    <cellStyle name="표준 6 2 3 2 15 3 4" xfId="31023"/>
    <cellStyle name="표준 6 2 3 2 15 3 5" xfId="55669"/>
    <cellStyle name="표준 6 2 3 2 15 4" xfId="8855"/>
    <cellStyle name="표준 6 2 3 2 15 4 2" xfId="21528"/>
    <cellStyle name="표준 6 2 3 2 15 4 2 2" xfId="46880"/>
    <cellStyle name="표준 6 2 3 2 15 4 3" xfId="34208"/>
    <cellStyle name="표준 6 2 3 2 15 5" xfId="15192"/>
    <cellStyle name="표준 6 2 3 2 15 5 2" xfId="40544"/>
    <cellStyle name="표준 6 2 3 2 15 6" xfId="27872"/>
    <cellStyle name="표준 6 2 3 2 15 7" xfId="55670"/>
    <cellStyle name="표준 6 2 3 2 16" xfId="2520"/>
    <cellStyle name="표준 6 2 3 2 16 2" xfId="2521"/>
    <cellStyle name="표준 6 2 3 2 16 2 2" xfId="5671"/>
    <cellStyle name="표준 6 2 3 2 16 2 2 2" xfId="12007"/>
    <cellStyle name="표준 6 2 3 2 16 2 2 2 2" xfId="24680"/>
    <cellStyle name="표준 6 2 3 2 16 2 2 2 2 2" xfId="50032"/>
    <cellStyle name="표준 6 2 3 2 16 2 2 2 3" xfId="37360"/>
    <cellStyle name="표준 6 2 3 2 16 2 2 3" xfId="18344"/>
    <cellStyle name="표준 6 2 3 2 16 2 2 3 2" xfId="43696"/>
    <cellStyle name="표준 6 2 3 2 16 2 2 4" xfId="31024"/>
    <cellStyle name="표준 6 2 3 2 16 2 2 5" xfId="55671"/>
    <cellStyle name="표준 6 2 3 2 16 2 3" xfId="8858"/>
    <cellStyle name="표준 6 2 3 2 16 2 3 2" xfId="21531"/>
    <cellStyle name="표준 6 2 3 2 16 2 3 2 2" xfId="46883"/>
    <cellStyle name="표준 6 2 3 2 16 2 3 3" xfId="34211"/>
    <cellStyle name="표준 6 2 3 2 16 2 4" xfId="15195"/>
    <cellStyle name="표준 6 2 3 2 16 2 4 2" xfId="40547"/>
    <cellStyle name="표준 6 2 3 2 16 2 5" xfId="27875"/>
    <cellStyle name="표준 6 2 3 2 16 2 6" xfId="55672"/>
    <cellStyle name="표준 6 2 3 2 16 3" xfId="5672"/>
    <cellStyle name="표준 6 2 3 2 16 3 2" xfId="12008"/>
    <cellStyle name="표준 6 2 3 2 16 3 2 2" xfId="24681"/>
    <cellStyle name="표준 6 2 3 2 16 3 2 2 2" xfId="50033"/>
    <cellStyle name="표준 6 2 3 2 16 3 2 3" xfId="37361"/>
    <cellStyle name="표준 6 2 3 2 16 3 3" xfId="18345"/>
    <cellStyle name="표준 6 2 3 2 16 3 3 2" xfId="43697"/>
    <cellStyle name="표준 6 2 3 2 16 3 4" xfId="31025"/>
    <cellStyle name="표준 6 2 3 2 16 3 5" xfId="55673"/>
    <cellStyle name="표준 6 2 3 2 16 4" xfId="8857"/>
    <cellStyle name="표준 6 2 3 2 16 4 2" xfId="21530"/>
    <cellStyle name="표준 6 2 3 2 16 4 2 2" xfId="46882"/>
    <cellStyle name="표준 6 2 3 2 16 4 3" xfId="34210"/>
    <cellStyle name="표준 6 2 3 2 16 5" xfId="15194"/>
    <cellStyle name="표준 6 2 3 2 16 5 2" xfId="40546"/>
    <cellStyle name="표준 6 2 3 2 16 6" xfId="27874"/>
    <cellStyle name="표준 6 2 3 2 16 7" xfId="55674"/>
    <cellStyle name="표준 6 2 3 2 17" xfId="2522"/>
    <cellStyle name="표준 6 2 3 2 17 2" xfId="2523"/>
    <cellStyle name="표준 6 2 3 2 17 2 2" xfId="5673"/>
    <cellStyle name="표준 6 2 3 2 17 2 2 2" xfId="12009"/>
    <cellStyle name="표준 6 2 3 2 17 2 2 2 2" xfId="24682"/>
    <cellStyle name="표준 6 2 3 2 17 2 2 2 2 2" xfId="50034"/>
    <cellStyle name="표준 6 2 3 2 17 2 2 2 3" xfId="37362"/>
    <cellStyle name="표준 6 2 3 2 17 2 2 3" xfId="18346"/>
    <cellStyle name="표준 6 2 3 2 17 2 2 3 2" xfId="43698"/>
    <cellStyle name="표준 6 2 3 2 17 2 2 4" xfId="31026"/>
    <cellStyle name="표준 6 2 3 2 17 2 2 5" xfId="55675"/>
    <cellStyle name="표준 6 2 3 2 17 2 3" xfId="8860"/>
    <cellStyle name="표준 6 2 3 2 17 2 3 2" xfId="21533"/>
    <cellStyle name="표준 6 2 3 2 17 2 3 2 2" xfId="46885"/>
    <cellStyle name="표준 6 2 3 2 17 2 3 3" xfId="34213"/>
    <cellStyle name="표준 6 2 3 2 17 2 4" xfId="15197"/>
    <cellStyle name="표준 6 2 3 2 17 2 4 2" xfId="40549"/>
    <cellStyle name="표준 6 2 3 2 17 2 5" xfId="27877"/>
    <cellStyle name="표준 6 2 3 2 17 2 6" xfId="55676"/>
    <cellStyle name="표준 6 2 3 2 17 3" xfId="5674"/>
    <cellStyle name="표준 6 2 3 2 17 3 2" xfId="12010"/>
    <cellStyle name="표준 6 2 3 2 17 3 2 2" xfId="24683"/>
    <cellStyle name="표준 6 2 3 2 17 3 2 2 2" xfId="50035"/>
    <cellStyle name="표준 6 2 3 2 17 3 2 3" xfId="37363"/>
    <cellStyle name="표준 6 2 3 2 17 3 3" xfId="18347"/>
    <cellStyle name="표준 6 2 3 2 17 3 3 2" xfId="43699"/>
    <cellStyle name="표준 6 2 3 2 17 3 4" xfId="31027"/>
    <cellStyle name="표준 6 2 3 2 17 3 5" xfId="55677"/>
    <cellStyle name="표준 6 2 3 2 17 4" xfId="8859"/>
    <cellStyle name="표준 6 2 3 2 17 4 2" xfId="21532"/>
    <cellStyle name="표준 6 2 3 2 17 4 2 2" xfId="46884"/>
    <cellStyle name="표준 6 2 3 2 17 4 3" xfId="34212"/>
    <cellStyle name="표준 6 2 3 2 17 5" xfId="15196"/>
    <cellStyle name="표준 6 2 3 2 17 5 2" xfId="40548"/>
    <cellStyle name="표준 6 2 3 2 17 6" xfId="27876"/>
    <cellStyle name="표준 6 2 3 2 17 7" xfId="55678"/>
    <cellStyle name="표준 6 2 3 2 18" xfId="2524"/>
    <cellStyle name="표준 6 2 3 2 18 2" xfId="2525"/>
    <cellStyle name="표준 6 2 3 2 18 2 2" xfId="5675"/>
    <cellStyle name="표준 6 2 3 2 18 2 2 2" xfId="12011"/>
    <cellStyle name="표준 6 2 3 2 18 2 2 2 2" xfId="24684"/>
    <cellStyle name="표준 6 2 3 2 18 2 2 2 2 2" xfId="50036"/>
    <cellStyle name="표준 6 2 3 2 18 2 2 2 3" xfId="37364"/>
    <cellStyle name="표준 6 2 3 2 18 2 2 3" xfId="18348"/>
    <cellStyle name="표준 6 2 3 2 18 2 2 3 2" xfId="43700"/>
    <cellStyle name="표준 6 2 3 2 18 2 2 4" xfId="31028"/>
    <cellStyle name="표준 6 2 3 2 18 2 2 5" xfId="55679"/>
    <cellStyle name="표준 6 2 3 2 18 2 3" xfId="8862"/>
    <cellStyle name="표준 6 2 3 2 18 2 3 2" xfId="21535"/>
    <cellStyle name="표준 6 2 3 2 18 2 3 2 2" xfId="46887"/>
    <cellStyle name="표준 6 2 3 2 18 2 3 3" xfId="34215"/>
    <cellStyle name="표준 6 2 3 2 18 2 4" xfId="15199"/>
    <cellStyle name="표준 6 2 3 2 18 2 4 2" xfId="40551"/>
    <cellStyle name="표준 6 2 3 2 18 2 5" xfId="27879"/>
    <cellStyle name="표준 6 2 3 2 18 2 6" xfId="55680"/>
    <cellStyle name="표준 6 2 3 2 18 3" xfId="5676"/>
    <cellStyle name="표준 6 2 3 2 18 3 2" xfId="12012"/>
    <cellStyle name="표준 6 2 3 2 18 3 2 2" xfId="24685"/>
    <cellStyle name="표준 6 2 3 2 18 3 2 2 2" xfId="50037"/>
    <cellStyle name="표준 6 2 3 2 18 3 2 3" xfId="37365"/>
    <cellStyle name="표준 6 2 3 2 18 3 3" xfId="18349"/>
    <cellStyle name="표준 6 2 3 2 18 3 3 2" xfId="43701"/>
    <cellStyle name="표준 6 2 3 2 18 3 4" xfId="31029"/>
    <cellStyle name="표준 6 2 3 2 18 3 5" xfId="55681"/>
    <cellStyle name="표준 6 2 3 2 18 4" xfId="8861"/>
    <cellStyle name="표준 6 2 3 2 18 4 2" xfId="21534"/>
    <cellStyle name="표준 6 2 3 2 18 4 2 2" xfId="46886"/>
    <cellStyle name="표준 6 2 3 2 18 4 3" xfId="34214"/>
    <cellStyle name="표준 6 2 3 2 18 5" xfId="15198"/>
    <cellStyle name="표준 6 2 3 2 18 5 2" xfId="40550"/>
    <cellStyle name="표준 6 2 3 2 18 6" xfId="27878"/>
    <cellStyle name="표준 6 2 3 2 18 7" xfId="55682"/>
    <cellStyle name="표준 6 2 3 2 19" xfId="2526"/>
    <cellStyle name="표준 6 2 3 2 19 2" xfId="2527"/>
    <cellStyle name="표준 6 2 3 2 19 2 2" xfId="5677"/>
    <cellStyle name="표준 6 2 3 2 19 2 2 2" xfId="12013"/>
    <cellStyle name="표준 6 2 3 2 19 2 2 2 2" xfId="24686"/>
    <cellStyle name="표준 6 2 3 2 19 2 2 2 2 2" xfId="50038"/>
    <cellStyle name="표준 6 2 3 2 19 2 2 2 3" xfId="37366"/>
    <cellStyle name="표준 6 2 3 2 19 2 2 3" xfId="18350"/>
    <cellStyle name="표준 6 2 3 2 19 2 2 3 2" xfId="43702"/>
    <cellStyle name="표준 6 2 3 2 19 2 2 4" xfId="31030"/>
    <cellStyle name="표준 6 2 3 2 19 2 2 5" xfId="55683"/>
    <cellStyle name="표준 6 2 3 2 19 2 3" xfId="8864"/>
    <cellStyle name="표준 6 2 3 2 19 2 3 2" xfId="21537"/>
    <cellStyle name="표준 6 2 3 2 19 2 3 2 2" xfId="46889"/>
    <cellStyle name="표준 6 2 3 2 19 2 3 3" xfId="34217"/>
    <cellStyle name="표준 6 2 3 2 19 2 4" xfId="15201"/>
    <cellStyle name="표준 6 2 3 2 19 2 4 2" xfId="40553"/>
    <cellStyle name="표준 6 2 3 2 19 2 5" xfId="27881"/>
    <cellStyle name="표준 6 2 3 2 19 2 6" xfId="55684"/>
    <cellStyle name="표준 6 2 3 2 19 3" xfId="5678"/>
    <cellStyle name="표준 6 2 3 2 19 3 2" xfId="12014"/>
    <cellStyle name="표준 6 2 3 2 19 3 2 2" xfId="24687"/>
    <cellStyle name="표준 6 2 3 2 19 3 2 2 2" xfId="50039"/>
    <cellStyle name="표준 6 2 3 2 19 3 2 3" xfId="37367"/>
    <cellStyle name="표준 6 2 3 2 19 3 3" xfId="18351"/>
    <cellStyle name="표준 6 2 3 2 19 3 3 2" xfId="43703"/>
    <cellStyle name="표준 6 2 3 2 19 3 4" xfId="31031"/>
    <cellStyle name="표준 6 2 3 2 19 3 5" xfId="55685"/>
    <cellStyle name="표준 6 2 3 2 19 4" xfId="8863"/>
    <cellStyle name="표준 6 2 3 2 19 4 2" xfId="21536"/>
    <cellStyle name="표준 6 2 3 2 19 4 2 2" xfId="46888"/>
    <cellStyle name="표준 6 2 3 2 19 4 3" xfId="34216"/>
    <cellStyle name="표준 6 2 3 2 19 5" xfId="15200"/>
    <cellStyle name="표준 6 2 3 2 19 5 2" xfId="40552"/>
    <cellStyle name="표준 6 2 3 2 19 6" xfId="27880"/>
    <cellStyle name="표준 6 2 3 2 19 7" xfId="55686"/>
    <cellStyle name="표준 6 2 3 2 2" xfId="2528"/>
    <cellStyle name="표준 6 2 3 2 2 2" xfId="2529"/>
    <cellStyle name="표준 6 2 3 2 2 2 2" xfId="5679"/>
    <cellStyle name="표준 6 2 3 2 2 2 2 2" xfId="12015"/>
    <cellStyle name="표준 6 2 3 2 2 2 2 2 2" xfId="24688"/>
    <cellStyle name="표준 6 2 3 2 2 2 2 2 2 2" xfId="50040"/>
    <cellStyle name="표준 6 2 3 2 2 2 2 2 3" xfId="37368"/>
    <cellStyle name="표준 6 2 3 2 2 2 2 3" xfId="18352"/>
    <cellStyle name="표준 6 2 3 2 2 2 2 3 2" xfId="43704"/>
    <cellStyle name="표준 6 2 3 2 2 2 2 4" xfId="31032"/>
    <cellStyle name="표준 6 2 3 2 2 2 2 5" xfId="55687"/>
    <cellStyle name="표준 6 2 3 2 2 2 3" xfId="8866"/>
    <cellStyle name="표준 6 2 3 2 2 2 3 2" xfId="21539"/>
    <cellStyle name="표준 6 2 3 2 2 2 3 2 2" xfId="46891"/>
    <cellStyle name="표준 6 2 3 2 2 2 3 3" xfId="34219"/>
    <cellStyle name="표준 6 2 3 2 2 2 4" xfId="15203"/>
    <cellStyle name="표준 6 2 3 2 2 2 4 2" xfId="40555"/>
    <cellStyle name="표준 6 2 3 2 2 2 5" xfId="27883"/>
    <cellStyle name="표준 6 2 3 2 2 2 6" xfId="55688"/>
    <cellStyle name="표준 6 2 3 2 2 3" xfId="5680"/>
    <cellStyle name="표준 6 2 3 2 2 3 2" xfId="12016"/>
    <cellStyle name="표준 6 2 3 2 2 3 2 2" xfId="24689"/>
    <cellStyle name="표준 6 2 3 2 2 3 2 2 2" xfId="50041"/>
    <cellStyle name="표준 6 2 3 2 2 3 2 3" xfId="37369"/>
    <cellStyle name="표준 6 2 3 2 2 3 3" xfId="18353"/>
    <cellStyle name="표준 6 2 3 2 2 3 3 2" xfId="43705"/>
    <cellStyle name="표준 6 2 3 2 2 3 4" xfId="31033"/>
    <cellStyle name="표준 6 2 3 2 2 3 5" xfId="55689"/>
    <cellStyle name="표준 6 2 3 2 2 4" xfId="8865"/>
    <cellStyle name="표준 6 2 3 2 2 4 2" xfId="21538"/>
    <cellStyle name="표준 6 2 3 2 2 4 2 2" xfId="46890"/>
    <cellStyle name="표준 6 2 3 2 2 4 3" xfId="34218"/>
    <cellStyle name="표준 6 2 3 2 2 5" xfId="15202"/>
    <cellStyle name="표준 6 2 3 2 2 5 2" xfId="40554"/>
    <cellStyle name="표준 6 2 3 2 2 6" xfId="27882"/>
    <cellStyle name="표준 6 2 3 2 2 7" xfId="55690"/>
    <cellStyle name="표준 6 2 3 2 20" xfId="2530"/>
    <cellStyle name="표준 6 2 3 2 20 2" xfId="2531"/>
    <cellStyle name="표준 6 2 3 2 20 2 2" xfId="5681"/>
    <cellStyle name="표준 6 2 3 2 20 2 2 2" xfId="12017"/>
    <cellStyle name="표준 6 2 3 2 20 2 2 2 2" xfId="24690"/>
    <cellStyle name="표준 6 2 3 2 20 2 2 2 2 2" xfId="50042"/>
    <cellStyle name="표준 6 2 3 2 20 2 2 2 3" xfId="37370"/>
    <cellStyle name="표준 6 2 3 2 20 2 2 3" xfId="18354"/>
    <cellStyle name="표준 6 2 3 2 20 2 2 3 2" xfId="43706"/>
    <cellStyle name="표준 6 2 3 2 20 2 2 4" xfId="31034"/>
    <cellStyle name="표준 6 2 3 2 20 2 2 5" xfId="55691"/>
    <cellStyle name="표준 6 2 3 2 20 2 3" xfId="8868"/>
    <cellStyle name="표준 6 2 3 2 20 2 3 2" xfId="21541"/>
    <cellStyle name="표준 6 2 3 2 20 2 3 2 2" xfId="46893"/>
    <cellStyle name="표준 6 2 3 2 20 2 3 3" xfId="34221"/>
    <cellStyle name="표준 6 2 3 2 20 2 4" xfId="15205"/>
    <cellStyle name="표준 6 2 3 2 20 2 4 2" xfId="40557"/>
    <cellStyle name="표준 6 2 3 2 20 2 5" xfId="27885"/>
    <cellStyle name="표준 6 2 3 2 20 2 6" xfId="55692"/>
    <cellStyle name="표준 6 2 3 2 20 3" xfId="5682"/>
    <cellStyle name="표준 6 2 3 2 20 3 2" xfId="12018"/>
    <cellStyle name="표준 6 2 3 2 20 3 2 2" xfId="24691"/>
    <cellStyle name="표준 6 2 3 2 20 3 2 2 2" xfId="50043"/>
    <cellStyle name="표준 6 2 3 2 20 3 2 3" xfId="37371"/>
    <cellStyle name="표준 6 2 3 2 20 3 3" xfId="18355"/>
    <cellStyle name="표준 6 2 3 2 20 3 3 2" xfId="43707"/>
    <cellStyle name="표준 6 2 3 2 20 3 4" xfId="31035"/>
    <cellStyle name="표준 6 2 3 2 20 3 5" xfId="55693"/>
    <cellStyle name="표준 6 2 3 2 20 4" xfId="8867"/>
    <cellStyle name="표준 6 2 3 2 20 4 2" xfId="21540"/>
    <cellStyle name="표준 6 2 3 2 20 4 2 2" xfId="46892"/>
    <cellStyle name="표준 6 2 3 2 20 4 3" xfId="34220"/>
    <cellStyle name="표준 6 2 3 2 20 5" xfId="15204"/>
    <cellStyle name="표준 6 2 3 2 20 5 2" xfId="40556"/>
    <cellStyle name="표준 6 2 3 2 20 6" xfId="27884"/>
    <cellStyle name="표준 6 2 3 2 20 7" xfId="55694"/>
    <cellStyle name="표준 6 2 3 2 21" xfId="2532"/>
    <cellStyle name="표준 6 2 3 2 21 2" xfId="2533"/>
    <cellStyle name="표준 6 2 3 2 21 2 2" xfId="5683"/>
    <cellStyle name="표준 6 2 3 2 21 2 2 2" xfId="12019"/>
    <cellStyle name="표준 6 2 3 2 21 2 2 2 2" xfId="24692"/>
    <cellStyle name="표준 6 2 3 2 21 2 2 2 2 2" xfId="50044"/>
    <cellStyle name="표준 6 2 3 2 21 2 2 2 3" xfId="37372"/>
    <cellStyle name="표준 6 2 3 2 21 2 2 3" xfId="18356"/>
    <cellStyle name="표준 6 2 3 2 21 2 2 3 2" xfId="43708"/>
    <cellStyle name="표준 6 2 3 2 21 2 2 4" xfId="31036"/>
    <cellStyle name="표준 6 2 3 2 21 2 2 5" xfId="55695"/>
    <cellStyle name="표준 6 2 3 2 21 2 3" xfId="8870"/>
    <cellStyle name="표준 6 2 3 2 21 2 3 2" xfId="21543"/>
    <cellStyle name="표준 6 2 3 2 21 2 3 2 2" xfId="46895"/>
    <cellStyle name="표준 6 2 3 2 21 2 3 3" xfId="34223"/>
    <cellStyle name="표준 6 2 3 2 21 2 4" xfId="15207"/>
    <cellStyle name="표준 6 2 3 2 21 2 4 2" xfId="40559"/>
    <cellStyle name="표준 6 2 3 2 21 2 5" xfId="27887"/>
    <cellStyle name="표준 6 2 3 2 21 2 6" xfId="55696"/>
    <cellStyle name="표준 6 2 3 2 21 3" xfId="5684"/>
    <cellStyle name="표준 6 2 3 2 21 3 2" xfId="12020"/>
    <cellStyle name="표준 6 2 3 2 21 3 2 2" xfId="24693"/>
    <cellStyle name="표준 6 2 3 2 21 3 2 2 2" xfId="50045"/>
    <cellStyle name="표준 6 2 3 2 21 3 2 3" xfId="37373"/>
    <cellStyle name="표준 6 2 3 2 21 3 3" xfId="18357"/>
    <cellStyle name="표준 6 2 3 2 21 3 3 2" xfId="43709"/>
    <cellStyle name="표준 6 2 3 2 21 3 4" xfId="31037"/>
    <cellStyle name="표준 6 2 3 2 21 3 5" xfId="55697"/>
    <cellStyle name="표준 6 2 3 2 21 4" xfId="8869"/>
    <cellStyle name="표준 6 2 3 2 21 4 2" xfId="21542"/>
    <cellStyle name="표준 6 2 3 2 21 4 2 2" xfId="46894"/>
    <cellStyle name="표준 6 2 3 2 21 4 3" xfId="34222"/>
    <cellStyle name="표준 6 2 3 2 21 5" xfId="15206"/>
    <cellStyle name="표준 6 2 3 2 21 5 2" xfId="40558"/>
    <cellStyle name="표준 6 2 3 2 21 6" xfId="27886"/>
    <cellStyle name="표준 6 2 3 2 21 7" xfId="55698"/>
    <cellStyle name="표준 6 2 3 2 22" xfId="2534"/>
    <cellStyle name="표준 6 2 3 2 22 2" xfId="2535"/>
    <cellStyle name="표준 6 2 3 2 22 2 2" xfId="5685"/>
    <cellStyle name="표준 6 2 3 2 22 2 2 2" xfId="12021"/>
    <cellStyle name="표준 6 2 3 2 22 2 2 2 2" xfId="24694"/>
    <cellStyle name="표준 6 2 3 2 22 2 2 2 2 2" xfId="50046"/>
    <cellStyle name="표준 6 2 3 2 22 2 2 2 3" xfId="37374"/>
    <cellStyle name="표준 6 2 3 2 22 2 2 3" xfId="18358"/>
    <cellStyle name="표준 6 2 3 2 22 2 2 3 2" xfId="43710"/>
    <cellStyle name="표준 6 2 3 2 22 2 2 4" xfId="31038"/>
    <cellStyle name="표준 6 2 3 2 22 2 2 5" xfId="55699"/>
    <cellStyle name="표준 6 2 3 2 22 2 3" xfId="8872"/>
    <cellStyle name="표준 6 2 3 2 22 2 3 2" xfId="21545"/>
    <cellStyle name="표준 6 2 3 2 22 2 3 2 2" xfId="46897"/>
    <cellStyle name="표준 6 2 3 2 22 2 3 3" xfId="34225"/>
    <cellStyle name="표준 6 2 3 2 22 2 4" xfId="15209"/>
    <cellStyle name="표준 6 2 3 2 22 2 4 2" xfId="40561"/>
    <cellStyle name="표준 6 2 3 2 22 2 5" xfId="27889"/>
    <cellStyle name="표준 6 2 3 2 22 2 6" xfId="55700"/>
    <cellStyle name="표준 6 2 3 2 22 3" xfId="5686"/>
    <cellStyle name="표준 6 2 3 2 22 3 2" xfId="12022"/>
    <cellStyle name="표준 6 2 3 2 22 3 2 2" xfId="24695"/>
    <cellStyle name="표준 6 2 3 2 22 3 2 2 2" xfId="50047"/>
    <cellStyle name="표준 6 2 3 2 22 3 2 3" xfId="37375"/>
    <cellStyle name="표준 6 2 3 2 22 3 3" xfId="18359"/>
    <cellStyle name="표준 6 2 3 2 22 3 3 2" xfId="43711"/>
    <cellStyle name="표준 6 2 3 2 22 3 4" xfId="31039"/>
    <cellStyle name="표준 6 2 3 2 22 3 5" xfId="55701"/>
    <cellStyle name="표준 6 2 3 2 22 4" xfId="8871"/>
    <cellStyle name="표준 6 2 3 2 22 4 2" xfId="21544"/>
    <cellStyle name="표준 6 2 3 2 22 4 2 2" xfId="46896"/>
    <cellStyle name="표준 6 2 3 2 22 4 3" xfId="34224"/>
    <cellStyle name="표준 6 2 3 2 22 5" xfId="15208"/>
    <cellStyle name="표준 6 2 3 2 22 5 2" xfId="40560"/>
    <cellStyle name="표준 6 2 3 2 22 6" xfId="27888"/>
    <cellStyle name="표준 6 2 3 2 22 7" xfId="55702"/>
    <cellStyle name="표준 6 2 3 2 23" xfId="2536"/>
    <cellStyle name="표준 6 2 3 2 23 2" xfId="2537"/>
    <cellStyle name="표준 6 2 3 2 23 2 2" xfId="5687"/>
    <cellStyle name="표준 6 2 3 2 23 2 2 2" xfId="12023"/>
    <cellStyle name="표준 6 2 3 2 23 2 2 2 2" xfId="24696"/>
    <cellStyle name="표준 6 2 3 2 23 2 2 2 2 2" xfId="50048"/>
    <cellStyle name="표준 6 2 3 2 23 2 2 2 3" xfId="37376"/>
    <cellStyle name="표준 6 2 3 2 23 2 2 3" xfId="18360"/>
    <cellStyle name="표준 6 2 3 2 23 2 2 3 2" xfId="43712"/>
    <cellStyle name="표준 6 2 3 2 23 2 2 4" xfId="31040"/>
    <cellStyle name="표준 6 2 3 2 23 2 2 5" xfId="55703"/>
    <cellStyle name="표준 6 2 3 2 23 2 3" xfId="8874"/>
    <cellStyle name="표준 6 2 3 2 23 2 3 2" xfId="21547"/>
    <cellStyle name="표준 6 2 3 2 23 2 3 2 2" xfId="46899"/>
    <cellStyle name="표준 6 2 3 2 23 2 3 3" xfId="34227"/>
    <cellStyle name="표준 6 2 3 2 23 2 4" xfId="15211"/>
    <cellStyle name="표준 6 2 3 2 23 2 4 2" xfId="40563"/>
    <cellStyle name="표준 6 2 3 2 23 2 5" xfId="27891"/>
    <cellStyle name="표준 6 2 3 2 23 2 6" xfId="55704"/>
    <cellStyle name="표준 6 2 3 2 23 3" xfId="5688"/>
    <cellStyle name="표준 6 2 3 2 23 3 2" xfId="12024"/>
    <cellStyle name="표준 6 2 3 2 23 3 2 2" xfId="24697"/>
    <cellStyle name="표준 6 2 3 2 23 3 2 2 2" xfId="50049"/>
    <cellStyle name="표준 6 2 3 2 23 3 2 3" xfId="37377"/>
    <cellStyle name="표준 6 2 3 2 23 3 3" xfId="18361"/>
    <cellStyle name="표준 6 2 3 2 23 3 3 2" xfId="43713"/>
    <cellStyle name="표준 6 2 3 2 23 3 4" xfId="31041"/>
    <cellStyle name="표준 6 2 3 2 23 3 5" xfId="55705"/>
    <cellStyle name="표준 6 2 3 2 23 4" xfId="8873"/>
    <cellStyle name="표준 6 2 3 2 23 4 2" xfId="21546"/>
    <cellStyle name="표준 6 2 3 2 23 4 2 2" xfId="46898"/>
    <cellStyle name="표준 6 2 3 2 23 4 3" xfId="34226"/>
    <cellStyle name="표준 6 2 3 2 23 5" xfId="15210"/>
    <cellStyle name="표준 6 2 3 2 23 5 2" xfId="40562"/>
    <cellStyle name="표준 6 2 3 2 23 6" xfId="27890"/>
    <cellStyle name="표준 6 2 3 2 23 7" xfId="55706"/>
    <cellStyle name="표준 6 2 3 2 24" xfId="2538"/>
    <cellStyle name="표준 6 2 3 2 24 2" xfId="2539"/>
    <cellStyle name="표준 6 2 3 2 24 2 2" xfId="5689"/>
    <cellStyle name="표준 6 2 3 2 24 2 2 2" xfId="12025"/>
    <cellStyle name="표준 6 2 3 2 24 2 2 2 2" xfId="24698"/>
    <cellStyle name="표준 6 2 3 2 24 2 2 2 2 2" xfId="50050"/>
    <cellStyle name="표준 6 2 3 2 24 2 2 2 3" xfId="37378"/>
    <cellStyle name="표준 6 2 3 2 24 2 2 3" xfId="18362"/>
    <cellStyle name="표준 6 2 3 2 24 2 2 3 2" xfId="43714"/>
    <cellStyle name="표준 6 2 3 2 24 2 2 4" xfId="31042"/>
    <cellStyle name="표준 6 2 3 2 24 2 2 5" xfId="55707"/>
    <cellStyle name="표준 6 2 3 2 24 2 3" xfId="8876"/>
    <cellStyle name="표준 6 2 3 2 24 2 3 2" xfId="21549"/>
    <cellStyle name="표준 6 2 3 2 24 2 3 2 2" xfId="46901"/>
    <cellStyle name="표준 6 2 3 2 24 2 3 3" xfId="34229"/>
    <cellStyle name="표준 6 2 3 2 24 2 4" xfId="15213"/>
    <cellStyle name="표준 6 2 3 2 24 2 4 2" xfId="40565"/>
    <cellStyle name="표준 6 2 3 2 24 2 5" xfId="27893"/>
    <cellStyle name="표준 6 2 3 2 24 2 6" xfId="55708"/>
    <cellStyle name="표준 6 2 3 2 24 3" xfId="5690"/>
    <cellStyle name="표준 6 2 3 2 24 3 2" xfId="12026"/>
    <cellStyle name="표준 6 2 3 2 24 3 2 2" xfId="24699"/>
    <cellStyle name="표준 6 2 3 2 24 3 2 2 2" xfId="50051"/>
    <cellStyle name="표준 6 2 3 2 24 3 2 3" xfId="37379"/>
    <cellStyle name="표준 6 2 3 2 24 3 3" xfId="18363"/>
    <cellStyle name="표준 6 2 3 2 24 3 3 2" xfId="43715"/>
    <cellStyle name="표준 6 2 3 2 24 3 4" xfId="31043"/>
    <cellStyle name="표준 6 2 3 2 24 3 5" xfId="55709"/>
    <cellStyle name="표준 6 2 3 2 24 4" xfId="8875"/>
    <cellStyle name="표준 6 2 3 2 24 4 2" xfId="21548"/>
    <cellStyle name="표준 6 2 3 2 24 4 2 2" xfId="46900"/>
    <cellStyle name="표준 6 2 3 2 24 4 3" xfId="34228"/>
    <cellStyle name="표준 6 2 3 2 24 5" xfId="15212"/>
    <cellStyle name="표준 6 2 3 2 24 5 2" xfId="40564"/>
    <cellStyle name="표준 6 2 3 2 24 6" xfId="27892"/>
    <cellStyle name="표준 6 2 3 2 24 7" xfId="55710"/>
    <cellStyle name="표준 6 2 3 2 25" xfId="2540"/>
    <cellStyle name="표준 6 2 3 2 25 2" xfId="2541"/>
    <cellStyle name="표준 6 2 3 2 25 2 2" xfId="5691"/>
    <cellStyle name="표준 6 2 3 2 25 2 2 2" xfId="12027"/>
    <cellStyle name="표준 6 2 3 2 25 2 2 2 2" xfId="24700"/>
    <cellStyle name="표준 6 2 3 2 25 2 2 2 2 2" xfId="50052"/>
    <cellStyle name="표준 6 2 3 2 25 2 2 2 3" xfId="37380"/>
    <cellStyle name="표준 6 2 3 2 25 2 2 3" xfId="18364"/>
    <cellStyle name="표준 6 2 3 2 25 2 2 3 2" xfId="43716"/>
    <cellStyle name="표준 6 2 3 2 25 2 2 4" xfId="31044"/>
    <cellStyle name="표준 6 2 3 2 25 2 2 5" xfId="55711"/>
    <cellStyle name="표준 6 2 3 2 25 2 3" xfId="8878"/>
    <cellStyle name="표준 6 2 3 2 25 2 3 2" xfId="21551"/>
    <cellStyle name="표준 6 2 3 2 25 2 3 2 2" xfId="46903"/>
    <cellStyle name="표준 6 2 3 2 25 2 3 3" xfId="34231"/>
    <cellStyle name="표준 6 2 3 2 25 2 4" xfId="15215"/>
    <cellStyle name="표준 6 2 3 2 25 2 4 2" xfId="40567"/>
    <cellStyle name="표준 6 2 3 2 25 2 5" xfId="27895"/>
    <cellStyle name="표준 6 2 3 2 25 2 6" xfId="55712"/>
    <cellStyle name="표준 6 2 3 2 25 3" xfId="5692"/>
    <cellStyle name="표준 6 2 3 2 25 3 2" xfId="12028"/>
    <cellStyle name="표준 6 2 3 2 25 3 2 2" xfId="24701"/>
    <cellStyle name="표준 6 2 3 2 25 3 2 2 2" xfId="50053"/>
    <cellStyle name="표준 6 2 3 2 25 3 2 3" xfId="37381"/>
    <cellStyle name="표준 6 2 3 2 25 3 3" xfId="18365"/>
    <cellStyle name="표준 6 2 3 2 25 3 3 2" xfId="43717"/>
    <cellStyle name="표준 6 2 3 2 25 3 4" xfId="31045"/>
    <cellStyle name="표준 6 2 3 2 25 3 5" xfId="55713"/>
    <cellStyle name="표준 6 2 3 2 25 4" xfId="8877"/>
    <cellStyle name="표준 6 2 3 2 25 4 2" xfId="21550"/>
    <cellStyle name="표준 6 2 3 2 25 4 2 2" xfId="46902"/>
    <cellStyle name="표준 6 2 3 2 25 4 3" xfId="34230"/>
    <cellStyle name="표준 6 2 3 2 25 5" xfId="15214"/>
    <cellStyle name="표준 6 2 3 2 25 5 2" xfId="40566"/>
    <cellStyle name="표준 6 2 3 2 25 6" xfId="27894"/>
    <cellStyle name="표준 6 2 3 2 25 7" xfId="55714"/>
    <cellStyle name="표준 6 2 3 2 26" xfId="2542"/>
    <cellStyle name="표준 6 2 3 2 26 2" xfId="2543"/>
    <cellStyle name="표준 6 2 3 2 26 2 2" xfId="5693"/>
    <cellStyle name="표준 6 2 3 2 26 2 2 2" xfId="12029"/>
    <cellStyle name="표준 6 2 3 2 26 2 2 2 2" xfId="24702"/>
    <cellStyle name="표준 6 2 3 2 26 2 2 2 2 2" xfId="50054"/>
    <cellStyle name="표준 6 2 3 2 26 2 2 2 3" xfId="37382"/>
    <cellStyle name="표준 6 2 3 2 26 2 2 3" xfId="18366"/>
    <cellStyle name="표준 6 2 3 2 26 2 2 3 2" xfId="43718"/>
    <cellStyle name="표준 6 2 3 2 26 2 2 4" xfId="31046"/>
    <cellStyle name="표준 6 2 3 2 26 2 2 5" xfId="55715"/>
    <cellStyle name="표준 6 2 3 2 26 2 3" xfId="8880"/>
    <cellStyle name="표준 6 2 3 2 26 2 3 2" xfId="21553"/>
    <cellStyle name="표준 6 2 3 2 26 2 3 2 2" xfId="46905"/>
    <cellStyle name="표준 6 2 3 2 26 2 3 3" xfId="34233"/>
    <cellStyle name="표준 6 2 3 2 26 2 4" xfId="15217"/>
    <cellStyle name="표준 6 2 3 2 26 2 4 2" xfId="40569"/>
    <cellStyle name="표준 6 2 3 2 26 2 5" xfId="27897"/>
    <cellStyle name="표준 6 2 3 2 26 2 6" xfId="55716"/>
    <cellStyle name="표준 6 2 3 2 26 3" xfId="5694"/>
    <cellStyle name="표준 6 2 3 2 26 3 2" xfId="12030"/>
    <cellStyle name="표준 6 2 3 2 26 3 2 2" xfId="24703"/>
    <cellStyle name="표준 6 2 3 2 26 3 2 2 2" xfId="50055"/>
    <cellStyle name="표준 6 2 3 2 26 3 2 3" xfId="37383"/>
    <cellStyle name="표준 6 2 3 2 26 3 3" xfId="18367"/>
    <cellStyle name="표준 6 2 3 2 26 3 3 2" xfId="43719"/>
    <cellStyle name="표준 6 2 3 2 26 3 4" xfId="31047"/>
    <cellStyle name="표준 6 2 3 2 26 3 5" xfId="55717"/>
    <cellStyle name="표준 6 2 3 2 26 4" xfId="8879"/>
    <cellStyle name="표준 6 2 3 2 26 4 2" xfId="21552"/>
    <cellStyle name="표준 6 2 3 2 26 4 2 2" xfId="46904"/>
    <cellStyle name="표준 6 2 3 2 26 4 3" xfId="34232"/>
    <cellStyle name="표준 6 2 3 2 26 5" xfId="15216"/>
    <cellStyle name="표준 6 2 3 2 26 5 2" xfId="40568"/>
    <cellStyle name="표준 6 2 3 2 26 6" xfId="27896"/>
    <cellStyle name="표준 6 2 3 2 26 7" xfId="55718"/>
    <cellStyle name="표준 6 2 3 2 27" xfId="2544"/>
    <cellStyle name="표준 6 2 3 2 27 2" xfId="2545"/>
    <cellStyle name="표준 6 2 3 2 27 2 2" xfId="5695"/>
    <cellStyle name="표준 6 2 3 2 27 2 2 2" xfId="12031"/>
    <cellStyle name="표준 6 2 3 2 27 2 2 2 2" xfId="24704"/>
    <cellStyle name="표준 6 2 3 2 27 2 2 2 2 2" xfId="50056"/>
    <cellStyle name="표준 6 2 3 2 27 2 2 2 3" xfId="37384"/>
    <cellStyle name="표준 6 2 3 2 27 2 2 3" xfId="18368"/>
    <cellStyle name="표준 6 2 3 2 27 2 2 3 2" xfId="43720"/>
    <cellStyle name="표준 6 2 3 2 27 2 2 4" xfId="31048"/>
    <cellStyle name="표준 6 2 3 2 27 2 2 5" xfId="55719"/>
    <cellStyle name="표준 6 2 3 2 27 2 3" xfId="8882"/>
    <cellStyle name="표준 6 2 3 2 27 2 3 2" xfId="21555"/>
    <cellStyle name="표준 6 2 3 2 27 2 3 2 2" xfId="46907"/>
    <cellStyle name="표준 6 2 3 2 27 2 3 3" xfId="34235"/>
    <cellStyle name="표준 6 2 3 2 27 2 4" xfId="15219"/>
    <cellStyle name="표준 6 2 3 2 27 2 4 2" xfId="40571"/>
    <cellStyle name="표준 6 2 3 2 27 2 5" xfId="27899"/>
    <cellStyle name="표준 6 2 3 2 27 2 6" xfId="55720"/>
    <cellStyle name="표준 6 2 3 2 27 3" xfId="5696"/>
    <cellStyle name="표준 6 2 3 2 27 3 2" xfId="12032"/>
    <cellStyle name="표준 6 2 3 2 27 3 2 2" xfId="24705"/>
    <cellStyle name="표준 6 2 3 2 27 3 2 2 2" xfId="50057"/>
    <cellStyle name="표준 6 2 3 2 27 3 2 3" xfId="37385"/>
    <cellStyle name="표준 6 2 3 2 27 3 3" xfId="18369"/>
    <cellStyle name="표준 6 2 3 2 27 3 3 2" xfId="43721"/>
    <cellStyle name="표준 6 2 3 2 27 3 4" xfId="31049"/>
    <cellStyle name="표준 6 2 3 2 27 3 5" xfId="55721"/>
    <cellStyle name="표준 6 2 3 2 27 4" xfId="8881"/>
    <cellStyle name="표준 6 2 3 2 27 4 2" xfId="21554"/>
    <cellStyle name="표준 6 2 3 2 27 4 2 2" xfId="46906"/>
    <cellStyle name="표준 6 2 3 2 27 4 3" xfId="34234"/>
    <cellStyle name="표준 6 2 3 2 27 5" xfId="15218"/>
    <cellStyle name="표준 6 2 3 2 27 5 2" xfId="40570"/>
    <cellStyle name="표준 6 2 3 2 27 6" xfId="27898"/>
    <cellStyle name="표준 6 2 3 2 27 7" xfId="55722"/>
    <cellStyle name="표준 6 2 3 2 28" xfId="2546"/>
    <cellStyle name="표준 6 2 3 2 28 2" xfId="2547"/>
    <cellStyle name="표준 6 2 3 2 28 2 2" xfId="5697"/>
    <cellStyle name="표준 6 2 3 2 28 2 2 2" xfId="12033"/>
    <cellStyle name="표준 6 2 3 2 28 2 2 2 2" xfId="24706"/>
    <cellStyle name="표준 6 2 3 2 28 2 2 2 2 2" xfId="50058"/>
    <cellStyle name="표준 6 2 3 2 28 2 2 2 3" xfId="37386"/>
    <cellStyle name="표준 6 2 3 2 28 2 2 3" xfId="18370"/>
    <cellStyle name="표준 6 2 3 2 28 2 2 3 2" xfId="43722"/>
    <cellStyle name="표준 6 2 3 2 28 2 2 4" xfId="31050"/>
    <cellStyle name="표준 6 2 3 2 28 2 2 5" xfId="55723"/>
    <cellStyle name="표준 6 2 3 2 28 2 3" xfId="8884"/>
    <cellStyle name="표준 6 2 3 2 28 2 3 2" xfId="21557"/>
    <cellStyle name="표준 6 2 3 2 28 2 3 2 2" xfId="46909"/>
    <cellStyle name="표준 6 2 3 2 28 2 3 3" xfId="34237"/>
    <cellStyle name="표준 6 2 3 2 28 2 4" xfId="15221"/>
    <cellStyle name="표준 6 2 3 2 28 2 4 2" xfId="40573"/>
    <cellStyle name="표준 6 2 3 2 28 2 5" xfId="27901"/>
    <cellStyle name="표준 6 2 3 2 28 2 6" xfId="55724"/>
    <cellStyle name="표준 6 2 3 2 28 3" xfId="5698"/>
    <cellStyle name="표준 6 2 3 2 28 3 2" xfId="12034"/>
    <cellStyle name="표준 6 2 3 2 28 3 2 2" xfId="24707"/>
    <cellStyle name="표준 6 2 3 2 28 3 2 2 2" xfId="50059"/>
    <cellStyle name="표준 6 2 3 2 28 3 2 3" xfId="37387"/>
    <cellStyle name="표준 6 2 3 2 28 3 3" xfId="18371"/>
    <cellStyle name="표준 6 2 3 2 28 3 3 2" xfId="43723"/>
    <cellStyle name="표준 6 2 3 2 28 3 4" xfId="31051"/>
    <cellStyle name="표준 6 2 3 2 28 3 5" xfId="55725"/>
    <cellStyle name="표준 6 2 3 2 28 4" xfId="8883"/>
    <cellStyle name="표준 6 2 3 2 28 4 2" xfId="21556"/>
    <cellStyle name="표준 6 2 3 2 28 4 2 2" xfId="46908"/>
    <cellStyle name="표준 6 2 3 2 28 4 3" xfId="34236"/>
    <cellStyle name="표준 6 2 3 2 28 5" xfId="15220"/>
    <cellStyle name="표준 6 2 3 2 28 5 2" xfId="40572"/>
    <cellStyle name="표준 6 2 3 2 28 6" xfId="27900"/>
    <cellStyle name="표준 6 2 3 2 28 7" xfId="55726"/>
    <cellStyle name="표준 6 2 3 2 29" xfId="2548"/>
    <cellStyle name="표준 6 2 3 2 29 2" xfId="2549"/>
    <cellStyle name="표준 6 2 3 2 29 2 2" xfId="5699"/>
    <cellStyle name="표준 6 2 3 2 29 2 2 2" xfId="12035"/>
    <cellStyle name="표준 6 2 3 2 29 2 2 2 2" xfId="24708"/>
    <cellStyle name="표준 6 2 3 2 29 2 2 2 2 2" xfId="50060"/>
    <cellStyle name="표준 6 2 3 2 29 2 2 2 3" xfId="37388"/>
    <cellStyle name="표준 6 2 3 2 29 2 2 3" xfId="18372"/>
    <cellStyle name="표준 6 2 3 2 29 2 2 3 2" xfId="43724"/>
    <cellStyle name="표준 6 2 3 2 29 2 2 4" xfId="31052"/>
    <cellStyle name="표준 6 2 3 2 29 2 2 5" xfId="55727"/>
    <cellStyle name="표준 6 2 3 2 29 2 3" xfId="8886"/>
    <cellStyle name="표준 6 2 3 2 29 2 3 2" xfId="21559"/>
    <cellStyle name="표준 6 2 3 2 29 2 3 2 2" xfId="46911"/>
    <cellStyle name="표준 6 2 3 2 29 2 3 3" xfId="34239"/>
    <cellStyle name="표준 6 2 3 2 29 2 4" xfId="15223"/>
    <cellStyle name="표준 6 2 3 2 29 2 4 2" xfId="40575"/>
    <cellStyle name="표준 6 2 3 2 29 2 5" xfId="27903"/>
    <cellStyle name="표준 6 2 3 2 29 2 6" xfId="55728"/>
    <cellStyle name="표준 6 2 3 2 29 3" xfId="5700"/>
    <cellStyle name="표준 6 2 3 2 29 3 2" xfId="12036"/>
    <cellStyle name="표준 6 2 3 2 29 3 2 2" xfId="24709"/>
    <cellStyle name="표준 6 2 3 2 29 3 2 2 2" xfId="50061"/>
    <cellStyle name="표준 6 2 3 2 29 3 2 3" xfId="37389"/>
    <cellStyle name="표준 6 2 3 2 29 3 3" xfId="18373"/>
    <cellStyle name="표준 6 2 3 2 29 3 3 2" xfId="43725"/>
    <cellStyle name="표준 6 2 3 2 29 3 4" xfId="31053"/>
    <cellStyle name="표준 6 2 3 2 29 3 5" xfId="55729"/>
    <cellStyle name="표준 6 2 3 2 29 4" xfId="8885"/>
    <cellStyle name="표준 6 2 3 2 29 4 2" xfId="21558"/>
    <cellStyle name="표준 6 2 3 2 29 4 2 2" xfId="46910"/>
    <cellStyle name="표준 6 2 3 2 29 4 3" xfId="34238"/>
    <cellStyle name="표준 6 2 3 2 29 5" xfId="15222"/>
    <cellStyle name="표준 6 2 3 2 29 5 2" xfId="40574"/>
    <cellStyle name="표준 6 2 3 2 29 6" xfId="27902"/>
    <cellStyle name="표준 6 2 3 2 29 7" xfId="55730"/>
    <cellStyle name="표준 6 2 3 2 3" xfId="2550"/>
    <cellStyle name="표준 6 2 3 2 3 2" xfId="2551"/>
    <cellStyle name="표준 6 2 3 2 3 2 2" xfId="5701"/>
    <cellStyle name="표준 6 2 3 2 3 2 2 2" xfId="12037"/>
    <cellStyle name="표준 6 2 3 2 3 2 2 2 2" xfId="24710"/>
    <cellStyle name="표준 6 2 3 2 3 2 2 2 2 2" xfId="50062"/>
    <cellStyle name="표준 6 2 3 2 3 2 2 2 3" xfId="37390"/>
    <cellStyle name="표준 6 2 3 2 3 2 2 3" xfId="18374"/>
    <cellStyle name="표준 6 2 3 2 3 2 2 3 2" xfId="43726"/>
    <cellStyle name="표준 6 2 3 2 3 2 2 4" xfId="31054"/>
    <cellStyle name="표준 6 2 3 2 3 2 2 5" xfId="55731"/>
    <cellStyle name="표준 6 2 3 2 3 2 3" xfId="8888"/>
    <cellStyle name="표준 6 2 3 2 3 2 3 2" xfId="21561"/>
    <cellStyle name="표준 6 2 3 2 3 2 3 2 2" xfId="46913"/>
    <cellStyle name="표준 6 2 3 2 3 2 3 3" xfId="34241"/>
    <cellStyle name="표준 6 2 3 2 3 2 4" xfId="15225"/>
    <cellStyle name="표준 6 2 3 2 3 2 4 2" xfId="40577"/>
    <cellStyle name="표준 6 2 3 2 3 2 5" xfId="27905"/>
    <cellStyle name="표준 6 2 3 2 3 2 6" xfId="55732"/>
    <cellStyle name="표준 6 2 3 2 3 3" xfId="5702"/>
    <cellStyle name="표준 6 2 3 2 3 3 2" xfId="12038"/>
    <cellStyle name="표준 6 2 3 2 3 3 2 2" xfId="24711"/>
    <cellStyle name="표준 6 2 3 2 3 3 2 2 2" xfId="50063"/>
    <cellStyle name="표준 6 2 3 2 3 3 2 3" xfId="37391"/>
    <cellStyle name="표준 6 2 3 2 3 3 3" xfId="18375"/>
    <cellStyle name="표준 6 2 3 2 3 3 3 2" xfId="43727"/>
    <cellStyle name="표준 6 2 3 2 3 3 4" xfId="31055"/>
    <cellStyle name="표준 6 2 3 2 3 3 5" xfId="55733"/>
    <cellStyle name="표준 6 2 3 2 3 4" xfId="8887"/>
    <cellStyle name="표준 6 2 3 2 3 4 2" xfId="21560"/>
    <cellStyle name="표준 6 2 3 2 3 4 2 2" xfId="46912"/>
    <cellStyle name="표준 6 2 3 2 3 4 3" xfId="34240"/>
    <cellStyle name="표준 6 2 3 2 3 5" xfId="15224"/>
    <cellStyle name="표준 6 2 3 2 3 5 2" xfId="40576"/>
    <cellStyle name="표준 6 2 3 2 3 6" xfId="27904"/>
    <cellStyle name="표준 6 2 3 2 3 7" xfId="55734"/>
    <cellStyle name="표준 6 2 3 2 30" xfId="2552"/>
    <cellStyle name="표준 6 2 3 2 30 2" xfId="2553"/>
    <cellStyle name="표준 6 2 3 2 30 2 2" xfId="5703"/>
    <cellStyle name="표준 6 2 3 2 30 2 2 2" xfId="12039"/>
    <cellStyle name="표준 6 2 3 2 30 2 2 2 2" xfId="24712"/>
    <cellStyle name="표준 6 2 3 2 30 2 2 2 2 2" xfId="50064"/>
    <cellStyle name="표준 6 2 3 2 30 2 2 2 3" xfId="37392"/>
    <cellStyle name="표준 6 2 3 2 30 2 2 3" xfId="18376"/>
    <cellStyle name="표준 6 2 3 2 30 2 2 3 2" xfId="43728"/>
    <cellStyle name="표준 6 2 3 2 30 2 2 4" xfId="31056"/>
    <cellStyle name="표준 6 2 3 2 30 2 2 5" xfId="55735"/>
    <cellStyle name="표준 6 2 3 2 30 2 3" xfId="8890"/>
    <cellStyle name="표준 6 2 3 2 30 2 3 2" xfId="21563"/>
    <cellStyle name="표준 6 2 3 2 30 2 3 2 2" xfId="46915"/>
    <cellStyle name="표준 6 2 3 2 30 2 3 3" xfId="34243"/>
    <cellStyle name="표준 6 2 3 2 30 2 4" xfId="15227"/>
    <cellStyle name="표준 6 2 3 2 30 2 4 2" xfId="40579"/>
    <cellStyle name="표준 6 2 3 2 30 2 5" xfId="27907"/>
    <cellStyle name="표준 6 2 3 2 30 2 6" xfId="55736"/>
    <cellStyle name="표준 6 2 3 2 30 3" xfId="5704"/>
    <cellStyle name="표준 6 2 3 2 30 3 2" xfId="12040"/>
    <cellStyle name="표준 6 2 3 2 30 3 2 2" xfId="24713"/>
    <cellStyle name="표준 6 2 3 2 30 3 2 2 2" xfId="50065"/>
    <cellStyle name="표준 6 2 3 2 30 3 2 3" xfId="37393"/>
    <cellStyle name="표준 6 2 3 2 30 3 3" xfId="18377"/>
    <cellStyle name="표준 6 2 3 2 30 3 3 2" xfId="43729"/>
    <cellStyle name="표준 6 2 3 2 30 3 4" xfId="31057"/>
    <cellStyle name="표준 6 2 3 2 30 3 5" xfId="55737"/>
    <cellStyle name="표준 6 2 3 2 30 4" xfId="8889"/>
    <cellStyle name="표준 6 2 3 2 30 4 2" xfId="21562"/>
    <cellStyle name="표준 6 2 3 2 30 4 2 2" xfId="46914"/>
    <cellStyle name="표준 6 2 3 2 30 4 3" xfId="34242"/>
    <cellStyle name="표준 6 2 3 2 30 5" xfId="15226"/>
    <cellStyle name="표준 6 2 3 2 30 5 2" xfId="40578"/>
    <cellStyle name="표준 6 2 3 2 30 6" xfId="27906"/>
    <cellStyle name="표준 6 2 3 2 30 7" xfId="55738"/>
    <cellStyle name="표준 6 2 3 2 31" xfId="2554"/>
    <cellStyle name="표준 6 2 3 2 31 2" xfId="2555"/>
    <cellStyle name="표준 6 2 3 2 31 2 2" xfId="5705"/>
    <cellStyle name="표준 6 2 3 2 31 2 2 2" xfId="12041"/>
    <cellStyle name="표준 6 2 3 2 31 2 2 2 2" xfId="24714"/>
    <cellStyle name="표준 6 2 3 2 31 2 2 2 2 2" xfId="50066"/>
    <cellStyle name="표준 6 2 3 2 31 2 2 2 3" xfId="37394"/>
    <cellStyle name="표준 6 2 3 2 31 2 2 3" xfId="18378"/>
    <cellStyle name="표준 6 2 3 2 31 2 2 3 2" xfId="43730"/>
    <cellStyle name="표준 6 2 3 2 31 2 2 4" xfId="31058"/>
    <cellStyle name="표준 6 2 3 2 31 2 2 5" xfId="55739"/>
    <cellStyle name="표준 6 2 3 2 31 2 3" xfId="8892"/>
    <cellStyle name="표준 6 2 3 2 31 2 3 2" xfId="21565"/>
    <cellStyle name="표준 6 2 3 2 31 2 3 2 2" xfId="46917"/>
    <cellStyle name="표준 6 2 3 2 31 2 3 3" xfId="34245"/>
    <cellStyle name="표준 6 2 3 2 31 2 4" xfId="15229"/>
    <cellStyle name="표준 6 2 3 2 31 2 4 2" xfId="40581"/>
    <cellStyle name="표준 6 2 3 2 31 2 5" xfId="27909"/>
    <cellStyle name="표준 6 2 3 2 31 2 6" xfId="55740"/>
    <cellStyle name="표준 6 2 3 2 31 3" xfId="5706"/>
    <cellStyle name="표준 6 2 3 2 31 3 2" xfId="12042"/>
    <cellStyle name="표준 6 2 3 2 31 3 2 2" xfId="24715"/>
    <cellStyle name="표준 6 2 3 2 31 3 2 2 2" xfId="50067"/>
    <cellStyle name="표준 6 2 3 2 31 3 2 3" xfId="37395"/>
    <cellStyle name="표준 6 2 3 2 31 3 3" xfId="18379"/>
    <cellStyle name="표준 6 2 3 2 31 3 3 2" xfId="43731"/>
    <cellStyle name="표준 6 2 3 2 31 3 4" xfId="31059"/>
    <cellStyle name="표준 6 2 3 2 31 3 5" xfId="55741"/>
    <cellStyle name="표준 6 2 3 2 31 4" xfId="8891"/>
    <cellStyle name="표준 6 2 3 2 31 4 2" xfId="21564"/>
    <cellStyle name="표준 6 2 3 2 31 4 2 2" xfId="46916"/>
    <cellStyle name="표준 6 2 3 2 31 4 3" xfId="34244"/>
    <cellStyle name="표준 6 2 3 2 31 5" xfId="15228"/>
    <cellStyle name="표준 6 2 3 2 31 5 2" xfId="40580"/>
    <cellStyle name="표준 6 2 3 2 31 6" xfId="27908"/>
    <cellStyle name="표준 6 2 3 2 31 7" xfId="55742"/>
    <cellStyle name="표준 6 2 3 2 32" xfId="2556"/>
    <cellStyle name="표준 6 2 3 2 32 2" xfId="2557"/>
    <cellStyle name="표준 6 2 3 2 32 2 2" xfId="5707"/>
    <cellStyle name="표준 6 2 3 2 32 2 2 2" xfId="12043"/>
    <cellStyle name="표준 6 2 3 2 32 2 2 2 2" xfId="24716"/>
    <cellStyle name="표준 6 2 3 2 32 2 2 2 2 2" xfId="50068"/>
    <cellStyle name="표준 6 2 3 2 32 2 2 2 3" xfId="37396"/>
    <cellStyle name="표준 6 2 3 2 32 2 2 3" xfId="18380"/>
    <cellStyle name="표준 6 2 3 2 32 2 2 3 2" xfId="43732"/>
    <cellStyle name="표준 6 2 3 2 32 2 2 4" xfId="31060"/>
    <cellStyle name="표준 6 2 3 2 32 2 2 5" xfId="55743"/>
    <cellStyle name="표준 6 2 3 2 32 2 3" xfId="8894"/>
    <cellStyle name="표준 6 2 3 2 32 2 3 2" xfId="21567"/>
    <cellStyle name="표준 6 2 3 2 32 2 3 2 2" xfId="46919"/>
    <cellStyle name="표준 6 2 3 2 32 2 3 3" xfId="34247"/>
    <cellStyle name="표준 6 2 3 2 32 2 4" xfId="15231"/>
    <cellStyle name="표준 6 2 3 2 32 2 4 2" xfId="40583"/>
    <cellStyle name="표준 6 2 3 2 32 2 5" xfId="27911"/>
    <cellStyle name="표준 6 2 3 2 32 2 6" xfId="55744"/>
    <cellStyle name="표준 6 2 3 2 32 3" xfId="5708"/>
    <cellStyle name="표준 6 2 3 2 32 3 2" xfId="12044"/>
    <cellStyle name="표준 6 2 3 2 32 3 2 2" xfId="24717"/>
    <cellStyle name="표준 6 2 3 2 32 3 2 2 2" xfId="50069"/>
    <cellStyle name="표준 6 2 3 2 32 3 2 3" xfId="37397"/>
    <cellStyle name="표준 6 2 3 2 32 3 3" xfId="18381"/>
    <cellStyle name="표준 6 2 3 2 32 3 3 2" xfId="43733"/>
    <cellStyle name="표준 6 2 3 2 32 3 4" xfId="31061"/>
    <cellStyle name="표준 6 2 3 2 32 3 5" xfId="55745"/>
    <cellStyle name="표준 6 2 3 2 32 4" xfId="8893"/>
    <cellStyle name="표준 6 2 3 2 32 4 2" xfId="21566"/>
    <cellStyle name="표준 6 2 3 2 32 4 2 2" xfId="46918"/>
    <cellStyle name="표준 6 2 3 2 32 4 3" xfId="34246"/>
    <cellStyle name="표준 6 2 3 2 32 5" xfId="15230"/>
    <cellStyle name="표준 6 2 3 2 32 5 2" xfId="40582"/>
    <cellStyle name="표준 6 2 3 2 32 6" xfId="27910"/>
    <cellStyle name="표준 6 2 3 2 32 7" xfId="55746"/>
    <cellStyle name="표준 6 2 3 2 33" xfId="2558"/>
    <cellStyle name="표준 6 2 3 2 33 2" xfId="2559"/>
    <cellStyle name="표준 6 2 3 2 33 2 2" xfId="5709"/>
    <cellStyle name="표준 6 2 3 2 33 2 2 2" xfId="12045"/>
    <cellStyle name="표준 6 2 3 2 33 2 2 2 2" xfId="24718"/>
    <cellStyle name="표준 6 2 3 2 33 2 2 2 2 2" xfId="50070"/>
    <cellStyle name="표준 6 2 3 2 33 2 2 2 3" xfId="37398"/>
    <cellStyle name="표준 6 2 3 2 33 2 2 3" xfId="18382"/>
    <cellStyle name="표준 6 2 3 2 33 2 2 3 2" xfId="43734"/>
    <cellStyle name="표준 6 2 3 2 33 2 2 4" xfId="31062"/>
    <cellStyle name="표준 6 2 3 2 33 2 2 5" xfId="55747"/>
    <cellStyle name="표준 6 2 3 2 33 2 3" xfId="8896"/>
    <cellStyle name="표준 6 2 3 2 33 2 3 2" xfId="21569"/>
    <cellStyle name="표준 6 2 3 2 33 2 3 2 2" xfId="46921"/>
    <cellStyle name="표준 6 2 3 2 33 2 3 3" xfId="34249"/>
    <cellStyle name="표준 6 2 3 2 33 2 4" xfId="15233"/>
    <cellStyle name="표준 6 2 3 2 33 2 4 2" xfId="40585"/>
    <cellStyle name="표준 6 2 3 2 33 2 5" xfId="27913"/>
    <cellStyle name="표준 6 2 3 2 33 2 6" xfId="55748"/>
    <cellStyle name="표준 6 2 3 2 33 3" xfId="5710"/>
    <cellStyle name="표준 6 2 3 2 33 3 2" xfId="12046"/>
    <cellStyle name="표준 6 2 3 2 33 3 2 2" xfId="24719"/>
    <cellStyle name="표준 6 2 3 2 33 3 2 2 2" xfId="50071"/>
    <cellStyle name="표준 6 2 3 2 33 3 2 3" xfId="37399"/>
    <cellStyle name="표준 6 2 3 2 33 3 3" xfId="18383"/>
    <cellStyle name="표준 6 2 3 2 33 3 3 2" xfId="43735"/>
    <cellStyle name="표준 6 2 3 2 33 3 4" xfId="31063"/>
    <cellStyle name="표준 6 2 3 2 33 3 5" xfId="55749"/>
    <cellStyle name="표준 6 2 3 2 33 4" xfId="8895"/>
    <cellStyle name="표준 6 2 3 2 33 4 2" xfId="21568"/>
    <cellStyle name="표준 6 2 3 2 33 4 2 2" xfId="46920"/>
    <cellStyle name="표준 6 2 3 2 33 4 3" xfId="34248"/>
    <cellStyle name="표준 6 2 3 2 33 5" xfId="15232"/>
    <cellStyle name="표준 6 2 3 2 33 5 2" xfId="40584"/>
    <cellStyle name="표준 6 2 3 2 33 6" xfId="27912"/>
    <cellStyle name="표준 6 2 3 2 33 7" xfId="55750"/>
    <cellStyle name="표준 6 2 3 2 34" xfId="2560"/>
    <cellStyle name="표준 6 2 3 2 34 2" xfId="5711"/>
    <cellStyle name="표준 6 2 3 2 34 2 2" xfId="12047"/>
    <cellStyle name="표준 6 2 3 2 34 2 2 2" xfId="24720"/>
    <cellStyle name="표준 6 2 3 2 34 2 2 2 2" xfId="50072"/>
    <cellStyle name="표준 6 2 3 2 34 2 2 3" xfId="37400"/>
    <cellStyle name="표준 6 2 3 2 34 2 3" xfId="18384"/>
    <cellStyle name="표준 6 2 3 2 34 2 3 2" xfId="43736"/>
    <cellStyle name="표준 6 2 3 2 34 2 4" xfId="31064"/>
    <cellStyle name="표준 6 2 3 2 34 2 5" xfId="55751"/>
    <cellStyle name="표준 6 2 3 2 34 3" xfId="8897"/>
    <cellStyle name="표준 6 2 3 2 34 3 2" xfId="21570"/>
    <cellStyle name="표준 6 2 3 2 34 3 2 2" xfId="46922"/>
    <cellStyle name="표준 6 2 3 2 34 3 3" xfId="34250"/>
    <cellStyle name="표준 6 2 3 2 34 4" xfId="15234"/>
    <cellStyle name="표준 6 2 3 2 34 4 2" xfId="40586"/>
    <cellStyle name="표준 6 2 3 2 34 5" xfId="27914"/>
    <cellStyle name="표준 6 2 3 2 34 6" xfId="55752"/>
    <cellStyle name="표준 6 2 3 2 35" xfId="5712"/>
    <cellStyle name="표준 6 2 3 2 35 2" xfId="12048"/>
    <cellStyle name="표준 6 2 3 2 35 2 2" xfId="24721"/>
    <cellStyle name="표준 6 2 3 2 35 2 2 2" xfId="50073"/>
    <cellStyle name="표준 6 2 3 2 35 2 3" xfId="37401"/>
    <cellStyle name="표준 6 2 3 2 35 3" xfId="18385"/>
    <cellStyle name="표준 6 2 3 2 35 3 2" xfId="43737"/>
    <cellStyle name="표준 6 2 3 2 35 4" xfId="31065"/>
    <cellStyle name="표준 6 2 3 2 35 5" xfId="55753"/>
    <cellStyle name="표준 6 2 3 2 36" xfId="6431"/>
    <cellStyle name="표준 6 2 3 2 36 2" xfId="19104"/>
    <cellStyle name="표준 6 2 3 2 36 2 2" xfId="44456"/>
    <cellStyle name="표준 6 2 3 2 36 3" xfId="31784"/>
    <cellStyle name="표준 6 2 3 2 37" xfId="12768"/>
    <cellStyle name="표준 6 2 3 2 37 2" xfId="38120"/>
    <cellStyle name="표준 6 2 3 2 38" xfId="25448"/>
    <cellStyle name="표준 6 2 3 2 39" xfId="55754"/>
    <cellStyle name="표준 6 2 3 2 4" xfId="2561"/>
    <cellStyle name="표준 6 2 3 2 4 2" xfId="2562"/>
    <cellStyle name="표준 6 2 3 2 4 2 2" xfId="5713"/>
    <cellStyle name="표준 6 2 3 2 4 2 2 2" xfId="12049"/>
    <cellStyle name="표준 6 2 3 2 4 2 2 2 2" xfId="24722"/>
    <cellStyle name="표준 6 2 3 2 4 2 2 2 2 2" xfId="50074"/>
    <cellStyle name="표준 6 2 3 2 4 2 2 2 3" xfId="37402"/>
    <cellStyle name="표준 6 2 3 2 4 2 2 3" xfId="18386"/>
    <cellStyle name="표준 6 2 3 2 4 2 2 3 2" xfId="43738"/>
    <cellStyle name="표준 6 2 3 2 4 2 2 4" xfId="31066"/>
    <cellStyle name="표준 6 2 3 2 4 2 2 5" xfId="55755"/>
    <cellStyle name="표준 6 2 3 2 4 2 3" xfId="8899"/>
    <cellStyle name="표준 6 2 3 2 4 2 3 2" xfId="21572"/>
    <cellStyle name="표준 6 2 3 2 4 2 3 2 2" xfId="46924"/>
    <cellStyle name="표준 6 2 3 2 4 2 3 3" xfId="34252"/>
    <cellStyle name="표준 6 2 3 2 4 2 4" xfId="15236"/>
    <cellStyle name="표준 6 2 3 2 4 2 4 2" xfId="40588"/>
    <cellStyle name="표준 6 2 3 2 4 2 5" xfId="27916"/>
    <cellStyle name="표준 6 2 3 2 4 2 6" xfId="55756"/>
    <cellStyle name="표준 6 2 3 2 4 3" xfId="5714"/>
    <cellStyle name="표준 6 2 3 2 4 3 2" xfId="12050"/>
    <cellStyle name="표준 6 2 3 2 4 3 2 2" xfId="24723"/>
    <cellStyle name="표준 6 2 3 2 4 3 2 2 2" xfId="50075"/>
    <cellStyle name="표준 6 2 3 2 4 3 2 3" xfId="37403"/>
    <cellStyle name="표준 6 2 3 2 4 3 3" xfId="18387"/>
    <cellStyle name="표준 6 2 3 2 4 3 3 2" xfId="43739"/>
    <cellStyle name="표준 6 2 3 2 4 3 4" xfId="31067"/>
    <cellStyle name="표준 6 2 3 2 4 3 5" xfId="55757"/>
    <cellStyle name="표준 6 2 3 2 4 4" xfId="8898"/>
    <cellStyle name="표준 6 2 3 2 4 4 2" xfId="21571"/>
    <cellStyle name="표준 6 2 3 2 4 4 2 2" xfId="46923"/>
    <cellStyle name="표준 6 2 3 2 4 4 3" xfId="34251"/>
    <cellStyle name="표준 6 2 3 2 4 5" xfId="15235"/>
    <cellStyle name="표준 6 2 3 2 4 5 2" xfId="40587"/>
    <cellStyle name="표준 6 2 3 2 4 6" xfId="27915"/>
    <cellStyle name="표준 6 2 3 2 4 7" xfId="55758"/>
    <cellStyle name="표준 6 2 3 2 5" xfId="2563"/>
    <cellStyle name="표준 6 2 3 2 5 2" xfId="2564"/>
    <cellStyle name="표준 6 2 3 2 5 2 2" xfId="5715"/>
    <cellStyle name="표준 6 2 3 2 5 2 2 2" xfId="12051"/>
    <cellStyle name="표준 6 2 3 2 5 2 2 2 2" xfId="24724"/>
    <cellStyle name="표준 6 2 3 2 5 2 2 2 2 2" xfId="50076"/>
    <cellStyle name="표준 6 2 3 2 5 2 2 2 3" xfId="37404"/>
    <cellStyle name="표준 6 2 3 2 5 2 2 3" xfId="18388"/>
    <cellStyle name="표준 6 2 3 2 5 2 2 3 2" xfId="43740"/>
    <cellStyle name="표준 6 2 3 2 5 2 2 4" xfId="31068"/>
    <cellStyle name="표준 6 2 3 2 5 2 2 5" xfId="55759"/>
    <cellStyle name="표준 6 2 3 2 5 2 3" xfId="8901"/>
    <cellStyle name="표준 6 2 3 2 5 2 3 2" xfId="21574"/>
    <cellStyle name="표준 6 2 3 2 5 2 3 2 2" xfId="46926"/>
    <cellStyle name="표준 6 2 3 2 5 2 3 3" xfId="34254"/>
    <cellStyle name="표준 6 2 3 2 5 2 4" xfId="15238"/>
    <cellStyle name="표준 6 2 3 2 5 2 4 2" xfId="40590"/>
    <cellStyle name="표준 6 2 3 2 5 2 5" xfId="27918"/>
    <cellStyle name="표준 6 2 3 2 5 2 6" xfId="55760"/>
    <cellStyle name="표준 6 2 3 2 5 3" xfId="5716"/>
    <cellStyle name="표준 6 2 3 2 5 3 2" xfId="12052"/>
    <cellStyle name="표준 6 2 3 2 5 3 2 2" xfId="24725"/>
    <cellStyle name="표준 6 2 3 2 5 3 2 2 2" xfId="50077"/>
    <cellStyle name="표준 6 2 3 2 5 3 2 3" xfId="37405"/>
    <cellStyle name="표준 6 2 3 2 5 3 3" xfId="18389"/>
    <cellStyle name="표준 6 2 3 2 5 3 3 2" xfId="43741"/>
    <cellStyle name="표준 6 2 3 2 5 3 4" xfId="31069"/>
    <cellStyle name="표준 6 2 3 2 5 3 5" xfId="55761"/>
    <cellStyle name="표준 6 2 3 2 5 4" xfId="8900"/>
    <cellStyle name="표준 6 2 3 2 5 4 2" xfId="21573"/>
    <cellStyle name="표준 6 2 3 2 5 4 2 2" xfId="46925"/>
    <cellStyle name="표준 6 2 3 2 5 4 3" xfId="34253"/>
    <cellStyle name="표준 6 2 3 2 5 5" xfId="15237"/>
    <cellStyle name="표준 6 2 3 2 5 5 2" xfId="40589"/>
    <cellStyle name="표준 6 2 3 2 5 6" xfId="27917"/>
    <cellStyle name="표준 6 2 3 2 5 7" xfId="55762"/>
    <cellStyle name="표준 6 2 3 2 6" xfId="2565"/>
    <cellStyle name="표준 6 2 3 2 6 2" xfId="2566"/>
    <cellStyle name="표준 6 2 3 2 6 2 2" xfId="5717"/>
    <cellStyle name="표준 6 2 3 2 6 2 2 2" xfId="12053"/>
    <cellStyle name="표준 6 2 3 2 6 2 2 2 2" xfId="24726"/>
    <cellStyle name="표준 6 2 3 2 6 2 2 2 2 2" xfId="50078"/>
    <cellStyle name="표준 6 2 3 2 6 2 2 2 3" xfId="37406"/>
    <cellStyle name="표준 6 2 3 2 6 2 2 3" xfId="18390"/>
    <cellStyle name="표준 6 2 3 2 6 2 2 3 2" xfId="43742"/>
    <cellStyle name="표준 6 2 3 2 6 2 2 4" xfId="31070"/>
    <cellStyle name="표준 6 2 3 2 6 2 2 5" xfId="55763"/>
    <cellStyle name="표준 6 2 3 2 6 2 3" xfId="8903"/>
    <cellStyle name="표준 6 2 3 2 6 2 3 2" xfId="21576"/>
    <cellStyle name="표준 6 2 3 2 6 2 3 2 2" xfId="46928"/>
    <cellStyle name="표준 6 2 3 2 6 2 3 3" xfId="34256"/>
    <cellStyle name="표준 6 2 3 2 6 2 4" xfId="15240"/>
    <cellStyle name="표준 6 2 3 2 6 2 4 2" xfId="40592"/>
    <cellStyle name="표준 6 2 3 2 6 2 5" xfId="27920"/>
    <cellStyle name="표준 6 2 3 2 6 2 6" xfId="55764"/>
    <cellStyle name="표준 6 2 3 2 6 3" xfId="5718"/>
    <cellStyle name="표준 6 2 3 2 6 3 2" xfId="12054"/>
    <cellStyle name="표준 6 2 3 2 6 3 2 2" xfId="24727"/>
    <cellStyle name="표준 6 2 3 2 6 3 2 2 2" xfId="50079"/>
    <cellStyle name="표준 6 2 3 2 6 3 2 3" xfId="37407"/>
    <cellStyle name="표준 6 2 3 2 6 3 3" xfId="18391"/>
    <cellStyle name="표준 6 2 3 2 6 3 3 2" xfId="43743"/>
    <cellStyle name="표준 6 2 3 2 6 3 4" xfId="31071"/>
    <cellStyle name="표준 6 2 3 2 6 3 5" xfId="55765"/>
    <cellStyle name="표준 6 2 3 2 6 4" xfId="8902"/>
    <cellStyle name="표준 6 2 3 2 6 4 2" xfId="21575"/>
    <cellStyle name="표준 6 2 3 2 6 4 2 2" xfId="46927"/>
    <cellStyle name="표준 6 2 3 2 6 4 3" xfId="34255"/>
    <cellStyle name="표준 6 2 3 2 6 5" xfId="15239"/>
    <cellStyle name="표준 6 2 3 2 6 5 2" xfId="40591"/>
    <cellStyle name="표준 6 2 3 2 6 6" xfId="27919"/>
    <cellStyle name="표준 6 2 3 2 6 7" xfId="55766"/>
    <cellStyle name="표준 6 2 3 2 7" xfId="2567"/>
    <cellStyle name="표준 6 2 3 2 7 2" xfId="2568"/>
    <cellStyle name="표준 6 2 3 2 7 2 2" xfId="5719"/>
    <cellStyle name="표준 6 2 3 2 7 2 2 2" xfId="12055"/>
    <cellStyle name="표준 6 2 3 2 7 2 2 2 2" xfId="24728"/>
    <cellStyle name="표준 6 2 3 2 7 2 2 2 2 2" xfId="50080"/>
    <cellStyle name="표준 6 2 3 2 7 2 2 2 3" xfId="37408"/>
    <cellStyle name="표준 6 2 3 2 7 2 2 3" xfId="18392"/>
    <cellStyle name="표준 6 2 3 2 7 2 2 3 2" xfId="43744"/>
    <cellStyle name="표준 6 2 3 2 7 2 2 4" xfId="31072"/>
    <cellStyle name="표준 6 2 3 2 7 2 2 5" xfId="55767"/>
    <cellStyle name="표준 6 2 3 2 7 2 3" xfId="8905"/>
    <cellStyle name="표준 6 2 3 2 7 2 3 2" xfId="21578"/>
    <cellStyle name="표준 6 2 3 2 7 2 3 2 2" xfId="46930"/>
    <cellStyle name="표준 6 2 3 2 7 2 3 3" xfId="34258"/>
    <cellStyle name="표준 6 2 3 2 7 2 4" xfId="15242"/>
    <cellStyle name="표준 6 2 3 2 7 2 4 2" xfId="40594"/>
    <cellStyle name="표준 6 2 3 2 7 2 5" xfId="27922"/>
    <cellStyle name="표준 6 2 3 2 7 2 6" xfId="55768"/>
    <cellStyle name="표준 6 2 3 2 7 3" xfId="5720"/>
    <cellStyle name="표준 6 2 3 2 7 3 2" xfId="12056"/>
    <cellStyle name="표준 6 2 3 2 7 3 2 2" xfId="24729"/>
    <cellStyle name="표준 6 2 3 2 7 3 2 2 2" xfId="50081"/>
    <cellStyle name="표준 6 2 3 2 7 3 2 3" xfId="37409"/>
    <cellStyle name="표준 6 2 3 2 7 3 3" xfId="18393"/>
    <cellStyle name="표준 6 2 3 2 7 3 3 2" xfId="43745"/>
    <cellStyle name="표준 6 2 3 2 7 3 4" xfId="31073"/>
    <cellStyle name="표준 6 2 3 2 7 3 5" xfId="55769"/>
    <cellStyle name="표준 6 2 3 2 7 4" xfId="8904"/>
    <cellStyle name="표준 6 2 3 2 7 4 2" xfId="21577"/>
    <cellStyle name="표준 6 2 3 2 7 4 2 2" xfId="46929"/>
    <cellStyle name="표준 6 2 3 2 7 4 3" xfId="34257"/>
    <cellStyle name="표준 6 2 3 2 7 5" xfId="15241"/>
    <cellStyle name="표준 6 2 3 2 7 5 2" xfId="40593"/>
    <cellStyle name="표준 6 2 3 2 7 6" xfId="27921"/>
    <cellStyle name="표준 6 2 3 2 7 7" xfId="55770"/>
    <cellStyle name="표준 6 2 3 2 8" xfId="2569"/>
    <cellStyle name="표준 6 2 3 2 8 2" xfId="2570"/>
    <cellStyle name="표준 6 2 3 2 8 2 2" xfId="5721"/>
    <cellStyle name="표준 6 2 3 2 8 2 2 2" xfId="12057"/>
    <cellStyle name="표준 6 2 3 2 8 2 2 2 2" xfId="24730"/>
    <cellStyle name="표준 6 2 3 2 8 2 2 2 2 2" xfId="50082"/>
    <cellStyle name="표준 6 2 3 2 8 2 2 2 3" xfId="37410"/>
    <cellStyle name="표준 6 2 3 2 8 2 2 3" xfId="18394"/>
    <cellStyle name="표준 6 2 3 2 8 2 2 3 2" xfId="43746"/>
    <cellStyle name="표준 6 2 3 2 8 2 2 4" xfId="31074"/>
    <cellStyle name="표준 6 2 3 2 8 2 2 5" xfId="55771"/>
    <cellStyle name="표준 6 2 3 2 8 2 3" xfId="8907"/>
    <cellStyle name="표준 6 2 3 2 8 2 3 2" xfId="21580"/>
    <cellStyle name="표준 6 2 3 2 8 2 3 2 2" xfId="46932"/>
    <cellStyle name="표준 6 2 3 2 8 2 3 3" xfId="34260"/>
    <cellStyle name="표준 6 2 3 2 8 2 4" xfId="15244"/>
    <cellStyle name="표준 6 2 3 2 8 2 4 2" xfId="40596"/>
    <cellStyle name="표준 6 2 3 2 8 2 5" xfId="27924"/>
    <cellStyle name="표준 6 2 3 2 8 2 6" xfId="55772"/>
    <cellStyle name="표준 6 2 3 2 8 3" xfId="5722"/>
    <cellStyle name="표준 6 2 3 2 8 3 2" xfId="12058"/>
    <cellStyle name="표준 6 2 3 2 8 3 2 2" xfId="24731"/>
    <cellStyle name="표준 6 2 3 2 8 3 2 2 2" xfId="50083"/>
    <cellStyle name="표준 6 2 3 2 8 3 2 3" xfId="37411"/>
    <cellStyle name="표준 6 2 3 2 8 3 3" xfId="18395"/>
    <cellStyle name="표준 6 2 3 2 8 3 3 2" xfId="43747"/>
    <cellStyle name="표준 6 2 3 2 8 3 4" xfId="31075"/>
    <cellStyle name="표준 6 2 3 2 8 3 5" xfId="55773"/>
    <cellStyle name="표준 6 2 3 2 8 4" xfId="8906"/>
    <cellStyle name="표준 6 2 3 2 8 4 2" xfId="21579"/>
    <cellStyle name="표준 6 2 3 2 8 4 2 2" xfId="46931"/>
    <cellStyle name="표준 6 2 3 2 8 4 3" xfId="34259"/>
    <cellStyle name="표준 6 2 3 2 8 5" xfId="15243"/>
    <cellStyle name="표준 6 2 3 2 8 5 2" xfId="40595"/>
    <cellStyle name="표준 6 2 3 2 8 6" xfId="27923"/>
    <cellStyle name="표준 6 2 3 2 8 7" xfId="55774"/>
    <cellStyle name="표준 6 2 3 2 9" xfId="2571"/>
    <cellStyle name="표준 6 2 3 2 9 2" xfId="2572"/>
    <cellStyle name="표준 6 2 3 2 9 2 2" xfId="5723"/>
    <cellStyle name="표준 6 2 3 2 9 2 2 2" xfId="12059"/>
    <cellStyle name="표준 6 2 3 2 9 2 2 2 2" xfId="24732"/>
    <cellStyle name="표준 6 2 3 2 9 2 2 2 2 2" xfId="50084"/>
    <cellStyle name="표준 6 2 3 2 9 2 2 2 3" xfId="37412"/>
    <cellStyle name="표준 6 2 3 2 9 2 2 3" xfId="18396"/>
    <cellStyle name="표준 6 2 3 2 9 2 2 3 2" xfId="43748"/>
    <cellStyle name="표준 6 2 3 2 9 2 2 4" xfId="31076"/>
    <cellStyle name="표준 6 2 3 2 9 2 2 5" xfId="55775"/>
    <cellStyle name="표준 6 2 3 2 9 2 3" xfId="8909"/>
    <cellStyle name="표준 6 2 3 2 9 2 3 2" xfId="21582"/>
    <cellStyle name="표준 6 2 3 2 9 2 3 2 2" xfId="46934"/>
    <cellStyle name="표준 6 2 3 2 9 2 3 3" xfId="34262"/>
    <cellStyle name="표준 6 2 3 2 9 2 4" xfId="15246"/>
    <cellStyle name="표준 6 2 3 2 9 2 4 2" xfId="40598"/>
    <cellStyle name="표준 6 2 3 2 9 2 5" xfId="27926"/>
    <cellStyle name="표준 6 2 3 2 9 2 6" xfId="55776"/>
    <cellStyle name="표준 6 2 3 2 9 3" xfId="5724"/>
    <cellStyle name="표준 6 2 3 2 9 3 2" xfId="12060"/>
    <cellStyle name="표준 6 2 3 2 9 3 2 2" xfId="24733"/>
    <cellStyle name="표준 6 2 3 2 9 3 2 2 2" xfId="50085"/>
    <cellStyle name="표준 6 2 3 2 9 3 2 3" xfId="37413"/>
    <cellStyle name="표준 6 2 3 2 9 3 3" xfId="18397"/>
    <cellStyle name="표준 6 2 3 2 9 3 3 2" xfId="43749"/>
    <cellStyle name="표준 6 2 3 2 9 3 4" xfId="31077"/>
    <cellStyle name="표준 6 2 3 2 9 3 5" xfId="55777"/>
    <cellStyle name="표준 6 2 3 2 9 4" xfId="8908"/>
    <cellStyle name="표준 6 2 3 2 9 4 2" xfId="21581"/>
    <cellStyle name="표준 6 2 3 2 9 4 2 2" xfId="46933"/>
    <cellStyle name="표준 6 2 3 2 9 4 3" xfId="34261"/>
    <cellStyle name="표준 6 2 3 2 9 5" xfId="15245"/>
    <cellStyle name="표준 6 2 3 2 9 5 2" xfId="40597"/>
    <cellStyle name="표준 6 2 3 2 9 6" xfId="27925"/>
    <cellStyle name="표준 6 2 3 2 9 7" xfId="55778"/>
    <cellStyle name="표준 6 2 3 20" xfId="2573"/>
    <cellStyle name="표준 6 2 3 20 2" xfId="2574"/>
    <cellStyle name="표준 6 2 3 20 2 2" xfId="5725"/>
    <cellStyle name="표준 6 2 3 20 2 2 2" xfId="12061"/>
    <cellStyle name="표준 6 2 3 20 2 2 2 2" xfId="24734"/>
    <cellStyle name="표준 6 2 3 20 2 2 2 2 2" xfId="50086"/>
    <cellStyle name="표준 6 2 3 20 2 2 2 3" xfId="37414"/>
    <cellStyle name="표준 6 2 3 20 2 2 3" xfId="18398"/>
    <cellStyle name="표준 6 2 3 20 2 2 3 2" xfId="43750"/>
    <cellStyle name="표준 6 2 3 20 2 2 4" xfId="31078"/>
    <cellStyle name="표준 6 2 3 20 2 2 5" xfId="55779"/>
    <cellStyle name="표준 6 2 3 20 2 3" xfId="8911"/>
    <cellStyle name="표준 6 2 3 20 2 3 2" xfId="21584"/>
    <cellStyle name="표준 6 2 3 20 2 3 2 2" xfId="46936"/>
    <cellStyle name="표준 6 2 3 20 2 3 3" xfId="34264"/>
    <cellStyle name="표준 6 2 3 20 2 4" xfId="15248"/>
    <cellStyle name="표준 6 2 3 20 2 4 2" xfId="40600"/>
    <cellStyle name="표준 6 2 3 20 2 5" xfId="27928"/>
    <cellStyle name="표준 6 2 3 20 2 6" xfId="55780"/>
    <cellStyle name="표준 6 2 3 20 3" xfId="5726"/>
    <cellStyle name="표준 6 2 3 20 3 2" xfId="12062"/>
    <cellStyle name="표준 6 2 3 20 3 2 2" xfId="24735"/>
    <cellStyle name="표준 6 2 3 20 3 2 2 2" xfId="50087"/>
    <cellStyle name="표준 6 2 3 20 3 2 3" xfId="37415"/>
    <cellStyle name="표준 6 2 3 20 3 3" xfId="18399"/>
    <cellStyle name="표준 6 2 3 20 3 3 2" xfId="43751"/>
    <cellStyle name="표준 6 2 3 20 3 4" xfId="31079"/>
    <cellStyle name="표준 6 2 3 20 3 5" xfId="55781"/>
    <cellStyle name="표준 6 2 3 20 4" xfId="8910"/>
    <cellStyle name="표준 6 2 3 20 4 2" xfId="21583"/>
    <cellStyle name="표준 6 2 3 20 4 2 2" xfId="46935"/>
    <cellStyle name="표준 6 2 3 20 4 3" xfId="34263"/>
    <cellStyle name="표준 6 2 3 20 5" xfId="15247"/>
    <cellStyle name="표준 6 2 3 20 5 2" xfId="40599"/>
    <cellStyle name="표준 6 2 3 20 6" xfId="27927"/>
    <cellStyle name="표준 6 2 3 20 7" xfId="55782"/>
    <cellStyle name="표준 6 2 3 21" xfId="2575"/>
    <cellStyle name="표준 6 2 3 21 2" xfId="2576"/>
    <cellStyle name="표준 6 2 3 21 2 2" xfId="5727"/>
    <cellStyle name="표준 6 2 3 21 2 2 2" xfId="12063"/>
    <cellStyle name="표준 6 2 3 21 2 2 2 2" xfId="24736"/>
    <cellStyle name="표준 6 2 3 21 2 2 2 2 2" xfId="50088"/>
    <cellStyle name="표준 6 2 3 21 2 2 2 3" xfId="37416"/>
    <cellStyle name="표준 6 2 3 21 2 2 3" xfId="18400"/>
    <cellStyle name="표준 6 2 3 21 2 2 3 2" xfId="43752"/>
    <cellStyle name="표준 6 2 3 21 2 2 4" xfId="31080"/>
    <cellStyle name="표준 6 2 3 21 2 2 5" xfId="55783"/>
    <cellStyle name="표준 6 2 3 21 2 3" xfId="8913"/>
    <cellStyle name="표준 6 2 3 21 2 3 2" xfId="21586"/>
    <cellStyle name="표준 6 2 3 21 2 3 2 2" xfId="46938"/>
    <cellStyle name="표준 6 2 3 21 2 3 3" xfId="34266"/>
    <cellStyle name="표준 6 2 3 21 2 4" xfId="15250"/>
    <cellStyle name="표준 6 2 3 21 2 4 2" xfId="40602"/>
    <cellStyle name="표준 6 2 3 21 2 5" xfId="27930"/>
    <cellStyle name="표준 6 2 3 21 2 6" xfId="55784"/>
    <cellStyle name="표준 6 2 3 21 3" xfId="5728"/>
    <cellStyle name="표준 6 2 3 21 3 2" xfId="12064"/>
    <cellStyle name="표준 6 2 3 21 3 2 2" xfId="24737"/>
    <cellStyle name="표준 6 2 3 21 3 2 2 2" xfId="50089"/>
    <cellStyle name="표준 6 2 3 21 3 2 3" xfId="37417"/>
    <cellStyle name="표준 6 2 3 21 3 3" xfId="18401"/>
    <cellStyle name="표준 6 2 3 21 3 3 2" xfId="43753"/>
    <cellStyle name="표준 6 2 3 21 3 4" xfId="31081"/>
    <cellStyle name="표준 6 2 3 21 3 5" xfId="55785"/>
    <cellStyle name="표준 6 2 3 21 4" xfId="8912"/>
    <cellStyle name="표준 6 2 3 21 4 2" xfId="21585"/>
    <cellStyle name="표준 6 2 3 21 4 2 2" xfId="46937"/>
    <cellStyle name="표준 6 2 3 21 4 3" xfId="34265"/>
    <cellStyle name="표준 6 2 3 21 5" xfId="15249"/>
    <cellStyle name="표준 6 2 3 21 5 2" xfId="40601"/>
    <cellStyle name="표준 6 2 3 21 6" xfId="27929"/>
    <cellStyle name="표준 6 2 3 21 7" xfId="55786"/>
    <cellStyle name="표준 6 2 3 22" xfId="2577"/>
    <cellStyle name="표준 6 2 3 22 2" xfId="2578"/>
    <cellStyle name="표준 6 2 3 22 2 2" xfId="5729"/>
    <cellStyle name="표준 6 2 3 22 2 2 2" xfId="12065"/>
    <cellStyle name="표준 6 2 3 22 2 2 2 2" xfId="24738"/>
    <cellStyle name="표준 6 2 3 22 2 2 2 2 2" xfId="50090"/>
    <cellStyle name="표준 6 2 3 22 2 2 2 3" xfId="37418"/>
    <cellStyle name="표준 6 2 3 22 2 2 3" xfId="18402"/>
    <cellStyle name="표준 6 2 3 22 2 2 3 2" xfId="43754"/>
    <cellStyle name="표준 6 2 3 22 2 2 4" xfId="31082"/>
    <cellStyle name="표준 6 2 3 22 2 2 5" xfId="55787"/>
    <cellStyle name="표준 6 2 3 22 2 3" xfId="8915"/>
    <cellStyle name="표준 6 2 3 22 2 3 2" xfId="21588"/>
    <cellStyle name="표준 6 2 3 22 2 3 2 2" xfId="46940"/>
    <cellStyle name="표준 6 2 3 22 2 3 3" xfId="34268"/>
    <cellStyle name="표준 6 2 3 22 2 4" xfId="15252"/>
    <cellStyle name="표준 6 2 3 22 2 4 2" xfId="40604"/>
    <cellStyle name="표준 6 2 3 22 2 5" xfId="27932"/>
    <cellStyle name="표준 6 2 3 22 2 6" xfId="55788"/>
    <cellStyle name="표준 6 2 3 22 3" xfId="5730"/>
    <cellStyle name="표준 6 2 3 22 3 2" xfId="12066"/>
    <cellStyle name="표준 6 2 3 22 3 2 2" xfId="24739"/>
    <cellStyle name="표준 6 2 3 22 3 2 2 2" xfId="50091"/>
    <cellStyle name="표준 6 2 3 22 3 2 3" xfId="37419"/>
    <cellStyle name="표준 6 2 3 22 3 3" xfId="18403"/>
    <cellStyle name="표준 6 2 3 22 3 3 2" xfId="43755"/>
    <cellStyle name="표준 6 2 3 22 3 4" xfId="31083"/>
    <cellStyle name="표준 6 2 3 22 3 5" xfId="55789"/>
    <cellStyle name="표준 6 2 3 22 4" xfId="8914"/>
    <cellStyle name="표준 6 2 3 22 4 2" xfId="21587"/>
    <cellStyle name="표준 6 2 3 22 4 2 2" xfId="46939"/>
    <cellStyle name="표준 6 2 3 22 4 3" xfId="34267"/>
    <cellStyle name="표준 6 2 3 22 5" xfId="15251"/>
    <cellStyle name="표준 6 2 3 22 5 2" xfId="40603"/>
    <cellStyle name="표준 6 2 3 22 6" xfId="27931"/>
    <cellStyle name="표준 6 2 3 22 7" xfId="55790"/>
    <cellStyle name="표준 6 2 3 23" xfId="2579"/>
    <cellStyle name="표준 6 2 3 23 2" xfId="2580"/>
    <cellStyle name="표준 6 2 3 23 2 2" xfId="5731"/>
    <cellStyle name="표준 6 2 3 23 2 2 2" xfId="12067"/>
    <cellStyle name="표준 6 2 3 23 2 2 2 2" xfId="24740"/>
    <cellStyle name="표준 6 2 3 23 2 2 2 2 2" xfId="50092"/>
    <cellStyle name="표준 6 2 3 23 2 2 2 3" xfId="37420"/>
    <cellStyle name="표준 6 2 3 23 2 2 3" xfId="18404"/>
    <cellStyle name="표준 6 2 3 23 2 2 3 2" xfId="43756"/>
    <cellStyle name="표준 6 2 3 23 2 2 4" xfId="31084"/>
    <cellStyle name="표준 6 2 3 23 2 2 5" xfId="55791"/>
    <cellStyle name="표준 6 2 3 23 2 3" xfId="8917"/>
    <cellStyle name="표준 6 2 3 23 2 3 2" xfId="21590"/>
    <cellStyle name="표준 6 2 3 23 2 3 2 2" xfId="46942"/>
    <cellStyle name="표준 6 2 3 23 2 3 3" xfId="34270"/>
    <cellStyle name="표준 6 2 3 23 2 4" xfId="15254"/>
    <cellStyle name="표준 6 2 3 23 2 4 2" xfId="40606"/>
    <cellStyle name="표준 6 2 3 23 2 5" xfId="27934"/>
    <cellStyle name="표준 6 2 3 23 2 6" xfId="55792"/>
    <cellStyle name="표준 6 2 3 23 3" xfId="5732"/>
    <cellStyle name="표준 6 2 3 23 3 2" xfId="12068"/>
    <cellStyle name="표준 6 2 3 23 3 2 2" xfId="24741"/>
    <cellStyle name="표준 6 2 3 23 3 2 2 2" xfId="50093"/>
    <cellStyle name="표준 6 2 3 23 3 2 3" xfId="37421"/>
    <cellStyle name="표준 6 2 3 23 3 3" xfId="18405"/>
    <cellStyle name="표준 6 2 3 23 3 3 2" xfId="43757"/>
    <cellStyle name="표준 6 2 3 23 3 4" xfId="31085"/>
    <cellStyle name="표준 6 2 3 23 3 5" xfId="55793"/>
    <cellStyle name="표준 6 2 3 23 4" xfId="8916"/>
    <cellStyle name="표준 6 2 3 23 4 2" xfId="21589"/>
    <cellStyle name="표준 6 2 3 23 4 2 2" xfId="46941"/>
    <cellStyle name="표준 6 2 3 23 4 3" xfId="34269"/>
    <cellStyle name="표준 6 2 3 23 5" xfId="15253"/>
    <cellStyle name="표준 6 2 3 23 5 2" xfId="40605"/>
    <cellStyle name="표준 6 2 3 23 6" xfId="27933"/>
    <cellStyle name="표준 6 2 3 23 7" xfId="55794"/>
    <cellStyle name="표준 6 2 3 24" xfId="2581"/>
    <cellStyle name="표준 6 2 3 24 2" xfId="2582"/>
    <cellStyle name="표준 6 2 3 24 2 2" xfId="5733"/>
    <cellStyle name="표준 6 2 3 24 2 2 2" xfId="12069"/>
    <cellStyle name="표준 6 2 3 24 2 2 2 2" xfId="24742"/>
    <cellStyle name="표준 6 2 3 24 2 2 2 2 2" xfId="50094"/>
    <cellStyle name="표준 6 2 3 24 2 2 2 3" xfId="37422"/>
    <cellStyle name="표준 6 2 3 24 2 2 3" xfId="18406"/>
    <cellStyle name="표준 6 2 3 24 2 2 3 2" xfId="43758"/>
    <cellStyle name="표준 6 2 3 24 2 2 4" xfId="31086"/>
    <cellStyle name="표준 6 2 3 24 2 2 5" xfId="55795"/>
    <cellStyle name="표준 6 2 3 24 2 3" xfId="8919"/>
    <cellStyle name="표준 6 2 3 24 2 3 2" xfId="21592"/>
    <cellStyle name="표준 6 2 3 24 2 3 2 2" xfId="46944"/>
    <cellStyle name="표준 6 2 3 24 2 3 3" xfId="34272"/>
    <cellStyle name="표준 6 2 3 24 2 4" xfId="15256"/>
    <cellStyle name="표준 6 2 3 24 2 4 2" xfId="40608"/>
    <cellStyle name="표준 6 2 3 24 2 5" xfId="27936"/>
    <cellStyle name="표준 6 2 3 24 2 6" xfId="55796"/>
    <cellStyle name="표준 6 2 3 24 3" xfId="5734"/>
    <cellStyle name="표준 6 2 3 24 3 2" xfId="12070"/>
    <cellStyle name="표준 6 2 3 24 3 2 2" xfId="24743"/>
    <cellStyle name="표준 6 2 3 24 3 2 2 2" xfId="50095"/>
    <cellStyle name="표준 6 2 3 24 3 2 3" xfId="37423"/>
    <cellStyle name="표준 6 2 3 24 3 3" xfId="18407"/>
    <cellStyle name="표준 6 2 3 24 3 3 2" xfId="43759"/>
    <cellStyle name="표준 6 2 3 24 3 4" xfId="31087"/>
    <cellStyle name="표준 6 2 3 24 3 5" xfId="55797"/>
    <cellStyle name="표준 6 2 3 24 4" xfId="8918"/>
    <cellStyle name="표준 6 2 3 24 4 2" xfId="21591"/>
    <cellStyle name="표준 6 2 3 24 4 2 2" xfId="46943"/>
    <cellStyle name="표준 6 2 3 24 4 3" xfId="34271"/>
    <cellStyle name="표준 6 2 3 24 5" xfId="15255"/>
    <cellStyle name="표준 6 2 3 24 5 2" xfId="40607"/>
    <cellStyle name="표준 6 2 3 24 6" xfId="27935"/>
    <cellStyle name="표준 6 2 3 24 7" xfId="55798"/>
    <cellStyle name="표준 6 2 3 25" xfId="2583"/>
    <cellStyle name="표준 6 2 3 25 2" xfId="2584"/>
    <cellStyle name="표준 6 2 3 25 2 2" xfId="5735"/>
    <cellStyle name="표준 6 2 3 25 2 2 2" xfId="12071"/>
    <cellStyle name="표준 6 2 3 25 2 2 2 2" xfId="24744"/>
    <cellStyle name="표준 6 2 3 25 2 2 2 2 2" xfId="50096"/>
    <cellStyle name="표준 6 2 3 25 2 2 2 3" xfId="37424"/>
    <cellStyle name="표준 6 2 3 25 2 2 3" xfId="18408"/>
    <cellStyle name="표준 6 2 3 25 2 2 3 2" xfId="43760"/>
    <cellStyle name="표준 6 2 3 25 2 2 4" xfId="31088"/>
    <cellStyle name="표준 6 2 3 25 2 2 5" xfId="55799"/>
    <cellStyle name="표준 6 2 3 25 2 3" xfId="8921"/>
    <cellStyle name="표준 6 2 3 25 2 3 2" xfId="21594"/>
    <cellStyle name="표준 6 2 3 25 2 3 2 2" xfId="46946"/>
    <cellStyle name="표준 6 2 3 25 2 3 3" xfId="34274"/>
    <cellStyle name="표준 6 2 3 25 2 4" xfId="15258"/>
    <cellStyle name="표준 6 2 3 25 2 4 2" xfId="40610"/>
    <cellStyle name="표준 6 2 3 25 2 5" xfId="27938"/>
    <cellStyle name="표준 6 2 3 25 2 6" xfId="55800"/>
    <cellStyle name="표준 6 2 3 25 3" xfId="5736"/>
    <cellStyle name="표준 6 2 3 25 3 2" xfId="12072"/>
    <cellStyle name="표준 6 2 3 25 3 2 2" xfId="24745"/>
    <cellStyle name="표준 6 2 3 25 3 2 2 2" xfId="50097"/>
    <cellStyle name="표준 6 2 3 25 3 2 3" xfId="37425"/>
    <cellStyle name="표준 6 2 3 25 3 3" xfId="18409"/>
    <cellStyle name="표준 6 2 3 25 3 3 2" xfId="43761"/>
    <cellStyle name="표준 6 2 3 25 3 4" xfId="31089"/>
    <cellStyle name="표준 6 2 3 25 3 5" xfId="55801"/>
    <cellStyle name="표준 6 2 3 25 4" xfId="8920"/>
    <cellStyle name="표준 6 2 3 25 4 2" xfId="21593"/>
    <cellStyle name="표준 6 2 3 25 4 2 2" xfId="46945"/>
    <cellStyle name="표준 6 2 3 25 4 3" xfId="34273"/>
    <cellStyle name="표준 6 2 3 25 5" xfId="15257"/>
    <cellStyle name="표준 6 2 3 25 5 2" xfId="40609"/>
    <cellStyle name="표준 6 2 3 25 6" xfId="27937"/>
    <cellStyle name="표준 6 2 3 25 7" xfId="55802"/>
    <cellStyle name="표준 6 2 3 26" xfId="2585"/>
    <cellStyle name="표준 6 2 3 26 2" xfId="2586"/>
    <cellStyle name="표준 6 2 3 26 2 2" xfId="5737"/>
    <cellStyle name="표준 6 2 3 26 2 2 2" xfId="12073"/>
    <cellStyle name="표준 6 2 3 26 2 2 2 2" xfId="24746"/>
    <cellStyle name="표준 6 2 3 26 2 2 2 2 2" xfId="50098"/>
    <cellStyle name="표준 6 2 3 26 2 2 2 3" xfId="37426"/>
    <cellStyle name="표준 6 2 3 26 2 2 3" xfId="18410"/>
    <cellStyle name="표준 6 2 3 26 2 2 3 2" xfId="43762"/>
    <cellStyle name="표준 6 2 3 26 2 2 4" xfId="31090"/>
    <cellStyle name="표준 6 2 3 26 2 2 5" xfId="55803"/>
    <cellStyle name="표준 6 2 3 26 2 3" xfId="8923"/>
    <cellStyle name="표준 6 2 3 26 2 3 2" xfId="21596"/>
    <cellStyle name="표준 6 2 3 26 2 3 2 2" xfId="46948"/>
    <cellStyle name="표준 6 2 3 26 2 3 3" xfId="34276"/>
    <cellStyle name="표준 6 2 3 26 2 4" xfId="15260"/>
    <cellStyle name="표준 6 2 3 26 2 4 2" xfId="40612"/>
    <cellStyle name="표준 6 2 3 26 2 5" xfId="27940"/>
    <cellStyle name="표준 6 2 3 26 2 6" xfId="55804"/>
    <cellStyle name="표준 6 2 3 26 3" xfId="5738"/>
    <cellStyle name="표준 6 2 3 26 3 2" xfId="12074"/>
    <cellStyle name="표준 6 2 3 26 3 2 2" xfId="24747"/>
    <cellStyle name="표준 6 2 3 26 3 2 2 2" xfId="50099"/>
    <cellStyle name="표준 6 2 3 26 3 2 3" xfId="37427"/>
    <cellStyle name="표준 6 2 3 26 3 3" xfId="18411"/>
    <cellStyle name="표준 6 2 3 26 3 3 2" xfId="43763"/>
    <cellStyle name="표준 6 2 3 26 3 4" xfId="31091"/>
    <cellStyle name="표준 6 2 3 26 3 5" xfId="55805"/>
    <cellStyle name="표준 6 2 3 26 4" xfId="8922"/>
    <cellStyle name="표준 6 2 3 26 4 2" xfId="21595"/>
    <cellStyle name="표준 6 2 3 26 4 2 2" xfId="46947"/>
    <cellStyle name="표준 6 2 3 26 4 3" xfId="34275"/>
    <cellStyle name="표준 6 2 3 26 5" xfId="15259"/>
    <cellStyle name="표준 6 2 3 26 5 2" xfId="40611"/>
    <cellStyle name="표준 6 2 3 26 6" xfId="27939"/>
    <cellStyle name="표준 6 2 3 26 7" xfId="55806"/>
    <cellStyle name="표준 6 2 3 27" xfId="2587"/>
    <cellStyle name="표준 6 2 3 27 2" xfId="2588"/>
    <cellStyle name="표준 6 2 3 27 2 2" xfId="5739"/>
    <cellStyle name="표준 6 2 3 27 2 2 2" xfId="12075"/>
    <cellStyle name="표준 6 2 3 27 2 2 2 2" xfId="24748"/>
    <cellStyle name="표준 6 2 3 27 2 2 2 2 2" xfId="50100"/>
    <cellStyle name="표준 6 2 3 27 2 2 2 3" xfId="37428"/>
    <cellStyle name="표준 6 2 3 27 2 2 3" xfId="18412"/>
    <cellStyle name="표준 6 2 3 27 2 2 3 2" xfId="43764"/>
    <cellStyle name="표준 6 2 3 27 2 2 4" xfId="31092"/>
    <cellStyle name="표준 6 2 3 27 2 2 5" xfId="55807"/>
    <cellStyle name="표준 6 2 3 27 2 3" xfId="8925"/>
    <cellStyle name="표준 6 2 3 27 2 3 2" xfId="21598"/>
    <cellStyle name="표준 6 2 3 27 2 3 2 2" xfId="46950"/>
    <cellStyle name="표준 6 2 3 27 2 3 3" xfId="34278"/>
    <cellStyle name="표준 6 2 3 27 2 4" xfId="15262"/>
    <cellStyle name="표준 6 2 3 27 2 4 2" xfId="40614"/>
    <cellStyle name="표준 6 2 3 27 2 5" xfId="27942"/>
    <cellStyle name="표준 6 2 3 27 2 6" xfId="55808"/>
    <cellStyle name="표준 6 2 3 27 3" xfId="5740"/>
    <cellStyle name="표준 6 2 3 27 3 2" xfId="12076"/>
    <cellStyle name="표준 6 2 3 27 3 2 2" xfId="24749"/>
    <cellStyle name="표준 6 2 3 27 3 2 2 2" xfId="50101"/>
    <cellStyle name="표준 6 2 3 27 3 2 3" xfId="37429"/>
    <cellStyle name="표준 6 2 3 27 3 3" xfId="18413"/>
    <cellStyle name="표준 6 2 3 27 3 3 2" xfId="43765"/>
    <cellStyle name="표준 6 2 3 27 3 4" xfId="31093"/>
    <cellStyle name="표준 6 2 3 27 3 5" xfId="55809"/>
    <cellStyle name="표준 6 2 3 27 4" xfId="8924"/>
    <cellStyle name="표준 6 2 3 27 4 2" xfId="21597"/>
    <cellStyle name="표준 6 2 3 27 4 2 2" xfId="46949"/>
    <cellStyle name="표준 6 2 3 27 4 3" xfId="34277"/>
    <cellStyle name="표준 6 2 3 27 5" xfId="15261"/>
    <cellStyle name="표준 6 2 3 27 5 2" xfId="40613"/>
    <cellStyle name="표준 6 2 3 27 6" xfId="27941"/>
    <cellStyle name="표준 6 2 3 27 7" xfId="55810"/>
    <cellStyle name="표준 6 2 3 28" xfId="2589"/>
    <cellStyle name="표준 6 2 3 28 2" xfId="2590"/>
    <cellStyle name="표준 6 2 3 28 2 2" xfId="5741"/>
    <cellStyle name="표준 6 2 3 28 2 2 2" xfId="12077"/>
    <cellStyle name="표준 6 2 3 28 2 2 2 2" xfId="24750"/>
    <cellStyle name="표준 6 2 3 28 2 2 2 2 2" xfId="50102"/>
    <cellStyle name="표준 6 2 3 28 2 2 2 3" xfId="37430"/>
    <cellStyle name="표준 6 2 3 28 2 2 3" xfId="18414"/>
    <cellStyle name="표준 6 2 3 28 2 2 3 2" xfId="43766"/>
    <cellStyle name="표준 6 2 3 28 2 2 4" xfId="31094"/>
    <cellStyle name="표준 6 2 3 28 2 2 5" xfId="55811"/>
    <cellStyle name="표준 6 2 3 28 2 3" xfId="8927"/>
    <cellStyle name="표준 6 2 3 28 2 3 2" xfId="21600"/>
    <cellStyle name="표준 6 2 3 28 2 3 2 2" xfId="46952"/>
    <cellStyle name="표준 6 2 3 28 2 3 3" xfId="34280"/>
    <cellStyle name="표준 6 2 3 28 2 4" xfId="15264"/>
    <cellStyle name="표준 6 2 3 28 2 4 2" xfId="40616"/>
    <cellStyle name="표준 6 2 3 28 2 5" xfId="27944"/>
    <cellStyle name="표준 6 2 3 28 2 6" xfId="55812"/>
    <cellStyle name="표준 6 2 3 28 3" xfId="5742"/>
    <cellStyle name="표준 6 2 3 28 3 2" xfId="12078"/>
    <cellStyle name="표준 6 2 3 28 3 2 2" xfId="24751"/>
    <cellStyle name="표준 6 2 3 28 3 2 2 2" xfId="50103"/>
    <cellStyle name="표준 6 2 3 28 3 2 3" xfId="37431"/>
    <cellStyle name="표준 6 2 3 28 3 3" xfId="18415"/>
    <cellStyle name="표준 6 2 3 28 3 3 2" xfId="43767"/>
    <cellStyle name="표준 6 2 3 28 3 4" xfId="31095"/>
    <cellStyle name="표준 6 2 3 28 3 5" xfId="55813"/>
    <cellStyle name="표준 6 2 3 28 4" xfId="8926"/>
    <cellStyle name="표준 6 2 3 28 4 2" xfId="21599"/>
    <cellStyle name="표준 6 2 3 28 4 2 2" xfId="46951"/>
    <cellStyle name="표준 6 2 3 28 4 3" xfId="34279"/>
    <cellStyle name="표준 6 2 3 28 5" xfId="15263"/>
    <cellStyle name="표준 6 2 3 28 5 2" xfId="40615"/>
    <cellStyle name="표준 6 2 3 28 6" xfId="27943"/>
    <cellStyle name="표준 6 2 3 28 7" xfId="55814"/>
    <cellStyle name="표준 6 2 3 29" xfId="2591"/>
    <cellStyle name="표준 6 2 3 29 2" xfId="2592"/>
    <cellStyle name="표준 6 2 3 29 2 2" xfId="5743"/>
    <cellStyle name="표준 6 2 3 29 2 2 2" xfId="12079"/>
    <cellStyle name="표준 6 2 3 29 2 2 2 2" xfId="24752"/>
    <cellStyle name="표준 6 2 3 29 2 2 2 2 2" xfId="50104"/>
    <cellStyle name="표준 6 2 3 29 2 2 2 3" xfId="37432"/>
    <cellStyle name="표준 6 2 3 29 2 2 3" xfId="18416"/>
    <cellStyle name="표준 6 2 3 29 2 2 3 2" xfId="43768"/>
    <cellStyle name="표준 6 2 3 29 2 2 4" xfId="31096"/>
    <cellStyle name="표준 6 2 3 29 2 2 5" xfId="55815"/>
    <cellStyle name="표준 6 2 3 29 2 3" xfId="8929"/>
    <cellStyle name="표준 6 2 3 29 2 3 2" xfId="21602"/>
    <cellStyle name="표준 6 2 3 29 2 3 2 2" xfId="46954"/>
    <cellStyle name="표준 6 2 3 29 2 3 3" xfId="34282"/>
    <cellStyle name="표준 6 2 3 29 2 4" xfId="15266"/>
    <cellStyle name="표준 6 2 3 29 2 4 2" xfId="40618"/>
    <cellStyle name="표준 6 2 3 29 2 5" xfId="27946"/>
    <cellStyle name="표준 6 2 3 29 2 6" xfId="55816"/>
    <cellStyle name="표준 6 2 3 29 3" xfId="5744"/>
    <cellStyle name="표준 6 2 3 29 3 2" xfId="12080"/>
    <cellStyle name="표준 6 2 3 29 3 2 2" xfId="24753"/>
    <cellStyle name="표준 6 2 3 29 3 2 2 2" xfId="50105"/>
    <cellStyle name="표준 6 2 3 29 3 2 3" xfId="37433"/>
    <cellStyle name="표준 6 2 3 29 3 3" xfId="18417"/>
    <cellStyle name="표준 6 2 3 29 3 3 2" xfId="43769"/>
    <cellStyle name="표준 6 2 3 29 3 4" xfId="31097"/>
    <cellStyle name="표준 6 2 3 29 3 5" xfId="55817"/>
    <cellStyle name="표준 6 2 3 29 4" xfId="8928"/>
    <cellStyle name="표준 6 2 3 29 4 2" xfId="21601"/>
    <cellStyle name="표준 6 2 3 29 4 2 2" xfId="46953"/>
    <cellStyle name="표준 6 2 3 29 4 3" xfId="34281"/>
    <cellStyle name="표준 6 2 3 29 5" xfId="15265"/>
    <cellStyle name="표준 6 2 3 29 5 2" xfId="40617"/>
    <cellStyle name="표준 6 2 3 29 6" xfId="27945"/>
    <cellStyle name="표준 6 2 3 29 7" xfId="55818"/>
    <cellStyle name="표준 6 2 3 3" xfId="94"/>
    <cellStyle name="표준 6 2 3 3 2" xfId="2593"/>
    <cellStyle name="표준 6 2 3 3 2 2" xfId="5745"/>
    <cellStyle name="표준 6 2 3 3 2 2 2" xfId="12081"/>
    <cellStyle name="표준 6 2 3 3 2 2 2 2" xfId="24754"/>
    <cellStyle name="표준 6 2 3 3 2 2 2 2 2" xfId="50106"/>
    <cellStyle name="표준 6 2 3 3 2 2 2 3" xfId="37434"/>
    <cellStyle name="표준 6 2 3 3 2 2 3" xfId="18418"/>
    <cellStyle name="표준 6 2 3 3 2 2 3 2" xfId="43770"/>
    <cellStyle name="표준 6 2 3 3 2 2 4" xfId="31098"/>
    <cellStyle name="표준 6 2 3 3 2 2 5" xfId="55819"/>
    <cellStyle name="표준 6 2 3 3 2 3" xfId="8930"/>
    <cellStyle name="표준 6 2 3 3 2 3 2" xfId="21603"/>
    <cellStyle name="표준 6 2 3 3 2 3 2 2" xfId="46955"/>
    <cellStyle name="표준 6 2 3 3 2 3 3" xfId="34283"/>
    <cellStyle name="표준 6 2 3 3 2 4" xfId="15267"/>
    <cellStyle name="표준 6 2 3 3 2 4 2" xfId="40619"/>
    <cellStyle name="표준 6 2 3 3 2 5" xfId="27947"/>
    <cellStyle name="표준 6 2 3 3 2 6" xfId="55820"/>
    <cellStyle name="표준 6 2 3 3 3" xfId="5746"/>
    <cellStyle name="표준 6 2 3 3 3 2" xfId="12082"/>
    <cellStyle name="표준 6 2 3 3 3 2 2" xfId="24755"/>
    <cellStyle name="표준 6 2 3 3 3 2 2 2" xfId="50107"/>
    <cellStyle name="표준 6 2 3 3 3 2 3" xfId="37435"/>
    <cellStyle name="표준 6 2 3 3 3 3" xfId="18419"/>
    <cellStyle name="표준 6 2 3 3 3 3 2" xfId="43771"/>
    <cellStyle name="표준 6 2 3 3 3 4" xfId="31099"/>
    <cellStyle name="표준 6 2 3 3 3 5" xfId="55821"/>
    <cellStyle name="표준 6 2 3 3 4" xfId="6432"/>
    <cellStyle name="표준 6 2 3 3 4 2" xfId="19105"/>
    <cellStyle name="표준 6 2 3 3 4 2 2" xfId="44457"/>
    <cellStyle name="표준 6 2 3 3 4 3" xfId="31785"/>
    <cellStyle name="표준 6 2 3 3 5" xfId="12769"/>
    <cellStyle name="표준 6 2 3 3 5 2" xfId="38121"/>
    <cellStyle name="표준 6 2 3 3 6" xfId="25449"/>
    <cellStyle name="표준 6 2 3 3 7" xfId="55822"/>
    <cellStyle name="표준 6 2 3 30" xfId="2594"/>
    <cellStyle name="표준 6 2 3 30 2" xfId="2595"/>
    <cellStyle name="표준 6 2 3 30 2 2" xfId="5747"/>
    <cellStyle name="표준 6 2 3 30 2 2 2" xfId="12083"/>
    <cellStyle name="표준 6 2 3 30 2 2 2 2" xfId="24756"/>
    <cellStyle name="표준 6 2 3 30 2 2 2 2 2" xfId="50108"/>
    <cellStyle name="표준 6 2 3 30 2 2 2 3" xfId="37436"/>
    <cellStyle name="표준 6 2 3 30 2 2 3" xfId="18420"/>
    <cellStyle name="표준 6 2 3 30 2 2 3 2" xfId="43772"/>
    <cellStyle name="표준 6 2 3 30 2 2 4" xfId="31100"/>
    <cellStyle name="표준 6 2 3 30 2 2 5" xfId="55823"/>
    <cellStyle name="표준 6 2 3 30 2 3" xfId="8932"/>
    <cellStyle name="표준 6 2 3 30 2 3 2" xfId="21605"/>
    <cellStyle name="표준 6 2 3 30 2 3 2 2" xfId="46957"/>
    <cellStyle name="표준 6 2 3 30 2 3 3" xfId="34285"/>
    <cellStyle name="표준 6 2 3 30 2 4" xfId="15269"/>
    <cellStyle name="표준 6 2 3 30 2 4 2" xfId="40621"/>
    <cellStyle name="표준 6 2 3 30 2 5" xfId="27949"/>
    <cellStyle name="표준 6 2 3 30 2 6" xfId="55824"/>
    <cellStyle name="표준 6 2 3 30 3" xfId="5748"/>
    <cellStyle name="표준 6 2 3 30 3 2" xfId="12084"/>
    <cellStyle name="표준 6 2 3 30 3 2 2" xfId="24757"/>
    <cellStyle name="표준 6 2 3 30 3 2 2 2" xfId="50109"/>
    <cellStyle name="표준 6 2 3 30 3 2 3" xfId="37437"/>
    <cellStyle name="표준 6 2 3 30 3 3" xfId="18421"/>
    <cellStyle name="표준 6 2 3 30 3 3 2" xfId="43773"/>
    <cellStyle name="표준 6 2 3 30 3 4" xfId="31101"/>
    <cellStyle name="표준 6 2 3 30 3 5" xfId="55825"/>
    <cellStyle name="표준 6 2 3 30 4" xfId="8931"/>
    <cellStyle name="표준 6 2 3 30 4 2" xfId="21604"/>
    <cellStyle name="표준 6 2 3 30 4 2 2" xfId="46956"/>
    <cellStyle name="표준 6 2 3 30 4 3" xfId="34284"/>
    <cellStyle name="표준 6 2 3 30 5" xfId="15268"/>
    <cellStyle name="표준 6 2 3 30 5 2" xfId="40620"/>
    <cellStyle name="표준 6 2 3 30 6" xfId="27948"/>
    <cellStyle name="표준 6 2 3 30 7" xfId="55826"/>
    <cellStyle name="표준 6 2 3 31" xfId="2596"/>
    <cellStyle name="표준 6 2 3 31 2" xfId="2597"/>
    <cellStyle name="표준 6 2 3 31 2 2" xfId="5749"/>
    <cellStyle name="표준 6 2 3 31 2 2 2" xfId="12085"/>
    <cellStyle name="표준 6 2 3 31 2 2 2 2" xfId="24758"/>
    <cellStyle name="표준 6 2 3 31 2 2 2 2 2" xfId="50110"/>
    <cellStyle name="표준 6 2 3 31 2 2 2 3" xfId="37438"/>
    <cellStyle name="표준 6 2 3 31 2 2 3" xfId="18422"/>
    <cellStyle name="표준 6 2 3 31 2 2 3 2" xfId="43774"/>
    <cellStyle name="표준 6 2 3 31 2 2 4" xfId="31102"/>
    <cellStyle name="표준 6 2 3 31 2 2 5" xfId="55827"/>
    <cellStyle name="표준 6 2 3 31 2 3" xfId="8934"/>
    <cellStyle name="표준 6 2 3 31 2 3 2" xfId="21607"/>
    <cellStyle name="표준 6 2 3 31 2 3 2 2" xfId="46959"/>
    <cellStyle name="표준 6 2 3 31 2 3 3" xfId="34287"/>
    <cellStyle name="표준 6 2 3 31 2 4" xfId="15271"/>
    <cellStyle name="표준 6 2 3 31 2 4 2" xfId="40623"/>
    <cellStyle name="표준 6 2 3 31 2 5" xfId="27951"/>
    <cellStyle name="표준 6 2 3 31 2 6" xfId="55828"/>
    <cellStyle name="표준 6 2 3 31 3" xfId="5750"/>
    <cellStyle name="표준 6 2 3 31 3 2" xfId="12086"/>
    <cellStyle name="표준 6 2 3 31 3 2 2" xfId="24759"/>
    <cellStyle name="표준 6 2 3 31 3 2 2 2" xfId="50111"/>
    <cellStyle name="표준 6 2 3 31 3 2 3" xfId="37439"/>
    <cellStyle name="표준 6 2 3 31 3 3" xfId="18423"/>
    <cellStyle name="표준 6 2 3 31 3 3 2" xfId="43775"/>
    <cellStyle name="표준 6 2 3 31 3 4" xfId="31103"/>
    <cellStyle name="표준 6 2 3 31 3 5" xfId="55829"/>
    <cellStyle name="표준 6 2 3 31 4" xfId="8933"/>
    <cellStyle name="표준 6 2 3 31 4 2" xfId="21606"/>
    <cellStyle name="표준 6 2 3 31 4 2 2" xfId="46958"/>
    <cellStyle name="표준 6 2 3 31 4 3" xfId="34286"/>
    <cellStyle name="표준 6 2 3 31 5" xfId="15270"/>
    <cellStyle name="표준 6 2 3 31 5 2" xfId="40622"/>
    <cellStyle name="표준 6 2 3 31 6" xfId="27950"/>
    <cellStyle name="표준 6 2 3 31 7" xfId="55830"/>
    <cellStyle name="표준 6 2 3 32" xfId="2598"/>
    <cellStyle name="표준 6 2 3 32 2" xfId="2599"/>
    <cellStyle name="표준 6 2 3 32 2 2" xfId="5751"/>
    <cellStyle name="표준 6 2 3 32 2 2 2" xfId="12087"/>
    <cellStyle name="표준 6 2 3 32 2 2 2 2" xfId="24760"/>
    <cellStyle name="표준 6 2 3 32 2 2 2 2 2" xfId="50112"/>
    <cellStyle name="표준 6 2 3 32 2 2 2 3" xfId="37440"/>
    <cellStyle name="표준 6 2 3 32 2 2 3" xfId="18424"/>
    <cellStyle name="표준 6 2 3 32 2 2 3 2" xfId="43776"/>
    <cellStyle name="표준 6 2 3 32 2 2 4" xfId="31104"/>
    <cellStyle name="표준 6 2 3 32 2 2 5" xfId="55831"/>
    <cellStyle name="표준 6 2 3 32 2 3" xfId="8936"/>
    <cellStyle name="표준 6 2 3 32 2 3 2" xfId="21609"/>
    <cellStyle name="표준 6 2 3 32 2 3 2 2" xfId="46961"/>
    <cellStyle name="표준 6 2 3 32 2 3 3" xfId="34289"/>
    <cellStyle name="표준 6 2 3 32 2 4" xfId="15273"/>
    <cellStyle name="표준 6 2 3 32 2 4 2" xfId="40625"/>
    <cellStyle name="표준 6 2 3 32 2 5" xfId="27953"/>
    <cellStyle name="표준 6 2 3 32 2 6" xfId="55832"/>
    <cellStyle name="표준 6 2 3 32 3" xfId="5752"/>
    <cellStyle name="표준 6 2 3 32 3 2" xfId="12088"/>
    <cellStyle name="표준 6 2 3 32 3 2 2" xfId="24761"/>
    <cellStyle name="표준 6 2 3 32 3 2 2 2" xfId="50113"/>
    <cellStyle name="표준 6 2 3 32 3 2 3" xfId="37441"/>
    <cellStyle name="표준 6 2 3 32 3 3" xfId="18425"/>
    <cellStyle name="표준 6 2 3 32 3 3 2" xfId="43777"/>
    <cellStyle name="표준 6 2 3 32 3 4" xfId="31105"/>
    <cellStyle name="표준 6 2 3 32 3 5" xfId="55833"/>
    <cellStyle name="표준 6 2 3 32 4" xfId="8935"/>
    <cellStyle name="표준 6 2 3 32 4 2" xfId="21608"/>
    <cellStyle name="표준 6 2 3 32 4 2 2" xfId="46960"/>
    <cellStyle name="표준 6 2 3 32 4 3" xfId="34288"/>
    <cellStyle name="표준 6 2 3 32 5" xfId="15272"/>
    <cellStyle name="표준 6 2 3 32 5 2" xfId="40624"/>
    <cellStyle name="표준 6 2 3 32 6" xfId="27952"/>
    <cellStyle name="표준 6 2 3 32 7" xfId="55834"/>
    <cellStyle name="표준 6 2 3 33" xfId="2600"/>
    <cellStyle name="표준 6 2 3 33 2" xfId="2601"/>
    <cellStyle name="표준 6 2 3 33 2 2" xfId="5753"/>
    <cellStyle name="표준 6 2 3 33 2 2 2" xfId="12089"/>
    <cellStyle name="표준 6 2 3 33 2 2 2 2" xfId="24762"/>
    <cellStyle name="표준 6 2 3 33 2 2 2 2 2" xfId="50114"/>
    <cellStyle name="표준 6 2 3 33 2 2 2 3" xfId="37442"/>
    <cellStyle name="표준 6 2 3 33 2 2 3" xfId="18426"/>
    <cellStyle name="표준 6 2 3 33 2 2 3 2" xfId="43778"/>
    <cellStyle name="표준 6 2 3 33 2 2 4" xfId="31106"/>
    <cellStyle name="표준 6 2 3 33 2 2 5" xfId="55835"/>
    <cellStyle name="표준 6 2 3 33 2 3" xfId="8938"/>
    <cellStyle name="표준 6 2 3 33 2 3 2" xfId="21611"/>
    <cellStyle name="표준 6 2 3 33 2 3 2 2" xfId="46963"/>
    <cellStyle name="표준 6 2 3 33 2 3 3" xfId="34291"/>
    <cellStyle name="표준 6 2 3 33 2 4" xfId="15275"/>
    <cellStyle name="표준 6 2 3 33 2 4 2" xfId="40627"/>
    <cellStyle name="표준 6 2 3 33 2 5" xfId="27955"/>
    <cellStyle name="표준 6 2 3 33 2 6" xfId="55836"/>
    <cellStyle name="표준 6 2 3 33 3" xfId="5754"/>
    <cellStyle name="표준 6 2 3 33 3 2" xfId="12090"/>
    <cellStyle name="표준 6 2 3 33 3 2 2" xfId="24763"/>
    <cellStyle name="표준 6 2 3 33 3 2 2 2" xfId="50115"/>
    <cellStyle name="표준 6 2 3 33 3 2 3" xfId="37443"/>
    <cellStyle name="표준 6 2 3 33 3 3" xfId="18427"/>
    <cellStyle name="표준 6 2 3 33 3 3 2" xfId="43779"/>
    <cellStyle name="표준 6 2 3 33 3 4" xfId="31107"/>
    <cellStyle name="표준 6 2 3 33 3 5" xfId="55837"/>
    <cellStyle name="표준 6 2 3 33 4" xfId="8937"/>
    <cellStyle name="표준 6 2 3 33 4 2" xfId="21610"/>
    <cellStyle name="표준 6 2 3 33 4 2 2" xfId="46962"/>
    <cellStyle name="표준 6 2 3 33 4 3" xfId="34290"/>
    <cellStyle name="표준 6 2 3 33 5" xfId="15274"/>
    <cellStyle name="표준 6 2 3 33 5 2" xfId="40626"/>
    <cellStyle name="표준 6 2 3 33 6" xfId="27954"/>
    <cellStyle name="표준 6 2 3 33 7" xfId="55838"/>
    <cellStyle name="표준 6 2 3 34" xfId="2602"/>
    <cellStyle name="표준 6 2 3 34 2" xfId="2603"/>
    <cellStyle name="표준 6 2 3 34 2 2" xfId="5755"/>
    <cellStyle name="표준 6 2 3 34 2 2 2" xfId="12091"/>
    <cellStyle name="표준 6 2 3 34 2 2 2 2" xfId="24764"/>
    <cellStyle name="표준 6 2 3 34 2 2 2 2 2" xfId="50116"/>
    <cellStyle name="표준 6 2 3 34 2 2 2 3" xfId="37444"/>
    <cellStyle name="표준 6 2 3 34 2 2 3" xfId="18428"/>
    <cellStyle name="표준 6 2 3 34 2 2 3 2" xfId="43780"/>
    <cellStyle name="표준 6 2 3 34 2 2 4" xfId="31108"/>
    <cellStyle name="표준 6 2 3 34 2 2 5" xfId="55839"/>
    <cellStyle name="표준 6 2 3 34 2 3" xfId="8940"/>
    <cellStyle name="표준 6 2 3 34 2 3 2" xfId="21613"/>
    <cellStyle name="표준 6 2 3 34 2 3 2 2" xfId="46965"/>
    <cellStyle name="표준 6 2 3 34 2 3 3" xfId="34293"/>
    <cellStyle name="표준 6 2 3 34 2 4" xfId="15277"/>
    <cellStyle name="표준 6 2 3 34 2 4 2" xfId="40629"/>
    <cellStyle name="표준 6 2 3 34 2 5" xfId="27957"/>
    <cellStyle name="표준 6 2 3 34 2 6" xfId="55840"/>
    <cellStyle name="표준 6 2 3 34 3" xfId="5756"/>
    <cellStyle name="표준 6 2 3 34 3 2" xfId="12092"/>
    <cellStyle name="표준 6 2 3 34 3 2 2" xfId="24765"/>
    <cellStyle name="표준 6 2 3 34 3 2 2 2" xfId="50117"/>
    <cellStyle name="표준 6 2 3 34 3 2 3" xfId="37445"/>
    <cellStyle name="표준 6 2 3 34 3 3" xfId="18429"/>
    <cellStyle name="표준 6 2 3 34 3 3 2" xfId="43781"/>
    <cellStyle name="표준 6 2 3 34 3 4" xfId="31109"/>
    <cellStyle name="표준 6 2 3 34 3 5" xfId="55841"/>
    <cellStyle name="표준 6 2 3 34 4" xfId="8939"/>
    <cellStyle name="표준 6 2 3 34 4 2" xfId="21612"/>
    <cellStyle name="표준 6 2 3 34 4 2 2" xfId="46964"/>
    <cellStyle name="표준 6 2 3 34 4 3" xfId="34292"/>
    <cellStyle name="표준 6 2 3 34 5" xfId="15276"/>
    <cellStyle name="표준 6 2 3 34 5 2" xfId="40628"/>
    <cellStyle name="표준 6 2 3 34 6" xfId="27956"/>
    <cellStyle name="표준 6 2 3 34 7" xfId="55842"/>
    <cellStyle name="표준 6 2 3 35" xfId="2604"/>
    <cellStyle name="표준 6 2 3 35 2" xfId="5757"/>
    <cellStyle name="표준 6 2 3 35 2 2" xfId="12093"/>
    <cellStyle name="표준 6 2 3 35 2 2 2" xfId="24766"/>
    <cellStyle name="표준 6 2 3 35 2 2 2 2" xfId="50118"/>
    <cellStyle name="표준 6 2 3 35 2 2 3" xfId="37446"/>
    <cellStyle name="표준 6 2 3 35 2 3" xfId="18430"/>
    <cellStyle name="표준 6 2 3 35 2 3 2" xfId="43782"/>
    <cellStyle name="표준 6 2 3 35 2 4" xfId="31110"/>
    <cellStyle name="표준 6 2 3 35 2 5" xfId="55843"/>
    <cellStyle name="표준 6 2 3 35 3" xfId="8941"/>
    <cellStyle name="표준 6 2 3 35 3 2" xfId="21614"/>
    <cellStyle name="표준 6 2 3 35 3 2 2" xfId="46966"/>
    <cellStyle name="표준 6 2 3 35 3 3" xfId="34294"/>
    <cellStyle name="표준 6 2 3 35 4" xfId="15278"/>
    <cellStyle name="표준 6 2 3 35 4 2" xfId="40630"/>
    <cellStyle name="표준 6 2 3 35 5" xfId="27958"/>
    <cellStyle name="표준 6 2 3 35 6" xfId="55844"/>
    <cellStyle name="표준 6 2 3 36" xfId="5758"/>
    <cellStyle name="표준 6 2 3 36 2" xfId="12094"/>
    <cellStyle name="표준 6 2 3 36 2 2" xfId="24767"/>
    <cellStyle name="표준 6 2 3 36 2 2 2" xfId="50119"/>
    <cellStyle name="표준 6 2 3 36 2 3" xfId="37447"/>
    <cellStyle name="표준 6 2 3 36 3" xfId="18431"/>
    <cellStyle name="표준 6 2 3 36 3 2" xfId="43783"/>
    <cellStyle name="표준 6 2 3 36 4" xfId="31111"/>
    <cellStyle name="표준 6 2 3 36 5" xfId="55845"/>
    <cellStyle name="표준 6 2 3 37" xfId="6388"/>
    <cellStyle name="표준 6 2 3 37 2" xfId="19061"/>
    <cellStyle name="표준 6 2 3 37 2 2" xfId="44413"/>
    <cellStyle name="표준 6 2 3 37 3" xfId="31741"/>
    <cellStyle name="표준 6 2 3 38" xfId="12725"/>
    <cellStyle name="표준 6 2 3 38 2" xfId="38077"/>
    <cellStyle name="표준 6 2 3 39" xfId="25405"/>
    <cellStyle name="표준 6 2 3 4" xfId="2605"/>
    <cellStyle name="표준 6 2 3 4 2" xfId="2606"/>
    <cellStyle name="표준 6 2 3 4 2 2" xfId="5759"/>
    <cellStyle name="표준 6 2 3 4 2 2 2" xfId="12095"/>
    <cellStyle name="표준 6 2 3 4 2 2 2 2" xfId="24768"/>
    <cellStyle name="표준 6 2 3 4 2 2 2 2 2" xfId="50120"/>
    <cellStyle name="표준 6 2 3 4 2 2 2 3" xfId="37448"/>
    <cellStyle name="표준 6 2 3 4 2 2 3" xfId="18432"/>
    <cellStyle name="표준 6 2 3 4 2 2 3 2" xfId="43784"/>
    <cellStyle name="표준 6 2 3 4 2 2 4" xfId="31112"/>
    <cellStyle name="표준 6 2 3 4 2 2 5" xfId="55846"/>
    <cellStyle name="표준 6 2 3 4 2 3" xfId="8943"/>
    <cellStyle name="표준 6 2 3 4 2 3 2" xfId="21616"/>
    <cellStyle name="표준 6 2 3 4 2 3 2 2" xfId="46968"/>
    <cellStyle name="표준 6 2 3 4 2 3 3" xfId="34296"/>
    <cellStyle name="표준 6 2 3 4 2 4" xfId="15280"/>
    <cellStyle name="표준 6 2 3 4 2 4 2" xfId="40632"/>
    <cellStyle name="표준 6 2 3 4 2 5" xfId="27960"/>
    <cellStyle name="표준 6 2 3 4 2 6" xfId="55847"/>
    <cellStyle name="표준 6 2 3 4 3" xfId="5760"/>
    <cellStyle name="표준 6 2 3 4 3 2" xfId="12096"/>
    <cellStyle name="표준 6 2 3 4 3 2 2" xfId="24769"/>
    <cellStyle name="표준 6 2 3 4 3 2 2 2" xfId="50121"/>
    <cellStyle name="표준 6 2 3 4 3 2 3" xfId="37449"/>
    <cellStyle name="표준 6 2 3 4 3 3" xfId="18433"/>
    <cellStyle name="표준 6 2 3 4 3 3 2" xfId="43785"/>
    <cellStyle name="표준 6 2 3 4 3 4" xfId="31113"/>
    <cellStyle name="표준 6 2 3 4 3 5" xfId="55848"/>
    <cellStyle name="표준 6 2 3 4 4" xfId="8942"/>
    <cellStyle name="표준 6 2 3 4 4 2" xfId="21615"/>
    <cellStyle name="표준 6 2 3 4 4 2 2" xfId="46967"/>
    <cellStyle name="표준 6 2 3 4 4 3" xfId="34295"/>
    <cellStyle name="표준 6 2 3 4 5" xfId="15279"/>
    <cellStyle name="표준 6 2 3 4 5 2" xfId="40631"/>
    <cellStyle name="표준 6 2 3 4 6" xfId="27959"/>
    <cellStyle name="표준 6 2 3 4 7" xfId="55849"/>
    <cellStyle name="표준 6 2 3 40" xfId="55850"/>
    <cellStyle name="표준 6 2 3 5" xfId="2607"/>
    <cellStyle name="표준 6 2 3 5 2" xfId="2608"/>
    <cellStyle name="표준 6 2 3 5 2 2" xfId="5761"/>
    <cellStyle name="표준 6 2 3 5 2 2 2" xfId="12097"/>
    <cellStyle name="표준 6 2 3 5 2 2 2 2" xfId="24770"/>
    <cellStyle name="표준 6 2 3 5 2 2 2 2 2" xfId="50122"/>
    <cellStyle name="표준 6 2 3 5 2 2 2 3" xfId="37450"/>
    <cellStyle name="표준 6 2 3 5 2 2 3" xfId="18434"/>
    <cellStyle name="표준 6 2 3 5 2 2 3 2" xfId="43786"/>
    <cellStyle name="표준 6 2 3 5 2 2 4" xfId="31114"/>
    <cellStyle name="표준 6 2 3 5 2 2 5" xfId="55851"/>
    <cellStyle name="표준 6 2 3 5 2 3" xfId="8945"/>
    <cellStyle name="표준 6 2 3 5 2 3 2" xfId="21618"/>
    <cellStyle name="표준 6 2 3 5 2 3 2 2" xfId="46970"/>
    <cellStyle name="표준 6 2 3 5 2 3 3" xfId="34298"/>
    <cellStyle name="표준 6 2 3 5 2 4" xfId="15282"/>
    <cellStyle name="표준 6 2 3 5 2 4 2" xfId="40634"/>
    <cellStyle name="표준 6 2 3 5 2 5" xfId="27962"/>
    <cellStyle name="표준 6 2 3 5 2 6" xfId="55852"/>
    <cellStyle name="표준 6 2 3 5 3" xfId="5762"/>
    <cellStyle name="표준 6 2 3 5 3 2" xfId="12098"/>
    <cellStyle name="표준 6 2 3 5 3 2 2" xfId="24771"/>
    <cellStyle name="표준 6 2 3 5 3 2 2 2" xfId="50123"/>
    <cellStyle name="표준 6 2 3 5 3 2 3" xfId="37451"/>
    <cellStyle name="표준 6 2 3 5 3 3" xfId="18435"/>
    <cellStyle name="표준 6 2 3 5 3 3 2" xfId="43787"/>
    <cellStyle name="표준 6 2 3 5 3 4" xfId="31115"/>
    <cellStyle name="표준 6 2 3 5 3 5" xfId="55853"/>
    <cellStyle name="표준 6 2 3 5 4" xfId="8944"/>
    <cellStyle name="표준 6 2 3 5 4 2" xfId="21617"/>
    <cellStyle name="표준 6 2 3 5 4 2 2" xfId="46969"/>
    <cellStyle name="표준 6 2 3 5 4 3" xfId="34297"/>
    <cellStyle name="표준 6 2 3 5 5" xfId="15281"/>
    <cellStyle name="표준 6 2 3 5 5 2" xfId="40633"/>
    <cellStyle name="표준 6 2 3 5 6" xfId="27961"/>
    <cellStyle name="표준 6 2 3 5 7" xfId="55854"/>
    <cellStyle name="표준 6 2 3 6" xfId="2609"/>
    <cellStyle name="표준 6 2 3 6 2" xfId="2610"/>
    <cellStyle name="표준 6 2 3 6 2 2" xfId="5763"/>
    <cellStyle name="표준 6 2 3 6 2 2 2" xfId="12099"/>
    <cellStyle name="표준 6 2 3 6 2 2 2 2" xfId="24772"/>
    <cellStyle name="표준 6 2 3 6 2 2 2 2 2" xfId="50124"/>
    <cellStyle name="표준 6 2 3 6 2 2 2 3" xfId="37452"/>
    <cellStyle name="표준 6 2 3 6 2 2 3" xfId="18436"/>
    <cellStyle name="표준 6 2 3 6 2 2 3 2" xfId="43788"/>
    <cellStyle name="표준 6 2 3 6 2 2 4" xfId="31116"/>
    <cellStyle name="표준 6 2 3 6 2 2 5" xfId="55855"/>
    <cellStyle name="표준 6 2 3 6 2 3" xfId="8947"/>
    <cellStyle name="표준 6 2 3 6 2 3 2" xfId="21620"/>
    <cellStyle name="표준 6 2 3 6 2 3 2 2" xfId="46972"/>
    <cellStyle name="표준 6 2 3 6 2 3 3" xfId="34300"/>
    <cellStyle name="표준 6 2 3 6 2 4" xfId="15284"/>
    <cellStyle name="표준 6 2 3 6 2 4 2" xfId="40636"/>
    <cellStyle name="표준 6 2 3 6 2 5" xfId="27964"/>
    <cellStyle name="표준 6 2 3 6 2 6" xfId="55856"/>
    <cellStyle name="표준 6 2 3 6 3" xfId="5764"/>
    <cellStyle name="표준 6 2 3 6 3 2" xfId="12100"/>
    <cellStyle name="표준 6 2 3 6 3 2 2" xfId="24773"/>
    <cellStyle name="표준 6 2 3 6 3 2 2 2" xfId="50125"/>
    <cellStyle name="표준 6 2 3 6 3 2 3" xfId="37453"/>
    <cellStyle name="표준 6 2 3 6 3 3" xfId="18437"/>
    <cellStyle name="표준 6 2 3 6 3 3 2" xfId="43789"/>
    <cellStyle name="표준 6 2 3 6 3 4" xfId="31117"/>
    <cellStyle name="표준 6 2 3 6 3 5" xfId="55857"/>
    <cellStyle name="표준 6 2 3 6 4" xfId="8946"/>
    <cellStyle name="표준 6 2 3 6 4 2" xfId="21619"/>
    <cellStyle name="표준 6 2 3 6 4 2 2" xfId="46971"/>
    <cellStyle name="표준 6 2 3 6 4 3" xfId="34299"/>
    <cellStyle name="표준 6 2 3 6 5" xfId="15283"/>
    <cellStyle name="표준 6 2 3 6 5 2" xfId="40635"/>
    <cellStyle name="표준 6 2 3 6 6" xfId="27963"/>
    <cellStyle name="표준 6 2 3 6 7" xfId="55858"/>
    <cellStyle name="표준 6 2 3 7" xfId="2611"/>
    <cellStyle name="표준 6 2 3 7 2" xfId="2612"/>
    <cellStyle name="표준 6 2 3 7 2 2" xfId="5765"/>
    <cellStyle name="표준 6 2 3 7 2 2 2" xfId="12101"/>
    <cellStyle name="표준 6 2 3 7 2 2 2 2" xfId="24774"/>
    <cellStyle name="표준 6 2 3 7 2 2 2 2 2" xfId="50126"/>
    <cellStyle name="표준 6 2 3 7 2 2 2 3" xfId="37454"/>
    <cellStyle name="표준 6 2 3 7 2 2 3" xfId="18438"/>
    <cellStyle name="표준 6 2 3 7 2 2 3 2" xfId="43790"/>
    <cellStyle name="표준 6 2 3 7 2 2 4" xfId="31118"/>
    <cellStyle name="표준 6 2 3 7 2 2 5" xfId="55859"/>
    <cellStyle name="표준 6 2 3 7 2 3" xfId="8949"/>
    <cellStyle name="표준 6 2 3 7 2 3 2" xfId="21622"/>
    <cellStyle name="표준 6 2 3 7 2 3 2 2" xfId="46974"/>
    <cellStyle name="표준 6 2 3 7 2 3 3" xfId="34302"/>
    <cellStyle name="표준 6 2 3 7 2 4" xfId="15286"/>
    <cellStyle name="표준 6 2 3 7 2 4 2" xfId="40638"/>
    <cellStyle name="표준 6 2 3 7 2 5" xfId="27966"/>
    <cellStyle name="표준 6 2 3 7 2 6" xfId="55860"/>
    <cellStyle name="표준 6 2 3 7 3" xfId="5766"/>
    <cellStyle name="표준 6 2 3 7 3 2" xfId="12102"/>
    <cellStyle name="표준 6 2 3 7 3 2 2" xfId="24775"/>
    <cellStyle name="표준 6 2 3 7 3 2 2 2" xfId="50127"/>
    <cellStyle name="표준 6 2 3 7 3 2 3" xfId="37455"/>
    <cellStyle name="표준 6 2 3 7 3 3" xfId="18439"/>
    <cellStyle name="표준 6 2 3 7 3 3 2" xfId="43791"/>
    <cellStyle name="표준 6 2 3 7 3 4" xfId="31119"/>
    <cellStyle name="표준 6 2 3 7 3 5" xfId="55861"/>
    <cellStyle name="표준 6 2 3 7 4" xfId="8948"/>
    <cellStyle name="표준 6 2 3 7 4 2" xfId="21621"/>
    <cellStyle name="표준 6 2 3 7 4 2 2" xfId="46973"/>
    <cellStyle name="표준 6 2 3 7 4 3" xfId="34301"/>
    <cellStyle name="표준 6 2 3 7 5" xfId="15285"/>
    <cellStyle name="표준 6 2 3 7 5 2" xfId="40637"/>
    <cellStyle name="표준 6 2 3 7 6" xfId="27965"/>
    <cellStyle name="표준 6 2 3 7 7" xfId="55862"/>
    <cellStyle name="표준 6 2 3 8" xfId="2613"/>
    <cellStyle name="표준 6 2 3 8 2" xfId="2614"/>
    <cellStyle name="표준 6 2 3 8 2 2" xfId="5767"/>
    <cellStyle name="표준 6 2 3 8 2 2 2" xfId="12103"/>
    <cellStyle name="표준 6 2 3 8 2 2 2 2" xfId="24776"/>
    <cellStyle name="표준 6 2 3 8 2 2 2 2 2" xfId="50128"/>
    <cellStyle name="표준 6 2 3 8 2 2 2 3" xfId="37456"/>
    <cellStyle name="표준 6 2 3 8 2 2 3" xfId="18440"/>
    <cellStyle name="표준 6 2 3 8 2 2 3 2" xfId="43792"/>
    <cellStyle name="표준 6 2 3 8 2 2 4" xfId="31120"/>
    <cellStyle name="표준 6 2 3 8 2 2 5" xfId="55863"/>
    <cellStyle name="표준 6 2 3 8 2 3" xfId="8951"/>
    <cellStyle name="표준 6 2 3 8 2 3 2" xfId="21624"/>
    <cellStyle name="표준 6 2 3 8 2 3 2 2" xfId="46976"/>
    <cellStyle name="표준 6 2 3 8 2 3 3" xfId="34304"/>
    <cellStyle name="표준 6 2 3 8 2 4" xfId="15288"/>
    <cellStyle name="표준 6 2 3 8 2 4 2" xfId="40640"/>
    <cellStyle name="표준 6 2 3 8 2 5" xfId="27968"/>
    <cellStyle name="표준 6 2 3 8 2 6" xfId="55864"/>
    <cellStyle name="표준 6 2 3 8 3" xfId="5768"/>
    <cellStyle name="표준 6 2 3 8 3 2" xfId="12104"/>
    <cellStyle name="표준 6 2 3 8 3 2 2" xfId="24777"/>
    <cellStyle name="표준 6 2 3 8 3 2 2 2" xfId="50129"/>
    <cellStyle name="표준 6 2 3 8 3 2 3" xfId="37457"/>
    <cellStyle name="표준 6 2 3 8 3 3" xfId="18441"/>
    <cellStyle name="표준 6 2 3 8 3 3 2" xfId="43793"/>
    <cellStyle name="표준 6 2 3 8 3 4" xfId="31121"/>
    <cellStyle name="표준 6 2 3 8 3 5" xfId="55865"/>
    <cellStyle name="표준 6 2 3 8 4" xfId="8950"/>
    <cellStyle name="표준 6 2 3 8 4 2" xfId="21623"/>
    <cellStyle name="표준 6 2 3 8 4 2 2" xfId="46975"/>
    <cellStyle name="표준 6 2 3 8 4 3" xfId="34303"/>
    <cellStyle name="표준 6 2 3 8 5" xfId="15287"/>
    <cellStyle name="표준 6 2 3 8 5 2" xfId="40639"/>
    <cellStyle name="표준 6 2 3 8 6" xfId="27967"/>
    <cellStyle name="표준 6 2 3 8 7" xfId="55866"/>
    <cellStyle name="표준 6 2 3 9" xfId="2615"/>
    <cellStyle name="표준 6 2 3 9 2" xfId="2616"/>
    <cellStyle name="표준 6 2 3 9 2 2" xfId="5769"/>
    <cellStyle name="표준 6 2 3 9 2 2 2" xfId="12105"/>
    <cellStyle name="표준 6 2 3 9 2 2 2 2" xfId="24778"/>
    <cellStyle name="표준 6 2 3 9 2 2 2 2 2" xfId="50130"/>
    <cellStyle name="표준 6 2 3 9 2 2 2 3" xfId="37458"/>
    <cellStyle name="표준 6 2 3 9 2 2 3" xfId="18442"/>
    <cellStyle name="표준 6 2 3 9 2 2 3 2" xfId="43794"/>
    <cellStyle name="표준 6 2 3 9 2 2 4" xfId="31122"/>
    <cellStyle name="표준 6 2 3 9 2 2 5" xfId="55867"/>
    <cellStyle name="표준 6 2 3 9 2 3" xfId="8953"/>
    <cellStyle name="표준 6 2 3 9 2 3 2" xfId="21626"/>
    <cellStyle name="표준 6 2 3 9 2 3 2 2" xfId="46978"/>
    <cellStyle name="표준 6 2 3 9 2 3 3" xfId="34306"/>
    <cellStyle name="표준 6 2 3 9 2 4" xfId="15290"/>
    <cellStyle name="표준 6 2 3 9 2 4 2" xfId="40642"/>
    <cellStyle name="표준 6 2 3 9 2 5" xfId="27970"/>
    <cellStyle name="표준 6 2 3 9 2 6" xfId="55868"/>
    <cellStyle name="표준 6 2 3 9 3" xfId="5770"/>
    <cellStyle name="표준 6 2 3 9 3 2" xfId="12106"/>
    <cellStyle name="표준 6 2 3 9 3 2 2" xfId="24779"/>
    <cellStyle name="표준 6 2 3 9 3 2 2 2" xfId="50131"/>
    <cellStyle name="표준 6 2 3 9 3 2 3" xfId="37459"/>
    <cellStyle name="표준 6 2 3 9 3 3" xfId="18443"/>
    <cellStyle name="표준 6 2 3 9 3 3 2" xfId="43795"/>
    <cellStyle name="표준 6 2 3 9 3 4" xfId="31123"/>
    <cellStyle name="표준 6 2 3 9 3 5" xfId="55869"/>
    <cellStyle name="표준 6 2 3 9 4" xfId="8952"/>
    <cellStyle name="표준 6 2 3 9 4 2" xfId="21625"/>
    <cellStyle name="표준 6 2 3 9 4 2 2" xfId="46977"/>
    <cellStyle name="표준 6 2 3 9 4 3" xfId="34305"/>
    <cellStyle name="표준 6 2 3 9 5" xfId="15289"/>
    <cellStyle name="표준 6 2 3 9 5 2" xfId="40641"/>
    <cellStyle name="표준 6 2 3 9 6" xfId="27969"/>
    <cellStyle name="표준 6 2 3 9 7" xfId="55870"/>
    <cellStyle name="표준 6 2 30" xfId="2617"/>
    <cellStyle name="표준 6 2 30 2" xfId="2618"/>
    <cellStyle name="표준 6 2 30 2 2" xfId="5771"/>
    <cellStyle name="표준 6 2 30 2 2 2" xfId="12107"/>
    <cellStyle name="표준 6 2 30 2 2 2 2" xfId="24780"/>
    <cellStyle name="표준 6 2 30 2 2 2 2 2" xfId="50132"/>
    <cellStyle name="표준 6 2 30 2 2 2 3" xfId="37460"/>
    <cellStyle name="표준 6 2 30 2 2 3" xfId="18444"/>
    <cellStyle name="표준 6 2 30 2 2 3 2" xfId="43796"/>
    <cellStyle name="표준 6 2 30 2 2 4" xfId="31124"/>
    <cellStyle name="표준 6 2 30 2 2 5" xfId="55871"/>
    <cellStyle name="표준 6 2 30 2 3" xfId="8955"/>
    <cellStyle name="표준 6 2 30 2 3 2" xfId="21628"/>
    <cellStyle name="표준 6 2 30 2 3 2 2" xfId="46980"/>
    <cellStyle name="표준 6 2 30 2 3 3" xfId="34308"/>
    <cellStyle name="표준 6 2 30 2 4" xfId="15292"/>
    <cellStyle name="표준 6 2 30 2 4 2" xfId="40644"/>
    <cellStyle name="표준 6 2 30 2 5" xfId="27972"/>
    <cellStyle name="표준 6 2 30 2 6" xfId="55872"/>
    <cellStyle name="표준 6 2 30 3" xfId="5772"/>
    <cellStyle name="표준 6 2 30 3 2" xfId="12108"/>
    <cellStyle name="표준 6 2 30 3 2 2" xfId="24781"/>
    <cellStyle name="표준 6 2 30 3 2 2 2" xfId="50133"/>
    <cellStyle name="표준 6 2 30 3 2 3" xfId="37461"/>
    <cellStyle name="표준 6 2 30 3 3" xfId="18445"/>
    <cellStyle name="표준 6 2 30 3 3 2" xfId="43797"/>
    <cellStyle name="표준 6 2 30 3 4" xfId="31125"/>
    <cellStyle name="표준 6 2 30 3 5" xfId="55873"/>
    <cellStyle name="표준 6 2 30 4" xfId="8954"/>
    <cellStyle name="표준 6 2 30 4 2" xfId="21627"/>
    <cellStyle name="표준 6 2 30 4 2 2" xfId="46979"/>
    <cellStyle name="표준 6 2 30 4 3" xfId="34307"/>
    <cellStyle name="표준 6 2 30 5" xfId="15291"/>
    <cellStyle name="표준 6 2 30 5 2" xfId="40643"/>
    <cellStyle name="표준 6 2 30 6" xfId="27971"/>
    <cellStyle name="표준 6 2 30 7" xfId="55874"/>
    <cellStyle name="표준 6 2 31" xfId="2619"/>
    <cellStyle name="표준 6 2 31 2" xfId="2620"/>
    <cellStyle name="표준 6 2 31 2 2" xfId="5773"/>
    <cellStyle name="표준 6 2 31 2 2 2" xfId="12109"/>
    <cellStyle name="표준 6 2 31 2 2 2 2" xfId="24782"/>
    <cellStyle name="표준 6 2 31 2 2 2 2 2" xfId="50134"/>
    <cellStyle name="표준 6 2 31 2 2 2 3" xfId="37462"/>
    <cellStyle name="표준 6 2 31 2 2 3" xfId="18446"/>
    <cellStyle name="표준 6 2 31 2 2 3 2" xfId="43798"/>
    <cellStyle name="표준 6 2 31 2 2 4" xfId="31126"/>
    <cellStyle name="표준 6 2 31 2 2 5" xfId="55875"/>
    <cellStyle name="표준 6 2 31 2 3" xfId="8957"/>
    <cellStyle name="표준 6 2 31 2 3 2" xfId="21630"/>
    <cellStyle name="표준 6 2 31 2 3 2 2" xfId="46982"/>
    <cellStyle name="표준 6 2 31 2 3 3" xfId="34310"/>
    <cellStyle name="표준 6 2 31 2 4" xfId="15294"/>
    <cellStyle name="표준 6 2 31 2 4 2" xfId="40646"/>
    <cellStyle name="표준 6 2 31 2 5" xfId="27974"/>
    <cellStyle name="표준 6 2 31 2 6" xfId="55876"/>
    <cellStyle name="표준 6 2 31 3" xfId="5774"/>
    <cellStyle name="표준 6 2 31 3 2" xfId="12110"/>
    <cellStyle name="표준 6 2 31 3 2 2" xfId="24783"/>
    <cellStyle name="표준 6 2 31 3 2 2 2" xfId="50135"/>
    <cellStyle name="표준 6 2 31 3 2 3" xfId="37463"/>
    <cellStyle name="표준 6 2 31 3 3" xfId="18447"/>
    <cellStyle name="표준 6 2 31 3 3 2" xfId="43799"/>
    <cellStyle name="표준 6 2 31 3 4" xfId="31127"/>
    <cellStyle name="표준 6 2 31 3 5" xfId="55877"/>
    <cellStyle name="표준 6 2 31 4" xfId="8956"/>
    <cellStyle name="표준 6 2 31 4 2" xfId="21629"/>
    <cellStyle name="표준 6 2 31 4 2 2" xfId="46981"/>
    <cellStyle name="표준 6 2 31 4 3" xfId="34309"/>
    <cellStyle name="표준 6 2 31 5" xfId="15293"/>
    <cellStyle name="표준 6 2 31 5 2" xfId="40645"/>
    <cellStyle name="표준 6 2 31 6" xfId="27973"/>
    <cellStyle name="표준 6 2 31 7" xfId="55878"/>
    <cellStyle name="표준 6 2 32" xfId="2621"/>
    <cellStyle name="표준 6 2 32 2" xfId="2622"/>
    <cellStyle name="표준 6 2 32 2 2" xfId="5775"/>
    <cellStyle name="표준 6 2 32 2 2 2" xfId="12111"/>
    <cellStyle name="표준 6 2 32 2 2 2 2" xfId="24784"/>
    <cellStyle name="표준 6 2 32 2 2 2 2 2" xfId="50136"/>
    <cellStyle name="표준 6 2 32 2 2 2 3" xfId="37464"/>
    <cellStyle name="표준 6 2 32 2 2 3" xfId="18448"/>
    <cellStyle name="표준 6 2 32 2 2 3 2" xfId="43800"/>
    <cellStyle name="표준 6 2 32 2 2 4" xfId="31128"/>
    <cellStyle name="표준 6 2 32 2 2 5" xfId="55879"/>
    <cellStyle name="표준 6 2 32 2 3" xfId="8959"/>
    <cellStyle name="표준 6 2 32 2 3 2" xfId="21632"/>
    <cellStyle name="표준 6 2 32 2 3 2 2" xfId="46984"/>
    <cellStyle name="표준 6 2 32 2 3 3" xfId="34312"/>
    <cellStyle name="표준 6 2 32 2 4" xfId="15296"/>
    <cellStyle name="표준 6 2 32 2 4 2" xfId="40648"/>
    <cellStyle name="표준 6 2 32 2 5" xfId="27976"/>
    <cellStyle name="표준 6 2 32 2 6" xfId="55880"/>
    <cellStyle name="표준 6 2 32 3" xfId="5776"/>
    <cellStyle name="표준 6 2 32 3 2" xfId="12112"/>
    <cellStyle name="표준 6 2 32 3 2 2" xfId="24785"/>
    <cellStyle name="표준 6 2 32 3 2 2 2" xfId="50137"/>
    <cellStyle name="표준 6 2 32 3 2 3" xfId="37465"/>
    <cellStyle name="표준 6 2 32 3 3" xfId="18449"/>
    <cellStyle name="표준 6 2 32 3 3 2" xfId="43801"/>
    <cellStyle name="표준 6 2 32 3 4" xfId="31129"/>
    <cellStyle name="표준 6 2 32 3 5" xfId="55881"/>
    <cellStyle name="표준 6 2 32 4" xfId="8958"/>
    <cellStyle name="표준 6 2 32 4 2" xfId="21631"/>
    <cellStyle name="표준 6 2 32 4 2 2" xfId="46983"/>
    <cellStyle name="표준 6 2 32 4 3" xfId="34311"/>
    <cellStyle name="표준 6 2 32 5" xfId="15295"/>
    <cellStyle name="표준 6 2 32 5 2" xfId="40647"/>
    <cellStyle name="표준 6 2 32 6" xfId="27975"/>
    <cellStyle name="표준 6 2 32 7" xfId="55882"/>
    <cellStyle name="표준 6 2 33" xfId="2623"/>
    <cellStyle name="표준 6 2 33 2" xfId="2624"/>
    <cellStyle name="표준 6 2 33 2 2" xfId="5777"/>
    <cellStyle name="표준 6 2 33 2 2 2" xfId="12113"/>
    <cellStyle name="표준 6 2 33 2 2 2 2" xfId="24786"/>
    <cellStyle name="표준 6 2 33 2 2 2 2 2" xfId="50138"/>
    <cellStyle name="표준 6 2 33 2 2 2 3" xfId="37466"/>
    <cellStyle name="표준 6 2 33 2 2 3" xfId="18450"/>
    <cellStyle name="표준 6 2 33 2 2 3 2" xfId="43802"/>
    <cellStyle name="표준 6 2 33 2 2 4" xfId="31130"/>
    <cellStyle name="표준 6 2 33 2 2 5" xfId="55883"/>
    <cellStyle name="표준 6 2 33 2 3" xfId="8961"/>
    <cellStyle name="표준 6 2 33 2 3 2" xfId="21634"/>
    <cellStyle name="표준 6 2 33 2 3 2 2" xfId="46986"/>
    <cellStyle name="표준 6 2 33 2 3 3" xfId="34314"/>
    <cellStyle name="표준 6 2 33 2 4" xfId="15298"/>
    <cellStyle name="표준 6 2 33 2 4 2" xfId="40650"/>
    <cellStyle name="표준 6 2 33 2 5" xfId="27978"/>
    <cellStyle name="표준 6 2 33 2 6" xfId="55884"/>
    <cellStyle name="표준 6 2 33 3" xfId="5778"/>
    <cellStyle name="표준 6 2 33 3 2" xfId="12114"/>
    <cellStyle name="표준 6 2 33 3 2 2" xfId="24787"/>
    <cellStyle name="표준 6 2 33 3 2 2 2" xfId="50139"/>
    <cellStyle name="표준 6 2 33 3 2 3" xfId="37467"/>
    <cellStyle name="표준 6 2 33 3 3" xfId="18451"/>
    <cellStyle name="표준 6 2 33 3 3 2" xfId="43803"/>
    <cellStyle name="표준 6 2 33 3 4" xfId="31131"/>
    <cellStyle name="표준 6 2 33 3 5" xfId="55885"/>
    <cellStyle name="표준 6 2 33 4" xfId="8960"/>
    <cellStyle name="표준 6 2 33 4 2" xfId="21633"/>
    <cellStyle name="표준 6 2 33 4 2 2" xfId="46985"/>
    <cellStyle name="표준 6 2 33 4 3" xfId="34313"/>
    <cellStyle name="표준 6 2 33 5" xfId="15297"/>
    <cellStyle name="표준 6 2 33 5 2" xfId="40649"/>
    <cellStyle name="표준 6 2 33 6" xfId="27977"/>
    <cellStyle name="표준 6 2 33 7" xfId="55886"/>
    <cellStyle name="표준 6 2 34" xfId="2625"/>
    <cellStyle name="표준 6 2 34 2" xfId="2626"/>
    <cellStyle name="표준 6 2 34 2 2" xfId="5779"/>
    <cellStyle name="표준 6 2 34 2 2 2" xfId="12115"/>
    <cellStyle name="표준 6 2 34 2 2 2 2" xfId="24788"/>
    <cellStyle name="표준 6 2 34 2 2 2 2 2" xfId="50140"/>
    <cellStyle name="표준 6 2 34 2 2 2 3" xfId="37468"/>
    <cellStyle name="표준 6 2 34 2 2 3" xfId="18452"/>
    <cellStyle name="표준 6 2 34 2 2 3 2" xfId="43804"/>
    <cellStyle name="표준 6 2 34 2 2 4" xfId="31132"/>
    <cellStyle name="표준 6 2 34 2 2 5" xfId="55887"/>
    <cellStyle name="표준 6 2 34 2 3" xfId="8963"/>
    <cellStyle name="표준 6 2 34 2 3 2" xfId="21636"/>
    <cellStyle name="표준 6 2 34 2 3 2 2" xfId="46988"/>
    <cellStyle name="표준 6 2 34 2 3 3" xfId="34316"/>
    <cellStyle name="표준 6 2 34 2 4" xfId="15300"/>
    <cellStyle name="표준 6 2 34 2 4 2" xfId="40652"/>
    <cellStyle name="표준 6 2 34 2 5" xfId="27980"/>
    <cellStyle name="표준 6 2 34 2 6" xfId="55888"/>
    <cellStyle name="표준 6 2 34 3" xfId="5780"/>
    <cellStyle name="표준 6 2 34 3 2" xfId="12116"/>
    <cellStyle name="표준 6 2 34 3 2 2" xfId="24789"/>
    <cellStyle name="표준 6 2 34 3 2 2 2" xfId="50141"/>
    <cellStyle name="표준 6 2 34 3 2 3" xfId="37469"/>
    <cellStyle name="표준 6 2 34 3 3" xfId="18453"/>
    <cellStyle name="표준 6 2 34 3 3 2" xfId="43805"/>
    <cellStyle name="표준 6 2 34 3 4" xfId="31133"/>
    <cellStyle name="표준 6 2 34 3 5" xfId="55889"/>
    <cellStyle name="표준 6 2 34 4" xfId="8962"/>
    <cellStyle name="표준 6 2 34 4 2" xfId="21635"/>
    <cellStyle name="표준 6 2 34 4 2 2" xfId="46987"/>
    <cellStyle name="표준 6 2 34 4 3" xfId="34315"/>
    <cellStyle name="표준 6 2 34 5" xfId="15299"/>
    <cellStyle name="표준 6 2 34 5 2" xfId="40651"/>
    <cellStyle name="표준 6 2 34 6" xfId="27979"/>
    <cellStyle name="표준 6 2 34 7" xfId="55890"/>
    <cellStyle name="표준 6 2 35" xfId="2627"/>
    <cellStyle name="표준 6 2 35 2" xfId="2628"/>
    <cellStyle name="표준 6 2 35 2 2" xfId="5781"/>
    <cellStyle name="표준 6 2 35 2 2 2" xfId="12117"/>
    <cellStyle name="표준 6 2 35 2 2 2 2" xfId="24790"/>
    <cellStyle name="표준 6 2 35 2 2 2 2 2" xfId="50142"/>
    <cellStyle name="표준 6 2 35 2 2 2 3" xfId="37470"/>
    <cellStyle name="표준 6 2 35 2 2 3" xfId="18454"/>
    <cellStyle name="표준 6 2 35 2 2 3 2" xfId="43806"/>
    <cellStyle name="표준 6 2 35 2 2 4" xfId="31134"/>
    <cellStyle name="표준 6 2 35 2 2 5" xfId="55891"/>
    <cellStyle name="표준 6 2 35 2 3" xfId="8965"/>
    <cellStyle name="표준 6 2 35 2 3 2" xfId="21638"/>
    <cellStyle name="표준 6 2 35 2 3 2 2" xfId="46990"/>
    <cellStyle name="표준 6 2 35 2 3 3" xfId="34318"/>
    <cellStyle name="표준 6 2 35 2 4" xfId="15302"/>
    <cellStyle name="표준 6 2 35 2 4 2" xfId="40654"/>
    <cellStyle name="표준 6 2 35 2 5" xfId="27982"/>
    <cellStyle name="표준 6 2 35 2 6" xfId="55892"/>
    <cellStyle name="표준 6 2 35 3" xfId="5782"/>
    <cellStyle name="표준 6 2 35 3 2" xfId="12118"/>
    <cellStyle name="표준 6 2 35 3 2 2" xfId="24791"/>
    <cellStyle name="표준 6 2 35 3 2 2 2" xfId="50143"/>
    <cellStyle name="표준 6 2 35 3 2 3" xfId="37471"/>
    <cellStyle name="표준 6 2 35 3 3" xfId="18455"/>
    <cellStyle name="표준 6 2 35 3 3 2" xfId="43807"/>
    <cellStyle name="표준 6 2 35 3 4" xfId="31135"/>
    <cellStyle name="표준 6 2 35 3 5" xfId="55893"/>
    <cellStyle name="표준 6 2 35 4" xfId="8964"/>
    <cellStyle name="표준 6 2 35 4 2" xfId="21637"/>
    <cellStyle name="표준 6 2 35 4 2 2" xfId="46989"/>
    <cellStyle name="표준 6 2 35 4 3" xfId="34317"/>
    <cellStyle name="표준 6 2 35 5" xfId="15301"/>
    <cellStyle name="표준 6 2 35 5 2" xfId="40653"/>
    <cellStyle name="표준 6 2 35 6" xfId="27981"/>
    <cellStyle name="표준 6 2 35 7" xfId="55894"/>
    <cellStyle name="표준 6 2 36" xfId="2629"/>
    <cellStyle name="표준 6 2 36 2" xfId="2630"/>
    <cellStyle name="표준 6 2 36 2 2" xfId="5783"/>
    <cellStyle name="표준 6 2 36 2 2 2" xfId="12119"/>
    <cellStyle name="표준 6 2 36 2 2 2 2" xfId="24792"/>
    <cellStyle name="표준 6 2 36 2 2 2 2 2" xfId="50144"/>
    <cellStyle name="표준 6 2 36 2 2 2 3" xfId="37472"/>
    <cellStyle name="표준 6 2 36 2 2 3" xfId="18456"/>
    <cellStyle name="표준 6 2 36 2 2 3 2" xfId="43808"/>
    <cellStyle name="표준 6 2 36 2 2 4" xfId="31136"/>
    <cellStyle name="표준 6 2 36 2 2 5" xfId="55895"/>
    <cellStyle name="표준 6 2 36 2 3" xfId="8967"/>
    <cellStyle name="표준 6 2 36 2 3 2" xfId="21640"/>
    <cellStyle name="표준 6 2 36 2 3 2 2" xfId="46992"/>
    <cellStyle name="표준 6 2 36 2 3 3" xfId="34320"/>
    <cellStyle name="표준 6 2 36 2 4" xfId="15304"/>
    <cellStyle name="표준 6 2 36 2 4 2" xfId="40656"/>
    <cellStyle name="표준 6 2 36 2 5" xfId="27984"/>
    <cellStyle name="표준 6 2 36 2 6" xfId="55896"/>
    <cellStyle name="표준 6 2 36 3" xfId="5784"/>
    <cellStyle name="표준 6 2 36 3 2" xfId="12120"/>
    <cellStyle name="표준 6 2 36 3 2 2" xfId="24793"/>
    <cellStyle name="표준 6 2 36 3 2 2 2" xfId="50145"/>
    <cellStyle name="표준 6 2 36 3 2 3" xfId="37473"/>
    <cellStyle name="표준 6 2 36 3 3" xfId="18457"/>
    <cellStyle name="표준 6 2 36 3 3 2" xfId="43809"/>
    <cellStyle name="표준 6 2 36 3 4" xfId="31137"/>
    <cellStyle name="표준 6 2 36 3 5" xfId="55897"/>
    <cellStyle name="표준 6 2 36 4" xfId="8966"/>
    <cellStyle name="표준 6 2 36 4 2" xfId="21639"/>
    <cellStyle name="표준 6 2 36 4 2 2" xfId="46991"/>
    <cellStyle name="표준 6 2 36 4 3" xfId="34319"/>
    <cellStyle name="표준 6 2 36 5" xfId="15303"/>
    <cellStyle name="표준 6 2 36 5 2" xfId="40655"/>
    <cellStyle name="표준 6 2 36 6" xfId="27983"/>
    <cellStyle name="표준 6 2 36 7" xfId="55898"/>
    <cellStyle name="표준 6 2 37" xfId="2631"/>
    <cellStyle name="표준 6 2 37 2" xfId="5785"/>
    <cellStyle name="표준 6 2 37 2 2" xfId="12121"/>
    <cellStyle name="표준 6 2 37 2 2 2" xfId="24794"/>
    <cellStyle name="표준 6 2 37 2 2 2 2" xfId="50146"/>
    <cellStyle name="표준 6 2 37 2 2 3" xfId="37474"/>
    <cellStyle name="표준 6 2 37 2 3" xfId="18458"/>
    <cellStyle name="표준 6 2 37 2 3 2" xfId="43810"/>
    <cellStyle name="표준 6 2 37 2 4" xfId="31138"/>
    <cellStyle name="표준 6 2 37 2 5" xfId="55899"/>
    <cellStyle name="표준 6 2 37 3" xfId="8968"/>
    <cellStyle name="표준 6 2 37 3 2" xfId="21641"/>
    <cellStyle name="표준 6 2 37 3 2 2" xfId="46993"/>
    <cellStyle name="표준 6 2 37 3 3" xfId="34321"/>
    <cellStyle name="표준 6 2 37 4" xfId="15305"/>
    <cellStyle name="표준 6 2 37 4 2" xfId="40657"/>
    <cellStyle name="표준 6 2 37 5" xfId="27985"/>
    <cellStyle name="표준 6 2 37 6" xfId="55900"/>
    <cellStyle name="표준 6 2 38" xfId="5786"/>
    <cellStyle name="표준 6 2 38 2" xfId="12122"/>
    <cellStyle name="표준 6 2 38 2 2" xfId="24795"/>
    <cellStyle name="표준 6 2 38 2 2 2" xfId="50147"/>
    <cellStyle name="표준 6 2 38 2 3" xfId="37475"/>
    <cellStyle name="표준 6 2 38 3" xfId="18459"/>
    <cellStyle name="표준 6 2 38 3 2" xfId="43811"/>
    <cellStyle name="표준 6 2 38 4" xfId="31139"/>
    <cellStyle name="표준 6 2 38 5" xfId="55901"/>
    <cellStyle name="표준 6 2 39" xfId="6376"/>
    <cellStyle name="표준 6 2 39 2" xfId="19049"/>
    <cellStyle name="표준 6 2 39 2 2" xfId="44401"/>
    <cellStyle name="표준 6 2 39 3" xfId="31729"/>
    <cellStyle name="표준 6 2 4" xfId="95"/>
    <cellStyle name="표준 6 2 4 10" xfId="2632"/>
    <cellStyle name="표준 6 2 4 10 2" xfId="2633"/>
    <cellStyle name="표준 6 2 4 10 2 2" xfId="5787"/>
    <cellStyle name="표준 6 2 4 10 2 2 2" xfId="12123"/>
    <cellStyle name="표준 6 2 4 10 2 2 2 2" xfId="24796"/>
    <cellStyle name="표준 6 2 4 10 2 2 2 2 2" xfId="50148"/>
    <cellStyle name="표준 6 2 4 10 2 2 2 3" xfId="37476"/>
    <cellStyle name="표준 6 2 4 10 2 2 3" xfId="18460"/>
    <cellStyle name="표준 6 2 4 10 2 2 3 2" xfId="43812"/>
    <cellStyle name="표준 6 2 4 10 2 2 4" xfId="31140"/>
    <cellStyle name="표준 6 2 4 10 2 2 5" xfId="55902"/>
    <cellStyle name="표준 6 2 4 10 2 3" xfId="8970"/>
    <cellStyle name="표준 6 2 4 10 2 3 2" xfId="21643"/>
    <cellStyle name="표준 6 2 4 10 2 3 2 2" xfId="46995"/>
    <cellStyle name="표준 6 2 4 10 2 3 3" xfId="34323"/>
    <cellStyle name="표준 6 2 4 10 2 4" xfId="15307"/>
    <cellStyle name="표준 6 2 4 10 2 4 2" xfId="40659"/>
    <cellStyle name="표준 6 2 4 10 2 5" xfId="27987"/>
    <cellStyle name="표준 6 2 4 10 2 6" xfId="55903"/>
    <cellStyle name="표준 6 2 4 10 3" xfId="5788"/>
    <cellStyle name="표준 6 2 4 10 3 2" xfId="12124"/>
    <cellStyle name="표준 6 2 4 10 3 2 2" xfId="24797"/>
    <cellStyle name="표준 6 2 4 10 3 2 2 2" xfId="50149"/>
    <cellStyle name="표준 6 2 4 10 3 2 3" xfId="37477"/>
    <cellStyle name="표준 6 2 4 10 3 3" xfId="18461"/>
    <cellStyle name="표준 6 2 4 10 3 3 2" xfId="43813"/>
    <cellStyle name="표준 6 2 4 10 3 4" xfId="31141"/>
    <cellStyle name="표준 6 2 4 10 3 5" xfId="55904"/>
    <cellStyle name="표준 6 2 4 10 4" xfId="8969"/>
    <cellStyle name="표준 6 2 4 10 4 2" xfId="21642"/>
    <cellStyle name="표준 6 2 4 10 4 2 2" xfId="46994"/>
    <cellStyle name="표준 6 2 4 10 4 3" xfId="34322"/>
    <cellStyle name="표준 6 2 4 10 5" xfId="15306"/>
    <cellStyle name="표준 6 2 4 10 5 2" xfId="40658"/>
    <cellStyle name="표준 6 2 4 10 6" xfId="27986"/>
    <cellStyle name="표준 6 2 4 10 7" xfId="55905"/>
    <cellStyle name="표준 6 2 4 11" xfId="2634"/>
    <cellStyle name="표준 6 2 4 11 2" xfId="2635"/>
    <cellStyle name="표준 6 2 4 11 2 2" xfId="5789"/>
    <cellStyle name="표준 6 2 4 11 2 2 2" xfId="12125"/>
    <cellStyle name="표준 6 2 4 11 2 2 2 2" xfId="24798"/>
    <cellStyle name="표준 6 2 4 11 2 2 2 2 2" xfId="50150"/>
    <cellStyle name="표준 6 2 4 11 2 2 2 3" xfId="37478"/>
    <cellStyle name="표준 6 2 4 11 2 2 3" xfId="18462"/>
    <cellStyle name="표준 6 2 4 11 2 2 3 2" xfId="43814"/>
    <cellStyle name="표준 6 2 4 11 2 2 4" xfId="31142"/>
    <cellStyle name="표준 6 2 4 11 2 2 5" xfId="55906"/>
    <cellStyle name="표준 6 2 4 11 2 3" xfId="8972"/>
    <cellStyle name="표준 6 2 4 11 2 3 2" xfId="21645"/>
    <cellStyle name="표준 6 2 4 11 2 3 2 2" xfId="46997"/>
    <cellStyle name="표준 6 2 4 11 2 3 3" xfId="34325"/>
    <cellStyle name="표준 6 2 4 11 2 4" xfId="15309"/>
    <cellStyle name="표준 6 2 4 11 2 4 2" xfId="40661"/>
    <cellStyle name="표준 6 2 4 11 2 5" xfId="27989"/>
    <cellStyle name="표준 6 2 4 11 2 6" xfId="55907"/>
    <cellStyle name="표준 6 2 4 11 3" xfId="5790"/>
    <cellStyle name="표준 6 2 4 11 3 2" xfId="12126"/>
    <cellStyle name="표준 6 2 4 11 3 2 2" xfId="24799"/>
    <cellStyle name="표준 6 2 4 11 3 2 2 2" xfId="50151"/>
    <cellStyle name="표준 6 2 4 11 3 2 3" xfId="37479"/>
    <cellStyle name="표준 6 2 4 11 3 3" xfId="18463"/>
    <cellStyle name="표준 6 2 4 11 3 3 2" xfId="43815"/>
    <cellStyle name="표준 6 2 4 11 3 4" xfId="31143"/>
    <cellStyle name="표준 6 2 4 11 3 5" xfId="55908"/>
    <cellStyle name="표준 6 2 4 11 4" xfId="8971"/>
    <cellStyle name="표준 6 2 4 11 4 2" xfId="21644"/>
    <cellStyle name="표준 6 2 4 11 4 2 2" xfId="46996"/>
    <cellStyle name="표준 6 2 4 11 4 3" xfId="34324"/>
    <cellStyle name="표준 6 2 4 11 5" xfId="15308"/>
    <cellStyle name="표준 6 2 4 11 5 2" xfId="40660"/>
    <cellStyle name="표준 6 2 4 11 6" xfId="27988"/>
    <cellStyle name="표준 6 2 4 11 7" xfId="55909"/>
    <cellStyle name="표준 6 2 4 12" xfId="2636"/>
    <cellStyle name="표준 6 2 4 12 2" xfId="2637"/>
    <cellStyle name="표준 6 2 4 12 2 2" xfId="5791"/>
    <cellStyle name="표준 6 2 4 12 2 2 2" xfId="12127"/>
    <cellStyle name="표준 6 2 4 12 2 2 2 2" xfId="24800"/>
    <cellStyle name="표준 6 2 4 12 2 2 2 2 2" xfId="50152"/>
    <cellStyle name="표준 6 2 4 12 2 2 2 3" xfId="37480"/>
    <cellStyle name="표준 6 2 4 12 2 2 3" xfId="18464"/>
    <cellStyle name="표준 6 2 4 12 2 2 3 2" xfId="43816"/>
    <cellStyle name="표준 6 2 4 12 2 2 4" xfId="31144"/>
    <cellStyle name="표준 6 2 4 12 2 2 5" xfId="55910"/>
    <cellStyle name="표준 6 2 4 12 2 3" xfId="8974"/>
    <cellStyle name="표준 6 2 4 12 2 3 2" xfId="21647"/>
    <cellStyle name="표준 6 2 4 12 2 3 2 2" xfId="46999"/>
    <cellStyle name="표준 6 2 4 12 2 3 3" xfId="34327"/>
    <cellStyle name="표준 6 2 4 12 2 4" xfId="15311"/>
    <cellStyle name="표준 6 2 4 12 2 4 2" xfId="40663"/>
    <cellStyle name="표준 6 2 4 12 2 5" xfId="27991"/>
    <cellStyle name="표준 6 2 4 12 2 6" xfId="55911"/>
    <cellStyle name="표준 6 2 4 12 3" xfId="5792"/>
    <cellStyle name="표준 6 2 4 12 3 2" xfId="12128"/>
    <cellStyle name="표준 6 2 4 12 3 2 2" xfId="24801"/>
    <cellStyle name="표준 6 2 4 12 3 2 2 2" xfId="50153"/>
    <cellStyle name="표준 6 2 4 12 3 2 3" xfId="37481"/>
    <cellStyle name="표준 6 2 4 12 3 3" xfId="18465"/>
    <cellStyle name="표준 6 2 4 12 3 3 2" xfId="43817"/>
    <cellStyle name="표준 6 2 4 12 3 4" xfId="31145"/>
    <cellStyle name="표준 6 2 4 12 3 5" xfId="55912"/>
    <cellStyle name="표준 6 2 4 12 4" xfId="8973"/>
    <cellStyle name="표준 6 2 4 12 4 2" xfId="21646"/>
    <cellStyle name="표준 6 2 4 12 4 2 2" xfId="46998"/>
    <cellStyle name="표준 6 2 4 12 4 3" xfId="34326"/>
    <cellStyle name="표준 6 2 4 12 5" xfId="15310"/>
    <cellStyle name="표준 6 2 4 12 5 2" xfId="40662"/>
    <cellStyle name="표준 6 2 4 12 6" xfId="27990"/>
    <cellStyle name="표준 6 2 4 12 7" xfId="55913"/>
    <cellStyle name="표준 6 2 4 13" xfId="2638"/>
    <cellStyle name="표준 6 2 4 13 2" xfId="2639"/>
    <cellStyle name="표준 6 2 4 13 2 2" xfId="5793"/>
    <cellStyle name="표준 6 2 4 13 2 2 2" xfId="12129"/>
    <cellStyle name="표준 6 2 4 13 2 2 2 2" xfId="24802"/>
    <cellStyle name="표준 6 2 4 13 2 2 2 2 2" xfId="50154"/>
    <cellStyle name="표준 6 2 4 13 2 2 2 3" xfId="37482"/>
    <cellStyle name="표준 6 2 4 13 2 2 3" xfId="18466"/>
    <cellStyle name="표준 6 2 4 13 2 2 3 2" xfId="43818"/>
    <cellStyle name="표준 6 2 4 13 2 2 4" xfId="31146"/>
    <cellStyle name="표준 6 2 4 13 2 2 5" xfId="55914"/>
    <cellStyle name="표준 6 2 4 13 2 3" xfId="8976"/>
    <cellStyle name="표준 6 2 4 13 2 3 2" xfId="21649"/>
    <cellStyle name="표준 6 2 4 13 2 3 2 2" xfId="47001"/>
    <cellStyle name="표준 6 2 4 13 2 3 3" xfId="34329"/>
    <cellStyle name="표준 6 2 4 13 2 4" xfId="15313"/>
    <cellStyle name="표준 6 2 4 13 2 4 2" xfId="40665"/>
    <cellStyle name="표준 6 2 4 13 2 5" xfId="27993"/>
    <cellStyle name="표준 6 2 4 13 2 6" xfId="55915"/>
    <cellStyle name="표준 6 2 4 13 3" xfId="5794"/>
    <cellStyle name="표준 6 2 4 13 3 2" xfId="12130"/>
    <cellStyle name="표준 6 2 4 13 3 2 2" xfId="24803"/>
    <cellStyle name="표준 6 2 4 13 3 2 2 2" xfId="50155"/>
    <cellStyle name="표준 6 2 4 13 3 2 3" xfId="37483"/>
    <cellStyle name="표준 6 2 4 13 3 3" xfId="18467"/>
    <cellStyle name="표준 6 2 4 13 3 3 2" xfId="43819"/>
    <cellStyle name="표준 6 2 4 13 3 4" xfId="31147"/>
    <cellStyle name="표준 6 2 4 13 3 5" xfId="55916"/>
    <cellStyle name="표준 6 2 4 13 4" xfId="8975"/>
    <cellStyle name="표준 6 2 4 13 4 2" xfId="21648"/>
    <cellStyle name="표준 6 2 4 13 4 2 2" xfId="47000"/>
    <cellStyle name="표준 6 2 4 13 4 3" xfId="34328"/>
    <cellStyle name="표준 6 2 4 13 5" xfId="15312"/>
    <cellStyle name="표준 6 2 4 13 5 2" xfId="40664"/>
    <cellStyle name="표준 6 2 4 13 6" xfId="27992"/>
    <cellStyle name="표준 6 2 4 13 7" xfId="55917"/>
    <cellStyle name="표준 6 2 4 14" xfId="2640"/>
    <cellStyle name="표준 6 2 4 14 2" xfId="2641"/>
    <cellStyle name="표준 6 2 4 14 2 2" xfId="5795"/>
    <cellStyle name="표준 6 2 4 14 2 2 2" xfId="12131"/>
    <cellStyle name="표준 6 2 4 14 2 2 2 2" xfId="24804"/>
    <cellStyle name="표준 6 2 4 14 2 2 2 2 2" xfId="50156"/>
    <cellStyle name="표준 6 2 4 14 2 2 2 3" xfId="37484"/>
    <cellStyle name="표준 6 2 4 14 2 2 3" xfId="18468"/>
    <cellStyle name="표준 6 2 4 14 2 2 3 2" xfId="43820"/>
    <cellStyle name="표준 6 2 4 14 2 2 4" xfId="31148"/>
    <cellStyle name="표준 6 2 4 14 2 2 5" xfId="55918"/>
    <cellStyle name="표준 6 2 4 14 2 3" xfId="8978"/>
    <cellStyle name="표준 6 2 4 14 2 3 2" xfId="21651"/>
    <cellStyle name="표준 6 2 4 14 2 3 2 2" xfId="47003"/>
    <cellStyle name="표준 6 2 4 14 2 3 3" xfId="34331"/>
    <cellStyle name="표준 6 2 4 14 2 4" xfId="15315"/>
    <cellStyle name="표준 6 2 4 14 2 4 2" xfId="40667"/>
    <cellStyle name="표준 6 2 4 14 2 5" xfId="27995"/>
    <cellStyle name="표준 6 2 4 14 2 6" xfId="55919"/>
    <cellStyle name="표준 6 2 4 14 3" xfId="5796"/>
    <cellStyle name="표준 6 2 4 14 3 2" xfId="12132"/>
    <cellStyle name="표준 6 2 4 14 3 2 2" xfId="24805"/>
    <cellStyle name="표준 6 2 4 14 3 2 2 2" xfId="50157"/>
    <cellStyle name="표준 6 2 4 14 3 2 3" xfId="37485"/>
    <cellStyle name="표준 6 2 4 14 3 3" xfId="18469"/>
    <cellStyle name="표준 6 2 4 14 3 3 2" xfId="43821"/>
    <cellStyle name="표준 6 2 4 14 3 4" xfId="31149"/>
    <cellStyle name="표준 6 2 4 14 3 5" xfId="55920"/>
    <cellStyle name="표준 6 2 4 14 4" xfId="8977"/>
    <cellStyle name="표준 6 2 4 14 4 2" xfId="21650"/>
    <cellStyle name="표준 6 2 4 14 4 2 2" xfId="47002"/>
    <cellStyle name="표준 6 2 4 14 4 3" xfId="34330"/>
    <cellStyle name="표준 6 2 4 14 5" xfId="15314"/>
    <cellStyle name="표준 6 2 4 14 5 2" xfId="40666"/>
    <cellStyle name="표준 6 2 4 14 6" xfId="27994"/>
    <cellStyle name="표준 6 2 4 14 7" xfId="55921"/>
    <cellStyle name="표준 6 2 4 15" xfId="2642"/>
    <cellStyle name="표준 6 2 4 15 2" xfId="2643"/>
    <cellStyle name="표준 6 2 4 15 2 2" xfId="5797"/>
    <cellStyle name="표준 6 2 4 15 2 2 2" xfId="12133"/>
    <cellStyle name="표준 6 2 4 15 2 2 2 2" xfId="24806"/>
    <cellStyle name="표준 6 2 4 15 2 2 2 2 2" xfId="50158"/>
    <cellStyle name="표준 6 2 4 15 2 2 2 3" xfId="37486"/>
    <cellStyle name="표준 6 2 4 15 2 2 3" xfId="18470"/>
    <cellStyle name="표준 6 2 4 15 2 2 3 2" xfId="43822"/>
    <cellStyle name="표준 6 2 4 15 2 2 4" xfId="31150"/>
    <cellStyle name="표준 6 2 4 15 2 2 5" xfId="55922"/>
    <cellStyle name="표준 6 2 4 15 2 3" xfId="8980"/>
    <cellStyle name="표준 6 2 4 15 2 3 2" xfId="21653"/>
    <cellStyle name="표준 6 2 4 15 2 3 2 2" xfId="47005"/>
    <cellStyle name="표준 6 2 4 15 2 3 3" xfId="34333"/>
    <cellStyle name="표준 6 2 4 15 2 4" xfId="15317"/>
    <cellStyle name="표준 6 2 4 15 2 4 2" xfId="40669"/>
    <cellStyle name="표준 6 2 4 15 2 5" xfId="27997"/>
    <cellStyle name="표준 6 2 4 15 2 6" xfId="55923"/>
    <cellStyle name="표준 6 2 4 15 3" xfId="5798"/>
    <cellStyle name="표준 6 2 4 15 3 2" xfId="12134"/>
    <cellStyle name="표준 6 2 4 15 3 2 2" xfId="24807"/>
    <cellStyle name="표준 6 2 4 15 3 2 2 2" xfId="50159"/>
    <cellStyle name="표준 6 2 4 15 3 2 3" xfId="37487"/>
    <cellStyle name="표준 6 2 4 15 3 3" xfId="18471"/>
    <cellStyle name="표준 6 2 4 15 3 3 2" xfId="43823"/>
    <cellStyle name="표준 6 2 4 15 3 4" xfId="31151"/>
    <cellStyle name="표준 6 2 4 15 3 5" xfId="55924"/>
    <cellStyle name="표준 6 2 4 15 4" xfId="8979"/>
    <cellStyle name="표준 6 2 4 15 4 2" xfId="21652"/>
    <cellStyle name="표준 6 2 4 15 4 2 2" xfId="47004"/>
    <cellStyle name="표준 6 2 4 15 4 3" xfId="34332"/>
    <cellStyle name="표준 6 2 4 15 5" xfId="15316"/>
    <cellStyle name="표준 6 2 4 15 5 2" xfId="40668"/>
    <cellStyle name="표준 6 2 4 15 6" xfId="27996"/>
    <cellStyle name="표준 6 2 4 15 7" xfId="55925"/>
    <cellStyle name="표준 6 2 4 16" xfId="2644"/>
    <cellStyle name="표준 6 2 4 16 2" xfId="2645"/>
    <cellStyle name="표준 6 2 4 16 2 2" xfId="5799"/>
    <cellStyle name="표준 6 2 4 16 2 2 2" xfId="12135"/>
    <cellStyle name="표준 6 2 4 16 2 2 2 2" xfId="24808"/>
    <cellStyle name="표준 6 2 4 16 2 2 2 2 2" xfId="50160"/>
    <cellStyle name="표준 6 2 4 16 2 2 2 3" xfId="37488"/>
    <cellStyle name="표준 6 2 4 16 2 2 3" xfId="18472"/>
    <cellStyle name="표준 6 2 4 16 2 2 3 2" xfId="43824"/>
    <cellStyle name="표준 6 2 4 16 2 2 4" xfId="31152"/>
    <cellStyle name="표준 6 2 4 16 2 2 5" xfId="55926"/>
    <cellStyle name="표준 6 2 4 16 2 3" xfId="8982"/>
    <cellStyle name="표준 6 2 4 16 2 3 2" xfId="21655"/>
    <cellStyle name="표준 6 2 4 16 2 3 2 2" xfId="47007"/>
    <cellStyle name="표준 6 2 4 16 2 3 3" xfId="34335"/>
    <cellStyle name="표준 6 2 4 16 2 4" xfId="15319"/>
    <cellStyle name="표준 6 2 4 16 2 4 2" xfId="40671"/>
    <cellStyle name="표준 6 2 4 16 2 5" xfId="27999"/>
    <cellStyle name="표준 6 2 4 16 2 6" xfId="55927"/>
    <cellStyle name="표준 6 2 4 16 3" xfId="5800"/>
    <cellStyle name="표준 6 2 4 16 3 2" xfId="12136"/>
    <cellStyle name="표준 6 2 4 16 3 2 2" xfId="24809"/>
    <cellStyle name="표준 6 2 4 16 3 2 2 2" xfId="50161"/>
    <cellStyle name="표준 6 2 4 16 3 2 3" xfId="37489"/>
    <cellStyle name="표준 6 2 4 16 3 3" xfId="18473"/>
    <cellStyle name="표준 6 2 4 16 3 3 2" xfId="43825"/>
    <cellStyle name="표준 6 2 4 16 3 4" xfId="31153"/>
    <cellStyle name="표준 6 2 4 16 3 5" xfId="55928"/>
    <cellStyle name="표준 6 2 4 16 4" xfId="8981"/>
    <cellStyle name="표준 6 2 4 16 4 2" xfId="21654"/>
    <cellStyle name="표준 6 2 4 16 4 2 2" xfId="47006"/>
    <cellStyle name="표준 6 2 4 16 4 3" xfId="34334"/>
    <cellStyle name="표준 6 2 4 16 5" xfId="15318"/>
    <cellStyle name="표준 6 2 4 16 5 2" xfId="40670"/>
    <cellStyle name="표준 6 2 4 16 6" xfId="27998"/>
    <cellStyle name="표준 6 2 4 16 7" xfId="55929"/>
    <cellStyle name="표준 6 2 4 17" xfId="2646"/>
    <cellStyle name="표준 6 2 4 17 2" xfId="2647"/>
    <cellStyle name="표준 6 2 4 17 2 2" xfId="5801"/>
    <cellStyle name="표준 6 2 4 17 2 2 2" xfId="12137"/>
    <cellStyle name="표준 6 2 4 17 2 2 2 2" xfId="24810"/>
    <cellStyle name="표준 6 2 4 17 2 2 2 2 2" xfId="50162"/>
    <cellStyle name="표준 6 2 4 17 2 2 2 3" xfId="37490"/>
    <cellStyle name="표준 6 2 4 17 2 2 3" xfId="18474"/>
    <cellStyle name="표준 6 2 4 17 2 2 3 2" xfId="43826"/>
    <cellStyle name="표준 6 2 4 17 2 2 4" xfId="31154"/>
    <cellStyle name="표준 6 2 4 17 2 2 5" xfId="55930"/>
    <cellStyle name="표준 6 2 4 17 2 3" xfId="8984"/>
    <cellStyle name="표준 6 2 4 17 2 3 2" xfId="21657"/>
    <cellStyle name="표준 6 2 4 17 2 3 2 2" xfId="47009"/>
    <cellStyle name="표준 6 2 4 17 2 3 3" xfId="34337"/>
    <cellStyle name="표준 6 2 4 17 2 4" xfId="15321"/>
    <cellStyle name="표준 6 2 4 17 2 4 2" xfId="40673"/>
    <cellStyle name="표준 6 2 4 17 2 5" xfId="28001"/>
    <cellStyle name="표준 6 2 4 17 2 6" xfId="55931"/>
    <cellStyle name="표준 6 2 4 17 3" xfId="5802"/>
    <cellStyle name="표준 6 2 4 17 3 2" xfId="12138"/>
    <cellStyle name="표준 6 2 4 17 3 2 2" xfId="24811"/>
    <cellStyle name="표준 6 2 4 17 3 2 2 2" xfId="50163"/>
    <cellStyle name="표준 6 2 4 17 3 2 3" xfId="37491"/>
    <cellStyle name="표준 6 2 4 17 3 3" xfId="18475"/>
    <cellStyle name="표준 6 2 4 17 3 3 2" xfId="43827"/>
    <cellStyle name="표준 6 2 4 17 3 4" xfId="31155"/>
    <cellStyle name="표준 6 2 4 17 3 5" xfId="55932"/>
    <cellStyle name="표준 6 2 4 17 4" xfId="8983"/>
    <cellStyle name="표준 6 2 4 17 4 2" xfId="21656"/>
    <cellStyle name="표준 6 2 4 17 4 2 2" xfId="47008"/>
    <cellStyle name="표준 6 2 4 17 4 3" xfId="34336"/>
    <cellStyle name="표준 6 2 4 17 5" xfId="15320"/>
    <cellStyle name="표준 6 2 4 17 5 2" xfId="40672"/>
    <cellStyle name="표준 6 2 4 17 6" xfId="28000"/>
    <cellStyle name="표준 6 2 4 17 7" xfId="55933"/>
    <cellStyle name="표준 6 2 4 18" xfId="2648"/>
    <cellStyle name="표준 6 2 4 18 2" xfId="2649"/>
    <cellStyle name="표준 6 2 4 18 2 2" xfId="5803"/>
    <cellStyle name="표준 6 2 4 18 2 2 2" xfId="12139"/>
    <cellStyle name="표준 6 2 4 18 2 2 2 2" xfId="24812"/>
    <cellStyle name="표준 6 2 4 18 2 2 2 2 2" xfId="50164"/>
    <cellStyle name="표준 6 2 4 18 2 2 2 3" xfId="37492"/>
    <cellStyle name="표준 6 2 4 18 2 2 3" xfId="18476"/>
    <cellStyle name="표준 6 2 4 18 2 2 3 2" xfId="43828"/>
    <cellStyle name="표준 6 2 4 18 2 2 4" xfId="31156"/>
    <cellStyle name="표준 6 2 4 18 2 2 5" xfId="55934"/>
    <cellStyle name="표준 6 2 4 18 2 3" xfId="8986"/>
    <cellStyle name="표준 6 2 4 18 2 3 2" xfId="21659"/>
    <cellStyle name="표준 6 2 4 18 2 3 2 2" xfId="47011"/>
    <cellStyle name="표준 6 2 4 18 2 3 3" xfId="34339"/>
    <cellStyle name="표준 6 2 4 18 2 4" xfId="15323"/>
    <cellStyle name="표준 6 2 4 18 2 4 2" xfId="40675"/>
    <cellStyle name="표준 6 2 4 18 2 5" xfId="28003"/>
    <cellStyle name="표준 6 2 4 18 2 6" xfId="55935"/>
    <cellStyle name="표준 6 2 4 18 3" xfId="5804"/>
    <cellStyle name="표준 6 2 4 18 3 2" xfId="12140"/>
    <cellStyle name="표준 6 2 4 18 3 2 2" xfId="24813"/>
    <cellStyle name="표준 6 2 4 18 3 2 2 2" xfId="50165"/>
    <cellStyle name="표준 6 2 4 18 3 2 3" xfId="37493"/>
    <cellStyle name="표준 6 2 4 18 3 3" xfId="18477"/>
    <cellStyle name="표준 6 2 4 18 3 3 2" xfId="43829"/>
    <cellStyle name="표준 6 2 4 18 3 4" xfId="31157"/>
    <cellStyle name="표준 6 2 4 18 3 5" xfId="55936"/>
    <cellStyle name="표준 6 2 4 18 4" xfId="8985"/>
    <cellStyle name="표준 6 2 4 18 4 2" xfId="21658"/>
    <cellStyle name="표준 6 2 4 18 4 2 2" xfId="47010"/>
    <cellStyle name="표준 6 2 4 18 4 3" xfId="34338"/>
    <cellStyle name="표준 6 2 4 18 5" xfId="15322"/>
    <cellStyle name="표준 6 2 4 18 5 2" xfId="40674"/>
    <cellStyle name="표준 6 2 4 18 6" xfId="28002"/>
    <cellStyle name="표준 6 2 4 18 7" xfId="55937"/>
    <cellStyle name="표준 6 2 4 19" xfId="2650"/>
    <cellStyle name="표준 6 2 4 19 2" xfId="2651"/>
    <cellStyle name="표준 6 2 4 19 2 2" xfId="5805"/>
    <cellStyle name="표준 6 2 4 19 2 2 2" xfId="12141"/>
    <cellStyle name="표준 6 2 4 19 2 2 2 2" xfId="24814"/>
    <cellStyle name="표준 6 2 4 19 2 2 2 2 2" xfId="50166"/>
    <cellStyle name="표준 6 2 4 19 2 2 2 3" xfId="37494"/>
    <cellStyle name="표준 6 2 4 19 2 2 3" xfId="18478"/>
    <cellStyle name="표준 6 2 4 19 2 2 3 2" xfId="43830"/>
    <cellStyle name="표준 6 2 4 19 2 2 4" xfId="31158"/>
    <cellStyle name="표준 6 2 4 19 2 2 5" xfId="55938"/>
    <cellStyle name="표준 6 2 4 19 2 3" xfId="8988"/>
    <cellStyle name="표준 6 2 4 19 2 3 2" xfId="21661"/>
    <cellStyle name="표준 6 2 4 19 2 3 2 2" xfId="47013"/>
    <cellStyle name="표준 6 2 4 19 2 3 3" xfId="34341"/>
    <cellStyle name="표준 6 2 4 19 2 4" xfId="15325"/>
    <cellStyle name="표준 6 2 4 19 2 4 2" xfId="40677"/>
    <cellStyle name="표준 6 2 4 19 2 5" xfId="28005"/>
    <cellStyle name="표준 6 2 4 19 2 6" xfId="55939"/>
    <cellStyle name="표준 6 2 4 19 3" xfId="5806"/>
    <cellStyle name="표준 6 2 4 19 3 2" xfId="12142"/>
    <cellStyle name="표준 6 2 4 19 3 2 2" xfId="24815"/>
    <cellStyle name="표준 6 2 4 19 3 2 2 2" xfId="50167"/>
    <cellStyle name="표준 6 2 4 19 3 2 3" xfId="37495"/>
    <cellStyle name="표준 6 2 4 19 3 3" xfId="18479"/>
    <cellStyle name="표준 6 2 4 19 3 3 2" xfId="43831"/>
    <cellStyle name="표준 6 2 4 19 3 4" xfId="31159"/>
    <cellStyle name="표준 6 2 4 19 3 5" xfId="55940"/>
    <cellStyle name="표준 6 2 4 19 4" xfId="8987"/>
    <cellStyle name="표준 6 2 4 19 4 2" xfId="21660"/>
    <cellStyle name="표준 6 2 4 19 4 2 2" xfId="47012"/>
    <cellStyle name="표준 6 2 4 19 4 3" xfId="34340"/>
    <cellStyle name="표준 6 2 4 19 5" xfId="15324"/>
    <cellStyle name="표준 6 2 4 19 5 2" xfId="40676"/>
    <cellStyle name="표준 6 2 4 19 6" xfId="28004"/>
    <cellStyle name="표준 6 2 4 19 7" xfId="55941"/>
    <cellStyle name="표준 6 2 4 2" xfId="2652"/>
    <cellStyle name="표준 6 2 4 2 2" xfId="2653"/>
    <cellStyle name="표준 6 2 4 2 2 2" xfId="5807"/>
    <cellStyle name="표준 6 2 4 2 2 2 2" xfId="12143"/>
    <cellStyle name="표준 6 2 4 2 2 2 2 2" xfId="24816"/>
    <cellStyle name="표준 6 2 4 2 2 2 2 2 2" xfId="50168"/>
    <cellStyle name="표준 6 2 4 2 2 2 2 3" xfId="37496"/>
    <cellStyle name="표준 6 2 4 2 2 2 3" xfId="18480"/>
    <cellStyle name="표준 6 2 4 2 2 2 3 2" xfId="43832"/>
    <cellStyle name="표준 6 2 4 2 2 2 4" xfId="31160"/>
    <cellStyle name="표준 6 2 4 2 2 2 5" xfId="55942"/>
    <cellStyle name="표준 6 2 4 2 2 3" xfId="8990"/>
    <cellStyle name="표준 6 2 4 2 2 3 2" xfId="21663"/>
    <cellStyle name="표준 6 2 4 2 2 3 2 2" xfId="47015"/>
    <cellStyle name="표준 6 2 4 2 2 3 3" xfId="34343"/>
    <cellStyle name="표준 6 2 4 2 2 4" xfId="15327"/>
    <cellStyle name="표준 6 2 4 2 2 4 2" xfId="40679"/>
    <cellStyle name="표준 6 2 4 2 2 5" xfId="28007"/>
    <cellStyle name="표준 6 2 4 2 2 6" xfId="55943"/>
    <cellStyle name="표준 6 2 4 2 3" xfId="5808"/>
    <cellStyle name="표준 6 2 4 2 3 2" xfId="12144"/>
    <cellStyle name="표준 6 2 4 2 3 2 2" xfId="24817"/>
    <cellStyle name="표준 6 2 4 2 3 2 2 2" xfId="50169"/>
    <cellStyle name="표준 6 2 4 2 3 2 3" xfId="37497"/>
    <cellStyle name="표준 6 2 4 2 3 3" xfId="18481"/>
    <cellStyle name="표준 6 2 4 2 3 3 2" xfId="43833"/>
    <cellStyle name="표준 6 2 4 2 3 4" xfId="31161"/>
    <cellStyle name="표준 6 2 4 2 3 5" xfId="55944"/>
    <cellStyle name="표준 6 2 4 2 4" xfId="8989"/>
    <cellStyle name="표준 6 2 4 2 4 2" xfId="21662"/>
    <cellStyle name="표준 6 2 4 2 4 2 2" xfId="47014"/>
    <cellStyle name="표준 6 2 4 2 4 3" xfId="34342"/>
    <cellStyle name="표준 6 2 4 2 5" xfId="15326"/>
    <cellStyle name="표준 6 2 4 2 5 2" xfId="40678"/>
    <cellStyle name="표준 6 2 4 2 6" xfId="28006"/>
    <cellStyle name="표준 6 2 4 2 7" xfId="55945"/>
    <cellStyle name="표준 6 2 4 20" xfId="2654"/>
    <cellStyle name="표준 6 2 4 20 2" xfId="2655"/>
    <cellStyle name="표준 6 2 4 20 2 2" xfId="5809"/>
    <cellStyle name="표준 6 2 4 20 2 2 2" xfId="12145"/>
    <cellStyle name="표준 6 2 4 20 2 2 2 2" xfId="24818"/>
    <cellStyle name="표준 6 2 4 20 2 2 2 2 2" xfId="50170"/>
    <cellStyle name="표준 6 2 4 20 2 2 2 3" xfId="37498"/>
    <cellStyle name="표준 6 2 4 20 2 2 3" xfId="18482"/>
    <cellStyle name="표준 6 2 4 20 2 2 3 2" xfId="43834"/>
    <cellStyle name="표준 6 2 4 20 2 2 4" xfId="31162"/>
    <cellStyle name="표준 6 2 4 20 2 2 5" xfId="55946"/>
    <cellStyle name="표준 6 2 4 20 2 3" xfId="8992"/>
    <cellStyle name="표준 6 2 4 20 2 3 2" xfId="21665"/>
    <cellStyle name="표준 6 2 4 20 2 3 2 2" xfId="47017"/>
    <cellStyle name="표준 6 2 4 20 2 3 3" xfId="34345"/>
    <cellStyle name="표준 6 2 4 20 2 4" xfId="15329"/>
    <cellStyle name="표준 6 2 4 20 2 4 2" xfId="40681"/>
    <cellStyle name="표준 6 2 4 20 2 5" xfId="28009"/>
    <cellStyle name="표준 6 2 4 20 2 6" xfId="55947"/>
    <cellStyle name="표준 6 2 4 20 3" xfId="5810"/>
    <cellStyle name="표준 6 2 4 20 3 2" xfId="12146"/>
    <cellStyle name="표준 6 2 4 20 3 2 2" xfId="24819"/>
    <cellStyle name="표준 6 2 4 20 3 2 2 2" xfId="50171"/>
    <cellStyle name="표준 6 2 4 20 3 2 3" xfId="37499"/>
    <cellStyle name="표준 6 2 4 20 3 3" xfId="18483"/>
    <cellStyle name="표준 6 2 4 20 3 3 2" xfId="43835"/>
    <cellStyle name="표준 6 2 4 20 3 4" xfId="31163"/>
    <cellStyle name="표준 6 2 4 20 3 5" xfId="55948"/>
    <cellStyle name="표준 6 2 4 20 4" xfId="8991"/>
    <cellStyle name="표준 6 2 4 20 4 2" xfId="21664"/>
    <cellStyle name="표준 6 2 4 20 4 2 2" xfId="47016"/>
    <cellStyle name="표준 6 2 4 20 4 3" xfId="34344"/>
    <cellStyle name="표준 6 2 4 20 5" xfId="15328"/>
    <cellStyle name="표준 6 2 4 20 5 2" xfId="40680"/>
    <cellStyle name="표준 6 2 4 20 6" xfId="28008"/>
    <cellStyle name="표준 6 2 4 20 7" xfId="55949"/>
    <cellStyle name="표준 6 2 4 21" xfId="2656"/>
    <cellStyle name="표준 6 2 4 21 2" xfId="2657"/>
    <cellStyle name="표준 6 2 4 21 2 2" xfId="5811"/>
    <cellStyle name="표준 6 2 4 21 2 2 2" xfId="12147"/>
    <cellStyle name="표준 6 2 4 21 2 2 2 2" xfId="24820"/>
    <cellStyle name="표준 6 2 4 21 2 2 2 2 2" xfId="50172"/>
    <cellStyle name="표준 6 2 4 21 2 2 2 3" xfId="37500"/>
    <cellStyle name="표준 6 2 4 21 2 2 3" xfId="18484"/>
    <cellStyle name="표준 6 2 4 21 2 2 3 2" xfId="43836"/>
    <cellStyle name="표준 6 2 4 21 2 2 4" xfId="31164"/>
    <cellStyle name="표준 6 2 4 21 2 2 5" xfId="55950"/>
    <cellStyle name="표준 6 2 4 21 2 3" xfId="8994"/>
    <cellStyle name="표준 6 2 4 21 2 3 2" xfId="21667"/>
    <cellStyle name="표준 6 2 4 21 2 3 2 2" xfId="47019"/>
    <cellStyle name="표준 6 2 4 21 2 3 3" xfId="34347"/>
    <cellStyle name="표준 6 2 4 21 2 4" xfId="15331"/>
    <cellStyle name="표준 6 2 4 21 2 4 2" xfId="40683"/>
    <cellStyle name="표준 6 2 4 21 2 5" xfId="28011"/>
    <cellStyle name="표준 6 2 4 21 2 6" xfId="55951"/>
    <cellStyle name="표준 6 2 4 21 3" xfId="5812"/>
    <cellStyle name="표준 6 2 4 21 3 2" xfId="12148"/>
    <cellStyle name="표준 6 2 4 21 3 2 2" xfId="24821"/>
    <cellStyle name="표준 6 2 4 21 3 2 2 2" xfId="50173"/>
    <cellStyle name="표준 6 2 4 21 3 2 3" xfId="37501"/>
    <cellStyle name="표준 6 2 4 21 3 3" xfId="18485"/>
    <cellStyle name="표준 6 2 4 21 3 3 2" xfId="43837"/>
    <cellStyle name="표준 6 2 4 21 3 4" xfId="31165"/>
    <cellStyle name="표준 6 2 4 21 3 5" xfId="55952"/>
    <cellStyle name="표준 6 2 4 21 4" xfId="8993"/>
    <cellStyle name="표준 6 2 4 21 4 2" xfId="21666"/>
    <cellStyle name="표준 6 2 4 21 4 2 2" xfId="47018"/>
    <cellStyle name="표준 6 2 4 21 4 3" xfId="34346"/>
    <cellStyle name="표준 6 2 4 21 5" xfId="15330"/>
    <cellStyle name="표준 6 2 4 21 5 2" xfId="40682"/>
    <cellStyle name="표준 6 2 4 21 6" xfId="28010"/>
    <cellStyle name="표준 6 2 4 21 7" xfId="55953"/>
    <cellStyle name="표준 6 2 4 22" xfId="2658"/>
    <cellStyle name="표준 6 2 4 22 2" xfId="2659"/>
    <cellStyle name="표준 6 2 4 22 2 2" xfId="5813"/>
    <cellStyle name="표준 6 2 4 22 2 2 2" xfId="12149"/>
    <cellStyle name="표준 6 2 4 22 2 2 2 2" xfId="24822"/>
    <cellStyle name="표준 6 2 4 22 2 2 2 2 2" xfId="50174"/>
    <cellStyle name="표준 6 2 4 22 2 2 2 3" xfId="37502"/>
    <cellStyle name="표준 6 2 4 22 2 2 3" xfId="18486"/>
    <cellStyle name="표준 6 2 4 22 2 2 3 2" xfId="43838"/>
    <cellStyle name="표준 6 2 4 22 2 2 4" xfId="31166"/>
    <cellStyle name="표준 6 2 4 22 2 2 5" xfId="55954"/>
    <cellStyle name="표준 6 2 4 22 2 3" xfId="8996"/>
    <cellStyle name="표준 6 2 4 22 2 3 2" xfId="21669"/>
    <cellStyle name="표준 6 2 4 22 2 3 2 2" xfId="47021"/>
    <cellStyle name="표준 6 2 4 22 2 3 3" xfId="34349"/>
    <cellStyle name="표준 6 2 4 22 2 4" xfId="15333"/>
    <cellStyle name="표준 6 2 4 22 2 4 2" xfId="40685"/>
    <cellStyle name="표준 6 2 4 22 2 5" xfId="28013"/>
    <cellStyle name="표준 6 2 4 22 2 6" xfId="55955"/>
    <cellStyle name="표준 6 2 4 22 3" xfId="5814"/>
    <cellStyle name="표준 6 2 4 22 3 2" xfId="12150"/>
    <cellStyle name="표준 6 2 4 22 3 2 2" xfId="24823"/>
    <cellStyle name="표준 6 2 4 22 3 2 2 2" xfId="50175"/>
    <cellStyle name="표준 6 2 4 22 3 2 3" xfId="37503"/>
    <cellStyle name="표준 6 2 4 22 3 3" xfId="18487"/>
    <cellStyle name="표준 6 2 4 22 3 3 2" xfId="43839"/>
    <cellStyle name="표준 6 2 4 22 3 4" xfId="31167"/>
    <cellStyle name="표준 6 2 4 22 3 5" xfId="55956"/>
    <cellStyle name="표준 6 2 4 22 4" xfId="8995"/>
    <cellStyle name="표준 6 2 4 22 4 2" xfId="21668"/>
    <cellStyle name="표준 6 2 4 22 4 2 2" xfId="47020"/>
    <cellStyle name="표준 6 2 4 22 4 3" xfId="34348"/>
    <cellStyle name="표준 6 2 4 22 5" xfId="15332"/>
    <cellStyle name="표준 6 2 4 22 5 2" xfId="40684"/>
    <cellStyle name="표준 6 2 4 22 6" xfId="28012"/>
    <cellStyle name="표준 6 2 4 22 7" xfId="55957"/>
    <cellStyle name="표준 6 2 4 23" xfId="2660"/>
    <cellStyle name="표준 6 2 4 23 2" xfId="2661"/>
    <cellStyle name="표준 6 2 4 23 2 2" xfId="5815"/>
    <cellStyle name="표준 6 2 4 23 2 2 2" xfId="12151"/>
    <cellStyle name="표준 6 2 4 23 2 2 2 2" xfId="24824"/>
    <cellStyle name="표준 6 2 4 23 2 2 2 2 2" xfId="50176"/>
    <cellStyle name="표준 6 2 4 23 2 2 2 3" xfId="37504"/>
    <cellStyle name="표준 6 2 4 23 2 2 3" xfId="18488"/>
    <cellStyle name="표준 6 2 4 23 2 2 3 2" xfId="43840"/>
    <cellStyle name="표준 6 2 4 23 2 2 4" xfId="31168"/>
    <cellStyle name="표준 6 2 4 23 2 2 5" xfId="55958"/>
    <cellStyle name="표준 6 2 4 23 2 3" xfId="8998"/>
    <cellStyle name="표준 6 2 4 23 2 3 2" xfId="21671"/>
    <cellStyle name="표준 6 2 4 23 2 3 2 2" xfId="47023"/>
    <cellStyle name="표준 6 2 4 23 2 3 3" xfId="34351"/>
    <cellStyle name="표준 6 2 4 23 2 4" xfId="15335"/>
    <cellStyle name="표준 6 2 4 23 2 4 2" xfId="40687"/>
    <cellStyle name="표준 6 2 4 23 2 5" xfId="28015"/>
    <cellStyle name="표준 6 2 4 23 2 6" xfId="55959"/>
    <cellStyle name="표준 6 2 4 23 3" xfId="5816"/>
    <cellStyle name="표준 6 2 4 23 3 2" xfId="12152"/>
    <cellStyle name="표준 6 2 4 23 3 2 2" xfId="24825"/>
    <cellStyle name="표준 6 2 4 23 3 2 2 2" xfId="50177"/>
    <cellStyle name="표준 6 2 4 23 3 2 3" xfId="37505"/>
    <cellStyle name="표준 6 2 4 23 3 3" xfId="18489"/>
    <cellStyle name="표준 6 2 4 23 3 3 2" xfId="43841"/>
    <cellStyle name="표준 6 2 4 23 3 4" xfId="31169"/>
    <cellStyle name="표준 6 2 4 23 3 5" xfId="55960"/>
    <cellStyle name="표준 6 2 4 23 4" xfId="8997"/>
    <cellStyle name="표준 6 2 4 23 4 2" xfId="21670"/>
    <cellStyle name="표준 6 2 4 23 4 2 2" xfId="47022"/>
    <cellStyle name="표준 6 2 4 23 4 3" xfId="34350"/>
    <cellStyle name="표준 6 2 4 23 5" xfId="15334"/>
    <cellStyle name="표준 6 2 4 23 5 2" xfId="40686"/>
    <cellStyle name="표준 6 2 4 23 6" xfId="28014"/>
    <cellStyle name="표준 6 2 4 23 7" xfId="55961"/>
    <cellStyle name="표준 6 2 4 24" xfId="2662"/>
    <cellStyle name="표준 6 2 4 24 2" xfId="2663"/>
    <cellStyle name="표준 6 2 4 24 2 2" xfId="5817"/>
    <cellStyle name="표준 6 2 4 24 2 2 2" xfId="12153"/>
    <cellStyle name="표준 6 2 4 24 2 2 2 2" xfId="24826"/>
    <cellStyle name="표준 6 2 4 24 2 2 2 2 2" xfId="50178"/>
    <cellStyle name="표준 6 2 4 24 2 2 2 3" xfId="37506"/>
    <cellStyle name="표준 6 2 4 24 2 2 3" xfId="18490"/>
    <cellStyle name="표준 6 2 4 24 2 2 3 2" xfId="43842"/>
    <cellStyle name="표준 6 2 4 24 2 2 4" xfId="31170"/>
    <cellStyle name="표준 6 2 4 24 2 2 5" xfId="55962"/>
    <cellStyle name="표준 6 2 4 24 2 3" xfId="9000"/>
    <cellStyle name="표준 6 2 4 24 2 3 2" xfId="21673"/>
    <cellStyle name="표준 6 2 4 24 2 3 2 2" xfId="47025"/>
    <cellStyle name="표준 6 2 4 24 2 3 3" xfId="34353"/>
    <cellStyle name="표준 6 2 4 24 2 4" xfId="15337"/>
    <cellStyle name="표준 6 2 4 24 2 4 2" xfId="40689"/>
    <cellStyle name="표준 6 2 4 24 2 5" xfId="28017"/>
    <cellStyle name="표준 6 2 4 24 2 6" xfId="55963"/>
    <cellStyle name="표준 6 2 4 24 3" xfId="5818"/>
    <cellStyle name="표준 6 2 4 24 3 2" xfId="12154"/>
    <cellStyle name="표준 6 2 4 24 3 2 2" xfId="24827"/>
    <cellStyle name="표준 6 2 4 24 3 2 2 2" xfId="50179"/>
    <cellStyle name="표준 6 2 4 24 3 2 3" xfId="37507"/>
    <cellStyle name="표준 6 2 4 24 3 3" xfId="18491"/>
    <cellStyle name="표준 6 2 4 24 3 3 2" xfId="43843"/>
    <cellStyle name="표준 6 2 4 24 3 4" xfId="31171"/>
    <cellStyle name="표준 6 2 4 24 3 5" xfId="55964"/>
    <cellStyle name="표준 6 2 4 24 4" xfId="8999"/>
    <cellStyle name="표준 6 2 4 24 4 2" xfId="21672"/>
    <cellStyle name="표준 6 2 4 24 4 2 2" xfId="47024"/>
    <cellStyle name="표준 6 2 4 24 4 3" xfId="34352"/>
    <cellStyle name="표준 6 2 4 24 5" xfId="15336"/>
    <cellStyle name="표준 6 2 4 24 5 2" xfId="40688"/>
    <cellStyle name="표준 6 2 4 24 6" xfId="28016"/>
    <cellStyle name="표준 6 2 4 24 7" xfId="55965"/>
    <cellStyle name="표준 6 2 4 25" xfId="2664"/>
    <cellStyle name="표준 6 2 4 25 2" xfId="2665"/>
    <cellStyle name="표준 6 2 4 25 2 2" xfId="5819"/>
    <cellStyle name="표준 6 2 4 25 2 2 2" xfId="12155"/>
    <cellStyle name="표준 6 2 4 25 2 2 2 2" xfId="24828"/>
    <cellStyle name="표준 6 2 4 25 2 2 2 2 2" xfId="50180"/>
    <cellStyle name="표준 6 2 4 25 2 2 2 3" xfId="37508"/>
    <cellStyle name="표준 6 2 4 25 2 2 3" xfId="18492"/>
    <cellStyle name="표준 6 2 4 25 2 2 3 2" xfId="43844"/>
    <cellStyle name="표준 6 2 4 25 2 2 4" xfId="31172"/>
    <cellStyle name="표준 6 2 4 25 2 2 5" xfId="55966"/>
    <cellStyle name="표준 6 2 4 25 2 3" xfId="9002"/>
    <cellStyle name="표준 6 2 4 25 2 3 2" xfId="21675"/>
    <cellStyle name="표준 6 2 4 25 2 3 2 2" xfId="47027"/>
    <cellStyle name="표준 6 2 4 25 2 3 3" xfId="34355"/>
    <cellStyle name="표준 6 2 4 25 2 4" xfId="15339"/>
    <cellStyle name="표준 6 2 4 25 2 4 2" xfId="40691"/>
    <cellStyle name="표준 6 2 4 25 2 5" xfId="28019"/>
    <cellStyle name="표준 6 2 4 25 2 6" xfId="55967"/>
    <cellStyle name="표준 6 2 4 25 3" xfId="5820"/>
    <cellStyle name="표준 6 2 4 25 3 2" xfId="12156"/>
    <cellStyle name="표준 6 2 4 25 3 2 2" xfId="24829"/>
    <cellStyle name="표준 6 2 4 25 3 2 2 2" xfId="50181"/>
    <cellStyle name="표준 6 2 4 25 3 2 3" xfId="37509"/>
    <cellStyle name="표준 6 2 4 25 3 3" xfId="18493"/>
    <cellStyle name="표준 6 2 4 25 3 3 2" xfId="43845"/>
    <cellStyle name="표준 6 2 4 25 3 4" xfId="31173"/>
    <cellStyle name="표준 6 2 4 25 3 5" xfId="55968"/>
    <cellStyle name="표준 6 2 4 25 4" xfId="9001"/>
    <cellStyle name="표준 6 2 4 25 4 2" xfId="21674"/>
    <cellStyle name="표준 6 2 4 25 4 2 2" xfId="47026"/>
    <cellStyle name="표준 6 2 4 25 4 3" xfId="34354"/>
    <cellStyle name="표준 6 2 4 25 5" xfId="15338"/>
    <cellStyle name="표준 6 2 4 25 5 2" xfId="40690"/>
    <cellStyle name="표준 6 2 4 25 6" xfId="28018"/>
    <cellStyle name="표준 6 2 4 25 7" xfId="55969"/>
    <cellStyle name="표준 6 2 4 26" xfId="2666"/>
    <cellStyle name="표준 6 2 4 26 2" xfId="2667"/>
    <cellStyle name="표준 6 2 4 26 2 2" xfId="5821"/>
    <cellStyle name="표준 6 2 4 26 2 2 2" xfId="12157"/>
    <cellStyle name="표준 6 2 4 26 2 2 2 2" xfId="24830"/>
    <cellStyle name="표준 6 2 4 26 2 2 2 2 2" xfId="50182"/>
    <cellStyle name="표준 6 2 4 26 2 2 2 3" xfId="37510"/>
    <cellStyle name="표준 6 2 4 26 2 2 3" xfId="18494"/>
    <cellStyle name="표준 6 2 4 26 2 2 3 2" xfId="43846"/>
    <cellStyle name="표준 6 2 4 26 2 2 4" xfId="31174"/>
    <cellStyle name="표준 6 2 4 26 2 2 5" xfId="55970"/>
    <cellStyle name="표준 6 2 4 26 2 3" xfId="9004"/>
    <cellStyle name="표준 6 2 4 26 2 3 2" xfId="21677"/>
    <cellStyle name="표준 6 2 4 26 2 3 2 2" xfId="47029"/>
    <cellStyle name="표준 6 2 4 26 2 3 3" xfId="34357"/>
    <cellStyle name="표준 6 2 4 26 2 4" xfId="15341"/>
    <cellStyle name="표준 6 2 4 26 2 4 2" xfId="40693"/>
    <cellStyle name="표준 6 2 4 26 2 5" xfId="28021"/>
    <cellStyle name="표준 6 2 4 26 2 6" xfId="55971"/>
    <cellStyle name="표준 6 2 4 26 3" xfId="5822"/>
    <cellStyle name="표준 6 2 4 26 3 2" xfId="12158"/>
    <cellStyle name="표준 6 2 4 26 3 2 2" xfId="24831"/>
    <cellStyle name="표준 6 2 4 26 3 2 2 2" xfId="50183"/>
    <cellStyle name="표준 6 2 4 26 3 2 3" xfId="37511"/>
    <cellStyle name="표준 6 2 4 26 3 3" xfId="18495"/>
    <cellStyle name="표준 6 2 4 26 3 3 2" xfId="43847"/>
    <cellStyle name="표준 6 2 4 26 3 4" xfId="31175"/>
    <cellStyle name="표준 6 2 4 26 3 5" xfId="55972"/>
    <cellStyle name="표준 6 2 4 26 4" xfId="9003"/>
    <cellStyle name="표준 6 2 4 26 4 2" xfId="21676"/>
    <cellStyle name="표준 6 2 4 26 4 2 2" xfId="47028"/>
    <cellStyle name="표준 6 2 4 26 4 3" xfId="34356"/>
    <cellStyle name="표준 6 2 4 26 5" xfId="15340"/>
    <cellStyle name="표준 6 2 4 26 5 2" xfId="40692"/>
    <cellStyle name="표준 6 2 4 26 6" xfId="28020"/>
    <cellStyle name="표준 6 2 4 26 7" xfId="55973"/>
    <cellStyle name="표준 6 2 4 27" xfId="2668"/>
    <cellStyle name="표준 6 2 4 27 2" xfId="2669"/>
    <cellStyle name="표준 6 2 4 27 2 2" xfId="5823"/>
    <cellStyle name="표준 6 2 4 27 2 2 2" xfId="12159"/>
    <cellStyle name="표준 6 2 4 27 2 2 2 2" xfId="24832"/>
    <cellStyle name="표준 6 2 4 27 2 2 2 2 2" xfId="50184"/>
    <cellStyle name="표준 6 2 4 27 2 2 2 3" xfId="37512"/>
    <cellStyle name="표준 6 2 4 27 2 2 3" xfId="18496"/>
    <cellStyle name="표준 6 2 4 27 2 2 3 2" xfId="43848"/>
    <cellStyle name="표준 6 2 4 27 2 2 4" xfId="31176"/>
    <cellStyle name="표준 6 2 4 27 2 2 5" xfId="55974"/>
    <cellStyle name="표준 6 2 4 27 2 3" xfId="9006"/>
    <cellStyle name="표준 6 2 4 27 2 3 2" xfId="21679"/>
    <cellStyle name="표준 6 2 4 27 2 3 2 2" xfId="47031"/>
    <cellStyle name="표준 6 2 4 27 2 3 3" xfId="34359"/>
    <cellStyle name="표준 6 2 4 27 2 4" xfId="15343"/>
    <cellStyle name="표준 6 2 4 27 2 4 2" xfId="40695"/>
    <cellStyle name="표준 6 2 4 27 2 5" xfId="28023"/>
    <cellStyle name="표준 6 2 4 27 2 6" xfId="55975"/>
    <cellStyle name="표준 6 2 4 27 3" xfId="5824"/>
    <cellStyle name="표준 6 2 4 27 3 2" xfId="12160"/>
    <cellStyle name="표준 6 2 4 27 3 2 2" xfId="24833"/>
    <cellStyle name="표준 6 2 4 27 3 2 2 2" xfId="50185"/>
    <cellStyle name="표준 6 2 4 27 3 2 3" xfId="37513"/>
    <cellStyle name="표준 6 2 4 27 3 3" xfId="18497"/>
    <cellStyle name="표준 6 2 4 27 3 3 2" xfId="43849"/>
    <cellStyle name="표준 6 2 4 27 3 4" xfId="31177"/>
    <cellStyle name="표준 6 2 4 27 3 5" xfId="55976"/>
    <cellStyle name="표준 6 2 4 27 4" xfId="9005"/>
    <cellStyle name="표준 6 2 4 27 4 2" xfId="21678"/>
    <cellStyle name="표준 6 2 4 27 4 2 2" xfId="47030"/>
    <cellStyle name="표준 6 2 4 27 4 3" xfId="34358"/>
    <cellStyle name="표준 6 2 4 27 5" xfId="15342"/>
    <cellStyle name="표준 6 2 4 27 5 2" xfId="40694"/>
    <cellStyle name="표준 6 2 4 27 6" xfId="28022"/>
    <cellStyle name="표준 6 2 4 27 7" xfId="55977"/>
    <cellStyle name="표준 6 2 4 28" xfId="2670"/>
    <cellStyle name="표준 6 2 4 28 2" xfId="2671"/>
    <cellStyle name="표준 6 2 4 28 2 2" xfId="5825"/>
    <cellStyle name="표준 6 2 4 28 2 2 2" xfId="12161"/>
    <cellStyle name="표준 6 2 4 28 2 2 2 2" xfId="24834"/>
    <cellStyle name="표준 6 2 4 28 2 2 2 2 2" xfId="50186"/>
    <cellStyle name="표준 6 2 4 28 2 2 2 3" xfId="37514"/>
    <cellStyle name="표준 6 2 4 28 2 2 3" xfId="18498"/>
    <cellStyle name="표준 6 2 4 28 2 2 3 2" xfId="43850"/>
    <cellStyle name="표준 6 2 4 28 2 2 4" xfId="31178"/>
    <cellStyle name="표준 6 2 4 28 2 2 5" xfId="55978"/>
    <cellStyle name="표준 6 2 4 28 2 3" xfId="9008"/>
    <cellStyle name="표준 6 2 4 28 2 3 2" xfId="21681"/>
    <cellStyle name="표준 6 2 4 28 2 3 2 2" xfId="47033"/>
    <cellStyle name="표준 6 2 4 28 2 3 3" xfId="34361"/>
    <cellStyle name="표준 6 2 4 28 2 4" xfId="15345"/>
    <cellStyle name="표준 6 2 4 28 2 4 2" xfId="40697"/>
    <cellStyle name="표준 6 2 4 28 2 5" xfId="28025"/>
    <cellStyle name="표준 6 2 4 28 2 6" xfId="55979"/>
    <cellStyle name="표준 6 2 4 28 3" xfId="5826"/>
    <cellStyle name="표준 6 2 4 28 3 2" xfId="12162"/>
    <cellStyle name="표준 6 2 4 28 3 2 2" xfId="24835"/>
    <cellStyle name="표준 6 2 4 28 3 2 2 2" xfId="50187"/>
    <cellStyle name="표준 6 2 4 28 3 2 3" xfId="37515"/>
    <cellStyle name="표준 6 2 4 28 3 3" xfId="18499"/>
    <cellStyle name="표준 6 2 4 28 3 3 2" xfId="43851"/>
    <cellStyle name="표준 6 2 4 28 3 4" xfId="31179"/>
    <cellStyle name="표준 6 2 4 28 3 5" xfId="55980"/>
    <cellStyle name="표준 6 2 4 28 4" xfId="9007"/>
    <cellStyle name="표준 6 2 4 28 4 2" xfId="21680"/>
    <cellStyle name="표준 6 2 4 28 4 2 2" xfId="47032"/>
    <cellStyle name="표준 6 2 4 28 4 3" xfId="34360"/>
    <cellStyle name="표준 6 2 4 28 5" xfId="15344"/>
    <cellStyle name="표준 6 2 4 28 5 2" xfId="40696"/>
    <cellStyle name="표준 6 2 4 28 6" xfId="28024"/>
    <cellStyle name="표준 6 2 4 28 7" xfId="55981"/>
    <cellStyle name="표준 6 2 4 29" xfId="2672"/>
    <cellStyle name="표준 6 2 4 29 2" xfId="2673"/>
    <cellStyle name="표준 6 2 4 29 2 2" xfId="5827"/>
    <cellStyle name="표준 6 2 4 29 2 2 2" xfId="12163"/>
    <cellStyle name="표준 6 2 4 29 2 2 2 2" xfId="24836"/>
    <cellStyle name="표준 6 2 4 29 2 2 2 2 2" xfId="50188"/>
    <cellStyle name="표준 6 2 4 29 2 2 2 3" xfId="37516"/>
    <cellStyle name="표준 6 2 4 29 2 2 3" xfId="18500"/>
    <cellStyle name="표준 6 2 4 29 2 2 3 2" xfId="43852"/>
    <cellStyle name="표준 6 2 4 29 2 2 4" xfId="31180"/>
    <cellStyle name="표준 6 2 4 29 2 2 5" xfId="55982"/>
    <cellStyle name="표준 6 2 4 29 2 3" xfId="9010"/>
    <cellStyle name="표준 6 2 4 29 2 3 2" xfId="21683"/>
    <cellStyle name="표준 6 2 4 29 2 3 2 2" xfId="47035"/>
    <cellStyle name="표준 6 2 4 29 2 3 3" xfId="34363"/>
    <cellStyle name="표준 6 2 4 29 2 4" xfId="15347"/>
    <cellStyle name="표준 6 2 4 29 2 4 2" xfId="40699"/>
    <cellStyle name="표준 6 2 4 29 2 5" xfId="28027"/>
    <cellStyle name="표준 6 2 4 29 2 6" xfId="55983"/>
    <cellStyle name="표준 6 2 4 29 3" xfId="5828"/>
    <cellStyle name="표준 6 2 4 29 3 2" xfId="12164"/>
    <cellStyle name="표준 6 2 4 29 3 2 2" xfId="24837"/>
    <cellStyle name="표준 6 2 4 29 3 2 2 2" xfId="50189"/>
    <cellStyle name="표준 6 2 4 29 3 2 3" xfId="37517"/>
    <cellStyle name="표준 6 2 4 29 3 3" xfId="18501"/>
    <cellStyle name="표준 6 2 4 29 3 3 2" xfId="43853"/>
    <cellStyle name="표준 6 2 4 29 3 4" xfId="31181"/>
    <cellStyle name="표준 6 2 4 29 3 5" xfId="55984"/>
    <cellStyle name="표준 6 2 4 29 4" xfId="9009"/>
    <cellStyle name="표준 6 2 4 29 4 2" xfId="21682"/>
    <cellStyle name="표준 6 2 4 29 4 2 2" xfId="47034"/>
    <cellStyle name="표준 6 2 4 29 4 3" xfId="34362"/>
    <cellStyle name="표준 6 2 4 29 5" xfId="15346"/>
    <cellStyle name="표준 6 2 4 29 5 2" xfId="40698"/>
    <cellStyle name="표준 6 2 4 29 6" xfId="28026"/>
    <cellStyle name="표준 6 2 4 29 7" xfId="55985"/>
    <cellStyle name="표준 6 2 4 3" xfId="2674"/>
    <cellStyle name="표준 6 2 4 3 2" xfId="2675"/>
    <cellStyle name="표준 6 2 4 3 2 2" xfId="5829"/>
    <cellStyle name="표준 6 2 4 3 2 2 2" xfId="12165"/>
    <cellStyle name="표준 6 2 4 3 2 2 2 2" xfId="24838"/>
    <cellStyle name="표준 6 2 4 3 2 2 2 2 2" xfId="50190"/>
    <cellStyle name="표준 6 2 4 3 2 2 2 3" xfId="37518"/>
    <cellStyle name="표준 6 2 4 3 2 2 3" xfId="18502"/>
    <cellStyle name="표준 6 2 4 3 2 2 3 2" xfId="43854"/>
    <cellStyle name="표준 6 2 4 3 2 2 4" xfId="31182"/>
    <cellStyle name="표준 6 2 4 3 2 2 5" xfId="55986"/>
    <cellStyle name="표준 6 2 4 3 2 3" xfId="9012"/>
    <cellStyle name="표준 6 2 4 3 2 3 2" xfId="21685"/>
    <cellStyle name="표준 6 2 4 3 2 3 2 2" xfId="47037"/>
    <cellStyle name="표준 6 2 4 3 2 3 3" xfId="34365"/>
    <cellStyle name="표준 6 2 4 3 2 4" xfId="15349"/>
    <cellStyle name="표준 6 2 4 3 2 4 2" xfId="40701"/>
    <cellStyle name="표준 6 2 4 3 2 5" xfId="28029"/>
    <cellStyle name="표준 6 2 4 3 2 6" xfId="55987"/>
    <cellStyle name="표준 6 2 4 3 3" xfId="5830"/>
    <cellStyle name="표준 6 2 4 3 3 2" xfId="12166"/>
    <cellStyle name="표준 6 2 4 3 3 2 2" xfId="24839"/>
    <cellStyle name="표준 6 2 4 3 3 2 2 2" xfId="50191"/>
    <cellStyle name="표준 6 2 4 3 3 2 3" xfId="37519"/>
    <cellStyle name="표준 6 2 4 3 3 3" xfId="18503"/>
    <cellStyle name="표준 6 2 4 3 3 3 2" xfId="43855"/>
    <cellStyle name="표준 6 2 4 3 3 4" xfId="31183"/>
    <cellStyle name="표준 6 2 4 3 3 5" xfId="55988"/>
    <cellStyle name="표준 6 2 4 3 4" xfId="9011"/>
    <cellStyle name="표준 6 2 4 3 4 2" xfId="21684"/>
    <cellStyle name="표준 6 2 4 3 4 2 2" xfId="47036"/>
    <cellStyle name="표준 6 2 4 3 4 3" xfId="34364"/>
    <cellStyle name="표준 6 2 4 3 5" xfId="15348"/>
    <cellStyle name="표준 6 2 4 3 5 2" xfId="40700"/>
    <cellStyle name="표준 6 2 4 3 6" xfId="28028"/>
    <cellStyle name="표준 6 2 4 3 7" xfId="55989"/>
    <cellStyle name="표준 6 2 4 30" xfId="2676"/>
    <cellStyle name="표준 6 2 4 30 2" xfId="2677"/>
    <cellStyle name="표준 6 2 4 30 2 2" xfId="5831"/>
    <cellStyle name="표준 6 2 4 30 2 2 2" xfId="12167"/>
    <cellStyle name="표준 6 2 4 30 2 2 2 2" xfId="24840"/>
    <cellStyle name="표준 6 2 4 30 2 2 2 2 2" xfId="50192"/>
    <cellStyle name="표준 6 2 4 30 2 2 2 3" xfId="37520"/>
    <cellStyle name="표준 6 2 4 30 2 2 3" xfId="18504"/>
    <cellStyle name="표준 6 2 4 30 2 2 3 2" xfId="43856"/>
    <cellStyle name="표준 6 2 4 30 2 2 4" xfId="31184"/>
    <cellStyle name="표준 6 2 4 30 2 2 5" xfId="55990"/>
    <cellStyle name="표준 6 2 4 30 2 3" xfId="9014"/>
    <cellStyle name="표준 6 2 4 30 2 3 2" xfId="21687"/>
    <cellStyle name="표준 6 2 4 30 2 3 2 2" xfId="47039"/>
    <cellStyle name="표준 6 2 4 30 2 3 3" xfId="34367"/>
    <cellStyle name="표준 6 2 4 30 2 4" xfId="15351"/>
    <cellStyle name="표준 6 2 4 30 2 4 2" xfId="40703"/>
    <cellStyle name="표준 6 2 4 30 2 5" xfId="28031"/>
    <cellStyle name="표준 6 2 4 30 2 6" xfId="55991"/>
    <cellStyle name="표준 6 2 4 30 3" xfId="5832"/>
    <cellStyle name="표준 6 2 4 30 3 2" xfId="12168"/>
    <cellStyle name="표준 6 2 4 30 3 2 2" xfId="24841"/>
    <cellStyle name="표준 6 2 4 30 3 2 2 2" xfId="50193"/>
    <cellStyle name="표준 6 2 4 30 3 2 3" xfId="37521"/>
    <cellStyle name="표준 6 2 4 30 3 3" xfId="18505"/>
    <cellStyle name="표준 6 2 4 30 3 3 2" xfId="43857"/>
    <cellStyle name="표준 6 2 4 30 3 4" xfId="31185"/>
    <cellStyle name="표준 6 2 4 30 3 5" xfId="55992"/>
    <cellStyle name="표준 6 2 4 30 4" xfId="9013"/>
    <cellStyle name="표준 6 2 4 30 4 2" xfId="21686"/>
    <cellStyle name="표준 6 2 4 30 4 2 2" xfId="47038"/>
    <cellStyle name="표준 6 2 4 30 4 3" xfId="34366"/>
    <cellStyle name="표준 6 2 4 30 5" xfId="15350"/>
    <cellStyle name="표준 6 2 4 30 5 2" xfId="40702"/>
    <cellStyle name="표준 6 2 4 30 6" xfId="28030"/>
    <cellStyle name="표준 6 2 4 30 7" xfId="55993"/>
    <cellStyle name="표준 6 2 4 31" xfId="2678"/>
    <cellStyle name="표준 6 2 4 31 2" xfId="2679"/>
    <cellStyle name="표준 6 2 4 31 2 2" xfId="5833"/>
    <cellStyle name="표준 6 2 4 31 2 2 2" xfId="12169"/>
    <cellStyle name="표준 6 2 4 31 2 2 2 2" xfId="24842"/>
    <cellStyle name="표준 6 2 4 31 2 2 2 2 2" xfId="50194"/>
    <cellStyle name="표준 6 2 4 31 2 2 2 3" xfId="37522"/>
    <cellStyle name="표준 6 2 4 31 2 2 3" xfId="18506"/>
    <cellStyle name="표준 6 2 4 31 2 2 3 2" xfId="43858"/>
    <cellStyle name="표준 6 2 4 31 2 2 4" xfId="31186"/>
    <cellStyle name="표준 6 2 4 31 2 2 5" xfId="55994"/>
    <cellStyle name="표준 6 2 4 31 2 3" xfId="9016"/>
    <cellStyle name="표준 6 2 4 31 2 3 2" xfId="21689"/>
    <cellStyle name="표준 6 2 4 31 2 3 2 2" xfId="47041"/>
    <cellStyle name="표준 6 2 4 31 2 3 3" xfId="34369"/>
    <cellStyle name="표준 6 2 4 31 2 4" xfId="15353"/>
    <cellStyle name="표준 6 2 4 31 2 4 2" xfId="40705"/>
    <cellStyle name="표준 6 2 4 31 2 5" xfId="28033"/>
    <cellStyle name="표준 6 2 4 31 2 6" xfId="55995"/>
    <cellStyle name="표준 6 2 4 31 3" xfId="5834"/>
    <cellStyle name="표준 6 2 4 31 3 2" xfId="12170"/>
    <cellStyle name="표준 6 2 4 31 3 2 2" xfId="24843"/>
    <cellStyle name="표준 6 2 4 31 3 2 2 2" xfId="50195"/>
    <cellStyle name="표준 6 2 4 31 3 2 3" xfId="37523"/>
    <cellStyle name="표준 6 2 4 31 3 3" xfId="18507"/>
    <cellStyle name="표준 6 2 4 31 3 3 2" xfId="43859"/>
    <cellStyle name="표준 6 2 4 31 3 4" xfId="31187"/>
    <cellStyle name="표준 6 2 4 31 3 5" xfId="55996"/>
    <cellStyle name="표준 6 2 4 31 4" xfId="9015"/>
    <cellStyle name="표준 6 2 4 31 4 2" xfId="21688"/>
    <cellStyle name="표준 6 2 4 31 4 2 2" xfId="47040"/>
    <cellStyle name="표준 6 2 4 31 4 3" xfId="34368"/>
    <cellStyle name="표준 6 2 4 31 5" xfId="15352"/>
    <cellStyle name="표준 6 2 4 31 5 2" xfId="40704"/>
    <cellStyle name="표준 6 2 4 31 6" xfId="28032"/>
    <cellStyle name="표준 6 2 4 31 7" xfId="55997"/>
    <cellStyle name="표준 6 2 4 32" xfId="2680"/>
    <cellStyle name="표준 6 2 4 32 2" xfId="2681"/>
    <cellStyle name="표준 6 2 4 32 2 2" xfId="5835"/>
    <cellStyle name="표준 6 2 4 32 2 2 2" xfId="12171"/>
    <cellStyle name="표준 6 2 4 32 2 2 2 2" xfId="24844"/>
    <cellStyle name="표준 6 2 4 32 2 2 2 2 2" xfId="50196"/>
    <cellStyle name="표준 6 2 4 32 2 2 2 3" xfId="37524"/>
    <cellStyle name="표준 6 2 4 32 2 2 3" xfId="18508"/>
    <cellStyle name="표준 6 2 4 32 2 2 3 2" xfId="43860"/>
    <cellStyle name="표준 6 2 4 32 2 2 4" xfId="31188"/>
    <cellStyle name="표준 6 2 4 32 2 2 5" xfId="55998"/>
    <cellStyle name="표준 6 2 4 32 2 3" xfId="9018"/>
    <cellStyle name="표준 6 2 4 32 2 3 2" xfId="21691"/>
    <cellStyle name="표준 6 2 4 32 2 3 2 2" xfId="47043"/>
    <cellStyle name="표준 6 2 4 32 2 3 3" xfId="34371"/>
    <cellStyle name="표준 6 2 4 32 2 4" xfId="15355"/>
    <cellStyle name="표준 6 2 4 32 2 4 2" xfId="40707"/>
    <cellStyle name="표준 6 2 4 32 2 5" xfId="28035"/>
    <cellStyle name="표준 6 2 4 32 2 6" xfId="55999"/>
    <cellStyle name="표준 6 2 4 32 3" xfId="5836"/>
    <cellStyle name="표준 6 2 4 32 3 2" xfId="12172"/>
    <cellStyle name="표준 6 2 4 32 3 2 2" xfId="24845"/>
    <cellStyle name="표준 6 2 4 32 3 2 2 2" xfId="50197"/>
    <cellStyle name="표준 6 2 4 32 3 2 3" xfId="37525"/>
    <cellStyle name="표준 6 2 4 32 3 3" xfId="18509"/>
    <cellStyle name="표준 6 2 4 32 3 3 2" xfId="43861"/>
    <cellStyle name="표준 6 2 4 32 3 4" xfId="31189"/>
    <cellStyle name="표준 6 2 4 32 3 5" xfId="56000"/>
    <cellStyle name="표준 6 2 4 32 4" xfId="9017"/>
    <cellStyle name="표준 6 2 4 32 4 2" xfId="21690"/>
    <cellStyle name="표준 6 2 4 32 4 2 2" xfId="47042"/>
    <cellStyle name="표준 6 2 4 32 4 3" xfId="34370"/>
    <cellStyle name="표준 6 2 4 32 5" xfId="15354"/>
    <cellStyle name="표준 6 2 4 32 5 2" xfId="40706"/>
    <cellStyle name="표준 6 2 4 32 6" xfId="28034"/>
    <cellStyle name="표준 6 2 4 32 7" xfId="56001"/>
    <cellStyle name="표준 6 2 4 33" xfId="2682"/>
    <cellStyle name="표준 6 2 4 33 2" xfId="2683"/>
    <cellStyle name="표준 6 2 4 33 2 2" xfId="5837"/>
    <cellStyle name="표준 6 2 4 33 2 2 2" xfId="12173"/>
    <cellStyle name="표준 6 2 4 33 2 2 2 2" xfId="24846"/>
    <cellStyle name="표준 6 2 4 33 2 2 2 2 2" xfId="50198"/>
    <cellStyle name="표준 6 2 4 33 2 2 2 3" xfId="37526"/>
    <cellStyle name="표준 6 2 4 33 2 2 3" xfId="18510"/>
    <cellStyle name="표준 6 2 4 33 2 2 3 2" xfId="43862"/>
    <cellStyle name="표준 6 2 4 33 2 2 4" xfId="31190"/>
    <cellStyle name="표준 6 2 4 33 2 2 5" xfId="56002"/>
    <cellStyle name="표준 6 2 4 33 2 3" xfId="9020"/>
    <cellStyle name="표준 6 2 4 33 2 3 2" xfId="21693"/>
    <cellStyle name="표준 6 2 4 33 2 3 2 2" xfId="47045"/>
    <cellStyle name="표준 6 2 4 33 2 3 3" xfId="34373"/>
    <cellStyle name="표준 6 2 4 33 2 4" xfId="15357"/>
    <cellStyle name="표준 6 2 4 33 2 4 2" xfId="40709"/>
    <cellStyle name="표준 6 2 4 33 2 5" xfId="28037"/>
    <cellStyle name="표준 6 2 4 33 2 6" xfId="56003"/>
    <cellStyle name="표준 6 2 4 33 3" xfId="5838"/>
    <cellStyle name="표준 6 2 4 33 3 2" xfId="12174"/>
    <cellStyle name="표준 6 2 4 33 3 2 2" xfId="24847"/>
    <cellStyle name="표준 6 2 4 33 3 2 2 2" xfId="50199"/>
    <cellStyle name="표준 6 2 4 33 3 2 3" xfId="37527"/>
    <cellStyle name="표준 6 2 4 33 3 3" xfId="18511"/>
    <cellStyle name="표준 6 2 4 33 3 3 2" xfId="43863"/>
    <cellStyle name="표준 6 2 4 33 3 4" xfId="31191"/>
    <cellStyle name="표준 6 2 4 33 3 5" xfId="56004"/>
    <cellStyle name="표준 6 2 4 33 4" xfId="9019"/>
    <cellStyle name="표준 6 2 4 33 4 2" xfId="21692"/>
    <cellStyle name="표준 6 2 4 33 4 2 2" xfId="47044"/>
    <cellStyle name="표준 6 2 4 33 4 3" xfId="34372"/>
    <cellStyle name="표준 6 2 4 33 5" xfId="15356"/>
    <cellStyle name="표준 6 2 4 33 5 2" xfId="40708"/>
    <cellStyle name="표준 6 2 4 33 6" xfId="28036"/>
    <cellStyle name="표준 6 2 4 33 7" xfId="56005"/>
    <cellStyle name="표준 6 2 4 34" xfId="2684"/>
    <cellStyle name="표준 6 2 4 34 2" xfId="5839"/>
    <cellStyle name="표준 6 2 4 34 2 2" xfId="12175"/>
    <cellStyle name="표준 6 2 4 34 2 2 2" xfId="24848"/>
    <cellStyle name="표준 6 2 4 34 2 2 2 2" xfId="50200"/>
    <cellStyle name="표준 6 2 4 34 2 2 3" xfId="37528"/>
    <cellStyle name="표준 6 2 4 34 2 3" xfId="18512"/>
    <cellStyle name="표준 6 2 4 34 2 3 2" xfId="43864"/>
    <cellStyle name="표준 6 2 4 34 2 4" xfId="31192"/>
    <cellStyle name="표준 6 2 4 34 2 5" xfId="56006"/>
    <cellStyle name="표준 6 2 4 34 3" xfId="9021"/>
    <cellStyle name="표준 6 2 4 34 3 2" xfId="21694"/>
    <cellStyle name="표준 6 2 4 34 3 2 2" xfId="47046"/>
    <cellStyle name="표준 6 2 4 34 3 3" xfId="34374"/>
    <cellStyle name="표준 6 2 4 34 4" xfId="15358"/>
    <cellStyle name="표준 6 2 4 34 4 2" xfId="40710"/>
    <cellStyle name="표준 6 2 4 34 5" xfId="28038"/>
    <cellStyle name="표준 6 2 4 34 6" xfId="56007"/>
    <cellStyle name="표준 6 2 4 35" xfId="5840"/>
    <cellStyle name="표준 6 2 4 35 2" xfId="12176"/>
    <cellStyle name="표준 6 2 4 35 2 2" xfId="24849"/>
    <cellStyle name="표준 6 2 4 35 2 2 2" xfId="50201"/>
    <cellStyle name="표준 6 2 4 35 2 3" xfId="37529"/>
    <cellStyle name="표준 6 2 4 35 3" xfId="18513"/>
    <cellStyle name="표준 6 2 4 35 3 2" xfId="43865"/>
    <cellStyle name="표준 6 2 4 35 4" xfId="31193"/>
    <cellStyle name="표준 6 2 4 35 5" xfId="56008"/>
    <cellStyle name="표준 6 2 4 36" xfId="6433"/>
    <cellStyle name="표준 6 2 4 36 2" xfId="19106"/>
    <cellStyle name="표준 6 2 4 36 2 2" xfId="44458"/>
    <cellStyle name="표준 6 2 4 36 3" xfId="31786"/>
    <cellStyle name="표준 6 2 4 37" xfId="12770"/>
    <cellStyle name="표준 6 2 4 37 2" xfId="38122"/>
    <cellStyle name="표준 6 2 4 38" xfId="25450"/>
    <cellStyle name="표준 6 2 4 39" xfId="56009"/>
    <cellStyle name="표준 6 2 4 4" xfId="2685"/>
    <cellStyle name="표준 6 2 4 4 2" xfId="2686"/>
    <cellStyle name="표준 6 2 4 4 2 2" xfId="5841"/>
    <cellStyle name="표준 6 2 4 4 2 2 2" xfId="12177"/>
    <cellStyle name="표준 6 2 4 4 2 2 2 2" xfId="24850"/>
    <cellStyle name="표준 6 2 4 4 2 2 2 2 2" xfId="50202"/>
    <cellStyle name="표준 6 2 4 4 2 2 2 3" xfId="37530"/>
    <cellStyle name="표준 6 2 4 4 2 2 3" xfId="18514"/>
    <cellStyle name="표준 6 2 4 4 2 2 3 2" xfId="43866"/>
    <cellStyle name="표준 6 2 4 4 2 2 4" xfId="31194"/>
    <cellStyle name="표준 6 2 4 4 2 2 5" xfId="56010"/>
    <cellStyle name="표준 6 2 4 4 2 3" xfId="9023"/>
    <cellStyle name="표준 6 2 4 4 2 3 2" xfId="21696"/>
    <cellStyle name="표준 6 2 4 4 2 3 2 2" xfId="47048"/>
    <cellStyle name="표준 6 2 4 4 2 3 3" xfId="34376"/>
    <cellStyle name="표준 6 2 4 4 2 4" xfId="15360"/>
    <cellStyle name="표준 6 2 4 4 2 4 2" xfId="40712"/>
    <cellStyle name="표준 6 2 4 4 2 5" xfId="28040"/>
    <cellStyle name="표준 6 2 4 4 2 6" xfId="56011"/>
    <cellStyle name="표준 6 2 4 4 3" xfId="5842"/>
    <cellStyle name="표준 6 2 4 4 3 2" xfId="12178"/>
    <cellStyle name="표준 6 2 4 4 3 2 2" xfId="24851"/>
    <cellStyle name="표준 6 2 4 4 3 2 2 2" xfId="50203"/>
    <cellStyle name="표준 6 2 4 4 3 2 3" xfId="37531"/>
    <cellStyle name="표준 6 2 4 4 3 3" xfId="18515"/>
    <cellStyle name="표준 6 2 4 4 3 3 2" xfId="43867"/>
    <cellStyle name="표준 6 2 4 4 3 4" xfId="31195"/>
    <cellStyle name="표준 6 2 4 4 3 5" xfId="56012"/>
    <cellStyle name="표준 6 2 4 4 4" xfId="9022"/>
    <cellStyle name="표준 6 2 4 4 4 2" xfId="21695"/>
    <cellStyle name="표준 6 2 4 4 4 2 2" xfId="47047"/>
    <cellStyle name="표준 6 2 4 4 4 3" xfId="34375"/>
    <cellStyle name="표준 6 2 4 4 5" xfId="15359"/>
    <cellStyle name="표준 6 2 4 4 5 2" xfId="40711"/>
    <cellStyle name="표준 6 2 4 4 6" xfId="28039"/>
    <cellStyle name="표준 6 2 4 4 7" xfId="56013"/>
    <cellStyle name="표준 6 2 4 5" xfId="2687"/>
    <cellStyle name="표준 6 2 4 5 2" xfId="2688"/>
    <cellStyle name="표준 6 2 4 5 2 2" xfId="5843"/>
    <cellStyle name="표준 6 2 4 5 2 2 2" xfId="12179"/>
    <cellStyle name="표준 6 2 4 5 2 2 2 2" xfId="24852"/>
    <cellStyle name="표준 6 2 4 5 2 2 2 2 2" xfId="50204"/>
    <cellStyle name="표준 6 2 4 5 2 2 2 3" xfId="37532"/>
    <cellStyle name="표준 6 2 4 5 2 2 3" xfId="18516"/>
    <cellStyle name="표준 6 2 4 5 2 2 3 2" xfId="43868"/>
    <cellStyle name="표준 6 2 4 5 2 2 4" xfId="31196"/>
    <cellStyle name="표준 6 2 4 5 2 2 5" xfId="56014"/>
    <cellStyle name="표준 6 2 4 5 2 3" xfId="9025"/>
    <cellStyle name="표준 6 2 4 5 2 3 2" xfId="21698"/>
    <cellStyle name="표준 6 2 4 5 2 3 2 2" xfId="47050"/>
    <cellStyle name="표준 6 2 4 5 2 3 3" xfId="34378"/>
    <cellStyle name="표준 6 2 4 5 2 4" xfId="15362"/>
    <cellStyle name="표준 6 2 4 5 2 4 2" xfId="40714"/>
    <cellStyle name="표준 6 2 4 5 2 5" xfId="28042"/>
    <cellStyle name="표준 6 2 4 5 2 6" xfId="56015"/>
    <cellStyle name="표준 6 2 4 5 3" xfId="5844"/>
    <cellStyle name="표준 6 2 4 5 3 2" xfId="12180"/>
    <cellStyle name="표준 6 2 4 5 3 2 2" xfId="24853"/>
    <cellStyle name="표준 6 2 4 5 3 2 2 2" xfId="50205"/>
    <cellStyle name="표준 6 2 4 5 3 2 3" xfId="37533"/>
    <cellStyle name="표준 6 2 4 5 3 3" xfId="18517"/>
    <cellStyle name="표준 6 2 4 5 3 3 2" xfId="43869"/>
    <cellStyle name="표준 6 2 4 5 3 4" xfId="31197"/>
    <cellStyle name="표준 6 2 4 5 3 5" xfId="56016"/>
    <cellStyle name="표준 6 2 4 5 4" xfId="9024"/>
    <cellStyle name="표준 6 2 4 5 4 2" xfId="21697"/>
    <cellStyle name="표준 6 2 4 5 4 2 2" xfId="47049"/>
    <cellStyle name="표준 6 2 4 5 4 3" xfId="34377"/>
    <cellStyle name="표준 6 2 4 5 5" xfId="15361"/>
    <cellStyle name="표준 6 2 4 5 5 2" xfId="40713"/>
    <cellStyle name="표준 6 2 4 5 6" xfId="28041"/>
    <cellStyle name="표준 6 2 4 5 7" xfId="56017"/>
    <cellStyle name="표준 6 2 4 6" xfId="2689"/>
    <cellStyle name="표준 6 2 4 6 2" xfId="2690"/>
    <cellStyle name="표준 6 2 4 6 2 2" xfId="5845"/>
    <cellStyle name="표준 6 2 4 6 2 2 2" xfId="12181"/>
    <cellStyle name="표준 6 2 4 6 2 2 2 2" xfId="24854"/>
    <cellStyle name="표준 6 2 4 6 2 2 2 2 2" xfId="50206"/>
    <cellStyle name="표준 6 2 4 6 2 2 2 3" xfId="37534"/>
    <cellStyle name="표준 6 2 4 6 2 2 3" xfId="18518"/>
    <cellStyle name="표준 6 2 4 6 2 2 3 2" xfId="43870"/>
    <cellStyle name="표준 6 2 4 6 2 2 4" xfId="31198"/>
    <cellStyle name="표준 6 2 4 6 2 2 5" xfId="56018"/>
    <cellStyle name="표준 6 2 4 6 2 3" xfId="9027"/>
    <cellStyle name="표준 6 2 4 6 2 3 2" xfId="21700"/>
    <cellStyle name="표준 6 2 4 6 2 3 2 2" xfId="47052"/>
    <cellStyle name="표준 6 2 4 6 2 3 3" xfId="34380"/>
    <cellStyle name="표준 6 2 4 6 2 4" xfId="15364"/>
    <cellStyle name="표준 6 2 4 6 2 4 2" xfId="40716"/>
    <cellStyle name="표준 6 2 4 6 2 5" xfId="28044"/>
    <cellStyle name="표준 6 2 4 6 2 6" xfId="56019"/>
    <cellStyle name="표준 6 2 4 6 3" xfId="5846"/>
    <cellStyle name="표준 6 2 4 6 3 2" xfId="12182"/>
    <cellStyle name="표준 6 2 4 6 3 2 2" xfId="24855"/>
    <cellStyle name="표준 6 2 4 6 3 2 2 2" xfId="50207"/>
    <cellStyle name="표준 6 2 4 6 3 2 3" xfId="37535"/>
    <cellStyle name="표준 6 2 4 6 3 3" xfId="18519"/>
    <cellStyle name="표준 6 2 4 6 3 3 2" xfId="43871"/>
    <cellStyle name="표준 6 2 4 6 3 4" xfId="31199"/>
    <cellStyle name="표준 6 2 4 6 3 5" xfId="56020"/>
    <cellStyle name="표준 6 2 4 6 4" xfId="9026"/>
    <cellStyle name="표준 6 2 4 6 4 2" xfId="21699"/>
    <cellStyle name="표준 6 2 4 6 4 2 2" xfId="47051"/>
    <cellStyle name="표준 6 2 4 6 4 3" xfId="34379"/>
    <cellStyle name="표준 6 2 4 6 5" xfId="15363"/>
    <cellStyle name="표준 6 2 4 6 5 2" xfId="40715"/>
    <cellStyle name="표준 6 2 4 6 6" xfId="28043"/>
    <cellStyle name="표준 6 2 4 6 7" xfId="56021"/>
    <cellStyle name="표준 6 2 4 7" xfId="2691"/>
    <cellStyle name="표준 6 2 4 7 2" xfId="2692"/>
    <cellStyle name="표준 6 2 4 7 2 2" xfId="5847"/>
    <cellStyle name="표준 6 2 4 7 2 2 2" xfId="12183"/>
    <cellStyle name="표준 6 2 4 7 2 2 2 2" xfId="24856"/>
    <cellStyle name="표준 6 2 4 7 2 2 2 2 2" xfId="50208"/>
    <cellStyle name="표준 6 2 4 7 2 2 2 3" xfId="37536"/>
    <cellStyle name="표준 6 2 4 7 2 2 3" xfId="18520"/>
    <cellStyle name="표준 6 2 4 7 2 2 3 2" xfId="43872"/>
    <cellStyle name="표준 6 2 4 7 2 2 4" xfId="31200"/>
    <cellStyle name="표준 6 2 4 7 2 2 5" xfId="56022"/>
    <cellStyle name="표준 6 2 4 7 2 3" xfId="9029"/>
    <cellStyle name="표준 6 2 4 7 2 3 2" xfId="21702"/>
    <cellStyle name="표준 6 2 4 7 2 3 2 2" xfId="47054"/>
    <cellStyle name="표준 6 2 4 7 2 3 3" xfId="34382"/>
    <cellStyle name="표준 6 2 4 7 2 4" xfId="15366"/>
    <cellStyle name="표준 6 2 4 7 2 4 2" xfId="40718"/>
    <cellStyle name="표준 6 2 4 7 2 5" xfId="28046"/>
    <cellStyle name="표준 6 2 4 7 2 6" xfId="56023"/>
    <cellStyle name="표준 6 2 4 7 3" xfId="5848"/>
    <cellStyle name="표준 6 2 4 7 3 2" xfId="12184"/>
    <cellStyle name="표준 6 2 4 7 3 2 2" xfId="24857"/>
    <cellStyle name="표준 6 2 4 7 3 2 2 2" xfId="50209"/>
    <cellStyle name="표준 6 2 4 7 3 2 3" xfId="37537"/>
    <cellStyle name="표준 6 2 4 7 3 3" xfId="18521"/>
    <cellStyle name="표준 6 2 4 7 3 3 2" xfId="43873"/>
    <cellStyle name="표준 6 2 4 7 3 4" xfId="31201"/>
    <cellStyle name="표준 6 2 4 7 3 5" xfId="56024"/>
    <cellStyle name="표준 6 2 4 7 4" xfId="9028"/>
    <cellStyle name="표준 6 2 4 7 4 2" xfId="21701"/>
    <cellStyle name="표준 6 2 4 7 4 2 2" xfId="47053"/>
    <cellStyle name="표준 6 2 4 7 4 3" xfId="34381"/>
    <cellStyle name="표준 6 2 4 7 5" xfId="15365"/>
    <cellStyle name="표준 6 2 4 7 5 2" xfId="40717"/>
    <cellStyle name="표준 6 2 4 7 6" xfId="28045"/>
    <cellStyle name="표준 6 2 4 7 7" xfId="56025"/>
    <cellStyle name="표준 6 2 4 8" xfId="2693"/>
    <cellStyle name="표준 6 2 4 8 2" xfId="2694"/>
    <cellStyle name="표준 6 2 4 8 2 2" xfId="5849"/>
    <cellStyle name="표준 6 2 4 8 2 2 2" xfId="12185"/>
    <cellStyle name="표준 6 2 4 8 2 2 2 2" xfId="24858"/>
    <cellStyle name="표준 6 2 4 8 2 2 2 2 2" xfId="50210"/>
    <cellStyle name="표준 6 2 4 8 2 2 2 3" xfId="37538"/>
    <cellStyle name="표준 6 2 4 8 2 2 3" xfId="18522"/>
    <cellStyle name="표준 6 2 4 8 2 2 3 2" xfId="43874"/>
    <cellStyle name="표준 6 2 4 8 2 2 4" xfId="31202"/>
    <cellStyle name="표준 6 2 4 8 2 2 5" xfId="56026"/>
    <cellStyle name="표준 6 2 4 8 2 3" xfId="9031"/>
    <cellStyle name="표준 6 2 4 8 2 3 2" xfId="21704"/>
    <cellStyle name="표준 6 2 4 8 2 3 2 2" xfId="47056"/>
    <cellStyle name="표준 6 2 4 8 2 3 3" xfId="34384"/>
    <cellStyle name="표준 6 2 4 8 2 4" xfId="15368"/>
    <cellStyle name="표준 6 2 4 8 2 4 2" xfId="40720"/>
    <cellStyle name="표준 6 2 4 8 2 5" xfId="28048"/>
    <cellStyle name="표준 6 2 4 8 2 6" xfId="56027"/>
    <cellStyle name="표준 6 2 4 8 3" xfId="5850"/>
    <cellStyle name="표준 6 2 4 8 3 2" xfId="12186"/>
    <cellStyle name="표준 6 2 4 8 3 2 2" xfId="24859"/>
    <cellStyle name="표준 6 2 4 8 3 2 2 2" xfId="50211"/>
    <cellStyle name="표준 6 2 4 8 3 2 3" xfId="37539"/>
    <cellStyle name="표준 6 2 4 8 3 3" xfId="18523"/>
    <cellStyle name="표준 6 2 4 8 3 3 2" xfId="43875"/>
    <cellStyle name="표준 6 2 4 8 3 4" xfId="31203"/>
    <cellStyle name="표준 6 2 4 8 3 5" xfId="56028"/>
    <cellStyle name="표준 6 2 4 8 4" xfId="9030"/>
    <cellStyle name="표준 6 2 4 8 4 2" xfId="21703"/>
    <cellStyle name="표준 6 2 4 8 4 2 2" xfId="47055"/>
    <cellStyle name="표준 6 2 4 8 4 3" xfId="34383"/>
    <cellStyle name="표준 6 2 4 8 5" xfId="15367"/>
    <cellStyle name="표준 6 2 4 8 5 2" xfId="40719"/>
    <cellStyle name="표준 6 2 4 8 6" xfId="28047"/>
    <cellStyle name="표준 6 2 4 8 7" xfId="56029"/>
    <cellStyle name="표준 6 2 4 9" xfId="2695"/>
    <cellStyle name="표준 6 2 4 9 2" xfId="2696"/>
    <cellStyle name="표준 6 2 4 9 2 2" xfId="5851"/>
    <cellStyle name="표준 6 2 4 9 2 2 2" xfId="12187"/>
    <cellStyle name="표준 6 2 4 9 2 2 2 2" xfId="24860"/>
    <cellStyle name="표준 6 2 4 9 2 2 2 2 2" xfId="50212"/>
    <cellStyle name="표준 6 2 4 9 2 2 2 3" xfId="37540"/>
    <cellStyle name="표준 6 2 4 9 2 2 3" xfId="18524"/>
    <cellStyle name="표준 6 2 4 9 2 2 3 2" xfId="43876"/>
    <cellStyle name="표준 6 2 4 9 2 2 4" xfId="31204"/>
    <cellStyle name="표준 6 2 4 9 2 2 5" xfId="56030"/>
    <cellStyle name="표준 6 2 4 9 2 3" xfId="9033"/>
    <cellStyle name="표준 6 2 4 9 2 3 2" xfId="21706"/>
    <cellStyle name="표준 6 2 4 9 2 3 2 2" xfId="47058"/>
    <cellStyle name="표준 6 2 4 9 2 3 3" xfId="34386"/>
    <cellStyle name="표준 6 2 4 9 2 4" xfId="15370"/>
    <cellStyle name="표준 6 2 4 9 2 4 2" xfId="40722"/>
    <cellStyle name="표준 6 2 4 9 2 5" xfId="28050"/>
    <cellStyle name="표준 6 2 4 9 2 6" xfId="56031"/>
    <cellStyle name="표준 6 2 4 9 3" xfId="5852"/>
    <cellStyle name="표준 6 2 4 9 3 2" xfId="12188"/>
    <cellStyle name="표준 6 2 4 9 3 2 2" xfId="24861"/>
    <cellStyle name="표준 6 2 4 9 3 2 2 2" xfId="50213"/>
    <cellStyle name="표준 6 2 4 9 3 2 3" xfId="37541"/>
    <cellStyle name="표준 6 2 4 9 3 3" xfId="18525"/>
    <cellStyle name="표준 6 2 4 9 3 3 2" xfId="43877"/>
    <cellStyle name="표준 6 2 4 9 3 4" xfId="31205"/>
    <cellStyle name="표준 6 2 4 9 3 5" xfId="56032"/>
    <cellStyle name="표준 6 2 4 9 4" xfId="9032"/>
    <cellStyle name="표준 6 2 4 9 4 2" xfId="21705"/>
    <cellStyle name="표준 6 2 4 9 4 2 2" xfId="47057"/>
    <cellStyle name="표준 6 2 4 9 4 3" xfId="34385"/>
    <cellStyle name="표준 6 2 4 9 5" xfId="15369"/>
    <cellStyle name="표준 6 2 4 9 5 2" xfId="40721"/>
    <cellStyle name="표준 6 2 4 9 6" xfId="28049"/>
    <cellStyle name="표준 6 2 4 9 7" xfId="56033"/>
    <cellStyle name="표준 6 2 40" xfId="12713"/>
    <cellStyle name="표준 6 2 40 2" xfId="38065"/>
    <cellStyle name="표준 6 2 41" xfId="25393"/>
    <cellStyle name="표준 6 2 42" xfId="56034"/>
    <cellStyle name="표준 6 2 5" xfId="96"/>
    <cellStyle name="표준 6 2 5 2" xfId="2697"/>
    <cellStyle name="표준 6 2 5 2 2" xfId="5853"/>
    <cellStyle name="표준 6 2 5 2 2 2" xfId="12189"/>
    <cellStyle name="표준 6 2 5 2 2 2 2" xfId="24862"/>
    <cellStyle name="표준 6 2 5 2 2 2 2 2" xfId="50214"/>
    <cellStyle name="표준 6 2 5 2 2 2 3" xfId="37542"/>
    <cellStyle name="표준 6 2 5 2 2 3" xfId="18526"/>
    <cellStyle name="표준 6 2 5 2 2 3 2" xfId="43878"/>
    <cellStyle name="표준 6 2 5 2 2 4" xfId="31206"/>
    <cellStyle name="표준 6 2 5 2 2 5" xfId="56035"/>
    <cellStyle name="표준 6 2 5 2 3" xfId="9034"/>
    <cellStyle name="표준 6 2 5 2 3 2" xfId="21707"/>
    <cellStyle name="표준 6 2 5 2 3 2 2" xfId="47059"/>
    <cellStyle name="표준 6 2 5 2 3 3" xfId="34387"/>
    <cellStyle name="표준 6 2 5 2 4" xfId="15371"/>
    <cellStyle name="표준 6 2 5 2 4 2" xfId="40723"/>
    <cellStyle name="표준 6 2 5 2 5" xfId="28051"/>
    <cellStyle name="표준 6 2 5 2 6" xfId="56036"/>
    <cellStyle name="표준 6 2 5 3" xfId="5854"/>
    <cellStyle name="표준 6 2 5 3 2" xfId="12190"/>
    <cellStyle name="표준 6 2 5 3 2 2" xfId="24863"/>
    <cellStyle name="표준 6 2 5 3 2 2 2" xfId="50215"/>
    <cellStyle name="표준 6 2 5 3 2 3" xfId="37543"/>
    <cellStyle name="표준 6 2 5 3 3" xfId="18527"/>
    <cellStyle name="표준 6 2 5 3 3 2" xfId="43879"/>
    <cellStyle name="표준 6 2 5 3 4" xfId="31207"/>
    <cellStyle name="표준 6 2 5 3 5" xfId="56037"/>
    <cellStyle name="표준 6 2 5 4" xfId="6434"/>
    <cellStyle name="표준 6 2 5 4 2" xfId="19107"/>
    <cellStyle name="표준 6 2 5 4 2 2" xfId="44459"/>
    <cellStyle name="표준 6 2 5 4 3" xfId="31787"/>
    <cellStyle name="표준 6 2 5 5" xfId="12771"/>
    <cellStyle name="표준 6 2 5 5 2" xfId="38123"/>
    <cellStyle name="표준 6 2 5 6" xfId="25451"/>
    <cellStyle name="표준 6 2 5 7" xfId="56038"/>
    <cellStyle name="표준 6 2 6" xfId="2698"/>
    <cellStyle name="표준 6 2 6 2" xfId="2699"/>
    <cellStyle name="표준 6 2 6 2 2" xfId="5855"/>
    <cellStyle name="표준 6 2 6 2 2 2" xfId="12191"/>
    <cellStyle name="표준 6 2 6 2 2 2 2" xfId="24864"/>
    <cellStyle name="표준 6 2 6 2 2 2 2 2" xfId="50216"/>
    <cellStyle name="표준 6 2 6 2 2 2 3" xfId="37544"/>
    <cellStyle name="표준 6 2 6 2 2 3" xfId="18528"/>
    <cellStyle name="표준 6 2 6 2 2 3 2" xfId="43880"/>
    <cellStyle name="표준 6 2 6 2 2 4" xfId="31208"/>
    <cellStyle name="표준 6 2 6 2 2 5" xfId="56039"/>
    <cellStyle name="표준 6 2 6 2 3" xfId="9036"/>
    <cellStyle name="표준 6 2 6 2 3 2" xfId="21709"/>
    <cellStyle name="표준 6 2 6 2 3 2 2" xfId="47061"/>
    <cellStyle name="표준 6 2 6 2 3 3" xfId="34389"/>
    <cellStyle name="표준 6 2 6 2 4" xfId="15373"/>
    <cellStyle name="표준 6 2 6 2 4 2" xfId="40725"/>
    <cellStyle name="표준 6 2 6 2 5" xfId="28053"/>
    <cellStyle name="표준 6 2 6 2 6" xfId="56040"/>
    <cellStyle name="표준 6 2 6 3" xfId="5856"/>
    <cellStyle name="표준 6 2 6 3 2" xfId="12192"/>
    <cellStyle name="표준 6 2 6 3 2 2" xfId="24865"/>
    <cellStyle name="표준 6 2 6 3 2 2 2" xfId="50217"/>
    <cellStyle name="표준 6 2 6 3 2 3" xfId="37545"/>
    <cellStyle name="표준 6 2 6 3 3" xfId="18529"/>
    <cellStyle name="표준 6 2 6 3 3 2" xfId="43881"/>
    <cellStyle name="표준 6 2 6 3 4" xfId="31209"/>
    <cellStyle name="표준 6 2 6 3 5" xfId="56041"/>
    <cellStyle name="표준 6 2 6 4" xfId="9035"/>
    <cellStyle name="표준 6 2 6 4 2" xfId="21708"/>
    <cellStyle name="표준 6 2 6 4 2 2" xfId="47060"/>
    <cellStyle name="표준 6 2 6 4 3" xfId="34388"/>
    <cellStyle name="표준 6 2 6 5" xfId="15372"/>
    <cellStyle name="표준 6 2 6 5 2" xfId="40724"/>
    <cellStyle name="표준 6 2 6 6" xfId="28052"/>
    <cellStyle name="표준 6 2 6 7" xfId="56042"/>
    <cellStyle name="표준 6 2 7" xfId="2700"/>
    <cellStyle name="표준 6 2 7 2" xfId="2701"/>
    <cellStyle name="표준 6 2 7 2 2" xfId="5857"/>
    <cellStyle name="표준 6 2 7 2 2 2" xfId="12193"/>
    <cellStyle name="표준 6 2 7 2 2 2 2" xfId="24866"/>
    <cellStyle name="표준 6 2 7 2 2 2 2 2" xfId="50218"/>
    <cellStyle name="표준 6 2 7 2 2 2 3" xfId="37546"/>
    <cellStyle name="표준 6 2 7 2 2 3" xfId="18530"/>
    <cellStyle name="표준 6 2 7 2 2 3 2" xfId="43882"/>
    <cellStyle name="표준 6 2 7 2 2 4" xfId="31210"/>
    <cellStyle name="표준 6 2 7 2 2 5" xfId="56043"/>
    <cellStyle name="표준 6 2 7 2 3" xfId="9038"/>
    <cellStyle name="표준 6 2 7 2 3 2" xfId="21711"/>
    <cellStyle name="표준 6 2 7 2 3 2 2" xfId="47063"/>
    <cellStyle name="표준 6 2 7 2 3 3" xfId="34391"/>
    <cellStyle name="표준 6 2 7 2 4" xfId="15375"/>
    <cellStyle name="표준 6 2 7 2 4 2" xfId="40727"/>
    <cellStyle name="표준 6 2 7 2 5" xfId="28055"/>
    <cellStyle name="표준 6 2 7 2 6" xfId="56044"/>
    <cellStyle name="표준 6 2 7 3" xfId="5858"/>
    <cellStyle name="표준 6 2 7 3 2" xfId="12194"/>
    <cellStyle name="표준 6 2 7 3 2 2" xfId="24867"/>
    <cellStyle name="표준 6 2 7 3 2 2 2" xfId="50219"/>
    <cellStyle name="표준 6 2 7 3 2 3" xfId="37547"/>
    <cellStyle name="표준 6 2 7 3 3" xfId="18531"/>
    <cellStyle name="표준 6 2 7 3 3 2" xfId="43883"/>
    <cellStyle name="표준 6 2 7 3 4" xfId="31211"/>
    <cellStyle name="표준 6 2 7 3 5" xfId="56045"/>
    <cellStyle name="표준 6 2 7 4" xfId="9037"/>
    <cellStyle name="표준 6 2 7 4 2" xfId="21710"/>
    <cellStyle name="표준 6 2 7 4 2 2" xfId="47062"/>
    <cellStyle name="표준 6 2 7 4 3" xfId="34390"/>
    <cellStyle name="표준 6 2 7 5" xfId="15374"/>
    <cellStyle name="표준 6 2 7 5 2" xfId="40726"/>
    <cellStyle name="표준 6 2 7 6" xfId="28054"/>
    <cellStyle name="표준 6 2 7 7" xfId="56046"/>
    <cellStyle name="표준 6 2 8" xfId="2702"/>
    <cellStyle name="표준 6 2 8 2" xfId="2703"/>
    <cellStyle name="표준 6 2 8 2 2" xfId="5859"/>
    <cellStyle name="표준 6 2 8 2 2 2" xfId="12195"/>
    <cellStyle name="표준 6 2 8 2 2 2 2" xfId="24868"/>
    <cellStyle name="표준 6 2 8 2 2 2 2 2" xfId="50220"/>
    <cellStyle name="표준 6 2 8 2 2 2 3" xfId="37548"/>
    <cellStyle name="표준 6 2 8 2 2 3" xfId="18532"/>
    <cellStyle name="표준 6 2 8 2 2 3 2" xfId="43884"/>
    <cellStyle name="표준 6 2 8 2 2 4" xfId="31212"/>
    <cellStyle name="표준 6 2 8 2 2 5" xfId="56047"/>
    <cellStyle name="표준 6 2 8 2 3" xfId="9040"/>
    <cellStyle name="표준 6 2 8 2 3 2" xfId="21713"/>
    <cellStyle name="표준 6 2 8 2 3 2 2" xfId="47065"/>
    <cellStyle name="표준 6 2 8 2 3 3" xfId="34393"/>
    <cellStyle name="표준 6 2 8 2 4" xfId="15377"/>
    <cellStyle name="표준 6 2 8 2 4 2" xfId="40729"/>
    <cellStyle name="표준 6 2 8 2 5" xfId="28057"/>
    <cellStyle name="표준 6 2 8 2 6" xfId="56048"/>
    <cellStyle name="표준 6 2 8 3" xfId="5860"/>
    <cellStyle name="표준 6 2 8 3 2" xfId="12196"/>
    <cellStyle name="표준 6 2 8 3 2 2" xfId="24869"/>
    <cellStyle name="표준 6 2 8 3 2 2 2" xfId="50221"/>
    <cellStyle name="표준 6 2 8 3 2 3" xfId="37549"/>
    <cellStyle name="표준 6 2 8 3 3" xfId="18533"/>
    <cellStyle name="표준 6 2 8 3 3 2" xfId="43885"/>
    <cellStyle name="표준 6 2 8 3 4" xfId="31213"/>
    <cellStyle name="표준 6 2 8 3 5" xfId="56049"/>
    <cellStyle name="표준 6 2 8 4" xfId="9039"/>
    <cellStyle name="표준 6 2 8 4 2" xfId="21712"/>
    <cellStyle name="표준 6 2 8 4 2 2" xfId="47064"/>
    <cellStyle name="표준 6 2 8 4 3" xfId="34392"/>
    <cellStyle name="표준 6 2 8 5" xfId="15376"/>
    <cellStyle name="표준 6 2 8 5 2" xfId="40728"/>
    <cellStyle name="표준 6 2 8 6" xfId="28056"/>
    <cellStyle name="표준 6 2 8 7" xfId="56050"/>
    <cellStyle name="표준 6 2 9" xfId="2704"/>
    <cellStyle name="표준 6 2 9 2" xfId="2705"/>
    <cellStyle name="표준 6 2 9 2 2" xfId="5861"/>
    <cellStyle name="표준 6 2 9 2 2 2" xfId="12197"/>
    <cellStyle name="표준 6 2 9 2 2 2 2" xfId="24870"/>
    <cellStyle name="표준 6 2 9 2 2 2 2 2" xfId="50222"/>
    <cellStyle name="표준 6 2 9 2 2 2 3" xfId="37550"/>
    <cellStyle name="표준 6 2 9 2 2 3" xfId="18534"/>
    <cellStyle name="표준 6 2 9 2 2 3 2" xfId="43886"/>
    <cellStyle name="표준 6 2 9 2 2 4" xfId="31214"/>
    <cellStyle name="표준 6 2 9 2 2 5" xfId="56051"/>
    <cellStyle name="표준 6 2 9 2 3" xfId="9042"/>
    <cellStyle name="표준 6 2 9 2 3 2" xfId="21715"/>
    <cellStyle name="표준 6 2 9 2 3 2 2" xfId="47067"/>
    <cellStyle name="표준 6 2 9 2 3 3" xfId="34395"/>
    <cellStyle name="표준 6 2 9 2 4" xfId="15379"/>
    <cellStyle name="표준 6 2 9 2 4 2" xfId="40731"/>
    <cellStyle name="표준 6 2 9 2 5" xfId="28059"/>
    <cellStyle name="표준 6 2 9 2 6" xfId="56052"/>
    <cellStyle name="표준 6 2 9 3" xfId="5862"/>
    <cellStyle name="표준 6 2 9 3 2" xfId="12198"/>
    <cellStyle name="표준 6 2 9 3 2 2" xfId="24871"/>
    <cellStyle name="표준 6 2 9 3 2 2 2" xfId="50223"/>
    <cellStyle name="표준 6 2 9 3 2 3" xfId="37551"/>
    <cellStyle name="표준 6 2 9 3 3" xfId="18535"/>
    <cellStyle name="표준 6 2 9 3 3 2" xfId="43887"/>
    <cellStyle name="표준 6 2 9 3 4" xfId="31215"/>
    <cellStyle name="표준 6 2 9 3 5" xfId="56053"/>
    <cellStyle name="표준 6 2 9 4" xfId="9041"/>
    <cellStyle name="표준 6 2 9 4 2" xfId="21714"/>
    <cellStyle name="표준 6 2 9 4 2 2" xfId="47066"/>
    <cellStyle name="표준 6 2 9 4 3" xfId="34394"/>
    <cellStyle name="표준 6 2 9 5" xfId="15378"/>
    <cellStyle name="표준 6 2 9 5 2" xfId="40730"/>
    <cellStyle name="표준 6 2 9 6" xfId="28058"/>
    <cellStyle name="표준 6 2 9 7" xfId="56054"/>
    <cellStyle name="표준 6 20" xfId="2706"/>
    <cellStyle name="표준 6 20 2" xfId="2707"/>
    <cellStyle name="표준 6 20 2 2" xfId="5863"/>
    <cellStyle name="표준 6 20 2 2 2" xfId="12199"/>
    <cellStyle name="표준 6 20 2 2 2 2" xfId="24872"/>
    <cellStyle name="표준 6 20 2 2 2 2 2" xfId="50224"/>
    <cellStyle name="표준 6 20 2 2 2 3" xfId="37552"/>
    <cellStyle name="표준 6 20 2 2 3" xfId="18536"/>
    <cellStyle name="표준 6 20 2 2 3 2" xfId="43888"/>
    <cellStyle name="표준 6 20 2 2 4" xfId="31216"/>
    <cellStyle name="표준 6 20 2 2 5" xfId="56055"/>
    <cellStyle name="표준 6 20 2 3" xfId="9044"/>
    <cellStyle name="표준 6 20 2 3 2" xfId="21717"/>
    <cellStyle name="표준 6 20 2 3 2 2" xfId="47069"/>
    <cellStyle name="표준 6 20 2 3 3" xfId="34397"/>
    <cellStyle name="표준 6 20 2 4" xfId="15381"/>
    <cellStyle name="표준 6 20 2 4 2" xfId="40733"/>
    <cellStyle name="표준 6 20 2 5" xfId="28061"/>
    <cellStyle name="표준 6 20 2 6" xfId="56056"/>
    <cellStyle name="표준 6 20 3" xfId="5864"/>
    <cellStyle name="표준 6 20 3 2" xfId="12200"/>
    <cellStyle name="표준 6 20 3 2 2" xfId="24873"/>
    <cellStyle name="표준 6 20 3 2 2 2" xfId="50225"/>
    <cellStyle name="표준 6 20 3 2 3" xfId="37553"/>
    <cellStyle name="표준 6 20 3 3" xfId="18537"/>
    <cellStyle name="표준 6 20 3 3 2" xfId="43889"/>
    <cellStyle name="표준 6 20 3 4" xfId="31217"/>
    <cellStyle name="표준 6 20 3 5" xfId="56057"/>
    <cellStyle name="표준 6 20 4" xfId="9043"/>
    <cellStyle name="표준 6 20 4 2" xfId="21716"/>
    <cellStyle name="표준 6 20 4 2 2" xfId="47068"/>
    <cellStyle name="표준 6 20 4 3" xfId="34396"/>
    <cellStyle name="표준 6 20 5" xfId="15380"/>
    <cellStyle name="표준 6 20 5 2" xfId="40732"/>
    <cellStyle name="표준 6 20 6" xfId="28060"/>
    <cellStyle name="표준 6 20 7" xfId="56058"/>
    <cellStyle name="표준 6 21" xfId="2708"/>
    <cellStyle name="표준 6 21 2" xfId="2709"/>
    <cellStyle name="표준 6 21 2 2" xfId="5865"/>
    <cellStyle name="표준 6 21 2 2 2" xfId="12201"/>
    <cellStyle name="표준 6 21 2 2 2 2" xfId="24874"/>
    <cellStyle name="표준 6 21 2 2 2 2 2" xfId="50226"/>
    <cellStyle name="표준 6 21 2 2 2 3" xfId="37554"/>
    <cellStyle name="표준 6 21 2 2 3" xfId="18538"/>
    <cellStyle name="표준 6 21 2 2 3 2" xfId="43890"/>
    <cellStyle name="표준 6 21 2 2 4" xfId="31218"/>
    <cellStyle name="표준 6 21 2 2 5" xfId="56059"/>
    <cellStyle name="표준 6 21 2 3" xfId="9046"/>
    <cellStyle name="표준 6 21 2 3 2" xfId="21719"/>
    <cellStyle name="표준 6 21 2 3 2 2" xfId="47071"/>
    <cellStyle name="표준 6 21 2 3 3" xfId="34399"/>
    <cellStyle name="표준 6 21 2 4" xfId="15383"/>
    <cellStyle name="표준 6 21 2 4 2" xfId="40735"/>
    <cellStyle name="표준 6 21 2 5" xfId="28063"/>
    <cellStyle name="표준 6 21 2 6" xfId="56060"/>
    <cellStyle name="표준 6 21 3" xfId="5866"/>
    <cellStyle name="표준 6 21 3 2" xfId="12202"/>
    <cellStyle name="표준 6 21 3 2 2" xfId="24875"/>
    <cellStyle name="표준 6 21 3 2 2 2" xfId="50227"/>
    <cellStyle name="표준 6 21 3 2 3" xfId="37555"/>
    <cellStyle name="표준 6 21 3 3" xfId="18539"/>
    <cellStyle name="표준 6 21 3 3 2" xfId="43891"/>
    <cellStyle name="표준 6 21 3 4" xfId="31219"/>
    <cellStyle name="표준 6 21 3 5" xfId="56061"/>
    <cellStyle name="표준 6 21 4" xfId="9045"/>
    <cellStyle name="표준 6 21 4 2" xfId="21718"/>
    <cellStyle name="표준 6 21 4 2 2" xfId="47070"/>
    <cellStyle name="표준 6 21 4 3" xfId="34398"/>
    <cellStyle name="표준 6 21 5" xfId="15382"/>
    <cellStyle name="표준 6 21 5 2" xfId="40734"/>
    <cellStyle name="표준 6 21 6" xfId="28062"/>
    <cellStyle name="표준 6 21 7" xfId="56062"/>
    <cellStyle name="표준 6 22" xfId="2710"/>
    <cellStyle name="표준 6 22 2" xfId="2711"/>
    <cellStyle name="표준 6 22 2 2" xfId="5867"/>
    <cellStyle name="표준 6 22 2 2 2" xfId="12203"/>
    <cellStyle name="표준 6 22 2 2 2 2" xfId="24876"/>
    <cellStyle name="표준 6 22 2 2 2 2 2" xfId="50228"/>
    <cellStyle name="표준 6 22 2 2 2 3" xfId="37556"/>
    <cellStyle name="표준 6 22 2 2 3" xfId="18540"/>
    <cellStyle name="표준 6 22 2 2 3 2" xfId="43892"/>
    <cellStyle name="표준 6 22 2 2 4" xfId="31220"/>
    <cellStyle name="표준 6 22 2 2 5" xfId="56063"/>
    <cellStyle name="표준 6 22 2 3" xfId="9048"/>
    <cellStyle name="표준 6 22 2 3 2" xfId="21721"/>
    <cellStyle name="표준 6 22 2 3 2 2" xfId="47073"/>
    <cellStyle name="표준 6 22 2 3 3" xfId="34401"/>
    <cellStyle name="표준 6 22 2 4" xfId="15385"/>
    <cellStyle name="표준 6 22 2 4 2" xfId="40737"/>
    <cellStyle name="표준 6 22 2 5" xfId="28065"/>
    <cellStyle name="표준 6 22 2 6" xfId="56064"/>
    <cellStyle name="표준 6 22 3" xfId="5868"/>
    <cellStyle name="표준 6 22 3 2" xfId="12204"/>
    <cellStyle name="표준 6 22 3 2 2" xfId="24877"/>
    <cellStyle name="표준 6 22 3 2 2 2" xfId="50229"/>
    <cellStyle name="표준 6 22 3 2 3" xfId="37557"/>
    <cellStyle name="표준 6 22 3 3" xfId="18541"/>
    <cellStyle name="표준 6 22 3 3 2" xfId="43893"/>
    <cellStyle name="표준 6 22 3 4" xfId="31221"/>
    <cellStyle name="표준 6 22 3 5" xfId="56065"/>
    <cellStyle name="표준 6 22 4" xfId="9047"/>
    <cellStyle name="표준 6 22 4 2" xfId="21720"/>
    <cellStyle name="표준 6 22 4 2 2" xfId="47072"/>
    <cellStyle name="표준 6 22 4 3" xfId="34400"/>
    <cellStyle name="표준 6 22 5" xfId="15384"/>
    <cellStyle name="표준 6 22 5 2" xfId="40736"/>
    <cellStyle name="표준 6 22 6" xfId="28064"/>
    <cellStyle name="표준 6 22 7" xfId="56066"/>
    <cellStyle name="표준 6 23" xfId="2712"/>
    <cellStyle name="표준 6 23 2" xfId="2713"/>
    <cellStyle name="표준 6 23 2 2" xfId="5869"/>
    <cellStyle name="표준 6 23 2 2 2" xfId="12205"/>
    <cellStyle name="표준 6 23 2 2 2 2" xfId="24878"/>
    <cellStyle name="표준 6 23 2 2 2 2 2" xfId="50230"/>
    <cellStyle name="표준 6 23 2 2 2 3" xfId="37558"/>
    <cellStyle name="표준 6 23 2 2 3" xfId="18542"/>
    <cellStyle name="표준 6 23 2 2 3 2" xfId="43894"/>
    <cellStyle name="표준 6 23 2 2 4" xfId="31222"/>
    <cellStyle name="표준 6 23 2 2 5" xfId="56067"/>
    <cellStyle name="표준 6 23 2 3" xfId="9050"/>
    <cellStyle name="표준 6 23 2 3 2" xfId="21723"/>
    <cellStyle name="표준 6 23 2 3 2 2" xfId="47075"/>
    <cellStyle name="표준 6 23 2 3 3" xfId="34403"/>
    <cellStyle name="표준 6 23 2 4" xfId="15387"/>
    <cellStyle name="표준 6 23 2 4 2" xfId="40739"/>
    <cellStyle name="표준 6 23 2 5" xfId="28067"/>
    <cellStyle name="표준 6 23 2 6" xfId="56068"/>
    <cellStyle name="표준 6 23 3" xfId="5870"/>
    <cellStyle name="표준 6 23 3 2" xfId="12206"/>
    <cellStyle name="표준 6 23 3 2 2" xfId="24879"/>
    <cellStyle name="표준 6 23 3 2 2 2" xfId="50231"/>
    <cellStyle name="표준 6 23 3 2 3" xfId="37559"/>
    <cellStyle name="표준 6 23 3 3" xfId="18543"/>
    <cellStyle name="표준 6 23 3 3 2" xfId="43895"/>
    <cellStyle name="표준 6 23 3 4" xfId="31223"/>
    <cellStyle name="표준 6 23 3 5" xfId="56069"/>
    <cellStyle name="표준 6 23 4" xfId="9049"/>
    <cellStyle name="표준 6 23 4 2" xfId="21722"/>
    <cellStyle name="표준 6 23 4 2 2" xfId="47074"/>
    <cellStyle name="표준 6 23 4 3" xfId="34402"/>
    <cellStyle name="표준 6 23 5" xfId="15386"/>
    <cellStyle name="표준 6 23 5 2" xfId="40738"/>
    <cellStyle name="표준 6 23 6" xfId="28066"/>
    <cellStyle name="표준 6 23 7" xfId="56070"/>
    <cellStyle name="표준 6 24" xfId="2714"/>
    <cellStyle name="표준 6 24 2" xfId="2715"/>
    <cellStyle name="표준 6 24 2 2" xfId="5871"/>
    <cellStyle name="표준 6 24 2 2 2" xfId="12207"/>
    <cellStyle name="표준 6 24 2 2 2 2" xfId="24880"/>
    <cellStyle name="표준 6 24 2 2 2 2 2" xfId="50232"/>
    <cellStyle name="표준 6 24 2 2 2 3" xfId="37560"/>
    <cellStyle name="표준 6 24 2 2 3" xfId="18544"/>
    <cellStyle name="표준 6 24 2 2 3 2" xfId="43896"/>
    <cellStyle name="표준 6 24 2 2 4" xfId="31224"/>
    <cellStyle name="표준 6 24 2 2 5" xfId="56071"/>
    <cellStyle name="표준 6 24 2 3" xfId="9052"/>
    <cellStyle name="표준 6 24 2 3 2" xfId="21725"/>
    <cellStyle name="표준 6 24 2 3 2 2" xfId="47077"/>
    <cellStyle name="표준 6 24 2 3 3" xfId="34405"/>
    <cellStyle name="표준 6 24 2 4" xfId="15389"/>
    <cellStyle name="표준 6 24 2 4 2" xfId="40741"/>
    <cellStyle name="표준 6 24 2 5" xfId="28069"/>
    <cellStyle name="표준 6 24 2 6" xfId="56072"/>
    <cellStyle name="표준 6 24 3" xfId="5872"/>
    <cellStyle name="표준 6 24 3 2" xfId="12208"/>
    <cellStyle name="표준 6 24 3 2 2" xfId="24881"/>
    <cellStyle name="표준 6 24 3 2 2 2" xfId="50233"/>
    <cellStyle name="표준 6 24 3 2 3" xfId="37561"/>
    <cellStyle name="표준 6 24 3 3" xfId="18545"/>
    <cellStyle name="표준 6 24 3 3 2" xfId="43897"/>
    <cellStyle name="표준 6 24 3 4" xfId="31225"/>
    <cellStyle name="표준 6 24 3 5" xfId="56073"/>
    <cellStyle name="표준 6 24 4" xfId="9051"/>
    <cellStyle name="표준 6 24 4 2" xfId="21724"/>
    <cellStyle name="표준 6 24 4 2 2" xfId="47076"/>
    <cellStyle name="표준 6 24 4 3" xfId="34404"/>
    <cellStyle name="표준 6 24 5" xfId="15388"/>
    <cellStyle name="표준 6 24 5 2" xfId="40740"/>
    <cellStyle name="표준 6 24 6" xfId="28068"/>
    <cellStyle name="표준 6 24 7" xfId="56074"/>
    <cellStyle name="표준 6 25" xfId="2716"/>
    <cellStyle name="표준 6 25 2" xfId="2717"/>
    <cellStyle name="표준 6 25 2 2" xfId="5873"/>
    <cellStyle name="표준 6 25 2 2 2" xfId="12209"/>
    <cellStyle name="표준 6 25 2 2 2 2" xfId="24882"/>
    <cellStyle name="표준 6 25 2 2 2 2 2" xfId="50234"/>
    <cellStyle name="표준 6 25 2 2 2 3" xfId="37562"/>
    <cellStyle name="표준 6 25 2 2 3" xfId="18546"/>
    <cellStyle name="표준 6 25 2 2 3 2" xfId="43898"/>
    <cellStyle name="표준 6 25 2 2 4" xfId="31226"/>
    <cellStyle name="표준 6 25 2 2 5" xfId="56075"/>
    <cellStyle name="표준 6 25 2 3" xfId="9054"/>
    <cellStyle name="표준 6 25 2 3 2" xfId="21727"/>
    <cellStyle name="표준 6 25 2 3 2 2" xfId="47079"/>
    <cellStyle name="표준 6 25 2 3 3" xfId="34407"/>
    <cellStyle name="표준 6 25 2 4" xfId="15391"/>
    <cellStyle name="표준 6 25 2 4 2" xfId="40743"/>
    <cellStyle name="표준 6 25 2 5" xfId="28071"/>
    <cellStyle name="표준 6 25 2 6" xfId="56076"/>
    <cellStyle name="표준 6 25 3" xfId="5874"/>
    <cellStyle name="표준 6 25 3 2" xfId="12210"/>
    <cellStyle name="표준 6 25 3 2 2" xfId="24883"/>
    <cellStyle name="표준 6 25 3 2 2 2" xfId="50235"/>
    <cellStyle name="표준 6 25 3 2 3" xfId="37563"/>
    <cellStyle name="표준 6 25 3 3" xfId="18547"/>
    <cellStyle name="표준 6 25 3 3 2" xfId="43899"/>
    <cellStyle name="표준 6 25 3 4" xfId="31227"/>
    <cellStyle name="표준 6 25 3 5" xfId="56077"/>
    <cellStyle name="표준 6 25 4" xfId="9053"/>
    <cellStyle name="표준 6 25 4 2" xfId="21726"/>
    <cellStyle name="표준 6 25 4 2 2" xfId="47078"/>
    <cellStyle name="표준 6 25 4 3" xfId="34406"/>
    <cellStyle name="표준 6 25 5" xfId="15390"/>
    <cellStyle name="표준 6 25 5 2" xfId="40742"/>
    <cellStyle name="표준 6 25 6" xfId="28070"/>
    <cellStyle name="표준 6 25 7" xfId="56078"/>
    <cellStyle name="표준 6 26" xfId="2718"/>
    <cellStyle name="표준 6 26 2" xfId="2719"/>
    <cellStyle name="표준 6 26 2 2" xfId="5875"/>
    <cellStyle name="표준 6 26 2 2 2" xfId="12211"/>
    <cellStyle name="표준 6 26 2 2 2 2" xfId="24884"/>
    <cellStyle name="표준 6 26 2 2 2 2 2" xfId="50236"/>
    <cellStyle name="표준 6 26 2 2 2 3" xfId="37564"/>
    <cellStyle name="표준 6 26 2 2 3" xfId="18548"/>
    <cellStyle name="표준 6 26 2 2 3 2" xfId="43900"/>
    <cellStyle name="표준 6 26 2 2 4" xfId="31228"/>
    <cellStyle name="표준 6 26 2 2 5" xfId="56079"/>
    <cellStyle name="표준 6 26 2 3" xfId="9056"/>
    <cellStyle name="표준 6 26 2 3 2" xfId="21729"/>
    <cellStyle name="표준 6 26 2 3 2 2" xfId="47081"/>
    <cellStyle name="표준 6 26 2 3 3" xfId="34409"/>
    <cellStyle name="표준 6 26 2 4" xfId="15393"/>
    <cellStyle name="표준 6 26 2 4 2" xfId="40745"/>
    <cellStyle name="표준 6 26 2 5" xfId="28073"/>
    <cellStyle name="표준 6 26 2 6" xfId="56080"/>
    <cellStyle name="표준 6 26 3" xfId="5876"/>
    <cellStyle name="표준 6 26 3 2" xfId="12212"/>
    <cellStyle name="표준 6 26 3 2 2" xfId="24885"/>
    <cellStyle name="표준 6 26 3 2 2 2" xfId="50237"/>
    <cellStyle name="표준 6 26 3 2 3" xfId="37565"/>
    <cellStyle name="표준 6 26 3 3" xfId="18549"/>
    <cellStyle name="표준 6 26 3 3 2" xfId="43901"/>
    <cellStyle name="표준 6 26 3 4" xfId="31229"/>
    <cellStyle name="표준 6 26 3 5" xfId="56081"/>
    <cellStyle name="표준 6 26 4" xfId="9055"/>
    <cellStyle name="표준 6 26 4 2" xfId="21728"/>
    <cellStyle name="표준 6 26 4 2 2" xfId="47080"/>
    <cellStyle name="표준 6 26 4 3" xfId="34408"/>
    <cellStyle name="표준 6 26 5" xfId="15392"/>
    <cellStyle name="표준 6 26 5 2" xfId="40744"/>
    <cellStyle name="표준 6 26 6" xfId="28072"/>
    <cellStyle name="표준 6 26 7" xfId="56082"/>
    <cellStyle name="표준 6 27" xfId="2720"/>
    <cellStyle name="표준 6 27 2" xfId="2721"/>
    <cellStyle name="표준 6 27 2 2" xfId="5877"/>
    <cellStyle name="표준 6 27 2 2 2" xfId="12213"/>
    <cellStyle name="표준 6 27 2 2 2 2" xfId="24886"/>
    <cellStyle name="표준 6 27 2 2 2 2 2" xfId="50238"/>
    <cellStyle name="표준 6 27 2 2 2 3" xfId="37566"/>
    <cellStyle name="표준 6 27 2 2 3" xfId="18550"/>
    <cellStyle name="표준 6 27 2 2 3 2" xfId="43902"/>
    <cellStyle name="표준 6 27 2 2 4" xfId="31230"/>
    <cellStyle name="표준 6 27 2 2 5" xfId="56083"/>
    <cellStyle name="표준 6 27 2 3" xfId="9058"/>
    <cellStyle name="표준 6 27 2 3 2" xfId="21731"/>
    <cellStyle name="표준 6 27 2 3 2 2" xfId="47083"/>
    <cellStyle name="표준 6 27 2 3 3" xfId="34411"/>
    <cellStyle name="표준 6 27 2 4" xfId="15395"/>
    <cellStyle name="표준 6 27 2 4 2" xfId="40747"/>
    <cellStyle name="표준 6 27 2 5" xfId="28075"/>
    <cellStyle name="표준 6 27 2 6" xfId="56084"/>
    <cellStyle name="표준 6 27 3" xfId="5878"/>
    <cellStyle name="표준 6 27 3 2" xfId="12214"/>
    <cellStyle name="표준 6 27 3 2 2" xfId="24887"/>
    <cellStyle name="표준 6 27 3 2 2 2" xfId="50239"/>
    <cellStyle name="표준 6 27 3 2 3" xfId="37567"/>
    <cellStyle name="표준 6 27 3 3" xfId="18551"/>
    <cellStyle name="표준 6 27 3 3 2" xfId="43903"/>
    <cellStyle name="표준 6 27 3 4" xfId="31231"/>
    <cellStyle name="표준 6 27 3 5" xfId="56085"/>
    <cellStyle name="표준 6 27 4" xfId="9057"/>
    <cellStyle name="표준 6 27 4 2" xfId="21730"/>
    <cellStyle name="표준 6 27 4 2 2" xfId="47082"/>
    <cellStyle name="표준 6 27 4 3" xfId="34410"/>
    <cellStyle name="표준 6 27 5" xfId="15394"/>
    <cellStyle name="표준 6 27 5 2" xfId="40746"/>
    <cellStyle name="표준 6 27 6" xfId="28074"/>
    <cellStyle name="표준 6 27 7" xfId="56086"/>
    <cellStyle name="표준 6 28" xfId="2722"/>
    <cellStyle name="표준 6 28 2" xfId="2723"/>
    <cellStyle name="표준 6 28 2 2" xfId="5879"/>
    <cellStyle name="표준 6 28 2 2 2" xfId="12215"/>
    <cellStyle name="표준 6 28 2 2 2 2" xfId="24888"/>
    <cellStyle name="표준 6 28 2 2 2 2 2" xfId="50240"/>
    <cellStyle name="표준 6 28 2 2 2 3" xfId="37568"/>
    <cellStyle name="표준 6 28 2 2 3" xfId="18552"/>
    <cellStyle name="표준 6 28 2 2 3 2" xfId="43904"/>
    <cellStyle name="표준 6 28 2 2 4" xfId="31232"/>
    <cellStyle name="표준 6 28 2 2 5" xfId="56087"/>
    <cellStyle name="표준 6 28 2 3" xfId="9060"/>
    <cellStyle name="표준 6 28 2 3 2" xfId="21733"/>
    <cellStyle name="표준 6 28 2 3 2 2" xfId="47085"/>
    <cellStyle name="표준 6 28 2 3 3" xfId="34413"/>
    <cellStyle name="표준 6 28 2 4" xfId="15397"/>
    <cellStyle name="표준 6 28 2 4 2" xfId="40749"/>
    <cellStyle name="표준 6 28 2 5" xfId="28077"/>
    <cellStyle name="표준 6 28 2 6" xfId="56088"/>
    <cellStyle name="표준 6 28 3" xfId="5880"/>
    <cellStyle name="표준 6 28 3 2" xfId="12216"/>
    <cellStyle name="표준 6 28 3 2 2" xfId="24889"/>
    <cellStyle name="표준 6 28 3 2 2 2" xfId="50241"/>
    <cellStyle name="표준 6 28 3 2 3" xfId="37569"/>
    <cellStyle name="표준 6 28 3 3" xfId="18553"/>
    <cellStyle name="표준 6 28 3 3 2" xfId="43905"/>
    <cellStyle name="표준 6 28 3 4" xfId="31233"/>
    <cellStyle name="표준 6 28 3 5" xfId="56089"/>
    <cellStyle name="표준 6 28 4" xfId="9059"/>
    <cellStyle name="표준 6 28 4 2" xfId="21732"/>
    <cellStyle name="표준 6 28 4 2 2" xfId="47084"/>
    <cellStyle name="표준 6 28 4 3" xfId="34412"/>
    <cellStyle name="표준 6 28 5" xfId="15396"/>
    <cellStyle name="표준 6 28 5 2" xfId="40748"/>
    <cellStyle name="표준 6 28 6" xfId="28076"/>
    <cellStyle name="표준 6 28 7" xfId="56090"/>
    <cellStyle name="표준 6 29" xfId="2724"/>
    <cellStyle name="표준 6 29 2" xfId="2725"/>
    <cellStyle name="표준 6 29 2 2" xfId="5881"/>
    <cellStyle name="표준 6 29 2 2 2" xfId="12217"/>
    <cellStyle name="표준 6 29 2 2 2 2" xfId="24890"/>
    <cellStyle name="표준 6 29 2 2 2 2 2" xfId="50242"/>
    <cellStyle name="표준 6 29 2 2 2 3" xfId="37570"/>
    <cellStyle name="표준 6 29 2 2 3" xfId="18554"/>
    <cellStyle name="표준 6 29 2 2 3 2" xfId="43906"/>
    <cellStyle name="표준 6 29 2 2 4" xfId="31234"/>
    <cellStyle name="표준 6 29 2 2 5" xfId="56091"/>
    <cellStyle name="표준 6 29 2 3" xfId="9062"/>
    <cellStyle name="표준 6 29 2 3 2" xfId="21735"/>
    <cellStyle name="표준 6 29 2 3 2 2" xfId="47087"/>
    <cellStyle name="표준 6 29 2 3 3" xfId="34415"/>
    <cellStyle name="표준 6 29 2 4" xfId="15399"/>
    <cellStyle name="표준 6 29 2 4 2" xfId="40751"/>
    <cellStyle name="표준 6 29 2 5" xfId="28079"/>
    <cellStyle name="표준 6 29 2 6" xfId="56092"/>
    <cellStyle name="표준 6 29 3" xfId="5882"/>
    <cellStyle name="표준 6 29 3 2" xfId="12218"/>
    <cellStyle name="표준 6 29 3 2 2" xfId="24891"/>
    <cellStyle name="표준 6 29 3 2 2 2" xfId="50243"/>
    <cellStyle name="표준 6 29 3 2 3" xfId="37571"/>
    <cellStyle name="표준 6 29 3 3" xfId="18555"/>
    <cellStyle name="표준 6 29 3 3 2" xfId="43907"/>
    <cellStyle name="표준 6 29 3 4" xfId="31235"/>
    <cellStyle name="표준 6 29 3 5" xfId="56093"/>
    <cellStyle name="표준 6 29 4" xfId="9061"/>
    <cellStyle name="표준 6 29 4 2" xfId="21734"/>
    <cellStyle name="표준 6 29 4 2 2" xfId="47086"/>
    <cellStyle name="표준 6 29 4 3" xfId="34414"/>
    <cellStyle name="표준 6 29 5" xfId="15398"/>
    <cellStyle name="표준 6 29 5 2" xfId="40750"/>
    <cellStyle name="표준 6 29 6" xfId="28078"/>
    <cellStyle name="표준 6 29 7" xfId="56094"/>
    <cellStyle name="표준 6 3" xfId="18"/>
    <cellStyle name="표준 6 3 10" xfId="2726"/>
    <cellStyle name="표준 6 3 10 2" xfId="2727"/>
    <cellStyle name="표준 6 3 10 2 2" xfId="5883"/>
    <cellStyle name="표준 6 3 10 2 2 2" xfId="12219"/>
    <cellStyle name="표준 6 3 10 2 2 2 2" xfId="24892"/>
    <cellStyle name="표준 6 3 10 2 2 2 2 2" xfId="50244"/>
    <cellStyle name="표준 6 3 10 2 2 2 3" xfId="37572"/>
    <cellStyle name="표준 6 3 10 2 2 3" xfId="18556"/>
    <cellStyle name="표준 6 3 10 2 2 3 2" xfId="43908"/>
    <cellStyle name="표준 6 3 10 2 2 4" xfId="31236"/>
    <cellStyle name="표준 6 3 10 2 2 5" xfId="56095"/>
    <cellStyle name="표준 6 3 10 2 3" xfId="9064"/>
    <cellStyle name="표준 6 3 10 2 3 2" xfId="21737"/>
    <cellStyle name="표준 6 3 10 2 3 2 2" xfId="47089"/>
    <cellStyle name="표준 6 3 10 2 3 3" xfId="34417"/>
    <cellStyle name="표준 6 3 10 2 4" xfId="15401"/>
    <cellStyle name="표준 6 3 10 2 4 2" xfId="40753"/>
    <cellStyle name="표준 6 3 10 2 5" xfId="28081"/>
    <cellStyle name="표준 6 3 10 2 6" xfId="56096"/>
    <cellStyle name="표준 6 3 10 3" xfId="5884"/>
    <cellStyle name="표준 6 3 10 3 2" xfId="12220"/>
    <cellStyle name="표준 6 3 10 3 2 2" xfId="24893"/>
    <cellStyle name="표준 6 3 10 3 2 2 2" xfId="50245"/>
    <cellStyle name="표준 6 3 10 3 2 3" xfId="37573"/>
    <cellStyle name="표준 6 3 10 3 3" xfId="18557"/>
    <cellStyle name="표준 6 3 10 3 3 2" xfId="43909"/>
    <cellStyle name="표준 6 3 10 3 4" xfId="31237"/>
    <cellStyle name="표준 6 3 10 3 5" xfId="56097"/>
    <cellStyle name="표준 6 3 10 4" xfId="9063"/>
    <cellStyle name="표준 6 3 10 4 2" xfId="21736"/>
    <cellStyle name="표준 6 3 10 4 2 2" xfId="47088"/>
    <cellStyle name="표준 6 3 10 4 3" xfId="34416"/>
    <cellStyle name="표준 6 3 10 5" xfId="15400"/>
    <cellStyle name="표준 6 3 10 5 2" xfId="40752"/>
    <cellStyle name="표준 6 3 10 6" xfId="28080"/>
    <cellStyle name="표준 6 3 10 7" xfId="56098"/>
    <cellStyle name="표준 6 3 11" xfId="2728"/>
    <cellStyle name="표준 6 3 11 2" xfId="2729"/>
    <cellStyle name="표준 6 3 11 2 2" xfId="5885"/>
    <cellStyle name="표준 6 3 11 2 2 2" xfId="12221"/>
    <cellStyle name="표준 6 3 11 2 2 2 2" xfId="24894"/>
    <cellStyle name="표준 6 3 11 2 2 2 2 2" xfId="50246"/>
    <cellStyle name="표준 6 3 11 2 2 2 3" xfId="37574"/>
    <cellStyle name="표준 6 3 11 2 2 3" xfId="18558"/>
    <cellStyle name="표준 6 3 11 2 2 3 2" xfId="43910"/>
    <cellStyle name="표준 6 3 11 2 2 4" xfId="31238"/>
    <cellStyle name="표준 6 3 11 2 2 5" xfId="56099"/>
    <cellStyle name="표준 6 3 11 2 3" xfId="9066"/>
    <cellStyle name="표준 6 3 11 2 3 2" xfId="21739"/>
    <cellStyle name="표준 6 3 11 2 3 2 2" xfId="47091"/>
    <cellStyle name="표준 6 3 11 2 3 3" xfId="34419"/>
    <cellStyle name="표준 6 3 11 2 4" xfId="15403"/>
    <cellStyle name="표준 6 3 11 2 4 2" xfId="40755"/>
    <cellStyle name="표준 6 3 11 2 5" xfId="28083"/>
    <cellStyle name="표준 6 3 11 2 6" xfId="56100"/>
    <cellStyle name="표준 6 3 11 3" xfId="5886"/>
    <cellStyle name="표준 6 3 11 3 2" xfId="12222"/>
    <cellStyle name="표준 6 3 11 3 2 2" xfId="24895"/>
    <cellStyle name="표준 6 3 11 3 2 2 2" xfId="50247"/>
    <cellStyle name="표준 6 3 11 3 2 3" xfId="37575"/>
    <cellStyle name="표준 6 3 11 3 3" xfId="18559"/>
    <cellStyle name="표준 6 3 11 3 3 2" xfId="43911"/>
    <cellStyle name="표준 6 3 11 3 4" xfId="31239"/>
    <cellStyle name="표준 6 3 11 3 5" xfId="56101"/>
    <cellStyle name="표준 6 3 11 4" xfId="9065"/>
    <cellStyle name="표준 6 3 11 4 2" xfId="21738"/>
    <cellStyle name="표준 6 3 11 4 2 2" xfId="47090"/>
    <cellStyle name="표준 6 3 11 4 3" xfId="34418"/>
    <cellStyle name="표준 6 3 11 5" xfId="15402"/>
    <cellStyle name="표준 6 3 11 5 2" xfId="40754"/>
    <cellStyle name="표준 6 3 11 6" xfId="28082"/>
    <cellStyle name="표준 6 3 11 7" xfId="56102"/>
    <cellStyle name="표준 6 3 12" xfId="2730"/>
    <cellStyle name="표준 6 3 12 2" xfId="2731"/>
    <cellStyle name="표준 6 3 12 2 2" xfId="5887"/>
    <cellStyle name="표준 6 3 12 2 2 2" xfId="12223"/>
    <cellStyle name="표준 6 3 12 2 2 2 2" xfId="24896"/>
    <cellStyle name="표준 6 3 12 2 2 2 2 2" xfId="50248"/>
    <cellStyle name="표준 6 3 12 2 2 2 3" xfId="37576"/>
    <cellStyle name="표준 6 3 12 2 2 3" xfId="18560"/>
    <cellStyle name="표준 6 3 12 2 2 3 2" xfId="43912"/>
    <cellStyle name="표준 6 3 12 2 2 4" xfId="31240"/>
    <cellStyle name="표준 6 3 12 2 2 5" xfId="56103"/>
    <cellStyle name="표준 6 3 12 2 3" xfId="9068"/>
    <cellStyle name="표준 6 3 12 2 3 2" xfId="21741"/>
    <cellStyle name="표준 6 3 12 2 3 2 2" xfId="47093"/>
    <cellStyle name="표준 6 3 12 2 3 3" xfId="34421"/>
    <cellStyle name="표준 6 3 12 2 4" xfId="15405"/>
    <cellStyle name="표준 6 3 12 2 4 2" xfId="40757"/>
    <cellStyle name="표준 6 3 12 2 5" xfId="28085"/>
    <cellStyle name="표준 6 3 12 2 6" xfId="56104"/>
    <cellStyle name="표준 6 3 12 3" xfId="5888"/>
    <cellStyle name="표준 6 3 12 3 2" xfId="12224"/>
    <cellStyle name="표준 6 3 12 3 2 2" xfId="24897"/>
    <cellStyle name="표준 6 3 12 3 2 2 2" xfId="50249"/>
    <cellStyle name="표준 6 3 12 3 2 3" xfId="37577"/>
    <cellStyle name="표준 6 3 12 3 3" xfId="18561"/>
    <cellStyle name="표준 6 3 12 3 3 2" xfId="43913"/>
    <cellStyle name="표준 6 3 12 3 4" xfId="31241"/>
    <cellStyle name="표준 6 3 12 3 5" xfId="56105"/>
    <cellStyle name="표준 6 3 12 4" xfId="9067"/>
    <cellStyle name="표준 6 3 12 4 2" xfId="21740"/>
    <cellStyle name="표준 6 3 12 4 2 2" xfId="47092"/>
    <cellStyle name="표준 6 3 12 4 3" xfId="34420"/>
    <cellStyle name="표준 6 3 12 5" xfId="15404"/>
    <cellStyle name="표준 6 3 12 5 2" xfId="40756"/>
    <cellStyle name="표준 6 3 12 6" xfId="28084"/>
    <cellStyle name="표준 6 3 12 7" xfId="56106"/>
    <cellStyle name="표준 6 3 13" xfId="2732"/>
    <cellStyle name="표준 6 3 13 2" xfId="2733"/>
    <cellStyle name="표준 6 3 13 2 2" xfId="5889"/>
    <cellStyle name="표준 6 3 13 2 2 2" xfId="12225"/>
    <cellStyle name="표준 6 3 13 2 2 2 2" xfId="24898"/>
    <cellStyle name="표준 6 3 13 2 2 2 2 2" xfId="50250"/>
    <cellStyle name="표준 6 3 13 2 2 2 3" xfId="37578"/>
    <cellStyle name="표준 6 3 13 2 2 3" xfId="18562"/>
    <cellStyle name="표준 6 3 13 2 2 3 2" xfId="43914"/>
    <cellStyle name="표준 6 3 13 2 2 4" xfId="31242"/>
    <cellStyle name="표준 6 3 13 2 2 5" xfId="56107"/>
    <cellStyle name="표준 6 3 13 2 3" xfId="9070"/>
    <cellStyle name="표준 6 3 13 2 3 2" xfId="21743"/>
    <cellStyle name="표준 6 3 13 2 3 2 2" xfId="47095"/>
    <cellStyle name="표준 6 3 13 2 3 3" xfId="34423"/>
    <cellStyle name="표준 6 3 13 2 4" xfId="15407"/>
    <cellStyle name="표준 6 3 13 2 4 2" xfId="40759"/>
    <cellStyle name="표준 6 3 13 2 5" xfId="28087"/>
    <cellStyle name="표준 6 3 13 2 6" xfId="56108"/>
    <cellStyle name="표준 6 3 13 3" xfId="5890"/>
    <cellStyle name="표준 6 3 13 3 2" xfId="12226"/>
    <cellStyle name="표준 6 3 13 3 2 2" xfId="24899"/>
    <cellStyle name="표준 6 3 13 3 2 2 2" xfId="50251"/>
    <cellStyle name="표준 6 3 13 3 2 3" xfId="37579"/>
    <cellStyle name="표준 6 3 13 3 3" xfId="18563"/>
    <cellStyle name="표준 6 3 13 3 3 2" xfId="43915"/>
    <cellStyle name="표준 6 3 13 3 4" xfId="31243"/>
    <cellStyle name="표준 6 3 13 3 5" xfId="56109"/>
    <cellStyle name="표준 6 3 13 4" xfId="9069"/>
    <cellStyle name="표준 6 3 13 4 2" xfId="21742"/>
    <cellStyle name="표준 6 3 13 4 2 2" xfId="47094"/>
    <cellStyle name="표준 6 3 13 4 3" xfId="34422"/>
    <cellStyle name="표준 6 3 13 5" xfId="15406"/>
    <cellStyle name="표준 6 3 13 5 2" xfId="40758"/>
    <cellStyle name="표준 6 3 13 6" xfId="28086"/>
    <cellStyle name="표준 6 3 13 7" xfId="56110"/>
    <cellStyle name="표준 6 3 14" xfId="2734"/>
    <cellStyle name="표준 6 3 14 2" xfId="2735"/>
    <cellStyle name="표준 6 3 14 2 2" xfId="5891"/>
    <cellStyle name="표준 6 3 14 2 2 2" xfId="12227"/>
    <cellStyle name="표준 6 3 14 2 2 2 2" xfId="24900"/>
    <cellStyle name="표준 6 3 14 2 2 2 2 2" xfId="50252"/>
    <cellStyle name="표준 6 3 14 2 2 2 3" xfId="37580"/>
    <cellStyle name="표준 6 3 14 2 2 3" xfId="18564"/>
    <cellStyle name="표준 6 3 14 2 2 3 2" xfId="43916"/>
    <cellStyle name="표준 6 3 14 2 2 4" xfId="31244"/>
    <cellStyle name="표준 6 3 14 2 2 5" xfId="56111"/>
    <cellStyle name="표준 6 3 14 2 3" xfId="9072"/>
    <cellStyle name="표준 6 3 14 2 3 2" xfId="21745"/>
    <cellStyle name="표준 6 3 14 2 3 2 2" xfId="47097"/>
    <cellStyle name="표준 6 3 14 2 3 3" xfId="34425"/>
    <cellStyle name="표준 6 3 14 2 4" xfId="15409"/>
    <cellStyle name="표준 6 3 14 2 4 2" xfId="40761"/>
    <cellStyle name="표준 6 3 14 2 5" xfId="28089"/>
    <cellStyle name="표준 6 3 14 2 6" xfId="56112"/>
    <cellStyle name="표준 6 3 14 3" xfId="5892"/>
    <cellStyle name="표준 6 3 14 3 2" xfId="12228"/>
    <cellStyle name="표준 6 3 14 3 2 2" xfId="24901"/>
    <cellStyle name="표준 6 3 14 3 2 2 2" xfId="50253"/>
    <cellStyle name="표준 6 3 14 3 2 3" xfId="37581"/>
    <cellStyle name="표준 6 3 14 3 3" xfId="18565"/>
    <cellStyle name="표준 6 3 14 3 3 2" xfId="43917"/>
    <cellStyle name="표준 6 3 14 3 4" xfId="31245"/>
    <cellStyle name="표준 6 3 14 3 5" xfId="56113"/>
    <cellStyle name="표준 6 3 14 4" xfId="9071"/>
    <cellStyle name="표준 6 3 14 4 2" xfId="21744"/>
    <cellStyle name="표준 6 3 14 4 2 2" xfId="47096"/>
    <cellStyle name="표준 6 3 14 4 3" xfId="34424"/>
    <cellStyle name="표준 6 3 14 5" xfId="15408"/>
    <cellStyle name="표준 6 3 14 5 2" xfId="40760"/>
    <cellStyle name="표준 6 3 14 6" xfId="28088"/>
    <cellStyle name="표준 6 3 14 7" xfId="56114"/>
    <cellStyle name="표준 6 3 15" xfId="2736"/>
    <cellStyle name="표준 6 3 15 2" xfId="2737"/>
    <cellStyle name="표준 6 3 15 2 2" xfId="5893"/>
    <cellStyle name="표준 6 3 15 2 2 2" xfId="12229"/>
    <cellStyle name="표준 6 3 15 2 2 2 2" xfId="24902"/>
    <cellStyle name="표준 6 3 15 2 2 2 2 2" xfId="50254"/>
    <cellStyle name="표준 6 3 15 2 2 2 3" xfId="37582"/>
    <cellStyle name="표준 6 3 15 2 2 3" xfId="18566"/>
    <cellStyle name="표준 6 3 15 2 2 3 2" xfId="43918"/>
    <cellStyle name="표준 6 3 15 2 2 4" xfId="31246"/>
    <cellStyle name="표준 6 3 15 2 2 5" xfId="56115"/>
    <cellStyle name="표준 6 3 15 2 3" xfId="9074"/>
    <cellStyle name="표준 6 3 15 2 3 2" xfId="21747"/>
    <cellStyle name="표준 6 3 15 2 3 2 2" xfId="47099"/>
    <cellStyle name="표준 6 3 15 2 3 3" xfId="34427"/>
    <cellStyle name="표준 6 3 15 2 4" xfId="15411"/>
    <cellStyle name="표준 6 3 15 2 4 2" xfId="40763"/>
    <cellStyle name="표준 6 3 15 2 5" xfId="28091"/>
    <cellStyle name="표준 6 3 15 2 6" xfId="56116"/>
    <cellStyle name="표준 6 3 15 3" xfId="5894"/>
    <cellStyle name="표준 6 3 15 3 2" xfId="12230"/>
    <cellStyle name="표준 6 3 15 3 2 2" xfId="24903"/>
    <cellStyle name="표준 6 3 15 3 2 2 2" xfId="50255"/>
    <cellStyle name="표준 6 3 15 3 2 3" xfId="37583"/>
    <cellStyle name="표준 6 3 15 3 3" xfId="18567"/>
    <cellStyle name="표준 6 3 15 3 3 2" xfId="43919"/>
    <cellStyle name="표준 6 3 15 3 4" xfId="31247"/>
    <cellStyle name="표준 6 3 15 3 5" xfId="56117"/>
    <cellStyle name="표준 6 3 15 4" xfId="9073"/>
    <cellStyle name="표준 6 3 15 4 2" xfId="21746"/>
    <cellStyle name="표준 6 3 15 4 2 2" xfId="47098"/>
    <cellStyle name="표준 6 3 15 4 3" xfId="34426"/>
    <cellStyle name="표준 6 3 15 5" xfId="15410"/>
    <cellStyle name="표준 6 3 15 5 2" xfId="40762"/>
    <cellStyle name="표준 6 3 15 6" xfId="28090"/>
    <cellStyle name="표준 6 3 15 7" xfId="56118"/>
    <cellStyle name="표준 6 3 16" xfId="2738"/>
    <cellStyle name="표준 6 3 16 2" xfId="2739"/>
    <cellStyle name="표준 6 3 16 2 2" xfId="5895"/>
    <cellStyle name="표준 6 3 16 2 2 2" xfId="12231"/>
    <cellStyle name="표준 6 3 16 2 2 2 2" xfId="24904"/>
    <cellStyle name="표준 6 3 16 2 2 2 2 2" xfId="50256"/>
    <cellStyle name="표준 6 3 16 2 2 2 3" xfId="37584"/>
    <cellStyle name="표준 6 3 16 2 2 3" xfId="18568"/>
    <cellStyle name="표준 6 3 16 2 2 3 2" xfId="43920"/>
    <cellStyle name="표준 6 3 16 2 2 4" xfId="31248"/>
    <cellStyle name="표준 6 3 16 2 2 5" xfId="56119"/>
    <cellStyle name="표준 6 3 16 2 3" xfId="9076"/>
    <cellStyle name="표준 6 3 16 2 3 2" xfId="21749"/>
    <cellStyle name="표준 6 3 16 2 3 2 2" xfId="47101"/>
    <cellStyle name="표준 6 3 16 2 3 3" xfId="34429"/>
    <cellStyle name="표준 6 3 16 2 4" xfId="15413"/>
    <cellStyle name="표준 6 3 16 2 4 2" xfId="40765"/>
    <cellStyle name="표준 6 3 16 2 5" xfId="28093"/>
    <cellStyle name="표준 6 3 16 2 6" xfId="56120"/>
    <cellStyle name="표준 6 3 16 3" xfId="5896"/>
    <cellStyle name="표준 6 3 16 3 2" xfId="12232"/>
    <cellStyle name="표준 6 3 16 3 2 2" xfId="24905"/>
    <cellStyle name="표준 6 3 16 3 2 2 2" xfId="50257"/>
    <cellStyle name="표준 6 3 16 3 2 3" xfId="37585"/>
    <cellStyle name="표준 6 3 16 3 3" xfId="18569"/>
    <cellStyle name="표준 6 3 16 3 3 2" xfId="43921"/>
    <cellStyle name="표준 6 3 16 3 4" xfId="31249"/>
    <cellStyle name="표준 6 3 16 3 5" xfId="56121"/>
    <cellStyle name="표준 6 3 16 4" xfId="9075"/>
    <cellStyle name="표준 6 3 16 4 2" xfId="21748"/>
    <cellStyle name="표준 6 3 16 4 2 2" xfId="47100"/>
    <cellStyle name="표준 6 3 16 4 3" xfId="34428"/>
    <cellStyle name="표준 6 3 16 5" xfId="15412"/>
    <cellStyle name="표준 6 3 16 5 2" xfId="40764"/>
    <cellStyle name="표준 6 3 16 6" xfId="28092"/>
    <cellStyle name="표준 6 3 16 7" xfId="56122"/>
    <cellStyle name="표준 6 3 17" xfId="2740"/>
    <cellStyle name="표준 6 3 17 2" xfId="2741"/>
    <cellStyle name="표준 6 3 17 2 2" xfId="5897"/>
    <cellStyle name="표준 6 3 17 2 2 2" xfId="12233"/>
    <cellStyle name="표준 6 3 17 2 2 2 2" xfId="24906"/>
    <cellStyle name="표준 6 3 17 2 2 2 2 2" xfId="50258"/>
    <cellStyle name="표준 6 3 17 2 2 2 3" xfId="37586"/>
    <cellStyle name="표준 6 3 17 2 2 3" xfId="18570"/>
    <cellStyle name="표준 6 3 17 2 2 3 2" xfId="43922"/>
    <cellStyle name="표준 6 3 17 2 2 4" xfId="31250"/>
    <cellStyle name="표준 6 3 17 2 2 5" xfId="56123"/>
    <cellStyle name="표준 6 3 17 2 3" xfId="9078"/>
    <cellStyle name="표준 6 3 17 2 3 2" xfId="21751"/>
    <cellStyle name="표준 6 3 17 2 3 2 2" xfId="47103"/>
    <cellStyle name="표준 6 3 17 2 3 3" xfId="34431"/>
    <cellStyle name="표준 6 3 17 2 4" xfId="15415"/>
    <cellStyle name="표준 6 3 17 2 4 2" xfId="40767"/>
    <cellStyle name="표준 6 3 17 2 5" xfId="28095"/>
    <cellStyle name="표준 6 3 17 2 6" xfId="56124"/>
    <cellStyle name="표준 6 3 17 3" xfId="5898"/>
    <cellStyle name="표준 6 3 17 3 2" xfId="12234"/>
    <cellStyle name="표준 6 3 17 3 2 2" xfId="24907"/>
    <cellStyle name="표준 6 3 17 3 2 2 2" xfId="50259"/>
    <cellStyle name="표준 6 3 17 3 2 3" xfId="37587"/>
    <cellStyle name="표준 6 3 17 3 3" xfId="18571"/>
    <cellStyle name="표준 6 3 17 3 3 2" xfId="43923"/>
    <cellStyle name="표준 6 3 17 3 4" xfId="31251"/>
    <cellStyle name="표준 6 3 17 3 5" xfId="56125"/>
    <cellStyle name="표준 6 3 17 4" xfId="9077"/>
    <cellStyle name="표준 6 3 17 4 2" xfId="21750"/>
    <cellStyle name="표준 6 3 17 4 2 2" xfId="47102"/>
    <cellStyle name="표준 6 3 17 4 3" xfId="34430"/>
    <cellStyle name="표준 6 3 17 5" xfId="15414"/>
    <cellStyle name="표준 6 3 17 5 2" xfId="40766"/>
    <cellStyle name="표준 6 3 17 6" xfId="28094"/>
    <cellStyle name="표준 6 3 17 7" xfId="56126"/>
    <cellStyle name="표준 6 3 18" xfId="2742"/>
    <cellStyle name="표준 6 3 18 2" xfId="2743"/>
    <cellStyle name="표준 6 3 18 2 2" xfId="5899"/>
    <cellStyle name="표준 6 3 18 2 2 2" xfId="12235"/>
    <cellStyle name="표준 6 3 18 2 2 2 2" xfId="24908"/>
    <cellStyle name="표준 6 3 18 2 2 2 2 2" xfId="50260"/>
    <cellStyle name="표준 6 3 18 2 2 2 3" xfId="37588"/>
    <cellStyle name="표준 6 3 18 2 2 3" xfId="18572"/>
    <cellStyle name="표준 6 3 18 2 2 3 2" xfId="43924"/>
    <cellStyle name="표준 6 3 18 2 2 4" xfId="31252"/>
    <cellStyle name="표준 6 3 18 2 2 5" xfId="56127"/>
    <cellStyle name="표준 6 3 18 2 3" xfId="9080"/>
    <cellStyle name="표준 6 3 18 2 3 2" xfId="21753"/>
    <cellStyle name="표준 6 3 18 2 3 2 2" xfId="47105"/>
    <cellStyle name="표준 6 3 18 2 3 3" xfId="34433"/>
    <cellStyle name="표준 6 3 18 2 4" xfId="15417"/>
    <cellStyle name="표준 6 3 18 2 4 2" xfId="40769"/>
    <cellStyle name="표준 6 3 18 2 5" xfId="28097"/>
    <cellStyle name="표준 6 3 18 2 6" xfId="56128"/>
    <cellStyle name="표준 6 3 18 3" xfId="5900"/>
    <cellStyle name="표준 6 3 18 3 2" xfId="12236"/>
    <cellStyle name="표준 6 3 18 3 2 2" xfId="24909"/>
    <cellStyle name="표준 6 3 18 3 2 2 2" xfId="50261"/>
    <cellStyle name="표준 6 3 18 3 2 3" xfId="37589"/>
    <cellStyle name="표준 6 3 18 3 3" xfId="18573"/>
    <cellStyle name="표준 6 3 18 3 3 2" xfId="43925"/>
    <cellStyle name="표준 6 3 18 3 4" xfId="31253"/>
    <cellStyle name="표준 6 3 18 3 5" xfId="56129"/>
    <cellStyle name="표준 6 3 18 4" xfId="9079"/>
    <cellStyle name="표준 6 3 18 4 2" xfId="21752"/>
    <cellStyle name="표준 6 3 18 4 2 2" xfId="47104"/>
    <cellStyle name="표준 6 3 18 4 3" xfId="34432"/>
    <cellStyle name="표준 6 3 18 5" xfId="15416"/>
    <cellStyle name="표준 6 3 18 5 2" xfId="40768"/>
    <cellStyle name="표준 6 3 18 6" xfId="28096"/>
    <cellStyle name="표준 6 3 18 7" xfId="56130"/>
    <cellStyle name="표준 6 3 19" xfId="2744"/>
    <cellStyle name="표준 6 3 19 2" xfId="2745"/>
    <cellStyle name="표준 6 3 19 2 2" xfId="5901"/>
    <cellStyle name="표준 6 3 19 2 2 2" xfId="12237"/>
    <cellStyle name="표준 6 3 19 2 2 2 2" xfId="24910"/>
    <cellStyle name="표준 6 3 19 2 2 2 2 2" xfId="50262"/>
    <cellStyle name="표준 6 3 19 2 2 2 3" xfId="37590"/>
    <cellStyle name="표준 6 3 19 2 2 3" xfId="18574"/>
    <cellStyle name="표준 6 3 19 2 2 3 2" xfId="43926"/>
    <cellStyle name="표준 6 3 19 2 2 4" xfId="31254"/>
    <cellStyle name="표준 6 3 19 2 2 5" xfId="56131"/>
    <cellStyle name="표준 6 3 19 2 3" xfId="9082"/>
    <cellStyle name="표준 6 3 19 2 3 2" xfId="21755"/>
    <cellStyle name="표준 6 3 19 2 3 2 2" xfId="47107"/>
    <cellStyle name="표준 6 3 19 2 3 3" xfId="34435"/>
    <cellStyle name="표준 6 3 19 2 4" xfId="15419"/>
    <cellStyle name="표준 6 3 19 2 4 2" xfId="40771"/>
    <cellStyle name="표준 6 3 19 2 5" xfId="28099"/>
    <cellStyle name="표준 6 3 19 2 6" xfId="56132"/>
    <cellStyle name="표준 6 3 19 3" xfId="5902"/>
    <cellStyle name="표준 6 3 19 3 2" xfId="12238"/>
    <cellStyle name="표준 6 3 19 3 2 2" xfId="24911"/>
    <cellStyle name="표준 6 3 19 3 2 2 2" xfId="50263"/>
    <cellStyle name="표준 6 3 19 3 2 3" xfId="37591"/>
    <cellStyle name="표준 6 3 19 3 3" xfId="18575"/>
    <cellStyle name="표준 6 3 19 3 3 2" xfId="43927"/>
    <cellStyle name="표준 6 3 19 3 4" xfId="31255"/>
    <cellStyle name="표준 6 3 19 3 5" xfId="56133"/>
    <cellStyle name="표준 6 3 19 4" xfId="9081"/>
    <cellStyle name="표준 6 3 19 4 2" xfId="21754"/>
    <cellStyle name="표준 6 3 19 4 2 2" xfId="47106"/>
    <cellStyle name="표준 6 3 19 4 3" xfId="34434"/>
    <cellStyle name="표준 6 3 19 5" xfId="15418"/>
    <cellStyle name="표준 6 3 19 5 2" xfId="40770"/>
    <cellStyle name="표준 6 3 19 6" xfId="28098"/>
    <cellStyle name="표준 6 3 19 7" xfId="56134"/>
    <cellStyle name="표준 6 3 2" xfId="30"/>
    <cellStyle name="표준 6 3 2 10" xfId="2746"/>
    <cellStyle name="표준 6 3 2 10 2" xfId="2747"/>
    <cellStyle name="표준 6 3 2 10 2 2" xfId="5903"/>
    <cellStyle name="표준 6 3 2 10 2 2 2" xfId="12239"/>
    <cellStyle name="표준 6 3 2 10 2 2 2 2" xfId="24912"/>
    <cellStyle name="표준 6 3 2 10 2 2 2 2 2" xfId="50264"/>
    <cellStyle name="표준 6 3 2 10 2 2 2 3" xfId="37592"/>
    <cellStyle name="표준 6 3 2 10 2 2 3" xfId="18576"/>
    <cellStyle name="표준 6 3 2 10 2 2 3 2" xfId="43928"/>
    <cellStyle name="표준 6 3 2 10 2 2 4" xfId="31256"/>
    <cellStyle name="표준 6 3 2 10 2 2 5" xfId="56135"/>
    <cellStyle name="표준 6 3 2 10 2 3" xfId="9084"/>
    <cellStyle name="표준 6 3 2 10 2 3 2" xfId="21757"/>
    <cellStyle name="표준 6 3 2 10 2 3 2 2" xfId="47109"/>
    <cellStyle name="표준 6 3 2 10 2 3 3" xfId="34437"/>
    <cellStyle name="표준 6 3 2 10 2 4" xfId="15421"/>
    <cellStyle name="표준 6 3 2 10 2 4 2" xfId="40773"/>
    <cellStyle name="표준 6 3 2 10 2 5" xfId="28101"/>
    <cellStyle name="표준 6 3 2 10 2 6" xfId="56136"/>
    <cellStyle name="표준 6 3 2 10 3" xfId="5904"/>
    <cellStyle name="표준 6 3 2 10 3 2" xfId="12240"/>
    <cellStyle name="표준 6 3 2 10 3 2 2" xfId="24913"/>
    <cellStyle name="표준 6 3 2 10 3 2 2 2" xfId="50265"/>
    <cellStyle name="표준 6 3 2 10 3 2 3" xfId="37593"/>
    <cellStyle name="표준 6 3 2 10 3 3" xfId="18577"/>
    <cellStyle name="표준 6 3 2 10 3 3 2" xfId="43929"/>
    <cellStyle name="표준 6 3 2 10 3 4" xfId="31257"/>
    <cellStyle name="표준 6 3 2 10 3 5" xfId="56137"/>
    <cellStyle name="표준 6 3 2 10 4" xfId="9083"/>
    <cellStyle name="표준 6 3 2 10 4 2" xfId="21756"/>
    <cellStyle name="표준 6 3 2 10 4 2 2" xfId="47108"/>
    <cellStyle name="표준 6 3 2 10 4 3" xfId="34436"/>
    <cellStyle name="표준 6 3 2 10 5" xfId="15420"/>
    <cellStyle name="표준 6 3 2 10 5 2" xfId="40772"/>
    <cellStyle name="표준 6 3 2 10 6" xfId="28100"/>
    <cellStyle name="표준 6 3 2 10 7" xfId="56138"/>
    <cellStyle name="표준 6 3 2 11" xfId="2748"/>
    <cellStyle name="표준 6 3 2 11 2" xfId="2749"/>
    <cellStyle name="표준 6 3 2 11 2 2" xfId="5905"/>
    <cellStyle name="표준 6 3 2 11 2 2 2" xfId="12241"/>
    <cellStyle name="표준 6 3 2 11 2 2 2 2" xfId="24914"/>
    <cellStyle name="표준 6 3 2 11 2 2 2 2 2" xfId="50266"/>
    <cellStyle name="표준 6 3 2 11 2 2 2 3" xfId="37594"/>
    <cellStyle name="표준 6 3 2 11 2 2 3" xfId="18578"/>
    <cellStyle name="표준 6 3 2 11 2 2 3 2" xfId="43930"/>
    <cellStyle name="표준 6 3 2 11 2 2 4" xfId="31258"/>
    <cellStyle name="표준 6 3 2 11 2 2 5" xfId="56139"/>
    <cellStyle name="표준 6 3 2 11 2 3" xfId="9086"/>
    <cellStyle name="표준 6 3 2 11 2 3 2" xfId="21759"/>
    <cellStyle name="표준 6 3 2 11 2 3 2 2" xfId="47111"/>
    <cellStyle name="표준 6 3 2 11 2 3 3" xfId="34439"/>
    <cellStyle name="표준 6 3 2 11 2 4" xfId="15423"/>
    <cellStyle name="표준 6 3 2 11 2 4 2" xfId="40775"/>
    <cellStyle name="표준 6 3 2 11 2 5" xfId="28103"/>
    <cellStyle name="표준 6 3 2 11 2 6" xfId="56140"/>
    <cellStyle name="표준 6 3 2 11 3" xfId="5906"/>
    <cellStyle name="표준 6 3 2 11 3 2" xfId="12242"/>
    <cellStyle name="표준 6 3 2 11 3 2 2" xfId="24915"/>
    <cellStyle name="표준 6 3 2 11 3 2 2 2" xfId="50267"/>
    <cellStyle name="표준 6 3 2 11 3 2 3" xfId="37595"/>
    <cellStyle name="표준 6 3 2 11 3 3" xfId="18579"/>
    <cellStyle name="표준 6 3 2 11 3 3 2" xfId="43931"/>
    <cellStyle name="표준 6 3 2 11 3 4" xfId="31259"/>
    <cellStyle name="표준 6 3 2 11 3 5" xfId="56141"/>
    <cellStyle name="표준 6 3 2 11 4" xfId="9085"/>
    <cellStyle name="표준 6 3 2 11 4 2" xfId="21758"/>
    <cellStyle name="표준 6 3 2 11 4 2 2" xfId="47110"/>
    <cellStyle name="표준 6 3 2 11 4 3" xfId="34438"/>
    <cellStyle name="표준 6 3 2 11 5" xfId="15422"/>
    <cellStyle name="표준 6 3 2 11 5 2" xfId="40774"/>
    <cellStyle name="표준 6 3 2 11 6" xfId="28102"/>
    <cellStyle name="표준 6 3 2 11 7" xfId="56142"/>
    <cellStyle name="표준 6 3 2 12" xfId="2750"/>
    <cellStyle name="표준 6 3 2 12 2" xfId="2751"/>
    <cellStyle name="표준 6 3 2 12 2 2" xfId="5907"/>
    <cellStyle name="표준 6 3 2 12 2 2 2" xfId="12243"/>
    <cellStyle name="표준 6 3 2 12 2 2 2 2" xfId="24916"/>
    <cellStyle name="표준 6 3 2 12 2 2 2 2 2" xfId="50268"/>
    <cellStyle name="표준 6 3 2 12 2 2 2 3" xfId="37596"/>
    <cellStyle name="표준 6 3 2 12 2 2 3" xfId="18580"/>
    <cellStyle name="표준 6 3 2 12 2 2 3 2" xfId="43932"/>
    <cellStyle name="표준 6 3 2 12 2 2 4" xfId="31260"/>
    <cellStyle name="표준 6 3 2 12 2 2 5" xfId="56143"/>
    <cellStyle name="표준 6 3 2 12 2 3" xfId="9088"/>
    <cellStyle name="표준 6 3 2 12 2 3 2" xfId="21761"/>
    <cellStyle name="표준 6 3 2 12 2 3 2 2" xfId="47113"/>
    <cellStyle name="표준 6 3 2 12 2 3 3" xfId="34441"/>
    <cellStyle name="표준 6 3 2 12 2 4" xfId="15425"/>
    <cellStyle name="표준 6 3 2 12 2 4 2" xfId="40777"/>
    <cellStyle name="표준 6 3 2 12 2 5" xfId="28105"/>
    <cellStyle name="표준 6 3 2 12 2 6" xfId="56144"/>
    <cellStyle name="표준 6 3 2 12 3" xfId="5908"/>
    <cellStyle name="표준 6 3 2 12 3 2" xfId="12244"/>
    <cellStyle name="표준 6 3 2 12 3 2 2" xfId="24917"/>
    <cellStyle name="표준 6 3 2 12 3 2 2 2" xfId="50269"/>
    <cellStyle name="표준 6 3 2 12 3 2 3" xfId="37597"/>
    <cellStyle name="표준 6 3 2 12 3 3" xfId="18581"/>
    <cellStyle name="표준 6 3 2 12 3 3 2" xfId="43933"/>
    <cellStyle name="표준 6 3 2 12 3 4" xfId="31261"/>
    <cellStyle name="표준 6 3 2 12 3 5" xfId="56145"/>
    <cellStyle name="표준 6 3 2 12 4" xfId="9087"/>
    <cellStyle name="표준 6 3 2 12 4 2" xfId="21760"/>
    <cellStyle name="표준 6 3 2 12 4 2 2" xfId="47112"/>
    <cellStyle name="표준 6 3 2 12 4 3" xfId="34440"/>
    <cellStyle name="표준 6 3 2 12 5" xfId="15424"/>
    <cellStyle name="표준 6 3 2 12 5 2" xfId="40776"/>
    <cellStyle name="표준 6 3 2 12 6" xfId="28104"/>
    <cellStyle name="표준 6 3 2 12 7" xfId="56146"/>
    <cellStyle name="표준 6 3 2 13" xfId="2752"/>
    <cellStyle name="표준 6 3 2 13 2" xfId="2753"/>
    <cellStyle name="표준 6 3 2 13 2 2" xfId="5909"/>
    <cellStyle name="표준 6 3 2 13 2 2 2" xfId="12245"/>
    <cellStyle name="표준 6 3 2 13 2 2 2 2" xfId="24918"/>
    <cellStyle name="표준 6 3 2 13 2 2 2 2 2" xfId="50270"/>
    <cellStyle name="표준 6 3 2 13 2 2 2 3" xfId="37598"/>
    <cellStyle name="표준 6 3 2 13 2 2 3" xfId="18582"/>
    <cellStyle name="표준 6 3 2 13 2 2 3 2" xfId="43934"/>
    <cellStyle name="표준 6 3 2 13 2 2 4" xfId="31262"/>
    <cellStyle name="표준 6 3 2 13 2 2 5" xfId="56147"/>
    <cellStyle name="표준 6 3 2 13 2 3" xfId="9090"/>
    <cellStyle name="표준 6 3 2 13 2 3 2" xfId="21763"/>
    <cellStyle name="표준 6 3 2 13 2 3 2 2" xfId="47115"/>
    <cellStyle name="표준 6 3 2 13 2 3 3" xfId="34443"/>
    <cellStyle name="표준 6 3 2 13 2 4" xfId="15427"/>
    <cellStyle name="표준 6 3 2 13 2 4 2" xfId="40779"/>
    <cellStyle name="표준 6 3 2 13 2 5" xfId="28107"/>
    <cellStyle name="표준 6 3 2 13 2 6" xfId="56148"/>
    <cellStyle name="표준 6 3 2 13 3" xfId="5910"/>
    <cellStyle name="표준 6 3 2 13 3 2" xfId="12246"/>
    <cellStyle name="표준 6 3 2 13 3 2 2" xfId="24919"/>
    <cellStyle name="표준 6 3 2 13 3 2 2 2" xfId="50271"/>
    <cellStyle name="표준 6 3 2 13 3 2 3" xfId="37599"/>
    <cellStyle name="표준 6 3 2 13 3 3" xfId="18583"/>
    <cellStyle name="표준 6 3 2 13 3 3 2" xfId="43935"/>
    <cellStyle name="표준 6 3 2 13 3 4" xfId="31263"/>
    <cellStyle name="표준 6 3 2 13 3 5" xfId="56149"/>
    <cellStyle name="표준 6 3 2 13 4" xfId="9089"/>
    <cellStyle name="표준 6 3 2 13 4 2" xfId="21762"/>
    <cellStyle name="표준 6 3 2 13 4 2 2" xfId="47114"/>
    <cellStyle name="표준 6 3 2 13 4 3" xfId="34442"/>
    <cellStyle name="표준 6 3 2 13 5" xfId="15426"/>
    <cellStyle name="표준 6 3 2 13 5 2" xfId="40778"/>
    <cellStyle name="표준 6 3 2 13 6" xfId="28106"/>
    <cellStyle name="표준 6 3 2 13 7" xfId="56150"/>
    <cellStyle name="표준 6 3 2 14" xfId="2754"/>
    <cellStyle name="표준 6 3 2 14 2" xfId="2755"/>
    <cellStyle name="표준 6 3 2 14 2 2" xfId="5911"/>
    <cellStyle name="표준 6 3 2 14 2 2 2" xfId="12247"/>
    <cellStyle name="표준 6 3 2 14 2 2 2 2" xfId="24920"/>
    <cellStyle name="표준 6 3 2 14 2 2 2 2 2" xfId="50272"/>
    <cellStyle name="표준 6 3 2 14 2 2 2 3" xfId="37600"/>
    <cellStyle name="표준 6 3 2 14 2 2 3" xfId="18584"/>
    <cellStyle name="표준 6 3 2 14 2 2 3 2" xfId="43936"/>
    <cellStyle name="표준 6 3 2 14 2 2 4" xfId="31264"/>
    <cellStyle name="표준 6 3 2 14 2 2 5" xfId="56151"/>
    <cellStyle name="표준 6 3 2 14 2 3" xfId="9092"/>
    <cellStyle name="표준 6 3 2 14 2 3 2" xfId="21765"/>
    <cellStyle name="표준 6 3 2 14 2 3 2 2" xfId="47117"/>
    <cellStyle name="표준 6 3 2 14 2 3 3" xfId="34445"/>
    <cellStyle name="표준 6 3 2 14 2 4" xfId="15429"/>
    <cellStyle name="표준 6 3 2 14 2 4 2" xfId="40781"/>
    <cellStyle name="표준 6 3 2 14 2 5" xfId="28109"/>
    <cellStyle name="표준 6 3 2 14 2 6" xfId="56152"/>
    <cellStyle name="표준 6 3 2 14 3" xfId="5912"/>
    <cellStyle name="표준 6 3 2 14 3 2" xfId="12248"/>
    <cellStyle name="표준 6 3 2 14 3 2 2" xfId="24921"/>
    <cellStyle name="표준 6 3 2 14 3 2 2 2" xfId="50273"/>
    <cellStyle name="표준 6 3 2 14 3 2 3" xfId="37601"/>
    <cellStyle name="표준 6 3 2 14 3 3" xfId="18585"/>
    <cellStyle name="표준 6 3 2 14 3 3 2" xfId="43937"/>
    <cellStyle name="표준 6 3 2 14 3 4" xfId="31265"/>
    <cellStyle name="표준 6 3 2 14 3 5" xfId="56153"/>
    <cellStyle name="표준 6 3 2 14 4" xfId="9091"/>
    <cellStyle name="표준 6 3 2 14 4 2" xfId="21764"/>
    <cellStyle name="표준 6 3 2 14 4 2 2" xfId="47116"/>
    <cellStyle name="표준 6 3 2 14 4 3" xfId="34444"/>
    <cellStyle name="표준 6 3 2 14 5" xfId="15428"/>
    <cellStyle name="표준 6 3 2 14 5 2" xfId="40780"/>
    <cellStyle name="표준 6 3 2 14 6" xfId="28108"/>
    <cellStyle name="표준 6 3 2 14 7" xfId="56154"/>
    <cellStyle name="표준 6 3 2 15" xfId="2756"/>
    <cellStyle name="표준 6 3 2 15 2" xfId="2757"/>
    <cellStyle name="표준 6 3 2 15 2 2" xfId="5913"/>
    <cellStyle name="표준 6 3 2 15 2 2 2" xfId="12249"/>
    <cellStyle name="표준 6 3 2 15 2 2 2 2" xfId="24922"/>
    <cellStyle name="표준 6 3 2 15 2 2 2 2 2" xfId="50274"/>
    <cellStyle name="표준 6 3 2 15 2 2 2 3" xfId="37602"/>
    <cellStyle name="표준 6 3 2 15 2 2 3" xfId="18586"/>
    <cellStyle name="표준 6 3 2 15 2 2 3 2" xfId="43938"/>
    <cellStyle name="표준 6 3 2 15 2 2 4" xfId="31266"/>
    <cellStyle name="표준 6 3 2 15 2 2 5" xfId="56155"/>
    <cellStyle name="표준 6 3 2 15 2 3" xfId="9094"/>
    <cellStyle name="표준 6 3 2 15 2 3 2" xfId="21767"/>
    <cellStyle name="표준 6 3 2 15 2 3 2 2" xfId="47119"/>
    <cellStyle name="표준 6 3 2 15 2 3 3" xfId="34447"/>
    <cellStyle name="표준 6 3 2 15 2 4" xfId="15431"/>
    <cellStyle name="표준 6 3 2 15 2 4 2" xfId="40783"/>
    <cellStyle name="표준 6 3 2 15 2 5" xfId="28111"/>
    <cellStyle name="표준 6 3 2 15 2 6" xfId="56156"/>
    <cellStyle name="표준 6 3 2 15 3" xfId="5914"/>
    <cellStyle name="표준 6 3 2 15 3 2" xfId="12250"/>
    <cellStyle name="표준 6 3 2 15 3 2 2" xfId="24923"/>
    <cellStyle name="표준 6 3 2 15 3 2 2 2" xfId="50275"/>
    <cellStyle name="표준 6 3 2 15 3 2 3" xfId="37603"/>
    <cellStyle name="표준 6 3 2 15 3 3" xfId="18587"/>
    <cellStyle name="표준 6 3 2 15 3 3 2" xfId="43939"/>
    <cellStyle name="표준 6 3 2 15 3 4" xfId="31267"/>
    <cellStyle name="표준 6 3 2 15 3 5" xfId="56157"/>
    <cellStyle name="표준 6 3 2 15 4" xfId="9093"/>
    <cellStyle name="표준 6 3 2 15 4 2" xfId="21766"/>
    <cellStyle name="표준 6 3 2 15 4 2 2" xfId="47118"/>
    <cellStyle name="표준 6 3 2 15 4 3" xfId="34446"/>
    <cellStyle name="표준 6 3 2 15 5" xfId="15430"/>
    <cellStyle name="표준 6 3 2 15 5 2" xfId="40782"/>
    <cellStyle name="표준 6 3 2 15 6" xfId="28110"/>
    <cellStyle name="표준 6 3 2 15 7" xfId="56158"/>
    <cellStyle name="표준 6 3 2 16" xfId="2758"/>
    <cellStyle name="표준 6 3 2 16 2" xfId="2759"/>
    <cellStyle name="표준 6 3 2 16 2 2" xfId="5915"/>
    <cellStyle name="표준 6 3 2 16 2 2 2" xfId="12251"/>
    <cellStyle name="표준 6 3 2 16 2 2 2 2" xfId="24924"/>
    <cellStyle name="표준 6 3 2 16 2 2 2 2 2" xfId="50276"/>
    <cellStyle name="표준 6 3 2 16 2 2 2 3" xfId="37604"/>
    <cellStyle name="표준 6 3 2 16 2 2 3" xfId="18588"/>
    <cellStyle name="표준 6 3 2 16 2 2 3 2" xfId="43940"/>
    <cellStyle name="표준 6 3 2 16 2 2 4" xfId="31268"/>
    <cellStyle name="표준 6 3 2 16 2 2 5" xfId="56159"/>
    <cellStyle name="표준 6 3 2 16 2 3" xfId="9096"/>
    <cellStyle name="표준 6 3 2 16 2 3 2" xfId="21769"/>
    <cellStyle name="표준 6 3 2 16 2 3 2 2" xfId="47121"/>
    <cellStyle name="표준 6 3 2 16 2 3 3" xfId="34449"/>
    <cellStyle name="표준 6 3 2 16 2 4" xfId="15433"/>
    <cellStyle name="표준 6 3 2 16 2 4 2" xfId="40785"/>
    <cellStyle name="표준 6 3 2 16 2 5" xfId="28113"/>
    <cellStyle name="표준 6 3 2 16 2 6" xfId="56160"/>
    <cellStyle name="표준 6 3 2 16 3" xfId="5916"/>
    <cellStyle name="표준 6 3 2 16 3 2" xfId="12252"/>
    <cellStyle name="표준 6 3 2 16 3 2 2" xfId="24925"/>
    <cellStyle name="표준 6 3 2 16 3 2 2 2" xfId="50277"/>
    <cellStyle name="표준 6 3 2 16 3 2 3" xfId="37605"/>
    <cellStyle name="표준 6 3 2 16 3 3" xfId="18589"/>
    <cellStyle name="표준 6 3 2 16 3 3 2" xfId="43941"/>
    <cellStyle name="표준 6 3 2 16 3 4" xfId="31269"/>
    <cellStyle name="표준 6 3 2 16 3 5" xfId="56161"/>
    <cellStyle name="표준 6 3 2 16 4" xfId="9095"/>
    <cellStyle name="표준 6 3 2 16 4 2" xfId="21768"/>
    <cellStyle name="표준 6 3 2 16 4 2 2" xfId="47120"/>
    <cellStyle name="표준 6 3 2 16 4 3" xfId="34448"/>
    <cellStyle name="표준 6 3 2 16 5" xfId="15432"/>
    <cellStyle name="표준 6 3 2 16 5 2" xfId="40784"/>
    <cellStyle name="표준 6 3 2 16 6" xfId="28112"/>
    <cellStyle name="표준 6 3 2 16 7" xfId="56162"/>
    <cellStyle name="표준 6 3 2 17" xfId="2760"/>
    <cellStyle name="표준 6 3 2 17 2" xfId="2761"/>
    <cellStyle name="표준 6 3 2 17 2 2" xfId="5917"/>
    <cellStyle name="표준 6 3 2 17 2 2 2" xfId="12253"/>
    <cellStyle name="표준 6 3 2 17 2 2 2 2" xfId="24926"/>
    <cellStyle name="표준 6 3 2 17 2 2 2 2 2" xfId="50278"/>
    <cellStyle name="표준 6 3 2 17 2 2 2 3" xfId="37606"/>
    <cellStyle name="표준 6 3 2 17 2 2 3" xfId="18590"/>
    <cellStyle name="표준 6 3 2 17 2 2 3 2" xfId="43942"/>
    <cellStyle name="표준 6 3 2 17 2 2 4" xfId="31270"/>
    <cellStyle name="표준 6 3 2 17 2 2 5" xfId="56163"/>
    <cellStyle name="표준 6 3 2 17 2 3" xfId="9098"/>
    <cellStyle name="표준 6 3 2 17 2 3 2" xfId="21771"/>
    <cellStyle name="표준 6 3 2 17 2 3 2 2" xfId="47123"/>
    <cellStyle name="표준 6 3 2 17 2 3 3" xfId="34451"/>
    <cellStyle name="표준 6 3 2 17 2 4" xfId="15435"/>
    <cellStyle name="표준 6 3 2 17 2 4 2" xfId="40787"/>
    <cellStyle name="표준 6 3 2 17 2 5" xfId="28115"/>
    <cellStyle name="표준 6 3 2 17 2 6" xfId="56164"/>
    <cellStyle name="표준 6 3 2 17 3" xfId="5918"/>
    <cellStyle name="표준 6 3 2 17 3 2" xfId="12254"/>
    <cellStyle name="표준 6 3 2 17 3 2 2" xfId="24927"/>
    <cellStyle name="표준 6 3 2 17 3 2 2 2" xfId="50279"/>
    <cellStyle name="표준 6 3 2 17 3 2 3" xfId="37607"/>
    <cellStyle name="표준 6 3 2 17 3 3" xfId="18591"/>
    <cellStyle name="표준 6 3 2 17 3 3 2" xfId="43943"/>
    <cellStyle name="표준 6 3 2 17 3 4" xfId="31271"/>
    <cellStyle name="표준 6 3 2 17 3 5" xfId="56165"/>
    <cellStyle name="표준 6 3 2 17 4" xfId="9097"/>
    <cellStyle name="표준 6 3 2 17 4 2" xfId="21770"/>
    <cellStyle name="표준 6 3 2 17 4 2 2" xfId="47122"/>
    <cellStyle name="표준 6 3 2 17 4 3" xfId="34450"/>
    <cellStyle name="표준 6 3 2 17 5" xfId="15434"/>
    <cellStyle name="표준 6 3 2 17 5 2" xfId="40786"/>
    <cellStyle name="표준 6 3 2 17 6" xfId="28114"/>
    <cellStyle name="표준 6 3 2 17 7" xfId="56166"/>
    <cellStyle name="표준 6 3 2 18" xfId="2762"/>
    <cellStyle name="표준 6 3 2 18 2" xfId="2763"/>
    <cellStyle name="표준 6 3 2 18 2 2" xfId="5919"/>
    <cellStyle name="표준 6 3 2 18 2 2 2" xfId="12255"/>
    <cellStyle name="표준 6 3 2 18 2 2 2 2" xfId="24928"/>
    <cellStyle name="표준 6 3 2 18 2 2 2 2 2" xfId="50280"/>
    <cellStyle name="표준 6 3 2 18 2 2 2 3" xfId="37608"/>
    <cellStyle name="표준 6 3 2 18 2 2 3" xfId="18592"/>
    <cellStyle name="표준 6 3 2 18 2 2 3 2" xfId="43944"/>
    <cellStyle name="표준 6 3 2 18 2 2 4" xfId="31272"/>
    <cellStyle name="표준 6 3 2 18 2 2 5" xfId="56167"/>
    <cellStyle name="표준 6 3 2 18 2 3" xfId="9100"/>
    <cellStyle name="표준 6 3 2 18 2 3 2" xfId="21773"/>
    <cellStyle name="표준 6 3 2 18 2 3 2 2" xfId="47125"/>
    <cellStyle name="표준 6 3 2 18 2 3 3" xfId="34453"/>
    <cellStyle name="표준 6 3 2 18 2 4" xfId="15437"/>
    <cellStyle name="표준 6 3 2 18 2 4 2" xfId="40789"/>
    <cellStyle name="표준 6 3 2 18 2 5" xfId="28117"/>
    <cellStyle name="표준 6 3 2 18 2 6" xfId="56168"/>
    <cellStyle name="표준 6 3 2 18 3" xfId="5920"/>
    <cellStyle name="표준 6 3 2 18 3 2" xfId="12256"/>
    <cellStyle name="표준 6 3 2 18 3 2 2" xfId="24929"/>
    <cellStyle name="표준 6 3 2 18 3 2 2 2" xfId="50281"/>
    <cellStyle name="표준 6 3 2 18 3 2 3" xfId="37609"/>
    <cellStyle name="표준 6 3 2 18 3 3" xfId="18593"/>
    <cellStyle name="표준 6 3 2 18 3 3 2" xfId="43945"/>
    <cellStyle name="표준 6 3 2 18 3 4" xfId="31273"/>
    <cellStyle name="표준 6 3 2 18 3 5" xfId="56169"/>
    <cellStyle name="표준 6 3 2 18 4" xfId="9099"/>
    <cellStyle name="표준 6 3 2 18 4 2" xfId="21772"/>
    <cellStyle name="표준 6 3 2 18 4 2 2" xfId="47124"/>
    <cellStyle name="표준 6 3 2 18 4 3" xfId="34452"/>
    <cellStyle name="표준 6 3 2 18 5" xfId="15436"/>
    <cellStyle name="표준 6 3 2 18 5 2" xfId="40788"/>
    <cellStyle name="표준 6 3 2 18 6" xfId="28116"/>
    <cellStyle name="표준 6 3 2 18 7" xfId="56170"/>
    <cellStyle name="표준 6 3 2 19" xfId="2764"/>
    <cellStyle name="표준 6 3 2 19 2" xfId="2765"/>
    <cellStyle name="표준 6 3 2 19 2 2" xfId="5921"/>
    <cellStyle name="표준 6 3 2 19 2 2 2" xfId="12257"/>
    <cellStyle name="표준 6 3 2 19 2 2 2 2" xfId="24930"/>
    <cellStyle name="표준 6 3 2 19 2 2 2 2 2" xfId="50282"/>
    <cellStyle name="표준 6 3 2 19 2 2 2 3" xfId="37610"/>
    <cellStyle name="표준 6 3 2 19 2 2 3" xfId="18594"/>
    <cellStyle name="표준 6 3 2 19 2 2 3 2" xfId="43946"/>
    <cellStyle name="표준 6 3 2 19 2 2 4" xfId="31274"/>
    <cellStyle name="표준 6 3 2 19 2 2 5" xfId="56171"/>
    <cellStyle name="표준 6 3 2 19 2 3" xfId="9102"/>
    <cellStyle name="표준 6 3 2 19 2 3 2" xfId="21775"/>
    <cellStyle name="표준 6 3 2 19 2 3 2 2" xfId="47127"/>
    <cellStyle name="표준 6 3 2 19 2 3 3" xfId="34455"/>
    <cellStyle name="표준 6 3 2 19 2 4" xfId="15439"/>
    <cellStyle name="표준 6 3 2 19 2 4 2" xfId="40791"/>
    <cellStyle name="표준 6 3 2 19 2 5" xfId="28119"/>
    <cellStyle name="표준 6 3 2 19 2 6" xfId="56172"/>
    <cellStyle name="표준 6 3 2 19 3" xfId="5922"/>
    <cellStyle name="표준 6 3 2 19 3 2" xfId="12258"/>
    <cellStyle name="표준 6 3 2 19 3 2 2" xfId="24931"/>
    <cellStyle name="표준 6 3 2 19 3 2 2 2" xfId="50283"/>
    <cellStyle name="표준 6 3 2 19 3 2 3" xfId="37611"/>
    <cellStyle name="표준 6 3 2 19 3 3" xfId="18595"/>
    <cellStyle name="표준 6 3 2 19 3 3 2" xfId="43947"/>
    <cellStyle name="표준 6 3 2 19 3 4" xfId="31275"/>
    <cellStyle name="표준 6 3 2 19 3 5" xfId="56173"/>
    <cellStyle name="표준 6 3 2 19 4" xfId="9101"/>
    <cellStyle name="표준 6 3 2 19 4 2" xfId="21774"/>
    <cellStyle name="표준 6 3 2 19 4 2 2" xfId="47126"/>
    <cellStyle name="표준 6 3 2 19 4 3" xfId="34454"/>
    <cellStyle name="표준 6 3 2 19 5" xfId="15438"/>
    <cellStyle name="표준 6 3 2 19 5 2" xfId="40790"/>
    <cellStyle name="표준 6 3 2 19 6" xfId="28118"/>
    <cellStyle name="표준 6 3 2 19 7" xfId="56174"/>
    <cellStyle name="표준 6 3 2 2" xfId="97"/>
    <cellStyle name="표준 6 3 2 2 10" xfId="2766"/>
    <cellStyle name="표준 6 3 2 2 10 2" xfId="2767"/>
    <cellStyle name="표준 6 3 2 2 10 2 2" xfId="5923"/>
    <cellStyle name="표준 6 3 2 2 10 2 2 2" xfId="12259"/>
    <cellStyle name="표준 6 3 2 2 10 2 2 2 2" xfId="24932"/>
    <cellStyle name="표준 6 3 2 2 10 2 2 2 2 2" xfId="50284"/>
    <cellStyle name="표준 6 3 2 2 10 2 2 2 3" xfId="37612"/>
    <cellStyle name="표준 6 3 2 2 10 2 2 3" xfId="18596"/>
    <cellStyle name="표준 6 3 2 2 10 2 2 3 2" xfId="43948"/>
    <cellStyle name="표준 6 3 2 2 10 2 2 4" xfId="31276"/>
    <cellStyle name="표준 6 3 2 2 10 2 2 5" xfId="56175"/>
    <cellStyle name="표준 6 3 2 2 10 2 3" xfId="9104"/>
    <cellStyle name="표준 6 3 2 2 10 2 3 2" xfId="21777"/>
    <cellStyle name="표준 6 3 2 2 10 2 3 2 2" xfId="47129"/>
    <cellStyle name="표준 6 3 2 2 10 2 3 3" xfId="34457"/>
    <cellStyle name="표준 6 3 2 2 10 2 4" xfId="15441"/>
    <cellStyle name="표준 6 3 2 2 10 2 4 2" xfId="40793"/>
    <cellStyle name="표준 6 3 2 2 10 2 5" xfId="28121"/>
    <cellStyle name="표준 6 3 2 2 10 2 6" xfId="56176"/>
    <cellStyle name="표준 6 3 2 2 10 3" xfId="5924"/>
    <cellStyle name="표준 6 3 2 2 10 3 2" xfId="12260"/>
    <cellStyle name="표준 6 3 2 2 10 3 2 2" xfId="24933"/>
    <cellStyle name="표준 6 3 2 2 10 3 2 2 2" xfId="50285"/>
    <cellStyle name="표준 6 3 2 2 10 3 2 3" xfId="37613"/>
    <cellStyle name="표준 6 3 2 2 10 3 3" xfId="18597"/>
    <cellStyle name="표준 6 3 2 2 10 3 3 2" xfId="43949"/>
    <cellStyle name="표준 6 3 2 2 10 3 4" xfId="31277"/>
    <cellStyle name="표준 6 3 2 2 10 3 5" xfId="56177"/>
    <cellStyle name="표준 6 3 2 2 10 4" xfId="9103"/>
    <cellStyle name="표준 6 3 2 2 10 4 2" xfId="21776"/>
    <cellStyle name="표준 6 3 2 2 10 4 2 2" xfId="47128"/>
    <cellStyle name="표준 6 3 2 2 10 4 3" xfId="34456"/>
    <cellStyle name="표준 6 3 2 2 10 5" xfId="15440"/>
    <cellStyle name="표준 6 3 2 2 10 5 2" xfId="40792"/>
    <cellStyle name="표준 6 3 2 2 10 6" xfId="28120"/>
    <cellStyle name="표준 6 3 2 2 10 7" xfId="56178"/>
    <cellStyle name="표준 6 3 2 2 11" xfId="2768"/>
    <cellStyle name="표준 6 3 2 2 11 2" xfId="2769"/>
    <cellStyle name="표준 6 3 2 2 11 2 2" xfId="5925"/>
    <cellStyle name="표준 6 3 2 2 11 2 2 2" xfId="12261"/>
    <cellStyle name="표준 6 3 2 2 11 2 2 2 2" xfId="24934"/>
    <cellStyle name="표준 6 3 2 2 11 2 2 2 2 2" xfId="50286"/>
    <cellStyle name="표준 6 3 2 2 11 2 2 2 3" xfId="37614"/>
    <cellStyle name="표준 6 3 2 2 11 2 2 3" xfId="18598"/>
    <cellStyle name="표준 6 3 2 2 11 2 2 3 2" xfId="43950"/>
    <cellStyle name="표준 6 3 2 2 11 2 2 4" xfId="31278"/>
    <cellStyle name="표준 6 3 2 2 11 2 2 5" xfId="56179"/>
    <cellStyle name="표준 6 3 2 2 11 2 3" xfId="9106"/>
    <cellStyle name="표준 6 3 2 2 11 2 3 2" xfId="21779"/>
    <cellStyle name="표준 6 3 2 2 11 2 3 2 2" xfId="47131"/>
    <cellStyle name="표준 6 3 2 2 11 2 3 3" xfId="34459"/>
    <cellStyle name="표준 6 3 2 2 11 2 4" xfId="15443"/>
    <cellStyle name="표준 6 3 2 2 11 2 4 2" xfId="40795"/>
    <cellStyle name="표준 6 3 2 2 11 2 5" xfId="28123"/>
    <cellStyle name="표준 6 3 2 2 11 2 6" xfId="56180"/>
    <cellStyle name="표준 6 3 2 2 11 3" xfId="5926"/>
    <cellStyle name="표준 6 3 2 2 11 3 2" xfId="12262"/>
    <cellStyle name="표준 6 3 2 2 11 3 2 2" xfId="24935"/>
    <cellStyle name="표준 6 3 2 2 11 3 2 2 2" xfId="50287"/>
    <cellStyle name="표준 6 3 2 2 11 3 2 3" xfId="37615"/>
    <cellStyle name="표준 6 3 2 2 11 3 3" xfId="18599"/>
    <cellStyle name="표준 6 3 2 2 11 3 3 2" xfId="43951"/>
    <cellStyle name="표준 6 3 2 2 11 3 4" xfId="31279"/>
    <cellStyle name="표준 6 3 2 2 11 3 5" xfId="56181"/>
    <cellStyle name="표준 6 3 2 2 11 4" xfId="9105"/>
    <cellStyle name="표준 6 3 2 2 11 4 2" xfId="21778"/>
    <cellStyle name="표준 6 3 2 2 11 4 2 2" xfId="47130"/>
    <cellStyle name="표준 6 3 2 2 11 4 3" xfId="34458"/>
    <cellStyle name="표준 6 3 2 2 11 5" xfId="15442"/>
    <cellStyle name="표준 6 3 2 2 11 5 2" xfId="40794"/>
    <cellStyle name="표준 6 3 2 2 11 6" xfId="28122"/>
    <cellStyle name="표준 6 3 2 2 11 7" xfId="56182"/>
    <cellStyle name="표준 6 3 2 2 12" xfId="2770"/>
    <cellStyle name="표준 6 3 2 2 12 2" xfId="2771"/>
    <cellStyle name="표준 6 3 2 2 12 2 2" xfId="5927"/>
    <cellStyle name="표준 6 3 2 2 12 2 2 2" xfId="12263"/>
    <cellStyle name="표준 6 3 2 2 12 2 2 2 2" xfId="24936"/>
    <cellStyle name="표준 6 3 2 2 12 2 2 2 2 2" xfId="50288"/>
    <cellStyle name="표준 6 3 2 2 12 2 2 2 3" xfId="37616"/>
    <cellStyle name="표준 6 3 2 2 12 2 2 3" xfId="18600"/>
    <cellStyle name="표준 6 3 2 2 12 2 2 3 2" xfId="43952"/>
    <cellStyle name="표준 6 3 2 2 12 2 2 4" xfId="31280"/>
    <cellStyle name="표준 6 3 2 2 12 2 2 5" xfId="56183"/>
    <cellStyle name="표준 6 3 2 2 12 2 3" xfId="9108"/>
    <cellStyle name="표준 6 3 2 2 12 2 3 2" xfId="21781"/>
    <cellStyle name="표준 6 3 2 2 12 2 3 2 2" xfId="47133"/>
    <cellStyle name="표준 6 3 2 2 12 2 3 3" xfId="34461"/>
    <cellStyle name="표준 6 3 2 2 12 2 4" xfId="15445"/>
    <cellStyle name="표준 6 3 2 2 12 2 4 2" xfId="40797"/>
    <cellStyle name="표준 6 3 2 2 12 2 5" xfId="28125"/>
    <cellStyle name="표준 6 3 2 2 12 2 6" xfId="56184"/>
    <cellStyle name="표준 6 3 2 2 12 3" xfId="5928"/>
    <cellStyle name="표준 6 3 2 2 12 3 2" xfId="12264"/>
    <cellStyle name="표준 6 3 2 2 12 3 2 2" xfId="24937"/>
    <cellStyle name="표준 6 3 2 2 12 3 2 2 2" xfId="50289"/>
    <cellStyle name="표준 6 3 2 2 12 3 2 3" xfId="37617"/>
    <cellStyle name="표준 6 3 2 2 12 3 3" xfId="18601"/>
    <cellStyle name="표준 6 3 2 2 12 3 3 2" xfId="43953"/>
    <cellStyle name="표준 6 3 2 2 12 3 4" xfId="31281"/>
    <cellStyle name="표준 6 3 2 2 12 3 5" xfId="56185"/>
    <cellStyle name="표준 6 3 2 2 12 4" xfId="9107"/>
    <cellStyle name="표준 6 3 2 2 12 4 2" xfId="21780"/>
    <cellStyle name="표준 6 3 2 2 12 4 2 2" xfId="47132"/>
    <cellStyle name="표준 6 3 2 2 12 4 3" xfId="34460"/>
    <cellStyle name="표준 6 3 2 2 12 5" xfId="15444"/>
    <cellStyle name="표준 6 3 2 2 12 5 2" xfId="40796"/>
    <cellStyle name="표준 6 3 2 2 12 6" xfId="28124"/>
    <cellStyle name="표준 6 3 2 2 12 7" xfId="56186"/>
    <cellStyle name="표준 6 3 2 2 13" xfId="2772"/>
    <cellStyle name="표준 6 3 2 2 13 2" xfId="2773"/>
    <cellStyle name="표준 6 3 2 2 13 2 2" xfId="5929"/>
    <cellStyle name="표준 6 3 2 2 13 2 2 2" xfId="12265"/>
    <cellStyle name="표준 6 3 2 2 13 2 2 2 2" xfId="24938"/>
    <cellStyle name="표준 6 3 2 2 13 2 2 2 2 2" xfId="50290"/>
    <cellStyle name="표준 6 3 2 2 13 2 2 2 3" xfId="37618"/>
    <cellStyle name="표준 6 3 2 2 13 2 2 3" xfId="18602"/>
    <cellStyle name="표준 6 3 2 2 13 2 2 3 2" xfId="43954"/>
    <cellStyle name="표준 6 3 2 2 13 2 2 4" xfId="31282"/>
    <cellStyle name="표준 6 3 2 2 13 2 2 5" xfId="56187"/>
    <cellStyle name="표준 6 3 2 2 13 2 3" xfId="9110"/>
    <cellStyle name="표준 6 3 2 2 13 2 3 2" xfId="21783"/>
    <cellStyle name="표준 6 3 2 2 13 2 3 2 2" xfId="47135"/>
    <cellStyle name="표준 6 3 2 2 13 2 3 3" xfId="34463"/>
    <cellStyle name="표준 6 3 2 2 13 2 4" xfId="15447"/>
    <cellStyle name="표준 6 3 2 2 13 2 4 2" xfId="40799"/>
    <cellStyle name="표준 6 3 2 2 13 2 5" xfId="28127"/>
    <cellStyle name="표준 6 3 2 2 13 2 6" xfId="56188"/>
    <cellStyle name="표준 6 3 2 2 13 3" xfId="5930"/>
    <cellStyle name="표준 6 3 2 2 13 3 2" xfId="12266"/>
    <cellStyle name="표준 6 3 2 2 13 3 2 2" xfId="24939"/>
    <cellStyle name="표준 6 3 2 2 13 3 2 2 2" xfId="50291"/>
    <cellStyle name="표준 6 3 2 2 13 3 2 3" xfId="37619"/>
    <cellStyle name="표준 6 3 2 2 13 3 3" xfId="18603"/>
    <cellStyle name="표준 6 3 2 2 13 3 3 2" xfId="43955"/>
    <cellStyle name="표준 6 3 2 2 13 3 4" xfId="31283"/>
    <cellStyle name="표준 6 3 2 2 13 3 5" xfId="56189"/>
    <cellStyle name="표준 6 3 2 2 13 4" xfId="9109"/>
    <cellStyle name="표준 6 3 2 2 13 4 2" xfId="21782"/>
    <cellStyle name="표준 6 3 2 2 13 4 2 2" xfId="47134"/>
    <cellStyle name="표준 6 3 2 2 13 4 3" xfId="34462"/>
    <cellStyle name="표준 6 3 2 2 13 5" xfId="15446"/>
    <cellStyle name="표준 6 3 2 2 13 5 2" xfId="40798"/>
    <cellStyle name="표준 6 3 2 2 13 6" xfId="28126"/>
    <cellStyle name="표준 6 3 2 2 13 7" xfId="56190"/>
    <cellStyle name="표준 6 3 2 2 14" xfId="2774"/>
    <cellStyle name="표준 6 3 2 2 14 2" xfId="2775"/>
    <cellStyle name="표준 6 3 2 2 14 2 2" xfId="5931"/>
    <cellStyle name="표준 6 3 2 2 14 2 2 2" xfId="12267"/>
    <cellStyle name="표준 6 3 2 2 14 2 2 2 2" xfId="24940"/>
    <cellStyle name="표준 6 3 2 2 14 2 2 2 2 2" xfId="50292"/>
    <cellStyle name="표준 6 3 2 2 14 2 2 2 3" xfId="37620"/>
    <cellStyle name="표준 6 3 2 2 14 2 2 3" xfId="18604"/>
    <cellStyle name="표준 6 3 2 2 14 2 2 3 2" xfId="43956"/>
    <cellStyle name="표준 6 3 2 2 14 2 2 4" xfId="31284"/>
    <cellStyle name="표준 6 3 2 2 14 2 2 5" xfId="56191"/>
    <cellStyle name="표준 6 3 2 2 14 2 3" xfId="9112"/>
    <cellStyle name="표준 6 3 2 2 14 2 3 2" xfId="21785"/>
    <cellStyle name="표준 6 3 2 2 14 2 3 2 2" xfId="47137"/>
    <cellStyle name="표준 6 3 2 2 14 2 3 3" xfId="34465"/>
    <cellStyle name="표준 6 3 2 2 14 2 4" xfId="15449"/>
    <cellStyle name="표준 6 3 2 2 14 2 4 2" xfId="40801"/>
    <cellStyle name="표준 6 3 2 2 14 2 5" xfId="28129"/>
    <cellStyle name="표준 6 3 2 2 14 2 6" xfId="56192"/>
    <cellStyle name="표준 6 3 2 2 14 3" xfId="5932"/>
    <cellStyle name="표준 6 3 2 2 14 3 2" xfId="12268"/>
    <cellStyle name="표준 6 3 2 2 14 3 2 2" xfId="24941"/>
    <cellStyle name="표준 6 3 2 2 14 3 2 2 2" xfId="50293"/>
    <cellStyle name="표준 6 3 2 2 14 3 2 3" xfId="37621"/>
    <cellStyle name="표준 6 3 2 2 14 3 3" xfId="18605"/>
    <cellStyle name="표준 6 3 2 2 14 3 3 2" xfId="43957"/>
    <cellStyle name="표준 6 3 2 2 14 3 4" xfId="31285"/>
    <cellStyle name="표준 6 3 2 2 14 3 5" xfId="56193"/>
    <cellStyle name="표준 6 3 2 2 14 4" xfId="9111"/>
    <cellStyle name="표준 6 3 2 2 14 4 2" xfId="21784"/>
    <cellStyle name="표준 6 3 2 2 14 4 2 2" xfId="47136"/>
    <cellStyle name="표준 6 3 2 2 14 4 3" xfId="34464"/>
    <cellStyle name="표준 6 3 2 2 14 5" xfId="15448"/>
    <cellStyle name="표준 6 3 2 2 14 5 2" xfId="40800"/>
    <cellStyle name="표준 6 3 2 2 14 6" xfId="28128"/>
    <cellStyle name="표준 6 3 2 2 14 7" xfId="56194"/>
    <cellStyle name="표준 6 3 2 2 15" xfId="2776"/>
    <cellStyle name="표준 6 3 2 2 15 2" xfId="2777"/>
    <cellStyle name="표준 6 3 2 2 15 2 2" xfId="5933"/>
    <cellStyle name="표준 6 3 2 2 15 2 2 2" xfId="12269"/>
    <cellStyle name="표준 6 3 2 2 15 2 2 2 2" xfId="24942"/>
    <cellStyle name="표준 6 3 2 2 15 2 2 2 2 2" xfId="50294"/>
    <cellStyle name="표준 6 3 2 2 15 2 2 2 3" xfId="37622"/>
    <cellStyle name="표준 6 3 2 2 15 2 2 3" xfId="18606"/>
    <cellStyle name="표준 6 3 2 2 15 2 2 3 2" xfId="43958"/>
    <cellStyle name="표준 6 3 2 2 15 2 2 4" xfId="31286"/>
    <cellStyle name="표준 6 3 2 2 15 2 2 5" xfId="56195"/>
    <cellStyle name="표준 6 3 2 2 15 2 3" xfId="9114"/>
    <cellStyle name="표준 6 3 2 2 15 2 3 2" xfId="21787"/>
    <cellStyle name="표준 6 3 2 2 15 2 3 2 2" xfId="47139"/>
    <cellStyle name="표준 6 3 2 2 15 2 3 3" xfId="34467"/>
    <cellStyle name="표준 6 3 2 2 15 2 4" xfId="15451"/>
    <cellStyle name="표준 6 3 2 2 15 2 4 2" xfId="40803"/>
    <cellStyle name="표준 6 3 2 2 15 2 5" xfId="28131"/>
    <cellStyle name="표준 6 3 2 2 15 2 6" xfId="56196"/>
    <cellStyle name="표준 6 3 2 2 15 3" xfId="5934"/>
    <cellStyle name="표준 6 3 2 2 15 3 2" xfId="12270"/>
    <cellStyle name="표준 6 3 2 2 15 3 2 2" xfId="24943"/>
    <cellStyle name="표준 6 3 2 2 15 3 2 2 2" xfId="50295"/>
    <cellStyle name="표준 6 3 2 2 15 3 2 3" xfId="37623"/>
    <cellStyle name="표준 6 3 2 2 15 3 3" xfId="18607"/>
    <cellStyle name="표준 6 3 2 2 15 3 3 2" xfId="43959"/>
    <cellStyle name="표준 6 3 2 2 15 3 4" xfId="31287"/>
    <cellStyle name="표준 6 3 2 2 15 3 5" xfId="56197"/>
    <cellStyle name="표준 6 3 2 2 15 4" xfId="9113"/>
    <cellStyle name="표준 6 3 2 2 15 4 2" xfId="21786"/>
    <cellStyle name="표준 6 3 2 2 15 4 2 2" xfId="47138"/>
    <cellStyle name="표준 6 3 2 2 15 4 3" xfId="34466"/>
    <cellStyle name="표준 6 3 2 2 15 5" xfId="15450"/>
    <cellStyle name="표준 6 3 2 2 15 5 2" xfId="40802"/>
    <cellStyle name="표준 6 3 2 2 15 6" xfId="28130"/>
    <cellStyle name="표준 6 3 2 2 15 7" xfId="56198"/>
    <cellStyle name="표준 6 3 2 2 16" xfId="2778"/>
    <cellStyle name="표준 6 3 2 2 16 2" xfId="2779"/>
    <cellStyle name="표준 6 3 2 2 16 2 2" xfId="5935"/>
    <cellStyle name="표준 6 3 2 2 16 2 2 2" xfId="12271"/>
    <cellStyle name="표준 6 3 2 2 16 2 2 2 2" xfId="24944"/>
    <cellStyle name="표준 6 3 2 2 16 2 2 2 2 2" xfId="50296"/>
    <cellStyle name="표준 6 3 2 2 16 2 2 2 3" xfId="37624"/>
    <cellStyle name="표준 6 3 2 2 16 2 2 3" xfId="18608"/>
    <cellStyle name="표준 6 3 2 2 16 2 2 3 2" xfId="43960"/>
    <cellStyle name="표준 6 3 2 2 16 2 2 4" xfId="31288"/>
    <cellStyle name="표준 6 3 2 2 16 2 2 5" xfId="56199"/>
    <cellStyle name="표준 6 3 2 2 16 2 3" xfId="9116"/>
    <cellStyle name="표준 6 3 2 2 16 2 3 2" xfId="21789"/>
    <cellStyle name="표준 6 3 2 2 16 2 3 2 2" xfId="47141"/>
    <cellStyle name="표준 6 3 2 2 16 2 3 3" xfId="34469"/>
    <cellStyle name="표준 6 3 2 2 16 2 4" xfId="15453"/>
    <cellStyle name="표준 6 3 2 2 16 2 4 2" xfId="40805"/>
    <cellStyle name="표준 6 3 2 2 16 2 5" xfId="28133"/>
    <cellStyle name="표준 6 3 2 2 16 2 6" xfId="56200"/>
    <cellStyle name="표준 6 3 2 2 16 3" xfId="5936"/>
    <cellStyle name="표준 6 3 2 2 16 3 2" xfId="12272"/>
    <cellStyle name="표준 6 3 2 2 16 3 2 2" xfId="24945"/>
    <cellStyle name="표준 6 3 2 2 16 3 2 2 2" xfId="50297"/>
    <cellStyle name="표준 6 3 2 2 16 3 2 3" xfId="37625"/>
    <cellStyle name="표준 6 3 2 2 16 3 3" xfId="18609"/>
    <cellStyle name="표준 6 3 2 2 16 3 3 2" xfId="43961"/>
    <cellStyle name="표준 6 3 2 2 16 3 4" xfId="31289"/>
    <cellStyle name="표준 6 3 2 2 16 3 5" xfId="56201"/>
    <cellStyle name="표준 6 3 2 2 16 4" xfId="9115"/>
    <cellStyle name="표준 6 3 2 2 16 4 2" xfId="21788"/>
    <cellStyle name="표준 6 3 2 2 16 4 2 2" xfId="47140"/>
    <cellStyle name="표준 6 3 2 2 16 4 3" xfId="34468"/>
    <cellStyle name="표준 6 3 2 2 16 5" xfId="15452"/>
    <cellStyle name="표준 6 3 2 2 16 5 2" xfId="40804"/>
    <cellStyle name="표준 6 3 2 2 16 6" xfId="28132"/>
    <cellStyle name="표준 6 3 2 2 16 7" xfId="56202"/>
    <cellStyle name="표준 6 3 2 2 17" xfId="2780"/>
    <cellStyle name="표준 6 3 2 2 17 2" xfId="2781"/>
    <cellStyle name="표준 6 3 2 2 17 2 2" xfId="5937"/>
    <cellStyle name="표준 6 3 2 2 17 2 2 2" xfId="12273"/>
    <cellStyle name="표준 6 3 2 2 17 2 2 2 2" xfId="24946"/>
    <cellStyle name="표준 6 3 2 2 17 2 2 2 2 2" xfId="50298"/>
    <cellStyle name="표준 6 3 2 2 17 2 2 2 3" xfId="37626"/>
    <cellStyle name="표준 6 3 2 2 17 2 2 3" xfId="18610"/>
    <cellStyle name="표준 6 3 2 2 17 2 2 3 2" xfId="43962"/>
    <cellStyle name="표준 6 3 2 2 17 2 2 4" xfId="31290"/>
    <cellStyle name="표준 6 3 2 2 17 2 2 5" xfId="56203"/>
    <cellStyle name="표준 6 3 2 2 17 2 3" xfId="9118"/>
    <cellStyle name="표준 6 3 2 2 17 2 3 2" xfId="21791"/>
    <cellStyle name="표준 6 3 2 2 17 2 3 2 2" xfId="47143"/>
    <cellStyle name="표준 6 3 2 2 17 2 3 3" xfId="34471"/>
    <cellStyle name="표준 6 3 2 2 17 2 4" xfId="15455"/>
    <cellStyle name="표준 6 3 2 2 17 2 4 2" xfId="40807"/>
    <cellStyle name="표준 6 3 2 2 17 2 5" xfId="28135"/>
    <cellStyle name="표준 6 3 2 2 17 2 6" xfId="56204"/>
    <cellStyle name="표준 6 3 2 2 17 3" xfId="5938"/>
    <cellStyle name="표준 6 3 2 2 17 3 2" xfId="12274"/>
    <cellStyle name="표준 6 3 2 2 17 3 2 2" xfId="24947"/>
    <cellStyle name="표준 6 3 2 2 17 3 2 2 2" xfId="50299"/>
    <cellStyle name="표준 6 3 2 2 17 3 2 3" xfId="37627"/>
    <cellStyle name="표준 6 3 2 2 17 3 3" xfId="18611"/>
    <cellStyle name="표준 6 3 2 2 17 3 3 2" xfId="43963"/>
    <cellStyle name="표준 6 3 2 2 17 3 4" xfId="31291"/>
    <cellStyle name="표준 6 3 2 2 17 3 5" xfId="56205"/>
    <cellStyle name="표준 6 3 2 2 17 4" xfId="9117"/>
    <cellStyle name="표준 6 3 2 2 17 4 2" xfId="21790"/>
    <cellStyle name="표준 6 3 2 2 17 4 2 2" xfId="47142"/>
    <cellStyle name="표준 6 3 2 2 17 4 3" xfId="34470"/>
    <cellStyle name="표준 6 3 2 2 17 5" xfId="15454"/>
    <cellStyle name="표준 6 3 2 2 17 5 2" xfId="40806"/>
    <cellStyle name="표준 6 3 2 2 17 6" xfId="28134"/>
    <cellStyle name="표준 6 3 2 2 17 7" xfId="56206"/>
    <cellStyle name="표준 6 3 2 2 18" xfId="2782"/>
    <cellStyle name="표준 6 3 2 2 18 2" xfId="2783"/>
    <cellStyle name="표준 6 3 2 2 18 2 2" xfId="5939"/>
    <cellStyle name="표준 6 3 2 2 18 2 2 2" xfId="12275"/>
    <cellStyle name="표준 6 3 2 2 18 2 2 2 2" xfId="24948"/>
    <cellStyle name="표준 6 3 2 2 18 2 2 2 2 2" xfId="50300"/>
    <cellStyle name="표준 6 3 2 2 18 2 2 2 3" xfId="37628"/>
    <cellStyle name="표준 6 3 2 2 18 2 2 3" xfId="18612"/>
    <cellStyle name="표준 6 3 2 2 18 2 2 3 2" xfId="43964"/>
    <cellStyle name="표준 6 3 2 2 18 2 2 4" xfId="31292"/>
    <cellStyle name="표준 6 3 2 2 18 2 2 5" xfId="56207"/>
    <cellStyle name="표준 6 3 2 2 18 2 3" xfId="9120"/>
    <cellStyle name="표준 6 3 2 2 18 2 3 2" xfId="21793"/>
    <cellStyle name="표준 6 3 2 2 18 2 3 2 2" xfId="47145"/>
    <cellStyle name="표준 6 3 2 2 18 2 3 3" xfId="34473"/>
    <cellStyle name="표준 6 3 2 2 18 2 4" xfId="15457"/>
    <cellStyle name="표준 6 3 2 2 18 2 4 2" xfId="40809"/>
    <cellStyle name="표준 6 3 2 2 18 2 5" xfId="28137"/>
    <cellStyle name="표준 6 3 2 2 18 2 6" xfId="56208"/>
    <cellStyle name="표준 6 3 2 2 18 3" xfId="5940"/>
    <cellStyle name="표준 6 3 2 2 18 3 2" xfId="12276"/>
    <cellStyle name="표준 6 3 2 2 18 3 2 2" xfId="24949"/>
    <cellStyle name="표준 6 3 2 2 18 3 2 2 2" xfId="50301"/>
    <cellStyle name="표준 6 3 2 2 18 3 2 3" xfId="37629"/>
    <cellStyle name="표준 6 3 2 2 18 3 3" xfId="18613"/>
    <cellStyle name="표준 6 3 2 2 18 3 3 2" xfId="43965"/>
    <cellStyle name="표준 6 3 2 2 18 3 4" xfId="31293"/>
    <cellStyle name="표준 6 3 2 2 18 3 5" xfId="56209"/>
    <cellStyle name="표준 6 3 2 2 18 4" xfId="9119"/>
    <cellStyle name="표준 6 3 2 2 18 4 2" xfId="21792"/>
    <cellStyle name="표준 6 3 2 2 18 4 2 2" xfId="47144"/>
    <cellStyle name="표준 6 3 2 2 18 4 3" xfId="34472"/>
    <cellStyle name="표준 6 3 2 2 18 5" xfId="15456"/>
    <cellStyle name="표준 6 3 2 2 18 5 2" xfId="40808"/>
    <cellStyle name="표준 6 3 2 2 18 6" xfId="28136"/>
    <cellStyle name="표준 6 3 2 2 18 7" xfId="56210"/>
    <cellStyle name="표준 6 3 2 2 19" xfId="2784"/>
    <cellStyle name="표준 6 3 2 2 19 2" xfId="2785"/>
    <cellStyle name="표준 6 3 2 2 19 2 2" xfId="5941"/>
    <cellStyle name="표준 6 3 2 2 19 2 2 2" xfId="12277"/>
    <cellStyle name="표준 6 3 2 2 19 2 2 2 2" xfId="24950"/>
    <cellStyle name="표준 6 3 2 2 19 2 2 2 2 2" xfId="50302"/>
    <cellStyle name="표준 6 3 2 2 19 2 2 2 3" xfId="37630"/>
    <cellStyle name="표준 6 3 2 2 19 2 2 3" xfId="18614"/>
    <cellStyle name="표준 6 3 2 2 19 2 2 3 2" xfId="43966"/>
    <cellStyle name="표준 6 3 2 2 19 2 2 4" xfId="31294"/>
    <cellStyle name="표준 6 3 2 2 19 2 2 5" xfId="56211"/>
    <cellStyle name="표준 6 3 2 2 19 2 3" xfId="9122"/>
    <cellStyle name="표준 6 3 2 2 19 2 3 2" xfId="21795"/>
    <cellStyle name="표준 6 3 2 2 19 2 3 2 2" xfId="47147"/>
    <cellStyle name="표준 6 3 2 2 19 2 3 3" xfId="34475"/>
    <cellStyle name="표준 6 3 2 2 19 2 4" xfId="15459"/>
    <cellStyle name="표준 6 3 2 2 19 2 4 2" xfId="40811"/>
    <cellStyle name="표준 6 3 2 2 19 2 5" xfId="28139"/>
    <cellStyle name="표준 6 3 2 2 19 2 6" xfId="56212"/>
    <cellStyle name="표준 6 3 2 2 19 3" xfId="5942"/>
    <cellStyle name="표준 6 3 2 2 19 3 2" xfId="12278"/>
    <cellStyle name="표준 6 3 2 2 19 3 2 2" xfId="24951"/>
    <cellStyle name="표준 6 3 2 2 19 3 2 2 2" xfId="50303"/>
    <cellStyle name="표준 6 3 2 2 19 3 2 3" xfId="37631"/>
    <cellStyle name="표준 6 3 2 2 19 3 3" xfId="18615"/>
    <cellStyle name="표준 6 3 2 2 19 3 3 2" xfId="43967"/>
    <cellStyle name="표준 6 3 2 2 19 3 4" xfId="31295"/>
    <cellStyle name="표준 6 3 2 2 19 3 5" xfId="56213"/>
    <cellStyle name="표준 6 3 2 2 19 4" xfId="9121"/>
    <cellStyle name="표준 6 3 2 2 19 4 2" xfId="21794"/>
    <cellStyle name="표준 6 3 2 2 19 4 2 2" xfId="47146"/>
    <cellStyle name="표준 6 3 2 2 19 4 3" xfId="34474"/>
    <cellStyle name="표준 6 3 2 2 19 5" xfId="15458"/>
    <cellStyle name="표준 6 3 2 2 19 5 2" xfId="40810"/>
    <cellStyle name="표준 6 3 2 2 19 6" xfId="28138"/>
    <cellStyle name="표준 6 3 2 2 19 7" xfId="56214"/>
    <cellStyle name="표준 6 3 2 2 2" xfId="2786"/>
    <cellStyle name="표준 6 3 2 2 2 2" xfId="2787"/>
    <cellStyle name="표준 6 3 2 2 2 2 2" xfId="5943"/>
    <cellStyle name="표준 6 3 2 2 2 2 2 2" xfId="12279"/>
    <cellStyle name="표준 6 3 2 2 2 2 2 2 2" xfId="24952"/>
    <cellStyle name="표준 6 3 2 2 2 2 2 2 2 2" xfId="50304"/>
    <cellStyle name="표준 6 3 2 2 2 2 2 2 3" xfId="37632"/>
    <cellStyle name="표준 6 3 2 2 2 2 2 3" xfId="18616"/>
    <cellStyle name="표준 6 3 2 2 2 2 2 3 2" xfId="43968"/>
    <cellStyle name="표준 6 3 2 2 2 2 2 4" xfId="31296"/>
    <cellStyle name="표준 6 3 2 2 2 2 2 5" xfId="56215"/>
    <cellStyle name="표준 6 3 2 2 2 2 3" xfId="9124"/>
    <cellStyle name="표준 6 3 2 2 2 2 3 2" xfId="21797"/>
    <cellStyle name="표준 6 3 2 2 2 2 3 2 2" xfId="47149"/>
    <cellStyle name="표준 6 3 2 2 2 2 3 3" xfId="34477"/>
    <cellStyle name="표준 6 3 2 2 2 2 4" xfId="15461"/>
    <cellStyle name="표준 6 3 2 2 2 2 4 2" xfId="40813"/>
    <cellStyle name="표준 6 3 2 2 2 2 5" xfId="28141"/>
    <cellStyle name="표준 6 3 2 2 2 2 6" xfId="56216"/>
    <cellStyle name="표준 6 3 2 2 2 3" xfId="5944"/>
    <cellStyle name="표준 6 3 2 2 2 3 2" xfId="12280"/>
    <cellStyle name="표준 6 3 2 2 2 3 2 2" xfId="24953"/>
    <cellStyle name="표준 6 3 2 2 2 3 2 2 2" xfId="50305"/>
    <cellStyle name="표준 6 3 2 2 2 3 2 3" xfId="37633"/>
    <cellStyle name="표준 6 3 2 2 2 3 3" xfId="18617"/>
    <cellStyle name="표준 6 3 2 2 2 3 3 2" xfId="43969"/>
    <cellStyle name="표준 6 3 2 2 2 3 4" xfId="31297"/>
    <cellStyle name="표준 6 3 2 2 2 3 5" xfId="56217"/>
    <cellStyle name="표준 6 3 2 2 2 4" xfId="9123"/>
    <cellStyle name="표준 6 3 2 2 2 4 2" xfId="21796"/>
    <cellStyle name="표준 6 3 2 2 2 4 2 2" xfId="47148"/>
    <cellStyle name="표준 6 3 2 2 2 4 3" xfId="34476"/>
    <cellStyle name="표준 6 3 2 2 2 5" xfId="15460"/>
    <cellStyle name="표준 6 3 2 2 2 5 2" xfId="40812"/>
    <cellStyle name="표준 6 3 2 2 2 6" xfId="28140"/>
    <cellStyle name="표준 6 3 2 2 2 7" xfId="56218"/>
    <cellStyle name="표준 6 3 2 2 20" xfId="2788"/>
    <cellStyle name="표준 6 3 2 2 20 2" xfId="2789"/>
    <cellStyle name="표준 6 3 2 2 20 2 2" xfId="5945"/>
    <cellStyle name="표준 6 3 2 2 20 2 2 2" xfId="12281"/>
    <cellStyle name="표준 6 3 2 2 20 2 2 2 2" xfId="24954"/>
    <cellStyle name="표준 6 3 2 2 20 2 2 2 2 2" xfId="50306"/>
    <cellStyle name="표준 6 3 2 2 20 2 2 2 3" xfId="37634"/>
    <cellStyle name="표준 6 3 2 2 20 2 2 3" xfId="18618"/>
    <cellStyle name="표준 6 3 2 2 20 2 2 3 2" xfId="43970"/>
    <cellStyle name="표준 6 3 2 2 20 2 2 4" xfId="31298"/>
    <cellStyle name="표준 6 3 2 2 20 2 2 5" xfId="56219"/>
    <cellStyle name="표준 6 3 2 2 20 2 3" xfId="9126"/>
    <cellStyle name="표준 6 3 2 2 20 2 3 2" xfId="21799"/>
    <cellStyle name="표준 6 3 2 2 20 2 3 2 2" xfId="47151"/>
    <cellStyle name="표준 6 3 2 2 20 2 3 3" xfId="34479"/>
    <cellStyle name="표준 6 3 2 2 20 2 4" xfId="15463"/>
    <cellStyle name="표준 6 3 2 2 20 2 4 2" xfId="40815"/>
    <cellStyle name="표준 6 3 2 2 20 2 5" xfId="28143"/>
    <cellStyle name="표준 6 3 2 2 20 2 6" xfId="56220"/>
    <cellStyle name="표준 6 3 2 2 20 3" xfId="5946"/>
    <cellStyle name="표준 6 3 2 2 20 3 2" xfId="12282"/>
    <cellStyle name="표준 6 3 2 2 20 3 2 2" xfId="24955"/>
    <cellStyle name="표준 6 3 2 2 20 3 2 2 2" xfId="50307"/>
    <cellStyle name="표준 6 3 2 2 20 3 2 3" xfId="37635"/>
    <cellStyle name="표준 6 3 2 2 20 3 3" xfId="18619"/>
    <cellStyle name="표준 6 3 2 2 20 3 3 2" xfId="43971"/>
    <cellStyle name="표준 6 3 2 2 20 3 4" xfId="31299"/>
    <cellStyle name="표준 6 3 2 2 20 3 5" xfId="56221"/>
    <cellStyle name="표준 6 3 2 2 20 4" xfId="9125"/>
    <cellStyle name="표준 6 3 2 2 20 4 2" xfId="21798"/>
    <cellStyle name="표준 6 3 2 2 20 4 2 2" xfId="47150"/>
    <cellStyle name="표준 6 3 2 2 20 4 3" xfId="34478"/>
    <cellStyle name="표준 6 3 2 2 20 5" xfId="15462"/>
    <cellStyle name="표준 6 3 2 2 20 5 2" xfId="40814"/>
    <cellStyle name="표준 6 3 2 2 20 6" xfId="28142"/>
    <cellStyle name="표준 6 3 2 2 20 7" xfId="56222"/>
    <cellStyle name="표준 6 3 2 2 21" xfId="2790"/>
    <cellStyle name="표준 6 3 2 2 21 2" xfId="2791"/>
    <cellStyle name="표준 6 3 2 2 21 2 2" xfId="5947"/>
    <cellStyle name="표준 6 3 2 2 21 2 2 2" xfId="12283"/>
    <cellStyle name="표준 6 3 2 2 21 2 2 2 2" xfId="24956"/>
    <cellStyle name="표준 6 3 2 2 21 2 2 2 2 2" xfId="50308"/>
    <cellStyle name="표준 6 3 2 2 21 2 2 2 3" xfId="37636"/>
    <cellStyle name="표준 6 3 2 2 21 2 2 3" xfId="18620"/>
    <cellStyle name="표준 6 3 2 2 21 2 2 3 2" xfId="43972"/>
    <cellStyle name="표준 6 3 2 2 21 2 2 4" xfId="31300"/>
    <cellStyle name="표준 6 3 2 2 21 2 2 5" xfId="56223"/>
    <cellStyle name="표준 6 3 2 2 21 2 3" xfId="9128"/>
    <cellStyle name="표준 6 3 2 2 21 2 3 2" xfId="21801"/>
    <cellStyle name="표준 6 3 2 2 21 2 3 2 2" xfId="47153"/>
    <cellStyle name="표준 6 3 2 2 21 2 3 3" xfId="34481"/>
    <cellStyle name="표준 6 3 2 2 21 2 4" xfId="15465"/>
    <cellStyle name="표준 6 3 2 2 21 2 4 2" xfId="40817"/>
    <cellStyle name="표준 6 3 2 2 21 2 5" xfId="28145"/>
    <cellStyle name="표준 6 3 2 2 21 2 6" xfId="56224"/>
    <cellStyle name="표준 6 3 2 2 21 3" xfId="5948"/>
    <cellStyle name="표준 6 3 2 2 21 3 2" xfId="12284"/>
    <cellStyle name="표준 6 3 2 2 21 3 2 2" xfId="24957"/>
    <cellStyle name="표준 6 3 2 2 21 3 2 2 2" xfId="50309"/>
    <cellStyle name="표준 6 3 2 2 21 3 2 3" xfId="37637"/>
    <cellStyle name="표준 6 3 2 2 21 3 3" xfId="18621"/>
    <cellStyle name="표준 6 3 2 2 21 3 3 2" xfId="43973"/>
    <cellStyle name="표준 6 3 2 2 21 3 4" xfId="31301"/>
    <cellStyle name="표준 6 3 2 2 21 3 5" xfId="56225"/>
    <cellStyle name="표준 6 3 2 2 21 4" xfId="9127"/>
    <cellStyle name="표준 6 3 2 2 21 4 2" xfId="21800"/>
    <cellStyle name="표준 6 3 2 2 21 4 2 2" xfId="47152"/>
    <cellStyle name="표준 6 3 2 2 21 4 3" xfId="34480"/>
    <cellStyle name="표준 6 3 2 2 21 5" xfId="15464"/>
    <cellStyle name="표준 6 3 2 2 21 5 2" xfId="40816"/>
    <cellStyle name="표준 6 3 2 2 21 6" xfId="28144"/>
    <cellStyle name="표준 6 3 2 2 21 7" xfId="56226"/>
    <cellStyle name="표준 6 3 2 2 22" xfId="2792"/>
    <cellStyle name="표준 6 3 2 2 22 2" xfId="2793"/>
    <cellStyle name="표준 6 3 2 2 22 2 2" xfId="5949"/>
    <cellStyle name="표준 6 3 2 2 22 2 2 2" xfId="12285"/>
    <cellStyle name="표준 6 3 2 2 22 2 2 2 2" xfId="24958"/>
    <cellStyle name="표준 6 3 2 2 22 2 2 2 2 2" xfId="50310"/>
    <cellStyle name="표준 6 3 2 2 22 2 2 2 3" xfId="37638"/>
    <cellStyle name="표준 6 3 2 2 22 2 2 3" xfId="18622"/>
    <cellStyle name="표준 6 3 2 2 22 2 2 3 2" xfId="43974"/>
    <cellStyle name="표준 6 3 2 2 22 2 2 4" xfId="31302"/>
    <cellStyle name="표준 6 3 2 2 22 2 2 5" xfId="56227"/>
    <cellStyle name="표준 6 3 2 2 22 2 3" xfId="9130"/>
    <cellStyle name="표준 6 3 2 2 22 2 3 2" xfId="21803"/>
    <cellStyle name="표준 6 3 2 2 22 2 3 2 2" xfId="47155"/>
    <cellStyle name="표준 6 3 2 2 22 2 3 3" xfId="34483"/>
    <cellStyle name="표준 6 3 2 2 22 2 4" xfId="15467"/>
    <cellStyle name="표준 6 3 2 2 22 2 4 2" xfId="40819"/>
    <cellStyle name="표준 6 3 2 2 22 2 5" xfId="28147"/>
    <cellStyle name="표준 6 3 2 2 22 2 6" xfId="56228"/>
    <cellStyle name="표준 6 3 2 2 22 3" xfId="5950"/>
    <cellStyle name="표준 6 3 2 2 22 3 2" xfId="12286"/>
    <cellStyle name="표준 6 3 2 2 22 3 2 2" xfId="24959"/>
    <cellStyle name="표준 6 3 2 2 22 3 2 2 2" xfId="50311"/>
    <cellStyle name="표준 6 3 2 2 22 3 2 3" xfId="37639"/>
    <cellStyle name="표준 6 3 2 2 22 3 3" xfId="18623"/>
    <cellStyle name="표준 6 3 2 2 22 3 3 2" xfId="43975"/>
    <cellStyle name="표준 6 3 2 2 22 3 4" xfId="31303"/>
    <cellStyle name="표준 6 3 2 2 22 3 5" xfId="56229"/>
    <cellStyle name="표준 6 3 2 2 22 4" xfId="9129"/>
    <cellStyle name="표준 6 3 2 2 22 4 2" xfId="21802"/>
    <cellStyle name="표준 6 3 2 2 22 4 2 2" xfId="47154"/>
    <cellStyle name="표준 6 3 2 2 22 4 3" xfId="34482"/>
    <cellStyle name="표준 6 3 2 2 22 5" xfId="15466"/>
    <cellStyle name="표준 6 3 2 2 22 5 2" xfId="40818"/>
    <cellStyle name="표준 6 3 2 2 22 6" xfId="28146"/>
    <cellStyle name="표준 6 3 2 2 22 7" xfId="56230"/>
    <cellStyle name="표준 6 3 2 2 23" xfId="2794"/>
    <cellStyle name="표준 6 3 2 2 23 2" xfId="2795"/>
    <cellStyle name="표준 6 3 2 2 23 2 2" xfId="5951"/>
    <cellStyle name="표준 6 3 2 2 23 2 2 2" xfId="12287"/>
    <cellStyle name="표준 6 3 2 2 23 2 2 2 2" xfId="24960"/>
    <cellStyle name="표준 6 3 2 2 23 2 2 2 2 2" xfId="50312"/>
    <cellStyle name="표준 6 3 2 2 23 2 2 2 3" xfId="37640"/>
    <cellStyle name="표준 6 3 2 2 23 2 2 3" xfId="18624"/>
    <cellStyle name="표준 6 3 2 2 23 2 2 3 2" xfId="43976"/>
    <cellStyle name="표준 6 3 2 2 23 2 2 4" xfId="31304"/>
    <cellStyle name="표준 6 3 2 2 23 2 2 5" xfId="56231"/>
    <cellStyle name="표준 6 3 2 2 23 2 3" xfId="9132"/>
    <cellStyle name="표준 6 3 2 2 23 2 3 2" xfId="21805"/>
    <cellStyle name="표준 6 3 2 2 23 2 3 2 2" xfId="47157"/>
    <cellStyle name="표준 6 3 2 2 23 2 3 3" xfId="34485"/>
    <cellStyle name="표준 6 3 2 2 23 2 4" xfId="15469"/>
    <cellStyle name="표준 6 3 2 2 23 2 4 2" xfId="40821"/>
    <cellStyle name="표준 6 3 2 2 23 2 5" xfId="28149"/>
    <cellStyle name="표준 6 3 2 2 23 2 6" xfId="56232"/>
    <cellStyle name="표준 6 3 2 2 23 3" xfId="5952"/>
    <cellStyle name="표준 6 3 2 2 23 3 2" xfId="12288"/>
    <cellStyle name="표준 6 3 2 2 23 3 2 2" xfId="24961"/>
    <cellStyle name="표준 6 3 2 2 23 3 2 2 2" xfId="50313"/>
    <cellStyle name="표준 6 3 2 2 23 3 2 3" xfId="37641"/>
    <cellStyle name="표준 6 3 2 2 23 3 3" xfId="18625"/>
    <cellStyle name="표준 6 3 2 2 23 3 3 2" xfId="43977"/>
    <cellStyle name="표준 6 3 2 2 23 3 4" xfId="31305"/>
    <cellStyle name="표준 6 3 2 2 23 3 5" xfId="56233"/>
    <cellStyle name="표준 6 3 2 2 23 4" xfId="9131"/>
    <cellStyle name="표준 6 3 2 2 23 4 2" xfId="21804"/>
    <cellStyle name="표준 6 3 2 2 23 4 2 2" xfId="47156"/>
    <cellStyle name="표준 6 3 2 2 23 4 3" xfId="34484"/>
    <cellStyle name="표준 6 3 2 2 23 5" xfId="15468"/>
    <cellStyle name="표준 6 3 2 2 23 5 2" xfId="40820"/>
    <cellStyle name="표준 6 3 2 2 23 6" xfId="28148"/>
    <cellStyle name="표준 6 3 2 2 23 7" xfId="56234"/>
    <cellStyle name="표준 6 3 2 2 24" xfId="2796"/>
    <cellStyle name="표준 6 3 2 2 24 2" xfId="2797"/>
    <cellStyle name="표준 6 3 2 2 24 2 2" xfId="5953"/>
    <cellStyle name="표준 6 3 2 2 24 2 2 2" xfId="12289"/>
    <cellStyle name="표준 6 3 2 2 24 2 2 2 2" xfId="24962"/>
    <cellStyle name="표준 6 3 2 2 24 2 2 2 2 2" xfId="50314"/>
    <cellStyle name="표준 6 3 2 2 24 2 2 2 3" xfId="37642"/>
    <cellStyle name="표준 6 3 2 2 24 2 2 3" xfId="18626"/>
    <cellStyle name="표준 6 3 2 2 24 2 2 3 2" xfId="43978"/>
    <cellStyle name="표준 6 3 2 2 24 2 2 4" xfId="31306"/>
    <cellStyle name="표준 6 3 2 2 24 2 2 5" xfId="56235"/>
    <cellStyle name="표준 6 3 2 2 24 2 3" xfId="9134"/>
    <cellStyle name="표준 6 3 2 2 24 2 3 2" xfId="21807"/>
    <cellStyle name="표준 6 3 2 2 24 2 3 2 2" xfId="47159"/>
    <cellStyle name="표준 6 3 2 2 24 2 3 3" xfId="34487"/>
    <cellStyle name="표준 6 3 2 2 24 2 4" xfId="15471"/>
    <cellStyle name="표준 6 3 2 2 24 2 4 2" xfId="40823"/>
    <cellStyle name="표준 6 3 2 2 24 2 5" xfId="28151"/>
    <cellStyle name="표준 6 3 2 2 24 2 6" xfId="56236"/>
    <cellStyle name="표준 6 3 2 2 24 3" xfId="5954"/>
    <cellStyle name="표준 6 3 2 2 24 3 2" xfId="12290"/>
    <cellStyle name="표준 6 3 2 2 24 3 2 2" xfId="24963"/>
    <cellStyle name="표준 6 3 2 2 24 3 2 2 2" xfId="50315"/>
    <cellStyle name="표준 6 3 2 2 24 3 2 3" xfId="37643"/>
    <cellStyle name="표준 6 3 2 2 24 3 3" xfId="18627"/>
    <cellStyle name="표준 6 3 2 2 24 3 3 2" xfId="43979"/>
    <cellStyle name="표준 6 3 2 2 24 3 4" xfId="31307"/>
    <cellStyle name="표준 6 3 2 2 24 3 5" xfId="56237"/>
    <cellStyle name="표준 6 3 2 2 24 4" xfId="9133"/>
    <cellStyle name="표준 6 3 2 2 24 4 2" xfId="21806"/>
    <cellStyle name="표준 6 3 2 2 24 4 2 2" xfId="47158"/>
    <cellStyle name="표준 6 3 2 2 24 4 3" xfId="34486"/>
    <cellStyle name="표준 6 3 2 2 24 5" xfId="15470"/>
    <cellStyle name="표준 6 3 2 2 24 5 2" xfId="40822"/>
    <cellStyle name="표준 6 3 2 2 24 6" xfId="28150"/>
    <cellStyle name="표준 6 3 2 2 24 7" xfId="56238"/>
    <cellStyle name="표준 6 3 2 2 25" xfId="2798"/>
    <cellStyle name="표준 6 3 2 2 25 2" xfId="2799"/>
    <cellStyle name="표준 6 3 2 2 25 2 2" xfId="5955"/>
    <cellStyle name="표준 6 3 2 2 25 2 2 2" xfId="12291"/>
    <cellStyle name="표준 6 3 2 2 25 2 2 2 2" xfId="24964"/>
    <cellStyle name="표준 6 3 2 2 25 2 2 2 2 2" xfId="50316"/>
    <cellStyle name="표준 6 3 2 2 25 2 2 2 3" xfId="37644"/>
    <cellStyle name="표준 6 3 2 2 25 2 2 3" xfId="18628"/>
    <cellStyle name="표준 6 3 2 2 25 2 2 3 2" xfId="43980"/>
    <cellStyle name="표준 6 3 2 2 25 2 2 4" xfId="31308"/>
    <cellStyle name="표준 6 3 2 2 25 2 2 5" xfId="56239"/>
    <cellStyle name="표준 6 3 2 2 25 2 3" xfId="9136"/>
    <cellStyle name="표준 6 3 2 2 25 2 3 2" xfId="21809"/>
    <cellStyle name="표준 6 3 2 2 25 2 3 2 2" xfId="47161"/>
    <cellStyle name="표준 6 3 2 2 25 2 3 3" xfId="34489"/>
    <cellStyle name="표준 6 3 2 2 25 2 4" xfId="15473"/>
    <cellStyle name="표준 6 3 2 2 25 2 4 2" xfId="40825"/>
    <cellStyle name="표준 6 3 2 2 25 2 5" xfId="28153"/>
    <cellStyle name="표준 6 3 2 2 25 2 6" xfId="56240"/>
    <cellStyle name="표준 6 3 2 2 25 3" xfId="5956"/>
    <cellStyle name="표준 6 3 2 2 25 3 2" xfId="12292"/>
    <cellStyle name="표준 6 3 2 2 25 3 2 2" xfId="24965"/>
    <cellStyle name="표준 6 3 2 2 25 3 2 2 2" xfId="50317"/>
    <cellStyle name="표준 6 3 2 2 25 3 2 3" xfId="37645"/>
    <cellStyle name="표준 6 3 2 2 25 3 3" xfId="18629"/>
    <cellStyle name="표준 6 3 2 2 25 3 3 2" xfId="43981"/>
    <cellStyle name="표준 6 3 2 2 25 3 4" xfId="31309"/>
    <cellStyle name="표준 6 3 2 2 25 3 5" xfId="56241"/>
    <cellStyle name="표준 6 3 2 2 25 4" xfId="9135"/>
    <cellStyle name="표준 6 3 2 2 25 4 2" xfId="21808"/>
    <cellStyle name="표준 6 3 2 2 25 4 2 2" xfId="47160"/>
    <cellStyle name="표준 6 3 2 2 25 4 3" xfId="34488"/>
    <cellStyle name="표준 6 3 2 2 25 5" xfId="15472"/>
    <cellStyle name="표준 6 3 2 2 25 5 2" xfId="40824"/>
    <cellStyle name="표준 6 3 2 2 25 6" xfId="28152"/>
    <cellStyle name="표준 6 3 2 2 25 7" xfId="56242"/>
    <cellStyle name="표준 6 3 2 2 26" xfId="2800"/>
    <cellStyle name="표준 6 3 2 2 26 2" xfId="2801"/>
    <cellStyle name="표준 6 3 2 2 26 2 2" xfId="5957"/>
    <cellStyle name="표준 6 3 2 2 26 2 2 2" xfId="12293"/>
    <cellStyle name="표준 6 3 2 2 26 2 2 2 2" xfId="24966"/>
    <cellStyle name="표준 6 3 2 2 26 2 2 2 2 2" xfId="50318"/>
    <cellStyle name="표준 6 3 2 2 26 2 2 2 3" xfId="37646"/>
    <cellStyle name="표준 6 3 2 2 26 2 2 3" xfId="18630"/>
    <cellStyle name="표준 6 3 2 2 26 2 2 3 2" xfId="43982"/>
    <cellStyle name="표준 6 3 2 2 26 2 2 4" xfId="31310"/>
    <cellStyle name="표준 6 3 2 2 26 2 2 5" xfId="56243"/>
    <cellStyle name="표준 6 3 2 2 26 2 3" xfId="9138"/>
    <cellStyle name="표준 6 3 2 2 26 2 3 2" xfId="21811"/>
    <cellStyle name="표준 6 3 2 2 26 2 3 2 2" xfId="47163"/>
    <cellStyle name="표준 6 3 2 2 26 2 3 3" xfId="34491"/>
    <cellStyle name="표준 6 3 2 2 26 2 4" xfId="15475"/>
    <cellStyle name="표준 6 3 2 2 26 2 4 2" xfId="40827"/>
    <cellStyle name="표준 6 3 2 2 26 2 5" xfId="28155"/>
    <cellStyle name="표준 6 3 2 2 26 2 6" xfId="56244"/>
    <cellStyle name="표준 6 3 2 2 26 3" xfId="5958"/>
    <cellStyle name="표준 6 3 2 2 26 3 2" xfId="12294"/>
    <cellStyle name="표준 6 3 2 2 26 3 2 2" xfId="24967"/>
    <cellStyle name="표준 6 3 2 2 26 3 2 2 2" xfId="50319"/>
    <cellStyle name="표준 6 3 2 2 26 3 2 3" xfId="37647"/>
    <cellStyle name="표준 6 3 2 2 26 3 3" xfId="18631"/>
    <cellStyle name="표준 6 3 2 2 26 3 3 2" xfId="43983"/>
    <cellStyle name="표준 6 3 2 2 26 3 4" xfId="31311"/>
    <cellStyle name="표준 6 3 2 2 26 3 5" xfId="56245"/>
    <cellStyle name="표준 6 3 2 2 26 4" xfId="9137"/>
    <cellStyle name="표준 6 3 2 2 26 4 2" xfId="21810"/>
    <cellStyle name="표준 6 3 2 2 26 4 2 2" xfId="47162"/>
    <cellStyle name="표준 6 3 2 2 26 4 3" xfId="34490"/>
    <cellStyle name="표준 6 3 2 2 26 5" xfId="15474"/>
    <cellStyle name="표준 6 3 2 2 26 5 2" xfId="40826"/>
    <cellStyle name="표준 6 3 2 2 26 6" xfId="28154"/>
    <cellStyle name="표준 6 3 2 2 26 7" xfId="56246"/>
    <cellStyle name="표준 6 3 2 2 27" xfId="2802"/>
    <cellStyle name="표준 6 3 2 2 27 2" xfId="2803"/>
    <cellStyle name="표준 6 3 2 2 27 2 2" xfId="5959"/>
    <cellStyle name="표준 6 3 2 2 27 2 2 2" xfId="12295"/>
    <cellStyle name="표준 6 3 2 2 27 2 2 2 2" xfId="24968"/>
    <cellStyle name="표준 6 3 2 2 27 2 2 2 2 2" xfId="50320"/>
    <cellStyle name="표준 6 3 2 2 27 2 2 2 3" xfId="37648"/>
    <cellStyle name="표준 6 3 2 2 27 2 2 3" xfId="18632"/>
    <cellStyle name="표준 6 3 2 2 27 2 2 3 2" xfId="43984"/>
    <cellStyle name="표준 6 3 2 2 27 2 2 4" xfId="31312"/>
    <cellStyle name="표준 6 3 2 2 27 2 2 5" xfId="56247"/>
    <cellStyle name="표준 6 3 2 2 27 2 3" xfId="9140"/>
    <cellStyle name="표준 6 3 2 2 27 2 3 2" xfId="21813"/>
    <cellStyle name="표준 6 3 2 2 27 2 3 2 2" xfId="47165"/>
    <cellStyle name="표준 6 3 2 2 27 2 3 3" xfId="34493"/>
    <cellStyle name="표준 6 3 2 2 27 2 4" xfId="15477"/>
    <cellStyle name="표준 6 3 2 2 27 2 4 2" xfId="40829"/>
    <cellStyle name="표준 6 3 2 2 27 2 5" xfId="28157"/>
    <cellStyle name="표준 6 3 2 2 27 2 6" xfId="56248"/>
    <cellStyle name="표준 6 3 2 2 27 3" xfId="5960"/>
    <cellStyle name="표준 6 3 2 2 27 3 2" xfId="12296"/>
    <cellStyle name="표준 6 3 2 2 27 3 2 2" xfId="24969"/>
    <cellStyle name="표준 6 3 2 2 27 3 2 2 2" xfId="50321"/>
    <cellStyle name="표준 6 3 2 2 27 3 2 3" xfId="37649"/>
    <cellStyle name="표준 6 3 2 2 27 3 3" xfId="18633"/>
    <cellStyle name="표준 6 3 2 2 27 3 3 2" xfId="43985"/>
    <cellStyle name="표준 6 3 2 2 27 3 4" xfId="31313"/>
    <cellStyle name="표준 6 3 2 2 27 3 5" xfId="56249"/>
    <cellStyle name="표준 6 3 2 2 27 4" xfId="9139"/>
    <cellStyle name="표준 6 3 2 2 27 4 2" xfId="21812"/>
    <cellStyle name="표준 6 3 2 2 27 4 2 2" xfId="47164"/>
    <cellStyle name="표준 6 3 2 2 27 4 3" xfId="34492"/>
    <cellStyle name="표준 6 3 2 2 27 5" xfId="15476"/>
    <cellStyle name="표준 6 3 2 2 27 5 2" xfId="40828"/>
    <cellStyle name="표준 6 3 2 2 27 6" xfId="28156"/>
    <cellStyle name="표준 6 3 2 2 27 7" xfId="56250"/>
    <cellStyle name="표준 6 3 2 2 28" xfId="2804"/>
    <cellStyle name="표준 6 3 2 2 28 2" xfId="2805"/>
    <cellStyle name="표준 6 3 2 2 28 2 2" xfId="5961"/>
    <cellStyle name="표준 6 3 2 2 28 2 2 2" xfId="12297"/>
    <cellStyle name="표준 6 3 2 2 28 2 2 2 2" xfId="24970"/>
    <cellStyle name="표준 6 3 2 2 28 2 2 2 2 2" xfId="50322"/>
    <cellStyle name="표준 6 3 2 2 28 2 2 2 3" xfId="37650"/>
    <cellStyle name="표준 6 3 2 2 28 2 2 3" xfId="18634"/>
    <cellStyle name="표준 6 3 2 2 28 2 2 3 2" xfId="43986"/>
    <cellStyle name="표준 6 3 2 2 28 2 2 4" xfId="31314"/>
    <cellStyle name="표준 6 3 2 2 28 2 2 5" xfId="56251"/>
    <cellStyle name="표준 6 3 2 2 28 2 3" xfId="9142"/>
    <cellStyle name="표준 6 3 2 2 28 2 3 2" xfId="21815"/>
    <cellStyle name="표준 6 3 2 2 28 2 3 2 2" xfId="47167"/>
    <cellStyle name="표준 6 3 2 2 28 2 3 3" xfId="34495"/>
    <cellStyle name="표준 6 3 2 2 28 2 4" xfId="15479"/>
    <cellStyle name="표준 6 3 2 2 28 2 4 2" xfId="40831"/>
    <cellStyle name="표준 6 3 2 2 28 2 5" xfId="28159"/>
    <cellStyle name="표준 6 3 2 2 28 2 6" xfId="56252"/>
    <cellStyle name="표준 6 3 2 2 28 3" xfId="5962"/>
    <cellStyle name="표준 6 3 2 2 28 3 2" xfId="12298"/>
    <cellStyle name="표준 6 3 2 2 28 3 2 2" xfId="24971"/>
    <cellStyle name="표준 6 3 2 2 28 3 2 2 2" xfId="50323"/>
    <cellStyle name="표준 6 3 2 2 28 3 2 3" xfId="37651"/>
    <cellStyle name="표준 6 3 2 2 28 3 3" xfId="18635"/>
    <cellStyle name="표준 6 3 2 2 28 3 3 2" xfId="43987"/>
    <cellStyle name="표준 6 3 2 2 28 3 4" xfId="31315"/>
    <cellStyle name="표준 6 3 2 2 28 3 5" xfId="56253"/>
    <cellStyle name="표준 6 3 2 2 28 4" xfId="9141"/>
    <cellStyle name="표준 6 3 2 2 28 4 2" xfId="21814"/>
    <cellStyle name="표준 6 3 2 2 28 4 2 2" xfId="47166"/>
    <cellStyle name="표준 6 3 2 2 28 4 3" xfId="34494"/>
    <cellStyle name="표준 6 3 2 2 28 5" xfId="15478"/>
    <cellStyle name="표준 6 3 2 2 28 5 2" xfId="40830"/>
    <cellStyle name="표준 6 3 2 2 28 6" xfId="28158"/>
    <cellStyle name="표준 6 3 2 2 28 7" xfId="56254"/>
    <cellStyle name="표준 6 3 2 2 29" xfId="2806"/>
    <cellStyle name="표준 6 3 2 2 29 2" xfId="2807"/>
    <cellStyle name="표준 6 3 2 2 29 2 2" xfId="5963"/>
    <cellStyle name="표준 6 3 2 2 29 2 2 2" xfId="12299"/>
    <cellStyle name="표준 6 3 2 2 29 2 2 2 2" xfId="24972"/>
    <cellStyle name="표준 6 3 2 2 29 2 2 2 2 2" xfId="50324"/>
    <cellStyle name="표준 6 3 2 2 29 2 2 2 3" xfId="37652"/>
    <cellStyle name="표준 6 3 2 2 29 2 2 3" xfId="18636"/>
    <cellStyle name="표준 6 3 2 2 29 2 2 3 2" xfId="43988"/>
    <cellStyle name="표준 6 3 2 2 29 2 2 4" xfId="31316"/>
    <cellStyle name="표준 6 3 2 2 29 2 2 5" xfId="56255"/>
    <cellStyle name="표준 6 3 2 2 29 2 3" xfId="9144"/>
    <cellStyle name="표준 6 3 2 2 29 2 3 2" xfId="21817"/>
    <cellStyle name="표준 6 3 2 2 29 2 3 2 2" xfId="47169"/>
    <cellStyle name="표준 6 3 2 2 29 2 3 3" xfId="34497"/>
    <cellStyle name="표준 6 3 2 2 29 2 4" xfId="15481"/>
    <cellStyle name="표준 6 3 2 2 29 2 4 2" xfId="40833"/>
    <cellStyle name="표준 6 3 2 2 29 2 5" xfId="28161"/>
    <cellStyle name="표준 6 3 2 2 29 2 6" xfId="56256"/>
    <cellStyle name="표준 6 3 2 2 29 3" xfId="5964"/>
    <cellStyle name="표준 6 3 2 2 29 3 2" xfId="12300"/>
    <cellStyle name="표준 6 3 2 2 29 3 2 2" xfId="24973"/>
    <cellStyle name="표준 6 3 2 2 29 3 2 2 2" xfId="50325"/>
    <cellStyle name="표준 6 3 2 2 29 3 2 3" xfId="37653"/>
    <cellStyle name="표준 6 3 2 2 29 3 3" xfId="18637"/>
    <cellStyle name="표준 6 3 2 2 29 3 3 2" xfId="43989"/>
    <cellStyle name="표준 6 3 2 2 29 3 4" xfId="31317"/>
    <cellStyle name="표준 6 3 2 2 29 3 5" xfId="56257"/>
    <cellStyle name="표준 6 3 2 2 29 4" xfId="9143"/>
    <cellStyle name="표준 6 3 2 2 29 4 2" xfId="21816"/>
    <cellStyle name="표준 6 3 2 2 29 4 2 2" xfId="47168"/>
    <cellStyle name="표준 6 3 2 2 29 4 3" xfId="34496"/>
    <cellStyle name="표준 6 3 2 2 29 5" xfId="15480"/>
    <cellStyle name="표준 6 3 2 2 29 5 2" xfId="40832"/>
    <cellStyle name="표준 6 3 2 2 29 6" xfId="28160"/>
    <cellStyle name="표준 6 3 2 2 29 7" xfId="56258"/>
    <cellStyle name="표준 6 3 2 2 3" xfId="2808"/>
    <cellStyle name="표준 6 3 2 2 3 2" xfId="2809"/>
    <cellStyle name="표준 6 3 2 2 3 2 2" xfId="5965"/>
    <cellStyle name="표준 6 3 2 2 3 2 2 2" xfId="12301"/>
    <cellStyle name="표준 6 3 2 2 3 2 2 2 2" xfId="24974"/>
    <cellStyle name="표준 6 3 2 2 3 2 2 2 2 2" xfId="50326"/>
    <cellStyle name="표준 6 3 2 2 3 2 2 2 3" xfId="37654"/>
    <cellStyle name="표준 6 3 2 2 3 2 2 3" xfId="18638"/>
    <cellStyle name="표준 6 3 2 2 3 2 2 3 2" xfId="43990"/>
    <cellStyle name="표준 6 3 2 2 3 2 2 4" xfId="31318"/>
    <cellStyle name="표준 6 3 2 2 3 2 2 5" xfId="56259"/>
    <cellStyle name="표준 6 3 2 2 3 2 3" xfId="9146"/>
    <cellStyle name="표준 6 3 2 2 3 2 3 2" xfId="21819"/>
    <cellStyle name="표준 6 3 2 2 3 2 3 2 2" xfId="47171"/>
    <cellStyle name="표준 6 3 2 2 3 2 3 3" xfId="34499"/>
    <cellStyle name="표준 6 3 2 2 3 2 4" xfId="15483"/>
    <cellStyle name="표준 6 3 2 2 3 2 4 2" xfId="40835"/>
    <cellStyle name="표준 6 3 2 2 3 2 5" xfId="28163"/>
    <cellStyle name="표준 6 3 2 2 3 2 6" xfId="56260"/>
    <cellStyle name="표준 6 3 2 2 3 3" xfId="5966"/>
    <cellStyle name="표준 6 3 2 2 3 3 2" xfId="12302"/>
    <cellStyle name="표준 6 3 2 2 3 3 2 2" xfId="24975"/>
    <cellStyle name="표준 6 3 2 2 3 3 2 2 2" xfId="50327"/>
    <cellStyle name="표준 6 3 2 2 3 3 2 3" xfId="37655"/>
    <cellStyle name="표준 6 3 2 2 3 3 3" xfId="18639"/>
    <cellStyle name="표준 6 3 2 2 3 3 3 2" xfId="43991"/>
    <cellStyle name="표준 6 3 2 2 3 3 4" xfId="31319"/>
    <cellStyle name="표준 6 3 2 2 3 3 5" xfId="56261"/>
    <cellStyle name="표준 6 3 2 2 3 4" xfId="9145"/>
    <cellStyle name="표준 6 3 2 2 3 4 2" xfId="21818"/>
    <cellStyle name="표준 6 3 2 2 3 4 2 2" xfId="47170"/>
    <cellStyle name="표준 6 3 2 2 3 4 3" xfId="34498"/>
    <cellStyle name="표준 6 3 2 2 3 5" xfId="15482"/>
    <cellStyle name="표준 6 3 2 2 3 5 2" xfId="40834"/>
    <cellStyle name="표준 6 3 2 2 3 6" xfId="28162"/>
    <cellStyle name="표준 6 3 2 2 3 7" xfId="56262"/>
    <cellStyle name="표준 6 3 2 2 30" xfId="2810"/>
    <cellStyle name="표준 6 3 2 2 30 2" xfId="2811"/>
    <cellStyle name="표준 6 3 2 2 30 2 2" xfId="5967"/>
    <cellStyle name="표준 6 3 2 2 30 2 2 2" xfId="12303"/>
    <cellStyle name="표준 6 3 2 2 30 2 2 2 2" xfId="24976"/>
    <cellStyle name="표준 6 3 2 2 30 2 2 2 2 2" xfId="50328"/>
    <cellStyle name="표준 6 3 2 2 30 2 2 2 3" xfId="37656"/>
    <cellStyle name="표준 6 3 2 2 30 2 2 3" xfId="18640"/>
    <cellStyle name="표준 6 3 2 2 30 2 2 3 2" xfId="43992"/>
    <cellStyle name="표준 6 3 2 2 30 2 2 4" xfId="31320"/>
    <cellStyle name="표준 6 3 2 2 30 2 2 5" xfId="56263"/>
    <cellStyle name="표준 6 3 2 2 30 2 3" xfId="9148"/>
    <cellStyle name="표준 6 3 2 2 30 2 3 2" xfId="21821"/>
    <cellStyle name="표준 6 3 2 2 30 2 3 2 2" xfId="47173"/>
    <cellStyle name="표준 6 3 2 2 30 2 3 3" xfId="34501"/>
    <cellStyle name="표준 6 3 2 2 30 2 4" xfId="15485"/>
    <cellStyle name="표준 6 3 2 2 30 2 4 2" xfId="40837"/>
    <cellStyle name="표준 6 3 2 2 30 2 5" xfId="28165"/>
    <cellStyle name="표준 6 3 2 2 30 2 6" xfId="56264"/>
    <cellStyle name="표준 6 3 2 2 30 3" xfId="5968"/>
    <cellStyle name="표준 6 3 2 2 30 3 2" xfId="12304"/>
    <cellStyle name="표준 6 3 2 2 30 3 2 2" xfId="24977"/>
    <cellStyle name="표준 6 3 2 2 30 3 2 2 2" xfId="50329"/>
    <cellStyle name="표준 6 3 2 2 30 3 2 3" xfId="37657"/>
    <cellStyle name="표준 6 3 2 2 30 3 3" xfId="18641"/>
    <cellStyle name="표준 6 3 2 2 30 3 3 2" xfId="43993"/>
    <cellStyle name="표준 6 3 2 2 30 3 4" xfId="31321"/>
    <cellStyle name="표준 6 3 2 2 30 3 5" xfId="56265"/>
    <cellStyle name="표준 6 3 2 2 30 4" xfId="9147"/>
    <cellStyle name="표준 6 3 2 2 30 4 2" xfId="21820"/>
    <cellStyle name="표준 6 3 2 2 30 4 2 2" xfId="47172"/>
    <cellStyle name="표준 6 3 2 2 30 4 3" xfId="34500"/>
    <cellStyle name="표준 6 3 2 2 30 5" xfId="15484"/>
    <cellStyle name="표준 6 3 2 2 30 5 2" xfId="40836"/>
    <cellStyle name="표준 6 3 2 2 30 6" xfId="28164"/>
    <cellStyle name="표준 6 3 2 2 30 7" xfId="56266"/>
    <cellStyle name="표준 6 3 2 2 31" xfId="2812"/>
    <cellStyle name="표준 6 3 2 2 31 2" xfId="2813"/>
    <cellStyle name="표준 6 3 2 2 31 2 2" xfId="5969"/>
    <cellStyle name="표준 6 3 2 2 31 2 2 2" xfId="12305"/>
    <cellStyle name="표준 6 3 2 2 31 2 2 2 2" xfId="24978"/>
    <cellStyle name="표준 6 3 2 2 31 2 2 2 2 2" xfId="50330"/>
    <cellStyle name="표준 6 3 2 2 31 2 2 2 3" xfId="37658"/>
    <cellStyle name="표준 6 3 2 2 31 2 2 3" xfId="18642"/>
    <cellStyle name="표준 6 3 2 2 31 2 2 3 2" xfId="43994"/>
    <cellStyle name="표준 6 3 2 2 31 2 2 4" xfId="31322"/>
    <cellStyle name="표준 6 3 2 2 31 2 2 5" xfId="56267"/>
    <cellStyle name="표준 6 3 2 2 31 2 3" xfId="9150"/>
    <cellStyle name="표준 6 3 2 2 31 2 3 2" xfId="21823"/>
    <cellStyle name="표준 6 3 2 2 31 2 3 2 2" xfId="47175"/>
    <cellStyle name="표준 6 3 2 2 31 2 3 3" xfId="34503"/>
    <cellStyle name="표준 6 3 2 2 31 2 4" xfId="15487"/>
    <cellStyle name="표준 6 3 2 2 31 2 4 2" xfId="40839"/>
    <cellStyle name="표준 6 3 2 2 31 2 5" xfId="28167"/>
    <cellStyle name="표준 6 3 2 2 31 2 6" xfId="56268"/>
    <cellStyle name="표준 6 3 2 2 31 3" xfId="5970"/>
    <cellStyle name="표준 6 3 2 2 31 3 2" xfId="12306"/>
    <cellStyle name="표준 6 3 2 2 31 3 2 2" xfId="24979"/>
    <cellStyle name="표준 6 3 2 2 31 3 2 2 2" xfId="50331"/>
    <cellStyle name="표준 6 3 2 2 31 3 2 3" xfId="37659"/>
    <cellStyle name="표준 6 3 2 2 31 3 3" xfId="18643"/>
    <cellStyle name="표준 6 3 2 2 31 3 3 2" xfId="43995"/>
    <cellStyle name="표준 6 3 2 2 31 3 4" xfId="31323"/>
    <cellStyle name="표준 6 3 2 2 31 3 5" xfId="56269"/>
    <cellStyle name="표준 6 3 2 2 31 4" xfId="9149"/>
    <cellStyle name="표준 6 3 2 2 31 4 2" xfId="21822"/>
    <cellStyle name="표준 6 3 2 2 31 4 2 2" xfId="47174"/>
    <cellStyle name="표준 6 3 2 2 31 4 3" xfId="34502"/>
    <cellStyle name="표준 6 3 2 2 31 5" xfId="15486"/>
    <cellStyle name="표준 6 3 2 2 31 5 2" xfId="40838"/>
    <cellStyle name="표준 6 3 2 2 31 6" xfId="28166"/>
    <cellStyle name="표준 6 3 2 2 31 7" xfId="56270"/>
    <cellStyle name="표준 6 3 2 2 32" xfId="2814"/>
    <cellStyle name="표준 6 3 2 2 32 2" xfId="2815"/>
    <cellStyle name="표준 6 3 2 2 32 2 2" xfId="5971"/>
    <cellStyle name="표준 6 3 2 2 32 2 2 2" xfId="12307"/>
    <cellStyle name="표준 6 3 2 2 32 2 2 2 2" xfId="24980"/>
    <cellStyle name="표준 6 3 2 2 32 2 2 2 2 2" xfId="50332"/>
    <cellStyle name="표준 6 3 2 2 32 2 2 2 3" xfId="37660"/>
    <cellStyle name="표준 6 3 2 2 32 2 2 3" xfId="18644"/>
    <cellStyle name="표준 6 3 2 2 32 2 2 3 2" xfId="43996"/>
    <cellStyle name="표준 6 3 2 2 32 2 2 4" xfId="31324"/>
    <cellStyle name="표준 6 3 2 2 32 2 2 5" xfId="56271"/>
    <cellStyle name="표준 6 3 2 2 32 2 3" xfId="9152"/>
    <cellStyle name="표준 6 3 2 2 32 2 3 2" xfId="21825"/>
    <cellStyle name="표준 6 3 2 2 32 2 3 2 2" xfId="47177"/>
    <cellStyle name="표준 6 3 2 2 32 2 3 3" xfId="34505"/>
    <cellStyle name="표준 6 3 2 2 32 2 4" xfId="15489"/>
    <cellStyle name="표준 6 3 2 2 32 2 4 2" xfId="40841"/>
    <cellStyle name="표준 6 3 2 2 32 2 5" xfId="28169"/>
    <cellStyle name="표준 6 3 2 2 32 2 6" xfId="56272"/>
    <cellStyle name="표준 6 3 2 2 32 3" xfId="5972"/>
    <cellStyle name="표준 6 3 2 2 32 3 2" xfId="12308"/>
    <cellStyle name="표준 6 3 2 2 32 3 2 2" xfId="24981"/>
    <cellStyle name="표준 6 3 2 2 32 3 2 2 2" xfId="50333"/>
    <cellStyle name="표준 6 3 2 2 32 3 2 3" xfId="37661"/>
    <cellStyle name="표준 6 3 2 2 32 3 3" xfId="18645"/>
    <cellStyle name="표준 6 3 2 2 32 3 3 2" xfId="43997"/>
    <cellStyle name="표준 6 3 2 2 32 3 4" xfId="31325"/>
    <cellStyle name="표준 6 3 2 2 32 3 5" xfId="56273"/>
    <cellStyle name="표준 6 3 2 2 32 4" xfId="9151"/>
    <cellStyle name="표준 6 3 2 2 32 4 2" xfId="21824"/>
    <cellStyle name="표준 6 3 2 2 32 4 2 2" xfId="47176"/>
    <cellStyle name="표준 6 3 2 2 32 4 3" xfId="34504"/>
    <cellStyle name="표준 6 3 2 2 32 5" xfId="15488"/>
    <cellStyle name="표준 6 3 2 2 32 5 2" xfId="40840"/>
    <cellStyle name="표준 6 3 2 2 32 6" xfId="28168"/>
    <cellStyle name="표준 6 3 2 2 32 7" xfId="56274"/>
    <cellStyle name="표준 6 3 2 2 33" xfId="2816"/>
    <cellStyle name="표준 6 3 2 2 33 2" xfId="2817"/>
    <cellStyle name="표준 6 3 2 2 33 2 2" xfId="5973"/>
    <cellStyle name="표준 6 3 2 2 33 2 2 2" xfId="12309"/>
    <cellStyle name="표준 6 3 2 2 33 2 2 2 2" xfId="24982"/>
    <cellStyle name="표준 6 3 2 2 33 2 2 2 2 2" xfId="50334"/>
    <cellStyle name="표준 6 3 2 2 33 2 2 2 3" xfId="37662"/>
    <cellStyle name="표준 6 3 2 2 33 2 2 3" xfId="18646"/>
    <cellStyle name="표준 6 3 2 2 33 2 2 3 2" xfId="43998"/>
    <cellStyle name="표준 6 3 2 2 33 2 2 4" xfId="31326"/>
    <cellStyle name="표준 6 3 2 2 33 2 2 5" xfId="56275"/>
    <cellStyle name="표준 6 3 2 2 33 2 3" xfId="9154"/>
    <cellStyle name="표준 6 3 2 2 33 2 3 2" xfId="21827"/>
    <cellStyle name="표준 6 3 2 2 33 2 3 2 2" xfId="47179"/>
    <cellStyle name="표준 6 3 2 2 33 2 3 3" xfId="34507"/>
    <cellStyle name="표준 6 3 2 2 33 2 4" xfId="15491"/>
    <cellStyle name="표준 6 3 2 2 33 2 4 2" xfId="40843"/>
    <cellStyle name="표준 6 3 2 2 33 2 5" xfId="28171"/>
    <cellStyle name="표준 6 3 2 2 33 2 6" xfId="56276"/>
    <cellStyle name="표준 6 3 2 2 33 3" xfId="5974"/>
    <cellStyle name="표준 6 3 2 2 33 3 2" xfId="12310"/>
    <cellStyle name="표준 6 3 2 2 33 3 2 2" xfId="24983"/>
    <cellStyle name="표준 6 3 2 2 33 3 2 2 2" xfId="50335"/>
    <cellStyle name="표준 6 3 2 2 33 3 2 3" xfId="37663"/>
    <cellStyle name="표준 6 3 2 2 33 3 3" xfId="18647"/>
    <cellStyle name="표준 6 3 2 2 33 3 3 2" xfId="43999"/>
    <cellStyle name="표준 6 3 2 2 33 3 4" xfId="31327"/>
    <cellStyle name="표준 6 3 2 2 33 3 5" xfId="56277"/>
    <cellStyle name="표준 6 3 2 2 33 4" xfId="9153"/>
    <cellStyle name="표준 6 3 2 2 33 4 2" xfId="21826"/>
    <cellStyle name="표준 6 3 2 2 33 4 2 2" xfId="47178"/>
    <cellStyle name="표준 6 3 2 2 33 4 3" xfId="34506"/>
    <cellStyle name="표준 6 3 2 2 33 5" xfId="15490"/>
    <cellStyle name="표준 6 3 2 2 33 5 2" xfId="40842"/>
    <cellStyle name="표준 6 3 2 2 33 6" xfId="28170"/>
    <cellStyle name="표준 6 3 2 2 33 7" xfId="56278"/>
    <cellStyle name="표준 6 3 2 2 34" xfId="2818"/>
    <cellStyle name="표준 6 3 2 2 34 2" xfId="5975"/>
    <cellStyle name="표준 6 3 2 2 34 2 2" xfId="12311"/>
    <cellStyle name="표준 6 3 2 2 34 2 2 2" xfId="24984"/>
    <cellStyle name="표준 6 3 2 2 34 2 2 2 2" xfId="50336"/>
    <cellStyle name="표준 6 3 2 2 34 2 2 3" xfId="37664"/>
    <cellStyle name="표준 6 3 2 2 34 2 3" xfId="18648"/>
    <cellStyle name="표준 6 3 2 2 34 2 3 2" xfId="44000"/>
    <cellStyle name="표준 6 3 2 2 34 2 4" xfId="31328"/>
    <cellStyle name="표준 6 3 2 2 34 2 5" xfId="56279"/>
    <cellStyle name="표준 6 3 2 2 34 3" xfId="9155"/>
    <cellStyle name="표준 6 3 2 2 34 3 2" xfId="21828"/>
    <cellStyle name="표준 6 3 2 2 34 3 2 2" xfId="47180"/>
    <cellStyle name="표준 6 3 2 2 34 3 3" xfId="34508"/>
    <cellStyle name="표준 6 3 2 2 34 4" xfId="15492"/>
    <cellStyle name="표준 6 3 2 2 34 4 2" xfId="40844"/>
    <cellStyle name="표준 6 3 2 2 34 5" xfId="28172"/>
    <cellStyle name="표준 6 3 2 2 34 6" xfId="56280"/>
    <cellStyle name="표준 6 3 2 2 35" xfId="5976"/>
    <cellStyle name="표준 6 3 2 2 35 2" xfId="12312"/>
    <cellStyle name="표준 6 3 2 2 35 2 2" xfId="24985"/>
    <cellStyle name="표준 6 3 2 2 35 2 2 2" xfId="50337"/>
    <cellStyle name="표준 6 3 2 2 35 2 3" xfId="37665"/>
    <cellStyle name="표준 6 3 2 2 35 3" xfId="18649"/>
    <cellStyle name="표준 6 3 2 2 35 3 2" xfId="44001"/>
    <cellStyle name="표준 6 3 2 2 35 4" xfId="31329"/>
    <cellStyle name="표준 6 3 2 2 35 5" xfId="56281"/>
    <cellStyle name="표준 6 3 2 2 36" xfId="6435"/>
    <cellStyle name="표준 6 3 2 2 36 2" xfId="19108"/>
    <cellStyle name="표준 6 3 2 2 36 2 2" xfId="44460"/>
    <cellStyle name="표준 6 3 2 2 36 3" xfId="31788"/>
    <cellStyle name="표준 6 3 2 2 37" xfId="12772"/>
    <cellStyle name="표준 6 3 2 2 37 2" xfId="38124"/>
    <cellStyle name="표준 6 3 2 2 38" xfId="25452"/>
    <cellStyle name="표준 6 3 2 2 39" xfId="56282"/>
    <cellStyle name="표준 6 3 2 2 4" xfId="2819"/>
    <cellStyle name="표준 6 3 2 2 4 2" xfId="2820"/>
    <cellStyle name="표준 6 3 2 2 4 2 2" xfId="5977"/>
    <cellStyle name="표준 6 3 2 2 4 2 2 2" xfId="12313"/>
    <cellStyle name="표준 6 3 2 2 4 2 2 2 2" xfId="24986"/>
    <cellStyle name="표준 6 3 2 2 4 2 2 2 2 2" xfId="50338"/>
    <cellStyle name="표준 6 3 2 2 4 2 2 2 3" xfId="37666"/>
    <cellStyle name="표준 6 3 2 2 4 2 2 3" xfId="18650"/>
    <cellStyle name="표준 6 3 2 2 4 2 2 3 2" xfId="44002"/>
    <cellStyle name="표준 6 3 2 2 4 2 2 4" xfId="31330"/>
    <cellStyle name="표준 6 3 2 2 4 2 2 5" xfId="56283"/>
    <cellStyle name="표준 6 3 2 2 4 2 3" xfId="9157"/>
    <cellStyle name="표준 6 3 2 2 4 2 3 2" xfId="21830"/>
    <cellStyle name="표준 6 3 2 2 4 2 3 2 2" xfId="47182"/>
    <cellStyle name="표준 6 3 2 2 4 2 3 3" xfId="34510"/>
    <cellStyle name="표준 6 3 2 2 4 2 4" xfId="15494"/>
    <cellStyle name="표준 6 3 2 2 4 2 4 2" xfId="40846"/>
    <cellStyle name="표준 6 3 2 2 4 2 5" xfId="28174"/>
    <cellStyle name="표준 6 3 2 2 4 2 6" xfId="56284"/>
    <cellStyle name="표준 6 3 2 2 4 3" xfId="5978"/>
    <cellStyle name="표준 6 3 2 2 4 3 2" xfId="12314"/>
    <cellStyle name="표준 6 3 2 2 4 3 2 2" xfId="24987"/>
    <cellStyle name="표준 6 3 2 2 4 3 2 2 2" xfId="50339"/>
    <cellStyle name="표준 6 3 2 2 4 3 2 3" xfId="37667"/>
    <cellStyle name="표준 6 3 2 2 4 3 3" xfId="18651"/>
    <cellStyle name="표준 6 3 2 2 4 3 3 2" xfId="44003"/>
    <cellStyle name="표준 6 3 2 2 4 3 4" xfId="31331"/>
    <cellStyle name="표준 6 3 2 2 4 3 5" xfId="56285"/>
    <cellStyle name="표준 6 3 2 2 4 4" xfId="9156"/>
    <cellStyle name="표준 6 3 2 2 4 4 2" xfId="21829"/>
    <cellStyle name="표준 6 3 2 2 4 4 2 2" xfId="47181"/>
    <cellStyle name="표준 6 3 2 2 4 4 3" xfId="34509"/>
    <cellStyle name="표준 6 3 2 2 4 5" xfId="15493"/>
    <cellStyle name="표준 6 3 2 2 4 5 2" xfId="40845"/>
    <cellStyle name="표준 6 3 2 2 4 6" xfId="28173"/>
    <cellStyle name="표준 6 3 2 2 4 7" xfId="56286"/>
    <cellStyle name="표준 6 3 2 2 5" xfId="2821"/>
    <cellStyle name="표준 6 3 2 2 5 2" xfId="2822"/>
    <cellStyle name="표준 6 3 2 2 5 2 2" xfId="5979"/>
    <cellStyle name="표준 6 3 2 2 5 2 2 2" xfId="12315"/>
    <cellStyle name="표준 6 3 2 2 5 2 2 2 2" xfId="24988"/>
    <cellStyle name="표준 6 3 2 2 5 2 2 2 2 2" xfId="50340"/>
    <cellStyle name="표준 6 3 2 2 5 2 2 2 3" xfId="37668"/>
    <cellStyle name="표준 6 3 2 2 5 2 2 3" xfId="18652"/>
    <cellStyle name="표준 6 3 2 2 5 2 2 3 2" xfId="44004"/>
    <cellStyle name="표준 6 3 2 2 5 2 2 4" xfId="31332"/>
    <cellStyle name="표준 6 3 2 2 5 2 2 5" xfId="56287"/>
    <cellStyle name="표준 6 3 2 2 5 2 3" xfId="9159"/>
    <cellStyle name="표준 6 3 2 2 5 2 3 2" xfId="21832"/>
    <cellStyle name="표준 6 3 2 2 5 2 3 2 2" xfId="47184"/>
    <cellStyle name="표준 6 3 2 2 5 2 3 3" xfId="34512"/>
    <cellStyle name="표준 6 3 2 2 5 2 4" xfId="15496"/>
    <cellStyle name="표준 6 3 2 2 5 2 4 2" xfId="40848"/>
    <cellStyle name="표준 6 3 2 2 5 2 5" xfId="28176"/>
    <cellStyle name="표준 6 3 2 2 5 2 6" xfId="56288"/>
    <cellStyle name="표준 6 3 2 2 5 3" xfId="5980"/>
    <cellStyle name="표준 6 3 2 2 5 3 2" xfId="12316"/>
    <cellStyle name="표준 6 3 2 2 5 3 2 2" xfId="24989"/>
    <cellStyle name="표준 6 3 2 2 5 3 2 2 2" xfId="50341"/>
    <cellStyle name="표준 6 3 2 2 5 3 2 3" xfId="37669"/>
    <cellStyle name="표준 6 3 2 2 5 3 3" xfId="18653"/>
    <cellStyle name="표준 6 3 2 2 5 3 3 2" xfId="44005"/>
    <cellStyle name="표준 6 3 2 2 5 3 4" xfId="31333"/>
    <cellStyle name="표준 6 3 2 2 5 3 5" xfId="56289"/>
    <cellStyle name="표준 6 3 2 2 5 4" xfId="9158"/>
    <cellStyle name="표준 6 3 2 2 5 4 2" xfId="21831"/>
    <cellStyle name="표준 6 3 2 2 5 4 2 2" xfId="47183"/>
    <cellStyle name="표준 6 3 2 2 5 4 3" xfId="34511"/>
    <cellStyle name="표준 6 3 2 2 5 5" xfId="15495"/>
    <cellStyle name="표준 6 3 2 2 5 5 2" xfId="40847"/>
    <cellStyle name="표준 6 3 2 2 5 6" xfId="28175"/>
    <cellStyle name="표준 6 3 2 2 5 7" xfId="56290"/>
    <cellStyle name="표준 6 3 2 2 6" xfId="2823"/>
    <cellStyle name="표준 6 3 2 2 6 2" xfId="2824"/>
    <cellStyle name="표준 6 3 2 2 6 2 2" xfId="5981"/>
    <cellStyle name="표준 6 3 2 2 6 2 2 2" xfId="12317"/>
    <cellStyle name="표준 6 3 2 2 6 2 2 2 2" xfId="24990"/>
    <cellStyle name="표준 6 3 2 2 6 2 2 2 2 2" xfId="50342"/>
    <cellStyle name="표준 6 3 2 2 6 2 2 2 3" xfId="37670"/>
    <cellStyle name="표준 6 3 2 2 6 2 2 3" xfId="18654"/>
    <cellStyle name="표준 6 3 2 2 6 2 2 3 2" xfId="44006"/>
    <cellStyle name="표준 6 3 2 2 6 2 2 4" xfId="31334"/>
    <cellStyle name="표준 6 3 2 2 6 2 2 5" xfId="56291"/>
    <cellStyle name="표준 6 3 2 2 6 2 3" xfId="9161"/>
    <cellStyle name="표준 6 3 2 2 6 2 3 2" xfId="21834"/>
    <cellStyle name="표준 6 3 2 2 6 2 3 2 2" xfId="47186"/>
    <cellStyle name="표준 6 3 2 2 6 2 3 3" xfId="34514"/>
    <cellStyle name="표준 6 3 2 2 6 2 4" xfId="15498"/>
    <cellStyle name="표준 6 3 2 2 6 2 4 2" xfId="40850"/>
    <cellStyle name="표준 6 3 2 2 6 2 5" xfId="28178"/>
    <cellStyle name="표준 6 3 2 2 6 2 6" xfId="56292"/>
    <cellStyle name="표준 6 3 2 2 6 3" xfId="5982"/>
    <cellStyle name="표준 6 3 2 2 6 3 2" xfId="12318"/>
    <cellStyle name="표준 6 3 2 2 6 3 2 2" xfId="24991"/>
    <cellStyle name="표준 6 3 2 2 6 3 2 2 2" xfId="50343"/>
    <cellStyle name="표준 6 3 2 2 6 3 2 3" xfId="37671"/>
    <cellStyle name="표준 6 3 2 2 6 3 3" xfId="18655"/>
    <cellStyle name="표준 6 3 2 2 6 3 3 2" xfId="44007"/>
    <cellStyle name="표준 6 3 2 2 6 3 4" xfId="31335"/>
    <cellStyle name="표준 6 3 2 2 6 3 5" xfId="56293"/>
    <cellStyle name="표준 6 3 2 2 6 4" xfId="9160"/>
    <cellStyle name="표준 6 3 2 2 6 4 2" xfId="21833"/>
    <cellStyle name="표준 6 3 2 2 6 4 2 2" xfId="47185"/>
    <cellStyle name="표준 6 3 2 2 6 4 3" xfId="34513"/>
    <cellStyle name="표준 6 3 2 2 6 5" xfId="15497"/>
    <cellStyle name="표준 6 3 2 2 6 5 2" xfId="40849"/>
    <cellStyle name="표준 6 3 2 2 6 6" xfId="28177"/>
    <cellStyle name="표준 6 3 2 2 6 7" xfId="56294"/>
    <cellStyle name="표준 6 3 2 2 7" xfId="2825"/>
    <cellStyle name="표준 6 3 2 2 7 2" xfId="2826"/>
    <cellStyle name="표준 6 3 2 2 7 2 2" xfId="5983"/>
    <cellStyle name="표준 6 3 2 2 7 2 2 2" xfId="12319"/>
    <cellStyle name="표준 6 3 2 2 7 2 2 2 2" xfId="24992"/>
    <cellStyle name="표준 6 3 2 2 7 2 2 2 2 2" xfId="50344"/>
    <cellStyle name="표준 6 3 2 2 7 2 2 2 3" xfId="37672"/>
    <cellStyle name="표준 6 3 2 2 7 2 2 3" xfId="18656"/>
    <cellStyle name="표준 6 3 2 2 7 2 2 3 2" xfId="44008"/>
    <cellStyle name="표준 6 3 2 2 7 2 2 4" xfId="31336"/>
    <cellStyle name="표준 6 3 2 2 7 2 2 5" xfId="56295"/>
    <cellStyle name="표준 6 3 2 2 7 2 3" xfId="9163"/>
    <cellStyle name="표준 6 3 2 2 7 2 3 2" xfId="21836"/>
    <cellStyle name="표준 6 3 2 2 7 2 3 2 2" xfId="47188"/>
    <cellStyle name="표준 6 3 2 2 7 2 3 3" xfId="34516"/>
    <cellStyle name="표준 6 3 2 2 7 2 4" xfId="15500"/>
    <cellStyle name="표준 6 3 2 2 7 2 4 2" xfId="40852"/>
    <cellStyle name="표준 6 3 2 2 7 2 5" xfId="28180"/>
    <cellStyle name="표준 6 3 2 2 7 2 6" xfId="56296"/>
    <cellStyle name="표준 6 3 2 2 7 3" xfId="5984"/>
    <cellStyle name="표준 6 3 2 2 7 3 2" xfId="12320"/>
    <cellStyle name="표준 6 3 2 2 7 3 2 2" xfId="24993"/>
    <cellStyle name="표준 6 3 2 2 7 3 2 2 2" xfId="50345"/>
    <cellStyle name="표준 6 3 2 2 7 3 2 3" xfId="37673"/>
    <cellStyle name="표준 6 3 2 2 7 3 3" xfId="18657"/>
    <cellStyle name="표준 6 3 2 2 7 3 3 2" xfId="44009"/>
    <cellStyle name="표준 6 3 2 2 7 3 4" xfId="31337"/>
    <cellStyle name="표준 6 3 2 2 7 3 5" xfId="56297"/>
    <cellStyle name="표준 6 3 2 2 7 4" xfId="9162"/>
    <cellStyle name="표준 6 3 2 2 7 4 2" xfId="21835"/>
    <cellStyle name="표준 6 3 2 2 7 4 2 2" xfId="47187"/>
    <cellStyle name="표준 6 3 2 2 7 4 3" xfId="34515"/>
    <cellStyle name="표준 6 3 2 2 7 5" xfId="15499"/>
    <cellStyle name="표준 6 3 2 2 7 5 2" xfId="40851"/>
    <cellStyle name="표준 6 3 2 2 7 6" xfId="28179"/>
    <cellStyle name="표준 6 3 2 2 7 7" xfId="56298"/>
    <cellStyle name="표준 6 3 2 2 8" xfId="2827"/>
    <cellStyle name="표준 6 3 2 2 8 2" xfId="2828"/>
    <cellStyle name="표준 6 3 2 2 8 2 2" xfId="5985"/>
    <cellStyle name="표준 6 3 2 2 8 2 2 2" xfId="12321"/>
    <cellStyle name="표준 6 3 2 2 8 2 2 2 2" xfId="24994"/>
    <cellStyle name="표준 6 3 2 2 8 2 2 2 2 2" xfId="50346"/>
    <cellStyle name="표준 6 3 2 2 8 2 2 2 3" xfId="37674"/>
    <cellStyle name="표준 6 3 2 2 8 2 2 3" xfId="18658"/>
    <cellStyle name="표준 6 3 2 2 8 2 2 3 2" xfId="44010"/>
    <cellStyle name="표준 6 3 2 2 8 2 2 4" xfId="31338"/>
    <cellStyle name="표준 6 3 2 2 8 2 2 5" xfId="56299"/>
    <cellStyle name="표준 6 3 2 2 8 2 3" xfId="9165"/>
    <cellStyle name="표준 6 3 2 2 8 2 3 2" xfId="21838"/>
    <cellStyle name="표준 6 3 2 2 8 2 3 2 2" xfId="47190"/>
    <cellStyle name="표준 6 3 2 2 8 2 3 3" xfId="34518"/>
    <cellStyle name="표준 6 3 2 2 8 2 4" xfId="15502"/>
    <cellStyle name="표준 6 3 2 2 8 2 4 2" xfId="40854"/>
    <cellStyle name="표준 6 3 2 2 8 2 5" xfId="28182"/>
    <cellStyle name="표준 6 3 2 2 8 2 6" xfId="56300"/>
    <cellStyle name="표준 6 3 2 2 8 3" xfId="5986"/>
    <cellStyle name="표준 6 3 2 2 8 3 2" xfId="12322"/>
    <cellStyle name="표준 6 3 2 2 8 3 2 2" xfId="24995"/>
    <cellStyle name="표준 6 3 2 2 8 3 2 2 2" xfId="50347"/>
    <cellStyle name="표준 6 3 2 2 8 3 2 3" xfId="37675"/>
    <cellStyle name="표준 6 3 2 2 8 3 3" xfId="18659"/>
    <cellStyle name="표준 6 3 2 2 8 3 3 2" xfId="44011"/>
    <cellStyle name="표준 6 3 2 2 8 3 4" xfId="31339"/>
    <cellStyle name="표준 6 3 2 2 8 3 5" xfId="56301"/>
    <cellStyle name="표준 6 3 2 2 8 4" xfId="9164"/>
    <cellStyle name="표준 6 3 2 2 8 4 2" xfId="21837"/>
    <cellStyle name="표준 6 3 2 2 8 4 2 2" xfId="47189"/>
    <cellStyle name="표준 6 3 2 2 8 4 3" xfId="34517"/>
    <cellStyle name="표준 6 3 2 2 8 5" xfId="15501"/>
    <cellStyle name="표준 6 3 2 2 8 5 2" xfId="40853"/>
    <cellStyle name="표준 6 3 2 2 8 6" xfId="28181"/>
    <cellStyle name="표준 6 3 2 2 8 7" xfId="56302"/>
    <cellStyle name="표준 6 3 2 2 9" xfId="2829"/>
    <cellStyle name="표준 6 3 2 2 9 2" xfId="2830"/>
    <cellStyle name="표준 6 3 2 2 9 2 2" xfId="5987"/>
    <cellStyle name="표준 6 3 2 2 9 2 2 2" xfId="12323"/>
    <cellStyle name="표준 6 3 2 2 9 2 2 2 2" xfId="24996"/>
    <cellStyle name="표준 6 3 2 2 9 2 2 2 2 2" xfId="50348"/>
    <cellStyle name="표준 6 3 2 2 9 2 2 2 3" xfId="37676"/>
    <cellStyle name="표준 6 3 2 2 9 2 2 3" xfId="18660"/>
    <cellStyle name="표준 6 3 2 2 9 2 2 3 2" xfId="44012"/>
    <cellStyle name="표준 6 3 2 2 9 2 2 4" xfId="31340"/>
    <cellStyle name="표준 6 3 2 2 9 2 2 5" xfId="56303"/>
    <cellStyle name="표준 6 3 2 2 9 2 3" xfId="9167"/>
    <cellStyle name="표준 6 3 2 2 9 2 3 2" xfId="21840"/>
    <cellStyle name="표준 6 3 2 2 9 2 3 2 2" xfId="47192"/>
    <cellStyle name="표준 6 3 2 2 9 2 3 3" xfId="34520"/>
    <cellStyle name="표준 6 3 2 2 9 2 4" xfId="15504"/>
    <cellStyle name="표준 6 3 2 2 9 2 4 2" xfId="40856"/>
    <cellStyle name="표준 6 3 2 2 9 2 5" xfId="28184"/>
    <cellStyle name="표준 6 3 2 2 9 2 6" xfId="56304"/>
    <cellStyle name="표준 6 3 2 2 9 3" xfId="5988"/>
    <cellStyle name="표준 6 3 2 2 9 3 2" xfId="12324"/>
    <cellStyle name="표준 6 3 2 2 9 3 2 2" xfId="24997"/>
    <cellStyle name="표준 6 3 2 2 9 3 2 2 2" xfId="50349"/>
    <cellStyle name="표준 6 3 2 2 9 3 2 3" xfId="37677"/>
    <cellStyle name="표준 6 3 2 2 9 3 3" xfId="18661"/>
    <cellStyle name="표준 6 3 2 2 9 3 3 2" xfId="44013"/>
    <cellStyle name="표준 6 3 2 2 9 3 4" xfId="31341"/>
    <cellStyle name="표준 6 3 2 2 9 3 5" xfId="56305"/>
    <cellStyle name="표준 6 3 2 2 9 4" xfId="9166"/>
    <cellStyle name="표준 6 3 2 2 9 4 2" xfId="21839"/>
    <cellStyle name="표준 6 3 2 2 9 4 2 2" xfId="47191"/>
    <cellStyle name="표준 6 3 2 2 9 4 3" xfId="34519"/>
    <cellStyle name="표준 6 3 2 2 9 5" xfId="15503"/>
    <cellStyle name="표준 6 3 2 2 9 5 2" xfId="40855"/>
    <cellStyle name="표준 6 3 2 2 9 6" xfId="28183"/>
    <cellStyle name="표준 6 3 2 2 9 7" xfId="56306"/>
    <cellStyle name="표준 6 3 2 20" xfId="2831"/>
    <cellStyle name="표준 6 3 2 20 2" xfId="2832"/>
    <cellStyle name="표준 6 3 2 20 2 2" xfId="5989"/>
    <cellStyle name="표준 6 3 2 20 2 2 2" xfId="12325"/>
    <cellStyle name="표준 6 3 2 20 2 2 2 2" xfId="24998"/>
    <cellStyle name="표준 6 3 2 20 2 2 2 2 2" xfId="50350"/>
    <cellStyle name="표준 6 3 2 20 2 2 2 3" xfId="37678"/>
    <cellStyle name="표준 6 3 2 20 2 2 3" xfId="18662"/>
    <cellStyle name="표준 6 3 2 20 2 2 3 2" xfId="44014"/>
    <cellStyle name="표준 6 3 2 20 2 2 4" xfId="31342"/>
    <cellStyle name="표준 6 3 2 20 2 2 5" xfId="56307"/>
    <cellStyle name="표준 6 3 2 20 2 3" xfId="9169"/>
    <cellStyle name="표준 6 3 2 20 2 3 2" xfId="21842"/>
    <cellStyle name="표준 6 3 2 20 2 3 2 2" xfId="47194"/>
    <cellStyle name="표준 6 3 2 20 2 3 3" xfId="34522"/>
    <cellStyle name="표준 6 3 2 20 2 4" xfId="15506"/>
    <cellStyle name="표준 6 3 2 20 2 4 2" xfId="40858"/>
    <cellStyle name="표준 6 3 2 20 2 5" xfId="28186"/>
    <cellStyle name="표준 6 3 2 20 2 6" xfId="56308"/>
    <cellStyle name="표준 6 3 2 20 3" xfId="5990"/>
    <cellStyle name="표준 6 3 2 20 3 2" xfId="12326"/>
    <cellStyle name="표준 6 3 2 20 3 2 2" xfId="24999"/>
    <cellStyle name="표준 6 3 2 20 3 2 2 2" xfId="50351"/>
    <cellStyle name="표준 6 3 2 20 3 2 3" xfId="37679"/>
    <cellStyle name="표준 6 3 2 20 3 3" xfId="18663"/>
    <cellStyle name="표준 6 3 2 20 3 3 2" xfId="44015"/>
    <cellStyle name="표준 6 3 2 20 3 4" xfId="31343"/>
    <cellStyle name="표준 6 3 2 20 3 5" xfId="56309"/>
    <cellStyle name="표준 6 3 2 20 4" xfId="9168"/>
    <cellStyle name="표준 6 3 2 20 4 2" xfId="21841"/>
    <cellStyle name="표준 6 3 2 20 4 2 2" xfId="47193"/>
    <cellStyle name="표준 6 3 2 20 4 3" xfId="34521"/>
    <cellStyle name="표준 6 3 2 20 5" xfId="15505"/>
    <cellStyle name="표준 6 3 2 20 5 2" xfId="40857"/>
    <cellStyle name="표준 6 3 2 20 6" xfId="28185"/>
    <cellStyle name="표준 6 3 2 20 7" xfId="56310"/>
    <cellStyle name="표준 6 3 2 21" xfId="2833"/>
    <cellStyle name="표준 6 3 2 21 2" xfId="2834"/>
    <cellStyle name="표준 6 3 2 21 2 2" xfId="5991"/>
    <cellStyle name="표준 6 3 2 21 2 2 2" xfId="12327"/>
    <cellStyle name="표준 6 3 2 21 2 2 2 2" xfId="25000"/>
    <cellStyle name="표준 6 3 2 21 2 2 2 2 2" xfId="50352"/>
    <cellStyle name="표준 6 3 2 21 2 2 2 3" xfId="37680"/>
    <cellStyle name="표준 6 3 2 21 2 2 3" xfId="18664"/>
    <cellStyle name="표준 6 3 2 21 2 2 3 2" xfId="44016"/>
    <cellStyle name="표준 6 3 2 21 2 2 4" xfId="31344"/>
    <cellStyle name="표준 6 3 2 21 2 2 5" xfId="56311"/>
    <cellStyle name="표준 6 3 2 21 2 3" xfId="9171"/>
    <cellStyle name="표준 6 3 2 21 2 3 2" xfId="21844"/>
    <cellStyle name="표준 6 3 2 21 2 3 2 2" xfId="47196"/>
    <cellStyle name="표준 6 3 2 21 2 3 3" xfId="34524"/>
    <cellStyle name="표준 6 3 2 21 2 4" xfId="15508"/>
    <cellStyle name="표준 6 3 2 21 2 4 2" xfId="40860"/>
    <cellStyle name="표준 6 3 2 21 2 5" xfId="28188"/>
    <cellStyle name="표준 6 3 2 21 2 6" xfId="56312"/>
    <cellStyle name="표준 6 3 2 21 3" xfId="5992"/>
    <cellStyle name="표준 6 3 2 21 3 2" xfId="12328"/>
    <cellStyle name="표준 6 3 2 21 3 2 2" xfId="25001"/>
    <cellStyle name="표준 6 3 2 21 3 2 2 2" xfId="50353"/>
    <cellStyle name="표준 6 3 2 21 3 2 3" xfId="37681"/>
    <cellStyle name="표준 6 3 2 21 3 3" xfId="18665"/>
    <cellStyle name="표준 6 3 2 21 3 3 2" xfId="44017"/>
    <cellStyle name="표준 6 3 2 21 3 4" xfId="31345"/>
    <cellStyle name="표준 6 3 2 21 3 5" xfId="56313"/>
    <cellStyle name="표준 6 3 2 21 4" xfId="9170"/>
    <cellStyle name="표준 6 3 2 21 4 2" xfId="21843"/>
    <cellStyle name="표준 6 3 2 21 4 2 2" xfId="47195"/>
    <cellStyle name="표준 6 3 2 21 4 3" xfId="34523"/>
    <cellStyle name="표준 6 3 2 21 5" xfId="15507"/>
    <cellStyle name="표준 6 3 2 21 5 2" xfId="40859"/>
    <cellStyle name="표준 6 3 2 21 6" xfId="28187"/>
    <cellStyle name="표준 6 3 2 21 7" xfId="56314"/>
    <cellStyle name="표준 6 3 2 22" xfId="2835"/>
    <cellStyle name="표준 6 3 2 22 2" xfId="2836"/>
    <cellStyle name="표준 6 3 2 22 2 2" xfId="5993"/>
    <cellStyle name="표준 6 3 2 22 2 2 2" xfId="12329"/>
    <cellStyle name="표준 6 3 2 22 2 2 2 2" xfId="25002"/>
    <cellStyle name="표준 6 3 2 22 2 2 2 2 2" xfId="50354"/>
    <cellStyle name="표준 6 3 2 22 2 2 2 3" xfId="37682"/>
    <cellStyle name="표준 6 3 2 22 2 2 3" xfId="18666"/>
    <cellStyle name="표준 6 3 2 22 2 2 3 2" xfId="44018"/>
    <cellStyle name="표준 6 3 2 22 2 2 4" xfId="31346"/>
    <cellStyle name="표준 6 3 2 22 2 2 5" xfId="56315"/>
    <cellStyle name="표준 6 3 2 22 2 3" xfId="9173"/>
    <cellStyle name="표준 6 3 2 22 2 3 2" xfId="21846"/>
    <cellStyle name="표준 6 3 2 22 2 3 2 2" xfId="47198"/>
    <cellStyle name="표준 6 3 2 22 2 3 3" xfId="34526"/>
    <cellStyle name="표준 6 3 2 22 2 4" xfId="15510"/>
    <cellStyle name="표준 6 3 2 22 2 4 2" xfId="40862"/>
    <cellStyle name="표준 6 3 2 22 2 5" xfId="28190"/>
    <cellStyle name="표준 6 3 2 22 2 6" xfId="56316"/>
    <cellStyle name="표준 6 3 2 22 3" xfId="5994"/>
    <cellStyle name="표준 6 3 2 22 3 2" xfId="12330"/>
    <cellStyle name="표준 6 3 2 22 3 2 2" xfId="25003"/>
    <cellStyle name="표준 6 3 2 22 3 2 2 2" xfId="50355"/>
    <cellStyle name="표준 6 3 2 22 3 2 3" xfId="37683"/>
    <cellStyle name="표준 6 3 2 22 3 3" xfId="18667"/>
    <cellStyle name="표준 6 3 2 22 3 3 2" xfId="44019"/>
    <cellStyle name="표준 6 3 2 22 3 4" xfId="31347"/>
    <cellStyle name="표준 6 3 2 22 3 5" xfId="56317"/>
    <cellStyle name="표준 6 3 2 22 4" xfId="9172"/>
    <cellStyle name="표준 6 3 2 22 4 2" xfId="21845"/>
    <cellStyle name="표준 6 3 2 22 4 2 2" xfId="47197"/>
    <cellStyle name="표준 6 3 2 22 4 3" xfId="34525"/>
    <cellStyle name="표준 6 3 2 22 5" xfId="15509"/>
    <cellStyle name="표준 6 3 2 22 5 2" xfId="40861"/>
    <cellStyle name="표준 6 3 2 22 6" xfId="28189"/>
    <cellStyle name="표준 6 3 2 22 7" xfId="56318"/>
    <cellStyle name="표준 6 3 2 23" xfId="2837"/>
    <cellStyle name="표준 6 3 2 23 2" xfId="2838"/>
    <cellStyle name="표준 6 3 2 23 2 2" xfId="5995"/>
    <cellStyle name="표준 6 3 2 23 2 2 2" xfId="12331"/>
    <cellStyle name="표준 6 3 2 23 2 2 2 2" xfId="25004"/>
    <cellStyle name="표준 6 3 2 23 2 2 2 2 2" xfId="50356"/>
    <cellStyle name="표준 6 3 2 23 2 2 2 3" xfId="37684"/>
    <cellStyle name="표준 6 3 2 23 2 2 3" xfId="18668"/>
    <cellStyle name="표준 6 3 2 23 2 2 3 2" xfId="44020"/>
    <cellStyle name="표준 6 3 2 23 2 2 4" xfId="31348"/>
    <cellStyle name="표준 6 3 2 23 2 2 5" xfId="56319"/>
    <cellStyle name="표준 6 3 2 23 2 3" xfId="9175"/>
    <cellStyle name="표준 6 3 2 23 2 3 2" xfId="21848"/>
    <cellStyle name="표준 6 3 2 23 2 3 2 2" xfId="47200"/>
    <cellStyle name="표준 6 3 2 23 2 3 3" xfId="34528"/>
    <cellStyle name="표준 6 3 2 23 2 4" xfId="15512"/>
    <cellStyle name="표준 6 3 2 23 2 4 2" xfId="40864"/>
    <cellStyle name="표준 6 3 2 23 2 5" xfId="28192"/>
    <cellStyle name="표준 6 3 2 23 2 6" xfId="56320"/>
    <cellStyle name="표준 6 3 2 23 3" xfId="5996"/>
    <cellStyle name="표준 6 3 2 23 3 2" xfId="12332"/>
    <cellStyle name="표준 6 3 2 23 3 2 2" xfId="25005"/>
    <cellStyle name="표준 6 3 2 23 3 2 2 2" xfId="50357"/>
    <cellStyle name="표준 6 3 2 23 3 2 3" xfId="37685"/>
    <cellStyle name="표준 6 3 2 23 3 3" xfId="18669"/>
    <cellStyle name="표준 6 3 2 23 3 3 2" xfId="44021"/>
    <cellStyle name="표준 6 3 2 23 3 4" xfId="31349"/>
    <cellStyle name="표준 6 3 2 23 3 5" xfId="56321"/>
    <cellStyle name="표준 6 3 2 23 4" xfId="9174"/>
    <cellStyle name="표준 6 3 2 23 4 2" xfId="21847"/>
    <cellStyle name="표준 6 3 2 23 4 2 2" xfId="47199"/>
    <cellStyle name="표준 6 3 2 23 4 3" xfId="34527"/>
    <cellStyle name="표준 6 3 2 23 5" xfId="15511"/>
    <cellStyle name="표준 6 3 2 23 5 2" xfId="40863"/>
    <cellStyle name="표준 6 3 2 23 6" xfId="28191"/>
    <cellStyle name="표준 6 3 2 23 7" xfId="56322"/>
    <cellStyle name="표준 6 3 2 24" xfId="2839"/>
    <cellStyle name="표준 6 3 2 24 2" xfId="2840"/>
    <cellStyle name="표준 6 3 2 24 2 2" xfId="5997"/>
    <cellStyle name="표준 6 3 2 24 2 2 2" xfId="12333"/>
    <cellStyle name="표준 6 3 2 24 2 2 2 2" xfId="25006"/>
    <cellStyle name="표준 6 3 2 24 2 2 2 2 2" xfId="50358"/>
    <cellStyle name="표준 6 3 2 24 2 2 2 3" xfId="37686"/>
    <cellStyle name="표준 6 3 2 24 2 2 3" xfId="18670"/>
    <cellStyle name="표준 6 3 2 24 2 2 3 2" xfId="44022"/>
    <cellStyle name="표준 6 3 2 24 2 2 4" xfId="31350"/>
    <cellStyle name="표준 6 3 2 24 2 2 5" xfId="56323"/>
    <cellStyle name="표준 6 3 2 24 2 3" xfId="9177"/>
    <cellStyle name="표준 6 3 2 24 2 3 2" xfId="21850"/>
    <cellStyle name="표준 6 3 2 24 2 3 2 2" xfId="47202"/>
    <cellStyle name="표준 6 3 2 24 2 3 3" xfId="34530"/>
    <cellStyle name="표준 6 3 2 24 2 4" xfId="15514"/>
    <cellStyle name="표준 6 3 2 24 2 4 2" xfId="40866"/>
    <cellStyle name="표준 6 3 2 24 2 5" xfId="28194"/>
    <cellStyle name="표준 6 3 2 24 2 6" xfId="56324"/>
    <cellStyle name="표준 6 3 2 24 3" xfId="5998"/>
    <cellStyle name="표준 6 3 2 24 3 2" xfId="12334"/>
    <cellStyle name="표준 6 3 2 24 3 2 2" xfId="25007"/>
    <cellStyle name="표준 6 3 2 24 3 2 2 2" xfId="50359"/>
    <cellStyle name="표준 6 3 2 24 3 2 3" xfId="37687"/>
    <cellStyle name="표준 6 3 2 24 3 3" xfId="18671"/>
    <cellStyle name="표준 6 3 2 24 3 3 2" xfId="44023"/>
    <cellStyle name="표준 6 3 2 24 3 4" xfId="31351"/>
    <cellStyle name="표준 6 3 2 24 3 5" xfId="56325"/>
    <cellStyle name="표준 6 3 2 24 4" xfId="9176"/>
    <cellStyle name="표준 6 3 2 24 4 2" xfId="21849"/>
    <cellStyle name="표준 6 3 2 24 4 2 2" xfId="47201"/>
    <cellStyle name="표준 6 3 2 24 4 3" xfId="34529"/>
    <cellStyle name="표준 6 3 2 24 5" xfId="15513"/>
    <cellStyle name="표준 6 3 2 24 5 2" xfId="40865"/>
    <cellStyle name="표준 6 3 2 24 6" xfId="28193"/>
    <cellStyle name="표준 6 3 2 24 7" xfId="56326"/>
    <cellStyle name="표준 6 3 2 25" xfId="2841"/>
    <cellStyle name="표준 6 3 2 25 2" xfId="2842"/>
    <cellStyle name="표준 6 3 2 25 2 2" xfId="5999"/>
    <cellStyle name="표준 6 3 2 25 2 2 2" xfId="12335"/>
    <cellStyle name="표준 6 3 2 25 2 2 2 2" xfId="25008"/>
    <cellStyle name="표준 6 3 2 25 2 2 2 2 2" xfId="50360"/>
    <cellStyle name="표준 6 3 2 25 2 2 2 3" xfId="37688"/>
    <cellStyle name="표준 6 3 2 25 2 2 3" xfId="18672"/>
    <cellStyle name="표준 6 3 2 25 2 2 3 2" xfId="44024"/>
    <cellStyle name="표준 6 3 2 25 2 2 4" xfId="31352"/>
    <cellStyle name="표준 6 3 2 25 2 2 5" xfId="56327"/>
    <cellStyle name="표준 6 3 2 25 2 3" xfId="9179"/>
    <cellStyle name="표준 6 3 2 25 2 3 2" xfId="21852"/>
    <cellStyle name="표준 6 3 2 25 2 3 2 2" xfId="47204"/>
    <cellStyle name="표준 6 3 2 25 2 3 3" xfId="34532"/>
    <cellStyle name="표준 6 3 2 25 2 4" xfId="15516"/>
    <cellStyle name="표준 6 3 2 25 2 4 2" xfId="40868"/>
    <cellStyle name="표준 6 3 2 25 2 5" xfId="28196"/>
    <cellStyle name="표준 6 3 2 25 2 6" xfId="56328"/>
    <cellStyle name="표준 6 3 2 25 3" xfId="6000"/>
    <cellStyle name="표준 6 3 2 25 3 2" xfId="12336"/>
    <cellStyle name="표준 6 3 2 25 3 2 2" xfId="25009"/>
    <cellStyle name="표준 6 3 2 25 3 2 2 2" xfId="50361"/>
    <cellStyle name="표준 6 3 2 25 3 2 3" xfId="37689"/>
    <cellStyle name="표준 6 3 2 25 3 3" xfId="18673"/>
    <cellStyle name="표준 6 3 2 25 3 3 2" xfId="44025"/>
    <cellStyle name="표준 6 3 2 25 3 4" xfId="31353"/>
    <cellStyle name="표준 6 3 2 25 3 5" xfId="56329"/>
    <cellStyle name="표준 6 3 2 25 4" xfId="9178"/>
    <cellStyle name="표준 6 3 2 25 4 2" xfId="21851"/>
    <cellStyle name="표준 6 3 2 25 4 2 2" xfId="47203"/>
    <cellStyle name="표준 6 3 2 25 4 3" xfId="34531"/>
    <cellStyle name="표준 6 3 2 25 5" xfId="15515"/>
    <cellStyle name="표준 6 3 2 25 5 2" xfId="40867"/>
    <cellStyle name="표준 6 3 2 25 6" xfId="28195"/>
    <cellStyle name="표준 6 3 2 25 7" xfId="56330"/>
    <cellStyle name="표준 6 3 2 26" xfId="2843"/>
    <cellStyle name="표준 6 3 2 26 2" xfId="2844"/>
    <cellStyle name="표준 6 3 2 26 2 2" xfId="6001"/>
    <cellStyle name="표준 6 3 2 26 2 2 2" xfId="12337"/>
    <cellStyle name="표준 6 3 2 26 2 2 2 2" xfId="25010"/>
    <cellStyle name="표준 6 3 2 26 2 2 2 2 2" xfId="50362"/>
    <cellStyle name="표준 6 3 2 26 2 2 2 3" xfId="37690"/>
    <cellStyle name="표준 6 3 2 26 2 2 3" xfId="18674"/>
    <cellStyle name="표준 6 3 2 26 2 2 3 2" xfId="44026"/>
    <cellStyle name="표준 6 3 2 26 2 2 4" xfId="31354"/>
    <cellStyle name="표준 6 3 2 26 2 2 5" xfId="56331"/>
    <cellStyle name="표준 6 3 2 26 2 3" xfId="9181"/>
    <cellStyle name="표준 6 3 2 26 2 3 2" xfId="21854"/>
    <cellStyle name="표준 6 3 2 26 2 3 2 2" xfId="47206"/>
    <cellStyle name="표준 6 3 2 26 2 3 3" xfId="34534"/>
    <cellStyle name="표준 6 3 2 26 2 4" xfId="15518"/>
    <cellStyle name="표준 6 3 2 26 2 4 2" xfId="40870"/>
    <cellStyle name="표준 6 3 2 26 2 5" xfId="28198"/>
    <cellStyle name="표준 6 3 2 26 2 6" xfId="56332"/>
    <cellStyle name="표준 6 3 2 26 3" xfId="6002"/>
    <cellStyle name="표준 6 3 2 26 3 2" xfId="12338"/>
    <cellStyle name="표준 6 3 2 26 3 2 2" xfId="25011"/>
    <cellStyle name="표준 6 3 2 26 3 2 2 2" xfId="50363"/>
    <cellStyle name="표준 6 3 2 26 3 2 3" xfId="37691"/>
    <cellStyle name="표준 6 3 2 26 3 3" xfId="18675"/>
    <cellStyle name="표준 6 3 2 26 3 3 2" xfId="44027"/>
    <cellStyle name="표준 6 3 2 26 3 4" xfId="31355"/>
    <cellStyle name="표준 6 3 2 26 3 5" xfId="56333"/>
    <cellStyle name="표준 6 3 2 26 4" xfId="9180"/>
    <cellStyle name="표준 6 3 2 26 4 2" xfId="21853"/>
    <cellStyle name="표준 6 3 2 26 4 2 2" xfId="47205"/>
    <cellStyle name="표준 6 3 2 26 4 3" xfId="34533"/>
    <cellStyle name="표준 6 3 2 26 5" xfId="15517"/>
    <cellStyle name="표준 6 3 2 26 5 2" xfId="40869"/>
    <cellStyle name="표준 6 3 2 26 6" xfId="28197"/>
    <cellStyle name="표준 6 3 2 26 7" xfId="56334"/>
    <cellStyle name="표준 6 3 2 27" xfId="2845"/>
    <cellStyle name="표준 6 3 2 27 2" xfId="2846"/>
    <cellStyle name="표준 6 3 2 27 2 2" xfId="6003"/>
    <cellStyle name="표준 6 3 2 27 2 2 2" xfId="12339"/>
    <cellStyle name="표준 6 3 2 27 2 2 2 2" xfId="25012"/>
    <cellStyle name="표준 6 3 2 27 2 2 2 2 2" xfId="50364"/>
    <cellStyle name="표준 6 3 2 27 2 2 2 3" xfId="37692"/>
    <cellStyle name="표준 6 3 2 27 2 2 3" xfId="18676"/>
    <cellStyle name="표준 6 3 2 27 2 2 3 2" xfId="44028"/>
    <cellStyle name="표준 6 3 2 27 2 2 4" xfId="31356"/>
    <cellStyle name="표준 6 3 2 27 2 2 5" xfId="56335"/>
    <cellStyle name="표준 6 3 2 27 2 3" xfId="9183"/>
    <cellStyle name="표준 6 3 2 27 2 3 2" xfId="21856"/>
    <cellStyle name="표준 6 3 2 27 2 3 2 2" xfId="47208"/>
    <cellStyle name="표준 6 3 2 27 2 3 3" xfId="34536"/>
    <cellStyle name="표준 6 3 2 27 2 4" xfId="15520"/>
    <cellStyle name="표준 6 3 2 27 2 4 2" xfId="40872"/>
    <cellStyle name="표준 6 3 2 27 2 5" xfId="28200"/>
    <cellStyle name="표준 6 3 2 27 2 6" xfId="56336"/>
    <cellStyle name="표준 6 3 2 27 3" xfId="6004"/>
    <cellStyle name="표준 6 3 2 27 3 2" xfId="12340"/>
    <cellStyle name="표준 6 3 2 27 3 2 2" xfId="25013"/>
    <cellStyle name="표준 6 3 2 27 3 2 2 2" xfId="50365"/>
    <cellStyle name="표준 6 3 2 27 3 2 3" xfId="37693"/>
    <cellStyle name="표준 6 3 2 27 3 3" xfId="18677"/>
    <cellStyle name="표준 6 3 2 27 3 3 2" xfId="44029"/>
    <cellStyle name="표준 6 3 2 27 3 4" xfId="31357"/>
    <cellStyle name="표준 6 3 2 27 3 5" xfId="56337"/>
    <cellStyle name="표준 6 3 2 27 4" xfId="9182"/>
    <cellStyle name="표준 6 3 2 27 4 2" xfId="21855"/>
    <cellStyle name="표준 6 3 2 27 4 2 2" xfId="47207"/>
    <cellStyle name="표준 6 3 2 27 4 3" xfId="34535"/>
    <cellStyle name="표준 6 3 2 27 5" xfId="15519"/>
    <cellStyle name="표준 6 3 2 27 5 2" xfId="40871"/>
    <cellStyle name="표준 6 3 2 27 6" xfId="28199"/>
    <cellStyle name="표준 6 3 2 27 7" xfId="56338"/>
    <cellStyle name="표준 6 3 2 28" xfId="2847"/>
    <cellStyle name="표준 6 3 2 28 2" xfId="2848"/>
    <cellStyle name="표준 6 3 2 28 2 2" xfId="6005"/>
    <cellStyle name="표준 6 3 2 28 2 2 2" xfId="12341"/>
    <cellStyle name="표준 6 3 2 28 2 2 2 2" xfId="25014"/>
    <cellStyle name="표준 6 3 2 28 2 2 2 2 2" xfId="50366"/>
    <cellStyle name="표준 6 3 2 28 2 2 2 3" xfId="37694"/>
    <cellStyle name="표준 6 3 2 28 2 2 3" xfId="18678"/>
    <cellStyle name="표준 6 3 2 28 2 2 3 2" xfId="44030"/>
    <cellStyle name="표준 6 3 2 28 2 2 4" xfId="31358"/>
    <cellStyle name="표준 6 3 2 28 2 2 5" xfId="56339"/>
    <cellStyle name="표준 6 3 2 28 2 3" xfId="9185"/>
    <cellStyle name="표준 6 3 2 28 2 3 2" xfId="21858"/>
    <cellStyle name="표준 6 3 2 28 2 3 2 2" xfId="47210"/>
    <cellStyle name="표준 6 3 2 28 2 3 3" xfId="34538"/>
    <cellStyle name="표준 6 3 2 28 2 4" xfId="15522"/>
    <cellStyle name="표준 6 3 2 28 2 4 2" xfId="40874"/>
    <cellStyle name="표준 6 3 2 28 2 5" xfId="28202"/>
    <cellStyle name="표준 6 3 2 28 2 6" xfId="56340"/>
    <cellStyle name="표준 6 3 2 28 3" xfId="6006"/>
    <cellStyle name="표준 6 3 2 28 3 2" xfId="12342"/>
    <cellStyle name="표준 6 3 2 28 3 2 2" xfId="25015"/>
    <cellStyle name="표준 6 3 2 28 3 2 2 2" xfId="50367"/>
    <cellStyle name="표준 6 3 2 28 3 2 3" xfId="37695"/>
    <cellStyle name="표준 6 3 2 28 3 3" xfId="18679"/>
    <cellStyle name="표준 6 3 2 28 3 3 2" xfId="44031"/>
    <cellStyle name="표준 6 3 2 28 3 4" xfId="31359"/>
    <cellStyle name="표준 6 3 2 28 3 5" xfId="56341"/>
    <cellStyle name="표준 6 3 2 28 4" xfId="9184"/>
    <cellStyle name="표준 6 3 2 28 4 2" xfId="21857"/>
    <cellStyle name="표준 6 3 2 28 4 2 2" xfId="47209"/>
    <cellStyle name="표준 6 3 2 28 4 3" xfId="34537"/>
    <cellStyle name="표준 6 3 2 28 5" xfId="15521"/>
    <cellStyle name="표준 6 3 2 28 5 2" xfId="40873"/>
    <cellStyle name="표준 6 3 2 28 6" xfId="28201"/>
    <cellStyle name="표준 6 3 2 28 7" xfId="56342"/>
    <cellStyle name="표준 6 3 2 29" xfId="2849"/>
    <cellStyle name="표준 6 3 2 29 2" xfId="2850"/>
    <cellStyle name="표준 6 3 2 29 2 2" xfId="6007"/>
    <cellStyle name="표준 6 3 2 29 2 2 2" xfId="12343"/>
    <cellStyle name="표준 6 3 2 29 2 2 2 2" xfId="25016"/>
    <cellStyle name="표준 6 3 2 29 2 2 2 2 2" xfId="50368"/>
    <cellStyle name="표준 6 3 2 29 2 2 2 3" xfId="37696"/>
    <cellStyle name="표준 6 3 2 29 2 2 3" xfId="18680"/>
    <cellStyle name="표준 6 3 2 29 2 2 3 2" xfId="44032"/>
    <cellStyle name="표준 6 3 2 29 2 2 4" xfId="31360"/>
    <cellStyle name="표준 6 3 2 29 2 2 5" xfId="56343"/>
    <cellStyle name="표준 6 3 2 29 2 3" xfId="9187"/>
    <cellStyle name="표준 6 3 2 29 2 3 2" xfId="21860"/>
    <cellStyle name="표준 6 3 2 29 2 3 2 2" xfId="47212"/>
    <cellStyle name="표준 6 3 2 29 2 3 3" xfId="34540"/>
    <cellStyle name="표준 6 3 2 29 2 4" xfId="15524"/>
    <cellStyle name="표준 6 3 2 29 2 4 2" xfId="40876"/>
    <cellStyle name="표준 6 3 2 29 2 5" xfId="28204"/>
    <cellStyle name="표준 6 3 2 29 2 6" xfId="56344"/>
    <cellStyle name="표준 6 3 2 29 3" xfId="6008"/>
    <cellStyle name="표준 6 3 2 29 3 2" xfId="12344"/>
    <cellStyle name="표준 6 3 2 29 3 2 2" xfId="25017"/>
    <cellStyle name="표준 6 3 2 29 3 2 2 2" xfId="50369"/>
    <cellStyle name="표준 6 3 2 29 3 2 3" xfId="37697"/>
    <cellStyle name="표준 6 3 2 29 3 3" xfId="18681"/>
    <cellStyle name="표준 6 3 2 29 3 3 2" xfId="44033"/>
    <cellStyle name="표준 6 3 2 29 3 4" xfId="31361"/>
    <cellStyle name="표준 6 3 2 29 3 5" xfId="56345"/>
    <cellStyle name="표준 6 3 2 29 4" xfId="9186"/>
    <cellStyle name="표준 6 3 2 29 4 2" xfId="21859"/>
    <cellStyle name="표준 6 3 2 29 4 2 2" xfId="47211"/>
    <cellStyle name="표준 6 3 2 29 4 3" xfId="34539"/>
    <cellStyle name="표준 6 3 2 29 5" xfId="15523"/>
    <cellStyle name="표준 6 3 2 29 5 2" xfId="40875"/>
    <cellStyle name="표준 6 3 2 29 6" xfId="28203"/>
    <cellStyle name="표준 6 3 2 29 7" xfId="56346"/>
    <cellStyle name="표준 6 3 2 3" xfId="98"/>
    <cellStyle name="표준 6 3 2 3 2" xfId="2851"/>
    <cellStyle name="표준 6 3 2 3 2 2" xfId="6009"/>
    <cellStyle name="표준 6 3 2 3 2 2 2" xfId="12345"/>
    <cellStyle name="표준 6 3 2 3 2 2 2 2" xfId="25018"/>
    <cellStyle name="표준 6 3 2 3 2 2 2 2 2" xfId="50370"/>
    <cellStyle name="표준 6 3 2 3 2 2 2 3" xfId="37698"/>
    <cellStyle name="표준 6 3 2 3 2 2 3" xfId="18682"/>
    <cellStyle name="표준 6 3 2 3 2 2 3 2" xfId="44034"/>
    <cellStyle name="표준 6 3 2 3 2 2 4" xfId="31362"/>
    <cellStyle name="표준 6 3 2 3 2 2 5" xfId="56347"/>
    <cellStyle name="표준 6 3 2 3 2 3" xfId="9188"/>
    <cellStyle name="표준 6 3 2 3 2 3 2" xfId="21861"/>
    <cellStyle name="표준 6 3 2 3 2 3 2 2" xfId="47213"/>
    <cellStyle name="표준 6 3 2 3 2 3 3" xfId="34541"/>
    <cellStyle name="표준 6 3 2 3 2 4" xfId="15525"/>
    <cellStyle name="표준 6 3 2 3 2 4 2" xfId="40877"/>
    <cellStyle name="표준 6 3 2 3 2 5" xfId="28205"/>
    <cellStyle name="표준 6 3 2 3 2 6" xfId="56348"/>
    <cellStyle name="표준 6 3 2 3 3" xfId="6010"/>
    <cellStyle name="표준 6 3 2 3 3 2" xfId="12346"/>
    <cellStyle name="표준 6 3 2 3 3 2 2" xfId="25019"/>
    <cellStyle name="표준 6 3 2 3 3 2 2 2" xfId="50371"/>
    <cellStyle name="표준 6 3 2 3 3 2 3" xfId="37699"/>
    <cellStyle name="표준 6 3 2 3 3 3" xfId="18683"/>
    <cellStyle name="표준 6 3 2 3 3 3 2" xfId="44035"/>
    <cellStyle name="표준 6 3 2 3 3 4" xfId="31363"/>
    <cellStyle name="표준 6 3 2 3 3 5" xfId="56349"/>
    <cellStyle name="표준 6 3 2 3 4" xfId="6436"/>
    <cellStyle name="표준 6 3 2 3 4 2" xfId="19109"/>
    <cellStyle name="표준 6 3 2 3 4 2 2" xfId="44461"/>
    <cellStyle name="표준 6 3 2 3 4 3" xfId="31789"/>
    <cellStyle name="표준 6 3 2 3 5" xfId="12773"/>
    <cellStyle name="표준 6 3 2 3 5 2" xfId="38125"/>
    <cellStyle name="표준 6 3 2 3 6" xfId="25453"/>
    <cellStyle name="표준 6 3 2 3 7" xfId="56350"/>
    <cellStyle name="표준 6 3 2 30" xfId="2852"/>
    <cellStyle name="표준 6 3 2 30 2" xfId="2853"/>
    <cellStyle name="표준 6 3 2 30 2 2" xfId="6011"/>
    <cellStyle name="표준 6 3 2 30 2 2 2" xfId="12347"/>
    <cellStyle name="표준 6 3 2 30 2 2 2 2" xfId="25020"/>
    <cellStyle name="표준 6 3 2 30 2 2 2 2 2" xfId="50372"/>
    <cellStyle name="표준 6 3 2 30 2 2 2 3" xfId="37700"/>
    <cellStyle name="표준 6 3 2 30 2 2 3" xfId="18684"/>
    <cellStyle name="표준 6 3 2 30 2 2 3 2" xfId="44036"/>
    <cellStyle name="표준 6 3 2 30 2 2 4" xfId="31364"/>
    <cellStyle name="표준 6 3 2 30 2 2 5" xfId="56351"/>
    <cellStyle name="표준 6 3 2 30 2 3" xfId="9190"/>
    <cellStyle name="표준 6 3 2 30 2 3 2" xfId="21863"/>
    <cellStyle name="표준 6 3 2 30 2 3 2 2" xfId="47215"/>
    <cellStyle name="표준 6 3 2 30 2 3 3" xfId="34543"/>
    <cellStyle name="표준 6 3 2 30 2 4" xfId="15527"/>
    <cellStyle name="표준 6 3 2 30 2 4 2" xfId="40879"/>
    <cellStyle name="표준 6 3 2 30 2 5" xfId="28207"/>
    <cellStyle name="표준 6 3 2 30 2 6" xfId="56352"/>
    <cellStyle name="표준 6 3 2 30 3" xfId="6012"/>
    <cellStyle name="표준 6 3 2 30 3 2" xfId="12348"/>
    <cellStyle name="표준 6 3 2 30 3 2 2" xfId="25021"/>
    <cellStyle name="표준 6 3 2 30 3 2 2 2" xfId="50373"/>
    <cellStyle name="표준 6 3 2 30 3 2 3" xfId="37701"/>
    <cellStyle name="표준 6 3 2 30 3 3" xfId="18685"/>
    <cellStyle name="표준 6 3 2 30 3 3 2" xfId="44037"/>
    <cellStyle name="표준 6 3 2 30 3 4" xfId="31365"/>
    <cellStyle name="표준 6 3 2 30 3 5" xfId="56353"/>
    <cellStyle name="표준 6 3 2 30 4" xfId="9189"/>
    <cellStyle name="표준 6 3 2 30 4 2" xfId="21862"/>
    <cellStyle name="표준 6 3 2 30 4 2 2" xfId="47214"/>
    <cellStyle name="표준 6 3 2 30 4 3" xfId="34542"/>
    <cellStyle name="표준 6 3 2 30 5" xfId="15526"/>
    <cellStyle name="표준 6 3 2 30 5 2" xfId="40878"/>
    <cellStyle name="표준 6 3 2 30 6" xfId="28206"/>
    <cellStyle name="표준 6 3 2 30 7" xfId="56354"/>
    <cellStyle name="표준 6 3 2 31" xfId="2854"/>
    <cellStyle name="표준 6 3 2 31 2" xfId="2855"/>
    <cellStyle name="표준 6 3 2 31 2 2" xfId="6013"/>
    <cellStyle name="표준 6 3 2 31 2 2 2" xfId="12349"/>
    <cellStyle name="표준 6 3 2 31 2 2 2 2" xfId="25022"/>
    <cellStyle name="표준 6 3 2 31 2 2 2 2 2" xfId="50374"/>
    <cellStyle name="표준 6 3 2 31 2 2 2 3" xfId="37702"/>
    <cellStyle name="표준 6 3 2 31 2 2 3" xfId="18686"/>
    <cellStyle name="표준 6 3 2 31 2 2 3 2" xfId="44038"/>
    <cellStyle name="표준 6 3 2 31 2 2 4" xfId="31366"/>
    <cellStyle name="표준 6 3 2 31 2 2 5" xfId="56355"/>
    <cellStyle name="표준 6 3 2 31 2 3" xfId="9192"/>
    <cellStyle name="표준 6 3 2 31 2 3 2" xfId="21865"/>
    <cellStyle name="표준 6 3 2 31 2 3 2 2" xfId="47217"/>
    <cellStyle name="표준 6 3 2 31 2 3 3" xfId="34545"/>
    <cellStyle name="표준 6 3 2 31 2 4" xfId="15529"/>
    <cellStyle name="표준 6 3 2 31 2 4 2" xfId="40881"/>
    <cellStyle name="표준 6 3 2 31 2 5" xfId="28209"/>
    <cellStyle name="표준 6 3 2 31 2 6" xfId="56356"/>
    <cellStyle name="표준 6 3 2 31 3" xfId="6014"/>
    <cellStyle name="표준 6 3 2 31 3 2" xfId="12350"/>
    <cellStyle name="표준 6 3 2 31 3 2 2" xfId="25023"/>
    <cellStyle name="표준 6 3 2 31 3 2 2 2" xfId="50375"/>
    <cellStyle name="표준 6 3 2 31 3 2 3" xfId="37703"/>
    <cellStyle name="표준 6 3 2 31 3 3" xfId="18687"/>
    <cellStyle name="표준 6 3 2 31 3 3 2" xfId="44039"/>
    <cellStyle name="표준 6 3 2 31 3 4" xfId="31367"/>
    <cellStyle name="표준 6 3 2 31 3 5" xfId="56357"/>
    <cellStyle name="표준 6 3 2 31 4" xfId="9191"/>
    <cellStyle name="표준 6 3 2 31 4 2" xfId="21864"/>
    <cellStyle name="표준 6 3 2 31 4 2 2" xfId="47216"/>
    <cellStyle name="표준 6 3 2 31 4 3" xfId="34544"/>
    <cellStyle name="표준 6 3 2 31 5" xfId="15528"/>
    <cellStyle name="표준 6 3 2 31 5 2" xfId="40880"/>
    <cellStyle name="표준 6 3 2 31 6" xfId="28208"/>
    <cellStyle name="표준 6 3 2 31 7" xfId="56358"/>
    <cellStyle name="표준 6 3 2 32" xfId="2856"/>
    <cellStyle name="표준 6 3 2 32 2" xfId="2857"/>
    <cellStyle name="표준 6 3 2 32 2 2" xfId="6015"/>
    <cellStyle name="표준 6 3 2 32 2 2 2" xfId="12351"/>
    <cellStyle name="표준 6 3 2 32 2 2 2 2" xfId="25024"/>
    <cellStyle name="표준 6 3 2 32 2 2 2 2 2" xfId="50376"/>
    <cellStyle name="표준 6 3 2 32 2 2 2 3" xfId="37704"/>
    <cellStyle name="표준 6 3 2 32 2 2 3" xfId="18688"/>
    <cellStyle name="표준 6 3 2 32 2 2 3 2" xfId="44040"/>
    <cellStyle name="표준 6 3 2 32 2 2 4" xfId="31368"/>
    <cellStyle name="표준 6 3 2 32 2 2 5" xfId="56359"/>
    <cellStyle name="표준 6 3 2 32 2 3" xfId="9194"/>
    <cellStyle name="표준 6 3 2 32 2 3 2" xfId="21867"/>
    <cellStyle name="표준 6 3 2 32 2 3 2 2" xfId="47219"/>
    <cellStyle name="표준 6 3 2 32 2 3 3" xfId="34547"/>
    <cellStyle name="표준 6 3 2 32 2 4" xfId="15531"/>
    <cellStyle name="표준 6 3 2 32 2 4 2" xfId="40883"/>
    <cellStyle name="표준 6 3 2 32 2 5" xfId="28211"/>
    <cellStyle name="표준 6 3 2 32 2 6" xfId="56360"/>
    <cellStyle name="표준 6 3 2 32 3" xfId="6016"/>
    <cellStyle name="표준 6 3 2 32 3 2" xfId="12352"/>
    <cellStyle name="표준 6 3 2 32 3 2 2" xfId="25025"/>
    <cellStyle name="표준 6 3 2 32 3 2 2 2" xfId="50377"/>
    <cellStyle name="표준 6 3 2 32 3 2 3" xfId="37705"/>
    <cellStyle name="표준 6 3 2 32 3 3" xfId="18689"/>
    <cellStyle name="표준 6 3 2 32 3 3 2" xfId="44041"/>
    <cellStyle name="표준 6 3 2 32 3 4" xfId="31369"/>
    <cellStyle name="표준 6 3 2 32 3 5" xfId="56361"/>
    <cellStyle name="표준 6 3 2 32 4" xfId="9193"/>
    <cellStyle name="표준 6 3 2 32 4 2" xfId="21866"/>
    <cellStyle name="표준 6 3 2 32 4 2 2" xfId="47218"/>
    <cellStyle name="표준 6 3 2 32 4 3" xfId="34546"/>
    <cellStyle name="표준 6 3 2 32 5" xfId="15530"/>
    <cellStyle name="표준 6 3 2 32 5 2" xfId="40882"/>
    <cellStyle name="표준 6 3 2 32 6" xfId="28210"/>
    <cellStyle name="표준 6 3 2 32 7" xfId="56362"/>
    <cellStyle name="표준 6 3 2 33" xfId="2858"/>
    <cellStyle name="표준 6 3 2 33 2" xfId="2859"/>
    <cellStyle name="표준 6 3 2 33 2 2" xfId="6017"/>
    <cellStyle name="표준 6 3 2 33 2 2 2" xfId="12353"/>
    <cellStyle name="표준 6 3 2 33 2 2 2 2" xfId="25026"/>
    <cellStyle name="표준 6 3 2 33 2 2 2 2 2" xfId="50378"/>
    <cellStyle name="표준 6 3 2 33 2 2 2 3" xfId="37706"/>
    <cellStyle name="표준 6 3 2 33 2 2 3" xfId="18690"/>
    <cellStyle name="표준 6 3 2 33 2 2 3 2" xfId="44042"/>
    <cellStyle name="표준 6 3 2 33 2 2 4" xfId="31370"/>
    <cellStyle name="표준 6 3 2 33 2 2 5" xfId="56363"/>
    <cellStyle name="표준 6 3 2 33 2 3" xfId="9196"/>
    <cellStyle name="표준 6 3 2 33 2 3 2" xfId="21869"/>
    <cellStyle name="표준 6 3 2 33 2 3 2 2" xfId="47221"/>
    <cellStyle name="표준 6 3 2 33 2 3 3" xfId="34549"/>
    <cellStyle name="표준 6 3 2 33 2 4" xfId="15533"/>
    <cellStyle name="표준 6 3 2 33 2 4 2" xfId="40885"/>
    <cellStyle name="표준 6 3 2 33 2 5" xfId="28213"/>
    <cellStyle name="표준 6 3 2 33 2 6" xfId="56364"/>
    <cellStyle name="표준 6 3 2 33 3" xfId="6018"/>
    <cellStyle name="표준 6 3 2 33 3 2" xfId="12354"/>
    <cellStyle name="표준 6 3 2 33 3 2 2" xfId="25027"/>
    <cellStyle name="표준 6 3 2 33 3 2 2 2" xfId="50379"/>
    <cellStyle name="표준 6 3 2 33 3 2 3" xfId="37707"/>
    <cellStyle name="표준 6 3 2 33 3 3" xfId="18691"/>
    <cellStyle name="표준 6 3 2 33 3 3 2" xfId="44043"/>
    <cellStyle name="표준 6 3 2 33 3 4" xfId="31371"/>
    <cellStyle name="표준 6 3 2 33 3 5" xfId="56365"/>
    <cellStyle name="표준 6 3 2 33 4" xfId="9195"/>
    <cellStyle name="표준 6 3 2 33 4 2" xfId="21868"/>
    <cellStyle name="표준 6 3 2 33 4 2 2" xfId="47220"/>
    <cellStyle name="표준 6 3 2 33 4 3" xfId="34548"/>
    <cellStyle name="표준 6 3 2 33 5" xfId="15532"/>
    <cellStyle name="표준 6 3 2 33 5 2" xfId="40884"/>
    <cellStyle name="표준 6 3 2 33 6" xfId="28212"/>
    <cellStyle name="표준 6 3 2 33 7" xfId="56366"/>
    <cellStyle name="표준 6 3 2 34" xfId="2860"/>
    <cellStyle name="표준 6 3 2 34 2" xfId="2861"/>
    <cellStyle name="표준 6 3 2 34 2 2" xfId="6019"/>
    <cellStyle name="표준 6 3 2 34 2 2 2" xfId="12355"/>
    <cellStyle name="표준 6 3 2 34 2 2 2 2" xfId="25028"/>
    <cellStyle name="표준 6 3 2 34 2 2 2 2 2" xfId="50380"/>
    <cellStyle name="표준 6 3 2 34 2 2 2 3" xfId="37708"/>
    <cellStyle name="표준 6 3 2 34 2 2 3" xfId="18692"/>
    <cellStyle name="표준 6 3 2 34 2 2 3 2" xfId="44044"/>
    <cellStyle name="표준 6 3 2 34 2 2 4" xfId="31372"/>
    <cellStyle name="표준 6 3 2 34 2 2 5" xfId="56367"/>
    <cellStyle name="표준 6 3 2 34 2 3" xfId="9198"/>
    <cellStyle name="표준 6 3 2 34 2 3 2" xfId="21871"/>
    <cellStyle name="표준 6 3 2 34 2 3 2 2" xfId="47223"/>
    <cellStyle name="표준 6 3 2 34 2 3 3" xfId="34551"/>
    <cellStyle name="표준 6 3 2 34 2 4" xfId="15535"/>
    <cellStyle name="표준 6 3 2 34 2 4 2" xfId="40887"/>
    <cellStyle name="표준 6 3 2 34 2 5" xfId="28215"/>
    <cellStyle name="표준 6 3 2 34 2 6" xfId="56368"/>
    <cellStyle name="표준 6 3 2 34 3" xfId="6020"/>
    <cellStyle name="표준 6 3 2 34 3 2" xfId="12356"/>
    <cellStyle name="표준 6 3 2 34 3 2 2" xfId="25029"/>
    <cellStyle name="표준 6 3 2 34 3 2 2 2" xfId="50381"/>
    <cellStyle name="표준 6 3 2 34 3 2 3" xfId="37709"/>
    <cellStyle name="표준 6 3 2 34 3 3" xfId="18693"/>
    <cellStyle name="표준 6 3 2 34 3 3 2" xfId="44045"/>
    <cellStyle name="표준 6 3 2 34 3 4" xfId="31373"/>
    <cellStyle name="표준 6 3 2 34 3 5" xfId="56369"/>
    <cellStyle name="표준 6 3 2 34 4" xfId="9197"/>
    <cellStyle name="표준 6 3 2 34 4 2" xfId="21870"/>
    <cellStyle name="표준 6 3 2 34 4 2 2" xfId="47222"/>
    <cellStyle name="표준 6 3 2 34 4 3" xfId="34550"/>
    <cellStyle name="표준 6 3 2 34 5" xfId="15534"/>
    <cellStyle name="표준 6 3 2 34 5 2" xfId="40886"/>
    <cellStyle name="표준 6 3 2 34 6" xfId="28214"/>
    <cellStyle name="표준 6 3 2 34 7" xfId="56370"/>
    <cellStyle name="표준 6 3 2 35" xfId="2862"/>
    <cellStyle name="표준 6 3 2 35 2" xfId="6021"/>
    <cellStyle name="표준 6 3 2 35 2 2" xfId="12357"/>
    <cellStyle name="표준 6 3 2 35 2 2 2" xfId="25030"/>
    <cellStyle name="표준 6 3 2 35 2 2 2 2" xfId="50382"/>
    <cellStyle name="표준 6 3 2 35 2 2 3" xfId="37710"/>
    <cellStyle name="표준 6 3 2 35 2 3" xfId="18694"/>
    <cellStyle name="표준 6 3 2 35 2 3 2" xfId="44046"/>
    <cellStyle name="표준 6 3 2 35 2 4" xfId="31374"/>
    <cellStyle name="표준 6 3 2 35 2 5" xfId="56371"/>
    <cellStyle name="표준 6 3 2 35 3" xfId="9199"/>
    <cellStyle name="표준 6 3 2 35 3 2" xfId="21872"/>
    <cellStyle name="표준 6 3 2 35 3 2 2" xfId="47224"/>
    <cellStyle name="표준 6 3 2 35 3 3" xfId="34552"/>
    <cellStyle name="표준 6 3 2 35 4" xfId="15536"/>
    <cellStyle name="표준 6 3 2 35 4 2" xfId="40888"/>
    <cellStyle name="표준 6 3 2 35 5" xfId="28216"/>
    <cellStyle name="표준 6 3 2 35 6" xfId="56372"/>
    <cellStyle name="표준 6 3 2 36" xfId="6022"/>
    <cellStyle name="표준 6 3 2 36 2" xfId="12358"/>
    <cellStyle name="표준 6 3 2 36 2 2" xfId="25031"/>
    <cellStyle name="표준 6 3 2 36 2 2 2" xfId="50383"/>
    <cellStyle name="표준 6 3 2 36 2 3" xfId="37711"/>
    <cellStyle name="표준 6 3 2 36 3" xfId="18695"/>
    <cellStyle name="표준 6 3 2 36 3 2" xfId="44047"/>
    <cellStyle name="표준 6 3 2 36 4" xfId="31375"/>
    <cellStyle name="표준 6 3 2 36 5" xfId="56373"/>
    <cellStyle name="표준 6 3 2 37" xfId="6390"/>
    <cellStyle name="표준 6 3 2 37 2" xfId="19063"/>
    <cellStyle name="표준 6 3 2 37 2 2" xfId="44415"/>
    <cellStyle name="표준 6 3 2 37 3" xfId="31743"/>
    <cellStyle name="표준 6 3 2 38" xfId="12727"/>
    <cellStyle name="표준 6 3 2 38 2" xfId="38079"/>
    <cellStyle name="표준 6 3 2 39" xfId="25407"/>
    <cellStyle name="표준 6 3 2 4" xfId="2863"/>
    <cellStyle name="표준 6 3 2 4 2" xfId="2864"/>
    <cellStyle name="표준 6 3 2 4 2 2" xfId="6023"/>
    <cellStyle name="표준 6 3 2 4 2 2 2" xfId="12359"/>
    <cellStyle name="표준 6 3 2 4 2 2 2 2" xfId="25032"/>
    <cellStyle name="표준 6 3 2 4 2 2 2 2 2" xfId="50384"/>
    <cellStyle name="표준 6 3 2 4 2 2 2 3" xfId="37712"/>
    <cellStyle name="표준 6 3 2 4 2 2 3" xfId="18696"/>
    <cellStyle name="표준 6 3 2 4 2 2 3 2" xfId="44048"/>
    <cellStyle name="표준 6 3 2 4 2 2 4" xfId="31376"/>
    <cellStyle name="표준 6 3 2 4 2 2 5" xfId="56374"/>
    <cellStyle name="표준 6 3 2 4 2 3" xfId="9201"/>
    <cellStyle name="표준 6 3 2 4 2 3 2" xfId="21874"/>
    <cellStyle name="표준 6 3 2 4 2 3 2 2" xfId="47226"/>
    <cellStyle name="표준 6 3 2 4 2 3 3" xfId="34554"/>
    <cellStyle name="표준 6 3 2 4 2 4" xfId="15538"/>
    <cellStyle name="표준 6 3 2 4 2 4 2" xfId="40890"/>
    <cellStyle name="표준 6 3 2 4 2 5" xfId="28218"/>
    <cellStyle name="표준 6 3 2 4 2 6" xfId="56375"/>
    <cellStyle name="표준 6 3 2 4 3" xfId="6024"/>
    <cellStyle name="표준 6 3 2 4 3 2" xfId="12360"/>
    <cellStyle name="표준 6 3 2 4 3 2 2" xfId="25033"/>
    <cellStyle name="표준 6 3 2 4 3 2 2 2" xfId="50385"/>
    <cellStyle name="표준 6 3 2 4 3 2 3" xfId="37713"/>
    <cellStyle name="표준 6 3 2 4 3 3" xfId="18697"/>
    <cellStyle name="표준 6 3 2 4 3 3 2" xfId="44049"/>
    <cellStyle name="표준 6 3 2 4 3 4" xfId="31377"/>
    <cellStyle name="표준 6 3 2 4 3 5" xfId="56376"/>
    <cellStyle name="표준 6 3 2 4 4" xfId="9200"/>
    <cellStyle name="표준 6 3 2 4 4 2" xfId="21873"/>
    <cellStyle name="표준 6 3 2 4 4 2 2" xfId="47225"/>
    <cellStyle name="표준 6 3 2 4 4 3" xfId="34553"/>
    <cellStyle name="표준 6 3 2 4 5" xfId="15537"/>
    <cellStyle name="표준 6 3 2 4 5 2" xfId="40889"/>
    <cellStyle name="표준 6 3 2 4 6" xfId="28217"/>
    <cellStyle name="표준 6 3 2 4 7" xfId="56377"/>
    <cellStyle name="표준 6 3 2 40" xfId="56378"/>
    <cellStyle name="표준 6 3 2 5" xfId="2865"/>
    <cellStyle name="표준 6 3 2 5 2" xfId="2866"/>
    <cellStyle name="표준 6 3 2 5 2 2" xfId="6025"/>
    <cellStyle name="표준 6 3 2 5 2 2 2" xfId="12361"/>
    <cellStyle name="표준 6 3 2 5 2 2 2 2" xfId="25034"/>
    <cellStyle name="표준 6 3 2 5 2 2 2 2 2" xfId="50386"/>
    <cellStyle name="표준 6 3 2 5 2 2 2 3" xfId="37714"/>
    <cellStyle name="표준 6 3 2 5 2 2 3" xfId="18698"/>
    <cellStyle name="표준 6 3 2 5 2 2 3 2" xfId="44050"/>
    <cellStyle name="표준 6 3 2 5 2 2 4" xfId="31378"/>
    <cellStyle name="표준 6 3 2 5 2 2 5" xfId="56379"/>
    <cellStyle name="표준 6 3 2 5 2 3" xfId="9203"/>
    <cellStyle name="표준 6 3 2 5 2 3 2" xfId="21876"/>
    <cellStyle name="표준 6 3 2 5 2 3 2 2" xfId="47228"/>
    <cellStyle name="표준 6 3 2 5 2 3 3" xfId="34556"/>
    <cellStyle name="표준 6 3 2 5 2 4" xfId="15540"/>
    <cellStyle name="표준 6 3 2 5 2 4 2" xfId="40892"/>
    <cellStyle name="표준 6 3 2 5 2 5" xfId="28220"/>
    <cellStyle name="표준 6 3 2 5 2 6" xfId="56380"/>
    <cellStyle name="표준 6 3 2 5 3" xfId="6026"/>
    <cellStyle name="표준 6 3 2 5 3 2" xfId="12362"/>
    <cellStyle name="표준 6 3 2 5 3 2 2" xfId="25035"/>
    <cellStyle name="표준 6 3 2 5 3 2 2 2" xfId="50387"/>
    <cellStyle name="표준 6 3 2 5 3 2 3" xfId="37715"/>
    <cellStyle name="표준 6 3 2 5 3 3" xfId="18699"/>
    <cellStyle name="표준 6 3 2 5 3 3 2" xfId="44051"/>
    <cellStyle name="표준 6 3 2 5 3 4" xfId="31379"/>
    <cellStyle name="표준 6 3 2 5 3 5" xfId="56381"/>
    <cellStyle name="표준 6 3 2 5 4" xfId="9202"/>
    <cellStyle name="표준 6 3 2 5 4 2" xfId="21875"/>
    <cellStyle name="표준 6 3 2 5 4 2 2" xfId="47227"/>
    <cellStyle name="표준 6 3 2 5 4 3" xfId="34555"/>
    <cellStyle name="표준 6 3 2 5 5" xfId="15539"/>
    <cellStyle name="표준 6 3 2 5 5 2" xfId="40891"/>
    <cellStyle name="표준 6 3 2 5 6" xfId="28219"/>
    <cellStyle name="표준 6 3 2 5 7" xfId="56382"/>
    <cellStyle name="표준 6 3 2 6" xfId="2867"/>
    <cellStyle name="표준 6 3 2 6 2" xfId="2868"/>
    <cellStyle name="표준 6 3 2 6 2 2" xfId="6027"/>
    <cellStyle name="표준 6 3 2 6 2 2 2" xfId="12363"/>
    <cellStyle name="표준 6 3 2 6 2 2 2 2" xfId="25036"/>
    <cellStyle name="표준 6 3 2 6 2 2 2 2 2" xfId="50388"/>
    <cellStyle name="표준 6 3 2 6 2 2 2 3" xfId="37716"/>
    <cellStyle name="표준 6 3 2 6 2 2 3" xfId="18700"/>
    <cellStyle name="표준 6 3 2 6 2 2 3 2" xfId="44052"/>
    <cellStyle name="표준 6 3 2 6 2 2 4" xfId="31380"/>
    <cellStyle name="표준 6 3 2 6 2 2 5" xfId="56383"/>
    <cellStyle name="표준 6 3 2 6 2 3" xfId="9205"/>
    <cellStyle name="표준 6 3 2 6 2 3 2" xfId="21878"/>
    <cellStyle name="표준 6 3 2 6 2 3 2 2" xfId="47230"/>
    <cellStyle name="표준 6 3 2 6 2 3 3" xfId="34558"/>
    <cellStyle name="표준 6 3 2 6 2 4" xfId="15542"/>
    <cellStyle name="표준 6 3 2 6 2 4 2" xfId="40894"/>
    <cellStyle name="표준 6 3 2 6 2 5" xfId="28222"/>
    <cellStyle name="표준 6 3 2 6 2 6" xfId="56384"/>
    <cellStyle name="표준 6 3 2 6 3" xfId="6028"/>
    <cellStyle name="표준 6 3 2 6 3 2" xfId="12364"/>
    <cellStyle name="표준 6 3 2 6 3 2 2" xfId="25037"/>
    <cellStyle name="표준 6 3 2 6 3 2 2 2" xfId="50389"/>
    <cellStyle name="표준 6 3 2 6 3 2 3" xfId="37717"/>
    <cellStyle name="표준 6 3 2 6 3 3" xfId="18701"/>
    <cellStyle name="표준 6 3 2 6 3 3 2" xfId="44053"/>
    <cellStyle name="표준 6 3 2 6 3 4" xfId="31381"/>
    <cellStyle name="표준 6 3 2 6 3 5" xfId="56385"/>
    <cellStyle name="표준 6 3 2 6 4" xfId="9204"/>
    <cellStyle name="표준 6 3 2 6 4 2" xfId="21877"/>
    <cellStyle name="표준 6 3 2 6 4 2 2" xfId="47229"/>
    <cellStyle name="표준 6 3 2 6 4 3" xfId="34557"/>
    <cellStyle name="표준 6 3 2 6 5" xfId="15541"/>
    <cellStyle name="표준 6 3 2 6 5 2" xfId="40893"/>
    <cellStyle name="표준 6 3 2 6 6" xfId="28221"/>
    <cellStyle name="표준 6 3 2 6 7" xfId="56386"/>
    <cellStyle name="표준 6 3 2 7" xfId="2869"/>
    <cellStyle name="표준 6 3 2 7 2" xfId="2870"/>
    <cellStyle name="표준 6 3 2 7 2 2" xfId="6029"/>
    <cellStyle name="표준 6 3 2 7 2 2 2" xfId="12365"/>
    <cellStyle name="표준 6 3 2 7 2 2 2 2" xfId="25038"/>
    <cellStyle name="표준 6 3 2 7 2 2 2 2 2" xfId="50390"/>
    <cellStyle name="표준 6 3 2 7 2 2 2 3" xfId="37718"/>
    <cellStyle name="표준 6 3 2 7 2 2 3" xfId="18702"/>
    <cellStyle name="표준 6 3 2 7 2 2 3 2" xfId="44054"/>
    <cellStyle name="표준 6 3 2 7 2 2 4" xfId="31382"/>
    <cellStyle name="표준 6 3 2 7 2 2 5" xfId="56387"/>
    <cellStyle name="표준 6 3 2 7 2 3" xfId="9207"/>
    <cellStyle name="표준 6 3 2 7 2 3 2" xfId="21880"/>
    <cellStyle name="표준 6 3 2 7 2 3 2 2" xfId="47232"/>
    <cellStyle name="표준 6 3 2 7 2 3 3" xfId="34560"/>
    <cellStyle name="표준 6 3 2 7 2 4" xfId="15544"/>
    <cellStyle name="표준 6 3 2 7 2 4 2" xfId="40896"/>
    <cellStyle name="표준 6 3 2 7 2 5" xfId="28224"/>
    <cellStyle name="표준 6 3 2 7 2 6" xfId="56388"/>
    <cellStyle name="표준 6 3 2 7 3" xfId="6030"/>
    <cellStyle name="표준 6 3 2 7 3 2" xfId="12366"/>
    <cellStyle name="표준 6 3 2 7 3 2 2" xfId="25039"/>
    <cellStyle name="표준 6 3 2 7 3 2 2 2" xfId="50391"/>
    <cellStyle name="표준 6 3 2 7 3 2 3" xfId="37719"/>
    <cellStyle name="표준 6 3 2 7 3 3" xfId="18703"/>
    <cellStyle name="표준 6 3 2 7 3 3 2" xfId="44055"/>
    <cellStyle name="표준 6 3 2 7 3 4" xfId="31383"/>
    <cellStyle name="표준 6 3 2 7 3 5" xfId="56389"/>
    <cellStyle name="표준 6 3 2 7 4" xfId="9206"/>
    <cellStyle name="표준 6 3 2 7 4 2" xfId="21879"/>
    <cellStyle name="표준 6 3 2 7 4 2 2" xfId="47231"/>
    <cellStyle name="표준 6 3 2 7 4 3" xfId="34559"/>
    <cellStyle name="표준 6 3 2 7 5" xfId="15543"/>
    <cellStyle name="표준 6 3 2 7 5 2" xfId="40895"/>
    <cellStyle name="표준 6 3 2 7 6" xfId="28223"/>
    <cellStyle name="표준 6 3 2 7 7" xfId="56390"/>
    <cellStyle name="표준 6 3 2 8" xfId="2871"/>
    <cellStyle name="표준 6 3 2 8 2" xfId="2872"/>
    <cellStyle name="표준 6 3 2 8 2 2" xfId="6031"/>
    <cellStyle name="표준 6 3 2 8 2 2 2" xfId="12367"/>
    <cellStyle name="표준 6 3 2 8 2 2 2 2" xfId="25040"/>
    <cellStyle name="표준 6 3 2 8 2 2 2 2 2" xfId="50392"/>
    <cellStyle name="표준 6 3 2 8 2 2 2 3" xfId="37720"/>
    <cellStyle name="표준 6 3 2 8 2 2 3" xfId="18704"/>
    <cellStyle name="표준 6 3 2 8 2 2 3 2" xfId="44056"/>
    <cellStyle name="표준 6 3 2 8 2 2 4" xfId="31384"/>
    <cellStyle name="표준 6 3 2 8 2 2 5" xfId="56391"/>
    <cellStyle name="표준 6 3 2 8 2 3" xfId="9209"/>
    <cellStyle name="표준 6 3 2 8 2 3 2" xfId="21882"/>
    <cellStyle name="표준 6 3 2 8 2 3 2 2" xfId="47234"/>
    <cellStyle name="표준 6 3 2 8 2 3 3" xfId="34562"/>
    <cellStyle name="표준 6 3 2 8 2 4" xfId="15546"/>
    <cellStyle name="표준 6 3 2 8 2 4 2" xfId="40898"/>
    <cellStyle name="표준 6 3 2 8 2 5" xfId="28226"/>
    <cellStyle name="표준 6 3 2 8 2 6" xfId="56392"/>
    <cellStyle name="표준 6 3 2 8 3" xfId="6032"/>
    <cellStyle name="표준 6 3 2 8 3 2" xfId="12368"/>
    <cellStyle name="표준 6 3 2 8 3 2 2" xfId="25041"/>
    <cellStyle name="표준 6 3 2 8 3 2 2 2" xfId="50393"/>
    <cellStyle name="표준 6 3 2 8 3 2 3" xfId="37721"/>
    <cellStyle name="표준 6 3 2 8 3 3" xfId="18705"/>
    <cellStyle name="표준 6 3 2 8 3 3 2" xfId="44057"/>
    <cellStyle name="표준 6 3 2 8 3 4" xfId="31385"/>
    <cellStyle name="표준 6 3 2 8 3 5" xfId="56393"/>
    <cellStyle name="표준 6 3 2 8 4" xfId="9208"/>
    <cellStyle name="표준 6 3 2 8 4 2" xfId="21881"/>
    <cellStyle name="표준 6 3 2 8 4 2 2" xfId="47233"/>
    <cellStyle name="표준 6 3 2 8 4 3" xfId="34561"/>
    <cellStyle name="표준 6 3 2 8 5" xfId="15545"/>
    <cellStyle name="표준 6 3 2 8 5 2" xfId="40897"/>
    <cellStyle name="표준 6 3 2 8 6" xfId="28225"/>
    <cellStyle name="표준 6 3 2 8 7" xfId="56394"/>
    <cellStyle name="표준 6 3 2 9" xfId="2873"/>
    <cellStyle name="표준 6 3 2 9 2" xfId="2874"/>
    <cellStyle name="표준 6 3 2 9 2 2" xfId="6033"/>
    <cellStyle name="표준 6 3 2 9 2 2 2" xfId="12369"/>
    <cellStyle name="표준 6 3 2 9 2 2 2 2" xfId="25042"/>
    <cellStyle name="표준 6 3 2 9 2 2 2 2 2" xfId="50394"/>
    <cellStyle name="표준 6 3 2 9 2 2 2 3" xfId="37722"/>
    <cellStyle name="표준 6 3 2 9 2 2 3" xfId="18706"/>
    <cellStyle name="표준 6 3 2 9 2 2 3 2" xfId="44058"/>
    <cellStyle name="표준 6 3 2 9 2 2 4" xfId="31386"/>
    <cellStyle name="표준 6 3 2 9 2 2 5" xfId="56395"/>
    <cellStyle name="표준 6 3 2 9 2 3" xfId="9211"/>
    <cellStyle name="표준 6 3 2 9 2 3 2" xfId="21884"/>
    <cellStyle name="표준 6 3 2 9 2 3 2 2" xfId="47236"/>
    <cellStyle name="표준 6 3 2 9 2 3 3" xfId="34564"/>
    <cellStyle name="표준 6 3 2 9 2 4" xfId="15548"/>
    <cellStyle name="표준 6 3 2 9 2 4 2" xfId="40900"/>
    <cellStyle name="표준 6 3 2 9 2 5" xfId="28228"/>
    <cellStyle name="표준 6 3 2 9 2 6" xfId="56396"/>
    <cellStyle name="표준 6 3 2 9 3" xfId="6034"/>
    <cellStyle name="표준 6 3 2 9 3 2" xfId="12370"/>
    <cellStyle name="표준 6 3 2 9 3 2 2" xfId="25043"/>
    <cellStyle name="표준 6 3 2 9 3 2 2 2" xfId="50395"/>
    <cellStyle name="표준 6 3 2 9 3 2 3" xfId="37723"/>
    <cellStyle name="표준 6 3 2 9 3 3" xfId="18707"/>
    <cellStyle name="표준 6 3 2 9 3 3 2" xfId="44059"/>
    <cellStyle name="표준 6 3 2 9 3 4" xfId="31387"/>
    <cellStyle name="표준 6 3 2 9 3 5" xfId="56397"/>
    <cellStyle name="표준 6 3 2 9 4" xfId="9210"/>
    <cellStyle name="표준 6 3 2 9 4 2" xfId="21883"/>
    <cellStyle name="표준 6 3 2 9 4 2 2" xfId="47235"/>
    <cellStyle name="표준 6 3 2 9 4 3" xfId="34563"/>
    <cellStyle name="표준 6 3 2 9 5" xfId="15547"/>
    <cellStyle name="표준 6 3 2 9 5 2" xfId="40899"/>
    <cellStyle name="표준 6 3 2 9 6" xfId="28227"/>
    <cellStyle name="표준 6 3 2 9 7" xfId="56398"/>
    <cellStyle name="표준 6 3 20" xfId="2875"/>
    <cellStyle name="표준 6 3 20 2" xfId="2876"/>
    <cellStyle name="표준 6 3 20 2 2" xfId="6035"/>
    <cellStyle name="표준 6 3 20 2 2 2" xfId="12371"/>
    <cellStyle name="표준 6 3 20 2 2 2 2" xfId="25044"/>
    <cellStyle name="표준 6 3 20 2 2 2 2 2" xfId="50396"/>
    <cellStyle name="표준 6 3 20 2 2 2 3" xfId="37724"/>
    <cellStyle name="표준 6 3 20 2 2 3" xfId="18708"/>
    <cellStyle name="표준 6 3 20 2 2 3 2" xfId="44060"/>
    <cellStyle name="표준 6 3 20 2 2 4" xfId="31388"/>
    <cellStyle name="표준 6 3 20 2 2 5" xfId="56399"/>
    <cellStyle name="표준 6 3 20 2 3" xfId="9213"/>
    <cellStyle name="표준 6 3 20 2 3 2" xfId="21886"/>
    <cellStyle name="표준 6 3 20 2 3 2 2" xfId="47238"/>
    <cellStyle name="표준 6 3 20 2 3 3" xfId="34566"/>
    <cellStyle name="표준 6 3 20 2 4" xfId="15550"/>
    <cellStyle name="표준 6 3 20 2 4 2" xfId="40902"/>
    <cellStyle name="표준 6 3 20 2 5" xfId="28230"/>
    <cellStyle name="표준 6 3 20 2 6" xfId="56400"/>
    <cellStyle name="표준 6 3 20 3" xfId="6036"/>
    <cellStyle name="표준 6 3 20 3 2" xfId="12372"/>
    <cellStyle name="표준 6 3 20 3 2 2" xfId="25045"/>
    <cellStyle name="표준 6 3 20 3 2 2 2" xfId="50397"/>
    <cellStyle name="표준 6 3 20 3 2 3" xfId="37725"/>
    <cellStyle name="표준 6 3 20 3 3" xfId="18709"/>
    <cellStyle name="표준 6 3 20 3 3 2" xfId="44061"/>
    <cellStyle name="표준 6 3 20 3 4" xfId="31389"/>
    <cellStyle name="표준 6 3 20 3 5" xfId="56401"/>
    <cellStyle name="표준 6 3 20 4" xfId="9212"/>
    <cellStyle name="표준 6 3 20 4 2" xfId="21885"/>
    <cellStyle name="표준 6 3 20 4 2 2" xfId="47237"/>
    <cellStyle name="표준 6 3 20 4 3" xfId="34565"/>
    <cellStyle name="표준 6 3 20 5" xfId="15549"/>
    <cellStyle name="표준 6 3 20 5 2" xfId="40901"/>
    <cellStyle name="표준 6 3 20 6" xfId="28229"/>
    <cellStyle name="표준 6 3 20 7" xfId="56402"/>
    <cellStyle name="표준 6 3 21" xfId="2877"/>
    <cellStyle name="표준 6 3 21 2" xfId="2878"/>
    <cellStyle name="표준 6 3 21 2 2" xfId="6037"/>
    <cellStyle name="표준 6 3 21 2 2 2" xfId="12373"/>
    <cellStyle name="표준 6 3 21 2 2 2 2" xfId="25046"/>
    <cellStyle name="표준 6 3 21 2 2 2 2 2" xfId="50398"/>
    <cellStyle name="표준 6 3 21 2 2 2 3" xfId="37726"/>
    <cellStyle name="표준 6 3 21 2 2 3" xfId="18710"/>
    <cellStyle name="표준 6 3 21 2 2 3 2" xfId="44062"/>
    <cellStyle name="표준 6 3 21 2 2 4" xfId="31390"/>
    <cellStyle name="표준 6 3 21 2 2 5" xfId="56403"/>
    <cellStyle name="표준 6 3 21 2 3" xfId="9215"/>
    <cellStyle name="표준 6 3 21 2 3 2" xfId="21888"/>
    <cellStyle name="표준 6 3 21 2 3 2 2" xfId="47240"/>
    <cellStyle name="표준 6 3 21 2 3 3" xfId="34568"/>
    <cellStyle name="표준 6 3 21 2 4" xfId="15552"/>
    <cellStyle name="표준 6 3 21 2 4 2" xfId="40904"/>
    <cellStyle name="표준 6 3 21 2 5" xfId="28232"/>
    <cellStyle name="표준 6 3 21 2 6" xfId="56404"/>
    <cellStyle name="표준 6 3 21 3" xfId="6038"/>
    <cellStyle name="표준 6 3 21 3 2" xfId="12374"/>
    <cellStyle name="표준 6 3 21 3 2 2" xfId="25047"/>
    <cellStyle name="표준 6 3 21 3 2 2 2" xfId="50399"/>
    <cellStyle name="표준 6 3 21 3 2 3" xfId="37727"/>
    <cellStyle name="표준 6 3 21 3 3" xfId="18711"/>
    <cellStyle name="표준 6 3 21 3 3 2" xfId="44063"/>
    <cellStyle name="표준 6 3 21 3 4" xfId="31391"/>
    <cellStyle name="표준 6 3 21 3 5" xfId="56405"/>
    <cellStyle name="표준 6 3 21 4" xfId="9214"/>
    <cellStyle name="표준 6 3 21 4 2" xfId="21887"/>
    <cellStyle name="표준 6 3 21 4 2 2" xfId="47239"/>
    <cellStyle name="표준 6 3 21 4 3" xfId="34567"/>
    <cellStyle name="표준 6 3 21 5" xfId="15551"/>
    <cellStyle name="표준 6 3 21 5 2" xfId="40903"/>
    <cellStyle name="표준 6 3 21 6" xfId="28231"/>
    <cellStyle name="표준 6 3 21 7" xfId="56406"/>
    <cellStyle name="표준 6 3 22" xfId="2879"/>
    <cellStyle name="표준 6 3 22 2" xfId="2880"/>
    <cellStyle name="표준 6 3 22 2 2" xfId="6039"/>
    <cellStyle name="표준 6 3 22 2 2 2" xfId="12375"/>
    <cellStyle name="표준 6 3 22 2 2 2 2" xfId="25048"/>
    <cellStyle name="표준 6 3 22 2 2 2 2 2" xfId="50400"/>
    <cellStyle name="표준 6 3 22 2 2 2 3" xfId="37728"/>
    <cellStyle name="표준 6 3 22 2 2 3" xfId="18712"/>
    <cellStyle name="표준 6 3 22 2 2 3 2" xfId="44064"/>
    <cellStyle name="표준 6 3 22 2 2 4" xfId="31392"/>
    <cellStyle name="표준 6 3 22 2 2 5" xfId="56407"/>
    <cellStyle name="표준 6 3 22 2 3" xfId="9217"/>
    <cellStyle name="표준 6 3 22 2 3 2" xfId="21890"/>
    <cellStyle name="표준 6 3 22 2 3 2 2" xfId="47242"/>
    <cellStyle name="표준 6 3 22 2 3 3" xfId="34570"/>
    <cellStyle name="표준 6 3 22 2 4" xfId="15554"/>
    <cellStyle name="표준 6 3 22 2 4 2" xfId="40906"/>
    <cellStyle name="표준 6 3 22 2 5" xfId="28234"/>
    <cellStyle name="표준 6 3 22 2 6" xfId="56408"/>
    <cellStyle name="표준 6 3 22 3" xfId="6040"/>
    <cellStyle name="표준 6 3 22 3 2" xfId="12376"/>
    <cellStyle name="표준 6 3 22 3 2 2" xfId="25049"/>
    <cellStyle name="표준 6 3 22 3 2 2 2" xfId="50401"/>
    <cellStyle name="표준 6 3 22 3 2 3" xfId="37729"/>
    <cellStyle name="표준 6 3 22 3 3" xfId="18713"/>
    <cellStyle name="표준 6 3 22 3 3 2" xfId="44065"/>
    <cellStyle name="표준 6 3 22 3 4" xfId="31393"/>
    <cellStyle name="표준 6 3 22 3 5" xfId="56409"/>
    <cellStyle name="표준 6 3 22 4" xfId="9216"/>
    <cellStyle name="표준 6 3 22 4 2" xfId="21889"/>
    <cellStyle name="표준 6 3 22 4 2 2" xfId="47241"/>
    <cellStyle name="표준 6 3 22 4 3" xfId="34569"/>
    <cellStyle name="표준 6 3 22 5" xfId="15553"/>
    <cellStyle name="표준 6 3 22 5 2" xfId="40905"/>
    <cellStyle name="표준 6 3 22 6" xfId="28233"/>
    <cellStyle name="표준 6 3 22 7" xfId="56410"/>
    <cellStyle name="표준 6 3 23" xfId="2881"/>
    <cellStyle name="표준 6 3 23 2" xfId="2882"/>
    <cellStyle name="표준 6 3 23 2 2" xfId="6041"/>
    <cellStyle name="표준 6 3 23 2 2 2" xfId="12377"/>
    <cellStyle name="표준 6 3 23 2 2 2 2" xfId="25050"/>
    <cellStyle name="표준 6 3 23 2 2 2 2 2" xfId="50402"/>
    <cellStyle name="표준 6 3 23 2 2 2 3" xfId="37730"/>
    <cellStyle name="표준 6 3 23 2 2 3" xfId="18714"/>
    <cellStyle name="표준 6 3 23 2 2 3 2" xfId="44066"/>
    <cellStyle name="표준 6 3 23 2 2 4" xfId="31394"/>
    <cellStyle name="표준 6 3 23 2 2 5" xfId="56411"/>
    <cellStyle name="표준 6 3 23 2 3" xfId="9219"/>
    <cellStyle name="표준 6 3 23 2 3 2" xfId="21892"/>
    <cellStyle name="표준 6 3 23 2 3 2 2" xfId="47244"/>
    <cellStyle name="표준 6 3 23 2 3 3" xfId="34572"/>
    <cellStyle name="표준 6 3 23 2 4" xfId="15556"/>
    <cellStyle name="표준 6 3 23 2 4 2" xfId="40908"/>
    <cellStyle name="표준 6 3 23 2 5" xfId="28236"/>
    <cellStyle name="표준 6 3 23 2 6" xfId="56412"/>
    <cellStyle name="표준 6 3 23 3" xfId="6042"/>
    <cellStyle name="표준 6 3 23 3 2" xfId="12378"/>
    <cellStyle name="표준 6 3 23 3 2 2" xfId="25051"/>
    <cellStyle name="표준 6 3 23 3 2 2 2" xfId="50403"/>
    <cellStyle name="표준 6 3 23 3 2 3" xfId="37731"/>
    <cellStyle name="표준 6 3 23 3 3" xfId="18715"/>
    <cellStyle name="표준 6 3 23 3 3 2" xfId="44067"/>
    <cellStyle name="표준 6 3 23 3 4" xfId="31395"/>
    <cellStyle name="표준 6 3 23 3 5" xfId="56413"/>
    <cellStyle name="표준 6 3 23 4" xfId="9218"/>
    <cellStyle name="표준 6 3 23 4 2" xfId="21891"/>
    <cellStyle name="표준 6 3 23 4 2 2" xfId="47243"/>
    <cellStyle name="표준 6 3 23 4 3" xfId="34571"/>
    <cellStyle name="표준 6 3 23 5" xfId="15555"/>
    <cellStyle name="표준 6 3 23 5 2" xfId="40907"/>
    <cellStyle name="표준 6 3 23 6" xfId="28235"/>
    <cellStyle name="표준 6 3 23 7" xfId="56414"/>
    <cellStyle name="표준 6 3 24" xfId="2883"/>
    <cellStyle name="표준 6 3 24 2" xfId="2884"/>
    <cellStyle name="표준 6 3 24 2 2" xfId="6043"/>
    <cellStyle name="표준 6 3 24 2 2 2" xfId="12379"/>
    <cellStyle name="표준 6 3 24 2 2 2 2" xfId="25052"/>
    <cellStyle name="표준 6 3 24 2 2 2 2 2" xfId="50404"/>
    <cellStyle name="표준 6 3 24 2 2 2 3" xfId="37732"/>
    <cellStyle name="표준 6 3 24 2 2 3" xfId="18716"/>
    <cellStyle name="표준 6 3 24 2 2 3 2" xfId="44068"/>
    <cellStyle name="표준 6 3 24 2 2 4" xfId="31396"/>
    <cellStyle name="표준 6 3 24 2 2 5" xfId="56415"/>
    <cellStyle name="표준 6 3 24 2 3" xfId="9221"/>
    <cellStyle name="표준 6 3 24 2 3 2" xfId="21894"/>
    <cellStyle name="표준 6 3 24 2 3 2 2" xfId="47246"/>
    <cellStyle name="표준 6 3 24 2 3 3" xfId="34574"/>
    <cellStyle name="표준 6 3 24 2 4" xfId="15558"/>
    <cellStyle name="표준 6 3 24 2 4 2" xfId="40910"/>
    <cellStyle name="표준 6 3 24 2 5" xfId="28238"/>
    <cellStyle name="표준 6 3 24 2 6" xfId="56416"/>
    <cellStyle name="표준 6 3 24 3" xfId="6044"/>
    <cellStyle name="표준 6 3 24 3 2" xfId="12380"/>
    <cellStyle name="표준 6 3 24 3 2 2" xfId="25053"/>
    <cellStyle name="표준 6 3 24 3 2 2 2" xfId="50405"/>
    <cellStyle name="표준 6 3 24 3 2 3" xfId="37733"/>
    <cellStyle name="표준 6 3 24 3 3" xfId="18717"/>
    <cellStyle name="표준 6 3 24 3 3 2" xfId="44069"/>
    <cellStyle name="표준 6 3 24 3 4" xfId="31397"/>
    <cellStyle name="표준 6 3 24 3 5" xfId="56417"/>
    <cellStyle name="표준 6 3 24 4" xfId="9220"/>
    <cellStyle name="표준 6 3 24 4 2" xfId="21893"/>
    <cellStyle name="표준 6 3 24 4 2 2" xfId="47245"/>
    <cellStyle name="표준 6 3 24 4 3" xfId="34573"/>
    <cellStyle name="표준 6 3 24 5" xfId="15557"/>
    <cellStyle name="표준 6 3 24 5 2" xfId="40909"/>
    <cellStyle name="표준 6 3 24 6" xfId="28237"/>
    <cellStyle name="표준 6 3 24 7" xfId="56418"/>
    <cellStyle name="표준 6 3 25" xfId="2885"/>
    <cellStyle name="표준 6 3 25 2" xfId="2886"/>
    <cellStyle name="표준 6 3 25 2 2" xfId="6045"/>
    <cellStyle name="표준 6 3 25 2 2 2" xfId="12381"/>
    <cellStyle name="표준 6 3 25 2 2 2 2" xfId="25054"/>
    <cellStyle name="표준 6 3 25 2 2 2 2 2" xfId="50406"/>
    <cellStyle name="표준 6 3 25 2 2 2 3" xfId="37734"/>
    <cellStyle name="표준 6 3 25 2 2 3" xfId="18718"/>
    <cellStyle name="표준 6 3 25 2 2 3 2" xfId="44070"/>
    <cellStyle name="표준 6 3 25 2 2 4" xfId="31398"/>
    <cellStyle name="표준 6 3 25 2 2 5" xfId="56419"/>
    <cellStyle name="표준 6 3 25 2 3" xfId="9223"/>
    <cellStyle name="표준 6 3 25 2 3 2" xfId="21896"/>
    <cellStyle name="표준 6 3 25 2 3 2 2" xfId="47248"/>
    <cellStyle name="표준 6 3 25 2 3 3" xfId="34576"/>
    <cellStyle name="표준 6 3 25 2 4" xfId="15560"/>
    <cellStyle name="표준 6 3 25 2 4 2" xfId="40912"/>
    <cellStyle name="표준 6 3 25 2 5" xfId="28240"/>
    <cellStyle name="표준 6 3 25 2 6" xfId="56420"/>
    <cellStyle name="표준 6 3 25 3" xfId="6046"/>
    <cellStyle name="표준 6 3 25 3 2" xfId="12382"/>
    <cellStyle name="표준 6 3 25 3 2 2" xfId="25055"/>
    <cellStyle name="표준 6 3 25 3 2 2 2" xfId="50407"/>
    <cellStyle name="표준 6 3 25 3 2 3" xfId="37735"/>
    <cellStyle name="표준 6 3 25 3 3" xfId="18719"/>
    <cellStyle name="표준 6 3 25 3 3 2" xfId="44071"/>
    <cellStyle name="표준 6 3 25 3 4" xfId="31399"/>
    <cellStyle name="표준 6 3 25 3 5" xfId="56421"/>
    <cellStyle name="표준 6 3 25 4" xfId="9222"/>
    <cellStyle name="표준 6 3 25 4 2" xfId="21895"/>
    <cellStyle name="표준 6 3 25 4 2 2" xfId="47247"/>
    <cellStyle name="표준 6 3 25 4 3" xfId="34575"/>
    <cellStyle name="표준 6 3 25 5" xfId="15559"/>
    <cellStyle name="표준 6 3 25 5 2" xfId="40911"/>
    <cellStyle name="표준 6 3 25 6" xfId="28239"/>
    <cellStyle name="표준 6 3 25 7" xfId="56422"/>
    <cellStyle name="표준 6 3 26" xfId="2887"/>
    <cellStyle name="표준 6 3 26 2" xfId="2888"/>
    <cellStyle name="표준 6 3 26 2 2" xfId="6047"/>
    <cellStyle name="표준 6 3 26 2 2 2" xfId="12383"/>
    <cellStyle name="표준 6 3 26 2 2 2 2" xfId="25056"/>
    <cellStyle name="표준 6 3 26 2 2 2 2 2" xfId="50408"/>
    <cellStyle name="표준 6 3 26 2 2 2 3" xfId="37736"/>
    <cellStyle name="표준 6 3 26 2 2 3" xfId="18720"/>
    <cellStyle name="표준 6 3 26 2 2 3 2" xfId="44072"/>
    <cellStyle name="표준 6 3 26 2 2 4" xfId="31400"/>
    <cellStyle name="표준 6 3 26 2 2 5" xfId="56423"/>
    <cellStyle name="표준 6 3 26 2 3" xfId="9225"/>
    <cellStyle name="표준 6 3 26 2 3 2" xfId="21898"/>
    <cellStyle name="표준 6 3 26 2 3 2 2" xfId="47250"/>
    <cellStyle name="표준 6 3 26 2 3 3" xfId="34578"/>
    <cellStyle name="표준 6 3 26 2 4" xfId="15562"/>
    <cellStyle name="표준 6 3 26 2 4 2" xfId="40914"/>
    <cellStyle name="표준 6 3 26 2 5" xfId="28242"/>
    <cellStyle name="표준 6 3 26 2 6" xfId="56424"/>
    <cellStyle name="표준 6 3 26 3" xfId="6048"/>
    <cellStyle name="표준 6 3 26 3 2" xfId="12384"/>
    <cellStyle name="표준 6 3 26 3 2 2" xfId="25057"/>
    <cellStyle name="표준 6 3 26 3 2 2 2" xfId="50409"/>
    <cellStyle name="표준 6 3 26 3 2 3" xfId="37737"/>
    <cellStyle name="표준 6 3 26 3 3" xfId="18721"/>
    <cellStyle name="표준 6 3 26 3 3 2" xfId="44073"/>
    <cellStyle name="표준 6 3 26 3 4" xfId="31401"/>
    <cellStyle name="표준 6 3 26 3 5" xfId="56425"/>
    <cellStyle name="표준 6 3 26 4" xfId="9224"/>
    <cellStyle name="표준 6 3 26 4 2" xfId="21897"/>
    <cellStyle name="표준 6 3 26 4 2 2" xfId="47249"/>
    <cellStyle name="표준 6 3 26 4 3" xfId="34577"/>
    <cellStyle name="표준 6 3 26 5" xfId="15561"/>
    <cellStyle name="표준 6 3 26 5 2" xfId="40913"/>
    <cellStyle name="표준 6 3 26 6" xfId="28241"/>
    <cellStyle name="표준 6 3 26 7" xfId="56426"/>
    <cellStyle name="표준 6 3 27" xfId="2889"/>
    <cellStyle name="표준 6 3 27 2" xfId="2890"/>
    <cellStyle name="표준 6 3 27 2 2" xfId="6049"/>
    <cellStyle name="표준 6 3 27 2 2 2" xfId="12385"/>
    <cellStyle name="표준 6 3 27 2 2 2 2" xfId="25058"/>
    <cellStyle name="표준 6 3 27 2 2 2 2 2" xfId="50410"/>
    <cellStyle name="표준 6 3 27 2 2 2 3" xfId="37738"/>
    <cellStyle name="표준 6 3 27 2 2 3" xfId="18722"/>
    <cellStyle name="표준 6 3 27 2 2 3 2" xfId="44074"/>
    <cellStyle name="표준 6 3 27 2 2 4" xfId="31402"/>
    <cellStyle name="표준 6 3 27 2 2 5" xfId="56427"/>
    <cellStyle name="표준 6 3 27 2 3" xfId="9227"/>
    <cellStyle name="표준 6 3 27 2 3 2" xfId="21900"/>
    <cellStyle name="표준 6 3 27 2 3 2 2" xfId="47252"/>
    <cellStyle name="표준 6 3 27 2 3 3" xfId="34580"/>
    <cellStyle name="표준 6 3 27 2 4" xfId="15564"/>
    <cellStyle name="표준 6 3 27 2 4 2" xfId="40916"/>
    <cellStyle name="표준 6 3 27 2 5" xfId="28244"/>
    <cellStyle name="표준 6 3 27 2 6" xfId="56428"/>
    <cellStyle name="표준 6 3 27 3" xfId="6050"/>
    <cellStyle name="표준 6 3 27 3 2" xfId="12386"/>
    <cellStyle name="표준 6 3 27 3 2 2" xfId="25059"/>
    <cellStyle name="표준 6 3 27 3 2 2 2" xfId="50411"/>
    <cellStyle name="표준 6 3 27 3 2 3" xfId="37739"/>
    <cellStyle name="표준 6 3 27 3 3" xfId="18723"/>
    <cellStyle name="표준 6 3 27 3 3 2" xfId="44075"/>
    <cellStyle name="표준 6 3 27 3 4" xfId="31403"/>
    <cellStyle name="표준 6 3 27 3 5" xfId="56429"/>
    <cellStyle name="표준 6 3 27 4" xfId="9226"/>
    <cellStyle name="표준 6 3 27 4 2" xfId="21899"/>
    <cellStyle name="표준 6 3 27 4 2 2" xfId="47251"/>
    <cellStyle name="표준 6 3 27 4 3" xfId="34579"/>
    <cellStyle name="표준 6 3 27 5" xfId="15563"/>
    <cellStyle name="표준 6 3 27 5 2" xfId="40915"/>
    <cellStyle name="표준 6 3 27 6" xfId="28243"/>
    <cellStyle name="표준 6 3 27 7" xfId="56430"/>
    <cellStyle name="표준 6 3 28" xfId="2891"/>
    <cellStyle name="표준 6 3 28 2" xfId="2892"/>
    <cellStyle name="표준 6 3 28 2 2" xfId="6051"/>
    <cellStyle name="표준 6 3 28 2 2 2" xfId="12387"/>
    <cellStyle name="표준 6 3 28 2 2 2 2" xfId="25060"/>
    <cellStyle name="표준 6 3 28 2 2 2 2 2" xfId="50412"/>
    <cellStyle name="표준 6 3 28 2 2 2 3" xfId="37740"/>
    <cellStyle name="표준 6 3 28 2 2 3" xfId="18724"/>
    <cellStyle name="표준 6 3 28 2 2 3 2" xfId="44076"/>
    <cellStyle name="표준 6 3 28 2 2 4" xfId="31404"/>
    <cellStyle name="표준 6 3 28 2 2 5" xfId="56431"/>
    <cellStyle name="표준 6 3 28 2 3" xfId="9229"/>
    <cellStyle name="표준 6 3 28 2 3 2" xfId="21902"/>
    <cellStyle name="표준 6 3 28 2 3 2 2" xfId="47254"/>
    <cellStyle name="표준 6 3 28 2 3 3" xfId="34582"/>
    <cellStyle name="표준 6 3 28 2 4" xfId="15566"/>
    <cellStyle name="표준 6 3 28 2 4 2" xfId="40918"/>
    <cellStyle name="표준 6 3 28 2 5" xfId="28246"/>
    <cellStyle name="표준 6 3 28 2 6" xfId="56432"/>
    <cellStyle name="표준 6 3 28 3" xfId="6052"/>
    <cellStyle name="표준 6 3 28 3 2" xfId="12388"/>
    <cellStyle name="표준 6 3 28 3 2 2" xfId="25061"/>
    <cellStyle name="표준 6 3 28 3 2 2 2" xfId="50413"/>
    <cellStyle name="표준 6 3 28 3 2 3" xfId="37741"/>
    <cellStyle name="표준 6 3 28 3 3" xfId="18725"/>
    <cellStyle name="표준 6 3 28 3 3 2" xfId="44077"/>
    <cellStyle name="표준 6 3 28 3 4" xfId="31405"/>
    <cellStyle name="표준 6 3 28 3 5" xfId="56433"/>
    <cellStyle name="표준 6 3 28 4" xfId="9228"/>
    <cellStyle name="표준 6 3 28 4 2" xfId="21901"/>
    <cellStyle name="표준 6 3 28 4 2 2" xfId="47253"/>
    <cellStyle name="표준 6 3 28 4 3" xfId="34581"/>
    <cellStyle name="표준 6 3 28 5" xfId="15565"/>
    <cellStyle name="표준 6 3 28 5 2" xfId="40917"/>
    <cellStyle name="표준 6 3 28 6" xfId="28245"/>
    <cellStyle name="표준 6 3 28 7" xfId="56434"/>
    <cellStyle name="표준 6 3 29" xfId="2893"/>
    <cellStyle name="표준 6 3 29 2" xfId="2894"/>
    <cellStyle name="표준 6 3 29 2 2" xfId="6053"/>
    <cellStyle name="표준 6 3 29 2 2 2" xfId="12389"/>
    <cellStyle name="표준 6 3 29 2 2 2 2" xfId="25062"/>
    <cellStyle name="표준 6 3 29 2 2 2 2 2" xfId="50414"/>
    <cellStyle name="표준 6 3 29 2 2 2 3" xfId="37742"/>
    <cellStyle name="표준 6 3 29 2 2 3" xfId="18726"/>
    <cellStyle name="표준 6 3 29 2 2 3 2" xfId="44078"/>
    <cellStyle name="표준 6 3 29 2 2 4" xfId="31406"/>
    <cellStyle name="표준 6 3 29 2 2 5" xfId="56435"/>
    <cellStyle name="표준 6 3 29 2 3" xfId="9231"/>
    <cellStyle name="표준 6 3 29 2 3 2" xfId="21904"/>
    <cellStyle name="표준 6 3 29 2 3 2 2" xfId="47256"/>
    <cellStyle name="표준 6 3 29 2 3 3" xfId="34584"/>
    <cellStyle name="표준 6 3 29 2 4" xfId="15568"/>
    <cellStyle name="표준 6 3 29 2 4 2" xfId="40920"/>
    <cellStyle name="표준 6 3 29 2 5" xfId="28248"/>
    <cellStyle name="표준 6 3 29 2 6" xfId="56436"/>
    <cellStyle name="표준 6 3 29 3" xfId="6054"/>
    <cellStyle name="표준 6 3 29 3 2" xfId="12390"/>
    <cellStyle name="표준 6 3 29 3 2 2" xfId="25063"/>
    <cellStyle name="표준 6 3 29 3 2 2 2" xfId="50415"/>
    <cellStyle name="표준 6 3 29 3 2 3" xfId="37743"/>
    <cellStyle name="표준 6 3 29 3 3" xfId="18727"/>
    <cellStyle name="표준 6 3 29 3 3 2" xfId="44079"/>
    <cellStyle name="표준 6 3 29 3 4" xfId="31407"/>
    <cellStyle name="표준 6 3 29 3 5" xfId="56437"/>
    <cellStyle name="표준 6 3 29 4" xfId="9230"/>
    <cellStyle name="표준 6 3 29 4 2" xfId="21903"/>
    <cellStyle name="표준 6 3 29 4 2 2" xfId="47255"/>
    <cellStyle name="표준 6 3 29 4 3" xfId="34583"/>
    <cellStyle name="표준 6 3 29 5" xfId="15567"/>
    <cellStyle name="표준 6 3 29 5 2" xfId="40919"/>
    <cellStyle name="표준 6 3 29 6" xfId="28247"/>
    <cellStyle name="표준 6 3 29 7" xfId="56438"/>
    <cellStyle name="표준 6 3 3" xfId="99"/>
    <cellStyle name="표준 6 3 3 10" xfId="2895"/>
    <cellStyle name="표준 6 3 3 10 2" xfId="2896"/>
    <cellStyle name="표준 6 3 3 10 2 2" xfId="6055"/>
    <cellStyle name="표준 6 3 3 10 2 2 2" xfId="12391"/>
    <cellStyle name="표준 6 3 3 10 2 2 2 2" xfId="25064"/>
    <cellStyle name="표준 6 3 3 10 2 2 2 2 2" xfId="50416"/>
    <cellStyle name="표준 6 3 3 10 2 2 2 3" xfId="37744"/>
    <cellStyle name="표준 6 3 3 10 2 2 3" xfId="18728"/>
    <cellStyle name="표준 6 3 3 10 2 2 3 2" xfId="44080"/>
    <cellStyle name="표준 6 3 3 10 2 2 4" xfId="31408"/>
    <cellStyle name="표준 6 3 3 10 2 2 5" xfId="56439"/>
    <cellStyle name="표준 6 3 3 10 2 3" xfId="9233"/>
    <cellStyle name="표준 6 3 3 10 2 3 2" xfId="21906"/>
    <cellStyle name="표준 6 3 3 10 2 3 2 2" xfId="47258"/>
    <cellStyle name="표준 6 3 3 10 2 3 3" xfId="34586"/>
    <cellStyle name="표준 6 3 3 10 2 4" xfId="15570"/>
    <cellStyle name="표준 6 3 3 10 2 4 2" xfId="40922"/>
    <cellStyle name="표준 6 3 3 10 2 5" xfId="28250"/>
    <cellStyle name="표준 6 3 3 10 2 6" xfId="56440"/>
    <cellStyle name="표준 6 3 3 10 3" xfId="6056"/>
    <cellStyle name="표준 6 3 3 10 3 2" xfId="12392"/>
    <cellStyle name="표준 6 3 3 10 3 2 2" xfId="25065"/>
    <cellStyle name="표준 6 3 3 10 3 2 2 2" xfId="50417"/>
    <cellStyle name="표준 6 3 3 10 3 2 3" xfId="37745"/>
    <cellStyle name="표준 6 3 3 10 3 3" xfId="18729"/>
    <cellStyle name="표준 6 3 3 10 3 3 2" xfId="44081"/>
    <cellStyle name="표준 6 3 3 10 3 4" xfId="31409"/>
    <cellStyle name="표준 6 3 3 10 3 5" xfId="56441"/>
    <cellStyle name="표준 6 3 3 10 4" xfId="9232"/>
    <cellStyle name="표준 6 3 3 10 4 2" xfId="21905"/>
    <cellStyle name="표준 6 3 3 10 4 2 2" xfId="47257"/>
    <cellStyle name="표준 6 3 3 10 4 3" xfId="34585"/>
    <cellStyle name="표준 6 3 3 10 5" xfId="15569"/>
    <cellStyle name="표준 6 3 3 10 5 2" xfId="40921"/>
    <cellStyle name="표준 6 3 3 10 6" xfId="28249"/>
    <cellStyle name="표준 6 3 3 10 7" xfId="56442"/>
    <cellStyle name="표준 6 3 3 11" xfId="2897"/>
    <cellStyle name="표준 6 3 3 11 2" xfId="2898"/>
    <cellStyle name="표준 6 3 3 11 2 2" xfId="6057"/>
    <cellStyle name="표준 6 3 3 11 2 2 2" xfId="12393"/>
    <cellStyle name="표준 6 3 3 11 2 2 2 2" xfId="25066"/>
    <cellStyle name="표준 6 3 3 11 2 2 2 2 2" xfId="50418"/>
    <cellStyle name="표준 6 3 3 11 2 2 2 3" xfId="37746"/>
    <cellStyle name="표준 6 3 3 11 2 2 3" xfId="18730"/>
    <cellStyle name="표준 6 3 3 11 2 2 3 2" xfId="44082"/>
    <cellStyle name="표준 6 3 3 11 2 2 4" xfId="31410"/>
    <cellStyle name="표준 6 3 3 11 2 2 5" xfId="56443"/>
    <cellStyle name="표준 6 3 3 11 2 3" xfId="9235"/>
    <cellStyle name="표준 6 3 3 11 2 3 2" xfId="21908"/>
    <cellStyle name="표준 6 3 3 11 2 3 2 2" xfId="47260"/>
    <cellStyle name="표준 6 3 3 11 2 3 3" xfId="34588"/>
    <cellStyle name="표준 6 3 3 11 2 4" xfId="15572"/>
    <cellStyle name="표준 6 3 3 11 2 4 2" xfId="40924"/>
    <cellStyle name="표준 6 3 3 11 2 5" xfId="28252"/>
    <cellStyle name="표준 6 3 3 11 2 6" xfId="56444"/>
    <cellStyle name="표준 6 3 3 11 3" xfId="6058"/>
    <cellStyle name="표준 6 3 3 11 3 2" xfId="12394"/>
    <cellStyle name="표준 6 3 3 11 3 2 2" xfId="25067"/>
    <cellStyle name="표준 6 3 3 11 3 2 2 2" xfId="50419"/>
    <cellStyle name="표준 6 3 3 11 3 2 3" xfId="37747"/>
    <cellStyle name="표준 6 3 3 11 3 3" xfId="18731"/>
    <cellStyle name="표준 6 3 3 11 3 3 2" xfId="44083"/>
    <cellStyle name="표준 6 3 3 11 3 4" xfId="31411"/>
    <cellStyle name="표준 6 3 3 11 3 5" xfId="56445"/>
    <cellStyle name="표준 6 3 3 11 4" xfId="9234"/>
    <cellStyle name="표준 6 3 3 11 4 2" xfId="21907"/>
    <cellStyle name="표준 6 3 3 11 4 2 2" xfId="47259"/>
    <cellStyle name="표준 6 3 3 11 4 3" xfId="34587"/>
    <cellStyle name="표준 6 3 3 11 5" xfId="15571"/>
    <cellStyle name="표준 6 3 3 11 5 2" xfId="40923"/>
    <cellStyle name="표준 6 3 3 11 6" xfId="28251"/>
    <cellStyle name="표준 6 3 3 11 7" xfId="56446"/>
    <cellStyle name="표준 6 3 3 12" xfId="2899"/>
    <cellStyle name="표준 6 3 3 12 2" xfId="2900"/>
    <cellStyle name="표준 6 3 3 12 2 2" xfId="6059"/>
    <cellStyle name="표준 6 3 3 12 2 2 2" xfId="12395"/>
    <cellStyle name="표준 6 3 3 12 2 2 2 2" xfId="25068"/>
    <cellStyle name="표준 6 3 3 12 2 2 2 2 2" xfId="50420"/>
    <cellStyle name="표준 6 3 3 12 2 2 2 3" xfId="37748"/>
    <cellStyle name="표준 6 3 3 12 2 2 3" xfId="18732"/>
    <cellStyle name="표준 6 3 3 12 2 2 3 2" xfId="44084"/>
    <cellStyle name="표준 6 3 3 12 2 2 4" xfId="31412"/>
    <cellStyle name="표준 6 3 3 12 2 2 5" xfId="56447"/>
    <cellStyle name="표준 6 3 3 12 2 3" xfId="9237"/>
    <cellStyle name="표준 6 3 3 12 2 3 2" xfId="21910"/>
    <cellStyle name="표준 6 3 3 12 2 3 2 2" xfId="47262"/>
    <cellStyle name="표준 6 3 3 12 2 3 3" xfId="34590"/>
    <cellStyle name="표준 6 3 3 12 2 4" xfId="15574"/>
    <cellStyle name="표준 6 3 3 12 2 4 2" xfId="40926"/>
    <cellStyle name="표준 6 3 3 12 2 5" xfId="28254"/>
    <cellStyle name="표준 6 3 3 12 2 6" xfId="56448"/>
    <cellStyle name="표준 6 3 3 12 3" xfId="6060"/>
    <cellStyle name="표준 6 3 3 12 3 2" xfId="12396"/>
    <cellStyle name="표준 6 3 3 12 3 2 2" xfId="25069"/>
    <cellStyle name="표준 6 3 3 12 3 2 2 2" xfId="50421"/>
    <cellStyle name="표준 6 3 3 12 3 2 3" xfId="37749"/>
    <cellStyle name="표준 6 3 3 12 3 3" xfId="18733"/>
    <cellStyle name="표준 6 3 3 12 3 3 2" xfId="44085"/>
    <cellStyle name="표준 6 3 3 12 3 4" xfId="31413"/>
    <cellStyle name="표준 6 3 3 12 3 5" xfId="56449"/>
    <cellStyle name="표준 6 3 3 12 4" xfId="9236"/>
    <cellStyle name="표준 6 3 3 12 4 2" xfId="21909"/>
    <cellStyle name="표준 6 3 3 12 4 2 2" xfId="47261"/>
    <cellStyle name="표준 6 3 3 12 4 3" xfId="34589"/>
    <cellStyle name="표준 6 3 3 12 5" xfId="15573"/>
    <cellStyle name="표준 6 3 3 12 5 2" xfId="40925"/>
    <cellStyle name="표준 6 3 3 12 6" xfId="28253"/>
    <cellStyle name="표준 6 3 3 12 7" xfId="56450"/>
    <cellStyle name="표준 6 3 3 13" xfId="2901"/>
    <cellStyle name="표준 6 3 3 13 2" xfId="2902"/>
    <cellStyle name="표준 6 3 3 13 2 2" xfId="6061"/>
    <cellStyle name="표준 6 3 3 13 2 2 2" xfId="12397"/>
    <cellStyle name="표준 6 3 3 13 2 2 2 2" xfId="25070"/>
    <cellStyle name="표준 6 3 3 13 2 2 2 2 2" xfId="50422"/>
    <cellStyle name="표준 6 3 3 13 2 2 2 3" xfId="37750"/>
    <cellStyle name="표준 6 3 3 13 2 2 3" xfId="18734"/>
    <cellStyle name="표준 6 3 3 13 2 2 3 2" xfId="44086"/>
    <cellStyle name="표준 6 3 3 13 2 2 4" xfId="31414"/>
    <cellStyle name="표준 6 3 3 13 2 2 5" xfId="56451"/>
    <cellStyle name="표준 6 3 3 13 2 3" xfId="9239"/>
    <cellStyle name="표준 6 3 3 13 2 3 2" xfId="21912"/>
    <cellStyle name="표준 6 3 3 13 2 3 2 2" xfId="47264"/>
    <cellStyle name="표준 6 3 3 13 2 3 3" xfId="34592"/>
    <cellStyle name="표준 6 3 3 13 2 4" xfId="15576"/>
    <cellStyle name="표준 6 3 3 13 2 4 2" xfId="40928"/>
    <cellStyle name="표준 6 3 3 13 2 5" xfId="28256"/>
    <cellStyle name="표준 6 3 3 13 2 6" xfId="56452"/>
    <cellStyle name="표준 6 3 3 13 3" xfId="6062"/>
    <cellStyle name="표준 6 3 3 13 3 2" xfId="12398"/>
    <cellStyle name="표준 6 3 3 13 3 2 2" xfId="25071"/>
    <cellStyle name="표준 6 3 3 13 3 2 2 2" xfId="50423"/>
    <cellStyle name="표준 6 3 3 13 3 2 3" xfId="37751"/>
    <cellStyle name="표준 6 3 3 13 3 3" xfId="18735"/>
    <cellStyle name="표준 6 3 3 13 3 3 2" xfId="44087"/>
    <cellStyle name="표준 6 3 3 13 3 4" xfId="31415"/>
    <cellStyle name="표준 6 3 3 13 3 5" xfId="56453"/>
    <cellStyle name="표준 6 3 3 13 4" xfId="9238"/>
    <cellStyle name="표준 6 3 3 13 4 2" xfId="21911"/>
    <cellStyle name="표준 6 3 3 13 4 2 2" xfId="47263"/>
    <cellStyle name="표준 6 3 3 13 4 3" xfId="34591"/>
    <cellStyle name="표준 6 3 3 13 5" xfId="15575"/>
    <cellStyle name="표준 6 3 3 13 5 2" xfId="40927"/>
    <cellStyle name="표준 6 3 3 13 6" xfId="28255"/>
    <cellStyle name="표준 6 3 3 13 7" xfId="56454"/>
    <cellStyle name="표준 6 3 3 14" xfId="2903"/>
    <cellStyle name="표준 6 3 3 14 2" xfId="2904"/>
    <cellStyle name="표준 6 3 3 14 2 2" xfId="6063"/>
    <cellStyle name="표준 6 3 3 14 2 2 2" xfId="12399"/>
    <cellStyle name="표준 6 3 3 14 2 2 2 2" xfId="25072"/>
    <cellStyle name="표준 6 3 3 14 2 2 2 2 2" xfId="50424"/>
    <cellStyle name="표준 6 3 3 14 2 2 2 3" xfId="37752"/>
    <cellStyle name="표준 6 3 3 14 2 2 3" xfId="18736"/>
    <cellStyle name="표준 6 3 3 14 2 2 3 2" xfId="44088"/>
    <cellStyle name="표준 6 3 3 14 2 2 4" xfId="31416"/>
    <cellStyle name="표준 6 3 3 14 2 2 5" xfId="56455"/>
    <cellStyle name="표준 6 3 3 14 2 3" xfId="9241"/>
    <cellStyle name="표준 6 3 3 14 2 3 2" xfId="21914"/>
    <cellStyle name="표준 6 3 3 14 2 3 2 2" xfId="47266"/>
    <cellStyle name="표준 6 3 3 14 2 3 3" xfId="34594"/>
    <cellStyle name="표준 6 3 3 14 2 4" xfId="15578"/>
    <cellStyle name="표준 6 3 3 14 2 4 2" xfId="40930"/>
    <cellStyle name="표준 6 3 3 14 2 5" xfId="28258"/>
    <cellStyle name="표준 6 3 3 14 2 6" xfId="56456"/>
    <cellStyle name="표준 6 3 3 14 3" xfId="6064"/>
    <cellStyle name="표준 6 3 3 14 3 2" xfId="12400"/>
    <cellStyle name="표준 6 3 3 14 3 2 2" xfId="25073"/>
    <cellStyle name="표준 6 3 3 14 3 2 2 2" xfId="50425"/>
    <cellStyle name="표준 6 3 3 14 3 2 3" xfId="37753"/>
    <cellStyle name="표준 6 3 3 14 3 3" xfId="18737"/>
    <cellStyle name="표준 6 3 3 14 3 3 2" xfId="44089"/>
    <cellStyle name="표준 6 3 3 14 3 4" xfId="31417"/>
    <cellStyle name="표준 6 3 3 14 3 5" xfId="56457"/>
    <cellStyle name="표준 6 3 3 14 4" xfId="9240"/>
    <cellStyle name="표준 6 3 3 14 4 2" xfId="21913"/>
    <cellStyle name="표준 6 3 3 14 4 2 2" xfId="47265"/>
    <cellStyle name="표준 6 3 3 14 4 3" xfId="34593"/>
    <cellStyle name="표준 6 3 3 14 5" xfId="15577"/>
    <cellStyle name="표준 6 3 3 14 5 2" xfId="40929"/>
    <cellStyle name="표준 6 3 3 14 6" xfId="28257"/>
    <cellStyle name="표준 6 3 3 14 7" xfId="56458"/>
    <cellStyle name="표준 6 3 3 15" xfId="2905"/>
    <cellStyle name="표준 6 3 3 15 2" xfId="2906"/>
    <cellStyle name="표준 6 3 3 15 2 2" xfId="6065"/>
    <cellStyle name="표준 6 3 3 15 2 2 2" xfId="12401"/>
    <cellStyle name="표준 6 3 3 15 2 2 2 2" xfId="25074"/>
    <cellStyle name="표준 6 3 3 15 2 2 2 2 2" xfId="50426"/>
    <cellStyle name="표준 6 3 3 15 2 2 2 3" xfId="37754"/>
    <cellStyle name="표준 6 3 3 15 2 2 3" xfId="18738"/>
    <cellStyle name="표준 6 3 3 15 2 2 3 2" xfId="44090"/>
    <cellStyle name="표준 6 3 3 15 2 2 4" xfId="31418"/>
    <cellStyle name="표준 6 3 3 15 2 2 5" xfId="56459"/>
    <cellStyle name="표준 6 3 3 15 2 3" xfId="9243"/>
    <cellStyle name="표준 6 3 3 15 2 3 2" xfId="21916"/>
    <cellStyle name="표준 6 3 3 15 2 3 2 2" xfId="47268"/>
    <cellStyle name="표준 6 3 3 15 2 3 3" xfId="34596"/>
    <cellStyle name="표준 6 3 3 15 2 4" xfId="15580"/>
    <cellStyle name="표준 6 3 3 15 2 4 2" xfId="40932"/>
    <cellStyle name="표준 6 3 3 15 2 5" xfId="28260"/>
    <cellStyle name="표준 6 3 3 15 2 6" xfId="56460"/>
    <cellStyle name="표준 6 3 3 15 3" xfId="6066"/>
    <cellStyle name="표준 6 3 3 15 3 2" xfId="12402"/>
    <cellStyle name="표준 6 3 3 15 3 2 2" xfId="25075"/>
    <cellStyle name="표준 6 3 3 15 3 2 2 2" xfId="50427"/>
    <cellStyle name="표준 6 3 3 15 3 2 3" xfId="37755"/>
    <cellStyle name="표준 6 3 3 15 3 3" xfId="18739"/>
    <cellStyle name="표준 6 3 3 15 3 3 2" xfId="44091"/>
    <cellStyle name="표준 6 3 3 15 3 4" xfId="31419"/>
    <cellStyle name="표준 6 3 3 15 3 5" xfId="56461"/>
    <cellStyle name="표준 6 3 3 15 4" xfId="9242"/>
    <cellStyle name="표준 6 3 3 15 4 2" xfId="21915"/>
    <cellStyle name="표준 6 3 3 15 4 2 2" xfId="47267"/>
    <cellStyle name="표준 6 3 3 15 4 3" xfId="34595"/>
    <cellStyle name="표준 6 3 3 15 5" xfId="15579"/>
    <cellStyle name="표준 6 3 3 15 5 2" xfId="40931"/>
    <cellStyle name="표준 6 3 3 15 6" xfId="28259"/>
    <cellStyle name="표준 6 3 3 15 7" xfId="56462"/>
    <cellStyle name="표준 6 3 3 16" xfId="2907"/>
    <cellStyle name="표준 6 3 3 16 2" xfId="2908"/>
    <cellStyle name="표준 6 3 3 16 2 2" xfId="6067"/>
    <cellStyle name="표준 6 3 3 16 2 2 2" xfId="12403"/>
    <cellStyle name="표준 6 3 3 16 2 2 2 2" xfId="25076"/>
    <cellStyle name="표준 6 3 3 16 2 2 2 2 2" xfId="50428"/>
    <cellStyle name="표준 6 3 3 16 2 2 2 3" xfId="37756"/>
    <cellStyle name="표준 6 3 3 16 2 2 3" xfId="18740"/>
    <cellStyle name="표준 6 3 3 16 2 2 3 2" xfId="44092"/>
    <cellStyle name="표준 6 3 3 16 2 2 4" xfId="31420"/>
    <cellStyle name="표준 6 3 3 16 2 2 5" xfId="56463"/>
    <cellStyle name="표준 6 3 3 16 2 3" xfId="9245"/>
    <cellStyle name="표준 6 3 3 16 2 3 2" xfId="21918"/>
    <cellStyle name="표준 6 3 3 16 2 3 2 2" xfId="47270"/>
    <cellStyle name="표준 6 3 3 16 2 3 3" xfId="34598"/>
    <cellStyle name="표준 6 3 3 16 2 4" xfId="15582"/>
    <cellStyle name="표준 6 3 3 16 2 4 2" xfId="40934"/>
    <cellStyle name="표준 6 3 3 16 2 5" xfId="28262"/>
    <cellStyle name="표준 6 3 3 16 2 6" xfId="56464"/>
    <cellStyle name="표준 6 3 3 16 3" xfId="6068"/>
    <cellStyle name="표준 6 3 3 16 3 2" xfId="12404"/>
    <cellStyle name="표준 6 3 3 16 3 2 2" xfId="25077"/>
    <cellStyle name="표준 6 3 3 16 3 2 2 2" xfId="50429"/>
    <cellStyle name="표준 6 3 3 16 3 2 3" xfId="37757"/>
    <cellStyle name="표준 6 3 3 16 3 3" xfId="18741"/>
    <cellStyle name="표준 6 3 3 16 3 3 2" xfId="44093"/>
    <cellStyle name="표준 6 3 3 16 3 4" xfId="31421"/>
    <cellStyle name="표준 6 3 3 16 3 5" xfId="56465"/>
    <cellStyle name="표준 6 3 3 16 4" xfId="9244"/>
    <cellStyle name="표준 6 3 3 16 4 2" xfId="21917"/>
    <cellStyle name="표준 6 3 3 16 4 2 2" xfId="47269"/>
    <cellStyle name="표준 6 3 3 16 4 3" xfId="34597"/>
    <cellStyle name="표준 6 3 3 16 5" xfId="15581"/>
    <cellStyle name="표준 6 3 3 16 5 2" xfId="40933"/>
    <cellStyle name="표준 6 3 3 16 6" xfId="28261"/>
    <cellStyle name="표준 6 3 3 16 7" xfId="56466"/>
    <cellStyle name="표준 6 3 3 17" xfId="2909"/>
    <cellStyle name="표준 6 3 3 17 2" xfId="2910"/>
    <cellStyle name="표준 6 3 3 17 2 2" xfId="6069"/>
    <cellStyle name="표준 6 3 3 17 2 2 2" xfId="12405"/>
    <cellStyle name="표준 6 3 3 17 2 2 2 2" xfId="25078"/>
    <cellStyle name="표준 6 3 3 17 2 2 2 2 2" xfId="50430"/>
    <cellStyle name="표준 6 3 3 17 2 2 2 3" xfId="37758"/>
    <cellStyle name="표준 6 3 3 17 2 2 3" xfId="18742"/>
    <cellStyle name="표준 6 3 3 17 2 2 3 2" xfId="44094"/>
    <cellStyle name="표준 6 3 3 17 2 2 4" xfId="31422"/>
    <cellStyle name="표준 6 3 3 17 2 2 5" xfId="56467"/>
    <cellStyle name="표준 6 3 3 17 2 3" xfId="9247"/>
    <cellStyle name="표준 6 3 3 17 2 3 2" xfId="21920"/>
    <cellStyle name="표준 6 3 3 17 2 3 2 2" xfId="47272"/>
    <cellStyle name="표준 6 3 3 17 2 3 3" xfId="34600"/>
    <cellStyle name="표준 6 3 3 17 2 4" xfId="15584"/>
    <cellStyle name="표준 6 3 3 17 2 4 2" xfId="40936"/>
    <cellStyle name="표준 6 3 3 17 2 5" xfId="28264"/>
    <cellStyle name="표준 6 3 3 17 2 6" xfId="56468"/>
    <cellStyle name="표준 6 3 3 17 3" xfId="6070"/>
    <cellStyle name="표준 6 3 3 17 3 2" xfId="12406"/>
    <cellStyle name="표준 6 3 3 17 3 2 2" xfId="25079"/>
    <cellStyle name="표준 6 3 3 17 3 2 2 2" xfId="50431"/>
    <cellStyle name="표준 6 3 3 17 3 2 3" xfId="37759"/>
    <cellStyle name="표준 6 3 3 17 3 3" xfId="18743"/>
    <cellStyle name="표준 6 3 3 17 3 3 2" xfId="44095"/>
    <cellStyle name="표준 6 3 3 17 3 4" xfId="31423"/>
    <cellStyle name="표준 6 3 3 17 3 5" xfId="56469"/>
    <cellStyle name="표준 6 3 3 17 4" xfId="9246"/>
    <cellStyle name="표준 6 3 3 17 4 2" xfId="21919"/>
    <cellStyle name="표준 6 3 3 17 4 2 2" xfId="47271"/>
    <cellStyle name="표준 6 3 3 17 4 3" xfId="34599"/>
    <cellStyle name="표준 6 3 3 17 5" xfId="15583"/>
    <cellStyle name="표준 6 3 3 17 5 2" xfId="40935"/>
    <cellStyle name="표준 6 3 3 17 6" xfId="28263"/>
    <cellStyle name="표준 6 3 3 17 7" xfId="56470"/>
    <cellStyle name="표준 6 3 3 18" xfId="2911"/>
    <cellStyle name="표준 6 3 3 18 2" xfId="2912"/>
    <cellStyle name="표준 6 3 3 18 2 2" xfId="6071"/>
    <cellStyle name="표준 6 3 3 18 2 2 2" xfId="12407"/>
    <cellStyle name="표준 6 3 3 18 2 2 2 2" xfId="25080"/>
    <cellStyle name="표준 6 3 3 18 2 2 2 2 2" xfId="50432"/>
    <cellStyle name="표준 6 3 3 18 2 2 2 3" xfId="37760"/>
    <cellStyle name="표준 6 3 3 18 2 2 3" xfId="18744"/>
    <cellStyle name="표준 6 3 3 18 2 2 3 2" xfId="44096"/>
    <cellStyle name="표준 6 3 3 18 2 2 4" xfId="31424"/>
    <cellStyle name="표준 6 3 3 18 2 2 5" xfId="56471"/>
    <cellStyle name="표준 6 3 3 18 2 3" xfId="9249"/>
    <cellStyle name="표준 6 3 3 18 2 3 2" xfId="21922"/>
    <cellStyle name="표준 6 3 3 18 2 3 2 2" xfId="47274"/>
    <cellStyle name="표준 6 3 3 18 2 3 3" xfId="34602"/>
    <cellStyle name="표준 6 3 3 18 2 4" xfId="15586"/>
    <cellStyle name="표준 6 3 3 18 2 4 2" xfId="40938"/>
    <cellStyle name="표준 6 3 3 18 2 5" xfId="28266"/>
    <cellStyle name="표준 6 3 3 18 2 6" xfId="56472"/>
    <cellStyle name="표준 6 3 3 18 3" xfId="6072"/>
    <cellStyle name="표준 6 3 3 18 3 2" xfId="12408"/>
    <cellStyle name="표준 6 3 3 18 3 2 2" xfId="25081"/>
    <cellStyle name="표준 6 3 3 18 3 2 2 2" xfId="50433"/>
    <cellStyle name="표준 6 3 3 18 3 2 3" xfId="37761"/>
    <cellStyle name="표준 6 3 3 18 3 3" xfId="18745"/>
    <cellStyle name="표준 6 3 3 18 3 3 2" xfId="44097"/>
    <cellStyle name="표준 6 3 3 18 3 4" xfId="31425"/>
    <cellStyle name="표준 6 3 3 18 3 5" xfId="56473"/>
    <cellStyle name="표준 6 3 3 18 4" xfId="9248"/>
    <cellStyle name="표준 6 3 3 18 4 2" xfId="21921"/>
    <cellStyle name="표준 6 3 3 18 4 2 2" xfId="47273"/>
    <cellStyle name="표준 6 3 3 18 4 3" xfId="34601"/>
    <cellStyle name="표준 6 3 3 18 5" xfId="15585"/>
    <cellStyle name="표준 6 3 3 18 5 2" xfId="40937"/>
    <cellStyle name="표준 6 3 3 18 6" xfId="28265"/>
    <cellStyle name="표준 6 3 3 18 7" xfId="56474"/>
    <cellStyle name="표준 6 3 3 19" xfId="2913"/>
    <cellStyle name="표준 6 3 3 19 2" xfId="2914"/>
    <cellStyle name="표준 6 3 3 19 2 2" xfId="6073"/>
    <cellStyle name="표준 6 3 3 19 2 2 2" xfId="12409"/>
    <cellStyle name="표준 6 3 3 19 2 2 2 2" xfId="25082"/>
    <cellStyle name="표준 6 3 3 19 2 2 2 2 2" xfId="50434"/>
    <cellStyle name="표준 6 3 3 19 2 2 2 3" xfId="37762"/>
    <cellStyle name="표준 6 3 3 19 2 2 3" xfId="18746"/>
    <cellStyle name="표준 6 3 3 19 2 2 3 2" xfId="44098"/>
    <cellStyle name="표준 6 3 3 19 2 2 4" xfId="31426"/>
    <cellStyle name="표준 6 3 3 19 2 2 5" xfId="56475"/>
    <cellStyle name="표준 6 3 3 19 2 3" xfId="9251"/>
    <cellStyle name="표준 6 3 3 19 2 3 2" xfId="21924"/>
    <cellStyle name="표준 6 3 3 19 2 3 2 2" xfId="47276"/>
    <cellStyle name="표준 6 3 3 19 2 3 3" xfId="34604"/>
    <cellStyle name="표준 6 3 3 19 2 4" xfId="15588"/>
    <cellStyle name="표준 6 3 3 19 2 4 2" xfId="40940"/>
    <cellStyle name="표준 6 3 3 19 2 5" xfId="28268"/>
    <cellStyle name="표준 6 3 3 19 2 6" xfId="56476"/>
    <cellStyle name="표준 6 3 3 19 3" xfId="6074"/>
    <cellStyle name="표준 6 3 3 19 3 2" xfId="12410"/>
    <cellStyle name="표준 6 3 3 19 3 2 2" xfId="25083"/>
    <cellStyle name="표준 6 3 3 19 3 2 2 2" xfId="50435"/>
    <cellStyle name="표준 6 3 3 19 3 2 3" xfId="37763"/>
    <cellStyle name="표준 6 3 3 19 3 3" xfId="18747"/>
    <cellStyle name="표준 6 3 3 19 3 3 2" xfId="44099"/>
    <cellStyle name="표준 6 3 3 19 3 4" xfId="31427"/>
    <cellStyle name="표준 6 3 3 19 3 5" xfId="56477"/>
    <cellStyle name="표준 6 3 3 19 4" xfId="9250"/>
    <cellStyle name="표준 6 3 3 19 4 2" xfId="21923"/>
    <cellStyle name="표준 6 3 3 19 4 2 2" xfId="47275"/>
    <cellStyle name="표준 6 3 3 19 4 3" xfId="34603"/>
    <cellStyle name="표준 6 3 3 19 5" xfId="15587"/>
    <cellStyle name="표준 6 3 3 19 5 2" xfId="40939"/>
    <cellStyle name="표준 6 3 3 19 6" xfId="28267"/>
    <cellStyle name="표준 6 3 3 19 7" xfId="56478"/>
    <cellStyle name="표준 6 3 3 2" xfId="2915"/>
    <cellStyle name="표준 6 3 3 2 2" xfId="2916"/>
    <cellStyle name="표준 6 3 3 2 2 2" xfId="6075"/>
    <cellStyle name="표준 6 3 3 2 2 2 2" xfId="12411"/>
    <cellStyle name="표준 6 3 3 2 2 2 2 2" xfId="25084"/>
    <cellStyle name="표준 6 3 3 2 2 2 2 2 2" xfId="50436"/>
    <cellStyle name="표준 6 3 3 2 2 2 2 3" xfId="37764"/>
    <cellStyle name="표준 6 3 3 2 2 2 3" xfId="18748"/>
    <cellStyle name="표준 6 3 3 2 2 2 3 2" xfId="44100"/>
    <cellStyle name="표준 6 3 3 2 2 2 4" xfId="31428"/>
    <cellStyle name="표준 6 3 3 2 2 2 5" xfId="56479"/>
    <cellStyle name="표준 6 3 3 2 2 3" xfId="9253"/>
    <cellStyle name="표준 6 3 3 2 2 3 2" xfId="21926"/>
    <cellStyle name="표준 6 3 3 2 2 3 2 2" xfId="47278"/>
    <cellStyle name="표준 6 3 3 2 2 3 3" xfId="34606"/>
    <cellStyle name="표준 6 3 3 2 2 4" xfId="15590"/>
    <cellStyle name="표준 6 3 3 2 2 4 2" xfId="40942"/>
    <cellStyle name="표준 6 3 3 2 2 5" xfId="28270"/>
    <cellStyle name="표준 6 3 3 2 2 6" xfId="56480"/>
    <cellStyle name="표준 6 3 3 2 3" xfId="6076"/>
    <cellStyle name="표준 6 3 3 2 3 2" xfId="12412"/>
    <cellStyle name="표준 6 3 3 2 3 2 2" xfId="25085"/>
    <cellStyle name="표준 6 3 3 2 3 2 2 2" xfId="50437"/>
    <cellStyle name="표준 6 3 3 2 3 2 3" xfId="37765"/>
    <cellStyle name="표준 6 3 3 2 3 3" xfId="18749"/>
    <cellStyle name="표준 6 3 3 2 3 3 2" xfId="44101"/>
    <cellStyle name="표준 6 3 3 2 3 4" xfId="31429"/>
    <cellStyle name="표준 6 3 3 2 3 5" xfId="56481"/>
    <cellStyle name="표준 6 3 3 2 4" xfId="9252"/>
    <cellStyle name="표준 6 3 3 2 4 2" xfId="21925"/>
    <cellStyle name="표준 6 3 3 2 4 2 2" xfId="47277"/>
    <cellStyle name="표준 6 3 3 2 4 3" xfId="34605"/>
    <cellStyle name="표준 6 3 3 2 5" xfId="15589"/>
    <cellStyle name="표준 6 3 3 2 5 2" xfId="40941"/>
    <cellStyle name="표준 6 3 3 2 6" xfId="28269"/>
    <cellStyle name="표준 6 3 3 2 7" xfId="56482"/>
    <cellStyle name="표준 6 3 3 20" xfId="2917"/>
    <cellStyle name="표준 6 3 3 20 2" xfId="2918"/>
    <cellStyle name="표준 6 3 3 20 2 2" xfId="6077"/>
    <cellStyle name="표준 6 3 3 20 2 2 2" xfId="12413"/>
    <cellStyle name="표준 6 3 3 20 2 2 2 2" xfId="25086"/>
    <cellStyle name="표준 6 3 3 20 2 2 2 2 2" xfId="50438"/>
    <cellStyle name="표준 6 3 3 20 2 2 2 3" xfId="37766"/>
    <cellStyle name="표준 6 3 3 20 2 2 3" xfId="18750"/>
    <cellStyle name="표준 6 3 3 20 2 2 3 2" xfId="44102"/>
    <cellStyle name="표준 6 3 3 20 2 2 4" xfId="31430"/>
    <cellStyle name="표준 6 3 3 20 2 2 5" xfId="56483"/>
    <cellStyle name="표준 6 3 3 20 2 3" xfId="9255"/>
    <cellStyle name="표준 6 3 3 20 2 3 2" xfId="21928"/>
    <cellStyle name="표준 6 3 3 20 2 3 2 2" xfId="47280"/>
    <cellStyle name="표준 6 3 3 20 2 3 3" xfId="34608"/>
    <cellStyle name="표준 6 3 3 20 2 4" xfId="15592"/>
    <cellStyle name="표준 6 3 3 20 2 4 2" xfId="40944"/>
    <cellStyle name="표준 6 3 3 20 2 5" xfId="28272"/>
    <cellStyle name="표준 6 3 3 20 2 6" xfId="56484"/>
    <cellStyle name="표준 6 3 3 20 3" xfId="6078"/>
    <cellStyle name="표준 6 3 3 20 3 2" xfId="12414"/>
    <cellStyle name="표준 6 3 3 20 3 2 2" xfId="25087"/>
    <cellStyle name="표준 6 3 3 20 3 2 2 2" xfId="50439"/>
    <cellStyle name="표준 6 3 3 20 3 2 3" xfId="37767"/>
    <cellStyle name="표준 6 3 3 20 3 3" xfId="18751"/>
    <cellStyle name="표준 6 3 3 20 3 3 2" xfId="44103"/>
    <cellStyle name="표준 6 3 3 20 3 4" xfId="31431"/>
    <cellStyle name="표준 6 3 3 20 3 5" xfId="56485"/>
    <cellStyle name="표준 6 3 3 20 4" xfId="9254"/>
    <cellStyle name="표준 6 3 3 20 4 2" xfId="21927"/>
    <cellStyle name="표준 6 3 3 20 4 2 2" xfId="47279"/>
    <cellStyle name="표준 6 3 3 20 4 3" xfId="34607"/>
    <cellStyle name="표준 6 3 3 20 5" xfId="15591"/>
    <cellStyle name="표준 6 3 3 20 5 2" xfId="40943"/>
    <cellStyle name="표준 6 3 3 20 6" xfId="28271"/>
    <cellStyle name="표준 6 3 3 20 7" xfId="56486"/>
    <cellStyle name="표준 6 3 3 21" xfId="2919"/>
    <cellStyle name="표준 6 3 3 21 2" xfId="2920"/>
    <cellStyle name="표준 6 3 3 21 2 2" xfId="6079"/>
    <cellStyle name="표준 6 3 3 21 2 2 2" xfId="12415"/>
    <cellStyle name="표준 6 3 3 21 2 2 2 2" xfId="25088"/>
    <cellStyle name="표준 6 3 3 21 2 2 2 2 2" xfId="50440"/>
    <cellStyle name="표준 6 3 3 21 2 2 2 3" xfId="37768"/>
    <cellStyle name="표준 6 3 3 21 2 2 3" xfId="18752"/>
    <cellStyle name="표준 6 3 3 21 2 2 3 2" xfId="44104"/>
    <cellStyle name="표준 6 3 3 21 2 2 4" xfId="31432"/>
    <cellStyle name="표준 6 3 3 21 2 2 5" xfId="56487"/>
    <cellStyle name="표준 6 3 3 21 2 3" xfId="9257"/>
    <cellStyle name="표준 6 3 3 21 2 3 2" xfId="21930"/>
    <cellStyle name="표준 6 3 3 21 2 3 2 2" xfId="47282"/>
    <cellStyle name="표준 6 3 3 21 2 3 3" xfId="34610"/>
    <cellStyle name="표준 6 3 3 21 2 4" xfId="15594"/>
    <cellStyle name="표준 6 3 3 21 2 4 2" xfId="40946"/>
    <cellStyle name="표준 6 3 3 21 2 5" xfId="28274"/>
    <cellStyle name="표준 6 3 3 21 2 6" xfId="56488"/>
    <cellStyle name="표준 6 3 3 21 3" xfId="6080"/>
    <cellStyle name="표준 6 3 3 21 3 2" xfId="12416"/>
    <cellStyle name="표준 6 3 3 21 3 2 2" xfId="25089"/>
    <cellStyle name="표준 6 3 3 21 3 2 2 2" xfId="50441"/>
    <cellStyle name="표준 6 3 3 21 3 2 3" xfId="37769"/>
    <cellStyle name="표준 6 3 3 21 3 3" xfId="18753"/>
    <cellStyle name="표준 6 3 3 21 3 3 2" xfId="44105"/>
    <cellStyle name="표준 6 3 3 21 3 4" xfId="31433"/>
    <cellStyle name="표준 6 3 3 21 3 5" xfId="56489"/>
    <cellStyle name="표준 6 3 3 21 4" xfId="9256"/>
    <cellStyle name="표준 6 3 3 21 4 2" xfId="21929"/>
    <cellStyle name="표준 6 3 3 21 4 2 2" xfId="47281"/>
    <cellStyle name="표준 6 3 3 21 4 3" xfId="34609"/>
    <cellStyle name="표준 6 3 3 21 5" xfId="15593"/>
    <cellStyle name="표준 6 3 3 21 5 2" xfId="40945"/>
    <cellStyle name="표준 6 3 3 21 6" xfId="28273"/>
    <cellStyle name="표준 6 3 3 21 7" xfId="56490"/>
    <cellStyle name="표준 6 3 3 22" xfId="2921"/>
    <cellStyle name="표준 6 3 3 22 2" xfId="2922"/>
    <cellStyle name="표준 6 3 3 22 2 2" xfId="6081"/>
    <cellStyle name="표준 6 3 3 22 2 2 2" xfId="12417"/>
    <cellStyle name="표준 6 3 3 22 2 2 2 2" xfId="25090"/>
    <cellStyle name="표준 6 3 3 22 2 2 2 2 2" xfId="50442"/>
    <cellStyle name="표준 6 3 3 22 2 2 2 3" xfId="37770"/>
    <cellStyle name="표준 6 3 3 22 2 2 3" xfId="18754"/>
    <cellStyle name="표준 6 3 3 22 2 2 3 2" xfId="44106"/>
    <cellStyle name="표준 6 3 3 22 2 2 4" xfId="31434"/>
    <cellStyle name="표준 6 3 3 22 2 2 5" xfId="56491"/>
    <cellStyle name="표준 6 3 3 22 2 3" xfId="9259"/>
    <cellStyle name="표준 6 3 3 22 2 3 2" xfId="21932"/>
    <cellStyle name="표준 6 3 3 22 2 3 2 2" xfId="47284"/>
    <cellStyle name="표준 6 3 3 22 2 3 3" xfId="34612"/>
    <cellStyle name="표준 6 3 3 22 2 4" xfId="15596"/>
    <cellStyle name="표준 6 3 3 22 2 4 2" xfId="40948"/>
    <cellStyle name="표준 6 3 3 22 2 5" xfId="28276"/>
    <cellStyle name="표준 6 3 3 22 2 6" xfId="56492"/>
    <cellStyle name="표준 6 3 3 22 3" xfId="6082"/>
    <cellStyle name="표준 6 3 3 22 3 2" xfId="12418"/>
    <cellStyle name="표준 6 3 3 22 3 2 2" xfId="25091"/>
    <cellStyle name="표준 6 3 3 22 3 2 2 2" xfId="50443"/>
    <cellStyle name="표준 6 3 3 22 3 2 3" xfId="37771"/>
    <cellStyle name="표준 6 3 3 22 3 3" xfId="18755"/>
    <cellStyle name="표준 6 3 3 22 3 3 2" xfId="44107"/>
    <cellStyle name="표준 6 3 3 22 3 4" xfId="31435"/>
    <cellStyle name="표준 6 3 3 22 3 5" xfId="56493"/>
    <cellStyle name="표준 6 3 3 22 4" xfId="9258"/>
    <cellStyle name="표준 6 3 3 22 4 2" xfId="21931"/>
    <cellStyle name="표준 6 3 3 22 4 2 2" xfId="47283"/>
    <cellStyle name="표준 6 3 3 22 4 3" xfId="34611"/>
    <cellStyle name="표준 6 3 3 22 5" xfId="15595"/>
    <cellStyle name="표준 6 3 3 22 5 2" xfId="40947"/>
    <cellStyle name="표준 6 3 3 22 6" xfId="28275"/>
    <cellStyle name="표준 6 3 3 22 7" xfId="56494"/>
    <cellStyle name="표준 6 3 3 23" xfId="2923"/>
    <cellStyle name="표준 6 3 3 23 2" xfId="2924"/>
    <cellStyle name="표준 6 3 3 23 2 2" xfId="6083"/>
    <cellStyle name="표준 6 3 3 23 2 2 2" xfId="12419"/>
    <cellStyle name="표준 6 3 3 23 2 2 2 2" xfId="25092"/>
    <cellStyle name="표준 6 3 3 23 2 2 2 2 2" xfId="50444"/>
    <cellStyle name="표준 6 3 3 23 2 2 2 3" xfId="37772"/>
    <cellStyle name="표준 6 3 3 23 2 2 3" xfId="18756"/>
    <cellStyle name="표준 6 3 3 23 2 2 3 2" xfId="44108"/>
    <cellStyle name="표준 6 3 3 23 2 2 4" xfId="31436"/>
    <cellStyle name="표준 6 3 3 23 2 2 5" xfId="56495"/>
    <cellStyle name="표준 6 3 3 23 2 3" xfId="9261"/>
    <cellStyle name="표준 6 3 3 23 2 3 2" xfId="21934"/>
    <cellStyle name="표준 6 3 3 23 2 3 2 2" xfId="47286"/>
    <cellStyle name="표준 6 3 3 23 2 3 3" xfId="34614"/>
    <cellStyle name="표준 6 3 3 23 2 4" xfId="15598"/>
    <cellStyle name="표준 6 3 3 23 2 4 2" xfId="40950"/>
    <cellStyle name="표준 6 3 3 23 2 5" xfId="28278"/>
    <cellStyle name="표준 6 3 3 23 2 6" xfId="56496"/>
    <cellStyle name="표준 6 3 3 23 3" xfId="6084"/>
    <cellStyle name="표준 6 3 3 23 3 2" xfId="12420"/>
    <cellStyle name="표준 6 3 3 23 3 2 2" xfId="25093"/>
    <cellStyle name="표준 6 3 3 23 3 2 2 2" xfId="50445"/>
    <cellStyle name="표준 6 3 3 23 3 2 3" xfId="37773"/>
    <cellStyle name="표준 6 3 3 23 3 3" xfId="18757"/>
    <cellStyle name="표준 6 3 3 23 3 3 2" xfId="44109"/>
    <cellStyle name="표준 6 3 3 23 3 4" xfId="31437"/>
    <cellStyle name="표준 6 3 3 23 3 5" xfId="56497"/>
    <cellStyle name="표준 6 3 3 23 4" xfId="9260"/>
    <cellStyle name="표준 6 3 3 23 4 2" xfId="21933"/>
    <cellStyle name="표준 6 3 3 23 4 2 2" xfId="47285"/>
    <cellStyle name="표준 6 3 3 23 4 3" xfId="34613"/>
    <cellStyle name="표준 6 3 3 23 5" xfId="15597"/>
    <cellStyle name="표준 6 3 3 23 5 2" xfId="40949"/>
    <cellStyle name="표준 6 3 3 23 6" xfId="28277"/>
    <cellStyle name="표준 6 3 3 23 7" xfId="56498"/>
    <cellStyle name="표준 6 3 3 24" xfId="2925"/>
    <cellStyle name="표준 6 3 3 24 2" xfId="2926"/>
    <cellStyle name="표준 6 3 3 24 2 2" xfId="6085"/>
    <cellStyle name="표준 6 3 3 24 2 2 2" xfId="12421"/>
    <cellStyle name="표준 6 3 3 24 2 2 2 2" xfId="25094"/>
    <cellStyle name="표준 6 3 3 24 2 2 2 2 2" xfId="50446"/>
    <cellStyle name="표준 6 3 3 24 2 2 2 3" xfId="37774"/>
    <cellStyle name="표준 6 3 3 24 2 2 3" xfId="18758"/>
    <cellStyle name="표준 6 3 3 24 2 2 3 2" xfId="44110"/>
    <cellStyle name="표준 6 3 3 24 2 2 4" xfId="31438"/>
    <cellStyle name="표준 6 3 3 24 2 2 5" xfId="56499"/>
    <cellStyle name="표준 6 3 3 24 2 3" xfId="9263"/>
    <cellStyle name="표준 6 3 3 24 2 3 2" xfId="21936"/>
    <cellStyle name="표준 6 3 3 24 2 3 2 2" xfId="47288"/>
    <cellStyle name="표준 6 3 3 24 2 3 3" xfId="34616"/>
    <cellStyle name="표준 6 3 3 24 2 4" xfId="15600"/>
    <cellStyle name="표준 6 3 3 24 2 4 2" xfId="40952"/>
    <cellStyle name="표준 6 3 3 24 2 5" xfId="28280"/>
    <cellStyle name="표준 6 3 3 24 2 6" xfId="56500"/>
    <cellStyle name="표준 6 3 3 24 3" xfId="6086"/>
    <cellStyle name="표준 6 3 3 24 3 2" xfId="12422"/>
    <cellStyle name="표준 6 3 3 24 3 2 2" xfId="25095"/>
    <cellStyle name="표준 6 3 3 24 3 2 2 2" xfId="50447"/>
    <cellStyle name="표준 6 3 3 24 3 2 3" xfId="37775"/>
    <cellStyle name="표준 6 3 3 24 3 3" xfId="18759"/>
    <cellStyle name="표준 6 3 3 24 3 3 2" xfId="44111"/>
    <cellStyle name="표준 6 3 3 24 3 4" xfId="31439"/>
    <cellStyle name="표준 6 3 3 24 3 5" xfId="56501"/>
    <cellStyle name="표준 6 3 3 24 4" xfId="9262"/>
    <cellStyle name="표준 6 3 3 24 4 2" xfId="21935"/>
    <cellStyle name="표준 6 3 3 24 4 2 2" xfId="47287"/>
    <cellStyle name="표준 6 3 3 24 4 3" xfId="34615"/>
    <cellStyle name="표준 6 3 3 24 5" xfId="15599"/>
    <cellStyle name="표준 6 3 3 24 5 2" xfId="40951"/>
    <cellStyle name="표준 6 3 3 24 6" xfId="28279"/>
    <cellStyle name="표준 6 3 3 24 7" xfId="56502"/>
    <cellStyle name="표준 6 3 3 25" xfId="2927"/>
    <cellStyle name="표준 6 3 3 25 2" xfId="2928"/>
    <cellStyle name="표준 6 3 3 25 2 2" xfId="6087"/>
    <cellStyle name="표준 6 3 3 25 2 2 2" xfId="12423"/>
    <cellStyle name="표준 6 3 3 25 2 2 2 2" xfId="25096"/>
    <cellStyle name="표준 6 3 3 25 2 2 2 2 2" xfId="50448"/>
    <cellStyle name="표준 6 3 3 25 2 2 2 3" xfId="37776"/>
    <cellStyle name="표준 6 3 3 25 2 2 3" xfId="18760"/>
    <cellStyle name="표준 6 3 3 25 2 2 3 2" xfId="44112"/>
    <cellStyle name="표준 6 3 3 25 2 2 4" xfId="31440"/>
    <cellStyle name="표준 6 3 3 25 2 2 5" xfId="56503"/>
    <cellStyle name="표준 6 3 3 25 2 3" xfId="9265"/>
    <cellStyle name="표준 6 3 3 25 2 3 2" xfId="21938"/>
    <cellStyle name="표준 6 3 3 25 2 3 2 2" xfId="47290"/>
    <cellStyle name="표준 6 3 3 25 2 3 3" xfId="34618"/>
    <cellStyle name="표준 6 3 3 25 2 4" xfId="15602"/>
    <cellStyle name="표준 6 3 3 25 2 4 2" xfId="40954"/>
    <cellStyle name="표준 6 3 3 25 2 5" xfId="28282"/>
    <cellStyle name="표준 6 3 3 25 2 6" xfId="56504"/>
    <cellStyle name="표준 6 3 3 25 3" xfId="6088"/>
    <cellStyle name="표준 6 3 3 25 3 2" xfId="12424"/>
    <cellStyle name="표준 6 3 3 25 3 2 2" xfId="25097"/>
    <cellStyle name="표준 6 3 3 25 3 2 2 2" xfId="50449"/>
    <cellStyle name="표준 6 3 3 25 3 2 3" xfId="37777"/>
    <cellStyle name="표준 6 3 3 25 3 3" xfId="18761"/>
    <cellStyle name="표준 6 3 3 25 3 3 2" xfId="44113"/>
    <cellStyle name="표준 6 3 3 25 3 4" xfId="31441"/>
    <cellStyle name="표준 6 3 3 25 3 5" xfId="56505"/>
    <cellStyle name="표준 6 3 3 25 4" xfId="9264"/>
    <cellStyle name="표준 6 3 3 25 4 2" xfId="21937"/>
    <cellStyle name="표준 6 3 3 25 4 2 2" xfId="47289"/>
    <cellStyle name="표준 6 3 3 25 4 3" xfId="34617"/>
    <cellStyle name="표준 6 3 3 25 5" xfId="15601"/>
    <cellStyle name="표준 6 3 3 25 5 2" xfId="40953"/>
    <cellStyle name="표준 6 3 3 25 6" xfId="28281"/>
    <cellStyle name="표준 6 3 3 25 7" xfId="56506"/>
    <cellStyle name="표준 6 3 3 26" xfId="2929"/>
    <cellStyle name="표준 6 3 3 26 2" xfId="2930"/>
    <cellStyle name="표준 6 3 3 26 2 2" xfId="6089"/>
    <cellStyle name="표준 6 3 3 26 2 2 2" xfId="12425"/>
    <cellStyle name="표준 6 3 3 26 2 2 2 2" xfId="25098"/>
    <cellStyle name="표준 6 3 3 26 2 2 2 2 2" xfId="50450"/>
    <cellStyle name="표준 6 3 3 26 2 2 2 3" xfId="37778"/>
    <cellStyle name="표준 6 3 3 26 2 2 3" xfId="18762"/>
    <cellStyle name="표준 6 3 3 26 2 2 3 2" xfId="44114"/>
    <cellStyle name="표준 6 3 3 26 2 2 4" xfId="31442"/>
    <cellStyle name="표준 6 3 3 26 2 2 5" xfId="56507"/>
    <cellStyle name="표준 6 3 3 26 2 3" xfId="9267"/>
    <cellStyle name="표준 6 3 3 26 2 3 2" xfId="21940"/>
    <cellStyle name="표준 6 3 3 26 2 3 2 2" xfId="47292"/>
    <cellStyle name="표준 6 3 3 26 2 3 3" xfId="34620"/>
    <cellStyle name="표준 6 3 3 26 2 4" xfId="15604"/>
    <cellStyle name="표준 6 3 3 26 2 4 2" xfId="40956"/>
    <cellStyle name="표준 6 3 3 26 2 5" xfId="28284"/>
    <cellStyle name="표준 6 3 3 26 2 6" xfId="56508"/>
    <cellStyle name="표준 6 3 3 26 3" xfId="6090"/>
    <cellStyle name="표준 6 3 3 26 3 2" xfId="12426"/>
    <cellStyle name="표준 6 3 3 26 3 2 2" xfId="25099"/>
    <cellStyle name="표준 6 3 3 26 3 2 2 2" xfId="50451"/>
    <cellStyle name="표준 6 3 3 26 3 2 3" xfId="37779"/>
    <cellStyle name="표준 6 3 3 26 3 3" xfId="18763"/>
    <cellStyle name="표준 6 3 3 26 3 3 2" xfId="44115"/>
    <cellStyle name="표준 6 3 3 26 3 4" xfId="31443"/>
    <cellStyle name="표준 6 3 3 26 3 5" xfId="56509"/>
    <cellStyle name="표준 6 3 3 26 4" xfId="9266"/>
    <cellStyle name="표준 6 3 3 26 4 2" xfId="21939"/>
    <cellStyle name="표준 6 3 3 26 4 2 2" xfId="47291"/>
    <cellStyle name="표준 6 3 3 26 4 3" xfId="34619"/>
    <cellStyle name="표준 6 3 3 26 5" xfId="15603"/>
    <cellStyle name="표준 6 3 3 26 5 2" xfId="40955"/>
    <cellStyle name="표준 6 3 3 26 6" xfId="28283"/>
    <cellStyle name="표준 6 3 3 26 7" xfId="56510"/>
    <cellStyle name="표준 6 3 3 27" xfId="2931"/>
    <cellStyle name="표준 6 3 3 27 2" xfId="2932"/>
    <cellStyle name="표준 6 3 3 27 2 2" xfId="6091"/>
    <cellStyle name="표준 6 3 3 27 2 2 2" xfId="12427"/>
    <cellStyle name="표준 6 3 3 27 2 2 2 2" xfId="25100"/>
    <cellStyle name="표준 6 3 3 27 2 2 2 2 2" xfId="50452"/>
    <cellStyle name="표준 6 3 3 27 2 2 2 3" xfId="37780"/>
    <cellStyle name="표준 6 3 3 27 2 2 3" xfId="18764"/>
    <cellStyle name="표준 6 3 3 27 2 2 3 2" xfId="44116"/>
    <cellStyle name="표준 6 3 3 27 2 2 4" xfId="31444"/>
    <cellStyle name="표준 6 3 3 27 2 2 5" xfId="56511"/>
    <cellStyle name="표준 6 3 3 27 2 3" xfId="9269"/>
    <cellStyle name="표준 6 3 3 27 2 3 2" xfId="21942"/>
    <cellStyle name="표준 6 3 3 27 2 3 2 2" xfId="47294"/>
    <cellStyle name="표준 6 3 3 27 2 3 3" xfId="34622"/>
    <cellStyle name="표준 6 3 3 27 2 4" xfId="15606"/>
    <cellStyle name="표준 6 3 3 27 2 4 2" xfId="40958"/>
    <cellStyle name="표준 6 3 3 27 2 5" xfId="28286"/>
    <cellStyle name="표준 6 3 3 27 2 6" xfId="56512"/>
    <cellStyle name="표준 6 3 3 27 3" xfId="6092"/>
    <cellStyle name="표준 6 3 3 27 3 2" xfId="12428"/>
    <cellStyle name="표준 6 3 3 27 3 2 2" xfId="25101"/>
    <cellStyle name="표준 6 3 3 27 3 2 2 2" xfId="50453"/>
    <cellStyle name="표준 6 3 3 27 3 2 3" xfId="37781"/>
    <cellStyle name="표준 6 3 3 27 3 3" xfId="18765"/>
    <cellStyle name="표준 6 3 3 27 3 3 2" xfId="44117"/>
    <cellStyle name="표준 6 3 3 27 3 4" xfId="31445"/>
    <cellStyle name="표준 6 3 3 27 3 5" xfId="56513"/>
    <cellStyle name="표준 6 3 3 27 4" xfId="9268"/>
    <cellStyle name="표준 6 3 3 27 4 2" xfId="21941"/>
    <cellStyle name="표준 6 3 3 27 4 2 2" xfId="47293"/>
    <cellStyle name="표준 6 3 3 27 4 3" xfId="34621"/>
    <cellStyle name="표준 6 3 3 27 5" xfId="15605"/>
    <cellStyle name="표준 6 3 3 27 5 2" xfId="40957"/>
    <cellStyle name="표준 6 3 3 27 6" xfId="28285"/>
    <cellStyle name="표준 6 3 3 27 7" xfId="56514"/>
    <cellStyle name="표준 6 3 3 28" xfId="2933"/>
    <cellStyle name="표준 6 3 3 28 2" xfId="2934"/>
    <cellStyle name="표준 6 3 3 28 2 2" xfId="6093"/>
    <cellStyle name="표준 6 3 3 28 2 2 2" xfId="12429"/>
    <cellStyle name="표준 6 3 3 28 2 2 2 2" xfId="25102"/>
    <cellStyle name="표준 6 3 3 28 2 2 2 2 2" xfId="50454"/>
    <cellStyle name="표준 6 3 3 28 2 2 2 3" xfId="37782"/>
    <cellStyle name="표준 6 3 3 28 2 2 3" xfId="18766"/>
    <cellStyle name="표준 6 3 3 28 2 2 3 2" xfId="44118"/>
    <cellStyle name="표준 6 3 3 28 2 2 4" xfId="31446"/>
    <cellStyle name="표준 6 3 3 28 2 2 5" xfId="56515"/>
    <cellStyle name="표준 6 3 3 28 2 3" xfId="9271"/>
    <cellStyle name="표준 6 3 3 28 2 3 2" xfId="21944"/>
    <cellStyle name="표준 6 3 3 28 2 3 2 2" xfId="47296"/>
    <cellStyle name="표준 6 3 3 28 2 3 3" xfId="34624"/>
    <cellStyle name="표준 6 3 3 28 2 4" xfId="15608"/>
    <cellStyle name="표준 6 3 3 28 2 4 2" xfId="40960"/>
    <cellStyle name="표준 6 3 3 28 2 5" xfId="28288"/>
    <cellStyle name="표준 6 3 3 28 2 6" xfId="56516"/>
    <cellStyle name="표준 6 3 3 28 3" xfId="6094"/>
    <cellStyle name="표준 6 3 3 28 3 2" xfId="12430"/>
    <cellStyle name="표준 6 3 3 28 3 2 2" xfId="25103"/>
    <cellStyle name="표준 6 3 3 28 3 2 2 2" xfId="50455"/>
    <cellStyle name="표준 6 3 3 28 3 2 3" xfId="37783"/>
    <cellStyle name="표준 6 3 3 28 3 3" xfId="18767"/>
    <cellStyle name="표준 6 3 3 28 3 3 2" xfId="44119"/>
    <cellStyle name="표준 6 3 3 28 3 4" xfId="31447"/>
    <cellStyle name="표준 6 3 3 28 3 5" xfId="56517"/>
    <cellStyle name="표준 6 3 3 28 4" xfId="9270"/>
    <cellStyle name="표준 6 3 3 28 4 2" xfId="21943"/>
    <cellStyle name="표준 6 3 3 28 4 2 2" xfId="47295"/>
    <cellStyle name="표준 6 3 3 28 4 3" xfId="34623"/>
    <cellStyle name="표준 6 3 3 28 5" xfId="15607"/>
    <cellStyle name="표준 6 3 3 28 5 2" xfId="40959"/>
    <cellStyle name="표준 6 3 3 28 6" xfId="28287"/>
    <cellStyle name="표준 6 3 3 28 7" xfId="56518"/>
    <cellStyle name="표준 6 3 3 29" xfId="2935"/>
    <cellStyle name="표준 6 3 3 29 2" xfId="2936"/>
    <cellStyle name="표준 6 3 3 29 2 2" xfId="6095"/>
    <cellStyle name="표준 6 3 3 29 2 2 2" xfId="12431"/>
    <cellStyle name="표준 6 3 3 29 2 2 2 2" xfId="25104"/>
    <cellStyle name="표준 6 3 3 29 2 2 2 2 2" xfId="50456"/>
    <cellStyle name="표준 6 3 3 29 2 2 2 3" xfId="37784"/>
    <cellStyle name="표준 6 3 3 29 2 2 3" xfId="18768"/>
    <cellStyle name="표준 6 3 3 29 2 2 3 2" xfId="44120"/>
    <cellStyle name="표준 6 3 3 29 2 2 4" xfId="31448"/>
    <cellStyle name="표준 6 3 3 29 2 2 5" xfId="56519"/>
    <cellStyle name="표준 6 3 3 29 2 3" xfId="9273"/>
    <cellStyle name="표준 6 3 3 29 2 3 2" xfId="21946"/>
    <cellStyle name="표준 6 3 3 29 2 3 2 2" xfId="47298"/>
    <cellStyle name="표준 6 3 3 29 2 3 3" xfId="34626"/>
    <cellStyle name="표준 6 3 3 29 2 4" xfId="15610"/>
    <cellStyle name="표준 6 3 3 29 2 4 2" xfId="40962"/>
    <cellStyle name="표준 6 3 3 29 2 5" xfId="28290"/>
    <cellStyle name="표준 6 3 3 29 2 6" xfId="56520"/>
    <cellStyle name="표준 6 3 3 29 3" xfId="6096"/>
    <cellStyle name="표준 6 3 3 29 3 2" xfId="12432"/>
    <cellStyle name="표준 6 3 3 29 3 2 2" xfId="25105"/>
    <cellStyle name="표준 6 3 3 29 3 2 2 2" xfId="50457"/>
    <cellStyle name="표준 6 3 3 29 3 2 3" xfId="37785"/>
    <cellStyle name="표준 6 3 3 29 3 3" xfId="18769"/>
    <cellStyle name="표준 6 3 3 29 3 3 2" xfId="44121"/>
    <cellStyle name="표준 6 3 3 29 3 4" xfId="31449"/>
    <cellStyle name="표준 6 3 3 29 3 5" xfId="56521"/>
    <cellStyle name="표준 6 3 3 29 4" xfId="9272"/>
    <cellStyle name="표준 6 3 3 29 4 2" xfId="21945"/>
    <cellStyle name="표준 6 3 3 29 4 2 2" xfId="47297"/>
    <cellStyle name="표준 6 3 3 29 4 3" xfId="34625"/>
    <cellStyle name="표준 6 3 3 29 5" xfId="15609"/>
    <cellStyle name="표준 6 3 3 29 5 2" xfId="40961"/>
    <cellStyle name="표준 6 3 3 29 6" xfId="28289"/>
    <cellStyle name="표준 6 3 3 29 7" xfId="56522"/>
    <cellStyle name="표준 6 3 3 3" xfId="2937"/>
    <cellStyle name="표준 6 3 3 3 2" xfId="2938"/>
    <cellStyle name="표준 6 3 3 3 2 2" xfId="6097"/>
    <cellStyle name="표준 6 3 3 3 2 2 2" xfId="12433"/>
    <cellStyle name="표준 6 3 3 3 2 2 2 2" xfId="25106"/>
    <cellStyle name="표준 6 3 3 3 2 2 2 2 2" xfId="50458"/>
    <cellStyle name="표준 6 3 3 3 2 2 2 3" xfId="37786"/>
    <cellStyle name="표준 6 3 3 3 2 2 3" xfId="18770"/>
    <cellStyle name="표준 6 3 3 3 2 2 3 2" xfId="44122"/>
    <cellStyle name="표준 6 3 3 3 2 2 4" xfId="31450"/>
    <cellStyle name="표준 6 3 3 3 2 2 5" xfId="56523"/>
    <cellStyle name="표준 6 3 3 3 2 3" xfId="9275"/>
    <cellStyle name="표준 6 3 3 3 2 3 2" xfId="21948"/>
    <cellStyle name="표준 6 3 3 3 2 3 2 2" xfId="47300"/>
    <cellStyle name="표준 6 3 3 3 2 3 3" xfId="34628"/>
    <cellStyle name="표준 6 3 3 3 2 4" xfId="15612"/>
    <cellStyle name="표준 6 3 3 3 2 4 2" xfId="40964"/>
    <cellStyle name="표준 6 3 3 3 2 5" xfId="28292"/>
    <cellStyle name="표준 6 3 3 3 2 6" xfId="56524"/>
    <cellStyle name="표준 6 3 3 3 3" xfId="6098"/>
    <cellStyle name="표준 6 3 3 3 3 2" xfId="12434"/>
    <cellStyle name="표준 6 3 3 3 3 2 2" xfId="25107"/>
    <cellStyle name="표준 6 3 3 3 3 2 2 2" xfId="50459"/>
    <cellStyle name="표준 6 3 3 3 3 2 3" xfId="37787"/>
    <cellStyle name="표준 6 3 3 3 3 3" xfId="18771"/>
    <cellStyle name="표준 6 3 3 3 3 3 2" xfId="44123"/>
    <cellStyle name="표준 6 3 3 3 3 4" xfId="31451"/>
    <cellStyle name="표준 6 3 3 3 3 5" xfId="56525"/>
    <cellStyle name="표준 6 3 3 3 4" xfId="9274"/>
    <cellStyle name="표준 6 3 3 3 4 2" xfId="21947"/>
    <cellStyle name="표준 6 3 3 3 4 2 2" xfId="47299"/>
    <cellStyle name="표준 6 3 3 3 4 3" xfId="34627"/>
    <cellStyle name="표준 6 3 3 3 5" xfId="15611"/>
    <cellStyle name="표준 6 3 3 3 5 2" xfId="40963"/>
    <cellStyle name="표준 6 3 3 3 6" xfId="28291"/>
    <cellStyle name="표준 6 3 3 3 7" xfId="56526"/>
    <cellStyle name="표준 6 3 3 30" xfId="2939"/>
    <cellStyle name="표준 6 3 3 30 2" xfId="2940"/>
    <cellStyle name="표준 6 3 3 30 2 2" xfId="6099"/>
    <cellStyle name="표준 6 3 3 30 2 2 2" xfId="12435"/>
    <cellStyle name="표준 6 3 3 30 2 2 2 2" xfId="25108"/>
    <cellStyle name="표준 6 3 3 30 2 2 2 2 2" xfId="50460"/>
    <cellStyle name="표준 6 3 3 30 2 2 2 3" xfId="37788"/>
    <cellStyle name="표준 6 3 3 30 2 2 3" xfId="18772"/>
    <cellStyle name="표준 6 3 3 30 2 2 3 2" xfId="44124"/>
    <cellStyle name="표준 6 3 3 30 2 2 4" xfId="31452"/>
    <cellStyle name="표준 6 3 3 30 2 2 5" xfId="56527"/>
    <cellStyle name="표준 6 3 3 30 2 3" xfId="9277"/>
    <cellStyle name="표준 6 3 3 30 2 3 2" xfId="21950"/>
    <cellStyle name="표준 6 3 3 30 2 3 2 2" xfId="47302"/>
    <cellStyle name="표준 6 3 3 30 2 3 3" xfId="34630"/>
    <cellStyle name="표준 6 3 3 30 2 4" xfId="15614"/>
    <cellStyle name="표준 6 3 3 30 2 4 2" xfId="40966"/>
    <cellStyle name="표준 6 3 3 30 2 5" xfId="28294"/>
    <cellStyle name="표준 6 3 3 30 2 6" xfId="56528"/>
    <cellStyle name="표준 6 3 3 30 3" xfId="6100"/>
    <cellStyle name="표준 6 3 3 30 3 2" xfId="12436"/>
    <cellStyle name="표준 6 3 3 30 3 2 2" xfId="25109"/>
    <cellStyle name="표준 6 3 3 30 3 2 2 2" xfId="50461"/>
    <cellStyle name="표준 6 3 3 30 3 2 3" xfId="37789"/>
    <cellStyle name="표준 6 3 3 30 3 3" xfId="18773"/>
    <cellStyle name="표준 6 3 3 30 3 3 2" xfId="44125"/>
    <cellStyle name="표준 6 3 3 30 3 4" xfId="31453"/>
    <cellStyle name="표준 6 3 3 30 3 5" xfId="56529"/>
    <cellStyle name="표준 6 3 3 30 4" xfId="9276"/>
    <cellStyle name="표준 6 3 3 30 4 2" xfId="21949"/>
    <cellStyle name="표준 6 3 3 30 4 2 2" xfId="47301"/>
    <cellStyle name="표준 6 3 3 30 4 3" xfId="34629"/>
    <cellStyle name="표준 6 3 3 30 5" xfId="15613"/>
    <cellStyle name="표준 6 3 3 30 5 2" xfId="40965"/>
    <cellStyle name="표준 6 3 3 30 6" xfId="28293"/>
    <cellStyle name="표준 6 3 3 30 7" xfId="56530"/>
    <cellStyle name="표준 6 3 3 31" xfId="2941"/>
    <cellStyle name="표준 6 3 3 31 2" xfId="2942"/>
    <cellStyle name="표준 6 3 3 31 2 2" xfId="6101"/>
    <cellStyle name="표준 6 3 3 31 2 2 2" xfId="12437"/>
    <cellStyle name="표준 6 3 3 31 2 2 2 2" xfId="25110"/>
    <cellStyle name="표준 6 3 3 31 2 2 2 2 2" xfId="50462"/>
    <cellStyle name="표준 6 3 3 31 2 2 2 3" xfId="37790"/>
    <cellStyle name="표준 6 3 3 31 2 2 3" xfId="18774"/>
    <cellStyle name="표준 6 3 3 31 2 2 3 2" xfId="44126"/>
    <cellStyle name="표준 6 3 3 31 2 2 4" xfId="31454"/>
    <cellStyle name="표준 6 3 3 31 2 2 5" xfId="56531"/>
    <cellStyle name="표준 6 3 3 31 2 3" xfId="9279"/>
    <cellStyle name="표준 6 3 3 31 2 3 2" xfId="21952"/>
    <cellStyle name="표준 6 3 3 31 2 3 2 2" xfId="47304"/>
    <cellStyle name="표준 6 3 3 31 2 3 3" xfId="34632"/>
    <cellStyle name="표준 6 3 3 31 2 4" xfId="15616"/>
    <cellStyle name="표준 6 3 3 31 2 4 2" xfId="40968"/>
    <cellStyle name="표준 6 3 3 31 2 5" xfId="28296"/>
    <cellStyle name="표준 6 3 3 31 2 6" xfId="56532"/>
    <cellStyle name="표준 6 3 3 31 3" xfId="6102"/>
    <cellStyle name="표준 6 3 3 31 3 2" xfId="12438"/>
    <cellStyle name="표준 6 3 3 31 3 2 2" xfId="25111"/>
    <cellStyle name="표준 6 3 3 31 3 2 2 2" xfId="50463"/>
    <cellStyle name="표준 6 3 3 31 3 2 3" xfId="37791"/>
    <cellStyle name="표준 6 3 3 31 3 3" xfId="18775"/>
    <cellStyle name="표준 6 3 3 31 3 3 2" xfId="44127"/>
    <cellStyle name="표준 6 3 3 31 3 4" xfId="31455"/>
    <cellStyle name="표준 6 3 3 31 3 5" xfId="56533"/>
    <cellStyle name="표준 6 3 3 31 4" xfId="9278"/>
    <cellStyle name="표준 6 3 3 31 4 2" xfId="21951"/>
    <cellStyle name="표준 6 3 3 31 4 2 2" xfId="47303"/>
    <cellStyle name="표준 6 3 3 31 4 3" xfId="34631"/>
    <cellStyle name="표준 6 3 3 31 5" xfId="15615"/>
    <cellStyle name="표준 6 3 3 31 5 2" xfId="40967"/>
    <cellStyle name="표준 6 3 3 31 6" xfId="28295"/>
    <cellStyle name="표준 6 3 3 31 7" xfId="56534"/>
    <cellStyle name="표준 6 3 3 32" xfId="2943"/>
    <cellStyle name="표준 6 3 3 32 2" xfId="2944"/>
    <cellStyle name="표준 6 3 3 32 2 2" xfId="6103"/>
    <cellStyle name="표준 6 3 3 32 2 2 2" xfId="12439"/>
    <cellStyle name="표준 6 3 3 32 2 2 2 2" xfId="25112"/>
    <cellStyle name="표준 6 3 3 32 2 2 2 2 2" xfId="50464"/>
    <cellStyle name="표준 6 3 3 32 2 2 2 3" xfId="37792"/>
    <cellStyle name="표준 6 3 3 32 2 2 3" xfId="18776"/>
    <cellStyle name="표준 6 3 3 32 2 2 3 2" xfId="44128"/>
    <cellStyle name="표준 6 3 3 32 2 2 4" xfId="31456"/>
    <cellStyle name="표준 6 3 3 32 2 2 5" xfId="56535"/>
    <cellStyle name="표준 6 3 3 32 2 3" xfId="9281"/>
    <cellStyle name="표준 6 3 3 32 2 3 2" xfId="21954"/>
    <cellStyle name="표준 6 3 3 32 2 3 2 2" xfId="47306"/>
    <cellStyle name="표준 6 3 3 32 2 3 3" xfId="34634"/>
    <cellStyle name="표준 6 3 3 32 2 4" xfId="15618"/>
    <cellStyle name="표준 6 3 3 32 2 4 2" xfId="40970"/>
    <cellStyle name="표준 6 3 3 32 2 5" xfId="28298"/>
    <cellStyle name="표준 6 3 3 32 2 6" xfId="56536"/>
    <cellStyle name="표준 6 3 3 32 3" xfId="6104"/>
    <cellStyle name="표준 6 3 3 32 3 2" xfId="12440"/>
    <cellStyle name="표준 6 3 3 32 3 2 2" xfId="25113"/>
    <cellStyle name="표준 6 3 3 32 3 2 2 2" xfId="50465"/>
    <cellStyle name="표준 6 3 3 32 3 2 3" xfId="37793"/>
    <cellStyle name="표준 6 3 3 32 3 3" xfId="18777"/>
    <cellStyle name="표준 6 3 3 32 3 3 2" xfId="44129"/>
    <cellStyle name="표준 6 3 3 32 3 4" xfId="31457"/>
    <cellStyle name="표준 6 3 3 32 3 5" xfId="56537"/>
    <cellStyle name="표준 6 3 3 32 4" xfId="9280"/>
    <cellStyle name="표준 6 3 3 32 4 2" xfId="21953"/>
    <cellStyle name="표준 6 3 3 32 4 2 2" xfId="47305"/>
    <cellStyle name="표준 6 3 3 32 4 3" xfId="34633"/>
    <cellStyle name="표준 6 3 3 32 5" xfId="15617"/>
    <cellStyle name="표준 6 3 3 32 5 2" xfId="40969"/>
    <cellStyle name="표준 6 3 3 32 6" xfId="28297"/>
    <cellStyle name="표준 6 3 3 32 7" xfId="56538"/>
    <cellStyle name="표준 6 3 3 33" xfId="2945"/>
    <cellStyle name="표준 6 3 3 33 2" xfId="2946"/>
    <cellStyle name="표준 6 3 3 33 2 2" xfId="6105"/>
    <cellStyle name="표준 6 3 3 33 2 2 2" xfId="12441"/>
    <cellStyle name="표준 6 3 3 33 2 2 2 2" xfId="25114"/>
    <cellStyle name="표준 6 3 3 33 2 2 2 2 2" xfId="50466"/>
    <cellStyle name="표준 6 3 3 33 2 2 2 3" xfId="37794"/>
    <cellStyle name="표준 6 3 3 33 2 2 3" xfId="18778"/>
    <cellStyle name="표준 6 3 3 33 2 2 3 2" xfId="44130"/>
    <cellStyle name="표준 6 3 3 33 2 2 4" xfId="31458"/>
    <cellStyle name="표준 6 3 3 33 2 2 5" xfId="56539"/>
    <cellStyle name="표준 6 3 3 33 2 3" xfId="9283"/>
    <cellStyle name="표준 6 3 3 33 2 3 2" xfId="21956"/>
    <cellStyle name="표준 6 3 3 33 2 3 2 2" xfId="47308"/>
    <cellStyle name="표준 6 3 3 33 2 3 3" xfId="34636"/>
    <cellStyle name="표준 6 3 3 33 2 4" xfId="15620"/>
    <cellStyle name="표준 6 3 3 33 2 4 2" xfId="40972"/>
    <cellStyle name="표준 6 3 3 33 2 5" xfId="28300"/>
    <cellStyle name="표준 6 3 3 33 2 6" xfId="56540"/>
    <cellStyle name="표준 6 3 3 33 3" xfId="6106"/>
    <cellStyle name="표준 6 3 3 33 3 2" xfId="12442"/>
    <cellStyle name="표준 6 3 3 33 3 2 2" xfId="25115"/>
    <cellStyle name="표준 6 3 3 33 3 2 2 2" xfId="50467"/>
    <cellStyle name="표준 6 3 3 33 3 2 3" xfId="37795"/>
    <cellStyle name="표준 6 3 3 33 3 3" xfId="18779"/>
    <cellStyle name="표준 6 3 3 33 3 3 2" xfId="44131"/>
    <cellStyle name="표준 6 3 3 33 3 4" xfId="31459"/>
    <cellStyle name="표준 6 3 3 33 3 5" xfId="56541"/>
    <cellStyle name="표준 6 3 3 33 4" xfId="9282"/>
    <cellStyle name="표준 6 3 3 33 4 2" xfId="21955"/>
    <cellStyle name="표준 6 3 3 33 4 2 2" xfId="47307"/>
    <cellStyle name="표준 6 3 3 33 4 3" xfId="34635"/>
    <cellStyle name="표준 6 3 3 33 5" xfId="15619"/>
    <cellStyle name="표준 6 3 3 33 5 2" xfId="40971"/>
    <cellStyle name="표준 6 3 3 33 6" xfId="28299"/>
    <cellStyle name="표준 6 3 3 33 7" xfId="56542"/>
    <cellStyle name="표준 6 3 3 34" xfId="2947"/>
    <cellStyle name="표준 6 3 3 34 2" xfId="6107"/>
    <cellStyle name="표준 6 3 3 34 2 2" xfId="12443"/>
    <cellStyle name="표준 6 3 3 34 2 2 2" xfId="25116"/>
    <cellStyle name="표준 6 3 3 34 2 2 2 2" xfId="50468"/>
    <cellStyle name="표준 6 3 3 34 2 2 3" xfId="37796"/>
    <cellStyle name="표준 6 3 3 34 2 3" xfId="18780"/>
    <cellStyle name="표준 6 3 3 34 2 3 2" xfId="44132"/>
    <cellStyle name="표준 6 3 3 34 2 4" xfId="31460"/>
    <cellStyle name="표준 6 3 3 34 2 5" xfId="56543"/>
    <cellStyle name="표준 6 3 3 34 3" xfId="9284"/>
    <cellStyle name="표준 6 3 3 34 3 2" xfId="21957"/>
    <cellStyle name="표준 6 3 3 34 3 2 2" xfId="47309"/>
    <cellStyle name="표준 6 3 3 34 3 3" xfId="34637"/>
    <cellStyle name="표준 6 3 3 34 4" xfId="15621"/>
    <cellStyle name="표준 6 3 3 34 4 2" xfId="40973"/>
    <cellStyle name="표준 6 3 3 34 5" xfId="28301"/>
    <cellStyle name="표준 6 3 3 34 6" xfId="56544"/>
    <cellStyle name="표준 6 3 3 35" xfId="6108"/>
    <cellStyle name="표준 6 3 3 35 2" xfId="12444"/>
    <cellStyle name="표준 6 3 3 35 2 2" xfId="25117"/>
    <cellStyle name="표준 6 3 3 35 2 2 2" xfId="50469"/>
    <cellStyle name="표준 6 3 3 35 2 3" xfId="37797"/>
    <cellStyle name="표준 6 3 3 35 3" xfId="18781"/>
    <cellStyle name="표준 6 3 3 35 3 2" xfId="44133"/>
    <cellStyle name="표준 6 3 3 35 4" xfId="31461"/>
    <cellStyle name="표준 6 3 3 35 5" xfId="56545"/>
    <cellStyle name="표준 6 3 3 36" xfId="6437"/>
    <cellStyle name="표준 6 3 3 36 2" xfId="19110"/>
    <cellStyle name="표준 6 3 3 36 2 2" xfId="44462"/>
    <cellStyle name="표준 6 3 3 36 3" xfId="31790"/>
    <cellStyle name="표준 6 3 3 37" xfId="12774"/>
    <cellStyle name="표준 6 3 3 37 2" xfId="38126"/>
    <cellStyle name="표준 6 3 3 38" xfId="25454"/>
    <cellStyle name="표준 6 3 3 39" xfId="56546"/>
    <cellStyle name="표준 6 3 3 4" xfId="2948"/>
    <cellStyle name="표준 6 3 3 4 2" xfId="2949"/>
    <cellStyle name="표준 6 3 3 4 2 2" xfId="6109"/>
    <cellStyle name="표준 6 3 3 4 2 2 2" xfId="12445"/>
    <cellStyle name="표준 6 3 3 4 2 2 2 2" xfId="25118"/>
    <cellStyle name="표준 6 3 3 4 2 2 2 2 2" xfId="50470"/>
    <cellStyle name="표준 6 3 3 4 2 2 2 3" xfId="37798"/>
    <cellStyle name="표준 6 3 3 4 2 2 3" xfId="18782"/>
    <cellStyle name="표준 6 3 3 4 2 2 3 2" xfId="44134"/>
    <cellStyle name="표준 6 3 3 4 2 2 4" xfId="31462"/>
    <cellStyle name="표준 6 3 3 4 2 2 5" xfId="56547"/>
    <cellStyle name="표준 6 3 3 4 2 3" xfId="9286"/>
    <cellStyle name="표준 6 3 3 4 2 3 2" xfId="21959"/>
    <cellStyle name="표준 6 3 3 4 2 3 2 2" xfId="47311"/>
    <cellStyle name="표준 6 3 3 4 2 3 3" xfId="34639"/>
    <cellStyle name="표준 6 3 3 4 2 4" xfId="15623"/>
    <cellStyle name="표준 6 3 3 4 2 4 2" xfId="40975"/>
    <cellStyle name="표준 6 3 3 4 2 5" xfId="28303"/>
    <cellStyle name="표준 6 3 3 4 2 6" xfId="56548"/>
    <cellStyle name="표준 6 3 3 4 3" xfId="6110"/>
    <cellStyle name="표준 6 3 3 4 3 2" xfId="12446"/>
    <cellStyle name="표준 6 3 3 4 3 2 2" xfId="25119"/>
    <cellStyle name="표준 6 3 3 4 3 2 2 2" xfId="50471"/>
    <cellStyle name="표준 6 3 3 4 3 2 3" xfId="37799"/>
    <cellStyle name="표준 6 3 3 4 3 3" xfId="18783"/>
    <cellStyle name="표준 6 3 3 4 3 3 2" xfId="44135"/>
    <cellStyle name="표준 6 3 3 4 3 4" xfId="31463"/>
    <cellStyle name="표준 6 3 3 4 3 5" xfId="56549"/>
    <cellStyle name="표준 6 3 3 4 4" xfId="9285"/>
    <cellStyle name="표준 6 3 3 4 4 2" xfId="21958"/>
    <cellStyle name="표준 6 3 3 4 4 2 2" xfId="47310"/>
    <cellStyle name="표준 6 3 3 4 4 3" xfId="34638"/>
    <cellStyle name="표준 6 3 3 4 5" xfId="15622"/>
    <cellStyle name="표준 6 3 3 4 5 2" xfId="40974"/>
    <cellStyle name="표준 6 3 3 4 6" xfId="28302"/>
    <cellStyle name="표준 6 3 3 4 7" xfId="56550"/>
    <cellStyle name="표준 6 3 3 5" xfId="2950"/>
    <cellStyle name="표준 6 3 3 5 2" xfId="2951"/>
    <cellStyle name="표준 6 3 3 5 2 2" xfId="6111"/>
    <cellStyle name="표준 6 3 3 5 2 2 2" xfId="12447"/>
    <cellStyle name="표준 6 3 3 5 2 2 2 2" xfId="25120"/>
    <cellStyle name="표준 6 3 3 5 2 2 2 2 2" xfId="50472"/>
    <cellStyle name="표준 6 3 3 5 2 2 2 3" xfId="37800"/>
    <cellStyle name="표준 6 3 3 5 2 2 3" xfId="18784"/>
    <cellStyle name="표준 6 3 3 5 2 2 3 2" xfId="44136"/>
    <cellStyle name="표준 6 3 3 5 2 2 4" xfId="31464"/>
    <cellStyle name="표준 6 3 3 5 2 2 5" xfId="56551"/>
    <cellStyle name="표준 6 3 3 5 2 3" xfId="9288"/>
    <cellStyle name="표준 6 3 3 5 2 3 2" xfId="21961"/>
    <cellStyle name="표준 6 3 3 5 2 3 2 2" xfId="47313"/>
    <cellStyle name="표준 6 3 3 5 2 3 3" xfId="34641"/>
    <cellStyle name="표준 6 3 3 5 2 4" xfId="15625"/>
    <cellStyle name="표준 6 3 3 5 2 4 2" xfId="40977"/>
    <cellStyle name="표준 6 3 3 5 2 5" xfId="28305"/>
    <cellStyle name="표준 6 3 3 5 2 6" xfId="56552"/>
    <cellStyle name="표준 6 3 3 5 3" xfId="6112"/>
    <cellStyle name="표준 6 3 3 5 3 2" xfId="12448"/>
    <cellStyle name="표준 6 3 3 5 3 2 2" xfId="25121"/>
    <cellStyle name="표준 6 3 3 5 3 2 2 2" xfId="50473"/>
    <cellStyle name="표준 6 3 3 5 3 2 3" xfId="37801"/>
    <cellStyle name="표준 6 3 3 5 3 3" xfId="18785"/>
    <cellStyle name="표준 6 3 3 5 3 3 2" xfId="44137"/>
    <cellStyle name="표준 6 3 3 5 3 4" xfId="31465"/>
    <cellStyle name="표준 6 3 3 5 3 5" xfId="56553"/>
    <cellStyle name="표준 6 3 3 5 4" xfId="9287"/>
    <cellStyle name="표준 6 3 3 5 4 2" xfId="21960"/>
    <cellStyle name="표준 6 3 3 5 4 2 2" xfId="47312"/>
    <cellStyle name="표준 6 3 3 5 4 3" xfId="34640"/>
    <cellStyle name="표준 6 3 3 5 5" xfId="15624"/>
    <cellStyle name="표준 6 3 3 5 5 2" xfId="40976"/>
    <cellStyle name="표준 6 3 3 5 6" xfId="28304"/>
    <cellStyle name="표준 6 3 3 5 7" xfId="56554"/>
    <cellStyle name="표준 6 3 3 6" xfId="2952"/>
    <cellStyle name="표준 6 3 3 6 2" xfId="2953"/>
    <cellStyle name="표준 6 3 3 6 2 2" xfId="6113"/>
    <cellStyle name="표준 6 3 3 6 2 2 2" xfId="12449"/>
    <cellStyle name="표준 6 3 3 6 2 2 2 2" xfId="25122"/>
    <cellStyle name="표준 6 3 3 6 2 2 2 2 2" xfId="50474"/>
    <cellStyle name="표준 6 3 3 6 2 2 2 3" xfId="37802"/>
    <cellStyle name="표준 6 3 3 6 2 2 3" xfId="18786"/>
    <cellStyle name="표준 6 3 3 6 2 2 3 2" xfId="44138"/>
    <cellStyle name="표준 6 3 3 6 2 2 4" xfId="31466"/>
    <cellStyle name="표준 6 3 3 6 2 2 5" xfId="56555"/>
    <cellStyle name="표준 6 3 3 6 2 3" xfId="9290"/>
    <cellStyle name="표준 6 3 3 6 2 3 2" xfId="21963"/>
    <cellStyle name="표준 6 3 3 6 2 3 2 2" xfId="47315"/>
    <cellStyle name="표준 6 3 3 6 2 3 3" xfId="34643"/>
    <cellStyle name="표준 6 3 3 6 2 4" xfId="15627"/>
    <cellStyle name="표준 6 3 3 6 2 4 2" xfId="40979"/>
    <cellStyle name="표준 6 3 3 6 2 5" xfId="28307"/>
    <cellStyle name="표준 6 3 3 6 2 6" xfId="56556"/>
    <cellStyle name="표준 6 3 3 6 3" xfId="6114"/>
    <cellStyle name="표준 6 3 3 6 3 2" xfId="12450"/>
    <cellStyle name="표준 6 3 3 6 3 2 2" xfId="25123"/>
    <cellStyle name="표준 6 3 3 6 3 2 2 2" xfId="50475"/>
    <cellStyle name="표준 6 3 3 6 3 2 3" xfId="37803"/>
    <cellStyle name="표준 6 3 3 6 3 3" xfId="18787"/>
    <cellStyle name="표준 6 3 3 6 3 3 2" xfId="44139"/>
    <cellStyle name="표준 6 3 3 6 3 4" xfId="31467"/>
    <cellStyle name="표준 6 3 3 6 3 5" xfId="56557"/>
    <cellStyle name="표준 6 3 3 6 4" xfId="9289"/>
    <cellStyle name="표준 6 3 3 6 4 2" xfId="21962"/>
    <cellStyle name="표준 6 3 3 6 4 2 2" xfId="47314"/>
    <cellStyle name="표준 6 3 3 6 4 3" xfId="34642"/>
    <cellStyle name="표준 6 3 3 6 5" xfId="15626"/>
    <cellStyle name="표준 6 3 3 6 5 2" xfId="40978"/>
    <cellStyle name="표준 6 3 3 6 6" xfId="28306"/>
    <cellStyle name="표준 6 3 3 6 7" xfId="56558"/>
    <cellStyle name="표준 6 3 3 7" xfId="2954"/>
    <cellStyle name="표준 6 3 3 7 2" xfId="2955"/>
    <cellStyle name="표준 6 3 3 7 2 2" xfId="6115"/>
    <cellStyle name="표준 6 3 3 7 2 2 2" xfId="12451"/>
    <cellStyle name="표준 6 3 3 7 2 2 2 2" xfId="25124"/>
    <cellStyle name="표준 6 3 3 7 2 2 2 2 2" xfId="50476"/>
    <cellStyle name="표준 6 3 3 7 2 2 2 3" xfId="37804"/>
    <cellStyle name="표준 6 3 3 7 2 2 3" xfId="18788"/>
    <cellStyle name="표준 6 3 3 7 2 2 3 2" xfId="44140"/>
    <cellStyle name="표준 6 3 3 7 2 2 4" xfId="31468"/>
    <cellStyle name="표준 6 3 3 7 2 2 5" xfId="56559"/>
    <cellStyle name="표준 6 3 3 7 2 3" xfId="9292"/>
    <cellStyle name="표준 6 3 3 7 2 3 2" xfId="21965"/>
    <cellStyle name="표준 6 3 3 7 2 3 2 2" xfId="47317"/>
    <cellStyle name="표준 6 3 3 7 2 3 3" xfId="34645"/>
    <cellStyle name="표준 6 3 3 7 2 4" xfId="15629"/>
    <cellStyle name="표준 6 3 3 7 2 4 2" xfId="40981"/>
    <cellStyle name="표준 6 3 3 7 2 5" xfId="28309"/>
    <cellStyle name="표준 6 3 3 7 2 6" xfId="56560"/>
    <cellStyle name="표준 6 3 3 7 3" xfId="6116"/>
    <cellStyle name="표준 6 3 3 7 3 2" xfId="12452"/>
    <cellStyle name="표준 6 3 3 7 3 2 2" xfId="25125"/>
    <cellStyle name="표준 6 3 3 7 3 2 2 2" xfId="50477"/>
    <cellStyle name="표준 6 3 3 7 3 2 3" xfId="37805"/>
    <cellStyle name="표준 6 3 3 7 3 3" xfId="18789"/>
    <cellStyle name="표준 6 3 3 7 3 3 2" xfId="44141"/>
    <cellStyle name="표준 6 3 3 7 3 4" xfId="31469"/>
    <cellStyle name="표준 6 3 3 7 3 5" xfId="56561"/>
    <cellStyle name="표준 6 3 3 7 4" xfId="9291"/>
    <cellStyle name="표준 6 3 3 7 4 2" xfId="21964"/>
    <cellStyle name="표준 6 3 3 7 4 2 2" xfId="47316"/>
    <cellStyle name="표준 6 3 3 7 4 3" xfId="34644"/>
    <cellStyle name="표준 6 3 3 7 5" xfId="15628"/>
    <cellStyle name="표준 6 3 3 7 5 2" xfId="40980"/>
    <cellStyle name="표준 6 3 3 7 6" xfId="28308"/>
    <cellStyle name="표준 6 3 3 7 7" xfId="56562"/>
    <cellStyle name="표준 6 3 3 8" xfId="2956"/>
    <cellStyle name="표준 6 3 3 8 2" xfId="2957"/>
    <cellStyle name="표준 6 3 3 8 2 2" xfId="6117"/>
    <cellStyle name="표준 6 3 3 8 2 2 2" xfId="12453"/>
    <cellStyle name="표준 6 3 3 8 2 2 2 2" xfId="25126"/>
    <cellStyle name="표준 6 3 3 8 2 2 2 2 2" xfId="50478"/>
    <cellStyle name="표준 6 3 3 8 2 2 2 3" xfId="37806"/>
    <cellStyle name="표준 6 3 3 8 2 2 3" xfId="18790"/>
    <cellStyle name="표준 6 3 3 8 2 2 3 2" xfId="44142"/>
    <cellStyle name="표준 6 3 3 8 2 2 4" xfId="31470"/>
    <cellStyle name="표준 6 3 3 8 2 2 5" xfId="56563"/>
    <cellStyle name="표준 6 3 3 8 2 3" xfId="9294"/>
    <cellStyle name="표준 6 3 3 8 2 3 2" xfId="21967"/>
    <cellStyle name="표준 6 3 3 8 2 3 2 2" xfId="47319"/>
    <cellStyle name="표준 6 3 3 8 2 3 3" xfId="34647"/>
    <cellStyle name="표준 6 3 3 8 2 4" xfId="15631"/>
    <cellStyle name="표준 6 3 3 8 2 4 2" xfId="40983"/>
    <cellStyle name="표준 6 3 3 8 2 5" xfId="28311"/>
    <cellStyle name="표준 6 3 3 8 2 6" xfId="56564"/>
    <cellStyle name="표준 6 3 3 8 3" xfId="6118"/>
    <cellStyle name="표준 6 3 3 8 3 2" xfId="12454"/>
    <cellStyle name="표준 6 3 3 8 3 2 2" xfId="25127"/>
    <cellStyle name="표준 6 3 3 8 3 2 2 2" xfId="50479"/>
    <cellStyle name="표준 6 3 3 8 3 2 3" xfId="37807"/>
    <cellStyle name="표준 6 3 3 8 3 3" xfId="18791"/>
    <cellStyle name="표준 6 3 3 8 3 3 2" xfId="44143"/>
    <cellStyle name="표준 6 3 3 8 3 4" xfId="31471"/>
    <cellStyle name="표준 6 3 3 8 3 5" xfId="56565"/>
    <cellStyle name="표준 6 3 3 8 4" xfId="9293"/>
    <cellStyle name="표준 6 3 3 8 4 2" xfId="21966"/>
    <cellStyle name="표준 6 3 3 8 4 2 2" xfId="47318"/>
    <cellStyle name="표준 6 3 3 8 4 3" xfId="34646"/>
    <cellStyle name="표준 6 3 3 8 5" xfId="15630"/>
    <cellStyle name="표준 6 3 3 8 5 2" xfId="40982"/>
    <cellStyle name="표준 6 3 3 8 6" xfId="28310"/>
    <cellStyle name="표준 6 3 3 8 7" xfId="56566"/>
    <cellStyle name="표준 6 3 3 9" xfId="2958"/>
    <cellStyle name="표준 6 3 3 9 2" xfId="2959"/>
    <cellStyle name="표준 6 3 3 9 2 2" xfId="6119"/>
    <cellStyle name="표준 6 3 3 9 2 2 2" xfId="12455"/>
    <cellStyle name="표준 6 3 3 9 2 2 2 2" xfId="25128"/>
    <cellStyle name="표준 6 3 3 9 2 2 2 2 2" xfId="50480"/>
    <cellStyle name="표준 6 3 3 9 2 2 2 3" xfId="37808"/>
    <cellStyle name="표준 6 3 3 9 2 2 3" xfId="18792"/>
    <cellStyle name="표준 6 3 3 9 2 2 3 2" xfId="44144"/>
    <cellStyle name="표준 6 3 3 9 2 2 4" xfId="31472"/>
    <cellStyle name="표준 6 3 3 9 2 2 5" xfId="56567"/>
    <cellStyle name="표준 6 3 3 9 2 3" xfId="9296"/>
    <cellStyle name="표준 6 3 3 9 2 3 2" xfId="21969"/>
    <cellStyle name="표준 6 3 3 9 2 3 2 2" xfId="47321"/>
    <cellStyle name="표준 6 3 3 9 2 3 3" xfId="34649"/>
    <cellStyle name="표준 6 3 3 9 2 4" xfId="15633"/>
    <cellStyle name="표준 6 3 3 9 2 4 2" xfId="40985"/>
    <cellStyle name="표준 6 3 3 9 2 5" xfId="28313"/>
    <cellStyle name="표준 6 3 3 9 2 6" xfId="56568"/>
    <cellStyle name="표준 6 3 3 9 3" xfId="6120"/>
    <cellStyle name="표준 6 3 3 9 3 2" xfId="12456"/>
    <cellStyle name="표준 6 3 3 9 3 2 2" xfId="25129"/>
    <cellStyle name="표준 6 3 3 9 3 2 2 2" xfId="50481"/>
    <cellStyle name="표준 6 3 3 9 3 2 3" xfId="37809"/>
    <cellStyle name="표준 6 3 3 9 3 3" xfId="18793"/>
    <cellStyle name="표준 6 3 3 9 3 3 2" xfId="44145"/>
    <cellStyle name="표준 6 3 3 9 3 4" xfId="31473"/>
    <cellStyle name="표준 6 3 3 9 3 5" xfId="56569"/>
    <cellStyle name="표준 6 3 3 9 4" xfId="9295"/>
    <cellStyle name="표준 6 3 3 9 4 2" xfId="21968"/>
    <cellStyle name="표준 6 3 3 9 4 2 2" xfId="47320"/>
    <cellStyle name="표준 6 3 3 9 4 3" xfId="34648"/>
    <cellStyle name="표준 6 3 3 9 5" xfId="15632"/>
    <cellStyle name="표준 6 3 3 9 5 2" xfId="40984"/>
    <cellStyle name="표준 6 3 3 9 6" xfId="28312"/>
    <cellStyle name="표준 6 3 3 9 7" xfId="56570"/>
    <cellStyle name="표준 6 3 30" xfId="2960"/>
    <cellStyle name="표준 6 3 30 2" xfId="2961"/>
    <cellStyle name="표준 6 3 30 2 2" xfId="6121"/>
    <cellStyle name="표준 6 3 30 2 2 2" xfId="12457"/>
    <cellStyle name="표준 6 3 30 2 2 2 2" xfId="25130"/>
    <cellStyle name="표준 6 3 30 2 2 2 2 2" xfId="50482"/>
    <cellStyle name="표준 6 3 30 2 2 2 3" xfId="37810"/>
    <cellStyle name="표준 6 3 30 2 2 3" xfId="18794"/>
    <cellStyle name="표준 6 3 30 2 2 3 2" xfId="44146"/>
    <cellStyle name="표준 6 3 30 2 2 4" xfId="31474"/>
    <cellStyle name="표준 6 3 30 2 2 5" xfId="56571"/>
    <cellStyle name="표준 6 3 30 2 3" xfId="9298"/>
    <cellStyle name="표준 6 3 30 2 3 2" xfId="21971"/>
    <cellStyle name="표준 6 3 30 2 3 2 2" xfId="47323"/>
    <cellStyle name="표준 6 3 30 2 3 3" xfId="34651"/>
    <cellStyle name="표준 6 3 30 2 4" xfId="15635"/>
    <cellStyle name="표준 6 3 30 2 4 2" xfId="40987"/>
    <cellStyle name="표준 6 3 30 2 5" xfId="28315"/>
    <cellStyle name="표준 6 3 30 2 6" xfId="56572"/>
    <cellStyle name="표준 6 3 30 3" xfId="6122"/>
    <cellStyle name="표준 6 3 30 3 2" xfId="12458"/>
    <cellStyle name="표준 6 3 30 3 2 2" xfId="25131"/>
    <cellStyle name="표준 6 3 30 3 2 2 2" xfId="50483"/>
    <cellStyle name="표준 6 3 30 3 2 3" xfId="37811"/>
    <cellStyle name="표준 6 3 30 3 3" xfId="18795"/>
    <cellStyle name="표준 6 3 30 3 3 2" xfId="44147"/>
    <cellStyle name="표준 6 3 30 3 4" xfId="31475"/>
    <cellStyle name="표준 6 3 30 3 5" xfId="56573"/>
    <cellStyle name="표준 6 3 30 4" xfId="9297"/>
    <cellStyle name="표준 6 3 30 4 2" xfId="21970"/>
    <cellStyle name="표준 6 3 30 4 2 2" xfId="47322"/>
    <cellStyle name="표준 6 3 30 4 3" xfId="34650"/>
    <cellStyle name="표준 6 3 30 5" xfId="15634"/>
    <cellStyle name="표준 6 3 30 5 2" xfId="40986"/>
    <cellStyle name="표준 6 3 30 6" xfId="28314"/>
    <cellStyle name="표준 6 3 30 7" xfId="56574"/>
    <cellStyle name="표준 6 3 31" xfId="2962"/>
    <cellStyle name="표준 6 3 31 2" xfId="2963"/>
    <cellStyle name="표준 6 3 31 2 2" xfId="6123"/>
    <cellStyle name="표준 6 3 31 2 2 2" xfId="12459"/>
    <cellStyle name="표준 6 3 31 2 2 2 2" xfId="25132"/>
    <cellStyle name="표준 6 3 31 2 2 2 2 2" xfId="50484"/>
    <cellStyle name="표준 6 3 31 2 2 2 3" xfId="37812"/>
    <cellStyle name="표준 6 3 31 2 2 3" xfId="18796"/>
    <cellStyle name="표준 6 3 31 2 2 3 2" xfId="44148"/>
    <cellStyle name="표준 6 3 31 2 2 4" xfId="31476"/>
    <cellStyle name="표준 6 3 31 2 2 5" xfId="56575"/>
    <cellStyle name="표준 6 3 31 2 3" xfId="9300"/>
    <cellStyle name="표준 6 3 31 2 3 2" xfId="21973"/>
    <cellStyle name="표준 6 3 31 2 3 2 2" xfId="47325"/>
    <cellStyle name="표준 6 3 31 2 3 3" xfId="34653"/>
    <cellStyle name="표준 6 3 31 2 4" xfId="15637"/>
    <cellStyle name="표준 6 3 31 2 4 2" xfId="40989"/>
    <cellStyle name="표준 6 3 31 2 5" xfId="28317"/>
    <cellStyle name="표준 6 3 31 2 6" xfId="56576"/>
    <cellStyle name="표준 6 3 31 3" xfId="6124"/>
    <cellStyle name="표준 6 3 31 3 2" xfId="12460"/>
    <cellStyle name="표준 6 3 31 3 2 2" xfId="25133"/>
    <cellStyle name="표준 6 3 31 3 2 2 2" xfId="50485"/>
    <cellStyle name="표준 6 3 31 3 2 3" xfId="37813"/>
    <cellStyle name="표준 6 3 31 3 3" xfId="18797"/>
    <cellStyle name="표준 6 3 31 3 3 2" xfId="44149"/>
    <cellStyle name="표준 6 3 31 3 4" xfId="31477"/>
    <cellStyle name="표준 6 3 31 3 5" xfId="56577"/>
    <cellStyle name="표준 6 3 31 4" xfId="9299"/>
    <cellStyle name="표준 6 3 31 4 2" xfId="21972"/>
    <cellStyle name="표준 6 3 31 4 2 2" xfId="47324"/>
    <cellStyle name="표준 6 3 31 4 3" xfId="34652"/>
    <cellStyle name="표준 6 3 31 5" xfId="15636"/>
    <cellStyle name="표준 6 3 31 5 2" xfId="40988"/>
    <cellStyle name="표준 6 3 31 6" xfId="28316"/>
    <cellStyle name="표준 6 3 31 7" xfId="56578"/>
    <cellStyle name="표준 6 3 32" xfId="2964"/>
    <cellStyle name="표준 6 3 32 2" xfId="2965"/>
    <cellStyle name="표준 6 3 32 2 2" xfId="6125"/>
    <cellStyle name="표준 6 3 32 2 2 2" xfId="12461"/>
    <cellStyle name="표준 6 3 32 2 2 2 2" xfId="25134"/>
    <cellStyle name="표준 6 3 32 2 2 2 2 2" xfId="50486"/>
    <cellStyle name="표준 6 3 32 2 2 2 3" xfId="37814"/>
    <cellStyle name="표준 6 3 32 2 2 3" xfId="18798"/>
    <cellStyle name="표준 6 3 32 2 2 3 2" xfId="44150"/>
    <cellStyle name="표준 6 3 32 2 2 4" xfId="31478"/>
    <cellStyle name="표준 6 3 32 2 2 5" xfId="56579"/>
    <cellStyle name="표준 6 3 32 2 3" xfId="9302"/>
    <cellStyle name="표준 6 3 32 2 3 2" xfId="21975"/>
    <cellStyle name="표준 6 3 32 2 3 2 2" xfId="47327"/>
    <cellStyle name="표준 6 3 32 2 3 3" xfId="34655"/>
    <cellStyle name="표준 6 3 32 2 4" xfId="15639"/>
    <cellStyle name="표준 6 3 32 2 4 2" xfId="40991"/>
    <cellStyle name="표준 6 3 32 2 5" xfId="28319"/>
    <cellStyle name="표준 6 3 32 2 6" xfId="56580"/>
    <cellStyle name="표준 6 3 32 3" xfId="6126"/>
    <cellStyle name="표준 6 3 32 3 2" xfId="12462"/>
    <cellStyle name="표준 6 3 32 3 2 2" xfId="25135"/>
    <cellStyle name="표준 6 3 32 3 2 2 2" xfId="50487"/>
    <cellStyle name="표준 6 3 32 3 2 3" xfId="37815"/>
    <cellStyle name="표준 6 3 32 3 3" xfId="18799"/>
    <cellStyle name="표준 6 3 32 3 3 2" xfId="44151"/>
    <cellStyle name="표준 6 3 32 3 4" xfId="31479"/>
    <cellStyle name="표준 6 3 32 3 5" xfId="56581"/>
    <cellStyle name="표준 6 3 32 4" xfId="9301"/>
    <cellStyle name="표준 6 3 32 4 2" xfId="21974"/>
    <cellStyle name="표준 6 3 32 4 2 2" xfId="47326"/>
    <cellStyle name="표준 6 3 32 4 3" xfId="34654"/>
    <cellStyle name="표준 6 3 32 5" xfId="15638"/>
    <cellStyle name="표준 6 3 32 5 2" xfId="40990"/>
    <cellStyle name="표준 6 3 32 6" xfId="28318"/>
    <cellStyle name="표준 6 3 32 7" xfId="56582"/>
    <cellStyle name="표준 6 3 33" xfId="2966"/>
    <cellStyle name="표준 6 3 33 2" xfId="2967"/>
    <cellStyle name="표준 6 3 33 2 2" xfId="6127"/>
    <cellStyle name="표준 6 3 33 2 2 2" xfId="12463"/>
    <cellStyle name="표준 6 3 33 2 2 2 2" xfId="25136"/>
    <cellStyle name="표준 6 3 33 2 2 2 2 2" xfId="50488"/>
    <cellStyle name="표준 6 3 33 2 2 2 3" xfId="37816"/>
    <cellStyle name="표준 6 3 33 2 2 3" xfId="18800"/>
    <cellStyle name="표준 6 3 33 2 2 3 2" xfId="44152"/>
    <cellStyle name="표준 6 3 33 2 2 4" xfId="31480"/>
    <cellStyle name="표준 6 3 33 2 2 5" xfId="56583"/>
    <cellStyle name="표준 6 3 33 2 3" xfId="9304"/>
    <cellStyle name="표준 6 3 33 2 3 2" xfId="21977"/>
    <cellStyle name="표준 6 3 33 2 3 2 2" xfId="47329"/>
    <cellStyle name="표준 6 3 33 2 3 3" xfId="34657"/>
    <cellStyle name="표준 6 3 33 2 4" xfId="15641"/>
    <cellStyle name="표준 6 3 33 2 4 2" xfId="40993"/>
    <cellStyle name="표준 6 3 33 2 5" xfId="28321"/>
    <cellStyle name="표준 6 3 33 2 6" xfId="56584"/>
    <cellStyle name="표준 6 3 33 3" xfId="6128"/>
    <cellStyle name="표준 6 3 33 3 2" xfId="12464"/>
    <cellStyle name="표준 6 3 33 3 2 2" xfId="25137"/>
    <cellStyle name="표준 6 3 33 3 2 2 2" xfId="50489"/>
    <cellStyle name="표준 6 3 33 3 2 3" xfId="37817"/>
    <cellStyle name="표준 6 3 33 3 3" xfId="18801"/>
    <cellStyle name="표준 6 3 33 3 3 2" xfId="44153"/>
    <cellStyle name="표준 6 3 33 3 4" xfId="31481"/>
    <cellStyle name="표준 6 3 33 3 5" xfId="56585"/>
    <cellStyle name="표준 6 3 33 4" xfId="9303"/>
    <cellStyle name="표준 6 3 33 4 2" xfId="21976"/>
    <cellStyle name="표준 6 3 33 4 2 2" xfId="47328"/>
    <cellStyle name="표준 6 3 33 4 3" xfId="34656"/>
    <cellStyle name="표준 6 3 33 5" xfId="15640"/>
    <cellStyle name="표준 6 3 33 5 2" xfId="40992"/>
    <cellStyle name="표준 6 3 33 6" xfId="28320"/>
    <cellStyle name="표준 6 3 33 7" xfId="56586"/>
    <cellStyle name="표준 6 3 34" xfId="2968"/>
    <cellStyle name="표준 6 3 34 2" xfId="2969"/>
    <cellStyle name="표준 6 3 34 2 2" xfId="6129"/>
    <cellStyle name="표준 6 3 34 2 2 2" xfId="12465"/>
    <cellStyle name="표준 6 3 34 2 2 2 2" xfId="25138"/>
    <cellStyle name="표준 6 3 34 2 2 2 2 2" xfId="50490"/>
    <cellStyle name="표준 6 3 34 2 2 2 3" xfId="37818"/>
    <cellStyle name="표준 6 3 34 2 2 3" xfId="18802"/>
    <cellStyle name="표준 6 3 34 2 2 3 2" xfId="44154"/>
    <cellStyle name="표준 6 3 34 2 2 4" xfId="31482"/>
    <cellStyle name="표준 6 3 34 2 2 5" xfId="56587"/>
    <cellStyle name="표준 6 3 34 2 3" xfId="9306"/>
    <cellStyle name="표준 6 3 34 2 3 2" xfId="21979"/>
    <cellStyle name="표준 6 3 34 2 3 2 2" xfId="47331"/>
    <cellStyle name="표준 6 3 34 2 3 3" xfId="34659"/>
    <cellStyle name="표준 6 3 34 2 4" xfId="15643"/>
    <cellStyle name="표준 6 3 34 2 4 2" xfId="40995"/>
    <cellStyle name="표준 6 3 34 2 5" xfId="28323"/>
    <cellStyle name="표준 6 3 34 2 6" xfId="56588"/>
    <cellStyle name="표준 6 3 34 3" xfId="6130"/>
    <cellStyle name="표준 6 3 34 3 2" xfId="12466"/>
    <cellStyle name="표준 6 3 34 3 2 2" xfId="25139"/>
    <cellStyle name="표준 6 3 34 3 2 2 2" xfId="50491"/>
    <cellStyle name="표준 6 3 34 3 2 3" xfId="37819"/>
    <cellStyle name="표준 6 3 34 3 3" xfId="18803"/>
    <cellStyle name="표준 6 3 34 3 3 2" xfId="44155"/>
    <cellStyle name="표준 6 3 34 3 4" xfId="31483"/>
    <cellStyle name="표준 6 3 34 3 5" xfId="56589"/>
    <cellStyle name="표준 6 3 34 4" xfId="9305"/>
    <cellStyle name="표준 6 3 34 4 2" xfId="21978"/>
    <cellStyle name="표준 6 3 34 4 2 2" xfId="47330"/>
    <cellStyle name="표준 6 3 34 4 3" xfId="34658"/>
    <cellStyle name="표준 6 3 34 5" xfId="15642"/>
    <cellStyle name="표준 6 3 34 5 2" xfId="40994"/>
    <cellStyle name="표준 6 3 34 6" xfId="28322"/>
    <cellStyle name="표준 6 3 34 7" xfId="56590"/>
    <cellStyle name="표준 6 3 35" xfId="2970"/>
    <cellStyle name="표준 6 3 35 2" xfId="2971"/>
    <cellStyle name="표준 6 3 35 2 2" xfId="6131"/>
    <cellStyle name="표준 6 3 35 2 2 2" xfId="12467"/>
    <cellStyle name="표준 6 3 35 2 2 2 2" xfId="25140"/>
    <cellStyle name="표준 6 3 35 2 2 2 2 2" xfId="50492"/>
    <cellStyle name="표준 6 3 35 2 2 2 3" xfId="37820"/>
    <cellStyle name="표준 6 3 35 2 2 3" xfId="18804"/>
    <cellStyle name="표준 6 3 35 2 2 3 2" xfId="44156"/>
    <cellStyle name="표준 6 3 35 2 2 4" xfId="31484"/>
    <cellStyle name="표준 6 3 35 2 2 5" xfId="56591"/>
    <cellStyle name="표준 6 3 35 2 3" xfId="9308"/>
    <cellStyle name="표준 6 3 35 2 3 2" xfId="21981"/>
    <cellStyle name="표준 6 3 35 2 3 2 2" xfId="47333"/>
    <cellStyle name="표준 6 3 35 2 3 3" xfId="34661"/>
    <cellStyle name="표준 6 3 35 2 4" xfId="15645"/>
    <cellStyle name="표준 6 3 35 2 4 2" xfId="40997"/>
    <cellStyle name="표준 6 3 35 2 5" xfId="28325"/>
    <cellStyle name="표준 6 3 35 2 6" xfId="56592"/>
    <cellStyle name="표준 6 3 35 3" xfId="6132"/>
    <cellStyle name="표준 6 3 35 3 2" xfId="12468"/>
    <cellStyle name="표준 6 3 35 3 2 2" xfId="25141"/>
    <cellStyle name="표준 6 3 35 3 2 2 2" xfId="50493"/>
    <cellStyle name="표준 6 3 35 3 2 3" xfId="37821"/>
    <cellStyle name="표준 6 3 35 3 3" xfId="18805"/>
    <cellStyle name="표준 6 3 35 3 3 2" xfId="44157"/>
    <cellStyle name="표준 6 3 35 3 4" xfId="31485"/>
    <cellStyle name="표준 6 3 35 3 5" xfId="56593"/>
    <cellStyle name="표준 6 3 35 4" xfId="9307"/>
    <cellStyle name="표준 6 3 35 4 2" xfId="21980"/>
    <cellStyle name="표준 6 3 35 4 2 2" xfId="47332"/>
    <cellStyle name="표준 6 3 35 4 3" xfId="34660"/>
    <cellStyle name="표준 6 3 35 5" xfId="15644"/>
    <cellStyle name="표준 6 3 35 5 2" xfId="40996"/>
    <cellStyle name="표준 6 3 35 6" xfId="28324"/>
    <cellStyle name="표준 6 3 35 7" xfId="56594"/>
    <cellStyle name="표준 6 3 36" xfId="2972"/>
    <cellStyle name="표준 6 3 36 2" xfId="6133"/>
    <cellStyle name="표준 6 3 36 2 2" xfId="12469"/>
    <cellStyle name="표준 6 3 36 2 2 2" xfId="25142"/>
    <cellStyle name="표준 6 3 36 2 2 2 2" xfId="50494"/>
    <cellStyle name="표준 6 3 36 2 2 3" xfId="37822"/>
    <cellStyle name="표준 6 3 36 2 3" xfId="18806"/>
    <cellStyle name="표준 6 3 36 2 3 2" xfId="44158"/>
    <cellStyle name="표준 6 3 36 2 4" xfId="31486"/>
    <cellStyle name="표준 6 3 36 2 5" xfId="56595"/>
    <cellStyle name="표준 6 3 36 3" xfId="9309"/>
    <cellStyle name="표준 6 3 36 3 2" xfId="21982"/>
    <cellStyle name="표준 6 3 36 3 2 2" xfId="47334"/>
    <cellStyle name="표준 6 3 36 3 3" xfId="34662"/>
    <cellStyle name="표준 6 3 36 4" xfId="15646"/>
    <cellStyle name="표준 6 3 36 4 2" xfId="40998"/>
    <cellStyle name="표준 6 3 36 5" xfId="28326"/>
    <cellStyle name="표준 6 3 36 6" xfId="56596"/>
    <cellStyle name="표준 6 3 37" xfId="6134"/>
    <cellStyle name="표준 6 3 37 2" xfId="12470"/>
    <cellStyle name="표준 6 3 37 2 2" xfId="25143"/>
    <cellStyle name="표준 6 3 37 2 2 2" xfId="50495"/>
    <cellStyle name="표준 6 3 37 2 3" xfId="37823"/>
    <cellStyle name="표준 6 3 37 3" xfId="18807"/>
    <cellStyle name="표준 6 3 37 3 2" xfId="44159"/>
    <cellStyle name="표준 6 3 37 4" xfId="31487"/>
    <cellStyle name="표준 6 3 37 5" xfId="56597"/>
    <cellStyle name="표준 6 3 38" xfId="6378"/>
    <cellStyle name="표준 6 3 38 2" xfId="19051"/>
    <cellStyle name="표준 6 3 38 2 2" xfId="44403"/>
    <cellStyle name="표준 6 3 38 3" xfId="31731"/>
    <cellStyle name="표준 6 3 39" xfId="12715"/>
    <cellStyle name="표준 6 3 39 2" xfId="38067"/>
    <cellStyle name="표준 6 3 4" xfId="100"/>
    <cellStyle name="표준 6 3 4 2" xfId="2973"/>
    <cellStyle name="표준 6 3 4 2 2" xfId="6135"/>
    <cellStyle name="표준 6 3 4 2 2 2" xfId="12471"/>
    <cellStyle name="표준 6 3 4 2 2 2 2" xfId="25144"/>
    <cellStyle name="표준 6 3 4 2 2 2 2 2" xfId="50496"/>
    <cellStyle name="표준 6 3 4 2 2 2 3" xfId="37824"/>
    <cellStyle name="표준 6 3 4 2 2 3" xfId="18808"/>
    <cellStyle name="표준 6 3 4 2 2 3 2" xfId="44160"/>
    <cellStyle name="표준 6 3 4 2 2 4" xfId="31488"/>
    <cellStyle name="표준 6 3 4 2 2 5" xfId="56598"/>
    <cellStyle name="표준 6 3 4 2 3" xfId="9310"/>
    <cellStyle name="표준 6 3 4 2 3 2" xfId="21983"/>
    <cellStyle name="표준 6 3 4 2 3 2 2" xfId="47335"/>
    <cellStyle name="표준 6 3 4 2 3 3" xfId="34663"/>
    <cellStyle name="표준 6 3 4 2 4" xfId="15647"/>
    <cellStyle name="표준 6 3 4 2 4 2" xfId="40999"/>
    <cellStyle name="표준 6 3 4 2 5" xfId="28327"/>
    <cellStyle name="표준 6 3 4 2 6" xfId="56599"/>
    <cellStyle name="표준 6 3 4 3" xfId="6136"/>
    <cellStyle name="표준 6 3 4 3 2" xfId="12472"/>
    <cellStyle name="표준 6 3 4 3 2 2" xfId="25145"/>
    <cellStyle name="표준 6 3 4 3 2 2 2" xfId="50497"/>
    <cellStyle name="표준 6 3 4 3 2 3" xfId="37825"/>
    <cellStyle name="표준 6 3 4 3 3" xfId="18809"/>
    <cellStyle name="표준 6 3 4 3 3 2" xfId="44161"/>
    <cellStyle name="표준 6 3 4 3 4" xfId="31489"/>
    <cellStyle name="표준 6 3 4 3 5" xfId="56600"/>
    <cellStyle name="표준 6 3 4 4" xfId="6438"/>
    <cellStyle name="표준 6 3 4 4 2" xfId="19111"/>
    <cellStyle name="표준 6 3 4 4 2 2" xfId="44463"/>
    <cellStyle name="표준 6 3 4 4 3" xfId="31791"/>
    <cellStyle name="표준 6 3 4 5" xfId="12775"/>
    <cellStyle name="표준 6 3 4 5 2" xfId="38127"/>
    <cellStyle name="표준 6 3 4 6" xfId="25455"/>
    <cellStyle name="표준 6 3 4 7" xfId="56601"/>
    <cellStyle name="표준 6 3 40" xfId="25395"/>
    <cellStyle name="표준 6 3 41" xfId="56602"/>
    <cellStyle name="표준 6 3 5" xfId="2974"/>
    <cellStyle name="표준 6 3 5 2" xfId="2975"/>
    <cellStyle name="표준 6 3 5 2 2" xfId="6137"/>
    <cellStyle name="표준 6 3 5 2 2 2" xfId="12473"/>
    <cellStyle name="표준 6 3 5 2 2 2 2" xfId="25146"/>
    <cellStyle name="표준 6 3 5 2 2 2 2 2" xfId="50498"/>
    <cellStyle name="표준 6 3 5 2 2 2 3" xfId="37826"/>
    <cellStyle name="표준 6 3 5 2 2 3" xfId="18810"/>
    <cellStyle name="표준 6 3 5 2 2 3 2" xfId="44162"/>
    <cellStyle name="표준 6 3 5 2 2 4" xfId="31490"/>
    <cellStyle name="표준 6 3 5 2 2 5" xfId="56603"/>
    <cellStyle name="표준 6 3 5 2 3" xfId="9312"/>
    <cellStyle name="표준 6 3 5 2 3 2" xfId="21985"/>
    <cellStyle name="표준 6 3 5 2 3 2 2" xfId="47337"/>
    <cellStyle name="표준 6 3 5 2 3 3" xfId="34665"/>
    <cellStyle name="표준 6 3 5 2 4" xfId="15649"/>
    <cellStyle name="표준 6 3 5 2 4 2" xfId="41001"/>
    <cellStyle name="표준 6 3 5 2 5" xfId="28329"/>
    <cellStyle name="표준 6 3 5 2 6" xfId="56604"/>
    <cellStyle name="표준 6 3 5 3" xfId="6138"/>
    <cellStyle name="표준 6 3 5 3 2" xfId="12474"/>
    <cellStyle name="표준 6 3 5 3 2 2" xfId="25147"/>
    <cellStyle name="표준 6 3 5 3 2 2 2" xfId="50499"/>
    <cellStyle name="표준 6 3 5 3 2 3" xfId="37827"/>
    <cellStyle name="표준 6 3 5 3 3" xfId="18811"/>
    <cellStyle name="표준 6 3 5 3 3 2" xfId="44163"/>
    <cellStyle name="표준 6 3 5 3 4" xfId="31491"/>
    <cellStyle name="표준 6 3 5 3 5" xfId="56605"/>
    <cellStyle name="표준 6 3 5 4" xfId="9311"/>
    <cellStyle name="표준 6 3 5 4 2" xfId="21984"/>
    <cellStyle name="표준 6 3 5 4 2 2" xfId="47336"/>
    <cellStyle name="표준 6 3 5 4 3" xfId="34664"/>
    <cellStyle name="표준 6 3 5 5" xfId="15648"/>
    <cellStyle name="표준 6 3 5 5 2" xfId="41000"/>
    <cellStyle name="표준 6 3 5 6" xfId="28328"/>
    <cellStyle name="표준 6 3 5 7" xfId="56606"/>
    <cellStyle name="표준 6 3 6" xfId="2976"/>
    <cellStyle name="표준 6 3 6 2" xfId="2977"/>
    <cellStyle name="표준 6 3 6 2 2" xfId="6139"/>
    <cellStyle name="표준 6 3 6 2 2 2" xfId="12475"/>
    <cellStyle name="표준 6 3 6 2 2 2 2" xfId="25148"/>
    <cellStyle name="표준 6 3 6 2 2 2 2 2" xfId="50500"/>
    <cellStyle name="표준 6 3 6 2 2 2 3" xfId="37828"/>
    <cellStyle name="표준 6 3 6 2 2 3" xfId="18812"/>
    <cellStyle name="표준 6 3 6 2 2 3 2" xfId="44164"/>
    <cellStyle name="표준 6 3 6 2 2 4" xfId="31492"/>
    <cellStyle name="표준 6 3 6 2 2 5" xfId="56607"/>
    <cellStyle name="표준 6 3 6 2 3" xfId="9314"/>
    <cellStyle name="표준 6 3 6 2 3 2" xfId="21987"/>
    <cellStyle name="표준 6 3 6 2 3 2 2" xfId="47339"/>
    <cellStyle name="표준 6 3 6 2 3 3" xfId="34667"/>
    <cellStyle name="표준 6 3 6 2 4" xfId="15651"/>
    <cellStyle name="표준 6 3 6 2 4 2" xfId="41003"/>
    <cellStyle name="표준 6 3 6 2 5" xfId="28331"/>
    <cellStyle name="표준 6 3 6 2 6" xfId="56608"/>
    <cellStyle name="표준 6 3 6 3" xfId="6140"/>
    <cellStyle name="표준 6 3 6 3 2" xfId="12476"/>
    <cellStyle name="표준 6 3 6 3 2 2" xfId="25149"/>
    <cellStyle name="표준 6 3 6 3 2 2 2" xfId="50501"/>
    <cellStyle name="표준 6 3 6 3 2 3" xfId="37829"/>
    <cellStyle name="표준 6 3 6 3 3" xfId="18813"/>
    <cellStyle name="표준 6 3 6 3 3 2" xfId="44165"/>
    <cellStyle name="표준 6 3 6 3 4" xfId="31493"/>
    <cellStyle name="표준 6 3 6 3 5" xfId="56609"/>
    <cellStyle name="표준 6 3 6 4" xfId="9313"/>
    <cellStyle name="표준 6 3 6 4 2" xfId="21986"/>
    <cellStyle name="표준 6 3 6 4 2 2" xfId="47338"/>
    <cellStyle name="표준 6 3 6 4 3" xfId="34666"/>
    <cellStyle name="표준 6 3 6 5" xfId="15650"/>
    <cellStyle name="표준 6 3 6 5 2" xfId="41002"/>
    <cellStyle name="표준 6 3 6 6" xfId="28330"/>
    <cellStyle name="표준 6 3 6 7" xfId="56610"/>
    <cellStyle name="표준 6 3 7" xfId="2978"/>
    <cellStyle name="표준 6 3 7 2" xfId="2979"/>
    <cellStyle name="표준 6 3 7 2 2" xfId="6141"/>
    <cellStyle name="표준 6 3 7 2 2 2" xfId="12477"/>
    <cellStyle name="표준 6 3 7 2 2 2 2" xfId="25150"/>
    <cellStyle name="표준 6 3 7 2 2 2 2 2" xfId="50502"/>
    <cellStyle name="표준 6 3 7 2 2 2 3" xfId="37830"/>
    <cellStyle name="표준 6 3 7 2 2 3" xfId="18814"/>
    <cellStyle name="표준 6 3 7 2 2 3 2" xfId="44166"/>
    <cellStyle name="표준 6 3 7 2 2 4" xfId="31494"/>
    <cellStyle name="표준 6 3 7 2 2 5" xfId="56611"/>
    <cellStyle name="표준 6 3 7 2 3" xfId="9316"/>
    <cellStyle name="표준 6 3 7 2 3 2" xfId="21989"/>
    <cellStyle name="표준 6 3 7 2 3 2 2" xfId="47341"/>
    <cellStyle name="표준 6 3 7 2 3 3" xfId="34669"/>
    <cellStyle name="표준 6 3 7 2 4" xfId="15653"/>
    <cellStyle name="표준 6 3 7 2 4 2" xfId="41005"/>
    <cellStyle name="표준 6 3 7 2 5" xfId="28333"/>
    <cellStyle name="표준 6 3 7 2 6" xfId="56612"/>
    <cellStyle name="표준 6 3 7 3" xfId="6142"/>
    <cellStyle name="표준 6 3 7 3 2" xfId="12478"/>
    <cellStyle name="표준 6 3 7 3 2 2" xfId="25151"/>
    <cellStyle name="표준 6 3 7 3 2 2 2" xfId="50503"/>
    <cellStyle name="표준 6 3 7 3 2 3" xfId="37831"/>
    <cellStyle name="표준 6 3 7 3 3" xfId="18815"/>
    <cellStyle name="표준 6 3 7 3 3 2" xfId="44167"/>
    <cellStyle name="표준 6 3 7 3 4" xfId="31495"/>
    <cellStyle name="표준 6 3 7 3 5" xfId="56613"/>
    <cellStyle name="표준 6 3 7 4" xfId="9315"/>
    <cellStyle name="표준 6 3 7 4 2" xfId="21988"/>
    <cellStyle name="표준 6 3 7 4 2 2" xfId="47340"/>
    <cellStyle name="표준 6 3 7 4 3" xfId="34668"/>
    <cellStyle name="표준 6 3 7 5" xfId="15652"/>
    <cellStyle name="표준 6 3 7 5 2" xfId="41004"/>
    <cellStyle name="표준 6 3 7 6" xfId="28332"/>
    <cellStyle name="표준 6 3 7 7" xfId="56614"/>
    <cellStyle name="표준 6 3 8" xfId="2980"/>
    <cellStyle name="표준 6 3 8 2" xfId="2981"/>
    <cellStyle name="표준 6 3 8 2 2" xfId="6143"/>
    <cellStyle name="표준 6 3 8 2 2 2" xfId="12479"/>
    <cellStyle name="표준 6 3 8 2 2 2 2" xfId="25152"/>
    <cellStyle name="표준 6 3 8 2 2 2 2 2" xfId="50504"/>
    <cellStyle name="표준 6 3 8 2 2 2 3" xfId="37832"/>
    <cellStyle name="표준 6 3 8 2 2 3" xfId="18816"/>
    <cellStyle name="표준 6 3 8 2 2 3 2" xfId="44168"/>
    <cellStyle name="표준 6 3 8 2 2 4" xfId="31496"/>
    <cellStyle name="표준 6 3 8 2 2 5" xfId="56615"/>
    <cellStyle name="표준 6 3 8 2 3" xfId="9318"/>
    <cellStyle name="표준 6 3 8 2 3 2" xfId="21991"/>
    <cellStyle name="표준 6 3 8 2 3 2 2" xfId="47343"/>
    <cellStyle name="표준 6 3 8 2 3 3" xfId="34671"/>
    <cellStyle name="표준 6 3 8 2 4" xfId="15655"/>
    <cellStyle name="표준 6 3 8 2 4 2" xfId="41007"/>
    <cellStyle name="표준 6 3 8 2 5" xfId="28335"/>
    <cellStyle name="표준 6 3 8 2 6" xfId="56616"/>
    <cellStyle name="표준 6 3 8 3" xfId="6144"/>
    <cellStyle name="표준 6 3 8 3 2" xfId="12480"/>
    <cellStyle name="표준 6 3 8 3 2 2" xfId="25153"/>
    <cellStyle name="표준 6 3 8 3 2 2 2" xfId="50505"/>
    <cellStyle name="표준 6 3 8 3 2 3" xfId="37833"/>
    <cellStyle name="표준 6 3 8 3 3" xfId="18817"/>
    <cellStyle name="표준 6 3 8 3 3 2" xfId="44169"/>
    <cellStyle name="표준 6 3 8 3 4" xfId="31497"/>
    <cellStyle name="표준 6 3 8 3 5" xfId="56617"/>
    <cellStyle name="표준 6 3 8 4" xfId="9317"/>
    <cellStyle name="표준 6 3 8 4 2" xfId="21990"/>
    <cellStyle name="표준 6 3 8 4 2 2" xfId="47342"/>
    <cellStyle name="표준 6 3 8 4 3" xfId="34670"/>
    <cellStyle name="표준 6 3 8 5" xfId="15654"/>
    <cellStyle name="표준 6 3 8 5 2" xfId="41006"/>
    <cellStyle name="표준 6 3 8 6" xfId="28334"/>
    <cellStyle name="표준 6 3 8 7" xfId="56618"/>
    <cellStyle name="표준 6 3 9" xfId="2982"/>
    <cellStyle name="표준 6 3 9 2" xfId="2983"/>
    <cellStyle name="표준 6 3 9 2 2" xfId="6145"/>
    <cellStyle name="표준 6 3 9 2 2 2" xfId="12481"/>
    <cellStyle name="표준 6 3 9 2 2 2 2" xfId="25154"/>
    <cellStyle name="표준 6 3 9 2 2 2 2 2" xfId="50506"/>
    <cellStyle name="표준 6 3 9 2 2 2 3" xfId="37834"/>
    <cellStyle name="표준 6 3 9 2 2 3" xfId="18818"/>
    <cellStyle name="표준 6 3 9 2 2 3 2" xfId="44170"/>
    <cellStyle name="표준 6 3 9 2 2 4" xfId="31498"/>
    <cellStyle name="표준 6 3 9 2 2 5" xfId="56619"/>
    <cellStyle name="표준 6 3 9 2 3" xfId="9320"/>
    <cellStyle name="표준 6 3 9 2 3 2" xfId="21993"/>
    <cellStyle name="표준 6 3 9 2 3 2 2" xfId="47345"/>
    <cellStyle name="표준 6 3 9 2 3 3" xfId="34673"/>
    <cellStyle name="표준 6 3 9 2 4" xfId="15657"/>
    <cellStyle name="표준 6 3 9 2 4 2" xfId="41009"/>
    <cellStyle name="표준 6 3 9 2 5" xfId="28337"/>
    <cellStyle name="표준 6 3 9 2 6" xfId="56620"/>
    <cellStyle name="표준 6 3 9 3" xfId="6146"/>
    <cellStyle name="표준 6 3 9 3 2" xfId="12482"/>
    <cellStyle name="표준 6 3 9 3 2 2" xfId="25155"/>
    <cellStyle name="표준 6 3 9 3 2 2 2" xfId="50507"/>
    <cellStyle name="표준 6 3 9 3 2 3" xfId="37835"/>
    <cellStyle name="표준 6 3 9 3 3" xfId="18819"/>
    <cellStyle name="표준 6 3 9 3 3 2" xfId="44171"/>
    <cellStyle name="표준 6 3 9 3 4" xfId="31499"/>
    <cellStyle name="표준 6 3 9 3 5" xfId="56621"/>
    <cellStyle name="표준 6 3 9 4" xfId="9319"/>
    <cellStyle name="표준 6 3 9 4 2" xfId="21992"/>
    <cellStyle name="표준 6 3 9 4 2 2" xfId="47344"/>
    <cellStyle name="표준 6 3 9 4 3" xfId="34672"/>
    <cellStyle name="표준 6 3 9 5" xfId="15656"/>
    <cellStyle name="표준 6 3 9 5 2" xfId="41008"/>
    <cellStyle name="표준 6 3 9 6" xfId="28336"/>
    <cellStyle name="표준 6 3 9 7" xfId="56622"/>
    <cellStyle name="표준 6 30" xfId="2984"/>
    <cellStyle name="표준 6 30 2" xfId="2985"/>
    <cellStyle name="표준 6 30 2 2" xfId="6147"/>
    <cellStyle name="표준 6 30 2 2 2" xfId="12483"/>
    <cellStyle name="표준 6 30 2 2 2 2" xfId="25156"/>
    <cellStyle name="표준 6 30 2 2 2 2 2" xfId="50508"/>
    <cellStyle name="표준 6 30 2 2 2 3" xfId="37836"/>
    <cellStyle name="표준 6 30 2 2 3" xfId="18820"/>
    <cellStyle name="표준 6 30 2 2 3 2" xfId="44172"/>
    <cellStyle name="표준 6 30 2 2 4" xfId="31500"/>
    <cellStyle name="표준 6 30 2 2 5" xfId="56623"/>
    <cellStyle name="표준 6 30 2 3" xfId="9322"/>
    <cellStyle name="표준 6 30 2 3 2" xfId="21995"/>
    <cellStyle name="표준 6 30 2 3 2 2" xfId="47347"/>
    <cellStyle name="표준 6 30 2 3 3" xfId="34675"/>
    <cellStyle name="표준 6 30 2 4" xfId="15659"/>
    <cellStyle name="표준 6 30 2 4 2" xfId="41011"/>
    <cellStyle name="표준 6 30 2 5" xfId="28339"/>
    <cellStyle name="표준 6 30 2 6" xfId="56624"/>
    <cellStyle name="표준 6 30 3" xfId="6148"/>
    <cellStyle name="표준 6 30 3 2" xfId="12484"/>
    <cellStyle name="표준 6 30 3 2 2" xfId="25157"/>
    <cellStyle name="표준 6 30 3 2 2 2" xfId="50509"/>
    <cellStyle name="표준 6 30 3 2 3" xfId="37837"/>
    <cellStyle name="표준 6 30 3 3" xfId="18821"/>
    <cellStyle name="표준 6 30 3 3 2" xfId="44173"/>
    <cellStyle name="표준 6 30 3 4" xfId="31501"/>
    <cellStyle name="표준 6 30 3 5" xfId="56625"/>
    <cellStyle name="표준 6 30 4" xfId="9321"/>
    <cellStyle name="표준 6 30 4 2" xfId="21994"/>
    <cellStyle name="표준 6 30 4 2 2" xfId="47346"/>
    <cellStyle name="표준 6 30 4 3" xfId="34674"/>
    <cellStyle name="표준 6 30 5" xfId="15658"/>
    <cellStyle name="표준 6 30 5 2" xfId="41010"/>
    <cellStyle name="표준 6 30 6" xfId="28338"/>
    <cellStyle name="표준 6 30 7" xfId="56626"/>
    <cellStyle name="표준 6 31" xfId="2986"/>
    <cellStyle name="표준 6 31 2" xfId="2987"/>
    <cellStyle name="표준 6 31 2 2" xfId="6149"/>
    <cellStyle name="표준 6 31 2 2 2" xfId="12485"/>
    <cellStyle name="표준 6 31 2 2 2 2" xfId="25158"/>
    <cellStyle name="표준 6 31 2 2 2 2 2" xfId="50510"/>
    <cellStyle name="표준 6 31 2 2 2 3" xfId="37838"/>
    <cellStyle name="표준 6 31 2 2 3" xfId="18822"/>
    <cellStyle name="표준 6 31 2 2 3 2" xfId="44174"/>
    <cellStyle name="표준 6 31 2 2 4" xfId="31502"/>
    <cellStyle name="표준 6 31 2 2 5" xfId="56627"/>
    <cellStyle name="표준 6 31 2 3" xfId="9324"/>
    <cellStyle name="표준 6 31 2 3 2" xfId="21997"/>
    <cellStyle name="표준 6 31 2 3 2 2" xfId="47349"/>
    <cellStyle name="표준 6 31 2 3 3" xfId="34677"/>
    <cellStyle name="표준 6 31 2 4" xfId="15661"/>
    <cellStyle name="표준 6 31 2 4 2" xfId="41013"/>
    <cellStyle name="표준 6 31 2 5" xfId="28341"/>
    <cellStyle name="표준 6 31 2 6" xfId="56628"/>
    <cellStyle name="표준 6 31 3" xfId="6150"/>
    <cellStyle name="표준 6 31 3 2" xfId="12486"/>
    <cellStyle name="표준 6 31 3 2 2" xfId="25159"/>
    <cellStyle name="표준 6 31 3 2 2 2" xfId="50511"/>
    <cellStyle name="표준 6 31 3 2 3" xfId="37839"/>
    <cellStyle name="표준 6 31 3 3" xfId="18823"/>
    <cellStyle name="표준 6 31 3 3 2" xfId="44175"/>
    <cellStyle name="표준 6 31 3 4" xfId="31503"/>
    <cellStyle name="표준 6 31 3 5" xfId="56629"/>
    <cellStyle name="표준 6 31 4" xfId="9323"/>
    <cellStyle name="표준 6 31 4 2" xfId="21996"/>
    <cellStyle name="표준 6 31 4 2 2" xfId="47348"/>
    <cellStyle name="표준 6 31 4 3" xfId="34676"/>
    <cellStyle name="표준 6 31 5" xfId="15660"/>
    <cellStyle name="표준 6 31 5 2" xfId="41012"/>
    <cellStyle name="표준 6 31 6" xfId="28340"/>
    <cellStyle name="표준 6 31 7" xfId="56630"/>
    <cellStyle name="표준 6 32" xfId="2988"/>
    <cellStyle name="표준 6 32 2" xfId="2989"/>
    <cellStyle name="표준 6 32 2 2" xfId="6151"/>
    <cellStyle name="표준 6 32 2 2 2" xfId="12487"/>
    <cellStyle name="표준 6 32 2 2 2 2" xfId="25160"/>
    <cellStyle name="표준 6 32 2 2 2 2 2" xfId="50512"/>
    <cellStyle name="표준 6 32 2 2 2 3" xfId="37840"/>
    <cellStyle name="표준 6 32 2 2 3" xfId="18824"/>
    <cellStyle name="표준 6 32 2 2 3 2" xfId="44176"/>
    <cellStyle name="표준 6 32 2 2 4" xfId="31504"/>
    <cellStyle name="표준 6 32 2 2 5" xfId="56631"/>
    <cellStyle name="표준 6 32 2 3" xfId="9326"/>
    <cellStyle name="표준 6 32 2 3 2" xfId="21999"/>
    <cellStyle name="표준 6 32 2 3 2 2" xfId="47351"/>
    <cellStyle name="표준 6 32 2 3 3" xfId="34679"/>
    <cellStyle name="표준 6 32 2 4" xfId="15663"/>
    <cellStyle name="표준 6 32 2 4 2" xfId="41015"/>
    <cellStyle name="표준 6 32 2 5" xfId="28343"/>
    <cellStyle name="표준 6 32 2 6" xfId="56632"/>
    <cellStyle name="표준 6 32 3" xfId="6152"/>
    <cellStyle name="표준 6 32 3 2" xfId="12488"/>
    <cellStyle name="표준 6 32 3 2 2" xfId="25161"/>
    <cellStyle name="표준 6 32 3 2 2 2" xfId="50513"/>
    <cellStyle name="표준 6 32 3 2 3" xfId="37841"/>
    <cellStyle name="표준 6 32 3 3" xfId="18825"/>
    <cellStyle name="표준 6 32 3 3 2" xfId="44177"/>
    <cellStyle name="표준 6 32 3 4" xfId="31505"/>
    <cellStyle name="표준 6 32 3 5" xfId="56633"/>
    <cellStyle name="표준 6 32 4" xfId="9325"/>
    <cellStyle name="표준 6 32 4 2" xfId="21998"/>
    <cellStyle name="표준 6 32 4 2 2" xfId="47350"/>
    <cellStyle name="표준 6 32 4 3" xfId="34678"/>
    <cellStyle name="표준 6 32 5" xfId="15662"/>
    <cellStyle name="표준 6 32 5 2" xfId="41014"/>
    <cellStyle name="표준 6 32 6" xfId="28342"/>
    <cellStyle name="표준 6 32 7" xfId="56634"/>
    <cellStyle name="표준 6 33" xfId="2990"/>
    <cellStyle name="표준 6 33 2" xfId="2991"/>
    <cellStyle name="표준 6 33 2 2" xfId="6153"/>
    <cellStyle name="표준 6 33 2 2 2" xfId="12489"/>
    <cellStyle name="표준 6 33 2 2 2 2" xfId="25162"/>
    <cellStyle name="표준 6 33 2 2 2 2 2" xfId="50514"/>
    <cellStyle name="표준 6 33 2 2 2 3" xfId="37842"/>
    <cellStyle name="표준 6 33 2 2 3" xfId="18826"/>
    <cellStyle name="표준 6 33 2 2 3 2" xfId="44178"/>
    <cellStyle name="표준 6 33 2 2 4" xfId="31506"/>
    <cellStyle name="표준 6 33 2 2 5" xfId="56635"/>
    <cellStyle name="표준 6 33 2 3" xfId="9328"/>
    <cellStyle name="표준 6 33 2 3 2" xfId="22001"/>
    <cellStyle name="표준 6 33 2 3 2 2" xfId="47353"/>
    <cellStyle name="표준 6 33 2 3 3" xfId="34681"/>
    <cellStyle name="표준 6 33 2 4" xfId="15665"/>
    <cellStyle name="표준 6 33 2 4 2" xfId="41017"/>
    <cellStyle name="표준 6 33 2 5" xfId="28345"/>
    <cellStyle name="표준 6 33 2 6" xfId="56636"/>
    <cellStyle name="표준 6 33 3" xfId="6154"/>
    <cellStyle name="표준 6 33 3 2" xfId="12490"/>
    <cellStyle name="표준 6 33 3 2 2" xfId="25163"/>
    <cellStyle name="표준 6 33 3 2 2 2" xfId="50515"/>
    <cellStyle name="표준 6 33 3 2 3" xfId="37843"/>
    <cellStyle name="표준 6 33 3 3" xfId="18827"/>
    <cellStyle name="표준 6 33 3 3 2" xfId="44179"/>
    <cellStyle name="표준 6 33 3 4" xfId="31507"/>
    <cellStyle name="표준 6 33 3 5" xfId="56637"/>
    <cellStyle name="표준 6 33 4" xfId="9327"/>
    <cellStyle name="표준 6 33 4 2" xfId="22000"/>
    <cellStyle name="표준 6 33 4 2 2" xfId="47352"/>
    <cellStyle name="표준 6 33 4 3" xfId="34680"/>
    <cellStyle name="표준 6 33 5" xfId="15664"/>
    <cellStyle name="표준 6 33 5 2" xfId="41016"/>
    <cellStyle name="표준 6 33 6" xfId="28344"/>
    <cellStyle name="표준 6 33 7" xfId="56638"/>
    <cellStyle name="표준 6 34" xfId="2992"/>
    <cellStyle name="표준 6 34 2" xfId="2993"/>
    <cellStyle name="표준 6 34 2 2" xfId="6155"/>
    <cellStyle name="표준 6 34 2 2 2" xfId="12491"/>
    <cellStyle name="표준 6 34 2 2 2 2" xfId="25164"/>
    <cellStyle name="표준 6 34 2 2 2 2 2" xfId="50516"/>
    <cellStyle name="표준 6 34 2 2 2 3" xfId="37844"/>
    <cellStyle name="표준 6 34 2 2 3" xfId="18828"/>
    <cellStyle name="표준 6 34 2 2 3 2" xfId="44180"/>
    <cellStyle name="표준 6 34 2 2 4" xfId="31508"/>
    <cellStyle name="표준 6 34 2 2 5" xfId="56639"/>
    <cellStyle name="표준 6 34 2 3" xfId="9330"/>
    <cellStyle name="표준 6 34 2 3 2" xfId="22003"/>
    <cellStyle name="표준 6 34 2 3 2 2" xfId="47355"/>
    <cellStyle name="표준 6 34 2 3 3" xfId="34683"/>
    <cellStyle name="표준 6 34 2 4" xfId="15667"/>
    <cellStyle name="표준 6 34 2 4 2" xfId="41019"/>
    <cellStyle name="표준 6 34 2 5" xfId="28347"/>
    <cellStyle name="표준 6 34 2 6" xfId="56640"/>
    <cellStyle name="표준 6 34 3" xfId="6156"/>
    <cellStyle name="표준 6 34 3 2" xfId="12492"/>
    <cellStyle name="표준 6 34 3 2 2" xfId="25165"/>
    <cellStyle name="표준 6 34 3 2 2 2" xfId="50517"/>
    <cellStyle name="표준 6 34 3 2 3" xfId="37845"/>
    <cellStyle name="표준 6 34 3 3" xfId="18829"/>
    <cellStyle name="표준 6 34 3 3 2" xfId="44181"/>
    <cellStyle name="표준 6 34 3 4" xfId="31509"/>
    <cellStyle name="표준 6 34 3 5" xfId="56641"/>
    <cellStyle name="표준 6 34 4" xfId="9329"/>
    <cellStyle name="표준 6 34 4 2" xfId="22002"/>
    <cellStyle name="표준 6 34 4 2 2" xfId="47354"/>
    <cellStyle name="표준 6 34 4 3" xfId="34682"/>
    <cellStyle name="표준 6 34 5" xfId="15666"/>
    <cellStyle name="표준 6 34 5 2" xfId="41018"/>
    <cellStyle name="표준 6 34 6" xfId="28346"/>
    <cellStyle name="표준 6 34 7" xfId="56642"/>
    <cellStyle name="표준 6 35" xfId="2994"/>
    <cellStyle name="표준 6 35 2" xfId="2995"/>
    <cellStyle name="표준 6 35 2 2" xfId="6157"/>
    <cellStyle name="표준 6 35 2 2 2" xfId="12493"/>
    <cellStyle name="표준 6 35 2 2 2 2" xfId="25166"/>
    <cellStyle name="표준 6 35 2 2 2 2 2" xfId="50518"/>
    <cellStyle name="표준 6 35 2 2 2 3" xfId="37846"/>
    <cellStyle name="표준 6 35 2 2 3" xfId="18830"/>
    <cellStyle name="표준 6 35 2 2 3 2" xfId="44182"/>
    <cellStyle name="표준 6 35 2 2 4" xfId="31510"/>
    <cellStyle name="표준 6 35 2 2 5" xfId="56643"/>
    <cellStyle name="표준 6 35 2 3" xfId="9332"/>
    <cellStyle name="표준 6 35 2 3 2" xfId="22005"/>
    <cellStyle name="표준 6 35 2 3 2 2" xfId="47357"/>
    <cellStyle name="표준 6 35 2 3 3" xfId="34685"/>
    <cellStyle name="표준 6 35 2 4" xfId="15669"/>
    <cellStyle name="표준 6 35 2 4 2" xfId="41021"/>
    <cellStyle name="표준 6 35 2 5" xfId="28349"/>
    <cellStyle name="표준 6 35 2 6" xfId="56644"/>
    <cellStyle name="표준 6 35 3" xfId="6158"/>
    <cellStyle name="표준 6 35 3 2" xfId="12494"/>
    <cellStyle name="표준 6 35 3 2 2" xfId="25167"/>
    <cellStyle name="표준 6 35 3 2 2 2" xfId="50519"/>
    <cellStyle name="표준 6 35 3 2 3" xfId="37847"/>
    <cellStyle name="표준 6 35 3 3" xfId="18831"/>
    <cellStyle name="표준 6 35 3 3 2" xfId="44183"/>
    <cellStyle name="표준 6 35 3 4" xfId="31511"/>
    <cellStyle name="표준 6 35 3 5" xfId="56645"/>
    <cellStyle name="표준 6 35 4" xfId="9331"/>
    <cellStyle name="표준 6 35 4 2" xfId="22004"/>
    <cellStyle name="표준 6 35 4 2 2" xfId="47356"/>
    <cellStyle name="표준 6 35 4 3" xfId="34684"/>
    <cellStyle name="표준 6 35 5" xfId="15668"/>
    <cellStyle name="표준 6 35 5 2" xfId="41020"/>
    <cellStyle name="표준 6 35 6" xfId="28348"/>
    <cellStyle name="표준 6 35 7" xfId="56646"/>
    <cellStyle name="표준 6 36" xfId="2996"/>
    <cellStyle name="표준 6 36 2" xfId="2997"/>
    <cellStyle name="표준 6 36 2 2" xfId="6159"/>
    <cellStyle name="표준 6 36 2 2 2" xfId="12495"/>
    <cellStyle name="표준 6 36 2 2 2 2" xfId="25168"/>
    <cellStyle name="표준 6 36 2 2 2 2 2" xfId="50520"/>
    <cellStyle name="표준 6 36 2 2 2 3" xfId="37848"/>
    <cellStyle name="표준 6 36 2 2 3" xfId="18832"/>
    <cellStyle name="표준 6 36 2 2 3 2" xfId="44184"/>
    <cellStyle name="표준 6 36 2 2 4" xfId="31512"/>
    <cellStyle name="표준 6 36 2 2 5" xfId="56647"/>
    <cellStyle name="표준 6 36 2 3" xfId="9334"/>
    <cellStyle name="표준 6 36 2 3 2" xfId="22007"/>
    <cellStyle name="표준 6 36 2 3 2 2" xfId="47359"/>
    <cellStyle name="표준 6 36 2 3 3" xfId="34687"/>
    <cellStyle name="표준 6 36 2 4" xfId="15671"/>
    <cellStyle name="표준 6 36 2 4 2" xfId="41023"/>
    <cellStyle name="표준 6 36 2 5" xfId="28351"/>
    <cellStyle name="표준 6 36 2 6" xfId="56648"/>
    <cellStyle name="표준 6 36 3" xfId="6160"/>
    <cellStyle name="표준 6 36 3 2" xfId="12496"/>
    <cellStyle name="표준 6 36 3 2 2" xfId="25169"/>
    <cellStyle name="표준 6 36 3 2 2 2" xfId="50521"/>
    <cellStyle name="표준 6 36 3 2 3" xfId="37849"/>
    <cellStyle name="표준 6 36 3 3" xfId="18833"/>
    <cellStyle name="표준 6 36 3 3 2" xfId="44185"/>
    <cellStyle name="표준 6 36 3 4" xfId="31513"/>
    <cellStyle name="표준 6 36 3 5" xfId="56649"/>
    <cellStyle name="표준 6 36 4" xfId="9333"/>
    <cellStyle name="표준 6 36 4 2" xfId="22006"/>
    <cellStyle name="표준 6 36 4 2 2" xfId="47358"/>
    <cellStyle name="표준 6 36 4 3" xfId="34686"/>
    <cellStyle name="표준 6 36 5" xfId="15670"/>
    <cellStyle name="표준 6 36 5 2" xfId="41022"/>
    <cellStyle name="표준 6 36 6" xfId="28350"/>
    <cellStyle name="표준 6 36 7" xfId="56650"/>
    <cellStyle name="표준 6 37" xfId="2998"/>
    <cellStyle name="표준 6 37 2" xfId="2999"/>
    <cellStyle name="표준 6 37 2 2" xfId="6161"/>
    <cellStyle name="표준 6 37 2 2 2" xfId="12497"/>
    <cellStyle name="표준 6 37 2 2 2 2" xfId="25170"/>
    <cellStyle name="표준 6 37 2 2 2 2 2" xfId="50522"/>
    <cellStyle name="표준 6 37 2 2 2 3" xfId="37850"/>
    <cellStyle name="표준 6 37 2 2 3" xfId="18834"/>
    <cellStyle name="표준 6 37 2 2 3 2" xfId="44186"/>
    <cellStyle name="표준 6 37 2 2 4" xfId="31514"/>
    <cellStyle name="표준 6 37 2 2 5" xfId="56651"/>
    <cellStyle name="표준 6 37 2 3" xfId="9336"/>
    <cellStyle name="표준 6 37 2 3 2" xfId="22009"/>
    <cellStyle name="표준 6 37 2 3 2 2" xfId="47361"/>
    <cellStyle name="표준 6 37 2 3 3" xfId="34689"/>
    <cellStyle name="표준 6 37 2 4" xfId="15673"/>
    <cellStyle name="표준 6 37 2 4 2" xfId="41025"/>
    <cellStyle name="표준 6 37 2 5" xfId="28353"/>
    <cellStyle name="표준 6 37 2 6" xfId="56652"/>
    <cellStyle name="표준 6 37 3" xfId="6162"/>
    <cellStyle name="표준 6 37 3 2" xfId="12498"/>
    <cellStyle name="표준 6 37 3 2 2" xfId="25171"/>
    <cellStyle name="표준 6 37 3 2 2 2" xfId="50523"/>
    <cellStyle name="표준 6 37 3 2 3" xfId="37851"/>
    <cellStyle name="표준 6 37 3 3" xfId="18835"/>
    <cellStyle name="표준 6 37 3 3 2" xfId="44187"/>
    <cellStyle name="표준 6 37 3 4" xfId="31515"/>
    <cellStyle name="표준 6 37 3 5" xfId="56653"/>
    <cellStyle name="표준 6 37 4" xfId="9335"/>
    <cellStyle name="표준 6 37 4 2" xfId="22008"/>
    <cellStyle name="표준 6 37 4 2 2" xfId="47360"/>
    <cellStyle name="표준 6 37 4 3" xfId="34688"/>
    <cellStyle name="표준 6 37 5" xfId="15672"/>
    <cellStyle name="표준 6 37 5 2" xfId="41024"/>
    <cellStyle name="표준 6 37 6" xfId="28352"/>
    <cellStyle name="표준 6 37 7" xfId="56654"/>
    <cellStyle name="표준 6 38" xfId="3000"/>
    <cellStyle name="표준 6 38 2" xfId="6163"/>
    <cellStyle name="표준 6 38 2 2" xfId="12499"/>
    <cellStyle name="표준 6 38 2 2 2" xfId="25172"/>
    <cellStyle name="표준 6 38 2 2 2 2" xfId="50524"/>
    <cellStyle name="표준 6 38 2 2 3" xfId="37852"/>
    <cellStyle name="표준 6 38 2 3" xfId="18836"/>
    <cellStyle name="표준 6 38 2 3 2" xfId="44188"/>
    <cellStyle name="표준 6 38 2 4" xfId="31516"/>
    <cellStyle name="표준 6 38 2 5" xfId="56655"/>
    <cellStyle name="표준 6 38 3" xfId="9337"/>
    <cellStyle name="표준 6 38 3 2" xfId="22010"/>
    <cellStyle name="표준 6 38 3 2 2" xfId="47362"/>
    <cellStyle name="표준 6 38 3 3" xfId="34690"/>
    <cellStyle name="표준 6 38 4" xfId="15674"/>
    <cellStyle name="표준 6 38 4 2" xfId="41026"/>
    <cellStyle name="표준 6 38 5" xfId="28354"/>
    <cellStyle name="표준 6 38 6" xfId="56656"/>
    <cellStyle name="표준 6 39" xfId="6164"/>
    <cellStyle name="표준 6 39 2" xfId="12500"/>
    <cellStyle name="표준 6 39 2 2" xfId="25173"/>
    <cellStyle name="표준 6 39 2 2 2" xfId="50525"/>
    <cellStyle name="표준 6 39 2 3" xfId="37853"/>
    <cellStyle name="표준 6 39 3" xfId="18837"/>
    <cellStyle name="표준 6 39 3 2" xfId="44189"/>
    <cellStyle name="표준 6 39 4" xfId="31517"/>
    <cellStyle name="표준 6 39 5" xfId="56657"/>
    <cellStyle name="표준 6 4" xfId="24"/>
    <cellStyle name="표준 6 4 10" xfId="3001"/>
    <cellStyle name="표준 6 4 10 2" xfId="3002"/>
    <cellStyle name="표준 6 4 10 2 2" xfId="6165"/>
    <cellStyle name="표준 6 4 10 2 2 2" xfId="12501"/>
    <cellStyle name="표준 6 4 10 2 2 2 2" xfId="25174"/>
    <cellStyle name="표준 6 4 10 2 2 2 2 2" xfId="50526"/>
    <cellStyle name="표준 6 4 10 2 2 2 3" xfId="37854"/>
    <cellStyle name="표준 6 4 10 2 2 3" xfId="18838"/>
    <cellStyle name="표준 6 4 10 2 2 3 2" xfId="44190"/>
    <cellStyle name="표준 6 4 10 2 2 4" xfId="31518"/>
    <cellStyle name="표준 6 4 10 2 2 5" xfId="56658"/>
    <cellStyle name="표준 6 4 10 2 3" xfId="9339"/>
    <cellStyle name="표준 6 4 10 2 3 2" xfId="22012"/>
    <cellStyle name="표준 6 4 10 2 3 2 2" xfId="47364"/>
    <cellStyle name="표준 6 4 10 2 3 3" xfId="34692"/>
    <cellStyle name="표준 6 4 10 2 4" xfId="15676"/>
    <cellStyle name="표준 6 4 10 2 4 2" xfId="41028"/>
    <cellStyle name="표준 6 4 10 2 5" xfId="28356"/>
    <cellStyle name="표준 6 4 10 2 6" xfId="56659"/>
    <cellStyle name="표준 6 4 10 3" xfId="6166"/>
    <cellStyle name="표준 6 4 10 3 2" xfId="12502"/>
    <cellStyle name="표준 6 4 10 3 2 2" xfId="25175"/>
    <cellStyle name="표준 6 4 10 3 2 2 2" xfId="50527"/>
    <cellStyle name="표준 6 4 10 3 2 3" xfId="37855"/>
    <cellStyle name="표준 6 4 10 3 3" xfId="18839"/>
    <cellStyle name="표준 6 4 10 3 3 2" xfId="44191"/>
    <cellStyle name="표준 6 4 10 3 4" xfId="31519"/>
    <cellStyle name="표준 6 4 10 3 5" xfId="56660"/>
    <cellStyle name="표준 6 4 10 4" xfId="9338"/>
    <cellStyle name="표준 6 4 10 4 2" xfId="22011"/>
    <cellStyle name="표준 6 4 10 4 2 2" xfId="47363"/>
    <cellStyle name="표준 6 4 10 4 3" xfId="34691"/>
    <cellStyle name="표준 6 4 10 5" xfId="15675"/>
    <cellStyle name="표준 6 4 10 5 2" xfId="41027"/>
    <cellStyle name="표준 6 4 10 6" xfId="28355"/>
    <cellStyle name="표준 6 4 10 7" xfId="56661"/>
    <cellStyle name="표준 6 4 11" xfId="3003"/>
    <cellStyle name="표준 6 4 11 2" xfId="3004"/>
    <cellStyle name="표준 6 4 11 2 2" xfId="6167"/>
    <cellStyle name="표준 6 4 11 2 2 2" xfId="12503"/>
    <cellStyle name="표준 6 4 11 2 2 2 2" xfId="25176"/>
    <cellStyle name="표준 6 4 11 2 2 2 2 2" xfId="50528"/>
    <cellStyle name="표준 6 4 11 2 2 2 3" xfId="37856"/>
    <cellStyle name="표준 6 4 11 2 2 3" xfId="18840"/>
    <cellStyle name="표준 6 4 11 2 2 3 2" xfId="44192"/>
    <cellStyle name="표준 6 4 11 2 2 4" xfId="31520"/>
    <cellStyle name="표준 6 4 11 2 2 5" xfId="56662"/>
    <cellStyle name="표준 6 4 11 2 3" xfId="9341"/>
    <cellStyle name="표준 6 4 11 2 3 2" xfId="22014"/>
    <cellStyle name="표준 6 4 11 2 3 2 2" xfId="47366"/>
    <cellStyle name="표준 6 4 11 2 3 3" xfId="34694"/>
    <cellStyle name="표준 6 4 11 2 4" xfId="15678"/>
    <cellStyle name="표준 6 4 11 2 4 2" xfId="41030"/>
    <cellStyle name="표준 6 4 11 2 5" xfId="28358"/>
    <cellStyle name="표준 6 4 11 2 6" xfId="56663"/>
    <cellStyle name="표준 6 4 11 3" xfId="6168"/>
    <cellStyle name="표준 6 4 11 3 2" xfId="12504"/>
    <cellStyle name="표준 6 4 11 3 2 2" xfId="25177"/>
    <cellStyle name="표준 6 4 11 3 2 2 2" xfId="50529"/>
    <cellStyle name="표준 6 4 11 3 2 3" xfId="37857"/>
    <cellStyle name="표준 6 4 11 3 3" xfId="18841"/>
    <cellStyle name="표준 6 4 11 3 3 2" xfId="44193"/>
    <cellStyle name="표준 6 4 11 3 4" xfId="31521"/>
    <cellStyle name="표준 6 4 11 3 5" xfId="56664"/>
    <cellStyle name="표준 6 4 11 4" xfId="9340"/>
    <cellStyle name="표준 6 4 11 4 2" xfId="22013"/>
    <cellStyle name="표준 6 4 11 4 2 2" xfId="47365"/>
    <cellStyle name="표준 6 4 11 4 3" xfId="34693"/>
    <cellStyle name="표준 6 4 11 5" xfId="15677"/>
    <cellStyle name="표준 6 4 11 5 2" xfId="41029"/>
    <cellStyle name="표준 6 4 11 6" xfId="28357"/>
    <cellStyle name="표준 6 4 11 7" xfId="56665"/>
    <cellStyle name="표준 6 4 12" xfId="3005"/>
    <cellStyle name="표준 6 4 12 2" xfId="3006"/>
    <cellStyle name="표준 6 4 12 2 2" xfId="6169"/>
    <cellStyle name="표준 6 4 12 2 2 2" xfId="12505"/>
    <cellStyle name="표준 6 4 12 2 2 2 2" xfId="25178"/>
    <cellStyle name="표준 6 4 12 2 2 2 2 2" xfId="50530"/>
    <cellStyle name="표준 6 4 12 2 2 2 3" xfId="37858"/>
    <cellStyle name="표준 6 4 12 2 2 3" xfId="18842"/>
    <cellStyle name="표준 6 4 12 2 2 3 2" xfId="44194"/>
    <cellStyle name="표준 6 4 12 2 2 4" xfId="31522"/>
    <cellStyle name="표준 6 4 12 2 2 5" xfId="56666"/>
    <cellStyle name="표준 6 4 12 2 3" xfId="9343"/>
    <cellStyle name="표준 6 4 12 2 3 2" xfId="22016"/>
    <cellStyle name="표준 6 4 12 2 3 2 2" xfId="47368"/>
    <cellStyle name="표준 6 4 12 2 3 3" xfId="34696"/>
    <cellStyle name="표준 6 4 12 2 4" xfId="15680"/>
    <cellStyle name="표준 6 4 12 2 4 2" xfId="41032"/>
    <cellStyle name="표준 6 4 12 2 5" xfId="28360"/>
    <cellStyle name="표준 6 4 12 2 6" xfId="56667"/>
    <cellStyle name="표준 6 4 12 3" xfId="6170"/>
    <cellStyle name="표준 6 4 12 3 2" xfId="12506"/>
    <cellStyle name="표준 6 4 12 3 2 2" xfId="25179"/>
    <cellStyle name="표준 6 4 12 3 2 2 2" xfId="50531"/>
    <cellStyle name="표준 6 4 12 3 2 3" xfId="37859"/>
    <cellStyle name="표준 6 4 12 3 3" xfId="18843"/>
    <cellStyle name="표준 6 4 12 3 3 2" xfId="44195"/>
    <cellStyle name="표준 6 4 12 3 4" xfId="31523"/>
    <cellStyle name="표준 6 4 12 3 5" xfId="56668"/>
    <cellStyle name="표준 6 4 12 4" xfId="9342"/>
    <cellStyle name="표준 6 4 12 4 2" xfId="22015"/>
    <cellStyle name="표준 6 4 12 4 2 2" xfId="47367"/>
    <cellStyle name="표준 6 4 12 4 3" xfId="34695"/>
    <cellStyle name="표준 6 4 12 5" xfId="15679"/>
    <cellStyle name="표준 6 4 12 5 2" xfId="41031"/>
    <cellStyle name="표준 6 4 12 6" xfId="28359"/>
    <cellStyle name="표준 6 4 12 7" xfId="56669"/>
    <cellStyle name="표준 6 4 13" xfId="3007"/>
    <cellStyle name="표준 6 4 13 2" xfId="3008"/>
    <cellStyle name="표준 6 4 13 2 2" xfId="6171"/>
    <cellStyle name="표준 6 4 13 2 2 2" xfId="12507"/>
    <cellStyle name="표준 6 4 13 2 2 2 2" xfId="25180"/>
    <cellStyle name="표준 6 4 13 2 2 2 2 2" xfId="50532"/>
    <cellStyle name="표준 6 4 13 2 2 2 3" xfId="37860"/>
    <cellStyle name="표준 6 4 13 2 2 3" xfId="18844"/>
    <cellStyle name="표준 6 4 13 2 2 3 2" xfId="44196"/>
    <cellStyle name="표준 6 4 13 2 2 4" xfId="31524"/>
    <cellStyle name="표준 6 4 13 2 2 5" xfId="56670"/>
    <cellStyle name="표준 6 4 13 2 3" xfId="9345"/>
    <cellStyle name="표준 6 4 13 2 3 2" xfId="22018"/>
    <cellStyle name="표준 6 4 13 2 3 2 2" xfId="47370"/>
    <cellStyle name="표준 6 4 13 2 3 3" xfId="34698"/>
    <cellStyle name="표준 6 4 13 2 4" xfId="15682"/>
    <cellStyle name="표준 6 4 13 2 4 2" xfId="41034"/>
    <cellStyle name="표준 6 4 13 2 5" xfId="28362"/>
    <cellStyle name="표준 6 4 13 2 6" xfId="56671"/>
    <cellStyle name="표준 6 4 13 3" xfId="6172"/>
    <cellStyle name="표준 6 4 13 3 2" xfId="12508"/>
    <cellStyle name="표준 6 4 13 3 2 2" xfId="25181"/>
    <cellStyle name="표준 6 4 13 3 2 2 2" xfId="50533"/>
    <cellStyle name="표준 6 4 13 3 2 3" xfId="37861"/>
    <cellStyle name="표준 6 4 13 3 3" xfId="18845"/>
    <cellStyle name="표준 6 4 13 3 3 2" xfId="44197"/>
    <cellStyle name="표준 6 4 13 3 4" xfId="31525"/>
    <cellStyle name="표준 6 4 13 3 5" xfId="56672"/>
    <cellStyle name="표준 6 4 13 4" xfId="9344"/>
    <cellStyle name="표준 6 4 13 4 2" xfId="22017"/>
    <cellStyle name="표준 6 4 13 4 2 2" xfId="47369"/>
    <cellStyle name="표준 6 4 13 4 3" xfId="34697"/>
    <cellStyle name="표준 6 4 13 5" xfId="15681"/>
    <cellStyle name="표준 6 4 13 5 2" xfId="41033"/>
    <cellStyle name="표준 6 4 13 6" xfId="28361"/>
    <cellStyle name="표준 6 4 13 7" xfId="56673"/>
    <cellStyle name="표준 6 4 14" xfId="3009"/>
    <cellStyle name="표준 6 4 14 2" xfId="3010"/>
    <cellStyle name="표준 6 4 14 2 2" xfId="6173"/>
    <cellStyle name="표준 6 4 14 2 2 2" xfId="12509"/>
    <cellStyle name="표준 6 4 14 2 2 2 2" xfId="25182"/>
    <cellStyle name="표준 6 4 14 2 2 2 2 2" xfId="50534"/>
    <cellStyle name="표준 6 4 14 2 2 2 3" xfId="37862"/>
    <cellStyle name="표준 6 4 14 2 2 3" xfId="18846"/>
    <cellStyle name="표준 6 4 14 2 2 3 2" xfId="44198"/>
    <cellStyle name="표준 6 4 14 2 2 4" xfId="31526"/>
    <cellStyle name="표준 6 4 14 2 2 5" xfId="56674"/>
    <cellStyle name="표준 6 4 14 2 3" xfId="9347"/>
    <cellStyle name="표준 6 4 14 2 3 2" xfId="22020"/>
    <cellStyle name="표준 6 4 14 2 3 2 2" xfId="47372"/>
    <cellStyle name="표준 6 4 14 2 3 3" xfId="34700"/>
    <cellStyle name="표준 6 4 14 2 4" xfId="15684"/>
    <cellStyle name="표준 6 4 14 2 4 2" xfId="41036"/>
    <cellStyle name="표준 6 4 14 2 5" xfId="28364"/>
    <cellStyle name="표준 6 4 14 2 6" xfId="56675"/>
    <cellStyle name="표준 6 4 14 3" xfId="6174"/>
    <cellStyle name="표준 6 4 14 3 2" xfId="12510"/>
    <cellStyle name="표준 6 4 14 3 2 2" xfId="25183"/>
    <cellStyle name="표준 6 4 14 3 2 2 2" xfId="50535"/>
    <cellStyle name="표준 6 4 14 3 2 3" xfId="37863"/>
    <cellStyle name="표준 6 4 14 3 3" xfId="18847"/>
    <cellStyle name="표준 6 4 14 3 3 2" xfId="44199"/>
    <cellStyle name="표준 6 4 14 3 4" xfId="31527"/>
    <cellStyle name="표준 6 4 14 3 5" xfId="56676"/>
    <cellStyle name="표준 6 4 14 4" xfId="9346"/>
    <cellStyle name="표준 6 4 14 4 2" xfId="22019"/>
    <cellStyle name="표준 6 4 14 4 2 2" xfId="47371"/>
    <cellStyle name="표준 6 4 14 4 3" xfId="34699"/>
    <cellStyle name="표준 6 4 14 5" xfId="15683"/>
    <cellStyle name="표준 6 4 14 5 2" xfId="41035"/>
    <cellStyle name="표준 6 4 14 6" xfId="28363"/>
    <cellStyle name="표준 6 4 14 7" xfId="56677"/>
    <cellStyle name="표준 6 4 15" xfId="3011"/>
    <cellStyle name="표준 6 4 15 2" xfId="3012"/>
    <cellStyle name="표준 6 4 15 2 2" xfId="6175"/>
    <cellStyle name="표준 6 4 15 2 2 2" xfId="12511"/>
    <cellStyle name="표준 6 4 15 2 2 2 2" xfId="25184"/>
    <cellStyle name="표준 6 4 15 2 2 2 2 2" xfId="50536"/>
    <cellStyle name="표준 6 4 15 2 2 2 3" xfId="37864"/>
    <cellStyle name="표준 6 4 15 2 2 3" xfId="18848"/>
    <cellStyle name="표준 6 4 15 2 2 3 2" xfId="44200"/>
    <cellStyle name="표준 6 4 15 2 2 4" xfId="31528"/>
    <cellStyle name="표준 6 4 15 2 2 5" xfId="56678"/>
    <cellStyle name="표준 6 4 15 2 3" xfId="9349"/>
    <cellStyle name="표준 6 4 15 2 3 2" xfId="22022"/>
    <cellStyle name="표준 6 4 15 2 3 2 2" xfId="47374"/>
    <cellStyle name="표준 6 4 15 2 3 3" xfId="34702"/>
    <cellStyle name="표준 6 4 15 2 4" xfId="15686"/>
    <cellStyle name="표준 6 4 15 2 4 2" xfId="41038"/>
    <cellStyle name="표준 6 4 15 2 5" xfId="28366"/>
    <cellStyle name="표준 6 4 15 2 6" xfId="56679"/>
    <cellStyle name="표준 6 4 15 3" xfId="6176"/>
    <cellStyle name="표준 6 4 15 3 2" xfId="12512"/>
    <cellStyle name="표준 6 4 15 3 2 2" xfId="25185"/>
    <cellStyle name="표준 6 4 15 3 2 2 2" xfId="50537"/>
    <cellStyle name="표준 6 4 15 3 2 3" xfId="37865"/>
    <cellStyle name="표준 6 4 15 3 3" xfId="18849"/>
    <cellStyle name="표준 6 4 15 3 3 2" xfId="44201"/>
    <cellStyle name="표준 6 4 15 3 4" xfId="31529"/>
    <cellStyle name="표준 6 4 15 3 5" xfId="56680"/>
    <cellStyle name="표준 6 4 15 4" xfId="9348"/>
    <cellStyle name="표준 6 4 15 4 2" xfId="22021"/>
    <cellStyle name="표준 6 4 15 4 2 2" xfId="47373"/>
    <cellStyle name="표준 6 4 15 4 3" xfId="34701"/>
    <cellStyle name="표준 6 4 15 5" xfId="15685"/>
    <cellStyle name="표준 6 4 15 5 2" xfId="41037"/>
    <cellStyle name="표준 6 4 15 6" xfId="28365"/>
    <cellStyle name="표준 6 4 15 7" xfId="56681"/>
    <cellStyle name="표준 6 4 16" xfId="3013"/>
    <cellStyle name="표준 6 4 16 2" xfId="3014"/>
    <cellStyle name="표준 6 4 16 2 2" xfId="6177"/>
    <cellStyle name="표준 6 4 16 2 2 2" xfId="12513"/>
    <cellStyle name="표준 6 4 16 2 2 2 2" xfId="25186"/>
    <cellStyle name="표준 6 4 16 2 2 2 2 2" xfId="50538"/>
    <cellStyle name="표준 6 4 16 2 2 2 3" xfId="37866"/>
    <cellStyle name="표준 6 4 16 2 2 3" xfId="18850"/>
    <cellStyle name="표준 6 4 16 2 2 3 2" xfId="44202"/>
    <cellStyle name="표준 6 4 16 2 2 4" xfId="31530"/>
    <cellStyle name="표준 6 4 16 2 2 5" xfId="56682"/>
    <cellStyle name="표준 6 4 16 2 3" xfId="9351"/>
    <cellStyle name="표준 6 4 16 2 3 2" xfId="22024"/>
    <cellStyle name="표준 6 4 16 2 3 2 2" xfId="47376"/>
    <cellStyle name="표준 6 4 16 2 3 3" xfId="34704"/>
    <cellStyle name="표준 6 4 16 2 4" xfId="15688"/>
    <cellStyle name="표준 6 4 16 2 4 2" xfId="41040"/>
    <cellStyle name="표준 6 4 16 2 5" xfId="28368"/>
    <cellStyle name="표준 6 4 16 2 6" xfId="56683"/>
    <cellStyle name="표준 6 4 16 3" xfId="6178"/>
    <cellStyle name="표준 6 4 16 3 2" xfId="12514"/>
    <cellStyle name="표준 6 4 16 3 2 2" xfId="25187"/>
    <cellStyle name="표준 6 4 16 3 2 2 2" xfId="50539"/>
    <cellStyle name="표준 6 4 16 3 2 3" xfId="37867"/>
    <cellStyle name="표준 6 4 16 3 3" xfId="18851"/>
    <cellStyle name="표준 6 4 16 3 3 2" xfId="44203"/>
    <cellStyle name="표준 6 4 16 3 4" xfId="31531"/>
    <cellStyle name="표준 6 4 16 3 5" xfId="56684"/>
    <cellStyle name="표준 6 4 16 4" xfId="9350"/>
    <cellStyle name="표준 6 4 16 4 2" xfId="22023"/>
    <cellStyle name="표준 6 4 16 4 2 2" xfId="47375"/>
    <cellStyle name="표준 6 4 16 4 3" xfId="34703"/>
    <cellStyle name="표준 6 4 16 5" xfId="15687"/>
    <cellStyle name="표준 6 4 16 5 2" xfId="41039"/>
    <cellStyle name="표준 6 4 16 6" xfId="28367"/>
    <cellStyle name="표준 6 4 16 7" xfId="56685"/>
    <cellStyle name="표준 6 4 17" xfId="3015"/>
    <cellStyle name="표준 6 4 17 2" xfId="3016"/>
    <cellStyle name="표준 6 4 17 2 2" xfId="6179"/>
    <cellStyle name="표준 6 4 17 2 2 2" xfId="12515"/>
    <cellStyle name="표준 6 4 17 2 2 2 2" xfId="25188"/>
    <cellStyle name="표준 6 4 17 2 2 2 2 2" xfId="50540"/>
    <cellStyle name="표준 6 4 17 2 2 2 3" xfId="37868"/>
    <cellStyle name="표준 6 4 17 2 2 3" xfId="18852"/>
    <cellStyle name="표준 6 4 17 2 2 3 2" xfId="44204"/>
    <cellStyle name="표준 6 4 17 2 2 4" xfId="31532"/>
    <cellStyle name="표준 6 4 17 2 2 5" xfId="56686"/>
    <cellStyle name="표준 6 4 17 2 3" xfId="9353"/>
    <cellStyle name="표준 6 4 17 2 3 2" xfId="22026"/>
    <cellStyle name="표준 6 4 17 2 3 2 2" xfId="47378"/>
    <cellStyle name="표준 6 4 17 2 3 3" xfId="34706"/>
    <cellStyle name="표준 6 4 17 2 4" xfId="15690"/>
    <cellStyle name="표준 6 4 17 2 4 2" xfId="41042"/>
    <cellStyle name="표준 6 4 17 2 5" xfId="28370"/>
    <cellStyle name="표준 6 4 17 2 6" xfId="56687"/>
    <cellStyle name="표준 6 4 17 3" xfId="6180"/>
    <cellStyle name="표준 6 4 17 3 2" xfId="12516"/>
    <cellStyle name="표준 6 4 17 3 2 2" xfId="25189"/>
    <cellStyle name="표준 6 4 17 3 2 2 2" xfId="50541"/>
    <cellStyle name="표준 6 4 17 3 2 3" xfId="37869"/>
    <cellStyle name="표준 6 4 17 3 3" xfId="18853"/>
    <cellStyle name="표준 6 4 17 3 3 2" xfId="44205"/>
    <cellStyle name="표준 6 4 17 3 4" xfId="31533"/>
    <cellStyle name="표준 6 4 17 3 5" xfId="56688"/>
    <cellStyle name="표준 6 4 17 4" xfId="9352"/>
    <cellStyle name="표준 6 4 17 4 2" xfId="22025"/>
    <cellStyle name="표준 6 4 17 4 2 2" xfId="47377"/>
    <cellStyle name="표준 6 4 17 4 3" xfId="34705"/>
    <cellStyle name="표준 6 4 17 5" xfId="15689"/>
    <cellStyle name="표준 6 4 17 5 2" xfId="41041"/>
    <cellStyle name="표준 6 4 17 6" xfId="28369"/>
    <cellStyle name="표준 6 4 17 7" xfId="56689"/>
    <cellStyle name="표준 6 4 18" xfId="3017"/>
    <cellStyle name="표준 6 4 18 2" xfId="3018"/>
    <cellStyle name="표준 6 4 18 2 2" xfId="6181"/>
    <cellStyle name="표준 6 4 18 2 2 2" xfId="12517"/>
    <cellStyle name="표준 6 4 18 2 2 2 2" xfId="25190"/>
    <cellStyle name="표준 6 4 18 2 2 2 2 2" xfId="50542"/>
    <cellStyle name="표준 6 4 18 2 2 2 3" xfId="37870"/>
    <cellStyle name="표준 6 4 18 2 2 3" xfId="18854"/>
    <cellStyle name="표준 6 4 18 2 2 3 2" xfId="44206"/>
    <cellStyle name="표준 6 4 18 2 2 4" xfId="31534"/>
    <cellStyle name="표준 6 4 18 2 2 5" xfId="56690"/>
    <cellStyle name="표준 6 4 18 2 3" xfId="9355"/>
    <cellStyle name="표준 6 4 18 2 3 2" xfId="22028"/>
    <cellStyle name="표준 6 4 18 2 3 2 2" xfId="47380"/>
    <cellStyle name="표준 6 4 18 2 3 3" xfId="34708"/>
    <cellStyle name="표준 6 4 18 2 4" xfId="15692"/>
    <cellStyle name="표준 6 4 18 2 4 2" xfId="41044"/>
    <cellStyle name="표준 6 4 18 2 5" xfId="28372"/>
    <cellStyle name="표준 6 4 18 2 6" xfId="56691"/>
    <cellStyle name="표준 6 4 18 3" xfId="6182"/>
    <cellStyle name="표준 6 4 18 3 2" xfId="12518"/>
    <cellStyle name="표준 6 4 18 3 2 2" xfId="25191"/>
    <cellStyle name="표준 6 4 18 3 2 2 2" xfId="50543"/>
    <cellStyle name="표준 6 4 18 3 2 3" xfId="37871"/>
    <cellStyle name="표준 6 4 18 3 3" xfId="18855"/>
    <cellStyle name="표준 6 4 18 3 3 2" xfId="44207"/>
    <cellStyle name="표준 6 4 18 3 4" xfId="31535"/>
    <cellStyle name="표준 6 4 18 3 5" xfId="56692"/>
    <cellStyle name="표준 6 4 18 4" xfId="9354"/>
    <cellStyle name="표준 6 4 18 4 2" xfId="22027"/>
    <cellStyle name="표준 6 4 18 4 2 2" xfId="47379"/>
    <cellStyle name="표준 6 4 18 4 3" xfId="34707"/>
    <cellStyle name="표준 6 4 18 5" xfId="15691"/>
    <cellStyle name="표준 6 4 18 5 2" xfId="41043"/>
    <cellStyle name="표준 6 4 18 6" xfId="28371"/>
    <cellStyle name="표준 6 4 18 7" xfId="56693"/>
    <cellStyle name="표준 6 4 19" xfId="3019"/>
    <cellStyle name="표준 6 4 19 2" xfId="3020"/>
    <cellStyle name="표준 6 4 19 2 2" xfId="6183"/>
    <cellStyle name="표준 6 4 19 2 2 2" xfId="12519"/>
    <cellStyle name="표준 6 4 19 2 2 2 2" xfId="25192"/>
    <cellStyle name="표준 6 4 19 2 2 2 2 2" xfId="50544"/>
    <cellStyle name="표준 6 4 19 2 2 2 3" xfId="37872"/>
    <cellStyle name="표준 6 4 19 2 2 3" xfId="18856"/>
    <cellStyle name="표준 6 4 19 2 2 3 2" xfId="44208"/>
    <cellStyle name="표준 6 4 19 2 2 4" xfId="31536"/>
    <cellStyle name="표준 6 4 19 2 2 5" xfId="56694"/>
    <cellStyle name="표준 6 4 19 2 3" xfId="9357"/>
    <cellStyle name="표준 6 4 19 2 3 2" xfId="22030"/>
    <cellStyle name="표준 6 4 19 2 3 2 2" xfId="47382"/>
    <cellStyle name="표준 6 4 19 2 3 3" xfId="34710"/>
    <cellStyle name="표준 6 4 19 2 4" xfId="15694"/>
    <cellStyle name="표준 6 4 19 2 4 2" xfId="41046"/>
    <cellStyle name="표준 6 4 19 2 5" xfId="28374"/>
    <cellStyle name="표준 6 4 19 2 6" xfId="56695"/>
    <cellStyle name="표준 6 4 19 3" xfId="6184"/>
    <cellStyle name="표준 6 4 19 3 2" xfId="12520"/>
    <cellStyle name="표준 6 4 19 3 2 2" xfId="25193"/>
    <cellStyle name="표준 6 4 19 3 2 2 2" xfId="50545"/>
    <cellStyle name="표준 6 4 19 3 2 3" xfId="37873"/>
    <cellStyle name="표준 6 4 19 3 3" xfId="18857"/>
    <cellStyle name="표준 6 4 19 3 3 2" xfId="44209"/>
    <cellStyle name="표준 6 4 19 3 4" xfId="31537"/>
    <cellStyle name="표준 6 4 19 3 5" xfId="56696"/>
    <cellStyle name="표준 6 4 19 4" xfId="9356"/>
    <cellStyle name="표준 6 4 19 4 2" xfId="22029"/>
    <cellStyle name="표준 6 4 19 4 2 2" xfId="47381"/>
    <cellStyle name="표준 6 4 19 4 3" xfId="34709"/>
    <cellStyle name="표준 6 4 19 5" xfId="15693"/>
    <cellStyle name="표준 6 4 19 5 2" xfId="41045"/>
    <cellStyle name="표준 6 4 19 6" xfId="28373"/>
    <cellStyle name="표준 6 4 19 7" xfId="56697"/>
    <cellStyle name="표준 6 4 2" xfId="101"/>
    <cellStyle name="표준 6 4 2 10" xfId="3021"/>
    <cellStyle name="표준 6 4 2 10 2" xfId="3022"/>
    <cellStyle name="표준 6 4 2 10 2 2" xfId="6185"/>
    <cellStyle name="표준 6 4 2 10 2 2 2" xfId="12521"/>
    <cellStyle name="표준 6 4 2 10 2 2 2 2" xfId="25194"/>
    <cellStyle name="표준 6 4 2 10 2 2 2 2 2" xfId="50546"/>
    <cellStyle name="표준 6 4 2 10 2 2 2 3" xfId="37874"/>
    <cellStyle name="표준 6 4 2 10 2 2 3" xfId="18858"/>
    <cellStyle name="표준 6 4 2 10 2 2 3 2" xfId="44210"/>
    <cellStyle name="표준 6 4 2 10 2 2 4" xfId="31538"/>
    <cellStyle name="표준 6 4 2 10 2 2 5" xfId="56698"/>
    <cellStyle name="표준 6 4 2 10 2 3" xfId="9359"/>
    <cellStyle name="표준 6 4 2 10 2 3 2" xfId="22032"/>
    <cellStyle name="표준 6 4 2 10 2 3 2 2" xfId="47384"/>
    <cellStyle name="표준 6 4 2 10 2 3 3" xfId="34712"/>
    <cellStyle name="표준 6 4 2 10 2 4" xfId="15696"/>
    <cellStyle name="표준 6 4 2 10 2 4 2" xfId="41048"/>
    <cellStyle name="표준 6 4 2 10 2 5" xfId="28376"/>
    <cellStyle name="표준 6 4 2 10 2 6" xfId="56699"/>
    <cellStyle name="표준 6 4 2 10 3" xfId="6186"/>
    <cellStyle name="표준 6 4 2 10 3 2" xfId="12522"/>
    <cellStyle name="표준 6 4 2 10 3 2 2" xfId="25195"/>
    <cellStyle name="표준 6 4 2 10 3 2 2 2" xfId="50547"/>
    <cellStyle name="표준 6 4 2 10 3 2 3" xfId="37875"/>
    <cellStyle name="표준 6 4 2 10 3 3" xfId="18859"/>
    <cellStyle name="표준 6 4 2 10 3 3 2" xfId="44211"/>
    <cellStyle name="표준 6 4 2 10 3 4" xfId="31539"/>
    <cellStyle name="표준 6 4 2 10 3 5" xfId="56700"/>
    <cellStyle name="표준 6 4 2 10 4" xfId="9358"/>
    <cellStyle name="표준 6 4 2 10 4 2" xfId="22031"/>
    <cellStyle name="표준 6 4 2 10 4 2 2" xfId="47383"/>
    <cellStyle name="표준 6 4 2 10 4 3" xfId="34711"/>
    <cellStyle name="표준 6 4 2 10 5" xfId="15695"/>
    <cellStyle name="표준 6 4 2 10 5 2" xfId="41047"/>
    <cellStyle name="표준 6 4 2 10 6" xfId="28375"/>
    <cellStyle name="표준 6 4 2 10 7" xfId="56701"/>
    <cellStyle name="표준 6 4 2 11" xfId="3023"/>
    <cellStyle name="표준 6 4 2 11 2" xfId="3024"/>
    <cellStyle name="표준 6 4 2 11 2 2" xfId="6187"/>
    <cellStyle name="표준 6 4 2 11 2 2 2" xfId="12523"/>
    <cellStyle name="표준 6 4 2 11 2 2 2 2" xfId="25196"/>
    <cellStyle name="표준 6 4 2 11 2 2 2 2 2" xfId="50548"/>
    <cellStyle name="표준 6 4 2 11 2 2 2 3" xfId="37876"/>
    <cellStyle name="표준 6 4 2 11 2 2 3" xfId="18860"/>
    <cellStyle name="표준 6 4 2 11 2 2 3 2" xfId="44212"/>
    <cellStyle name="표준 6 4 2 11 2 2 4" xfId="31540"/>
    <cellStyle name="표준 6 4 2 11 2 2 5" xfId="56702"/>
    <cellStyle name="표준 6 4 2 11 2 3" xfId="9361"/>
    <cellStyle name="표준 6 4 2 11 2 3 2" xfId="22034"/>
    <cellStyle name="표준 6 4 2 11 2 3 2 2" xfId="47386"/>
    <cellStyle name="표준 6 4 2 11 2 3 3" xfId="34714"/>
    <cellStyle name="표준 6 4 2 11 2 4" xfId="15698"/>
    <cellStyle name="표준 6 4 2 11 2 4 2" xfId="41050"/>
    <cellStyle name="표준 6 4 2 11 2 5" xfId="28378"/>
    <cellStyle name="표준 6 4 2 11 2 6" xfId="56703"/>
    <cellStyle name="표준 6 4 2 11 3" xfId="6188"/>
    <cellStyle name="표준 6 4 2 11 3 2" xfId="12524"/>
    <cellStyle name="표준 6 4 2 11 3 2 2" xfId="25197"/>
    <cellStyle name="표준 6 4 2 11 3 2 2 2" xfId="50549"/>
    <cellStyle name="표준 6 4 2 11 3 2 3" xfId="37877"/>
    <cellStyle name="표준 6 4 2 11 3 3" xfId="18861"/>
    <cellStyle name="표준 6 4 2 11 3 3 2" xfId="44213"/>
    <cellStyle name="표준 6 4 2 11 3 4" xfId="31541"/>
    <cellStyle name="표준 6 4 2 11 3 5" xfId="56704"/>
    <cellStyle name="표준 6 4 2 11 4" xfId="9360"/>
    <cellStyle name="표준 6 4 2 11 4 2" xfId="22033"/>
    <cellStyle name="표준 6 4 2 11 4 2 2" xfId="47385"/>
    <cellStyle name="표준 6 4 2 11 4 3" xfId="34713"/>
    <cellStyle name="표준 6 4 2 11 5" xfId="15697"/>
    <cellStyle name="표준 6 4 2 11 5 2" xfId="41049"/>
    <cellStyle name="표준 6 4 2 11 6" xfId="28377"/>
    <cellStyle name="표준 6 4 2 11 7" xfId="56705"/>
    <cellStyle name="표준 6 4 2 12" xfId="3025"/>
    <cellStyle name="표준 6 4 2 12 2" xfId="3026"/>
    <cellStyle name="표준 6 4 2 12 2 2" xfId="6189"/>
    <cellStyle name="표준 6 4 2 12 2 2 2" xfId="12525"/>
    <cellStyle name="표준 6 4 2 12 2 2 2 2" xfId="25198"/>
    <cellStyle name="표준 6 4 2 12 2 2 2 2 2" xfId="50550"/>
    <cellStyle name="표준 6 4 2 12 2 2 2 3" xfId="37878"/>
    <cellStyle name="표준 6 4 2 12 2 2 3" xfId="18862"/>
    <cellStyle name="표준 6 4 2 12 2 2 3 2" xfId="44214"/>
    <cellStyle name="표준 6 4 2 12 2 2 4" xfId="31542"/>
    <cellStyle name="표준 6 4 2 12 2 2 5" xfId="56706"/>
    <cellStyle name="표준 6 4 2 12 2 3" xfId="9363"/>
    <cellStyle name="표준 6 4 2 12 2 3 2" xfId="22036"/>
    <cellStyle name="표준 6 4 2 12 2 3 2 2" xfId="47388"/>
    <cellStyle name="표준 6 4 2 12 2 3 3" xfId="34716"/>
    <cellStyle name="표준 6 4 2 12 2 4" xfId="15700"/>
    <cellStyle name="표준 6 4 2 12 2 4 2" xfId="41052"/>
    <cellStyle name="표준 6 4 2 12 2 5" xfId="28380"/>
    <cellStyle name="표준 6 4 2 12 2 6" xfId="56707"/>
    <cellStyle name="표준 6 4 2 12 3" xfId="6190"/>
    <cellStyle name="표준 6 4 2 12 3 2" xfId="12526"/>
    <cellStyle name="표준 6 4 2 12 3 2 2" xfId="25199"/>
    <cellStyle name="표준 6 4 2 12 3 2 2 2" xfId="50551"/>
    <cellStyle name="표준 6 4 2 12 3 2 3" xfId="37879"/>
    <cellStyle name="표준 6 4 2 12 3 3" xfId="18863"/>
    <cellStyle name="표준 6 4 2 12 3 3 2" xfId="44215"/>
    <cellStyle name="표준 6 4 2 12 3 4" xfId="31543"/>
    <cellStyle name="표준 6 4 2 12 3 5" xfId="56708"/>
    <cellStyle name="표준 6 4 2 12 4" xfId="9362"/>
    <cellStyle name="표준 6 4 2 12 4 2" xfId="22035"/>
    <cellStyle name="표준 6 4 2 12 4 2 2" xfId="47387"/>
    <cellStyle name="표준 6 4 2 12 4 3" xfId="34715"/>
    <cellStyle name="표준 6 4 2 12 5" xfId="15699"/>
    <cellStyle name="표준 6 4 2 12 5 2" xfId="41051"/>
    <cellStyle name="표준 6 4 2 12 6" xfId="28379"/>
    <cellStyle name="표준 6 4 2 12 7" xfId="56709"/>
    <cellStyle name="표준 6 4 2 13" xfId="3027"/>
    <cellStyle name="표준 6 4 2 13 2" xfId="3028"/>
    <cellStyle name="표준 6 4 2 13 2 2" xfId="6191"/>
    <cellStyle name="표준 6 4 2 13 2 2 2" xfId="12527"/>
    <cellStyle name="표준 6 4 2 13 2 2 2 2" xfId="25200"/>
    <cellStyle name="표준 6 4 2 13 2 2 2 2 2" xfId="50552"/>
    <cellStyle name="표준 6 4 2 13 2 2 2 3" xfId="37880"/>
    <cellStyle name="표준 6 4 2 13 2 2 3" xfId="18864"/>
    <cellStyle name="표준 6 4 2 13 2 2 3 2" xfId="44216"/>
    <cellStyle name="표준 6 4 2 13 2 2 4" xfId="31544"/>
    <cellStyle name="표준 6 4 2 13 2 2 5" xfId="56710"/>
    <cellStyle name="표준 6 4 2 13 2 3" xfId="9365"/>
    <cellStyle name="표준 6 4 2 13 2 3 2" xfId="22038"/>
    <cellStyle name="표준 6 4 2 13 2 3 2 2" xfId="47390"/>
    <cellStyle name="표준 6 4 2 13 2 3 3" xfId="34718"/>
    <cellStyle name="표준 6 4 2 13 2 4" xfId="15702"/>
    <cellStyle name="표준 6 4 2 13 2 4 2" xfId="41054"/>
    <cellStyle name="표준 6 4 2 13 2 5" xfId="28382"/>
    <cellStyle name="표준 6 4 2 13 2 6" xfId="56711"/>
    <cellStyle name="표준 6 4 2 13 3" xfId="6192"/>
    <cellStyle name="표준 6 4 2 13 3 2" xfId="12528"/>
    <cellStyle name="표준 6 4 2 13 3 2 2" xfId="25201"/>
    <cellStyle name="표준 6 4 2 13 3 2 2 2" xfId="50553"/>
    <cellStyle name="표준 6 4 2 13 3 2 3" xfId="37881"/>
    <cellStyle name="표준 6 4 2 13 3 3" xfId="18865"/>
    <cellStyle name="표준 6 4 2 13 3 3 2" xfId="44217"/>
    <cellStyle name="표준 6 4 2 13 3 4" xfId="31545"/>
    <cellStyle name="표준 6 4 2 13 3 5" xfId="56712"/>
    <cellStyle name="표준 6 4 2 13 4" xfId="9364"/>
    <cellStyle name="표준 6 4 2 13 4 2" xfId="22037"/>
    <cellStyle name="표준 6 4 2 13 4 2 2" xfId="47389"/>
    <cellStyle name="표준 6 4 2 13 4 3" xfId="34717"/>
    <cellStyle name="표준 6 4 2 13 5" xfId="15701"/>
    <cellStyle name="표준 6 4 2 13 5 2" xfId="41053"/>
    <cellStyle name="표준 6 4 2 13 6" xfId="28381"/>
    <cellStyle name="표준 6 4 2 13 7" xfId="56713"/>
    <cellStyle name="표준 6 4 2 14" xfId="3029"/>
    <cellStyle name="표준 6 4 2 14 2" xfId="3030"/>
    <cellStyle name="표준 6 4 2 14 2 2" xfId="6193"/>
    <cellStyle name="표준 6 4 2 14 2 2 2" xfId="12529"/>
    <cellStyle name="표준 6 4 2 14 2 2 2 2" xfId="25202"/>
    <cellStyle name="표준 6 4 2 14 2 2 2 2 2" xfId="50554"/>
    <cellStyle name="표준 6 4 2 14 2 2 2 3" xfId="37882"/>
    <cellStyle name="표준 6 4 2 14 2 2 3" xfId="18866"/>
    <cellStyle name="표준 6 4 2 14 2 2 3 2" xfId="44218"/>
    <cellStyle name="표준 6 4 2 14 2 2 4" xfId="31546"/>
    <cellStyle name="표준 6 4 2 14 2 2 5" xfId="56714"/>
    <cellStyle name="표준 6 4 2 14 2 3" xfId="9367"/>
    <cellStyle name="표준 6 4 2 14 2 3 2" xfId="22040"/>
    <cellStyle name="표준 6 4 2 14 2 3 2 2" xfId="47392"/>
    <cellStyle name="표준 6 4 2 14 2 3 3" xfId="34720"/>
    <cellStyle name="표준 6 4 2 14 2 4" xfId="15704"/>
    <cellStyle name="표준 6 4 2 14 2 4 2" xfId="41056"/>
    <cellStyle name="표준 6 4 2 14 2 5" xfId="28384"/>
    <cellStyle name="표준 6 4 2 14 2 6" xfId="56715"/>
    <cellStyle name="표준 6 4 2 14 3" xfId="6194"/>
    <cellStyle name="표준 6 4 2 14 3 2" xfId="12530"/>
    <cellStyle name="표준 6 4 2 14 3 2 2" xfId="25203"/>
    <cellStyle name="표준 6 4 2 14 3 2 2 2" xfId="50555"/>
    <cellStyle name="표준 6 4 2 14 3 2 3" xfId="37883"/>
    <cellStyle name="표준 6 4 2 14 3 3" xfId="18867"/>
    <cellStyle name="표준 6 4 2 14 3 3 2" xfId="44219"/>
    <cellStyle name="표준 6 4 2 14 3 4" xfId="31547"/>
    <cellStyle name="표준 6 4 2 14 3 5" xfId="56716"/>
    <cellStyle name="표준 6 4 2 14 4" xfId="9366"/>
    <cellStyle name="표준 6 4 2 14 4 2" xfId="22039"/>
    <cellStyle name="표준 6 4 2 14 4 2 2" xfId="47391"/>
    <cellStyle name="표준 6 4 2 14 4 3" xfId="34719"/>
    <cellStyle name="표준 6 4 2 14 5" xfId="15703"/>
    <cellStyle name="표준 6 4 2 14 5 2" xfId="41055"/>
    <cellStyle name="표준 6 4 2 14 6" xfId="28383"/>
    <cellStyle name="표준 6 4 2 14 7" xfId="56717"/>
    <cellStyle name="표준 6 4 2 15" xfId="3031"/>
    <cellStyle name="표준 6 4 2 15 2" xfId="3032"/>
    <cellStyle name="표준 6 4 2 15 2 2" xfId="6195"/>
    <cellStyle name="표준 6 4 2 15 2 2 2" xfId="12531"/>
    <cellStyle name="표준 6 4 2 15 2 2 2 2" xfId="25204"/>
    <cellStyle name="표준 6 4 2 15 2 2 2 2 2" xfId="50556"/>
    <cellStyle name="표준 6 4 2 15 2 2 2 3" xfId="37884"/>
    <cellStyle name="표준 6 4 2 15 2 2 3" xfId="18868"/>
    <cellStyle name="표준 6 4 2 15 2 2 3 2" xfId="44220"/>
    <cellStyle name="표준 6 4 2 15 2 2 4" xfId="31548"/>
    <cellStyle name="표준 6 4 2 15 2 2 5" xfId="56718"/>
    <cellStyle name="표준 6 4 2 15 2 3" xfId="9369"/>
    <cellStyle name="표준 6 4 2 15 2 3 2" xfId="22042"/>
    <cellStyle name="표준 6 4 2 15 2 3 2 2" xfId="47394"/>
    <cellStyle name="표준 6 4 2 15 2 3 3" xfId="34722"/>
    <cellStyle name="표준 6 4 2 15 2 4" xfId="15706"/>
    <cellStyle name="표준 6 4 2 15 2 4 2" xfId="41058"/>
    <cellStyle name="표준 6 4 2 15 2 5" xfId="28386"/>
    <cellStyle name="표준 6 4 2 15 2 6" xfId="56719"/>
    <cellStyle name="표준 6 4 2 15 3" xfId="6196"/>
    <cellStyle name="표준 6 4 2 15 3 2" xfId="12532"/>
    <cellStyle name="표준 6 4 2 15 3 2 2" xfId="25205"/>
    <cellStyle name="표준 6 4 2 15 3 2 2 2" xfId="50557"/>
    <cellStyle name="표준 6 4 2 15 3 2 3" xfId="37885"/>
    <cellStyle name="표준 6 4 2 15 3 3" xfId="18869"/>
    <cellStyle name="표준 6 4 2 15 3 3 2" xfId="44221"/>
    <cellStyle name="표준 6 4 2 15 3 4" xfId="31549"/>
    <cellStyle name="표준 6 4 2 15 3 5" xfId="56720"/>
    <cellStyle name="표준 6 4 2 15 4" xfId="9368"/>
    <cellStyle name="표준 6 4 2 15 4 2" xfId="22041"/>
    <cellStyle name="표준 6 4 2 15 4 2 2" xfId="47393"/>
    <cellStyle name="표준 6 4 2 15 4 3" xfId="34721"/>
    <cellStyle name="표준 6 4 2 15 5" xfId="15705"/>
    <cellStyle name="표준 6 4 2 15 5 2" xfId="41057"/>
    <cellStyle name="표준 6 4 2 15 6" xfId="28385"/>
    <cellStyle name="표준 6 4 2 15 7" xfId="56721"/>
    <cellStyle name="표준 6 4 2 16" xfId="3033"/>
    <cellStyle name="표준 6 4 2 16 2" xfId="3034"/>
    <cellStyle name="표준 6 4 2 16 2 2" xfId="6197"/>
    <cellStyle name="표준 6 4 2 16 2 2 2" xfId="12533"/>
    <cellStyle name="표준 6 4 2 16 2 2 2 2" xfId="25206"/>
    <cellStyle name="표준 6 4 2 16 2 2 2 2 2" xfId="50558"/>
    <cellStyle name="표준 6 4 2 16 2 2 2 3" xfId="37886"/>
    <cellStyle name="표준 6 4 2 16 2 2 3" xfId="18870"/>
    <cellStyle name="표준 6 4 2 16 2 2 3 2" xfId="44222"/>
    <cellStyle name="표준 6 4 2 16 2 2 4" xfId="31550"/>
    <cellStyle name="표준 6 4 2 16 2 2 5" xfId="56722"/>
    <cellStyle name="표준 6 4 2 16 2 3" xfId="9371"/>
    <cellStyle name="표준 6 4 2 16 2 3 2" xfId="22044"/>
    <cellStyle name="표준 6 4 2 16 2 3 2 2" xfId="47396"/>
    <cellStyle name="표준 6 4 2 16 2 3 3" xfId="34724"/>
    <cellStyle name="표준 6 4 2 16 2 4" xfId="15708"/>
    <cellStyle name="표준 6 4 2 16 2 4 2" xfId="41060"/>
    <cellStyle name="표준 6 4 2 16 2 5" xfId="28388"/>
    <cellStyle name="표준 6 4 2 16 2 6" xfId="56723"/>
    <cellStyle name="표준 6 4 2 16 3" xfId="6198"/>
    <cellStyle name="표준 6 4 2 16 3 2" xfId="12534"/>
    <cellStyle name="표준 6 4 2 16 3 2 2" xfId="25207"/>
    <cellStyle name="표준 6 4 2 16 3 2 2 2" xfId="50559"/>
    <cellStyle name="표준 6 4 2 16 3 2 3" xfId="37887"/>
    <cellStyle name="표준 6 4 2 16 3 3" xfId="18871"/>
    <cellStyle name="표준 6 4 2 16 3 3 2" xfId="44223"/>
    <cellStyle name="표준 6 4 2 16 3 4" xfId="31551"/>
    <cellStyle name="표준 6 4 2 16 3 5" xfId="56724"/>
    <cellStyle name="표준 6 4 2 16 4" xfId="9370"/>
    <cellStyle name="표준 6 4 2 16 4 2" xfId="22043"/>
    <cellStyle name="표준 6 4 2 16 4 2 2" xfId="47395"/>
    <cellStyle name="표준 6 4 2 16 4 3" xfId="34723"/>
    <cellStyle name="표준 6 4 2 16 5" xfId="15707"/>
    <cellStyle name="표준 6 4 2 16 5 2" xfId="41059"/>
    <cellStyle name="표준 6 4 2 16 6" xfId="28387"/>
    <cellStyle name="표준 6 4 2 16 7" xfId="56725"/>
    <cellStyle name="표준 6 4 2 17" xfId="3035"/>
    <cellStyle name="표준 6 4 2 17 2" xfId="3036"/>
    <cellStyle name="표준 6 4 2 17 2 2" xfId="6199"/>
    <cellStyle name="표준 6 4 2 17 2 2 2" xfId="12535"/>
    <cellStyle name="표준 6 4 2 17 2 2 2 2" xfId="25208"/>
    <cellStyle name="표준 6 4 2 17 2 2 2 2 2" xfId="50560"/>
    <cellStyle name="표준 6 4 2 17 2 2 2 3" xfId="37888"/>
    <cellStyle name="표준 6 4 2 17 2 2 3" xfId="18872"/>
    <cellStyle name="표준 6 4 2 17 2 2 3 2" xfId="44224"/>
    <cellStyle name="표준 6 4 2 17 2 2 4" xfId="31552"/>
    <cellStyle name="표준 6 4 2 17 2 2 5" xfId="56726"/>
    <cellStyle name="표준 6 4 2 17 2 3" xfId="9373"/>
    <cellStyle name="표준 6 4 2 17 2 3 2" xfId="22046"/>
    <cellStyle name="표준 6 4 2 17 2 3 2 2" xfId="47398"/>
    <cellStyle name="표준 6 4 2 17 2 3 3" xfId="34726"/>
    <cellStyle name="표준 6 4 2 17 2 4" xfId="15710"/>
    <cellStyle name="표준 6 4 2 17 2 4 2" xfId="41062"/>
    <cellStyle name="표준 6 4 2 17 2 5" xfId="28390"/>
    <cellStyle name="표준 6 4 2 17 2 6" xfId="56727"/>
    <cellStyle name="표준 6 4 2 17 3" xfId="6200"/>
    <cellStyle name="표준 6 4 2 17 3 2" xfId="12536"/>
    <cellStyle name="표준 6 4 2 17 3 2 2" xfId="25209"/>
    <cellStyle name="표준 6 4 2 17 3 2 2 2" xfId="50561"/>
    <cellStyle name="표준 6 4 2 17 3 2 3" xfId="37889"/>
    <cellStyle name="표준 6 4 2 17 3 3" xfId="18873"/>
    <cellStyle name="표준 6 4 2 17 3 3 2" xfId="44225"/>
    <cellStyle name="표준 6 4 2 17 3 4" xfId="31553"/>
    <cellStyle name="표준 6 4 2 17 3 5" xfId="56728"/>
    <cellStyle name="표준 6 4 2 17 4" xfId="9372"/>
    <cellStyle name="표준 6 4 2 17 4 2" xfId="22045"/>
    <cellStyle name="표준 6 4 2 17 4 2 2" xfId="47397"/>
    <cellStyle name="표준 6 4 2 17 4 3" xfId="34725"/>
    <cellStyle name="표준 6 4 2 17 5" xfId="15709"/>
    <cellStyle name="표준 6 4 2 17 5 2" xfId="41061"/>
    <cellStyle name="표준 6 4 2 17 6" xfId="28389"/>
    <cellStyle name="표준 6 4 2 17 7" xfId="56729"/>
    <cellStyle name="표준 6 4 2 18" xfId="3037"/>
    <cellStyle name="표준 6 4 2 18 2" xfId="3038"/>
    <cellStyle name="표준 6 4 2 18 2 2" xfId="6201"/>
    <cellStyle name="표준 6 4 2 18 2 2 2" xfId="12537"/>
    <cellStyle name="표준 6 4 2 18 2 2 2 2" xfId="25210"/>
    <cellStyle name="표준 6 4 2 18 2 2 2 2 2" xfId="50562"/>
    <cellStyle name="표준 6 4 2 18 2 2 2 3" xfId="37890"/>
    <cellStyle name="표준 6 4 2 18 2 2 3" xfId="18874"/>
    <cellStyle name="표준 6 4 2 18 2 2 3 2" xfId="44226"/>
    <cellStyle name="표준 6 4 2 18 2 2 4" xfId="31554"/>
    <cellStyle name="표준 6 4 2 18 2 2 5" xfId="56730"/>
    <cellStyle name="표준 6 4 2 18 2 3" xfId="9375"/>
    <cellStyle name="표준 6 4 2 18 2 3 2" xfId="22048"/>
    <cellStyle name="표준 6 4 2 18 2 3 2 2" xfId="47400"/>
    <cellStyle name="표준 6 4 2 18 2 3 3" xfId="34728"/>
    <cellStyle name="표준 6 4 2 18 2 4" xfId="15712"/>
    <cellStyle name="표준 6 4 2 18 2 4 2" xfId="41064"/>
    <cellStyle name="표준 6 4 2 18 2 5" xfId="28392"/>
    <cellStyle name="표준 6 4 2 18 2 6" xfId="56731"/>
    <cellStyle name="표준 6 4 2 18 3" xfId="6202"/>
    <cellStyle name="표준 6 4 2 18 3 2" xfId="12538"/>
    <cellStyle name="표준 6 4 2 18 3 2 2" xfId="25211"/>
    <cellStyle name="표준 6 4 2 18 3 2 2 2" xfId="50563"/>
    <cellStyle name="표준 6 4 2 18 3 2 3" xfId="37891"/>
    <cellStyle name="표준 6 4 2 18 3 3" xfId="18875"/>
    <cellStyle name="표준 6 4 2 18 3 3 2" xfId="44227"/>
    <cellStyle name="표준 6 4 2 18 3 4" xfId="31555"/>
    <cellStyle name="표준 6 4 2 18 3 5" xfId="56732"/>
    <cellStyle name="표준 6 4 2 18 4" xfId="9374"/>
    <cellStyle name="표준 6 4 2 18 4 2" xfId="22047"/>
    <cellStyle name="표준 6 4 2 18 4 2 2" xfId="47399"/>
    <cellStyle name="표준 6 4 2 18 4 3" xfId="34727"/>
    <cellStyle name="표준 6 4 2 18 5" xfId="15711"/>
    <cellStyle name="표준 6 4 2 18 5 2" xfId="41063"/>
    <cellStyle name="표준 6 4 2 18 6" xfId="28391"/>
    <cellStyle name="표준 6 4 2 18 7" xfId="56733"/>
    <cellStyle name="표준 6 4 2 19" xfId="3039"/>
    <cellStyle name="표준 6 4 2 19 2" xfId="3040"/>
    <cellStyle name="표준 6 4 2 19 2 2" xfId="6203"/>
    <cellStyle name="표준 6 4 2 19 2 2 2" xfId="12539"/>
    <cellStyle name="표준 6 4 2 19 2 2 2 2" xfId="25212"/>
    <cellStyle name="표준 6 4 2 19 2 2 2 2 2" xfId="50564"/>
    <cellStyle name="표준 6 4 2 19 2 2 2 3" xfId="37892"/>
    <cellStyle name="표준 6 4 2 19 2 2 3" xfId="18876"/>
    <cellStyle name="표준 6 4 2 19 2 2 3 2" xfId="44228"/>
    <cellStyle name="표준 6 4 2 19 2 2 4" xfId="31556"/>
    <cellStyle name="표준 6 4 2 19 2 2 5" xfId="56734"/>
    <cellStyle name="표준 6 4 2 19 2 3" xfId="9377"/>
    <cellStyle name="표준 6 4 2 19 2 3 2" xfId="22050"/>
    <cellStyle name="표준 6 4 2 19 2 3 2 2" xfId="47402"/>
    <cellStyle name="표준 6 4 2 19 2 3 3" xfId="34730"/>
    <cellStyle name="표준 6 4 2 19 2 4" xfId="15714"/>
    <cellStyle name="표준 6 4 2 19 2 4 2" xfId="41066"/>
    <cellStyle name="표준 6 4 2 19 2 5" xfId="28394"/>
    <cellStyle name="표준 6 4 2 19 2 6" xfId="56735"/>
    <cellStyle name="표준 6 4 2 19 3" xfId="6204"/>
    <cellStyle name="표준 6 4 2 19 3 2" xfId="12540"/>
    <cellStyle name="표준 6 4 2 19 3 2 2" xfId="25213"/>
    <cellStyle name="표준 6 4 2 19 3 2 2 2" xfId="50565"/>
    <cellStyle name="표준 6 4 2 19 3 2 3" xfId="37893"/>
    <cellStyle name="표준 6 4 2 19 3 3" xfId="18877"/>
    <cellStyle name="표준 6 4 2 19 3 3 2" xfId="44229"/>
    <cellStyle name="표준 6 4 2 19 3 4" xfId="31557"/>
    <cellStyle name="표준 6 4 2 19 3 5" xfId="56736"/>
    <cellStyle name="표준 6 4 2 19 4" xfId="9376"/>
    <cellStyle name="표준 6 4 2 19 4 2" xfId="22049"/>
    <cellStyle name="표준 6 4 2 19 4 2 2" xfId="47401"/>
    <cellStyle name="표준 6 4 2 19 4 3" xfId="34729"/>
    <cellStyle name="표준 6 4 2 19 5" xfId="15713"/>
    <cellStyle name="표준 6 4 2 19 5 2" xfId="41065"/>
    <cellStyle name="표준 6 4 2 19 6" xfId="28393"/>
    <cellStyle name="표준 6 4 2 19 7" xfId="56737"/>
    <cellStyle name="표준 6 4 2 2" xfId="3041"/>
    <cellStyle name="표준 6 4 2 2 2" xfId="3042"/>
    <cellStyle name="표준 6 4 2 2 2 2" xfId="6205"/>
    <cellStyle name="표준 6 4 2 2 2 2 2" xfId="12541"/>
    <cellStyle name="표준 6 4 2 2 2 2 2 2" xfId="25214"/>
    <cellStyle name="표준 6 4 2 2 2 2 2 2 2" xfId="50566"/>
    <cellStyle name="표준 6 4 2 2 2 2 2 3" xfId="37894"/>
    <cellStyle name="표준 6 4 2 2 2 2 3" xfId="18878"/>
    <cellStyle name="표준 6 4 2 2 2 2 3 2" xfId="44230"/>
    <cellStyle name="표준 6 4 2 2 2 2 4" xfId="31558"/>
    <cellStyle name="표준 6 4 2 2 2 2 5" xfId="56738"/>
    <cellStyle name="표준 6 4 2 2 2 3" xfId="9379"/>
    <cellStyle name="표준 6 4 2 2 2 3 2" xfId="22052"/>
    <cellStyle name="표준 6 4 2 2 2 3 2 2" xfId="47404"/>
    <cellStyle name="표준 6 4 2 2 2 3 3" xfId="34732"/>
    <cellStyle name="표준 6 4 2 2 2 4" xfId="15716"/>
    <cellStyle name="표준 6 4 2 2 2 4 2" xfId="41068"/>
    <cellStyle name="표준 6 4 2 2 2 5" xfId="28396"/>
    <cellStyle name="표준 6 4 2 2 2 6" xfId="56739"/>
    <cellStyle name="표준 6 4 2 2 3" xfId="6206"/>
    <cellStyle name="표준 6 4 2 2 3 2" xfId="12542"/>
    <cellStyle name="표준 6 4 2 2 3 2 2" xfId="25215"/>
    <cellStyle name="표준 6 4 2 2 3 2 2 2" xfId="50567"/>
    <cellStyle name="표준 6 4 2 2 3 2 3" xfId="37895"/>
    <cellStyle name="표준 6 4 2 2 3 3" xfId="18879"/>
    <cellStyle name="표준 6 4 2 2 3 3 2" xfId="44231"/>
    <cellStyle name="표준 6 4 2 2 3 4" xfId="31559"/>
    <cellStyle name="표준 6 4 2 2 3 5" xfId="56740"/>
    <cellStyle name="표준 6 4 2 2 4" xfId="9378"/>
    <cellStyle name="표준 6 4 2 2 4 2" xfId="22051"/>
    <cellStyle name="표준 6 4 2 2 4 2 2" xfId="47403"/>
    <cellStyle name="표준 6 4 2 2 4 3" xfId="34731"/>
    <cellStyle name="표준 6 4 2 2 5" xfId="15715"/>
    <cellStyle name="표준 6 4 2 2 5 2" xfId="41067"/>
    <cellStyle name="표준 6 4 2 2 6" xfId="28395"/>
    <cellStyle name="표준 6 4 2 2 7" xfId="56741"/>
    <cellStyle name="표준 6 4 2 20" xfId="3043"/>
    <cellStyle name="표준 6 4 2 20 2" xfId="3044"/>
    <cellStyle name="표준 6 4 2 20 2 2" xfId="6207"/>
    <cellStyle name="표준 6 4 2 20 2 2 2" xfId="12543"/>
    <cellStyle name="표준 6 4 2 20 2 2 2 2" xfId="25216"/>
    <cellStyle name="표준 6 4 2 20 2 2 2 2 2" xfId="50568"/>
    <cellStyle name="표준 6 4 2 20 2 2 2 3" xfId="37896"/>
    <cellStyle name="표준 6 4 2 20 2 2 3" xfId="18880"/>
    <cellStyle name="표준 6 4 2 20 2 2 3 2" xfId="44232"/>
    <cellStyle name="표준 6 4 2 20 2 2 4" xfId="31560"/>
    <cellStyle name="표준 6 4 2 20 2 2 5" xfId="56742"/>
    <cellStyle name="표준 6 4 2 20 2 3" xfId="9381"/>
    <cellStyle name="표준 6 4 2 20 2 3 2" xfId="22054"/>
    <cellStyle name="표준 6 4 2 20 2 3 2 2" xfId="47406"/>
    <cellStyle name="표준 6 4 2 20 2 3 3" xfId="34734"/>
    <cellStyle name="표준 6 4 2 20 2 4" xfId="15718"/>
    <cellStyle name="표준 6 4 2 20 2 4 2" xfId="41070"/>
    <cellStyle name="표준 6 4 2 20 2 5" xfId="28398"/>
    <cellStyle name="표준 6 4 2 20 2 6" xfId="56743"/>
    <cellStyle name="표준 6 4 2 20 3" xfId="6208"/>
    <cellStyle name="표준 6 4 2 20 3 2" xfId="12544"/>
    <cellStyle name="표준 6 4 2 20 3 2 2" xfId="25217"/>
    <cellStyle name="표준 6 4 2 20 3 2 2 2" xfId="50569"/>
    <cellStyle name="표준 6 4 2 20 3 2 3" xfId="37897"/>
    <cellStyle name="표준 6 4 2 20 3 3" xfId="18881"/>
    <cellStyle name="표준 6 4 2 20 3 3 2" xfId="44233"/>
    <cellStyle name="표준 6 4 2 20 3 4" xfId="31561"/>
    <cellStyle name="표준 6 4 2 20 3 5" xfId="56744"/>
    <cellStyle name="표준 6 4 2 20 4" xfId="9380"/>
    <cellStyle name="표준 6 4 2 20 4 2" xfId="22053"/>
    <cellStyle name="표준 6 4 2 20 4 2 2" xfId="47405"/>
    <cellStyle name="표준 6 4 2 20 4 3" xfId="34733"/>
    <cellStyle name="표준 6 4 2 20 5" xfId="15717"/>
    <cellStyle name="표준 6 4 2 20 5 2" xfId="41069"/>
    <cellStyle name="표준 6 4 2 20 6" xfId="28397"/>
    <cellStyle name="표준 6 4 2 20 7" xfId="56745"/>
    <cellStyle name="표준 6 4 2 21" xfId="3045"/>
    <cellStyle name="표준 6 4 2 21 2" xfId="3046"/>
    <cellStyle name="표준 6 4 2 21 2 2" xfId="6209"/>
    <cellStyle name="표준 6 4 2 21 2 2 2" xfId="12545"/>
    <cellStyle name="표준 6 4 2 21 2 2 2 2" xfId="25218"/>
    <cellStyle name="표준 6 4 2 21 2 2 2 2 2" xfId="50570"/>
    <cellStyle name="표준 6 4 2 21 2 2 2 3" xfId="37898"/>
    <cellStyle name="표준 6 4 2 21 2 2 3" xfId="18882"/>
    <cellStyle name="표준 6 4 2 21 2 2 3 2" xfId="44234"/>
    <cellStyle name="표준 6 4 2 21 2 2 4" xfId="31562"/>
    <cellStyle name="표준 6 4 2 21 2 2 5" xfId="56746"/>
    <cellStyle name="표준 6 4 2 21 2 3" xfId="9383"/>
    <cellStyle name="표준 6 4 2 21 2 3 2" xfId="22056"/>
    <cellStyle name="표준 6 4 2 21 2 3 2 2" xfId="47408"/>
    <cellStyle name="표준 6 4 2 21 2 3 3" xfId="34736"/>
    <cellStyle name="표준 6 4 2 21 2 4" xfId="15720"/>
    <cellStyle name="표준 6 4 2 21 2 4 2" xfId="41072"/>
    <cellStyle name="표준 6 4 2 21 2 5" xfId="28400"/>
    <cellStyle name="표준 6 4 2 21 2 6" xfId="56747"/>
    <cellStyle name="표준 6 4 2 21 3" xfId="6210"/>
    <cellStyle name="표준 6 4 2 21 3 2" xfId="12546"/>
    <cellStyle name="표준 6 4 2 21 3 2 2" xfId="25219"/>
    <cellStyle name="표준 6 4 2 21 3 2 2 2" xfId="50571"/>
    <cellStyle name="표준 6 4 2 21 3 2 3" xfId="37899"/>
    <cellStyle name="표준 6 4 2 21 3 3" xfId="18883"/>
    <cellStyle name="표준 6 4 2 21 3 3 2" xfId="44235"/>
    <cellStyle name="표준 6 4 2 21 3 4" xfId="31563"/>
    <cellStyle name="표준 6 4 2 21 3 5" xfId="56748"/>
    <cellStyle name="표준 6 4 2 21 4" xfId="9382"/>
    <cellStyle name="표준 6 4 2 21 4 2" xfId="22055"/>
    <cellStyle name="표준 6 4 2 21 4 2 2" xfId="47407"/>
    <cellStyle name="표준 6 4 2 21 4 3" xfId="34735"/>
    <cellStyle name="표준 6 4 2 21 5" xfId="15719"/>
    <cellStyle name="표준 6 4 2 21 5 2" xfId="41071"/>
    <cellStyle name="표준 6 4 2 21 6" xfId="28399"/>
    <cellStyle name="표준 6 4 2 21 7" xfId="56749"/>
    <cellStyle name="표준 6 4 2 22" xfId="3047"/>
    <cellStyle name="표준 6 4 2 22 2" xfId="3048"/>
    <cellStyle name="표준 6 4 2 22 2 2" xfId="6211"/>
    <cellStyle name="표준 6 4 2 22 2 2 2" xfId="12547"/>
    <cellStyle name="표준 6 4 2 22 2 2 2 2" xfId="25220"/>
    <cellStyle name="표준 6 4 2 22 2 2 2 2 2" xfId="50572"/>
    <cellStyle name="표준 6 4 2 22 2 2 2 3" xfId="37900"/>
    <cellStyle name="표준 6 4 2 22 2 2 3" xfId="18884"/>
    <cellStyle name="표준 6 4 2 22 2 2 3 2" xfId="44236"/>
    <cellStyle name="표준 6 4 2 22 2 2 4" xfId="31564"/>
    <cellStyle name="표준 6 4 2 22 2 2 5" xfId="56750"/>
    <cellStyle name="표준 6 4 2 22 2 3" xfId="9385"/>
    <cellStyle name="표준 6 4 2 22 2 3 2" xfId="22058"/>
    <cellStyle name="표준 6 4 2 22 2 3 2 2" xfId="47410"/>
    <cellStyle name="표준 6 4 2 22 2 3 3" xfId="34738"/>
    <cellStyle name="표준 6 4 2 22 2 4" xfId="15722"/>
    <cellStyle name="표준 6 4 2 22 2 4 2" xfId="41074"/>
    <cellStyle name="표준 6 4 2 22 2 5" xfId="28402"/>
    <cellStyle name="표준 6 4 2 22 2 6" xfId="56751"/>
    <cellStyle name="표준 6 4 2 22 3" xfId="6212"/>
    <cellStyle name="표준 6 4 2 22 3 2" xfId="12548"/>
    <cellStyle name="표준 6 4 2 22 3 2 2" xfId="25221"/>
    <cellStyle name="표준 6 4 2 22 3 2 2 2" xfId="50573"/>
    <cellStyle name="표준 6 4 2 22 3 2 3" xfId="37901"/>
    <cellStyle name="표준 6 4 2 22 3 3" xfId="18885"/>
    <cellStyle name="표준 6 4 2 22 3 3 2" xfId="44237"/>
    <cellStyle name="표준 6 4 2 22 3 4" xfId="31565"/>
    <cellStyle name="표준 6 4 2 22 3 5" xfId="56752"/>
    <cellStyle name="표준 6 4 2 22 4" xfId="9384"/>
    <cellStyle name="표준 6 4 2 22 4 2" xfId="22057"/>
    <cellStyle name="표준 6 4 2 22 4 2 2" xfId="47409"/>
    <cellStyle name="표준 6 4 2 22 4 3" xfId="34737"/>
    <cellStyle name="표준 6 4 2 22 5" xfId="15721"/>
    <cellStyle name="표준 6 4 2 22 5 2" xfId="41073"/>
    <cellStyle name="표준 6 4 2 22 6" xfId="28401"/>
    <cellStyle name="표준 6 4 2 22 7" xfId="56753"/>
    <cellStyle name="표준 6 4 2 23" xfId="3049"/>
    <cellStyle name="표준 6 4 2 23 2" xfId="3050"/>
    <cellStyle name="표준 6 4 2 23 2 2" xfId="6213"/>
    <cellStyle name="표준 6 4 2 23 2 2 2" xfId="12549"/>
    <cellStyle name="표준 6 4 2 23 2 2 2 2" xfId="25222"/>
    <cellStyle name="표준 6 4 2 23 2 2 2 2 2" xfId="50574"/>
    <cellStyle name="표준 6 4 2 23 2 2 2 3" xfId="37902"/>
    <cellStyle name="표준 6 4 2 23 2 2 3" xfId="18886"/>
    <cellStyle name="표준 6 4 2 23 2 2 3 2" xfId="44238"/>
    <cellStyle name="표준 6 4 2 23 2 2 4" xfId="31566"/>
    <cellStyle name="표준 6 4 2 23 2 2 5" xfId="56754"/>
    <cellStyle name="표준 6 4 2 23 2 3" xfId="9387"/>
    <cellStyle name="표준 6 4 2 23 2 3 2" xfId="22060"/>
    <cellStyle name="표준 6 4 2 23 2 3 2 2" xfId="47412"/>
    <cellStyle name="표준 6 4 2 23 2 3 3" xfId="34740"/>
    <cellStyle name="표준 6 4 2 23 2 4" xfId="15724"/>
    <cellStyle name="표준 6 4 2 23 2 4 2" xfId="41076"/>
    <cellStyle name="표준 6 4 2 23 2 5" xfId="28404"/>
    <cellStyle name="표준 6 4 2 23 2 6" xfId="56755"/>
    <cellStyle name="표준 6 4 2 23 3" xfId="6214"/>
    <cellStyle name="표준 6 4 2 23 3 2" xfId="12550"/>
    <cellStyle name="표준 6 4 2 23 3 2 2" xfId="25223"/>
    <cellStyle name="표준 6 4 2 23 3 2 2 2" xfId="50575"/>
    <cellStyle name="표준 6 4 2 23 3 2 3" xfId="37903"/>
    <cellStyle name="표준 6 4 2 23 3 3" xfId="18887"/>
    <cellStyle name="표준 6 4 2 23 3 3 2" xfId="44239"/>
    <cellStyle name="표준 6 4 2 23 3 4" xfId="31567"/>
    <cellStyle name="표준 6 4 2 23 3 5" xfId="56756"/>
    <cellStyle name="표준 6 4 2 23 4" xfId="9386"/>
    <cellStyle name="표준 6 4 2 23 4 2" xfId="22059"/>
    <cellStyle name="표준 6 4 2 23 4 2 2" xfId="47411"/>
    <cellStyle name="표준 6 4 2 23 4 3" xfId="34739"/>
    <cellStyle name="표준 6 4 2 23 5" xfId="15723"/>
    <cellStyle name="표준 6 4 2 23 5 2" xfId="41075"/>
    <cellStyle name="표준 6 4 2 23 6" xfId="28403"/>
    <cellStyle name="표준 6 4 2 23 7" xfId="56757"/>
    <cellStyle name="표준 6 4 2 24" xfId="3051"/>
    <cellStyle name="표준 6 4 2 24 2" xfId="3052"/>
    <cellStyle name="표준 6 4 2 24 2 2" xfId="6215"/>
    <cellStyle name="표준 6 4 2 24 2 2 2" xfId="12551"/>
    <cellStyle name="표준 6 4 2 24 2 2 2 2" xfId="25224"/>
    <cellStyle name="표준 6 4 2 24 2 2 2 2 2" xfId="50576"/>
    <cellStyle name="표준 6 4 2 24 2 2 2 3" xfId="37904"/>
    <cellStyle name="표준 6 4 2 24 2 2 3" xfId="18888"/>
    <cellStyle name="표준 6 4 2 24 2 2 3 2" xfId="44240"/>
    <cellStyle name="표준 6 4 2 24 2 2 4" xfId="31568"/>
    <cellStyle name="표준 6 4 2 24 2 2 5" xfId="56758"/>
    <cellStyle name="표준 6 4 2 24 2 3" xfId="9389"/>
    <cellStyle name="표준 6 4 2 24 2 3 2" xfId="22062"/>
    <cellStyle name="표준 6 4 2 24 2 3 2 2" xfId="47414"/>
    <cellStyle name="표준 6 4 2 24 2 3 3" xfId="34742"/>
    <cellStyle name="표준 6 4 2 24 2 4" xfId="15726"/>
    <cellStyle name="표준 6 4 2 24 2 4 2" xfId="41078"/>
    <cellStyle name="표준 6 4 2 24 2 5" xfId="28406"/>
    <cellStyle name="표준 6 4 2 24 2 6" xfId="56759"/>
    <cellStyle name="표준 6 4 2 24 3" xfId="6216"/>
    <cellStyle name="표준 6 4 2 24 3 2" xfId="12552"/>
    <cellStyle name="표준 6 4 2 24 3 2 2" xfId="25225"/>
    <cellStyle name="표준 6 4 2 24 3 2 2 2" xfId="50577"/>
    <cellStyle name="표준 6 4 2 24 3 2 3" xfId="37905"/>
    <cellStyle name="표준 6 4 2 24 3 3" xfId="18889"/>
    <cellStyle name="표준 6 4 2 24 3 3 2" xfId="44241"/>
    <cellStyle name="표준 6 4 2 24 3 4" xfId="31569"/>
    <cellStyle name="표준 6 4 2 24 3 5" xfId="56760"/>
    <cellStyle name="표준 6 4 2 24 4" xfId="9388"/>
    <cellStyle name="표준 6 4 2 24 4 2" xfId="22061"/>
    <cellStyle name="표준 6 4 2 24 4 2 2" xfId="47413"/>
    <cellStyle name="표준 6 4 2 24 4 3" xfId="34741"/>
    <cellStyle name="표준 6 4 2 24 5" xfId="15725"/>
    <cellStyle name="표준 6 4 2 24 5 2" xfId="41077"/>
    <cellStyle name="표준 6 4 2 24 6" xfId="28405"/>
    <cellStyle name="표준 6 4 2 24 7" xfId="56761"/>
    <cellStyle name="표준 6 4 2 25" xfId="3053"/>
    <cellStyle name="표준 6 4 2 25 2" xfId="3054"/>
    <cellStyle name="표준 6 4 2 25 2 2" xfId="6217"/>
    <cellStyle name="표준 6 4 2 25 2 2 2" xfId="12553"/>
    <cellStyle name="표준 6 4 2 25 2 2 2 2" xfId="25226"/>
    <cellStyle name="표준 6 4 2 25 2 2 2 2 2" xfId="50578"/>
    <cellStyle name="표준 6 4 2 25 2 2 2 3" xfId="37906"/>
    <cellStyle name="표준 6 4 2 25 2 2 3" xfId="18890"/>
    <cellStyle name="표준 6 4 2 25 2 2 3 2" xfId="44242"/>
    <cellStyle name="표준 6 4 2 25 2 2 4" xfId="31570"/>
    <cellStyle name="표준 6 4 2 25 2 2 5" xfId="56762"/>
    <cellStyle name="표준 6 4 2 25 2 3" xfId="9391"/>
    <cellStyle name="표준 6 4 2 25 2 3 2" xfId="22064"/>
    <cellStyle name="표준 6 4 2 25 2 3 2 2" xfId="47416"/>
    <cellStyle name="표준 6 4 2 25 2 3 3" xfId="34744"/>
    <cellStyle name="표준 6 4 2 25 2 4" xfId="15728"/>
    <cellStyle name="표준 6 4 2 25 2 4 2" xfId="41080"/>
    <cellStyle name="표준 6 4 2 25 2 5" xfId="28408"/>
    <cellStyle name="표준 6 4 2 25 2 6" xfId="56763"/>
    <cellStyle name="표준 6 4 2 25 3" xfId="6218"/>
    <cellStyle name="표준 6 4 2 25 3 2" xfId="12554"/>
    <cellStyle name="표준 6 4 2 25 3 2 2" xfId="25227"/>
    <cellStyle name="표준 6 4 2 25 3 2 2 2" xfId="50579"/>
    <cellStyle name="표준 6 4 2 25 3 2 3" xfId="37907"/>
    <cellStyle name="표준 6 4 2 25 3 3" xfId="18891"/>
    <cellStyle name="표준 6 4 2 25 3 3 2" xfId="44243"/>
    <cellStyle name="표준 6 4 2 25 3 4" xfId="31571"/>
    <cellStyle name="표준 6 4 2 25 3 5" xfId="56764"/>
    <cellStyle name="표준 6 4 2 25 4" xfId="9390"/>
    <cellStyle name="표준 6 4 2 25 4 2" xfId="22063"/>
    <cellStyle name="표준 6 4 2 25 4 2 2" xfId="47415"/>
    <cellStyle name="표준 6 4 2 25 4 3" xfId="34743"/>
    <cellStyle name="표준 6 4 2 25 5" xfId="15727"/>
    <cellStyle name="표준 6 4 2 25 5 2" xfId="41079"/>
    <cellStyle name="표준 6 4 2 25 6" xfId="28407"/>
    <cellStyle name="표준 6 4 2 25 7" xfId="56765"/>
    <cellStyle name="표준 6 4 2 26" xfId="3055"/>
    <cellStyle name="표준 6 4 2 26 2" xfId="3056"/>
    <cellStyle name="표준 6 4 2 26 2 2" xfId="6219"/>
    <cellStyle name="표준 6 4 2 26 2 2 2" xfId="12555"/>
    <cellStyle name="표준 6 4 2 26 2 2 2 2" xfId="25228"/>
    <cellStyle name="표준 6 4 2 26 2 2 2 2 2" xfId="50580"/>
    <cellStyle name="표준 6 4 2 26 2 2 2 3" xfId="37908"/>
    <cellStyle name="표준 6 4 2 26 2 2 3" xfId="18892"/>
    <cellStyle name="표준 6 4 2 26 2 2 3 2" xfId="44244"/>
    <cellStyle name="표준 6 4 2 26 2 2 4" xfId="31572"/>
    <cellStyle name="표준 6 4 2 26 2 2 5" xfId="56766"/>
    <cellStyle name="표준 6 4 2 26 2 3" xfId="9393"/>
    <cellStyle name="표준 6 4 2 26 2 3 2" xfId="22066"/>
    <cellStyle name="표준 6 4 2 26 2 3 2 2" xfId="47418"/>
    <cellStyle name="표준 6 4 2 26 2 3 3" xfId="34746"/>
    <cellStyle name="표준 6 4 2 26 2 4" xfId="15730"/>
    <cellStyle name="표준 6 4 2 26 2 4 2" xfId="41082"/>
    <cellStyle name="표준 6 4 2 26 2 5" xfId="28410"/>
    <cellStyle name="표준 6 4 2 26 2 6" xfId="56767"/>
    <cellStyle name="표준 6 4 2 26 3" xfId="6220"/>
    <cellStyle name="표준 6 4 2 26 3 2" xfId="12556"/>
    <cellStyle name="표준 6 4 2 26 3 2 2" xfId="25229"/>
    <cellStyle name="표준 6 4 2 26 3 2 2 2" xfId="50581"/>
    <cellStyle name="표준 6 4 2 26 3 2 3" xfId="37909"/>
    <cellStyle name="표준 6 4 2 26 3 3" xfId="18893"/>
    <cellStyle name="표준 6 4 2 26 3 3 2" xfId="44245"/>
    <cellStyle name="표준 6 4 2 26 3 4" xfId="31573"/>
    <cellStyle name="표준 6 4 2 26 3 5" xfId="56768"/>
    <cellStyle name="표준 6 4 2 26 4" xfId="9392"/>
    <cellStyle name="표준 6 4 2 26 4 2" xfId="22065"/>
    <cellStyle name="표준 6 4 2 26 4 2 2" xfId="47417"/>
    <cellStyle name="표준 6 4 2 26 4 3" xfId="34745"/>
    <cellStyle name="표준 6 4 2 26 5" xfId="15729"/>
    <cellStyle name="표준 6 4 2 26 5 2" xfId="41081"/>
    <cellStyle name="표준 6 4 2 26 6" xfId="28409"/>
    <cellStyle name="표준 6 4 2 26 7" xfId="56769"/>
    <cellStyle name="표준 6 4 2 27" xfId="3057"/>
    <cellStyle name="표준 6 4 2 27 2" xfId="3058"/>
    <cellStyle name="표준 6 4 2 27 2 2" xfId="6221"/>
    <cellStyle name="표준 6 4 2 27 2 2 2" xfId="12557"/>
    <cellStyle name="표준 6 4 2 27 2 2 2 2" xfId="25230"/>
    <cellStyle name="표준 6 4 2 27 2 2 2 2 2" xfId="50582"/>
    <cellStyle name="표준 6 4 2 27 2 2 2 3" xfId="37910"/>
    <cellStyle name="표준 6 4 2 27 2 2 3" xfId="18894"/>
    <cellStyle name="표준 6 4 2 27 2 2 3 2" xfId="44246"/>
    <cellStyle name="표준 6 4 2 27 2 2 4" xfId="31574"/>
    <cellStyle name="표준 6 4 2 27 2 2 5" xfId="56770"/>
    <cellStyle name="표준 6 4 2 27 2 3" xfId="9395"/>
    <cellStyle name="표준 6 4 2 27 2 3 2" xfId="22068"/>
    <cellStyle name="표준 6 4 2 27 2 3 2 2" xfId="47420"/>
    <cellStyle name="표준 6 4 2 27 2 3 3" xfId="34748"/>
    <cellStyle name="표준 6 4 2 27 2 4" xfId="15732"/>
    <cellStyle name="표준 6 4 2 27 2 4 2" xfId="41084"/>
    <cellStyle name="표준 6 4 2 27 2 5" xfId="28412"/>
    <cellStyle name="표준 6 4 2 27 2 6" xfId="56771"/>
    <cellStyle name="표준 6 4 2 27 3" xfId="6222"/>
    <cellStyle name="표준 6 4 2 27 3 2" xfId="12558"/>
    <cellStyle name="표준 6 4 2 27 3 2 2" xfId="25231"/>
    <cellStyle name="표준 6 4 2 27 3 2 2 2" xfId="50583"/>
    <cellStyle name="표준 6 4 2 27 3 2 3" xfId="37911"/>
    <cellStyle name="표준 6 4 2 27 3 3" xfId="18895"/>
    <cellStyle name="표준 6 4 2 27 3 3 2" xfId="44247"/>
    <cellStyle name="표준 6 4 2 27 3 4" xfId="31575"/>
    <cellStyle name="표준 6 4 2 27 3 5" xfId="56772"/>
    <cellStyle name="표준 6 4 2 27 4" xfId="9394"/>
    <cellStyle name="표준 6 4 2 27 4 2" xfId="22067"/>
    <cellStyle name="표준 6 4 2 27 4 2 2" xfId="47419"/>
    <cellStyle name="표준 6 4 2 27 4 3" xfId="34747"/>
    <cellStyle name="표준 6 4 2 27 5" xfId="15731"/>
    <cellStyle name="표준 6 4 2 27 5 2" xfId="41083"/>
    <cellStyle name="표준 6 4 2 27 6" xfId="28411"/>
    <cellStyle name="표준 6 4 2 27 7" xfId="56773"/>
    <cellStyle name="표준 6 4 2 28" xfId="3059"/>
    <cellStyle name="표준 6 4 2 28 2" xfId="3060"/>
    <cellStyle name="표준 6 4 2 28 2 2" xfId="6223"/>
    <cellStyle name="표준 6 4 2 28 2 2 2" xfId="12559"/>
    <cellStyle name="표준 6 4 2 28 2 2 2 2" xfId="25232"/>
    <cellStyle name="표준 6 4 2 28 2 2 2 2 2" xfId="50584"/>
    <cellStyle name="표준 6 4 2 28 2 2 2 3" xfId="37912"/>
    <cellStyle name="표준 6 4 2 28 2 2 3" xfId="18896"/>
    <cellStyle name="표준 6 4 2 28 2 2 3 2" xfId="44248"/>
    <cellStyle name="표준 6 4 2 28 2 2 4" xfId="31576"/>
    <cellStyle name="표준 6 4 2 28 2 2 5" xfId="56774"/>
    <cellStyle name="표준 6 4 2 28 2 3" xfId="9397"/>
    <cellStyle name="표준 6 4 2 28 2 3 2" xfId="22070"/>
    <cellStyle name="표준 6 4 2 28 2 3 2 2" xfId="47422"/>
    <cellStyle name="표준 6 4 2 28 2 3 3" xfId="34750"/>
    <cellStyle name="표준 6 4 2 28 2 4" xfId="15734"/>
    <cellStyle name="표준 6 4 2 28 2 4 2" xfId="41086"/>
    <cellStyle name="표준 6 4 2 28 2 5" xfId="28414"/>
    <cellStyle name="표준 6 4 2 28 2 6" xfId="56775"/>
    <cellStyle name="표준 6 4 2 28 3" xfId="6224"/>
    <cellStyle name="표준 6 4 2 28 3 2" xfId="12560"/>
    <cellStyle name="표준 6 4 2 28 3 2 2" xfId="25233"/>
    <cellStyle name="표준 6 4 2 28 3 2 2 2" xfId="50585"/>
    <cellStyle name="표준 6 4 2 28 3 2 3" xfId="37913"/>
    <cellStyle name="표준 6 4 2 28 3 3" xfId="18897"/>
    <cellStyle name="표준 6 4 2 28 3 3 2" xfId="44249"/>
    <cellStyle name="표준 6 4 2 28 3 4" xfId="31577"/>
    <cellStyle name="표준 6 4 2 28 3 5" xfId="56776"/>
    <cellStyle name="표준 6 4 2 28 4" xfId="9396"/>
    <cellStyle name="표준 6 4 2 28 4 2" xfId="22069"/>
    <cellStyle name="표준 6 4 2 28 4 2 2" xfId="47421"/>
    <cellStyle name="표준 6 4 2 28 4 3" xfId="34749"/>
    <cellStyle name="표준 6 4 2 28 5" xfId="15733"/>
    <cellStyle name="표준 6 4 2 28 5 2" xfId="41085"/>
    <cellStyle name="표준 6 4 2 28 6" xfId="28413"/>
    <cellStyle name="표준 6 4 2 28 7" xfId="56777"/>
    <cellStyle name="표준 6 4 2 29" xfId="3061"/>
    <cellStyle name="표준 6 4 2 29 2" xfId="3062"/>
    <cellStyle name="표준 6 4 2 29 2 2" xfId="6225"/>
    <cellStyle name="표준 6 4 2 29 2 2 2" xfId="12561"/>
    <cellStyle name="표준 6 4 2 29 2 2 2 2" xfId="25234"/>
    <cellStyle name="표준 6 4 2 29 2 2 2 2 2" xfId="50586"/>
    <cellStyle name="표준 6 4 2 29 2 2 2 3" xfId="37914"/>
    <cellStyle name="표준 6 4 2 29 2 2 3" xfId="18898"/>
    <cellStyle name="표준 6 4 2 29 2 2 3 2" xfId="44250"/>
    <cellStyle name="표준 6 4 2 29 2 2 4" xfId="31578"/>
    <cellStyle name="표준 6 4 2 29 2 2 5" xfId="56778"/>
    <cellStyle name="표준 6 4 2 29 2 3" xfId="9399"/>
    <cellStyle name="표준 6 4 2 29 2 3 2" xfId="22072"/>
    <cellStyle name="표준 6 4 2 29 2 3 2 2" xfId="47424"/>
    <cellStyle name="표준 6 4 2 29 2 3 3" xfId="34752"/>
    <cellStyle name="표준 6 4 2 29 2 4" xfId="15736"/>
    <cellStyle name="표준 6 4 2 29 2 4 2" xfId="41088"/>
    <cellStyle name="표준 6 4 2 29 2 5" xfId="28416"/>
    <cellStyle name="표준 6 4 2 29 2 6" xfId="56779"/>
    <cellStyle name="표준 6 4 2 29 3" xfId="6226"/>
    <cellStyle name="표준 6 4 2 29 3 2" xfId="12562"/>
    <cellStyle name="표준 6 4 2 29 3 2 2" xfId="25235"/>
    <cellStyle name="표준 6 4 2 29 3 2 2 2" xfId="50587"/>
    <cellStyle name="표준 6 4 2 29 3 2 3" xfId="37915"/>
    <cellStyle name="표준 6 4 2 29 3 3" xfId="18899"/>
    <cellStyle name="표준 6 4 2 29 3 3 2" xfId="44251"/>
    <cellStyle name="표준 6 4 2 29 3 4" xfId="31579"/>
    <cellStyle name="표준 6 4 2 29 3 5" xfId="56780"/>
    <cellStyle name="표준 6 4 2 29 4" xfId="9398"/>
    <cellStyle name="표준 6 4 2 29 4 2" xfId="22071"/>
    <cellStyle name="표준 6 4 2 29 4 2 2" xfId="47423"/>
    <cellStyle name="표준 6 4 2 29 4 3" xfId="34751"/>
    <cellStyle name="표준 6 4 2 29 5" xfId="15735"/>
    <cellStyle name="표준 6 4 2 29 5 2" xfId="41087"/>
    <cellStyle name="표준 6 4 2 29 6" xfId="28415"/>
    <cellStyle name="표준 6 4 2 29 7" xfId="56781"/>
    <cellStyle name="표준 6 4 2 3" xfId="3063"/>
    <cellStyle name="표준 6 4 2 3 2" xfId="3064"/>
    <cellStyle name="표준 6 4 2 3 2 2" xfId="6227"/>
    <cellStyle name="표준 6 4 2 3 2 2 2" xfId="12563"/>
    <cellStyle name="표준 6 4 2 3 2 2 2 2" xfId="25236"/>
    <cellStyle name="표준 6 4 2 3 2 2 2 2 2" xfId="50588"/>
    <cellStyle name="표준 6 4 2 3 2 2 2 3" xfId="37916"/>
    <cellStyle name="표준 6 4 2 3 2 2 3" xfId="18900"/>
    <cellStyle name="표준 6 4 2 3 2 2 3 2" xfId="44252"/>
    <cellStyle name="표준 6 4 2 3 2 2 4" xfId="31580"/>
    <cellStyle name="표준 6 4 2 3 2 2 5" xfId="56782"/>
    <cellStyle name="표준 6 4 2 3 2 3" xfId="9401"/>
    <cellStyle name="표준 6 4 2 3 2 3 2" xfId="22074"/>
    <cellStyle name="표준 6 4 2 3 2 3 2 2" xfId="47426"/>
    <cellStyle name="표준 6 4 2 3 2 3 3" xfId="34754"/>
    <cellStyle name="표준 6 4 2 3 2 4" xfId="15738"/>
    <cellStyle name="표준 6 4 2 3 2 4 2" xfId="41090"/>
    <cellStyle name="표준 6 4 2 3 2 5" xfId="28418"/>
    <cellStyle name="표준 6 4 2 3 2 6" xfId="56783"/>
    <cellStyle name="표준 6 4 2 3 3" xfId="6228"/>
    <cellStyle name="표준 6 4 2 3 3 2" xfId="12564"/>
    <cellStyle name="표준 6 4 2 3 3 2 2" xfId="25237"/>
    <cellStyle name="표준 6 4 2 3 3 2 2 2" xfId="50589"/>
    <cellStyle name="표준 6 4 2 3 3 2 3" xfId="37917"/>
    <cellStyle name="표준 6 4 2 3 3 3" xfId="18901"/>
    <cellStyle name="표준 6 4 2 3 3 3 2" xfId="44253"/>
    <cellStyle name="표준 6 4 2 3 3 4" xfId="31581"/>
    <cellStyle name="표준 6 4 2 3 3 5" xfId="56784"/>
    <cellStyle name="표준 6 4 2 3 4" xfId="9400"/>
    <cellStyle name="표준 6 4 2 3 4 2" xfId="22073"/>
    <cellStyle name="표준 6 4 2 3 4 2 2" xfId="47425"/>
    <cellStyle name="표준 6 4 2 3 4 3" xfId="34753"/>
    <cellStyle name="표준 6 4 2 3 5" xfId="15737"/>
    <cellStyle name="표준 6 4 2 3 5 2" xfId="41089"/>
    <cellStyle name="표준 6 4 2 3 6" xfId="28417"/>
    <cellStyle name="표준 6 4 2 3 7" xfId="56785"/>
    <cellStyle name="표준 6 4 2 30" xfId="3065"/>
    <cellStyle name="표준 6 4 2 30 2" xfId="3066"/>
    <cellStyle name="표준 6 4 2 30 2 2" xfId="6229"/>
    <cellStyle name="표준 6 4 2 30 2 2 2" xfId="12565"/>
    <cellStyle name="표준 6 4 2 30 2 2 2 2" xfId="25238"/>
    <cellStyle name="표준 6 4 2 30 2 2 2 2 2" xfId="50590"/>
    <cellStyle name="표준 6 4 2 30 2 2 2 3" xfId="37918"/>
    <cellStyle name="표준 6 4 2 30 2 2 3" xfId="18902"/>
    <cellStyle name="표준 6 4 2 30 2 2 3 2" xfId="44254"/>
    <cellStyle name="표준 6 4 2 30 2 2 4" xfId="31582"/>
    <cellStyle name="표준 6 4 2 30 2 2 5" xfId="56786"/>
    <cellStyle name="표준 6 4 2 30 2 3" xfId="9403"/>
    <cellStyle name="표준 6 4 2 30 2 3 2" xfId="22076"/>
    <cellStyle name="표준 6 4 2 30 2 3 2 2" xfId="47428"/>
    <cellStyle name="표준 6 4 2 30 2 3 3" xfId="34756"/>
    <cellStyle name="표준 6 4 2 30 2 4" xfId="15740"/>
    <cellStyle name="표준 6 4 2 30 2 4 2" xfId="41092"/>
    <cellStyle name="표준 6 4 2 30 2 5" xfId="28420"/>
    <cellStyle name="표준 6 4 2 30 2 6" xfId="56787"/>
    <cellStyle name="표준 6 4 2 30 3" xfId="6230"/>
    <cellStyle name="표준 6 4 2 30 3 2" xfId="12566"/>
    <cellStyle name="표준 6 4 2 30 3 2 2" xfId="25239"/>
    <cellStyle name="표준 6 4 2 30 3 2 2 2" xfId="50591"/>
    <cellStyle name="표준 6 4 2 30 3 2 3" xfId="37919"/>
    <cellStyle name="표준 6 4 2 30 3 3" xfId="18903"/>
    <cellStyle name="표준 6 4 2 30 3 3 2" xfId="44255"/>
    <cellStyle name="표준 6 4 2 30 3 4" xfId="31583"/>
    <cellStyle name="표준 6 4 2 30 3 5" xfId="56788"/>
    <cellStyle name="표준 6 4 2 30 4" xfId="9402"/>
    <cellStyle name="표준 6 4 2 30 4 2" xfId="22075"/>
    <cellStyle name="표준 6 4 2 30 4 2 2" xfId="47427"/>
    <cellStyle name="표준 6 4 2 30 4 3" xfId="34755"/>
    <cellStyle name="표준 6 4 2 30 5" xfId="15739"/>
    <cellStyle name="표준 6 4 2 30 5 2" xfId="41091"/>
    <cellStyle name="표준 6 4 2 30 6" xfId="28419"/>
    <cellStyle name="표준 6 4 2 30 7" xfId="56789"/>
    <cellStyle name="표준 6 4 2 31" xfId="3067"/>
    <cellStyle name="표준 6 4 2 31 2" xfId="3068"/>
    <cellStyle name="표준 6 4 2 31 2 2" xfId="6231"/>
    <cellStyle name="표준 6 4 2 31 2 2 2" xfId="12567"/>
    <cellStyle name="표준 6 4 2 31 2 2 2 2" xfId="25240"/>
    <cellStyle name="표준 6 4 2 31 2 2 2 2 2" xfId="50592"/>
    <cellStyle name="표준 6 4 2 31 2 2 2 3" xfId="37920"/>
    <cellStyle name="표준 6 4 2 31 2 2 3" xfId="18904"/>
    <cellStyle name="표준 6 4 2 31 2 2 3 2" xfId="44256"/>
    <cellStyle name="표준 6 4 2 31 2 2 4" xfId="31584"/>
    <cellStyle name="표준 6 4 2 31 2 2 5" xfId="56790"/>
    <cellStyle name="표준 6 4 2 31 2 3" xfId="9405"/>
    <cellStyle name="표준 6 4 2 31 2 3 2" xfId="22078"/>
    <cellStyle name="표준 6 4 2 31 2 3 2 2" xfId="47430"/>
    <cellStyle name="표준 6 4 2 31 2 3 3" xfId="34758"/>
    <cellStyle name="표준 6 4 2 31 2 4" xfId="15742"/>
    <cellStyle name="표준 6 4 2 31 2 4 2" xfId="41094"/>
    <cellStyle name="표준 6 4 2 31 2 5" xfId="28422"/>
    <cellStyle name="표준 6 4 2 31 2 6" xfId="56791"/>
    <cellStyle name="표준 6 4 2 31 3" xfId="6232"/>
    <cellStyle name="표준 6 4 2 31 3 2" xfId="12568"/>
    <cellStyle name="표준 6 4 2 31 3 2 2" xfId="25241"/>
    <cellStyle name="표준 6 4 2 31 3 2 2 2" xfId="50593"/>
    <cellStyle name="표준 6 4 2 31 3 2 3" xfId="37921"/>
    <cellStyle name="표준 6 4 2 31 3 3" xfId="18905"/>
    <cellStyle name="표준 6 4 2 31 3 3 2" xfId="44257"/>
    <cellStyle name="표준 6 4 2 31 3 4" xfId="31585"/>
    <cellStyle name="표준 6 4 2 31 3 5" xfId="56792"/>
    <cellStyle name="표준 6 4 2 31 4" xfId="9404"/>
    <cellStyle name="표준 6 4 2 31 4 2" xfId="22077"/>
    <cellStyle name="표준 6 4 2 31 4 2 2" xfId="47429"/>
    <cellStyle name="표준 6 4 2 31 4 3" xfId="34757"/>
    <cellStyle name="표준 6 4 2 31 5" xfId="15741"/>
    <cellStyle name="표준 6 4 2 31 5 2" xfId="41093"/>
    <cellStyle name="표준 6 4 2 31 6" xfId="28421"/>
    <cellStyle name="표준 6 4 2 31 7" xfId="56793"/>
    <cellStyle name="표준 6 4 2 32" xfId="3069"/>
    <cellStyle name="표준 6 4 2 32 2" xfId="3070"/>
    <cellStyle name="표준 6 4 2 32 2 2" xfId="6233"/>
    <cellStyle name="표준 6 4 2 32 2 2 2" xfId="12569"/>
    <cellStyle name="표준 6 4 2 32 2 2 2 2" xfId="25242"/>
    <cellStyle name="표준 6 4 2 32 2 2 2 2 2" xfId="50594"/>
    <cellStyle name="표준 6 4 2 32 2 2 2 3" xfId="37922"/>
    <cellStyle name="표준 6 4 2 32 2 2 3" xfId="18906"/>
    <cellStyle name="표준 6 4 2 32 2 2 3 2" xfId="44258"/>
    <cellStyle name="표준 6 4 2 32 2 2 4" xfId="31586"/>
    <cellStyle name="표준 6 4 2 32 2 2 5" xfId="56794"/>
    <cellStyle name="표준 6 4 2 32 2 3" xfId="9407"/>
    <cellStyle name="표준 6 4 2 32 2 3 2" xfId="22080"/>
    <cellStyle name="표준 6 4 2 32 2 3 2 2" xfId="47432"/>
    <cellStyle name="표준 6 4 2 32 2 3 3" xfId="34760"/>
    <cellStyle name="표준 6 4 2 32 2 4" xfId="15744"/>
    <cellStyle name="표준 6 4 2 32 2 4 2" xfId="41096"/>
    <cellStyle name="표준 6 4 2 32 2 5" xfId="28424"/>
    <cellStyle name="표준 6 4 2 32 2 6" xfId="56795"/>
    <cellStyle name="표준 6 4 2 32 3" xfId="6234"/>
    <cellStyle name="표준 6 4 2 32 3 2" xfId="12570"/>
    <cellStyle name="표준 6 4 2 32 3 2 2" xfId="25243"/>
    <cellStyle name="표준 6 4 2 32 3 2 2 2" xfId="50595"/>
    <cellStyle name="표준 6 4 2 32 3 2 3" xfId="37923"/>
    <cellStyle name="표준 6 4 2 32 3 3" xfId="18907"/>
    <cellStyle name="표준 6 4 2 32 3 3 2" xfId="44259"/>
    <cellStyle name="표준 6 4 2 32 3 4" xfId="31587"/>
    <cellStyle name="표준 6 4 2 32 3 5" xfId="56796"/>
    <cellStyle name="표준 6 4 2 32 4" xfId="9406"/>
    <cellStyle name="표준 6 4 2 32 4 2" xfId="22079"/>
    <cellStyle name="표준 6 4 2 32 4 2 2" xfId="47431"/>
    <cellStyle name="표준 6 4 2 32 4 3" xfId="34759"/>
    <cellStyle name="표준 6 4 2 32 5" xfId="15743"/>
    <cellStyle name="표준 6 4 2 32 5 2" xfId="41095"/>
    <cellStyle name="표준 6 4 2 32 6" xfId="28423"/>
    <cellStyle name="표준 6 4 2 32 7" xfId="56797"/>
    <cellStyle name="표준 6 4 2 33" xfId="3071"/>
    <cellStyle name="표준 6 4 2 33 2" xfId="3072"/>
    <cellStyle name="표준 6 4 2 33 2 2" xfId="6235"/>
    <cellStyle name="표준 6 4 2 33 2 2 2" xfId="12571"/>
    <cellStyle name="표준 6 4 2 33 2 2 2 2" xfId="25244"/>
    <cellStyle name="표준 6 4 2 33 2 2 2 2 2" xfId="50596"/>
    <cellStyle name="표준 6 4 2 33 2 2 2 3" xfId="37924"/>
    <cellStyle name="표준 6 4 2 33 2 2 3" xfId="18908"/>
    <cellStyle name="표준 6 4 2 33 2 2 3 2" xfId="44260"/>
    <cellStyle name="표준 6 4 2 33 2 2 4" xfId="31588"/>
    <cellStyle name="표준 6 4 2 33 2 2 5" xfId="56798"/>
    <cellStyle name="표준 6 4 2 33 2 3" xfId="9409"/>
    <cellStyle name="표준 6 4 2 33 2 3 2" xfId="22082"/>
    <cellStyle name="표준 6 4 2 33 2 3 2 2" xfId="47434"/>
    <cellStyle name="표준 6 4 2 33 2 3 3" xfId="34762"/>
    <cellStyle name="표준 6 4 2 33 2 4" xfId="15746"/>
    <cellStyle name="표준 6 4 2 33 2 4 2" xfId="41098"/>
    <cellStyle name="표준 6 4 2 33 2 5" xfId="28426"/>
    <cellStyle name="표준 6 4 2 33 2 6" xfId="56799"/>
    <cellStyle name="표준 6 4 2 33 3" xfId="6236"/>
    <cellStyle name="표준 6 4 2 33 3 2" xfId="12572"/>
    <cellStyle name="표준 6 4 2 33 3 2 2" xfId="25245"/>
    <cellStyle name="표준 6 4 2 33 3 2 2 2" xfId="50597"/>
    <cellStyle name="표준 6 4 2 33 3 2 3" xfId="37925"/>
    <cellStyle name="표준 6 4 2 33 3 3" xfId="18909"/>
    <cellStyle name="표준 6 4 2 33 3 3 2" xfId="44261"/>
    <cellStyle name="표준 6 4 2 33 3 4" xfId="31589"/>
    <cellStyle name="표준 6 4 2 33 3 5" xfId="56800"/>
    <cellStyle name="표준 6 4 2 33 4" xfId="9408"/>
    <cellStyle name="표준 6 4 2 33 4 2" xfId="22081"/>
    <cellStyle name="표준 6 4 2 33 4 2 2" xfId="47433"/>
    <cellStyle name="표준 6 4 2 33 4 3" xfId="34761"/>
    <cellStyle name="표준 6 4 2 33 5" xfId="15745"/>
    <cellStyle name="표준 6 4 2 33 5 2" xfId="41097"/>
    <cellStyle name="표준 6 4 2 33 6" xfId="28425"/>
    <cellStyle name="표준 6 4 2 33 7" xfId="56801"/>
    <cellStyle name="표준 6 4 2 34" xfId="3073"/>
    <cellStyle name="표준 6 4 2 34 2" xfId="6237"/>
    <cellStyle name="표준 6 4 2 34 2 2" xfId="12573"/>
    <cellStyle name="표준 6 4 2 34 2 2 2" xfId="25246"/>
    <cellStyle name="표준 6 4 2 34 2 2 2 2" xfId="50598"/>
    <cellStyle name="표준 6 4 2 34 2 2 3" xfId="37926"/>
    <cellStyle name="표준 6 4 2 34 2 3" xfId="18910"/>
    <cellStyle name="표준 6 4 2 34 2 3 2" xfId="44262"/>
    <cellStyle name="표준 6 4 2 34 2 4" xfId="31590"/>
    <cellStyle name="표준 6 4 2 34 2 5" xfId="56802"/>
    <cellStyle name="표준 6 4 2 34 3" xfId="9410"/>
    <cellStyle name="표준 6 4 2 34 3 2" xfId="22083"/>
    <cellStyle name="표준 6 4 2 34 3 2 2" xfId="47435"/>
    <cellStyle name="표준 6 4 2 34 3 3" xfId="34763"/>
    <cellStyle name="표준 6 4 2 34 4" xfId="15747"/>
    <cellStyle name="표준 6 4 2 34 4 2" xfId="41099"/>
    <cellStyle name="표준 6 4 2 34 5" xfId="28427"/>
    <cellStyle name="표준 6 4 2 34 6" xfId="56803"/>
    <cellStyle name="표준 6 4 2 35" xfId="6238"/>
    <cellStyle name="표준 6 4 2 35 2" xfId="12574"/>
    <cellStyle name="표준 6 4 2 35 2 2" xfId="25247"/>
    <cellStyle name="표준 6 4 2 35 2 2 2" xfId="50599"/>
    <cellStyle name="표준 6 4 2 35 2 3" xfId="37927"/>
    <cellStyle name="표준 6 4 2 35 3" xfId="18911"/>
    <cellStyle name="표준 6 4 2 35 3 2" xfId="44263"/>
    <cellStyle name="표준 6 4 2 35 4" xfId="31591"/>
    <cellStyle name="표준 6 4 2 35 5" xfId="56804"/>
    <cellStyle name="표준 6 4 2 36" xfId="6439"/>
    <cellStyle name="표준 6 4 2 36 2" xfId="19112"/>
    <cellStyle name="표준 6 4 2 36 2 2" xfId="44464"/>
    <cellStyle name="표준 6 4 2 36 3" xfId="31792"/>
    <cellStyle name="표준 6 4 2 37" xfId="12776"/>
    <cellStyle name="표준 6 4 2 37 2" xfId="38128"/>
    <cellStyle name="표준 6 4 2 38" xfId="25456"/>
    <cellStyle name="표준 6 4 2 39" xfId="56805"/>
    <cellStyle name="표준 6 4 2 4" xfId="3074"/>
    <cellStyle name="표준 6 4 2 4 2" xfId="3075"/>
    <cellStyle name="표준 6 4 2 4 2 2" xfId="6239"/>
    <cellStyle name="표준 6 4 2 4 2 2 2" xfId="12575"/>
    <cellStyle name="표준 6 4 2 4 2 2 2 2" xfId="25248"/>
    <cellStyle name="표준 6 4 2 4 2 2 2 2 2" xfId="50600"/>
    <cellStyle name="표준 6 4 2 4 2 2 2 3" xfId="37928"/>
    <cellStyle name="표준 6 4 2 4 2 2 3" xfId="18912"/>
    <cellStyle name="표준 6 4 2 4 2 2 3 2" xfId="44264"/>
    <cellStyle name="표준 6 4 2 4 2 2 4" xfId="31592"/>
    <cellStyle name="표준 6 4 2 4 2 2 5" xfId="56806"/>
    <cellStyle name="표준 6 4 2 4 2 3" xfId="9412"/>
    <cellStyle name="표준 6 4 2 4 2 3 2" xfId="22085"/>
    <cellStyle name="표준 6 4 2 4 2 3 2 2" xfId="47437"/>
    <cellStyle name="표준 6 4 2 4 2 3 3" xfId="34765"/>
    <cellStyle name="표준 6 4 2 4 2 4" xfId="15749"/>
    <cellStyle name="표준 6 4 2 4 2 4 2" xfId="41101"/>
    <cellStyle name="표준 6 4 2 4 2 5" xfId="28429"/>
    <cellStyle name="표준 6 4 2 4 2 6" xfId="56807"/>
    <cellStyle name="표준 6 4 2 4 3" xfId="6240"/>
    <cellStyle name="표준 6 4 2 4 3 2" xfId="12576"/>
    <cellStyle name="표준 6 4 2 4 3 2 2" xfId="25249"/>
    <cellStyle name="표준 6 4 2 4 3 2 2 2" xfId="50601"/>
    <cellStyle name="표준 6 4 2 4 3 2 3" xfId="37929"/>
    <cellStyle name="표준 6 4 2 4 3 3" xfId="18913"/>
    <cellStyle name="표준 6 4 2 4 3 3 2" xfId="44265"/>
    <cellStyle name="표준 6 4 2 4 3 4" xfId="31593"/>
    <cellStyle name="표준 6 4 2 4 3 5" xfId="56808"/>
    <cellStyle name="표준 6 4 2 4 4" xfId="9411"/>
    <cellStyle name="표준 6 4 2 4 4 2" xfId="22084"/>
    <cellStyle name="표준 6 4 2 4 4 2 2" xfId="47436"/>
    <cellStyle name="표준 6 4 2 4 4 3" xfId="34764"/>
    <cellStyle name="표준 6 4 2 4 5" xfId="15748"/>
    <cellStyle name="표준 6 4 2 4 5 2" xfId="41100"/>
    <cellStyle name="표준 6 4 2 4 6" xfId="28428"/>
    <cellStyle name="표준 6 4 2 4 7" xfId="56809"/>
    <cellStyle name="표준 6 4 2 5" xfId="3076"/>
    <cellStyle name="표준 6 4 2 5 2" xfId="3077"/>
    <cellStyle name="표준 6 4 2 5 2 2" xfId="6241"/>
    <cellStyle name="표준 6 4 2 5 2 2 2" xfId="12577"/>
    <cellStyle name="표준 6 4 2 5 2 2 2 2" xfId="25250"/>
    <cellStyle name="표준 6 4 2 5 2 2 2 2 2" xfId="50602"/>
    <cellStyle name="표준 6 4 2 5 2 2 2 3" xfId="37930"/>
    <cellStyle name="표준 6 4 2 5 2 2 3" xfId="18914"/>
    <cellStyle name="표준 6 4 2 5 2 2 3 2" xfId="44266"/>
    <cellStyle name="표준 6 4 2 5 2 2 4" xfId="31594"/>
    <cellStyle name="표준 6 4 2 5 2 2 5" xfId="56810"/>
    <cellStyle name="표준 6 4 2 5 2 3" xfId="9414"/>
    <cellStyle name="표준 6 4 2 5 2 3 2" xfId="22087"/>
    <cellStyle name="표준 6 4 2 5 2 3 2 2" xfId="47439"/>
    <cellStyle name="표준 6 4 2 5 2 3 3" xfId="34767"/>
    <cellStyle name="표준 6 4 2 5 2 4" xfId="15751"/>
    <cellStyle name="표준 6 4 2 5 2 4 2" xfId="41103"/>
    <cellStyle name="표준 6 4 2 5 2 5" xfId="28431"/>
    <cellStyle name="표준 6 4 2 5 2 6" xfId="56811"/>
    <cellStyle name="표준 6 4 2 5 3" xfId="6242"/>
    <cellStyle name="표준 6 4 2 5 3 2" xfId="12578"/>
    <cellStyle name="표준 6 4 2 5 3 2 2" xfId="25251"/>
    <cellStyle name="표준 6 4 2 5 3 2 2 2" xfId="50603"/>
    <cellStyle name="표준 6 4 2 5 3 2 3" xfId="37931"/>
    <cellStyle name="표준 6 4 2 5 3 3" xfId="18915"/>
    <cellStyle name="표준 6 4 2 5 3 3 2" xfId="44267"/>
    <cellStyle name="표준 6 4 2 5 3 4" xfId="31595"/>
    <cellStyle name="표준 6 4 2 5 3 5" xfId="56812"/>
    <cellStyle name="표준 6 4 2 5 4" xfId="9413"/>
    <cellStyle name="표준 6 4 2 5 4 2" xfId="22086"/>
    <cellStyle name="표준 6 4 2 5 4 2 2" xfId="47438"/>
    <cellStyle name="표준 6 4 2 5 4 3" xfId="34766"/>
    <cellStyle name="표준 6 4 2 5 5" xfId="15750"/>
    <cellStyle name="표준 6 4 2 5 5 2" xfId="41102"/>
    <cellStyle name="표준 6 4 2 5 6" xfId="28430"/>
    <cellStyle name="표준 6 4 2 5 7" xfId="56813"/>
    <cellStyle name="표준 6 4 2 6" xfId="3078"/>
    <cellStyle name="표준 6 4 2 6 2" xfId="3079"/>
    <cellStyle name="표준 6 4 2 6 2 2" xfId="6243"/>
    <cellStyle name="표준 6 4 2 6 2 2 2" xfId="12579"/>
    <cellStyle name="표준 6 4 2 6 2 2 2 2" xfId="25252"/>
    <cellStyle name="표준 6 4 2 6 2 2 2 2 2" xfId="50604"/>
    <cellStyle name="표준 6 4 2 6 2 2 2 3" xfId="37932"/>
    <cellStyle name="표준 6 4 2 6 2 2 3" xfId="18916"/>
    <cellStyle name="표준 6 4 2 6 2 2 3 2" xfId="44268"/>
    <cellStyle name="표준 6 4 2 6 2 2 4" xfId="31596"/>
    <cellStyle name="표준 6 4 2 6 2 2 5" xfId="56814"/>
    <cellStyle name="표준 6 4 2 6 2 3" xfId="9416"/>
    <cellStyle name="표준 6 4 2 6 2 3 2" xfId="22089"/>
    <cellStyle name="표준 6 4 2 6 2 3 2 2" xfId="47441"/>
    <cellStyle name="표준 6 4 2 6 2 3 3" xfId="34769"/>
    <cellStyle name="표준 6 4 2 6 2 4" xfId="15753"/>
    <cellStyle name="표준 6 4 2 6 2 4 2" xfId="41105"/>
    <cellStyle name="표준 6 4 2 6 2 5" xfId="28433"/>
    <cellStyle name="표준 6 4 2 6 2 6" xfId="56815"/>
    <cellStyle name="표준 6 4 2 6 3" xfId="6244"/>
    <cellStyle name="표준 6 4 2 6 3 2" xfId="12580"/>
    <cellStyle name="표준 6 4 2 6 3 2 2" xfId="25253"/>
    <cellStyle name="표준 6 4 2 6 3 2 2 2" xfId="50605"/>
    <cellStyle name="표준 6 4 2 6 3 2 3" xfId="37933"/>
    <cellStyle name="표준 6 4 2 6 3 3" xfId="18917"/>
    <cellStyle name="표준 6 4 2 6 3 3 2" xfId="44269"/>
    <cellStyle name="표준 6 4 2 6 3 4" xfId="31597"/>
    <cellStyle name="표준 6 4 2 6 3 5" xfId="56816"/>
    <cellStyle name="표준 6 4 2 6 4" xfId="9415"/>
    <cellStyle name="표준 6 4 2 6 4 2" xfId="22088"/>
    <cellStyle name="표준 6 4 2 6 4 2 2" xfId="47440"/>
    <cellStyle name="표준 6 4 2 6 4 3" xfId="34768"/>
    <cellStyle name="표준 6 4 2 6 5" xfId="15752"/>
    <cellStyle name="표준 6 4 2 6 5 2" xfId="41104"/>
    <cellStyle name="표준 6 4 2 6 6" xfId="28432"/>
    <cellStyle name="표준 6 4 2 6 7" xfId="56817"/>
    <cellStyle name="표준 6 4 2 7" xfId="3080"/>
    <cellStyle name="표준 6 4 2 7 2" xfId="3081"/>
    <cellStyle name="표준 6 4 2 7 2 2" xfId="6245"/>
    <cellStyle name="표준 6 4 2 7 2 2 2" xfId="12581"/>
    <cellStyle name="표준 6 4 2 7 2 2 2 2" xfId="25254"/>
    <cellStyle name="표준 6 4 2 7 2 2 2 2 2" xfId="50606"/>
    <cellStyle name="표준 6 4 2 7 2 2 2 3" xfId="37934"/>
    <cellStyle name="표준 6 4 2 7 2 2 3" xfId="18918"/>
    <cellStyle name="표준 6 4 2 7 2 2 3 2" xfId="44270"/>
    <cellStyle name="표준 6 4 2 7 2 2 4" xfId="31598"/>
    <cellStyle name="표준 6 4 2 7 2 2 5" xfId="56818"/>
    <cellStyle name="표준 6 4 2 7 2 3" xfId="9418"/>
    <cellStyle name="표준 6 4 2 7 2 3 2" xfId="22091"/>
    <cellStyle name="표준 6 4 2 7 2 3 2 2" xfId="47443"/>
    <cellStyle name="표준 6 4 2 7 2 3 3" xfId="34771"/>
    <cellStyle name="표준 6 4 2 7 2 4" xfId="15755"/>
    <cellStyle name="표준 6 4 2 7 2 4 2" xfId="41107"/>
    <cellStyle name="표준 6 4 2 7 2 5" xfId="28435"/>
    <cellStyle name="표준 6 4 2 7 2 6" xfId="56819"/>
    <cellStyle name="표준 6 4 2 7 3" xfId="6246"/>
    <cellStyle name="표준 6 4 2 7 3 2" xfId="12582"/>
    <cellStyle name="표준 6 4 2 7 3 2 2" xfId="25255"/>
    <cellStyle name="표준 6 4 2 7 3 2 2 2" xfId="50607"/>
    <cellStyle name="표준 6 4 2 7 3 2 3" xfId="37935"/>
    <cellStyle name="표준 6 4 2 7 3 3" xfId="18919"/>
    <cellStyle name="표준 6 4 2 7 3 3 2" xfId="44271"/>
    <cellStyle name="표준 6 4 2 7 3 4" xfId="31599"/>
    <cellStyle name="표준 6 4 2 7 3 5" xfId="56820"/>
    <cellStyle name="표준 6 4 2 7 4" xfId="9417"/>
    <cellStyle name="표준 6 4 2 7 4 2" xfId="22090"/>
    <cellStyle name="표준 6 4 2 7 4 2 2" xfId="47442"/>
    <cellStyle name="표준 6 4 2 7 4 3" xfId="34770"/>
    <cellStyle name="표준 6 4 2 7 5" xfId="15754"/>
    <cellStyle name="표준 6 4 2 7 5 2" xfId="41106"/>
    <cellStyle name="표준 6 4 2 7 6" xfId="28434"/>
    <cellStyle name="표준 6 4 2 7 7" xfId="56821"/>
    <cellStyle name="표준 6 4 2 8" xfId="3082"/>
    <cellStyle name="표준 6 4 2 8 2" xfId="3083"/>
    <cellStyle name="표준 6 4 2 8 2 2" xfId="6247"/>
    <cellStyle name="표준 6 4 2 8 2 2 2" xfId="12583"/>
    <cellStyle name="표준 6 4 2 8 2 2 2 2" xfId="25256"/>
    <cellStyle name="표준 6 4 2 8 2 2 2 2 2" xfId="50608"/>
    <cellStyle name="표준 6 4 2 8 2 2 2 3" xfId="37936"/>
    <cellStyle name="표준 6 4 2 8 2 2 3" xfId="18920"/>
    <cellStyle name="표준 6 4 2 8 2 2 3 2" xfId="44272"/>
    <cellStyle name="표준 6 4 2 8 2 2 4" xfId="31600"/>
    <cellStyle name="표준 6 4 2 8 2 2 5" xfId="56822"/>
    <cellStyle name="표준 6 4 2 8 2 3" xfId="9420"/>
    <cellStyle name="표준 6 4 2 8 2 3 2" xfId="22093"/>
    <cellStyle name="표준 6 4 2 8 2 3 2 2" xfId="47445"/>
    <cellStyle name="표준 6 4 2 8 2 3 3" xfId="34773"/>
    <cellStyle name="표준 6 4 2 8 2 4" xfId="15757"/>
    <cellStyle name="표준 6 4 2 8 2 4 2" xfId="41109"/>
    <cellStyle name="표준 6 4 2 8 2 5" xfId="28437"/>
    <cellStyle name="표준 6 4 2 8 2 6" xfId="56823"/>
    <cellStyle name="표준 6 4 2 8 3" xfId="6248"/>
    <cellStyle name="표준 6 4 2 8 3 2" xfId="12584"/>
    <cellStyle name="표준 6 4 2 8 3 2 2" xfId="25257"/>
    <cellStyle name="표준 6 4 2 8 3 2 2 2" xfId="50609"/>
    <cellStyle name="표준 6 4 2 8 3 2 3" xfId="37937"/>
    <cellStyle name="표준 6 4 2 8 3 3" xfId="18921"/>
    <cellStyle name="표준 6 4 2 8 3 3 2" xfId="44273"/>
    <cellStyle name="표준 6 4 2 8 3 4" xfId="31601"/>
    <cellStyle name="표준 6 4 2 8 3 5" xfId="56824"/>
    <cellStyle name="표준 6 4 2 8 4" xfId="9419"/>
    <cellStyle name="표준 6 4 2 8 4 2" xfId="22092"/>
    <cellStyle name="표준 6 4 2 8 4 2 2" xfId="47444"/>
    <cellStyle name="표준 6 4 2 8 4 3" xfId="34772"/>
    <cellStyle name="표준 6 4 2 8 5" xfId="15756"/>
    <cellStyle name="표준 6 4 2 8 5 2" xfId="41108"/>
    <cellStyle name="표준 6 4 2 8 6" xfId="28436"/>
    <cellStyle name="표준 6 4 2 8 7" xfId="56825"/>
    <cellStyle name="표준 6 4 2 9" xfId="3084"/>
    <cellStyle name="표준 6 4 2 9 2" xfId="3085"/>
    <cellStyle name="표준 6 4 2 9 2 2" xfId="6249"/>
    <cellStyle name="표준 6 4 2 9 2 2 2" xfId="12585"/>
    <cellStyle name="표준 6 4 2 9 2 2 2 2" xfId="25258"/>
    <cellStyle name="표준 6 4 2 9 2 2 2 2 2" xfId="50610"/>
    <cellStyle name="표준 6 4 2 9 2 2 2 3" xfId="37938"/>
    <cellStyle name="표준 6 4 2 9 2 2 3" xfId="18922"/>
    <cellStyle name="표준 6 4 2 9 2 2 3 2" xfId="44274"/>
    <cellStyle name="표준 6 4 2 9 2 2 4" xfId="31602"/>
    <cellStyle name="표준 6 4 2 9 2 2 5" xfId="56826"/>
    <cellStyle name="표준 6 4 2 9 2 3" xfId="9422"/>
    <cellStyle name="표준 6 4 2 9 2 3 2" xfId="22095"/>
    <cellStyle name="표준 6 4 2 9 2 3 2 2" xfId="47447"/>
    <cellStyle name="표준 6 4 2 9 2 3 3" xfId="34775"/>
    <cellStyle name="표준 6 4 2 9 2 4" xfId="15759"/>
    <cellStyle name="표준 6 4 2 9 2 4 2" xfId="41111"/>
    <cellStyle name="표준 6 4 2 9 2 5" xfId="28439"/>
    <cellStyle name="표준 6 4 2 9 2 6" xfId="56827"/>
    <cellStyle name="표준 6 4 2 9 3" xfId="6250"/>
    <cellStyle name="표준 6 4 2 9 3 2" xfId="12586"/>
    <cellStyle name="표준 6 4 2 9 3 2 2" xfId="25259"/>
    <cellStyle name="표준 6 4 2 9 3 2 2 2" xfId="50611"/>
    <cellStyle name="표준 6 4 2 9 3 2 3" xfId="37939"/>
    <cellStyle name="표준 6 4 2 9 3 3" xfId="18923"/>
    <cellStyle name="표준 6 4 2 9 3 3 2" xfId="44275"/>
    <cellStyle name="표준 6 4 2 9 3 4" xfId="31603"/>
    <cellStyle name="표준 6 4 2 9 3 5" xfId="56828"/>
    <cellStyle name="표준 6 4 2 9 4" xfId="9421"/>
    <cellStyle name="표준 6 4 2 9 4 2" xfId="22094"/>
    <cellStyle name="표준 6 4 2 9 4 2 2" xfId="47446"/>
    <cellStyle name="표준 6 4 2 9 4 3" xfId="34774"/>
    <cellStyle name="표준 6 4 2 9 5" xfId="15758"/>
    <cellStyle name="표준 6 4 2 9 5 2" xfId="41110"/>
    <cellStyle name="표준 6 4 2 9 6" xfId="28438"/>
    <cellStyle name="표준 6 4 2 9 7" xfId="56829"/>
    <cellStyle name="표준 6 4 20" xfId="3086"/>
    <cellStyle name="표준 6 4 20 2" xfId="3087"/>
    <cellStyle name="표준 6 4 20 2 2" xfId="6251"/>
    <cellStyle name="표준 6 4 20 2 2 2" xfId="12587"/>
    <cellStyle name="표준 6 4 20 2 2 2 2" xfId="25260"/>
    <cellStyle name="표준 6 4 20 2 2 2 2 2" xfId="50612"/>
    <cellStyle name="표준 6 4 20 2 2 2 3" xfId="37940"/>
    <cellStyle name="표준 6 4 20 2 2 3" xfId="18924"/>
    <cellStyle name="표준 6 4 20 2 2 3 2" xfId="44276"/>
    <cellStyle name="표준 6 4 20 2 2 4" xfId="31604"/>
    <cellStyle name="표준 6 4 20 2 2 5" xfId="56830"/>
    <cellStyle name="표준 6 4 20 2 3" xfId="9424"/>
    <cellStyle name="표준 6 4 20 2 3 2" xfId="22097"/>
    <cellStyle name="표준 6 4 20 2 3 2 2" xfId="47449"/>
    <cellStyle name="표준 6 4 20 2 3 3" xfId="34777"/>
    <cellStyle name="표준 6 4 20 2 4" xfId="15761"/>
    <cellStyle name="표준 6 4 20 2 4 2" xfId="41113"/>
    <cellStyle name="표준 6 4 20 2 5" xfId="28441"/>
    <cellStyle name="표준 6 4 20 2 6" xfId="56831"/>
    <cellStyle name="표준 6 4 20 3" xfId="6252"/>
    <cellStyle name="표준 6 4 20 3 2" xfId="12588"/>
    <cellStyle name="표준 6 4 20 3 2 2" xfId="25261"/>
    <cellStyle name="표준 6 4 20 3 2 2 2" xfId="50613"/>
    <cellStyle name="표준 6 4 20 3 2 3" xfId="37941"/>
    <cellStyle name="표준 6 4 20 3 3" xfId="18925"/>
    <cellStyle name="표준 6 4 20 3 3 2" xfId="44277"/>
    <cellStyle name="표준 6 4 20 3 4" xfId="31605"/>
    <cellStyle name="표준 6 4 20 3 5" xfId="56832"/>
    <cellStyle name="표준 6 4 20 4" xfId="9423"/>
    <cellStyle name="표준 6 4 20 4 2" xfId="22096"/>
    <cellStyle name="표준 6 4 20 4 2 2" xfId="47448"/>
    <cellStyle name="표준 6 4 20 4 3" xfId="34776"/>
    <cellStyle name="표준 6 4 20 5" xfId="15760"/>
    <cellStyle name="표준 6 4 20 5 2" xfId="41112"/>
    <cellStyle name="표준 6 4 20 6" xfId="28440"/>
    <cellStyle name="표준 6 4 20 7" xfId="56833"/>
    <cellStyle name="표준 6 4 21" xfId="3088"/>
    <cellStyle name="표준 6 4 21 2" xfId="3089"/>
    <cellStyle name="표준 6 4 21 2 2" xfId="6253"/>
    <cellStyle name="표준 6 4 21 2 2 2" xfId="12589"/>
    <cellStyle name="표준 6 4 21 2 2 2 2" xfId="25262"/>
    <cellStyle name="표준 6 4 21 2 2 2 2 2" xfId="50614"/>
    <cellStyle name="표준 6 4 21 2 2 2 3" xfId="37942"/>
    <cellStyle name="표준 6 4 21 2 2 3" xfId="18926"/>
    <cellStyle name="표준 6 4 21 2 2 3 2" xfId="44278"/>
    <cellStyle name="표준 6 4 21 2 2 4" xfId="31606"/>
    <cellStyle name="표준 6 4 21 2 2 5" xfId="56834"/>
    <cellStyle name="표준 6 4 21 2 3" xfId="9426"/>
    <cellStyle name="표준 6 4 21 2 3 2" xfId="22099"/>
    <cellStyle name="표준 6 4 21 2 3 2 2" xfId="47451"/>
    <cellStyle name="표준 6 4 21 2 3 3" xfId="34779"/>
    <cellStyle name="표준 6 4 21 2 4" xfId="15763"/>
    <cellStyle name="표준 6 4 21 2 4 2" xfId="41115"/>
    <cellStyle name="표준 6 4 21 2 5" xfId="28443"/>
    <cellStyle name="표준 6 4 21 2 6" xfId="56835"/>
    <cellStyle name="표준 6 4 21 3" xfId="6254"/>
    <cellStyle name="표준 6 4 21 3 2" xfId="12590"/>
    <cellStyle name="표준 6 4 21 3 2 2" xfId="25263"/>
    <cellStyle name="표준 6 4 21 3 2 2 2" xfId="50615"/>
    <cellStyle name="표준 6 4 21 3 2 3" xfId="37943"/>
    <cellStyle name="표준 6 4 21 3 3" xfId="18927"/>
    <cellStyle name="표준 6 4 21 3 3 2" xfId="44279"/>
    <cellStyle name="표준 6 4 21 3 4" xfId="31607"/>
    <cellStyle name="표준 6 4 21 3 5" xfId="56836"/>
    <cellStyle name="표준 6 4 21 4" xfId="9425"/>
    <cellStyle name="표준 6 4 21 4 2" xfId="22098"/>
    <cellStyle name="표준 6 4 21 4 2 2" xfId="47450"/>
    <cellStyle name="표준 6 4 21 4 3" xfId="34778"/>
    <cellStyle name="표준 6 4 21 5" xfId="15762"/>
    <cellStyle name="표준 6 4 21 5 2" xfId="41114"/>
    <cellStyle name="표준 6 4 21 6" xfId="28442"/>
    <cellStyle name="표준 6 4 21 7" xfId="56837"/>
    <cellStyle name="표준 6 4 22" xfId="3090"/>
    <cellStyle name="표준 6 4 22 2" xfId="3091"/>
    <cellStyle name="표준 6 4 22 2 2" xfId="6255"/>
    <cellStyle name="표준 6 4 22 2 2 2" xfId="12591"/>
    <cellStyle name="표준 6 4 22 2 2 2 2" xfId="25264"/>
    <cellStyle name="표준 6 4 22 2 2 2 2 2" xfId="50616"/>
    <cellStyle name="표준 6 4 22 2 2 2 3" xfId="37944"/>
    <cellStyle name="표준 6 4 22 2 2 3" xfId="18928"/>
    <cellStyle name="표준 6 4 22 2 2 3 2" xfId="44280"/>
    <cellStyle name="표준 6 4 22 2 2 4" xfId="31608"/>
    <cellStyle name="표준 6 4 22 2 2 5" xfId="56838"/>
    <cellStyle name="표준 6 4 22 2 3" xfId="9428"/>
    <cellStyle name="표준 6 4 22 2 3 2" xfId="22101"/>
    <cellStyle name="표준 6 4 22 2 3 2 2" xfId="47453"/>
    <cellStyle name="표준 6 4 22 2 3 3" xfId="34781"/>
    <cellStyle name="표준 6 4 22 2 4" xfId="15765"/>
    <cellStyle name="표준 6 4 22 2 4 2" xfId="41117"/>
    <cellStyle name="표준 6 4 22 2 5" xfId="28445"/>
    <cellStyle name="표준 6 4 22 2 6" xfId="56839"/>
    <cellStyle name="표준 6 4 22 3" xfId="6256"/>
    <cellStyle name="표준 6 4 22 3 2" xfId="12592"/>
    <cellStyle name="표준 6 4 22 3 2 2" xfId="25265"/>
    <cellStyle name="표준 6 4 22 3 2 2 2" xfId="50617"/>
    <cellStyle name="표준 6 4 22 3 2 3" xfId="37945"/>
    <cellStyle name="표준 6 4 22 3 3" xfId="18929"/>
    <cellStyle name="표준 6 4 22 3 3 2" xfId="44281"/>
    <cellStyle name="표준 6 4 22 3 4" xfId="31609"/>
    <cellStyle name="표준 6 4 22 3 5" xfId="56840"/>
    <cellStyle name="표준 6 4 22 4" xfId="9427"/>
    <cellStyle name="표준 6 4 22 4 2" xfId="22100"/>
    <cellStyle name="표준 6 4 22 4 2 2" xfId="47452"/>
    <cellStyle name="표준 6 4 22 4 3" xfId="34780"/>
    <cellStyle name="표준 6 4 22 5" xfId="15764"/>
    <cellStyle name="표준 6 4 22 5 2" xfId="41116"/>
    <cellStyle name="표준 6 4 22 6" xfId="28444"/>
    <cellStyle name="표준 6 4 22 7" xfId="56841"/>
    <cellStyle name="표준 6 4 23" xfId="3092"/>
    <cellStyle name="표준 6 4 23 2" xfId="3093"/>
    <cellStyle name="표준 6 4 23 2 2" xfId="6257"/>
    <cellStyle name="표준 6 4 23 2 2 2" xfId="12593"/>
    <cellStyle name="표준 6 4 23 2 2 2 2" xfId="25266"/>
    <cellStyle name="표준 6 4 23 2 2 2 2 2" xfId="50618"/>
    <cellStyle name="표준 6 4 23 2 2 2 3" xfId="37946"/>
    <cellStyle name="표준 6 4 23 2 2 3" xfId="18930"/>
    <cellStyle name="표준 6 4 23 2 2 3 2" xfId="44282"/>
    <cellStyle name="표준 6 4 23 2 2 4" xfId="31610"/>
    <cellStyle name="표준 6 4 23 2 2 5" xfId="56842"/>
    <cellStyle name="표준 6 4 23 2 3" xfId="9430"/>
    <cellStyle name="표준 6 4 23 2 3 2" xfId="22103"/>
    <cellStyle name="표준 6 4 23 2 3 2 2" xfId="47455"/>
    <cellStyle name="표준 6 4 23 2 3 3" xfId="34783"/>
    <cellStyle name="표준 6 4 23 2 4" xfId="15767"/>
    <cellStyle name="표준 6 4 23 2 4 2" xfId="41119"/>
    <cellStyle name="표준 6 4 23 2 5" xfId="28447"/>
    <cellStyle name="표준 6 4 23 2 6" xfId="56843"/>
    <cellStyle name="표준 6 4 23 3" xfId="6258"/>
    <cellStyle name="표준 6 4 23 3 2" xfId="12594"/>
    <cellStyle name="표준 6 4 23 3 2 2" xfId="25267"/>
    <cellStyle name="표준 6 4 23 3 2 2 2" xfId="50619"/>
    <cellStyle name="표준 6 4 23 3 2 3" xfId="37947"/>
    <cellStyle name="표준 6 4 23 3 3" xfId="18931"/>
    <cellStyle name="표준 6 4 23 3 3 2" xfId="44283"/>
    <cellStyle name="표준 6 4 23 3 4" xfId="31611"/>
    <cellStyle name="표준 6 4 23 3 5" xfId="56844"/>
    <cellStyle name="표준 6 4 23 4" xfId="9429"/>
    <cellStyle name="표준 6 4 23 4 2" xfId="22102"/>
    <cellStyle name="표준 6 4 23 4 2 2" xfId="47454"/>
    <cellStyle name="표준 6 4 23 4 3" xfId="34782"/>
    <cellStyle name="표준 6 4 23 5" xfId="15766"/>
    <cellStyle name="표준 6 4 23 5 2" xfId="41118"/>
    <cellStyle name="표준 6 4 23 6" xfId="28446"/>
    <cellStyle name="표준 6 4 23 7" xfId="56845"/>
    <cellStyle name="표준 6 4 24" xfId="3094"/>
    <cellStyle name="표준 6 4 24 2" xfId="3095"/>
    <cellStyle name="표준 6 4 24 2 2" xfId="6259"/>
    <cellStyle name="표준 6 4 24 2 2 2" xfId="12595"/>
    <cellStyle name="표준 6 4 24 2 2 2 2" xfId="25268"/>
    <cellStyle name="표준 6 4 24 2 2 2 2 2" xfId="50620"/>
    <cellStyle name="표준 6 4 24 2 2 2 3" xfId="37948"/>
    <cellStyle name="표준 6 4 24 2 2 3" xfId="18932"/>
    <cellStyle name="표준 6 4 24 2 2 3 2" xfId="44284"/>
    <cellStyle name="표준 6 4 24 2 2 4" xfId="31612"/>
    <cellStyle name="표준 6 4 24 2 2 5" xfId="56846"/>
    <cellStyle name="표준 6 4 24 2 3" xfId="9432"/>
    <cellStyle name="표준 6 4 24 2 3 2" xfId="22105"/>
    <cellStyle name="표준 6 4 24 2 3 2 2" xfId="47457"/>
    <cellStyle name="표준 6 4 24 2 3 3" xfId="34785"/>
    <cellStyle name="표준 6 4 24 2 4" xfId="15769"/>
    <cellStyle name="표준 6 4 24 2 4 2" xfId="41121"/>
    <cellStyle name="표준 6 4 24 2 5" xfId="28449"/>
    <cellStyle name="표준 6 4 24 2 6" xfId="56847"/>
    <cellStyle name="표준 6 4 24 3" xfId="6260"/>
    <cellStyle name="표준 6 4 24 3 2" xfId="12596"/>
    <cellStyle name="표준 6 4 24 3 2 2" xfId="25269"/>
    <cellStyle name="표준 6 4 24 3 2 2 2" xfId="50621"/>
    <cellStyle name="표준 6 4 24 3 2 3" xfId="37949"/>
    <cellStyle name="표준 6 4 24 3 3" xfId="18933"/>
    <cellStyle name="표준 6 4 24 3 3 2" xfId="44285"/>
    <cellStyle name="표준 6 4 24 3 4" xfId="31613"/>
    <cellStyle name="표준 6 4 24 3 5" xfId="56848"/>
    <cellStyle name="표준 6 4 24 4" xfId="9431"/>
    <cellStyle name="표준 6 4 24 4 2" xfId="22104"/>
    <cellStyle name="표준 6 4 24 4 2 2" xfId="47456"/>
    <cellStyle name="표준 6 4 24 4 3" xfId="34784"/>
    <cellStyle name="표준 6 4 24 5" xfId="15768"/>
    <cellStyle name="표준 6 4 24 5 2" xfId="41120"/>
    <cellStyle name="표준 6 4 24 6" xfId="28448"/>
    <cellStyle name="표준 6 4 24 7" xfId="56849"/>
    <cellStyle name="표준 6 4 25" xfId="3096"/>
    <cellStyle name="표준 6 4 25 2" xfId="3097"/>
    <cellStyle name="표준 6 4 25 2 2" xfId="6261"/>
    <cellStyle name="표준 6 4 25 2 2 2" xfId="12597"/>
    <cellStyle name="표준 6 4 25 2 2 2 2" xfId="25270"/>
    <cellStyle name="표준 6 4 25 2 2 2 2 2" xfId="50622"/>
    <cellStyle name="표준 6 4 25 2 2 2 3" xfId="37950"/>
    <cellStyle name="표준 6 4 25 2 2 3" xfId="18934"/>
    <cellStyle name="표준 6 4 25 2 2 3 2" xfId="44286"/>
    <cellStyle name="표준 6 4 25 2 2 4" xfId="31614"/>
    <cellStyle name="표준 6 4 25 2 2 5" xfId="56850"/>
    <cellStyle name="표준 6 4 25 2 3" xfId="9434"/>
    <cellStyle name="표준 6 4 25 2 3 2" xfId="22107"/>
    <cellStyle name="표준 6 4 25 2 3 2 2" xfId="47459"/>
    <cellStyle name="표준 6 4 25 2 3 3" xfId="34787"/>
    <cellStyle name="표준 6 4 25 2 4" xfId="15771"/>
    <cellStyle name="표준 6 4 25 2 4 2" xfId="41123"/>
    <cellStyle name="표준 6 4 25 2 5" xfId="28451"/>
    <cellStyle name="표준 6 4 25 2 6" xfId="56851"/>
    <cellStyle name="표준 6 4 25 3" xfId="6262"/>
    <cellStyle name="표준 6 4 25 3 2" xfId="12598"/>
    <cellStyle name="표준 6 4 25 3 2 2" xfId="25271"/>
    <cellStyle name="표준 6 4 25 3 2 2 2" xfId="50623"/>
    <cellStyle name="표준 6 4 25 3 2 3" xfId="37951"/>
    <cellStyle name="표준 6 4 25 3 3" xfId="18935"/>
    <cellStyle name="표준 6 4 25 3 3 2" xfId="44287"/>
    <cellStyle name="표준 6 4 25 3 4" xfId="31615"/>
    <cellStyle name="표준 6 4 25 3 5" xfId="56852"/>
    <cellStyle name="표준 6 4 25 4" xfId="9433"/>
    <cellStyle name="표준 6 4 25 4 2" xfId="22106"/>
    <cellStyle name="표준 6 4 25 4 2 2" xfId="47458"/>
    <cellStyle name="표준 6 4 25 4 3" xfId="34786"/>
    <cellStyle name="표준 6 4 25 5" xfId="15770"/>
    <cellStyle name="표준 6 4 25 5 2" xfId="41122"/>
    <cellStyle name="표준 6 4 25 6" xfId="28450"/>
    <cellStyle name="표준 6 4 25 7" xfId="56853"/>
    <cellStyle name="표준 6 4 26" xfId="3098"/>
    <cellStyle name="표준 6 4 26 2" xfId="3099"/>
    <cellStyle name="표준 6 4 26 2 2" xfId="6263"/>
    <cellStyle name="표준 6 4 26 2 2 2" xfId="12599"/>
    <cellStyle name="표준 6 4 26 2 2 2 2" xfId="25272"/>
    <cellStyle name="표준 6 4 26 2 2 2 2 2" xfId="50624"/>
    <cellStyle name="표준 6 4 26 2 2 2 3" xfId="37952"/>
    <cellStyle name="표준 6 4 26 2 2 3" xfId="18936"/>
    <cellStyle name="표준 6 4 26 2 2 3 2" xfId="44288"/>
    <cellStyle name="표준 6 4 26 2 2 4" xfId="31616"/>
    <cellStyle name="표준 6 4 26 2 2 5" xfId="56854"/>
    <cellStyle name="표준 6 4 26 2 3" xfId="9436"/>
    <cellStyle name="표준 6 4 26 2 3 2" xfId="22109"/>
    <cellStyle name="표준 6 4 26 2 3 2 2" xfId="47461"/>
    <cellStyle name="표준 6 4 26 2 3 3" xfId="34789"/>
    <cellStyle name="표준 6 4 26 2 4" xfId="15773"/>
    <cellStyle name="표준 6 4 26 2 4 2" xfId="41125"/>
    <cellStyle name="표준 6 4 26 2 5" xfId="28453"/>
    <cellStyle name="표준 6 4 26 2 6" xfId="56855"/>
    <cellStyle name="표준 6 4 26 3" xfId="6264"/>
    <cellStyle name="표준 6 4 26 3 2" xfId="12600"/>
    <cellStyle name="표준 6 4 26 3 2 2" xfId="25273"/>
    <cellStyle name="표준 6 4 26 3 2 2 2" xfId="50625"/>
    <cellStyle name="표준 6 4 26 3 2 3" xfId="37953"/>
    <cellStyle name="표준 6 4 26 3 3" xfId="18937"/>
    <cellStyle name="표준 6 4 26 3 3 2" xfId="44289"/>
    <cellStyle name="표준 6 4 26 3 4" xfId="31617"/>
    <cellStyle name="표준 6 4 26 3 5" xfId="56856"/>
    <cellStyle name="표준 6 4 26 4" xfId="9435"/>
    <cellStyle name="표준 6 4 26 4 2" xfId="22108"/>
    <cellStyle name="표준 6 4 26 4 2 2" xfId="47460"/>
    <cellStyle name="표준 6 4 26 4 3" xfId="34788"/>
    <cellStyle name="표준 6 4 26 5" xfId="15772"/>
    <cellStyle name="표준 6 4 26 5 2" xfId="41124"/>
    <cellStyle name="표준 6 4 26 6" xfId="28452"/>
    <cellStyle name="표준 6 4 26 7" xfId="56857"/>
    <cellStyle name="표준 6 4 27" xfId="3100"/>
    <cellStyle name="표준 6 4 27 2" xfId="3101"/>
    <cellStyle name="표준 6 4 27 2 2" xfId="6265"/>
    <cellStyle name="표준 6 4 27 2 2 2" xfId="12601"/>
    <cellStyle name="표준 6 4 27 2 2 2 2" xfId="25274"/>
    <cellStyle name="표준 6 4 27 2 2 2 2 2" xfId="50626"/>
    <cellStyle name="표준 6 4 27 2 2 2 3" xfId="37954"/>
    <cellStyle name="표준 6 4 27 2 2 3" xfId="18938"/>
    <cellStyle name="표준 6 4 27 2 2 3 2" xfId="44290"/>
    <cellStyle name="표준 6 4 27 2 2 4" xfId="31618"/>
    <cellStyle name="표준 6 4 27 2 2 5" xfId="56858"/>
    <cellStyle name="표준 6 4 27 2 3" xfId="9438"/>
    <cellStyle name="표준 6 4 27 2 3 2" xfId="22111"/>
    <cellStyle name="표준 6 4 27 2 3 2 2" xfId="47463"/>
    <cellStyle name="표준 6 4 27 2 3 3" xfId="34791"/>
    <cellStyle name="표준 6 4 27 2 4" xfId="15775"/>
    <cellStyle name="표준 6 4 27 2 4 2" xfId="41127"/>
    <cellStyle name="표준 6 4 27 2 5" xfId="28455"/>
    <cellStyle name="표준 6 4 27 2 6" xfId="56859"/>
    <cellStyle name="표준 6 4 27 3" xfId="6266"/>
    <cellStyle name="표준 6 4 27 3 2" xfId="12602"/>
    <cellStyle name="표준 6 4 27 3 2 2" xfId="25275"/>
    <cellStyle name="표준 6 4 27 3 2 2 2" xfId="50627"/>
    <cellStyle name="표준 6 4 27 3 2 3" xfId="37955"/>
    <cellStyle name="표준 6 4 27 3 3" xfId="18939"/>
    <cellStyle name="표준 6 4 27 3 3 2" xfId="44291"/>
    <cellStyle name="표준 6 4 27 3 4" xfId="31619"/>
    <cellStyle name="표준 6 4 27 3 5" xfId="56860"/>
    <cellStyle name="표준 6 4 27 4" xfId="9437"/>
    <cellStyle name="표준 6 4 27 4 2" xfId="22110"/>
    <cellStyle name="표준 6 4 27 4 2 2" xfId="47462"/>
    <cellStyle name="표준 6 4 27 4 3" xfId="34790"/>
    <cellStyle name="표준 6 4 27 5" xfId="15774"/>
    <cellStyle name="표준 6 4 27 5 2" xfId="41126"/>
    <cellStyle name="표준 6 4 27 6" xfId="28454"/>
    <cellStyle name="표준 6 4 27 7" xfId="56861"/>
    <cellStyle name="표준 6 4 28" xfId="3102"/>
    <cellStyle name="표준 6 4 28 2" xfId="3103"/>
    <cellStyle name="표준 6 4 28 2 2" xfId="6267"/>
    <cellStyle name="표준 6 4 28 2 2 2" xfId="12603"/>
    <cellStyle name="표준 6 4 28 2 2 2 2" xfId="25276"/>
    <cellStyle name="표준 6 4 28 2 2 2 2 2" xfId="50628"/>
    <cellStyle name="표준 6 4 28 2 2 2 3" xfId="37956"/>
    <cellStyle name="표준 6 4 28 2 2 3" xfId="18940"/>
    <cellStyle name="표준 6 4 28 2 2 3 2" xfId="44292"/>
    <cellStyle name="표준 6 4 28 2 2 4" xfId="31620"/>
    <cellStyle name="표준 6 4 28 2 2 5" xfId="56862"/>
    <cellStyle name="표준 6 4 28 2 3" xfId="9440"/>
    <cellStyle name="표준 6 4 28 2 3 2" xfId="22113"/>
    <cellStyle name="표준 6 4 28 2 3 2 2" xfId="47465"/>
    <cellStyle name="표준 6 4 28 2 3 3" xfId="34793"/>
    <cellStyle name="표준 6 4 28 2 4" xfId="15777"/>
    <cellStyle name="표준 6 4 28 2 4 2" xfId="41129"/>
    <cellStyle name="표준 6 4 28 2 5" xfId="28457"/>
    <cellStyle name="표준 6 4 28 2 6" xfId="56863"/>
    <cellStyle name="표준 6 4 28 3" xfId="6268"/>
    <cellStyle name="표준 6 4 28 3 2" xfId="12604"/>
    <cellStyle name="표준 6 4 28 3 2 2" xfId="25277"/>
    <cellStyle name="표준 6 4 28 3 2 2 2" xfId="50629"/>
    <cellStyle name="표준 6 4 28 3 2 3" xfId="37957"/>
    <cellStyle name="표준 6 4 28 3 3" xfId="18941"/>
    <cellStyle name="표준 6 4 28 3 3 2" xfId="44293"/>
    <cellStyle name="표준 6 4 28 3 4" xfId="31621"/>
    <cellStyle name="표준 6 4 28 3 5" xfId="56864"/>
    <cellStyle name="표준 6 4 28 4" xfId="9439"/>
    <cellStyle name="표준 6 4 28 4 2" xfId="22112"/>
    <cellStyle name="표준 6 4 28 4 2 2" xfId="47464"/>
    <cellStyle name="표준 6 4 28 4 3" xfId="34792"/>
    <cellStyle name="표준 6 4 28 5" xfId="15776"/>
    <cellStyle name="표준 6 4 28 5 2" xfId="41128"/>
    <cellStyle name="표준 6 4 28 6" xfId="28456"/>
    <cellStyle name="표준 6 4 28 7" xfId="56865"/>
    <cellStyle name="표준 6 4 29" xfId="3104"/>
    <cellStyle name="표준 6 4 29 2" xfId="3105"/>
    <cellStyle name="표준 6 4 29 2 2" xfId="6269"/>
    <cellStyle name="표준 6 4 29 2 2 2" xfId="12605"/>
    <cellStyle name="표준 6 4 29 2 2 2 2" xfId="25278"/>
    <cellStyle name="표준 6 4 29 2 2 2 2 2" xfId="50630"/>
    <cellStyle name="표준 6 4 29 2 2 2 3" xfId="37958"/>
    <cellStyle name="표준 6 4 29 2 2 3" xfId="18942"/>
    <cellStyle name="표준 6 4 29 2 2 3 2" xfId="44294"/>
    <cellStyle name="표준 6 4 29 2 2 4" xfId="31622"/>
    <cellStyle name="표준 6 4 29 2 2 5" xfId="56866"/>
    <cellStyle name="표준 6 4 29 2 3" xfId="9442"/>
    <cellStyle name="표준 6 4 29 2 3 2" xfId="22115"/>
    <cellStyle name="표준 6 4 29 2 3 2 2" xfId="47467"/>
    <cellStyle name="표준 6 4 29 2 3 3" xfId="34795"/>
    <cellStyle name="표준 6 4 29 2 4" xfId="15779"/>
    <cellStyle name="표준 6 4 29 2 4 2" xfId="41131"/>
    <cellStyle name="표준 6 4 29 2 5" xfId="28459"/>
    <cellStyle name="표준 6 4 29 2 6" xfId="56867"/>
    <cellStyle name="표준 6 4 29 3" xfId="6270"/>
    <cellStyle name="표준 6 4 29 3 2" xfId="12606"/>
    <cellStyle name="표준 6 4 29 3 2 2" xfId="25279"/>
    <cellStyle name="표준 6 4 29 3 2 2 2" xfId="50631"/>
    <cellStyle name="표준 6 4 29 3 2 3" xfId="37959"/>
    <cellStyle name="표준 6 4 29 3 3" xfId="18943"/>
    <cellStyle name="표준 6 4 29 3 3 2" xfId="44295"/>
    <cellStyle name="표준 6 4 29 3 4" xfId="31623"/>
    <cellStyle name="표준 6 4 29 3 5" xfId="56868"/>
    <cellStyle name="표준 6 4 29 4" xfId="9441"/>
    <cellStyle name="표준 6 4 29 4 2" xfId="22114"/>
    <cellStyle name="표준 6 4 29 4 2 2" xfId="47466"/>
    <cellStyle name="표준 6 4 29 4 3" xfId="34794"/>
    <cellStyle name="표준 6 4 29 5" xfId="15778"/>
    <cellStyle name="표준 6 4 29 5 2" xfId="41130"/>
    <cellStyle name="표준 6 4 29 6" xfId="28458"/>
    <cellStyle name="표준 6 4 29 7" xfId="56869"/>
    <cellStyle name="표준 6 4 3" xfId="102"/>
    <cellStyle name="표준 6 4 3 2" xfId="3106"/>
    <cellStyle name="표준 6 4 3 2 2" xfId="6271"/>
    <cellStyle name="표준 6 4 3 2 2 2" xfId="12607"/>
    <cellStyle name="표준 6 4 3 2 2 2 2" xfId="25280"/>
    <cellStyle name="표준 6 4 3 2 2 2 2 2" xfId="50632"/>
    <cellStyle name="표준 6 4 3 2 2 2 3" xfId="37960"/>
    <cellStyle name="표준 6 4 3 2 2 3" xfId="18944"/>
    <cellStyle name="표준 6 4 3 2 2 3 2" xfId="44296"/>
    <cellStyle name="표준 6 4 3 2 2 4" xfId="31624"/>
    <cellStyle name="표준 6 4 3 2 2 5" xfId="56870"/>
    <cellStyle name="표준 6 4 3 2 3" xfId="9443"/>
    <cellStyle name="표준 6 4 3 2 3 2" xfId="22116"/>
    <cellStyle name="표준 6 4 3 2 3 2 2" xfId="47468"/>
    <cellStyle name="표준 6 4 3 2 3 3" xfId="34796"/>
    <cellStyle name="표준 6 4 3 2 4" xfId="15780"/>
    <cellStyle name="표준 6 4 3 2 4 2" xfId="41132"/>
    <cellStyle name="표준 6 4 3 2 5" xfId="28460"/>
    <cellStyle name="표준 6 4 3 2 6" xfId="56871"/>
    <cellStyle name="표준 6 4 3 3" xfId="6272"/>
    <cellStyle name="표준 6 4 3 3 2" xfId="12608"/>
    <cellStyle name="표준 6 4 3 3 2 2" xfId="25281"/>
    <cellStyle name="표준 6 4 3 3 2 2 2" xfId="50633"/>
    <cellStyle name="표준 6 4 3 3 2 3" xfId="37961"/>
    <cellStyle name="표준 6 4 3 3 3" xfId="18945"/>
    <cellStyle name="표준 6 4 3 3 3 2" xfId="44297"/>
    <cellStyle name="표준 6 4 3 3 4" xfId="31625"/>
    <cellStyle name="표준 6 4 3 3 5" xfId="56872"/>
    <cellStyle name="표준 6 4 3 4" xfId="6440"/>
    <cellStyle name="표준 6 4 3 4 2" xfId="19113"/>
    <cellStyle name="표준 6 4 3 4 2 2" xfId="44465"/>
    <cellStyle name="표준 6 4 3 4 3" xfId="31793"/>
    <cellStyle name="표준 6 4 3 5" xfId="12777"/>
    <cellStyle name="표준 6 4 3 5 2" xfId="38129"/>
    <cellStyle name="표준 6 4 3 6" xfId="25457"/>
    <cellStyle name="표준 6 4 3 7" xfId="56873"/>
    <cellStyle name="표준 6 4 30" xfId="3107"/>
    <cellStyle name="표준 6 4 30 2" xfId="3108"/>
    <cellStyle name="표준 6 4 30 2 2" xfId="6273"/>
    <cellStyle name="표준 6 4 30 2 2 2" xfId="12609"/>
    <cellStyle name="표준 6 4 30 2 2 2 2" xfId="25282"/>
    <cellStyle name="표준 6 4 30 2 2 2 2 2" xfId="50634"/>
    <cellStyle name="표준 6 4 30 2 2 2 3" xfId="37962"/>
    <cellStyle name="표준 6 4 30 2 2 3" xfId="18946"/>
    <cellStyle name="표준 6 4 30 2 2 3 2" xfId="44298"/>
    <cellStyle name="표준 6 4 30 2 2 4" xfId="31626"/>
    <cellStyle name="표준 6 4 30 2 2 5" xfId="56874"/>
    <cellStyle name="표준 6 4 30 2 3" xfId="9445"/>
    <cellStyle name="표준 6 4 30 2 3 2" xfId="22118"/>
    <cellStyle name="표준 6 4 30 2 3 2 2" xfId="47470"/>
    <cellStyle name="표준 6 4 30 2 3 3" xfId="34798"/>
    <cellStyle name="표준 6 4 30 2 4" xfId="15782"/>
    <cellStyle name="표준 6 4 30 2 4 2" xfId="41134"/>
    <cellStyle name="표준 6 4 30 2 5" xfId="28462"/>
    <cellStyle name="표준 6 4 30 2 6" xfId="56875"/>
    <cellStyle name="표준 6 4 30 3" xfId="6274"/>
    <cellStyle name="표준 6 4 30 3 2" xfId="12610"/>
    <cellStyle name="표준 6 4 30 3 2 2" xfId="25283"/>
    <cellStyle name="표준 6 4 30 3 2 2 2" xfId="50635"/>
    <cellStyle name="표준 6 4 30 3 2 3" xfId="37963"/>
    <cellStyle name="표준 6 4 30 3 3" xfId="18947"/>
    <cellStyle name="표준 6 4 30 3 3 2" xfId="44299"/>
    <cellStyle name="표준 6 4 30 3 4" xfId="31627"/>
    <cellStyle name="표준 6 4 30 3 5" xfId="56876"/>
    <cellStyle name="표준 6 4 30 4" xfId="9444"/>
    <cellStyle name="표준 6 4 30 4 2" xfId="22117"/>
    <cellStyle name="표준 6 4 30 4 2 2" xfId="47469"/>
    <cellStyle name="표준 6 4 30 4 3" xfId="34797"/>
    <cellStyle name="표준 6 4 30 5" xfId="15781"/>
    <cellStyle name="표준 6 4 30 5 2" xfId="41133"/>
    <cellStyle name="표준 6 4 30 6" xfId="28461"/>
    <cellStyle name="표준 6 4 30 7" xfId="56877"/>
    <cellStyle name="표준 6 4 31" xfId="3109"/>
    <cellStyle name="표준 6 4 31 2" xfId="3110"/>
    <cellStyle name="표준 6 4 31 2 2" xfId="6275"/>
    <cellStyle name="표준 6 4 31 2 2 2" xfId="12611"/>
    <cellStyle name="표준 6 4 31 2 2 2 2" xfId="25284"/>
    <cellStyle name="표준 6 4 31 2 2 2 2 2" xfId="50636"/>
    <cellStyle name="표준 6 4 31 2 2 2 3" xfId="37964"/>
    <cellStyle name="표준 6 4 31 2 2 3" xfId="18948"/>
    <cellStyle name="표준 6 4 31 2 2 3 2" xfId="44300"/>
    <cellStyle name="표준 6 4 31 2 2 4" xfId="31628"/>
    <cellStyle name="표준 6 4 31 2 2 5" xfId="56878"/>
    <cellStyle name="표준 6 4 31 2 3" xfId="9447"/>
    <cellStyle name="표준 6 4 31 2 3 2" xfId="22120"/>
    <cellStyle name="표준 6 4 31 2 3 2 2" xfId="47472"/>
    <cellStyle name="표준 6 4 31 2 3 3" xfId="34800"/>
    <cellStyle name="표준 6 4 31 2 4" xfId="15784"/>
    <cellStyle name="표준 6 4 31 2 4 2" xfId="41136"/>
    <cellStyle name="표준 6 4 31 2 5" xfId="28464"/>
    <cellStyle name="표준 6 4 31 2 6" xfId="56879"/>
    <cellStyle name="표준 6 4 31 3" xfId="6276"/>
    <cellStyle name="표준 6 4 31 3 2" xfId="12612"/>
    <cellStyle name="표준 6 4 31 3 2 2" xfId="25285"/>
    <cellStyle name="표준 6 4 31 3 2 2 2" xfId="50637"/>
    <cellStyle name="표준 6 4 31 3 2 3" xfId="37965"/>
    <cellStyle name="표준 6 4 31 3 3" xfId="18949"/>
    <cellStyle name="표준 6 4 31 3 3 2" xfId="44301"/>
    <cellStyle name="표준 6 4 31 3 4" xfId="31629"/>
    <cellStyle name="표준 6 4 31 3 5" xfId="56880"/>
    <cellStyle name="표준 6 4 31 4" xfId="9446"/>
    <cellStyle name="표준 6 4 31 4 2" xfId="22119"/>
    <cellStyle name="표준 6 4 31 4 2 2" xfId="47471"/>
    <cellStyle name="표준 6 4 31 4 3" xfId="34799"/>
    <cellStyle name="표준 6 4 31 5" xfId="15783"/>
    <cellStyle name="표준 6 4 31 5 2" xfId="41135"/>
    <cellStyle name="표준 6 4 31 6" xfId="28463"/>
    <cellStyle name="표준 6 4 31 7" xfId="56881"/>
    <cellStyle name="표준 6 4 32" xfId="3111"/>
    <cellStyle name="표준 6 4 32 2" xfId="3112"/>
    <cellStyle name="표준 6 4 32 2 2" xfId="6277"/>
    <cellStyle name="표준 6 4 32 2 2 2" xfId="12613"/>
    <cellStyle name="표준 6 4 32 2 2 2 2" xfId="25286"/>
    <cellStyle name="표준 6 4 32 2 2 2 2 2" xfId="50638"/>
    <cellStyle name="표준 6 4 32 2 2 2 3" xfId="37966"/>
    <cellStyle name="표준 6 4 32 2 2 3" xfId="18950"/>
    <cellStyle name="표준 6 4 32 2 2 3 2" xfId="44302"/>
    <cellStyle name="표준 6 4 32 2 2 4" xfId="31630"/>
    <cellStyle name="표준 6 4 32 2 2 5" xfId="56882"/>
    <cellStyle name="표준 6 4 32 2 3" xfId="9449"/>
    <cellStyle name="표준 6 4 32 2 3 2" xfId="22122"/>
    <cellStyle name="표준 6 4 32 2 3 2 2" xfId="47474"/>
    <cellStyle name="표준 6 4 32 2 3 3" xfId="34802"/>
    <cellStyle name="표준 6 4 32 2 4" xfId="15786"/>
    <cellStyle name="표준 6 4 32 2 4 2" xfId="41138"/>
    <cellStyle name="표준 6 4 32 2 5" xfId="28466"/>
    <cellStyle name="표준 6 4 32 2 6" xfId="56883"/>
    <cellStyle name="표준 6 4 32 3" xfId="6278"/>
    <cellStyle name="표준 6 4 32 3 2" xfId="12614"/>
    <cellStyle name="표준 6 4 32 3 2 2" xfId="25287"/>
    <cellStyle name="표준 6 4 32 3 2 2 2" xfId="50639"/>
    <cellStyle name="표준 6 4 32 3 2 3" xfId="37967"/>
    <cellStyle name="표준 6 4 32 3 3" xfId="18951"/>
    <cellStyle name="표준 6 4 32 3 3 2" xfId="44303"/>
    <cellStyle name="표준 6 4 32 3 4" xfId="31631"/>
    <cellStyle name="표준 6 4 32 3 5" xfId="56884"/>
    <cellStyle name="표준 6 4 32 4" xfId="9448"/>
    <cellStyle name="표준 6 4 32 4 2" xfId="22121"/>
    <cellStyle name="표준 6 4 32 4 2 2" xfId="47473"/>
    <cellStyle name="표준 6 4 32 4 3" xfId="34801"/>
    <cellStyle name="표준 6 4 32 5" xfId="15785"/>
    <cellStyle name="표준 6 4 32 5 2" xfId="41137"/>
    <cellStyle name="표준 6 4 32 6" xfId="28465"/>
    <cellStyle name="표준 6 4 32 7" xfId="56885"/>
    <cellStyle name="표준 6 4 33" xfId="3113"/>
    <cellStyle name="표준 6 4 33 2" xfId="3114"/>
    <cellStyle name="표준 6 4 33 2 2" xfId="6279"/>
    <cellStyle name="표준 6 4 33 2 2 2" xfId="12615"/>
    <cellStyle name="표준 6 4 33 2 2 2 2" xfId="25288"/>
    <cellStyle name="표준 6 4 33 2 2 2 2 2" xfId="50640"/>
    <cellStyle name="표준 6 4 33 2 2 2 3" xfId="37968"/>
    <cellStyle name="표준 6 4 33 2 2 3" xfId="18952"/>
    <cellStyle name="표준 6 4 33 2 2 3 2" xfId="44304"/>
    <cellStyle name="표준 6 4 33 2 2 4" xfId="31632"/>
    <cellStyle name="표준 6 4 33 2 2 5" xfId="56886"/>
    <cellStyle name="표준 6 4 33 2 3" xfId="9451"/>
    <cellStyle name="표준 6 4 33 2 3 2" xfId="22124"/>
    <cellStyle name="표준 6 4 33 2 3 2 2" xfId="47476"/>
    <cellStyle name="표준 6 4 33 2 3 3" xfId="34804"/>
    <cellStyle name="표준 6 4 33 2 4" xfId="15788"/>
    <cellStyle name="표준 6 4 33 2 4 2" xfId="41140"/>
    <cellStyle name="표준 6 4 33 2 5" xfId="28468"/>
    <cellStyle name="표준 6 4 33 2 6" xfId="56887"/>
    <cellStyle name="표준 6 4 33 3" xfId="6280"/>
    <cellStyle name="표준 6 4 33 3 2" xfId="12616"/>
    <cellStyle name="표준 6 4 33 3 2 2" xfId="25289"/>
    <cellStyle name="표준 6 4 33 3 2 2 2" xfId="50641"/>
    <cellStyle name="표준 6 4 33 3 2 3" xfId="37969"/>
    <cellStyle name="표준 6 4 33 3 3" xfId="18953"/>
    <cellStyle name="표준 6 4 33 3 3 2" xfId="44305"/>
    <cellStyle name="표준 6 4 33 3 4" xfId="31633"/>
    <cellStyle name="표준 6 4 33 3 5" xfId="56888"/>
    <cellStyle name="표준 6 4 33 4" xfId="9450"/>
    <cellStyle name="표준 6 4 33 4 2" xfId="22123"/>
    <cellStyle name="표준 6 4 33 4 2 2" xfId="47475"/>
    <cellStyle name="표준 6 4 33 4 3" xfId="34803"/>
    <cellStyle name="표준 6 4 33 5" xfId="15787"/>
    <cellStyle name="표준 6 4 33 5 2" xfId="41139"/>
    <cellStyle name="표준 6 4 33 6" xfId="28467"/>
    <cellStyle name="표준 6 4 33 7" xfId="56889"/>
    <cellStyle name="표준 6 4 34" xfId="3115"/>
    <cellStyle name="표준 6 4 34 2" xfId="3116"/>
    <cellStyle name="표준 6 4 34 2 2" xfId="6281"/>
    <cellStyle name="표준 6 4 34 2 2 2" xfId="12617"/>
    <cellStyle name="표준 6 4 34 2 2 2 2" xfId="25290"/>
    <cellStyle name="표준 6 4 34 2 2 2 2 2" xfId="50642"/>
    <cellStyle name="표준 6 4 34 2 2 2 3" xfId="37970"/>
    <cellStyle name="표준 6 4 34 2 2 3" xfId="18954"/>
    <cellStyle name="표준 6 4 34 2 2 3 2" xfId="44306"/>
    <cellStyle name="표준 6 4 34 2 2 4" xfId="31634"/>
    <cellStyle name="표준 6 4 34 2 2 5" xfId="56890"/>
    <cellStyle name="표준 6 4 34 2 3" xfId="9453"/>
    <cellStyle name="표준 6 4 34 2 3 2" xfId="22126"/>
    <cellStyle name="표준 6 4 34 2 3 2 2" xfId="47478"/>
    <cellStyle name="표준 6 4 34 2 3 3" xfId="34806"/>
    <cellStyle name="표준 6 4 34 2 4" xfId="15790"/>
    <cellStyle name="표준 6 4 34 2 4 2" xfId="41142"/>
    <cellStyle name="표준 6 4 34 2 5" xfId="28470"/>
    <cellStyle name="표준 6 4 34 2 6" xfId="56891"/>
    <cellStyle name="표준 6 4 34 3" xfId="6282"/>
    <cellStyle name="표준 6 4 34 3 2" xfId="12618"/>
    <cellStyle name="표준 6 4 34 3 2 2" xfId="25291"/>
    <cellStyle name="표준 6 4 34 3 2 2 2" xfId="50643"/>
    <cellStyle name="표준 6 4 34 3 2 3" xfId="37971"/>
    <cellStyle name="표준 6 4 34 3 3" xfId="18955"/>
    <cellStyle name="표준 6 4 34 3 3 2" xfId="44307"/>
    <cellStyle name="표준 6 4 34 3 4" xfId="31635"/>
    <cellStyle name="표준 6 4 34 3 5" xfId="56892"/>
    <cellStyle name="표준 6 4 34 4" xfId="9452"/>
    <cellStyle name="표준 6 4 34 4 2" xfId="22125"/>
    <cellStyle name="표준 6 4 34 4 2 2" xfId="47477"/>
    <cellStyle name="표준 6 4 34 4 3" xfId="34805"/>
    <cellStyle name="표준 6 4 34 5" xfId="15789"/>
    <cellStyle name="표준 6 4 34 5 2" xfId="41141"/>
    <cellStyle name="표준 6 4 34 6" xfId="28469"/>
    <cellStyle name="표준 6 4 34 7" xfId="56893"/>
    <cellStyle name="표준 6 4 35" xfId="3117"/>
    <cellStyle name="표준 6 4 35 2" xfId="6283"/>
    <cellStyle name="표준 6 4 35 2 2" xfId="12619"/>
    <cellStyle name="표준 6 4 35 2 2 2" xfId="25292"/>
    <cellStyle name="표준 6 4 35 2 2 2 2" xfId="50644"/>
    <cellStyle name="표준 6 4 35 2 2 3" xfId="37972"/>
    <cellStyle name="표준 6 4 35 2 3" xfId="18956"/>
    <cellStyle name="표준 6 4 35 2 3 2" xfId="44308"/>
    <cellStyle name="표준 6 4 35 2 4" xfId="31636"/>
    <cellStyle name="표준 6 4 35 2 5" xfId="56894"/>
    <cellStyle name="표준 6 4 35 3" xfId="9454"/>
    <cellStyle name="표준 6 4 35 3 2" xfId="22127"/>
    <cellStyle name="표준 6 4 35 3 2 2" xfId="47479"/>
    <cellStyle name="표준 6 4 35 3 3" xfId="34807"/>
    <cellStyle name="표준 6 4 35 4" xfId="15791"/>
    <cellStyle name="표준 6 4 35 4 2" xfId="41143"/>
    <cellStyle name="표준 6 4 35 5" xfId="28471"/>
    <cellStyle name="표준 6 4 35 6" xfId="56895"/>
    <cellStyle name="표준 6 4 36" xfId="6284"/>
    <cellStyle name="표준 6 4 36 2" xfId="12620"/>
    <cellStyle name="표준 6 4 36 2 2" xfId="25293"/>
    <cellStyle name="표준 6 4 36 2 2 2" xfId="50645"/>
    <cellStyle name="표준 6 4 36 2 3" xfId="37973"/>
    <cellStyle name="표준 6 4 36 3" xfId="18957"/>
    <cellStyle name="표준 6 4 36 3 2" xfId="44309"/>
    <cellStyle name="표준 6 4 36 4" xfId="31637"/>
    <cellStyle name="표준 6 4 36 5" xfId="56896"/>
    <cellStyle name="표준 6 4 37" xfId="6384"/>
    <cellStyle name="표준 6 4 37 2" xfId="19057"/>
    <cellStyle name="표준 6 4 37 2 2" xfId="44409"/>
    <cellStyle name="표준 6 4 37 3" xfId="31737"/>
    <cellStyle name="표준 6 4 38" xfId="12721"/>
    <cellStyle name="표준 6 4 38 2" xfId="38073"/>
    <cellStyle name="표준 6 4 39" xfId="25401"/>
    <cellStyle name="표준 6 4 4" xfId="3118"/>
    <cellStyle name="표준 6 4 4 2" xfId="3119"/>
    <cellStyle name="표준 6 4 4 2 2" xfId="6285"/>
    <cellStyle name="표준 6 4 4 2 2 2" xfId="12621"/>
    <cellStyle name="표준 6 4 4 2 2 2 2" xfId="25294"/>
    <cellStyle name="표준 6 4 4 2 2 2 2 2" xfId="50646"/>
    <cellStyle name="표준 6 4 4 2 2 2 3" xfId="37974"/>
    <cellStyle name="표준 6 4 4 2 2 3" xfId="18958"/>
    <cellStyle name="표준 6 4 4 2 2 3 2" xfId="44310"/>
    <cellStyle name="표준 6 4 4 2 2 4" xfId="31638"/>
    <cellStyle name="표준 6 4 4 2 2 5" xfId="56897"/>
    <cellStyle name="표준 6 4 4 2 3" xfId="9456"/>
    <cellStyle name="표준 6 4 4 2 3 2" xfId="22129"/>
    <cellStyle name="표준 6 4 4 2 3 2 2" xfId="47481"/>
    <cellStyle name="표준 6 4 4 2 3 3" xfId="34809"/>
    <cellStyle name="표준 6 4 4 2 4" xfId="15793"/>
    <cellStyle name="표준 6 4 4 2 4 2" xfId="41145"/>
    <cellStyle name="표준 6 4 4 2 5" xfId="28473"/>
    <cellStyle name="표준 6 4 4 2 6" xfId="56898"/>
    <cellStyle name="표준 6 4 4 3" xfId="6286"/>
    <cellStyle name="표준 6 4 4 3 2" xfId="12622"/>
    <cellStyle name="표준 6 4 4 3 2 2" xfId="25295"/>
    <cellStyle name="표준 6 4 4 3 2 2 2" xfId="50647"/>
    <cellStyle name="표준 6 4 4 3 2 3" xfId="37975"/>
    <cellStyle name="표준 6 4 4 3 3" xfId="18959"/>
    <cellStyle name="표준 6 4 4 3 3 2" xfId="44311"/>
    <cellStyle name="표준 6 4 4 3 4" xfId="31639"/>
    <cellStyle name="표준 6 4 4 3 5" xfId="56899"/>
    <cellStyle name="표준 6 4 4 4" xfId="9455"/>
    <cellStyle name="표준 6 4 4 4 2" xfId="22128"/>
    <cellStyle name="표준 6 4 4 4 2 2" xfId="47480"/>
    <cellStyle name="표준 6 4 4 4 3" xfId="34808"/>
    <cellStyle name="표준 6 4 4 5" xfId="15792"/>
    <cellStyle name="표준 6 4 4 5 2" xfId="41144"/>
    <cellStyle name="표준 6 4 4 6" xfId="28472"/>
    <cellStyle name="표준 6 4 4 7" xfId="56900"/>
    <cellStyle name="표준 6 4 40" xfId="56901"/>
    <cellStyle name="표준 6 4 5" xfId="3120"/>
    <cellStyle name="표준 6 4 5 2" xfId="3121"/>
    <cellStyle name="표준 6 4 5 2 2" xfId="6287"/>
    <cellStyle name="표준 6 4 5 2 2 2" xfId="12623"/>
    <cellStyle name="표준 6 4 5 2 2 2 2" xfId="25296"/>
    <cellStyle name="표준 6 4 5 2 2 2 2 2" xfId="50648"/>
    <cellStyle name="표준 6 4 5 2 2 2 3" xfId="37976"/>
    <cellStyle name="표준 6 4 5 2 2 3" xfId="18960"/>
    <cellStyle name="표준 6 4 5 2 2 3 2" xfId="44312"/>
    <cellStyle name="표준 6 4 5 2 2 4" xfId="31640"/>
    <cellStyle name="표준 6 4 5 2 2 5" xfId="56902"/>
    <cellStyle name="표준 6 4 5 2 3" xfId="9458"/>
    <cellStyle name="표준 6 4 5 2 3 2" xfId="22131"/>
    <cellStyle name="표준 6 4 5 2 3 2 2" xfId="47483"/>
    <cellStyle name="표준 6 4 5 2 3 3" xfId="34811"/>
    <cellStyle name="표준 6 4 5 2 4" xfId="15795"/>
    <cellStyle name="표준 6 4 5 2 4 2" xfId="41147"/>
    <cellStyle name="표준 6 4 5 2 5" xfId="28475"/>
    <cellStyle name="표준 6 4 5 2 6" xfId="56903"/>
    <cellStyle name="표준 6 4 5 3" xfId="6288"/>
    <cellStyle name="표준 6 4 5 3 2" xfId="12624"/>
    <cellStyle name="표준 6 4 5 3 2 2" xfId="25297"/>
    <cellStyle name="표준 6 4 5 3 2 2 2" xfId="50649"/>
    <cellStyle name="표준 6 4 5 3 2 3" xfId="37977"/>
    <cellStyle name="표준 6 4 5 3 3" xfId="18961"/>
    <cellStyle name="표준 6 4 5 3 3 2" xfId="44313"/>
    <cellStyle name="표준 6 4 5 3 4" xfId="31641"/>
    <cellStyle name="표준 6 4 5 3 5" xfId="56904"/>
    <cellStyle name="표준 6 4 5 4" xfId="9457"/>
    <cellStyle name="표준 6 4 5 4 2" xfId="22130"/>
    <cellStyle name="표준 6 4 5 4 2 2" xfId="47482"/>
    <cellStyle name="표준 6 4 5 4 3" xfId="34810"/>
    <cellStyle name="표준 6 4 5 5" xfId="15794"/>
    <cellStyle name="표준 6 4 5 5 2" xfId="41146"/>
    <cellStyle name="표준 6 4 5 6" xfId="28474"/>
    <cellStyle name="표준 6 4 5 7" xfId="56905"/>
    <cellStyle name="표준 6 4 6" xfId="3122"/>
    <cellStyle name="표준 6 4 6 2" xfId="3123"/>
    <cellStyle name="표준 6 4 6 2 2" xfId="6289"/>
    <cellStyle name="표준 6 4 6 2 2 2" xfId="12625"/>
    <cellStyle name="표준 6 4 6 2 2 2 2" xfId="25298"/>
    <cellStyle name="표준 6 4 6 2 2 2 2 2" xfId="50650"/>
    <cellStyle name="표준 6 4 6 2 2 2 3" xfId="37978"/>
    <cellStyle name="표준 6 4 6 2 2 3" xfId="18962"/>
    <cellStyle name="표준 6 4 6 2 2 3 2" xfId="44314"/>
    <cellStyle name="표준 6 4 6 2 2 4" xfId="31642"/>
    <cellStyle name="표준 6 4 6 2 2 5" xfId="56906"/>
    <cellStyle name="표준 6 4 6 2 3" xfId="9460"/>
    <cellStyle name="표준 6 4 6 2 3 2" xfId="22133"/>
    <cellStyle name="표준 6 4 6 2 3 2 2" xfId="47485"/>
    <cellStyle name="표준 6 4 6 2 3 3" xfId="34813"/>
    <cellStyle name="표준 6 4 6 2 4" xfId="15797"/>
    <cellStyle name="표준 6 4 6 2 4 2" xfId="41149"/>
    <cellStyle name="표준 6 4 6 2 5" xfId="28477"/>
    <cellStyle name="표준 6 4 6 2 6" xfId="56907"/>
    <cellStyle name="표준 6 4 6 3" xfId="6290"/>
    <cellStyle name="표준 6 4 6 3 2" xfId="12626"/>
    <cellStyle name="표준 6 4 6 3 2 2" xfId="25299"/>
    <cellStyle name="표준 6 4 6 3 2 2 2" xfId="50651"/>
    <cellStyle name="표준 6 4 6 3 2 3" xfId="37979"/>
    <cellStyle name="표준 6 4 6 3 3" xfId="18963"/>
    <cellStyle name="표준 6 4 6 3 3 2" xfId="44315"/>
    <cellStyle name="표준 6 4 6 3 4" xfId="31643"/>
    <cellStyle name="표준 6 4 6 3 5" xfId="56908"/>
    <cellStyle name="표준 6 4 6 4" xfId="9459"/>
    <cellStyle name="표준 6 4 6 4 2" xfId="22132"/>
    <cellStyle name="표준 6 4 6 4 2 2" xfId="47484"/>
    <cellStyle name="표준 6 4 6 4 3" xfId="34812"/>
    <cellStyle name="표준 6 4 6 5" xfId="15796"/>
    <cellStyle name="표준 6 4 6 5 2" xfId="41148"/>
    <cellStyle name="표준 6 4 6 6" xfId="28476"/>
    <cellStyle name="표준 6 4 6 7" xfId="56909"/>
    <cellStyle name="표준 6 4 7" xfId="3124"/>
    <cellStyle name="표준 6 4 7 2" xfId="3125"/>
    <cellStyle name="표준 6 4 7 2 2" xfId="6291"/>
    <cellStyle name="표준 6 4 7 2 2 2" xfId="12627"/>
    <cellStyle name="표준 6 4 7 2 2 2 2" xfId="25300"/>
    <cellStyle name="표준 6 4 7 2 2 2 2 2" xfId="50652"/>
    <cellStyle name="표준 6 4 7 2 2 2 3" xfId="37980"/>
    <cellStyle name="표준 6 4 7 2 2 3" xfId="18964"/>
    <cellStyle name="표준 6 4 7 2 2 3 2" xfId="44316"/>
    <cellStyle name="표준 6 4 7 2 2 4" xfId="31644"/>
    <cellStyle name="표준 6 4 7 2 2 5" xfId="56910"/>
    <cellStyle name="표준 6 4 7 2 3" xfId="9462"/>
    <cellStyle name="표준 6 4 7 2 3 2" xfId="22135"/>
    <cellStyle name="표준 6 4 7 2 3 2 2" xfId="47487"/>
    <cellStyle name="표준 6 4 7 2 3 3" xfId="34815"/>
    <cellStyle name="표준 6 4 7 2 4" xfId="15799"/>
    <cellStyle name="표준 6 4 7 2 4 2" xfId="41151"/>
    <cellStyle name="표준 6 4 7 2 5" xfId="28479"/>
    <cellStyle name="표준 6 4 7 2 6" xfId="56911"/>
    <cellStyle name="표준 6 4 7 3" xfId="6292"/>
    <cellStyle name="표준 6 4 7 3 2" xfId="12628"/>
    <cellStyle name="표준 6 4 7 3 2 2" xfId="25301"/>
    <cellStyle name="표준 6 4 7 3 2 2 2" xfId="50653"/>
    <cellStyle name="표준 6 4 7 3 2 3" xfId="37981"/>
    <cellStyle name="표준 6 4 7 3 3" xfId="18965"/>
    <cellStyle name="표준 6 4 7 3 3 2" xfId="44317"/>
    <cellStyle name="표준 6 4 7 3 4" xfId="31645"/>
    <cellStyle name="표준 6 4 7 3 5" xfId="56912"/>
    <cellStyle name="표준 6 4 7 4" xfId="9461"/>
    <cellStyle name="표준 6 4 7 4 2" xfId="22134"/>
    <cellStyle name="표준 6 4 7 4 2 2" xfId="47486"/>
    <cellStyle name="표준 6 4 7 4 3" xfId="34814"/>
    <cellStyle name="표준 6 4 7 5" xfId="15798"/>
    <cellStyle name="표준 6 4 7 5 2" xfId="41150"/>
    <cellStyle name="표준 6 4 7 6" xfId="28478"/>
    <cellStyle name="표준 6 4 7 7" xfId="56913"/>
    <cellStyle name="표준 6 4 8" xfId="3126"/>
    <cellStyle name="표준 6 4 8 2" xfId="3127"/>
    <cellStyle name="표준 6 4 8 2 2" xfId="6293"/>
    <cellStyle name="표준 6 4 8 2 2 2" xfId="12629"/>
    <cellStyle name="표준 6 4 8 2 2 2 2" xfId="25302"/>
    <cellStyle name="표준 6 4 8 2 2 2 2 2" xfId="50654"/>
    <cellStyle name="표준 6 4 8 2 2 2 3" xfId="37982"/>
    <cellStyle name="표준 6 4 8 2 2 3" xfId="18966"/>
    <cellStyle name="표준 6 4 8 2 2 3 2" xfId="44318"/>
    <cellStyle name="표준 6 4 8 2 2 4" xfId="31646"/>
    <cellStyle name="표준 6 4 8 2 2 5" xfId="56914"/>
    <cellStyle name="표준 6 4 8 2 3" xfId="9464"/>
    <cellStyle name="표준 6 4 8 2 3 2" xfId="22137"/>
    <cellStyle name="표준 6 4 8 2 3 2 2" xfId="47489"/>
    <cellStyle name="표준 6 4 8 2 3 3" xfId="34817"/>
    <cellStyle name="표준 6 4 8 2 4" xfId="15801"/>
    <cellStyle name="표준 6 4 8 2 4 2" xfId="41153"/>
    <cellStyle name="표준 6 4 8 2 5" xfId="28481"/>
    <cellStyle name="표준 6 4 8 2 6" xfId="56915"/>
    <cellStyle name="표준 6 4 8 3" xfId="6294"/>
    <cellStyle name="표준 6 4 8 3 2" xfId="12630"/>
    <cellStyle name="표준 6 4 8 3 2 2" xfId="25303"/>
    <cellStyle name="표준 6 4 8 3 2 2 2" xfId="50655"/>
    <cellStyle name="표준 6 4 8 3 2 3" xfId="37983"/>
    <cellStyle name="표준 6 4 8 3 3" xfId="18967"/>
    <cellStyle name="표준 6 4 8 3 3 2" xfId="44319"/>
    <cellStyle name="표준 6 4 8 3 4" xfId="31647"/>
    <cellStyle name="표준 6 4 8 3 5" xfId="56916"/>
    <cellStyle name="표준 6 4 8 4" xfId="9463"/>
    <cellStyle name="표준 6 4 8 4 2" xfId="22136"/>
    <cellStyle name="표준 6 4 8 4 2 2" xfId="47488"/>
    <cellStyle name="표준 6 4 8 4 3" xfId="34816"/>
    <cellStyle name="표준 6 4 8 5" xfId="15800"/>
    <cellStyle name="표준 6 4 8 5 2" xfId="41152"/>
    <cellStyle name="표준 6 4 8 6" xfId="28480"/>
    <cellStyle name="표준 6 4 8 7" xfId="56917"/>
    <cellStyle name="표준 6 4 9" xfId="3128"/>
    <cellStyle name="표준 6 4 9 2" xfId="3129"/>
    <cellStyle name="표준 6 4 9 2 2" xfId="6295"/>
    <cellStyle name="표준 6 4 9 2 2 2" xfId="12631"/>
    <cellStyle name="표준 6 4 9 2 2 2 2" xfId="25304"/>
    <cellStyle name="표준 6 4 9 2 2 2 2 2" xfId="50656"/>
    <cellStyle name="표준 6 4 9 2 2 2 3" xfId="37984"/>
    <cellStyle name="표준 6 4 9 2 2 3" xfId="18968"/>
    <cellStyle name="표준 6 4 9 2 2 3 2" xfId="44320"/>
    <cellStyle name="표준 6 4 9 2 2 4" xfId="31648"/>
    <cellStyle name="표준 6 4 9 2 2 5" xfId="56918"/>
    <cellStyle name="표준 6 4 9 2 3" xfId="9466"/>
    <cellStyle name="표준 6 4 9 2 3 2" xfId="22139"/>
    <cellStyle name="표준 6 4 9 2 3 2 2" xfId="47491"/>
    <cellStyle name="표준 6 4 9 2 3 3" xfId="34819"/>
    <cellStyle name="표준 6 4 9 2 4" xfId="15803"/>
    <cellStyle name="표준 6 4 9 2 4 2" xfId="41155"/>
    <cellStyle name="표준 6 4 9 2 5" xfId="28483"/>
    <cellStyle name="표준 6 4 9 2 6" xfId="56919"/>
    <cellStyle name="표준 6 4 9 3" xfId="6296"/>
    <cellStyle name="표준 6 4 9 3 2" xfId="12632"/>
    <cellStyle name="표준 6 4 9 3 2 2" xfId="25305"/>
    <cellStyle name="표준 6 4 9 3 2 2 2" xfId="50657"/>
    <cellStyle name="표준 6 4 9 3 2 3" xfId="37985"/>
    <cellStyle name="표준 6 4 9 3 3" xfId="18969"/>
    <cellStyle name="표준 6 4 9 3 3 2" xfId="44321"/>
    <cellStyle name="표준 6 4 9 3 4" xfId="31649"/>
    <cellStyle name="표준 6 4 9 3 5" xfId="56920"/>
    <cellStyle name="표준 6 4 9 4" xfId="9465"/>
    <cellStyle name="표준 6 4 9 4 2" xfId="22138"/>
    <cellStyle name="표준 6 4 9 4 2 2" xfId="47490"/>
    <cellStyle name="표준 6 4 9 4 3" xfId="34818"/>
    <cellStyle name="표준 6 4 9 5" xfId="15802"/>
    <cellStyle name="표준 6 4 9 5 2" xfId="41154"/>
    <cellStyle name="표준 6 4 9 6" xfId="28482"/>
    <cellStyle name="표준 6 4 9 7" xfId="56921"/>
    <cellStyle name="표준 6 40" xfId="6372"/>
    <cellStyle name="표준 6 40 2" xfId="19045"/>
    <cellStyle name="표준 6 40 2 2" xfId="44397"/>
    <cellStyle name="표준 6 40 3" xfId="31725"/>
    <cellStyle name="표준 6 41" xfId="12709"/>
    <cellStyle name="표준 6 41 2" xfId="38061"/>
    <cellStyle name="표준 6 42" xfId="25389"/>
    <cellStyle name="표준 6 43" xfId="56922"/>
    <cellStyle name="표준 6 5" xfId="103"/>
    <cellStyle name="표준 6 5 10" xfId="3130"/>
    <cellStyle name="표준 6 5 10 2" xfId="3131"/>
    <cellStyle name="표준 6 5 10 2 2" xfId="6297"/>
    <cellStyle name="표준 6 5 10 2 2 2" xfId="12633"/>
    <cellStyle name="표준 6 5 10 2 2 2 2" xfId="25306"/>
    <cellStyle name="표준 6 5 10 2 2 2 2 2" xfId="50658"/>
    <cellStyle name="표준 6 5 10 2 2 2 3" xfId="37986"/>
    <cellStyle name="표준 6 5 10 2 2 3" xfId="18970"/>
    <cellStyle name="표준 6 5 10 2 2 3 2" xfId="44322"/>
    <cellStyle name="표준 6 5 10 2 2 4" xfId="31650"/>
    <cellStyle name="표준 6 5 10 2 2 5" xfId="56923"/>
    <cellStyle name="표준 6 5 10 2 3" xfId="9468"/>
    <cellStyle name="표준 6 5 10 2 3 2" xfId="22141"/>
    <cellStyle name="표준 6 5 10 2 3 2 2" xfId="47493"/>
    <cellStyle name="표준 6 5 10 2 3 3" xfId="34821"/>
    <cellStyle name="표준 6 5 10 2 4" xfId="15805"/>
    <cellStyle name="표준 6 5 10 2 4 2" xfId="41157"/>
    <cellStyle name="표준 6 5 10 2 5" xfId="28485"/>
    <cellStyle name="표준 6 5 10 2 6" xfId="56924"/>
    <cellStyle name="표준 6 5 10 3" xfId="6298"/>
    <cellStyle name="표준 6 5 10 3 2" xfId="12634"/>
    <cellStyle name="표준 6 5 10 3 2 2" xfId="25307"/>
    <cellStyle name="표준 6 5 10 3 2 2 2" xfId="50659"/>
    <cellStyle name="표준 6 5 10 3 2 3" xfId="37987"/>
    <cellStyle name="표준 6 5 10 3 3" xfId="18971"/>
    <cellStyle name="표준 6 5 10 3 3 2" xfId="44323"/>
    <cellStyle name="표준 6 5 10 3 4" xfId="31651"/>
    <cellStyle name="표준 6 5 10 3 5" xfId="56925"/>
    <cellStyle name="표준 6 5 10 4" xfId="9467"/>
    <cellStyle name="표준 6 5 10 4 2" xfId="22140"/>
    <cellStyle name="표준 6 5 10 4 2 2" xfId="47492"/>
    <cellStyle name="표준 6 5 10 4 3" xfId="34820"/>
    <cellStyle name="표준 6 5 10 5" xfId="15804"/>
    <cellStyle name="표준 6 5 10 5 2" xfId="41156"/>
    <cellStyle name="표준 6 5 10 6" xfId="28484"/>
    <cellStyle name="표준 6 5 10 7" xfId="56926"/>
    <cellStyle name="표준 6 5 11" xfId="3132"/>
    <cellStyle name="표준 6 5 11 2" xfId="3133"/>
    <cellStyle name="표준 6 5 11 2 2" xfId="6299"/>
    <cellStyle name="표준 6 5 11 2 2 2" xfId="12635"/>
    <cellStyle name="표준 6 5 11 2 2 2 2" xfId="25308"/>
    <cellStyle name="표준 6 5 11 2 2 2 2 2" xfId="50660"/>
    <cellStyle name="표준 6 5 11 2 2 2 3" xfId="37988"/>
    <cellStyle name="표준 6 5 11 2 2 3" xfId="18972"/>
    <cellStyle name="표준 6 5 11 2 2 3 2" xfId="44324"/>
    <cellStyle name="표준 6 5 11 2 2 4" xfId="31652"/>
    <cellStyle name="표준 6 5 11 2 2 5" xfId="56927"/>
    <cellStyle name="표준 6 5 11 2 3" xfId="9470"/>
    <cellStyle name="표준 6 5 11 2 3 2" xfId="22143"/>
    <cellStyle name="표준 6 5 11 2 3 2 2" xfId="47495"/>
    <cellStyle name="표준 6 5 11 2 3 3" xfId="34823"/>
    <cellStyle name="표준 6 5 11 2 4" xfId="15807"/>
    <cellStyle name="표준 6 5 11 2 4 2" xfId="41159"/>
    <cellStyle name="표준 6 5 11 2 5" xfId="28487"/>
    <cellStyle name="표준 6 5 11 2 6" xfId="56928"/>
    <cellStyle name="표준 6 5 11 3" xfId="6300"/>
    <cellStyle name="표준 6 5 11 3 2" xfId="12636"/>
    <cellStyle name="표준 6 5 11 3 2 2" xfId="25309"/>
    <cellStyle name="표준 6 5 11 3 2 2 2" xfId="50661"/>
    <cellStyle name="표준 6 5 11 3 2 3" xfId="37989"/>
    <cellStyle name="표준 6 5 11 3 3" xfId="18973"/>
    <cellStyle name="표준 6 5 11 3 3 2" xfId="44325"/>
    <cellStyle name="표준 6 5 11 3 4" xfId="31653"/>
    <cellStyle name="표준 6 5 11 3 5" xfId="56929"/>
    <cellStyle name="표준 6 5 11 4" xfId="9469"/>
    <cellStyle name="표준 6 5 11 4 2" xfId="22142"/>
    <cellStyle name="표준 6 5 11 4 2 2" xfId="47494"/>
    <cellStyle name="표준 6 5 11 4 3" xfId="34822"/>
    <cellStyle name="표준 6 5 11 5" xfId="15806"/>
    <cellStyle name="표준 6 5 11 5 2" xfId="41158"/>
    <cellStyle name="표준 6 5 11 6" xfId="28486"/>
    <cellStyle name="표준 6 5 11 7" xfId="56930"/>
    <cellStyle name="표준 6 5 12" xfId="3134"/>
    <cellStyle name="표준 6 5 12 2" xfId="3135"/>
    <cellStyle name="표준 6 5 12 2 2" xfId="6301"/>
    <cellStyle name="표준 6 5 12 2 2 2" xfId="12637"/>
    <cellStyle name="표준 6 5 12 2 2 2 2" xfId="25310"/>
    <cellStyle name="표준 6 5 12 2 2 2 2 2" xfId="50662"/>
    <cellStyle name="표준 6 5 12 2 2 2 3" xfId="37990"/>
    <cellStyle name="표준 6 5 12 2 2 3" xfId="18974"/>
    <cellStyle name="표준 6 5 12 2 2 3 2" xfId="44326"/>
    <cellStyle name="표준 6 5 12 2 2 4" xfId="31654"/>
    <cellStyle name="표준 6 5 12 2 2 5" xfId="56931"/>
    <cellStyle name="표준 6 5 12 2 3" xfId="9472"/>
    <cellStyle name="표준 6 5 12 2 3 2" xfId="22145"/>
    <cellStyle name="표준 6 5 12 2 3 2 2" xfId="47497"/>
    <cellStyle name="표준 6 5 12 2 3 3" xfId="34825"/>
    <cellStyle name="표준 6 5 12 2 4" xfId="15809"/>
    <cellStyle name="표준 6 5 12 2 4 2" xfId="41161"/>
    <cellStyle name="표준 6 5 12 2 5" xfId="28489"/>
    <cellStyle name="표준 6 5 12 2 6" xfId="56932"/>
    <cellStyle name="표준 6 5 12 3" xfId="6302"/>
    <cellStyle name="표준 6 5 12 3 2" xfId="12638"/>
    <cellStyle name="표준 6 5 12 3 2 2" xfId="25311"/>
    <cellStyle name="표준 6 5 12 3 2 2 2" xfId="50663"/>
    <cellStyle name="표준 6 5 12 3 2 3" xfId="37991"/>
    <cellStyle name="표준 6 5 12 3 3" xfId="18975"/>
    <cellStyle name="표준 6 5 12 3 3 2" xfId="44327"/>
    <cellStyle name="표준 6 5 12 3 4" xfId="31655"/>
    <cellStyle name="표준 6 5 12 3 5" xfId="56933"/>
    <cellStyle name="표준 6 5 12 4" xfId="9471"/>
    <cellStyle name="표준 6 5 12 4 2" xfId="22144"/>
    <cellStyle name="표준 6 5 12 4 2 2" xfId="47496"/>
    <cellStyle name="표준 6 5 12 4 3" xfId="34824"/>
    <cellStyle name="표준 6 5 12 5" xfId="15808"/>
    <cellStyle name="표준 6 5 12 5 2" xfId="41160"/>
    <cellStyle name="표준 6 5 12 6" xfId="28488"/>
    <cellStyle name="표준 6 5 12 7" xfId="56934"/>
    <cellStyle name="표준 6 5 13" xfId="3136"/>
    <cellStyle name="표준 6 5 13 2" xfId="3137"/>
    <cellStyle name="표준 6 5 13 2 2" xfId="6303"/>
    <cellStyle name="표준 6 5 13 2 2 2" xfId="12639"/>
    <cellStyle name="표준 6 5 13 2 2 2 2" xfId="25312"/>
    <cellStyle name="표준 6 5 13 2 2 2 2 2" xfId="50664"/>
    <cellStyle name="표준 6 5 13 2 2 2 3" xfId="37992"/>
    <cellStyle name="표준 6 5 13 2 2 3" xfId="18976"/>
    <cellStyle name="표준 6 5 13 2 2 3 2" xfId="44328"/>
    <cellStyle name="표준 6 5 13 2 2 4" xfId="31656"/>
    <cellStyle name="표준 6 5 13 2 2 5" xfId="56935"/>
    <cellStyle name="표준 6 5 13 2 3" xfId="9474"/>
    <cellStyle name="표준 6 5 13 2 3 2" xfId="22147"/>
    <cellStyle name="표준 6 5 13 2 3 2 2" xfId="47499"/>
    <cellStyle name="표준 6 5 13 2 3 3" xfId="34827"/>
    <cellStyle name="표준 6 5 13 2 4" xfId="15811"/>
    <cellStyle name="표준 6 5 13 2 4 2" xfId="41163"/>
    <cellStyle name="표준 6 5 13 2 5" xfId="28491"/>
    <cellStyle name="표준 6 5 13 2 6" xfId="56936"/>
    <cellStyle name="표준 6 5 13 3" xfId="6304"/>
    <cellStyle name="표준 6 5 13 3 2" xfId="12640"/>
    <cellStyle name="표준 6 5 13 3 2 2" xfId="25313"/>
    <cellStyle name="표준 6 5 13 3 2 2 2" xfId="50665"/>
    <cellStyle name="표준 6 5 13 3 2 3" xfId="37993"/>
    <cellStyle name="표준 6 5 13 3 3" xfId="18977"/>
    <cellStyle name="표준 6 5 13 3 3 2" xfId="44329"/>
    <cellStyle name="표준 6 5 13 3 4" xfId="31657"/>
    <cellStyle name="표준 6 5 13 3 5" xfId="56937"/>
    <cellStyle name="표준 6 5 13 4" xfId="9473"/>
    <cellStyle name="표준 6 5 13 4 2" xfId="22146"/>
    <cellStyle name="표준 6 5 13 4 2 2" xfId="47498"/>
    <cellStyle name="표준 6 5 13 4 3" xfId="34826"/>
    <cellStyle name="표준 6 5 13 5" xfId="15810"/>
    <cellStyle name="표준 6 5 13 5 2" xfId="41162"/>
    <cellStyle name="표준 6 5 13 6" xfId="28490"/>
    <cellStyle name="표준 6 5 13 7" xfId="56938"/>
    <cellStyle name="표준 6 5 14" xfId="3138"/>
    <cellStyle name="표준 6 5 14 2" xfId="3139"/>
    <cellStyle name="표준 6 5 14 2 2" xfId="6305"/>
    <cellStyle name="표준 6 5 14 2 2 2" xfId="12641"/>
    <cellStyle name="표준 6 5 14 2 2 2 2" xfId="25314"/>
    <cellStyle name="표준 6 5 14 2 2 2 2 2" xfId="50666"/>
    <cellStyle name="표준 6 5 14 2 2 2 3" xfId="37994"/>
    <cellStyle name="표준 6 5 14 2 2 3" xfId="18978"/>
    <cellStyle name="표준 6 5 14 2 2 3 2" xfId="44330"/>
    <cellStyle name="표준 6 5 14 2 2 4" xfId="31658"/>
    <cellStyle name="표준 6 5 14 2 2 5" xfId="56939"/>
    <cellStyle name="표준 6 5 14 2 3" xfId="9476"/>
    <cellStyle name="표준 6 5 14 2 3 2" xfId="22149"/>
    <cellStyle name="표준 6 5 14 2 3 2 2" xfId="47501"/>
    <cellStyle name="표준 6 5 14 2 3 3" xfId="34829"/>
    <cellStyle name="표준 6 5 14 2 4" xfId="15813"/>
    <cellStyle name="표준 6 5 14 2 4 2" xfId="41165"/>
    <cellStyle name="표준 6 5 14 2 5" xfId="28493"/>
    <cellStyle name="표준 6 5 14 2 6" xfId="56940"/>
    <cellStyle name="표준 6 5 14 3" xfId="6306"/>
    <cellStyle name="표준 6 5 14 3 2" xfId="12642"/>
    <cellStyle name="표준 6 5 14 3 2 2" xfId="25315"/>
    <cellStyle name="표준 6 5 14 3 2 2 2" xfId="50667"/>
    <cellStyle name="표준 6 5 14 3 2 3" xfId="37995"/>
    <cellStyle name="표준 6 5 14 3 3" xfId="18979"/>
    <cellStyle name="표준 6 5 14 3 3 2" xfId="44331"/>
    <cellStyle name="표준 6 5 14 3 4" xfId="31659"/>
    <cellStyle name="표준 6 5 14 3 5" xfId="56941"/>
    <cellStyle name="표준 6 5 14 4" xfId="9475"/>
    <cellStyle name="표준 6 5 14 4 2" xfId="22148"/>
    <cellStyle name="표준 6 5 14 4 2 2" xfId="47500"/>
    <cellStyle name="표준 6 5 14 4 3" xfId="34828"/>
    <cellStyle name="표준 6 5 14 5" xfId="15812"/>
    <cellStyle name="표준 6 5 14 5 2" xfId="41164"/>
    <cellStyle name="표준 6 5 14 6" xfId="28492"/>
    <cellStyle name="표준 6 5 14 7" xfId="56942"/>
    <cellStyle name="표준 6 5 15" xfId="3140"/>
    <cellStyle name="표준 6 5 15 2" xfId="3141"/>
    <cellStyle name="표준 6 5 15 2 2" xfId="6307"/>
    <cellStyle name="표준 6 5 15 2 2 2" xfId="12643"/>
    <cellStyle name="표준 6 5 15 2 2 2 2" xfId="25316"/>
    <cellStyle name="표준 6 5 15 2 2 2 2 2" xfId="50668"/>
    <cellStyle name="표준 6 5 15 2 2 2 3" xfId="37996"/>
    <cellStyle name="표준 6 5 15 2 2 3" xfId="18980"/>
    <cellStyle name="표준 6 5 15 2 2 3 2" xfId="44332"/>
    <cellStyle name="표준 6 5 15 2 2 4" xfId="31660"/>
    <cellStyle name="표준 6 5 15 2 2 5" xfId="56943"/>
    <cellStyle name="표준 6 5 15 2 3" xfId="9478"/>
    <cellStyle name="표준 6 5 15 2 3 2" xfId="22151"/>
    <cellStyle name="표준 6 5 15 2 3 2 2" xfId="47503"/>
    <cellStyle name="표준 6 5 15 2 3 3" xfId="34831"/>
    <cellStyle name="표준 6 5 15 2 4" xfId="15815"/>
    <cellStyle name="표준 6 5 15 2 4 2" xfId="41167"/>
    <cellStyle name="표준 6 5 15 2 5" xfId="28495"/>
    <cellStyle name="표준 6 5 15 2 6" xfId="56944"/>
    <cellStyle name="표준 6 5 15 3" xfId="6308"/>
    <cellStyle name="표준 6 5 15 3 2" xfId="12644"/>
    <cellStyle name="표준 6 5 15 3 2 2" xfId="25317"/>
    <cellStyle name="표준 6 5 15 3 2 2 2" xfId="50669"/>
    <cellStyle name="표준 6 5 15 3 2 3" xfId="37997"/>
    <cellStyle name="표준 6 5 15 3 3" xfId="18981"/>
    <cellStyle name="표준 6 5 15 3 3 2" xfId="44333"/>
    <cellStyle name="표준 6 5 15 3 4" xfId="31661"/>
    <cellStyle name="표준 6 5 15 3 5" xfId="56945"/>
    <cellStyle name="표준 6 5 15 4" xfId="9477"/>
    <cellStyle name="표준 6 5 15 4 2" xfId="22150"/>
    <cellStyle name="표준 6 5 15 4 2 2" xfId="47502"/>
    <cellStyle name="표준 6 5 15 4 3" xfId="34830"/>
    <cellStyle name="표준 6 5 15 5" xfId="15814"/>
    <cellStyle name="표준 6 5 15 5 2" xfId="41166"/>
    <cellStyle name="표준 6 5 15 6" xfId="28494"/>
    <cellStyle name="표준 6 5 15 7" xfId="56946"/>
    <cellStyle name="표준 6 5 16" xfId="3142"/>
    <cellStyle name="표준 6 5 16 2" xfId="3143"/>
    <cellStyle name="표준 6 5 16 2 2" xfId="6309"/>
    <cellStyle name="표준 6 5 16 2 2 2" xfId="12645"/>
    <cellStyle name="표준 6 5 16 2 2 2 2" xfId="25318"/>
    <cellStyle name="표준 6 5 16 2 2 2 2 2" xfId="50670"/>
    <cellStyle name="표준 6 5 16 2 2 2 3" xfId="37998"/>
    <cellStyle name="표준 6 5 16 2 2 3" xfId="18982"/>
    <cellStyle name="표준 6 5 16 2 2 3 2" xfId="44334"/>
    <cellStyle name="표준 6 5 16 2 2 4" xfId="31662"/>
    <cellStyle name="표준 6 5 16 2 2 5" xfId="56947"/>
    <cellStyle name="표준 6 5 16 2 3" xfId="9480"/>
    <cellStyle name="표준 6 5 16 2 3 2" xfId="22153"/>
    <cellStyle name="표준 6 5 16 2 3 2 2" xfId="47505"/>
    <cellStyle name="표준 6 5 16 2 3 3" xfId="34833"/>
    <cellStyle name="표준 6 5 16 2 4" xfId="15817"/>
    <cellStyle name="표준 6 5 16 2 4 2" xfId="41169"/>
    <cellStyle name="표준 6 5 16 2 5" xfId="28497"/>
    <cellStyle name="표준 6 5 16 2 6" xfId="56948"/>
    <cellStyle name="표준 6 5 16 3" xfId="6310"/>
    <cellStyle name="표준 6 5 16 3 2" xfId="12646"/>
    <cellStyle name="표준 6 5 16 3 2 2" xfId="25319"/>
    <cellStyle name="표준 6 5 16 3 2 2 2" xfId="50671"/>
    <cellStyle name="표준 6 5 16 3 2 3" xfId="37999"/>
    <cellStyle name="표준 6 5 16 3 3" xfId="18983"/>
    <cellStyle name="표준 6 5 16 3 3 2" xfId="44335"/>
    <cellStyle name="표준 6 5 16 3 4" xfId="31663"/>
    <cellStyle name="표준 6 5 16 3 5" xfId="56949"/>
    <cellStyle name="표준 6 5 16 4" xfId="9479"/>
    <cellStyle name="표준 6 5 16 4 2" xfId="22152"/>
    <cellStyle name="표준 6 5 16 4 2 2" xfId="47504"/>
    <cellStyle name="표준 6 5 16 4 3" xfId="34832"/>
    <cellStyle name="표준 6 5 16 5" xfId="15816"/>
    <cellStyle name="표준 6 5 16 5 2" xfId="41168"/>
    <cellStyle name="표준 6 5 16 6" xfId="28496"/>
    <cellStyle name="표준 6 5 16 7" xfId="56950"/>
    <cellStyle name="표준 6 5 17" xfId="3144"/>
    <cellStyle name="표준 6 5 17 2" xfId="3145"/>
    <cellStyle name="표준 6 5 17 2 2" xfId="6311"/>
    <cellStyle name="표준 6 5 17 2 2 2" xfId="12647"/>
    <cellStyle name="표준 6 5 17 2 2 2 2" xfId="25320"/>
    <cellStyle name="표준 6 5 17 2 2 2 2 2" xfId="50672"/>
    <cellStyle name="표준 6 5 17 2 2 2 3" xfId="38000"/>
    <cellStyle name="표준 6 5 17 2 2 3" xfId="18984"/>
    <cellStyle name="표준 6 5 17 2 2 3 2" xfId="44336"/>
    <cellStyle name="표준 6 5 17 2 2 4" xfId="31664"/>
    <cellStyle name="표준 6 5 17 2 2 5" xfId="56951"/>
    <cellStyle name="표준 6 5 17 2 3" xfId="9482"/>
    <cellStyle name="표준 6 5 17 2 3 2" xfId="22155"/>
    <cellStyle name="표준 6 5 17 2 3 2 2" xfId="47507"/>
    <cellStyle name="표준 6 5 17 2 3 3" xfId="34835"/>
    <cellStyle name="표준 6 5 17 2 4" xfId="15819"/>
    <cellStyle name="표준 6 5 17 2 4 2" xfId="41171"/>
    <cellStyle name="표준 6 5 17 2 5" xfId="28499"/>
    <cellStyle name="표준 6 5 17 2 6" xfId="56952"/>
    <cellStyle name="표준 6 5 17 3" xfId="6312"/>
    <cellStyle name="표준 6 5 17 3 2" xfId="12648"/>
    <cellStyle name="표준 6 5 17 3 2 2" xfId="25321"/>
    <cellStyle name="표준 6 5 17 3 2 2 2" xfId="50673"/>
    <cellStyle name="표준 6 5 17 3 2 3" xfId="38001"/>
    <cellStyle name="표준 6 5 17 3 3" xfId="18985"/>
    <cellStyle name="표준 6 5 17 3 3 2" xfId="44337"/>
    <cellStyle name="표준 6 5 17 3 4" xfId="31665"/>
    <cellStyle name="표준 6 5 17 3 5" xfId="56953"/>
    <cellStyle name="표준 6 5 17 4" xfId="9481"/>
    <cellStyle name="표준 6 5 17 4 2" xfId="22154"/>
    <cellStyle name="표준 6 5 17 4 2 2" xfId="47506"/>
    <cellStyle name="표준 6 5 17 4 3" xfId="34834"/>
    <cellStyle name="표준 6 5 17 5" xfId="15818"/>
    <cellStyle name="표준 6 5 17 5 2" xfId="41170"/>
    <cellStyle name="표준 6 5 17 6" xfId="28498"/>
    <cellStyle name="표준 6 5 17 7" xfId="56954"/>
    <cellStyle name="표준 6 5 18" xfId="3146"/>
    <cellStyle name="표준 6 5 18 2" xfId="3147"/>
    <cellStyle name="표준 6 5 18 2 2" xfId="6313"/>
    <cellStyle name="표준 6 5 18 2 2 2" xfId="12649"/>
    <cellStyle name="표준 6 5 18 2 2 2 2" xfId="25322"/>
    <cellStyle name="표준 6 5 18 2 2 2 2 2" xfId="50674"/>
    <cellStyle name="표준 6 5 18 2 2 2 3" xfId="38002"/>
    <cellStyle name="표준 6 5 18 2 2 3" xfId="18986"/>
    <cellStyle name="표준 6 5 18 2 2 3 2" xfId="44338"/>
    <cellStyle name="표준 6 5 18 2 2 4" xfId="31666"/>
    <cellStyle name="표준 6 5 18 2 2 5" xfId="56955"/>
    <cellStyle name="표준 6 5 18 2 3" xfId="9484"/>
    <cellStyle name="표준 6 5 18 2 3 2" xfId="22157"/>
    <cellStyle name="표준 6 5 18 2 3 2 2" xfId="47509"/>
    <cellStyle name="표준 6 5 18 2 3 3" xfId="34837"/>
    <cellStyle name="표준 6 5 18 2 4" xfId="15821"/>
    <cellStyle name="표준 6 5 18 2 4 2" xfId="41173"/>
    <cellStyle name="표준 6 5 18 2 5" xfId="28501"/>
    <cellStyle name="표준 6 5 18 2 6" xfId="56956"/>
    <cellStyle name="표준 6 5 18 3" xfId="6314"/>
    <cellStyle name="표준 6 5 18 3 2" xfId="12650"/>
    <cellStyle name="표준 6 5 18 3 2 2" xfId="25323"/>
    <cellStyle name="표준 6 5 18 3 2 2 2" xfId="50675"/>
    <cellStyle name="표준 6 5 18 3 2 3" xfId="38003"/>
    <cellStyle name="표준 6 5 18 3 3" xfId="18987"/>
    <cellStyle name="표준 6 5 18 3 3 2" xfId="44339"/>
    <cellStyle name="표준 6 5 18 3 4" xfId="31667"/>
    <cellStyle name="표준 6 5 18 3 5" xfId="56957"/>
    <cellStyle name="표준 6 5 18 4" xfId="9483"/>
    <cellStyle name="표준 6 5 18 4 2" xfId="22156"/>
    <cellStyle name="표준 6 5 18 4 2 2" xfId="47508"/>
    <cellStyle name="표준 6 5 18 4 3" xfId="34836"/>
    <cellStyle name="표준 6 5 18 5" xfId="15820"/>
    <cellStyle name="표준 6 5 18 5 2" xfId="41172"/>
    <cellStyle name="표준 6 5 18 6" xfId="28500"/>
    <cellStyle name="표준 6 5 18 7" xfId="56958"/>
    <cellStyle name="표준 6 5 19" xfId="3148"/>
    <cellStyle name="표준 6 5 19 2" xfId="3149"/>
    <cellStyle name="표준 6 5 19 2 2" xfId="6315"/>
    <cellStyle name="표준 6 5 19 2 2 2" xfId="12651"/>
    <cellStyle name="표준 6 5 19 2 2 2 2" xfId="25324"/>
    <cellStyle name="표준 6 5 19 2 2 2 2 2" xfId="50676"/>
    <cellStyle name="표준 6 5 19 2 2 2 3" xfId="38004"/>
    <cellStyle name="표준 6 5 19 2 2 3" xfId="18988"/>
    <cellStyle name="표준 6 5 19 2 2 3 2" xfId="44340"/>
    <cellStyle name="표준 6 5 19 2 2 4" xfId="31668"/>
    <cellStyle name="표준 6 5 19 2 2 5" xfId="56959"/>
    <cellStyle name="표준 6 5 19 2 3" xfId="9486"/>
    <cellStyle name="표준 6 5 19 2 3 2" xfId="22159"/>
    <cellStyle name="표준 6 5 19 2 3 2 2" xfId="47511"/>
    <cellStyle name="표준 6 5 19 2 3 3" xfId="34839"/>
    <cellStyle name="표준 6 5 19 2 4" xfId="15823"/>
    <cellStyle name="표준 6 5 19 2 4 2" xfId="41175"/>
    <cellStyle name="표준 6 5 19 2 5" xfId="28503"/>
    <cellStyle name="표준 6 5 19 2 6" xfId="56960"/>
    <cellStyle name="표준 6 5 19 3" xfId="6316"/>
    <cellStyle name="표준 6 5 19 3 2" xfId="12652"/>
    <cellStyle name="표준 6 5 19 3 2 2" xfId="25325"/>
    <cellStyle name="표준 6 5 19 3 2 2 2" xfId="50677"/>
    <cellStyle name="표준 6 5 19 3 2 3" xfId="38005"/>
    <cellStyle name="표준 6 5 19 3 3" xfId="18989"/>
    <cellStyle name="표준 6 5 19 3 3 2" xfId="44341"/>
    <cellStyle name="표준 6 5 19 3 4" xfId="31669"/>
    <cellStyle name="표준 6 5 19 3 5" xfId="56961"/>
    <cellStyle name="표준 6 5 19 4" xfId="9485"/>
    <cellStyle name="표준 6 5 19 4 2" xfId="22158"/>
    <cellStyle name="표준 6 5 19 4 2 2" xfId="47510"/>
    <cellStyle name="표준 6 5 19 4 3" xfId="34838"/>
    <cellStyle name="표준 6 5 19 5" xfId="15822"/>
    <cellStyle name="표준 6 5 19 5 2" xfId="41174"/>
    <cellStyle name="표준 6 5 19 6" xfId="28502"/>
    <cellStyle name="표준 6 5 19 7" xfId="56962"/>
    <cellStyle name="표준 6 5 2" xfId="3150"/>
    <cellStyle name="표준 6 5 2 2" xfId="3151"/>
    <cellStyle name="표준 6 5 2 2 2" xfId="6317"/>
    <cellStyle name="표준 6 5 2 2 2 2" xfId="12653"/>
    <cellStyle name="표준 6 5 2 2 2 2 2" xfId="25326"/>
    <cellStyle name="표준 6 5 2 2 2 2 2 2" xfId="50678"/>
    <cellStyle name="표준 6 5 2 2 2 2 3" xfId="38006"/>
    <cellStyle name="표준 6 5 2 2 2 3" xfId="18990"/>
    <cellStyle name="표준 6 5 2 2 2 3 2" xfId="44342"/>
    <cellStyle name="표준 6 5 2 2 2 4" xfId="31670"/>
    <cellStyle name="표준 6 5 2 2 2 5" xfId="56963"/>
    <cellStyle name="표준 6 5 2 2 3" xfId="9488"/>
    <cellStyle name="표준 6 5 2 2 3 2" xfId="22161"/>
    <cellStyle name="표준 6 5 2 2 3 2 2" xfId="47513"/>
    <cellStyle name="표준 6 5 2 2 3 3" xfId="34841"/>
    <cellStyle name="표준 6 5 2 2 4" xfId="15825"/>
    <cellStyle name="표준 6 5 2 2 4 2" xfId="41177"/>
    <cellStyle name="표준 6 5 2 2 5" xfId="28505"/>
    <cellStyle name="표준 6 5 2 2 6" xfId="56964"/>
    <cellStyle name="표준 6 5 2 3" xfId="6318"/>
    <cellStyle name="표준 6 5 2 3 2" xfId="12654"/>
    <cellStyle name="표준 6 5 2 3 2 2" xfId="25327"/>
    <cellStyle name="표준 6 5 2 3 2 2 2" xfId="50679"/>
    <cellStyle name="표준 6 5 2 3 2 3" xfId="38007"/>
    <cellStyle name="표준 6 5 2 3 3" xfId="18991"/>
    <cellStyle name="표준 6 5 2 3 3 2" xfId="44343"/>
    <cellStyle name="표준 6 5 2 3 4" xfId="31671"/>
    <cellStyle name="표준 6 5 2 3 5" xfId="56965"/>
    <cellStyle name="표준 6 5 2 4" xfId="9487"/>
    <cellStyle name="표준 6 5 2 4 2" xfId="22160"/>
    <cellStyle name="표준 6 5 2 4 2 2" xfId="47512"/>
    <cellStyle name="표준 6 5 2 4 3" xfId="34840"/>
    <cellStyle name="표준 6 5 2 5" xfId="15824"/>
    <cellStyle name="표준 6 5 2 5 2" xfId="41176"/>
    <cellStyle name="표준 6 5 2 6" xfId="28504"/>
    <cellStyle name="표준 6 5 2 7" xfId="56966"/>
    <cellStyle name="표준 6 5 20" xfId="3152"/>
    <cellStyle name="표준 6 5 20 2" xfId="3153"/>
    <cellStyle name="표준 6 5 20 2 2" xfId="6319"/>
    <cellStyle name="표준 6 5 20 2 2 2" xfId="12655"/>
    <cellStyle name="표준 6 5 20 2 2 2 2" xfId="25328"/>
    <cellStyle name="표준 6 5 20 2 2 2 2 2" xfId="50680"/>
    <cellStyle name="표준 6 5 20 2 2 2 3" xfId="38008"/>
    <cellStyle name="표준 6 5 20 2 2 3" xfId="18992"/>
    <cellStyle name="표준 6 5 20 2 2 3 2" xfId="44344"/>
    <cellStyle name="표준 6 5 20 2 2 4" xfId="31672"/>
    <cellStyle name="표준 6 5 20 2 2 5" xfId="56967"/>
    <cellStyle name="표준 6 5 20 2 3" xfId="9490"/>
    <cellStyle name="표준 6 5 20 2 3 2" xfId="22163"/>
    <cellStyle name="표준 6 5 20 2 3 2 2" xfId="47515"/>
    <cellStyle name="표준 6 5 20 2 3 3" xfId="34843"/>
    <cellStyle name="표준 6 5 20 2 4" xfId="15827"/>
    <cellStyle name="표준 6 5 20 2 4 2" xfId="41179"/>
    <cellStyle name="표준 6 5 20 2 5" xfId="28507"/>
    <cellStyle name="표준 6 5 20 2 6" xfId="56968"/>
    <cellStyle name="표준 6 5 20 3" xfId="6320"/>
    <cellStyle name="표준 6 5 20 3 2" xfId="12656"/>
    <cellStyle name="표준 6 5 20 3 2 2" xfId="25329"/>
    <cellStyle name="표준 6 5 20 3 2 2 2" xfId="50681"/>
    <cellStyle name="표준 6 5 20 3 2 3" xfId="38009"/>
    <cellStyle name="표준 6 5 20 3 3" xfId="18993"/>
    <cellStyle name="표준 6 5 20 3 3 2" xfId="44345"/>
    <cellStyle name="표준 6 5 20 3 4" xfId="31673"/>
    <cellStyle name="표준 6 5 20 3 5" xfId="56969"/>
    <cellStyle name="표준 6 5 20 4" xfId="9489"/>
    <cellStyle name="표준 6 5 20 4 2" xfId="22162"/>
    <cellStyle name="표준 6 5 20 4 2 2" xfId="47514"/>
    <cellStyle name="표준 6 5 20 4 3" xfId="34842"/>
    <cellStyle name="표준 6 5 20 5" xfId="15826"/>
    <cellStyle name="표준 6 5 20 5 2" xfId="41178"/>
    <cellStyle name="표준 6 5 20 6" xfId="28506"/>
    <cellStyle name="표준 6 5 20 7" xfId="56970"/>
    <cellStyle name="표준 6 5 21" xfId="3154"/>
    <cellStyle name="표준 6 5 21 2" xfId="3155"/>
    <cellStyle name="표준 6 5 21 2 2" xfId="6321"/>
    <cellStyle name="표준 6 5 21 2 2 2" xfId="12657"/>
    <cellStyle name="표준 6 5 21 2 2 2 2" xfId="25330"/>
    <cellStyle name="표준 6 5 21 2 2 2 2 2" xfId="50682"/>
    <cellStyle name="표준 6 5 21 2 2 2 3" xfId="38010"/>
    <cellStyle name="표준 6 5 21 2 2 3" xfId="18994"/>
    <cellStyle name="표준 6 5 21 2 2 3 2" xfId="44346"/>
    <cellStyle name="표준 6 5 21 2 2 4" xfId="31674"/>
    <cellStyle name="표준 6 5 21 2 2 5" xfId="56971"/>
    <cellStyle name="표준 6 5 21 2 3" xfId="9492"/>
    <cellStyle name="표준 6 5 21 2 3 2" xfId="22165"/>
    <cellStyle name="표준 6 5 21 2 3 2 2" xfId="47517"/>
    <cellStyle name="표준 6 5 21 2 3 3" xfId="34845"/>
    <cellStyle name="표준 6 5 21 2 4" xfId="15829"/>
    <cellStyle name="표준 6 5 21 2 4 2" xfId="41181"/>
    <cellStyle name="표준 6 5 21 2 5" xfId="28509"/>
    <cellStyle name="표준 6 5 21 2 6" xfId="56972"/>
    <cellStyle name="표준 6 5 21 3" xfId="6322"/>
    <cellStyle name="표준 6 5 21 3 2" xfId="12658"/>
    <cellStyle name="표준 6 5 21 3 2 2" xfId="25331"/>
    <cellStyle name="표준 6 5 21 3 2 2 2" xfId="50683"/>
    <cellStyle name="표준 6 5 21 3 2 3" xfId="38011"/>
    <cellStyle name="표준 6 5 21 3 3" xfId="18995"/>
    <cellStyle name="표준 6 5 21 3 3 2" xfId="44347"/>
    <cellStyle name="표준 6 5 21 3 4" xfId="31675"/>
    <cellStyle name="표준 6 5 21 3 5" xfId="56973"/>
    <cellStyle name="표준 6 5 21 4" xfId="9491"/>
    <cellStyle name="표준 6 5 21 4 2" xfId="22164"/>
    <cellStyle name="표준 6 5 21 4 2 2" xfId="47516"/>
    <cellStyle name="표준 6 5 21 4 3" xfId="34844"/>
    <cellStyle name="표준 6 5 21 5" xfId="15828"/>
    <cellStyle name="표준 6 5 21 5 2" xfId="41180"/>
    <cellStyle name="표준 6 5 21 6" xfId="28508"/>
    <cellStyle name="표준 6 5 21 7" xfId="56974"/>
    <cellStyle name="표준 6 5 22" xfId="3156"/>
    <cellStyle name="표준 6 5 22 2" xfId="3157"/>
    <cellStyle name="표준 6 5 22 2 2" xfId="6323"/>
    <cellStyle name="표준 6 5 22 2 2 2" xfId="12659"/>
    <cellStyle name="표준 6 5 22 2 2 2 2" xfId="25332"/>
    <cellStyle name="표준 6 5 22 2 2 2 2 2" xfId="50684"/>
    <cellStyle name="표준 6 5 22 2 2 2 3" xfId="38012"/>
    <cellStyle name="표준 6 5 22 2 2 3" xfId="18996"/>
    <cellStyle name="표준 6 5 22 2 2 3 2" xfId="44348"/>
    <cellStyle name="표준 6 5 22 2 2 4" xfId="31676"/>
    <cellStyle name="표준 6 5 22 2 2 5" xfId="56975"/>
    <cellStyle name="표준 6 5 22 2 3" xfId="9494"/>
    <cellStyle name="표준 6 5 22 2 3 2" xfId="22167"/>
    <cellStyle name="표준 6 5 22 2 3 2 2" xfId="47519"/>
    <cellStyle name="표준 6 5 22 2 3 3" xfId="34847"/>
    <cellStyle name="표준 6 5 22 2 4" xfId="15831"/>
    <cellStyle name="표준 6 5 22 2 4 2" xfId="41183"/>
    <cellStyle name="표준 6 5 22 2 5" xfId="28511"/>
    <cellStyle name="표준 6 5 22 2 6" xfId="56976"/>
    <cellStyle name="표준 6 5 22 3" xfId="6324"/>
    <cellStyle name="표준 6 5 22 3 2" xfId="12660"/>
    <cellStyle name="표준 6 5 22 3 2 2" xfId="25333"/>
    <cellStyle name="표준 6 5 22 3 2 2 2" xfId="50685"/>
    <cellStyle name="표준 6 5 22 3 2 3" xfId="38013"/>
    <cellStyle name="표준 6 5 22 3 3" xfId="18997"/>
    <cellStyle name="표준 6 5 22 3 3 2" xfId="44349"/>
    <cellStyle name="표준 6 5 22 3 4" xfId="31677"/>
    <cellStyle name="표준 6 5 22 3 5" xfId="56977"/>
    <cellStyle name="표준 6 5 22 4" xfId="9493"/>
    <cellStyle name="표준 6 5 22 4 2" xfId="22166"/>
    <cellStyle name="표준 6 5 22 4 2 2" xfId="47518"/>
    <cellStyle name="표준 6 5 22 4 3" xfId="34846"/>
    <cellStyle name="표준 6 5 22 5" xfId="15830"/>
    <cellStyle name="표준 6 5 22 5 2" xfId="41182"/>
    <cellStyle name="표준 6 5 22 6" xfId="28510"/>
    <cellStyle name="표준 6 5 22 7" xfId="56978"/>
    <cellStyle name="표준 6 5 23" xfId="3158"/>
    <cellStyle name="표준 6 5 23 2" xfId="3159"/>
    <cellStyle name="표준 6 5 23 2 2" xfId="6325"/>
    <cellStyle name="표준 6 5 23 2 2 2" xfId="12661"/>
    <cellStyle name="표준 6 5 23 2 2 2 2" xfId="25334"/>
    <cellStyle name="표준 6 5 23 2 2 2 2 2" xfId="50686"/>
    <cellStyle name="표준 6 5 23 2 2 2 3" xfId="38014"/>
    <cellStyle name="표준 6 5 23 2 2 3" xfId="18998"/>
    <cellStyle name="표준 6 5 23 2 2 3 2" xfId="44350"/>
    <cellStyle name="표준 6 5 23 2 2 4" xfId="31678"/>
    <cellStyle name="표준 6 5 23 2 2 5" xfId="56979"/>
    <cellStyle name="표준 6 5 23 2 3" xfId="9496"/>
    <cellStyle name="표준 6 5 23 2 3 2" xfId="22169"/>
    <cellStyle name="표준 6 5 23 2 3 2 2" xfId="47521"/>
    <cellStyle name="표준 6 5 23 2 3 3" xfId="34849"/>
    <cellStyle name="표준 6 5 23 2 4" xfId="15833"/>
    <cellStyle name="표준 6 5 23 2 4 2" xfId="41185"/>
    <cellStyle name="표준 6 5 23 2 5" xfId="28513"/>
    <cellStyle name="표준 6 5 23 2 6" xfId="56980"/>
    <cellStyle name="표준 6 5 23 3" xfId="6326"/>
    <cellStyle name="표준 6 5 23 3 2" xfId="12662"/>
    <cellStyle name="표준 6 5 23 3 2 2" xfId="25335"/>
    <cellStyle name="표준 6 5 23 3 2 2 2" xfId="50687"/>
    <cellStyle name="표준 6 5 23 3 2 3" xfId="38015"/>
    <cellStyle name="표준 6 5 23 3 3" xfId="18999"/>
    <cellStyle name="표준 6 5 23 3 3 2" xfId="44351"/>
    <cellStyle name="표준 6 5 23 3 4" xfId="31679"/>
    <cellStyle name="표준 6 5 23 3 5" xfId="56981"/>
    <cellStyle name="표준 6 5 23 4" xfId="9495"/>
    <cellStyle name="표준 6 5 23 4 2" xfId="22168"/>
    <cellStyle name="표준 6 5 23 4 2 2" xfId="47520"/>
    <cellStyle name="표준 6 5 23 4 3" xfId="34848"/>
    <cellStyle name="표준 6 5 23 5" xfId="15832"/>
    <cellStyle name="표준 6 5 23 5 2" xfId="41184"/>
    <cellStyle name="표준 6 5 23 6" xfId="28512"/>
    <cellStyle name="표준 6 5 23 7" xfId="56982"/>
    <cellStyle name="표준 6 5 24" xfId="3160"/>
    <cellStyle name="표준 6 5 24 2" xfId="3161"/>
    <cellStyle name="표준 6 5 24 2 2" xfId="6327"/>
    <cellStyle name="표준 6 5 24 2 2 2" xfId="12663"/>
    <cellStyle name="표준 6 5 24 2 2 2 2" xfId="25336"/>
    <cellStyle name="표준 6 5 24 2 2 2 2 2" xfId="50688"/>
    <cellStyle name="표준 6 5 24 2 2 2 3" xfId="38016"/>
    <cellStyle name="표준 6 5 24 2 2 3" xfId="19000"/>
    <cellStyle name="표준 6 5 24 2 2 3 2" xfId="44352"/>
    <cellStyle name="표준 6 5 24 2 2 4" xfId="31680"/>
    <cellStyle name="표준 6 5 24 2 2 5" xfId="56983"/>
    <cellStyle name="표준 6 5 24 2 3" xfId="9498"/>
    <cellStyle name="표준 6 5 24 2 3 2" xfId="22171"/>
    <cellStyle name="표준 6 5 24 2 3 2 2" xfId="47523"/>
    <cellStyle name="표준 6 5 24 2 3 3" xfId="34851"/>
    <cellStyle name="표준 6 5 24 2 4" xfId="15835"/>
    <cellStyle name="표준 6 5 24 2 4 2" xfId="41187"/>
    <cellStyle name="표준 6 5 24 2 5" xfId="28515"/>
    <cellStyle name="표준 6 5 24 2 6" xfId="56984"/>
    <cellStyle name="표준 6 5 24 3" xfId="6328"/>
    <cellStyle name="표준 6 5 24 3 2" xfId="12664"/>
    <cellStyle name="표준 6 5 24 3 2 2" xfId="25337"/>
    <cellStyle name="표준 6 5 24 3 2 2 2" xfId="50689"/>
    <cellStyle name="표준 6 5 24 3 2 3" xfId="38017"/>
    <cellStyle name="표준 6 5 24 3 3" xfId="19001"/>
    <cellStyle name="표준 6 5 24 3 3 2" xfId="44353"/>
    <cellStyle name="표준 6 5 24 3 4" xfId="31681"/>
    <cellStyle name="표준 6 5 24 3 5" xfId="56985"/>
    <cellStyle name="표준 6 5 24 4" xfId="9497"/>
    <cellStyle name="표준 6 5 24 4 2" xfId="22170"/>
    <cellStyle name="표준 6 5 24 4 2 2" xfId="47522"/>
    <cellStyle name="표준 6 5 24 4 3" xfId="34850"/>
    <cellStyle name="표준 6 5 24 5" xfId="15834"/>
    <cellStyle name="표준 6 5 24 5 2" xfId="41186"/>
    <cellStyle name="표준 6 5 24 6" xfId="28514"/>
    <cellStyle name="표준 6 5 24 7" xfId="56986"/>
    <cellStyle name="표준 6 5 25" xfId="3162"/>
    <cellStyle name="표준 6 5 25 2" xfId="3163"/>
    <cellStyle name="표준 6 5 25 2 2" xfId="6329"/>
    <cellStyle name="표준 6 5 25 2 2 2" xfId="12665"/>
    <cellStyle name="표준 6 5 25 2 2 2 2" xfId="25338"/>
    <cellStyle name="표준 6 5 25 2 2 2 2 2" xfId="50690"/>
    <cellStyle name="표준 6 5 25 2 2 2 3" xfId="38018"/>
    <cellStyle name="표준 6 5 25 2 2 3" xfId="19002"/>
    <cellStyle name="표준 6 5 25 2 2 3 2" xfId="44354"/>
    <cellStyle name="표준 6 5 25 2 2 4" xfId="31682"/>
    <cellStyle name="표준 6 5 25 2 2 5" xfId="56987"/>
    <cellStyle name="표준 6 5 25 2 3" xfId="9500"/>
    <cellStyle name="표준 6 5 25 2 3 2" xfId="22173"/>
    <cellStyle name="표준 6 5 25 2 3 2 2" xfId="47525"/>
    <cellStyle name="표준 6 5 25 2 3 3" xfId="34853"/>
    <cellStyle name="표준 6 5 25 2 4" xfId="15837"/>
    <cellStyle name="표준 6 5 25 2 4 2" xfId="41189"/>
    <cellStyle name="표준 6 5 25 2 5" xfId="28517"/>
    <cellStyle name="표준 6 5 25 2 6" xfId="56988"/>
    <cellStyle name="표준 6 5 25 3" xfId="6330"/>
    <cellStyle name="표준 6 5 25 3 2" xfId="12666"/>
    <cellStyle name="표준 6 5 25 3 2 2" xfId="25339"/>
    <cellStyle name="표준 6 5 25 3 2 2 2" xfId="50691"/>
    <cellStyle name="표준 6 5 25 3 2 3" xfId="38019"/>
    <cellStyle name="표준 6 5 25 3 3" xfId="19003"/>
    <cellStyle name="표준 6 5 25 3 3 2" xfId="44355"/>
    <cellStyle name="표준 6 5 25 3 4" xfId="31683"/>
    <cellStyle name="표준 6 5 25 3 5" xfId="56989"/>
    <cellStyle name="표준 6 5 25 4" xfId="9499"/>
    <cellStyle name="표준 6 5 25 4 2" xfId="22172"/>
    <cellStyle name="표준 6 5 25 4 2 2" xfId="47524"/>
    <cellStyle name="표준 6 5 25 4 3" xfId="34852"/>
    <cellStyle name="표준 6 5 25 5" xfId="15836"/>
    <cellStyle name="표준 6 5 25 5 2" xfId="41188"/>
    <cellStyle name="표준 6 5 25 6" xfId="28516"/>
    <cellStyle name="표준 6 5 25 7" xfId="56990"/>
    <cellStyle name="표준 6 5 26" xfId="3164"/>
    <cellStyle name="표준 6 5 26 2" xfId="3165"/>
    <cellStyle name="표준 6 5 26 2 2" xfId="6331"/>
    <cellStyle name="표준 6 5 26 2 2 2" xfId="12667"/>
    <cellStyle name="표준 6 5 26 2 2 2 2" xfId="25340"/>
    <cellStyle name="표준 6 5 26 2 2 2 2 2" xfId="50692"/>
    <cellStyle name="표준 6 5 26 2 2 2 3" xfId="38020"/>
    <cellStyle name="표준 6 5 26 2 2 3" xfId="19004"/>
    <cellStyle name="표준 6 5 26 2 2 3 2" xfId="44356"/>
    <cellStyle name="표준 6 5 26 2 2 4" xfId="31684"/>
    <cellStyle name="표준 6 5 26 2 2 5" xfId="56991"/>
    <cellStyle name="표준 6 5 26 2 3" xfId="9502"/>
    <cellStyle name="표준 6 5 26 2 3 2" xfId="22175"/>
    <cellStyle name="표준 6 5 26 2 3 2 2" xfId="47527"/>
    <cellStyle name="표준 6 5 26 2 3 3" xfId="34855"/>
    <cellStyle name="표준 6 5 26 2 4" xfId="15839"/>
    <cellStyle name="표준 6 5 26 2 4 2" xfId="41191"/>
    <cellStyle name="표준 6 5 26 2 5" xfId="28519"/>
    <cellStyle name="표준 6 5 26 2 6" xfId="56992"/>
    <cellStyle name="표준 6 5 26 3" xfId="6332"/>
    <cellStyle name="표준 6 5 26 3 2" xfId="12668"/>
    <cellStyle name="표준 6 5 26 3 2 2" xfId="25341"/>
    <cellStyle name="표준 6 5 26 3 2 2 2" xfId="50693"/>
    <cellStyle name="표준 6 5 26 3 2 3" xfId="38021"/>
    <cellStyle name="표준 6 5 26 3 3" xfId="19005"/>
    <cellStyle name="표준 6 5 26 3 3 2" xfId="44357"/>
    <cellStyle name="표준 6 5 26 3 4" xfId="31685"/>
    <cellStyle name="표준 6 5 26 3 5" xfId="56993"/>
    <cellStyle name="표준 6 5 26 4" xfId="9501"/>
    <cellStyle name="표준 6 5 26 4 2" xfId="22174"/>
    <cellStyle name="표준 6 5 26 4 2 2" xfId="47526"/>
    <cellStyle name="표준 6 5 26 4 3" xfId="34854"/>
    <cellStyle name="표준 6 5 26 5" xfId="15838"/>
    <cellStyle name="표준 6 5 26 5 2" xfId="41190"/>
    <cellStyle name="표준 6 5 26 6" xfId="28518"/>
    <cellStyle name="표준 6 5 26 7" xfId="56994"/>
    <cellStyle name="표준 6 5 27" xfId="3166"/>
    <cellStyle name="표준 6 5 27 2" xfId="3167"/>
    <cellStyle name="표준 6 5 27 2 2" xfId="6333"/>
    <cellStyle name="표준 6 5 27 2 2 2" xfId="12669"/>
    <cellStyle name="표준 6 5 27 2 2 2 2" xfId="25342"/>
    <cellStyle name="표준 6 5 27 2 2 2 2 2" xfId="50694"/>
    <cellStyle name="표준 6 5 27 2 2 2 3" xfId="38022"/>
    <cellStyle name="표준 6 5 27 2 2 3" xfId="19006"/>
    <cellStyle name="표준 6 5 27 2 2 3 2" xfId="44358"/>
    <cellStyle name="표준 6 5 27 2 2 4" xfId="31686"/>
    <cellStyle name="표준 6 5 27 2 2 5" xfId="56995"/>
    <cellStyle name="표준 6 5 27 2 3" xfId="9504"/>
    <cellStyle name="표준 6 5 27 2 3 2" xfId="22177"/>
    <cellStyle name="표준 6 5 27 2 3 2 2" xfId="47529"/>
    <cellStyle name="표준 6 5 27 2 3 3" xfId="34857"/>
    <cellStyle name="표준 6 5 27 2 4" xfId="15841"/>
    <cellStyle name="표준 6 5 27 2 4 2" xfId="41193"/>
    <cellStyle name="표준 6 5 27 2 5" xfId="28521"/>
    <cellStyle name="표준 6 5 27 2 6" xfId="56996"/>
    <cellStyle name="표준 6 5 27 3" xfId="6334"/>
    <cellStyle name="표준 6 5 27 3 2" xfId="12670"/>
    <cellStyle name="표준 6 5 27 3 2 2" xfId="25343"/>
    <cellStyle name="표준 6 5 27 3 2 2 2" xfId="50695"/>
    <cellStyle name="표준 6 5 27 3 2 3" xfId="38023"/>
    <cellStyle name="표준 6 5 27 3 3" xfId="19007"/>
    <cellStyle name="표준 6 5 27 3 3 2" xfId="44359"/>
    <cellStyle name="표준 6 5 27 3 4" xfId="31687"/>
    <cellStyle name="표준 6 5 27 3 5" xfId="56997"/>
    <cellStyle name="표준 6 5 27 4" xfId="9503"/>
    <cellStyle name="표준 6 5 27 4 2" xfId="22176"/>
    <cellStyle name="표준 6 5 27 4 2 2" xfId="47528"/>
    <cellStyle name="표준 6 5 27 4 3" xfId="34856"/>
    <cellStyle name="표준 6 5 27 5" xfId="15840"/>
    <cellStyle name="표준 6 5 27 5 2" xfId="41192"/>
    <cellStyle name="표준 6 5 27 6" xfId="28520"/>
    <cellStyle name="표준 6 5 27 7" xfId="56998"/>
    <cellStyle name="표준 6 5 28" xfId="3168"/>
    <cellStyle name="표준 6 5 28 2" xfId="3169"/>
    <cellStyle name="표준 6 5 28 2 2" xfId="6335"/>
    <cellStyle name="표준 6 5 28 2 2 2" xfId="12671"/>
    <cellStyle name="표준 6 5 28 2 2 2 2" xfId="25344"/>
    <cellStyle name="표준 6 5 28 2 2 2 2 2" xfId="50696"/>
    <cellStyle name="표준 6 5 28 2 2 2 3" xfId="38024"/>
    <cellStyle name="표준 6 5 28 2 2 3" xfId="19008"/>
    <cellStyle name="표준 6 5 28 2 2 3 2" xfId="44360"/>
    <cellStyle name="표준 6 5 28 2 2 4" xfId="31688"/>
    <cellStyle name="표준 6 5 28 2 2 5" xfId="56999"/>
    <cellStyle name="표준 6 5 28 2 3" xfId="9506"/>
    <cellStyle name="표준 6 5 28 2 3 2" xfId="22179"/>
    <cellStyle name="표준 6 5 28 2 3 2 2" xfId="47531"/>
    <cellStyle name="표준 6 5 28 2 3 3" xfId="34859"/>
    <cellStyle name="표준 6 5 28 2 4" xfId="15843"/>
    <cellStyle name="표준 6 5 28 2 4 2" xfId="41195"/>
    <cellStyle name="표준 6 5 28 2 5" xfId="28523"/>
    <cellStyle name="표준 6 5 28 2 6" xfId="57000"/>
    <cellStyle name="표준 6 5 28 3" xfId="6336"/>
    <cellStyle name="표준 6 5 28 3 2" xfId="12672"/>
    <cellStyle name="표준 6 5 28 3 2 2" xfId="25345"/>
    <cellStyle name="표준 6 5 28 3 2 2 2" xfId="50697"/>
    <cellStyle name="표준 6 5 28 3 2 3" xfId="38025"/>
    <cellStyle name="표준 6 5 28 3 3" xfId="19009"/>
    <cellStyle name="표준 6 5 28 3 3 2" xfId="44361"/>
    <cellStyle name="표준 6 5 28 3 4" xfId="31689"/>
    <cellStyle name="표준 6 5 28 3 5" xfId="57001"/>
    <cellStyle name="표준 6 5 28 4" xfId="9505"/>
    <cellStyle name="표준 6 5 28 4 2" xfId="22178"/>
    <cellStyle name="표준 6 5 28 4 2 2" xfId="47530"/>
    <cellStyle name="표준 6 5 28 4 3" xfId="34858"/>
    <cellStyle name="표준 6 5 28 5" xfId="15842"/>
    <cellStyle name="표준 6 5 28 5 2" xfId="41194"/>
    <cellStyle name="표준 6 5 28 6" xfId="28522"/>
    <cellStyle name="표준 6 5 28 7" xfId="57002"/>
    <cellStyle name="표준 6 5 29" xfId="3170"/>
    <cellStyle name="표준 6 5 29 2" xfId="3171"/>
    <cellStyle name="표준 6 5 29 2 2" xfId="6337"/>
    <cellStyle name="표준 6 5 29 2 2 2" xfId="12673"/>
    <cellStyle name="표준 6 5 29 2 2 2 2" xfId="25346"/>
    <cellStyle name="표준 6 5 29 2 2 2 2 2" xfId="50698"/>
    <cellStyle name="표준 6 5 29 2 2 2 3" xfId="38026"/>
    <cellStyle name="표준 6 5 29 2 2 3" xfId="19010"/>
    <cellStyle name="표준 6 5 29 2 2 3 2" xfId="44362"/>
    <cellStyle name="표준 6 5 29 2 2 4" xfId="31690"/>
    <cellStyle name="표준 6 5 29 2 2 5" xfId="57003"/>
    <cellStyle name="표준 6 5 29 2 3" xfId="9508"/>
    <cellStyle name="표준 6 5 29 2 3 2" xfId="22181"/>
    <cellStyle name="표준 6 5 29 2 3 2 2" xfId="47533"/>
    <cellStyle name="표준 6 5 29 2 3 3" xfId="34861"/>
    <cellStyle name="표준 6 5 29 2 4" xfId="15845"/>
    <cellStyle name="표준 6 5 29 2 4 2" xfId="41197"/>
    <cellStyle name="표준 6 5 29 2 5" xfId="28525"/>
    <cellStyle name="표준 6 5 29 2 6" xfId="57004"/>
    <cellStyle name="표준 6 5 29 3" xfId="6338"/>
    <cellStyle name="표준 6 5 29 3 2" xfId="12674"/>
    <cellStyle name="표준 6 5 29 3 2 2" xfId="25347"/>
    <cellStyle name="표준 6 5 29 3 2 2 2" xfId="50699"/>
    <cellStyle name="표준 6 5 29 3 2 3" xfId="38027"/>
    <cellStyle name="표준 6 5 29 3 3" xfId="19011"/>
    <cellStyle name="표준 6 5 29 3 3 2" xfId="44363"/>
    <cellStyle name="표준 6 5 29 3 4" xfId="31691"/>
    <cellStyle name="표준 6 5 29 3 5" xfId="57005"/>
    <cellStyle name="표준 6 5 29 4" xfId="9507"/>
    <cellStyle name="표준 6 5 29 4 2" xfId="22180"/>
    <cellStyle name="표준 6 5 29 4 2 2" xfId="47532"/>
    <cellStyle name="표준 6 5 29 4 3" xfId="34860"/>
    <cellStyle name="표준 6 5 29 5" xfId="15844"/>
    <cellStyle name="표준 6 5 29 5 2" xfId="41196"/>
    <cellStyle name="표준 6 5 29 6" xfId="28524"/>
    <cellStyle name="표준 6 5 29 7" xfId="57006"/>
    <cellStyle name="표준 6 5 3" xfId="3172"/>
    <cellStyle name="표준 6 5 3 2" xfId="3173"/>
    <cellStyle name="표준 6 5 3 2 2" xfId="6339"/>
    <cellStyle name="표준 6 5 3 2 2 2" xfId="12675"/>
    <cellStyle name="표준 6 5 3 2 2 2 2" xfId="25348"/>
    <cellStyle name="표준 6 5 3 2 2 2 2 2" xfId="50700"/>
    <cellStyle name="표준 6 5 3 2 2 2 3" xfId="38028"/>
    <cellStyle name="표준 6 5 3 2 2 3" xfId="19012"/>
    <cellStyle name="표준 6 5 3 2 2 3 2" xfId="44364"/>
    <cellStyle name="표준 6 5 3 2 2 4" xfId="31692"/>
    <cellStyle name="표준 6 5 3 2 2 5" xfId="57007"/>
    <cellStyle name="표준 6 5 3 2 3" xfId="9510"/>
    <cellStyle name="표준 6 5 3 2 3 2" xfId="22183"/>
    <cellStyle name="표준 6 5 3 2 3 2 2" xfId="47535"/>
    <cellStyle name="표준 6 5 3 2 3 3" xfId="34863"/>
    <cellStyle name="표준 6 5 3 2 4" xfId="15847"/>
    <cellStyle name="표준 6 5 3 2 4 2" xfId="41199"/>
    <cellStyle name="표준 6 5 3 2 5" xfId="28527"/>
    <cellStyle name="표준 6 5 3 2 6" xfId="57008"/>
    <cellStyle name="표준 6 5 3 3" xfId="6340"/>
    <cellStyle name="표준 6 5 3 3 2" xfId="12676"/>
    <cellStyle name="표준 6 5 3 3 2 2" xfId="25349"/>
    <cellStyle name="표준 6 5 3 3 2 2 2" xfId="50701"/>
    <cellStyle name="표준 6 5 3 3 2 3" xfId="38029"/>
    <cellStyle name="표준 6 5 3 3 3" xfId="19013"/>
    <cellStyle name="표준 6 5 3 3 3 2" xfId="44365"/>
    <cellStyle name="표준 6 5 3 3 4" xfId="31693"/>
    <cellStyle name="표준 6 5 3 3 5" xfId="57009"/>
    <cellStyle name="표준 6 5 3 4" xfId="9509"/>
    <cellStyle name="표준 6 5 3 4 2" xfId="22182"/>
    <cellStyle name="표준 6 5 3 4 2 2" xfId="47534"/>
    <cellStyle name="표준 6 5 3 4 3" xfId="34862"/>
    <cellStyle name="표준 6 5 3 5" xfId="15846"/>
    <cellStyle name="표준 6 5 3 5 2" xfId="41198"/>
    <cellStyle name="표준 6 5 3 6" xfId="28526"/>
    <cellStyle name="표준 6 5 3 7" xfId="57010"/>
    <cellStyle name="표준 6 5 30" xfId="3174"/>
    <cellStyle name="표준 6 5 30 2" xfId="3175"/>
    <cellStyle name="표준 6 5 30 2 2" xfId="6341"/>
    <cellStyle name="표준 6 5 30 2 2 2" xfId="12677"/>
    <cellStyle name="표준 6 5 30 2 2 2 2" xfId="25350"/>
    <cellStyle name="표준 6 5 30 2 2 2 2 2" xfId="50702"/>
    <cellStyle name="표준 6 5 30 2 2 2 3" xfId="38030"/>
    <cellStyle name="표준 6 5 30 2 2 3" xfId="19014"/>
    <cellStyle name="표준 6 5 30 2 2 3 2" xfId="44366"/>
    <cellStyle name="표준 6 5 30 2 2 4" xfId="31694"/>
    <cellStyle name="표준 6 5 30 2 2 5" xfId="57011"/>
    <cellStyle name="표준 6 5 30 2 3" xfId="9512"/>
    <cellStyle name="표준 6 5 30 2 3 2" xfId="22185"/>
    <cellStyle name="표준 6 5 30 2 3 2 2" xfId="47537"/>
    <cellStyle name="표준 6 5 30 2 3 3" xfId="34865"/>
    <cellStyle name="표준 6 5 30 2 4" xfId="15849"/>
    <cellStyle name="표준 6 5 30 2 4 2" xfId="41201"/>
    <cellStyle name="표준 6 5 30 2 5" xfId="28529"/>
    <cellStyle name="표준 6 5 30 2 6" xfId="57012"/>
    <cellStyle name="표준 6 5 30 3" xfId="6342"/>
    <cellStyle name="표준 6 5 30 3 2" xfId="12678"/>
    <cellStyle name="표준 6 5 30 3 2 2" xfId="25351"/>
    <cellStyle name="표준 6 5 30 3 2 2 2" xfId="50703"/>
    <cellStyle name="표준 6 5 30 3 2 3" xfId="38031"/>
    <cellStyle name="표준 6 5 30 3 3" xfId="19015"/>
    <cellStyle name="표준 6 5 30 3 3 2" xfId="44367"/>
    <cellStyle name="표준 6 5 30 3 4" xfId="31695"/>
    <cellStyle name="표준 6 5 30 3 5" xfId="57013"/>
    <cellStyle name="표준 6 5 30 4" xfId="9511"/>
    <cellStyle name="표준 6 5 30 4 2" xfId="22184"/>
    <cellStyle name="표준 6 5 30 4 2 2" xfId="47536"/>
    <cellStyle name="표준 6 5 30 4 3" xfId="34864"/>
    <cellStyle name="표준 6 5 30 5" xfId="15848"/>
    <cellStyle name="표준 6 5 30 5 2" xfId="41200"/>
    <cellStyle name="표준 6 5 30 6" xfId="28528"/>
    <cellStyle name="표준 6 5 30 7" xfId="57014"/>
    <cellStyle name="표준 6 5 31" xfId="3176"/>
    <cellStyle name="표준 6 5 31 2" xfId="3177"/>
    <cellStyle name="표준 6 5 31 2 2" xfId="6343"/>
    <cellStyle name="표준 6 5 31 2 2 2" xfId="12679"/>
    <cellStyle name="표준 6 5 31 2 2 2 2" xfId="25352"/>
    <cellStyle name="표준 6 5 31 2 2 2 2 2" xfId="50704"/>
    <cellStyle name="표준 6 5 31 2 2 2 3" xfId="38032"/>
    <cellStyle name="표준 6 5 31 2 2 3" xfId="19016"/>
    <cellStyle name="표준 6 5 31 2 2 3 2" xfId="44368"/>
    <cellStyle name="표준 6 5 31 2 2 4" xfId="31696"/>
    <cellStyle name="표준 6 5 31 2 2 5" xfId="57015"/>
    <cellStyle name="표준 6 5 31 2 3" xfId="9514"/>
    <cellStyle name="표준 6 5 31 2 3 2" xfId="22187"/>
    <cellStyle name="표준 6 5 31 2 3 2 2" xfId="47539"/>
    <cellStyle name="표준 6 5 31 2 3 3" xfId="34867"/>
    <cellStyle name="표준 6 5 31 2 4" xfId="15851"/>
    <cellStyle name="표준 6 5 31 2 4 2" xfId="41203"/>
    <cellStyle name="표준 6 5 31 2 5" xfId="28531"/>
    <cellStyle name="표준 6 5 31 2 6" xfId="57016"/>
    <cellStyle name="표준 6 5 31 3" xfId="6344"/>
    <cellStyle name="표준 6 5 31 3 2" xfId="12680"/>
    <cellStyle name="표준 6 5 31 3 2 2" xfId="25353"/>
    <cellStyle name="표준 6 5 31 3 2 2 2" xfId="50705"/>
    <cellStyle name="표준 6 5 31 3 2 3" xfId="38033"/>
    <cellStyle name="표준 6 5 31 3 3" xfId="19017"/>
    <cellStyle name="표준 6 5 31 3 3 2" xfId="44369"/>
    <cellStyle name="표준 6 5 31 3 4" xfId="31697"/>
    <cellStyle name="표준 6 5 31 3 5" xfId="57017"/>
    <cellStyle name="표준 6 5 31 4" xfId="9513"/>
    <cellStyle name="표준 6 5 31 4 2" xfId="22186"/>
    <cellStyle name="표준 6 5 31 4 2 2" xfId="47538"/>
    <cellStyle name="표준 6 5 31 4 3" xfId="34866"/>
    <cellStyle name="표준 6 5 31 5" xfId="15850"/>
    <cellStyle name="표준 6 5 31 5 2" xfId="41202"/>
    <cellStyle name="표준 6 5 31 6" xfId="28530"/>
    <cellStyle name="표준 6 5 31 7" xfId="57018"/>
    <cellStyle name="표준 6 5 32" xfId="3178"/>
    <cellStyle name="표준 6 5 32 2" xfId="3179"/>
    <cellStyle name="표준 6 5 32 2 2" xfId="6345"/>
    <cellStyle name="표준 6 5 32 2 2 2" xfId="12681"/>
    <cellStyle name="표준 6 5 32 2 2 2 2" xfId="25354"/>
    <cellStyle name="표준 6 5 32 2 2 2 2 2" xfId="50706"/>
    <cellStyle name="표준 6 5 32 2 2 2 3" xfId="38034"/>
    <cellStyle name="표준 6 5 32 2 2 3" xfId="19018"/>
    <cellStyle name="표준 6 5 32 2 2 3 2" xfId="44370"/>
    <cellStyle name="표준 6 5 32 2 2 4" xfId="31698"/>
    <cellStyle name="표준 6 5 32 2 2 5" xfId="57019"/>
    <cellStyle name="표준 6 5 32 2 3" xfId="9516"/>
    <cellStyle name="표준 6 5 32 2 3 2" xfId="22189"/>
    <cellStyle name="표준 6 5 32 2 3 2 2" xfId="47541"/>
    <cellStyle name="표준 6 5 32 2 3 3" xfId="34869"/>
    <cellStyle name="표준 6 5 32 2 4" xfId="15853"/>
    <cellStyle name="표준 6 5 32 2 4 2" xfId="41205"/>
    <cellStyle name="표준 6 5 32 2 5" xfId="28533"/>
    <cellStyle name="표준 6 5 32 2 6" xfId="57020"/>
    <cellStyle name="표준 6 5 32 3" xfId="6346"/>
    <cellStyle name="표준 6 5 32 3 2" xfId="12682"/>
    <cellStyle name="표준 6 5 32 3 2 2" xfId="25355"/>
    <cellStyle name="표준 6 5 32 3 2 2 2" xfId="50707"/>
    <cellStyle name="표준 6 5 32 3 2 3" xfId="38035"/>
    <cellStyle name="표준 6 5 32 3 3" xfId="19019"/>
    <cellStyle name="표준 6 5 32 3 3 2" xfId="44371"/>
    <cellStyle name="표준 6 5 32 3 4" xfId="31699"/>
    <cellStyle name="표준 6 5 32 3 5" xfId="57021"/>
    <cellStyle name="표준 6 5 32 4" xfId="9515"/>
    <cellStyle name="표준 6 5 32 4 2" xfId="22188"/>
    <cellStyle name="표준 6 5 32 4 2 2" xfId="47540"/>
    <cellStyle name="표준 6 5 32 4 3" xfId="34868"/>
    <cellStyle name="표준 6 5 32 5" xfId="15852"/>
    <cellStyle name="표준 6 5 32 5 2" xfId="41204"/>
    <cellStyle name="표준 6 5 32 6" xfId="28532"/>
    <cellStyle name="표준 6 5 32 7" xfId="57022"/>
    <cellStyle name="표준 6 5 33" xfId="3180"/>
    <cellStyle name="표준 6 5 33 2" xfId="3181"/>
    <cellStyle name="표준 6 5 33 2 2" xfId="6347"/>
    <cellStyle name="표준 6 5 33 2 2 2" xfId="12683"/>
    <cellStyle name="표준 6 5 33 2 2 2 2" xfId="25356"/>
    <cellStyle name="표준 6 5 33 2 2 2 2 2" xfId="50708"/>
    <cellStyle name="표준 6 5 33 2 2 2 3" xfId="38036"/>
    <cellStyle name="표준 6 5 33 2 2 3" xfId="19020"/>
    <cellStyle name="표준 6 5 33 2 2 3 2" xfId="44372"/>
    <cellStyle name="표준 6 5 33 2 2 4" xfId="31700"/>
    <cellStyle name="표준 6 5 33 2 2 5" xfId="57023"/>
    <cellStyle name="표준 6 5 33 2 3" xfId="9518"/>
    <cellStyle name="표준 6 5 33 2 3 2" xfId="22191"/>
    <cellStyle name="표준 6 5 33 2 3 2 2" xfId="47543"/>
    <cellStyle name="표준 6 5 33 2 3 3" xfId="34871"/>
    <cellStyle name="표준 6 5 33 2 4" xfId="15855"/>
    <cellStyle name="표준 6 5 33 2 4 2" xfId="41207"/>
    <cellStyle name="표준 6 5 33 2 5" xfId="28535"/>
    <cellStyle name="표준 6 5 33 2 6" xfId="57024"/>
    <cellStyle name="표준 6 5 33 3" xfId="6348"/>
    <cellStyle name="표준 6 5 33 3 2" xfId="12684"/>
    <cellStyle name="표준 6 5 33 3 2 2" xfId="25357"/>
    <cellStyle name="표준 6 5 33 3 2 2 2" xfId="50709"/>
    <cellStyle name="표준 6 5 33 3 2 3" xfId="38037"/>
    <cellStyle name="표준 6 5 33 3 3" xfId="19021"/>
    <cellStyle name="표준 6 5 33 3 3 2" xfId="44373"/>
    <cellStyle name="표준 6 5 33 3 4" xfId="31701"/>
    <cellStyle name="표준 6 5 33 3 5" xfId="57025"/>
    <cellStyle name="표준 6 5 33 4" xfId="9517"/>
    <cellStyle name="표준 6 5 33 4 2" xfId="22190"/>
    <cellStyle name="표준 6 5 33 4 2 2" xfId="47542"/>
    <cellStyle name="표준 6 5 33 4 3" xfId="34870"/>
    <cellStyle name="표준 6 5 33 5" xfId="15854"/>
    <cellStyle name="표준 6 5 33 5 2" xfId="41206"/>
    <cellStyle name="표준 6 5 33 6" xfId="28534"/>
    <cellStyle name="표준 6 5 33 7" xfId="57026"/>
    <cellStyle name="표준 6 5 34" xfId="3182"/>
    <cellStyle name="표준 6 5 34 2" xfId="6349"/>
    <cellStyle name="표준 6 5 34 2 2" xfId="12685"/>
    <cellStyle name="표준 6 5 34 2 2 2" xfId="25358"/>
    <cellStyle name="표준 6 5 34 2 2 2 2" xfId="50710"/>
    <cellStyle name="표준 6 5 34 2 2 3" xfId="38038"/>
    <cellStyle name="표준 6 5 34 2 3" xfId="19022"/>
    <cellStyle name="표준 6 5 34 2 3 2" xfId="44374"/>
    <cellStyle name="표준 6 5 34 2 4" xfId="31702"/>
    <cellStyle name="표준 6 5 34 2 5" xfId="57027"/>
    <cellStyle name="표준 6 5 34 3" xfId="9519"/>
    <cellStyle name="표준 6 5 34 3 2" xfId="22192"/>
    <cellStyle name="표준 6 5 34 3 2 2" xfId="47544"/>
    <cellStyle name="표준 6 5 34 3 3" xfId="34872"/>
    <cellStyle name="표준 6 5 34 4" xfId="15856"/>
    <cellStyle name="표준 6 5 34 4 2" xfId="41208"/>
    <cellStyle name="표준 6 5 34 5" xfId="28536"/>
    <cellStyle name="표준 6 5 34 6" xfId="57028"/>
    <cellStyle name="표준 6 5 35" xfId="6350"/>
    <cellStyle name="표준 6 5 35 2" xfId="12686"/>
    <cellStyle name="표준 6 5 35 2 2" xfId="25359"/>
    <cellStyle name="표준 6 5 35 2 2 2" xfId="50711"/>
    <cellStyle name="표준 6 5 35 2 3" xfId="38039"/>
    <cellStyle name="표준 6 5 35 3" xfId="19023"/>
    <cellStyle name="표준 6 5 35 3 2" xfId="44375"/>
    <cellStyle name="표준 6 5 35 4" xfId="31703"/>
    <cellStyle name="표준 6 5 35 5" xfId="57029"/>
    <cellStyle name="표준 6 5 36" xfId="6441"/>
    <cellStyle name="표준 6 5 36 2" xfId="19114"/>
    <cellStyle name="표준 6 5 36 2 2" xfId="44466"/>
    <cellStyle name="표준 6 5 36 3" xfId="31794"/>
    <cellStyle name="표준 6 5 37" xfId="12778"/>
    <cellStyle name="표준 6 5 37 2" xfId="38130"/>
    <cellStyle name="표준 6 5 38" xfId="25458"/>
    <cellStyle name="표준 6 5 39" xfId="57030"/>
    <cellStyle name="표준 6 5 4" xfId="3183"/>
    <cellStyle name="표준 6 5 4 2" xfId="3184"/>
    <cellStyle name="표준 6 5 4 2 2" xfId="6351"/>
    <cellStyle name="표준 6 5 4 2 2 2" xfId="12687"/>
    <cellStyle name="표준 6 5 4 2 2 2 2" xfId="25360"/>
    <cellStyle name="표준 6 5 4 2 2 2 2 2" xfId="50712"/>
    <cellStyle name="표준 6 5 4 2 2 2 3" xfId="38040"/>
    <cellStyle name="표준 6 5 4 2 2 3" xfId="19024"/>
    <cellStyle name="표준 6 5 4 2 2 3 2" xfId="44376"/>
    <cellStyle name="표준 6 5 4 2 2 4" xfId="31704"/>
    <cellStyle name="표준 6 5 4 2 2 5" xfId="57031"/>
    <cellStyle name="표준 6 5 4 2 3" xfId="9521"/>
    <cellStyle name="표준 6 5 4 2 3 2" xfId="22194"/>
    <cellStyle name="표준 6 5 4 2 3 2 2" xfId="47546"/>
    <cellStyle name="표준 6 5 4 2 3 3" xfId="34874"/>
    <cellStyle name="표준 6 5 4 2 4" xfId="15858"/>
    <cellStyle name="표준 6 5 4 2 4 2" xfId="41210"/>
    <cellStyle name="표준 6 5 4 2 5" xfId="28538"/>
    <cellStyle name="표준 6 5 4 2 6" xfId="57032"/>
    <cellStyle name="표준 6 5 4 3" xfId="6352"/>
    <cellStyle name="표준 6 5 4 3 2" xfId="12688"/>
    <cellStyle name="표준 6 5 4 3 2 2" xfId="25361"/>
    <cellStyle name="표준 6 5 4 3 2 2 2" xfId="50713"/>
    <cellStyle name="표준 6 5 4 3 2 3" xfId="38041"/>
    <cellStyle name="표준 6 5 4 3 3" xfId="19025"/>
    <cellStyle name="표준 6 5 4 3 3 2" xfId="44377"/>
    <cellStyle name="표준 6 5 4 3 4" xfId="31705"/>
    <cellStyle name="표준 6 5 4 3 5" xfId="57033"/>
    <cellStyle name="표준 6 5 4 4" xfId="9520"/>
    <cellStyle name="표준 6 5 4 4 2" xfId="22193"/>
    <cellStyle name="표준 6 5 4 4 2 2" xfId="47545"/>
    <cellStyle name="표준 6 5 4 4 3" xfId="34873"/>
    <cellStyle name="표준 6 5 4 5" xfId="15857"/>
    <cellStyle name="표준 6 5 4 5 2" xfId="41209"/>
    <cellStyle name="표준 6 5 4 6" xfId="28537"/>
    <cellStyle name="표준 6 5 4 7" xfId="57034"/>
    <cellStyle name="표준 6 5 5" xfId="3185"/>
    <cellStyle name="표준 6 5 5 2" xfId="3186"/>
    <cellStyle name="표준 6 5 5 2 2" xfId="6353"/>
    <cellStyle name="표준 6 5 5 2 2 2" xfId="12689"/>
    <cellStyle name="표준 6 5 5 2 2 2 2" xfId="25362"/>
    <cellStyle name="표준 6 5 5 2 2 2 2 2" xfId="50714"/>
    <cellStyle name="표준 6 5 5 2 2 2 3" xfId="38042"/>
    <cellStyle name="표준 6 5 5 2 2 3" xfId="19026"/>
    <cellStyle name="표준 6 5 5 2 2 3 2" xfId="44378"/>
    <cellStyle name="표준 6 5 5 2 2 4" xfId="31706"/>
    <cellStyle name="표준 6 5 5 2 2 5" xfId="57035"/>
    <cellStyle name="표준 6 5 5 2 3" xfId="9523"/>
    <cellStyle name="표준 6 5 5 2 3 2" xfId="22196"/>
    <cellStyle name="표준 6 5 5 2 3 2 2" xfId="47548"/>
    <cellStyle name="표준 6 5 5 2 3 3" xfId="34876"/>
    <cellStyle name="표준 6 5 5 2 4" xfId="15860"/>
    <cellStyle name="표준 6 5 5 2 4 2" xfId="41212"/>
    <cellStyle name="표준 6 5 5 2 5" xfId="28540"/>
    <cellStyle name="표준 6 5 5 2 6" xfId="57036"/>
    <cellStyle name="표준 6 5 5 3" xfId="6354"/>
    <cellStyle name="표준 6 5 5 3 2" xfId="12690"/>
    <cellStyle name="표준 6 5 5 3 2 2" xfId="25363"/>
    <cellStyle name="표준 6 5 5 3 2 2 2" xfId="50715"/>
    <cellStyle name="표준 6 5 5 3 2 3" xfId="38043"/>
    <cellStyle name="표준 6 5 5 3 3" xfId="19027"/>
    <cellStyle name="표준 6 5 5 3 3 2" xfId="44379"/>
    <cellStyle name="표준 6 5 5 3 4" xfId="31707"/>
    <cellStyle name="표준 6 5 5 3 5" xfId="57037"/>
    <cellStyle name="표준 6 5 5 4" xfId="9522"/>
    <cellStyle name="표준 6 5 5 4 2" xfId="22195"/>
    <cellStyle name="표준 6 5 5 4 2 2" xfId="47547"/>
    <cellStyle name="표준 6 5 5 4 3" xfId="34875"/>
    <cellStyle name="표준 6 5 5 5" xfId="15859"/>
    <cellStyle name="표준 6 5 5 5 2" xfId="41211"/>
    <cellStyle name="표준 6 5 5 6" xfId="28539"/>
    <cellStyle name="표준 6 5 5 7" xfId="57038"/>
    <cellStyle name="표준 6 5 6" xfId="3187"/>
    <cellStyle name="표준 6 5 6 2" xfId="3188"/>
    <cellStyle name="표준 6 5 6 2 2" xfId="6355"/>
    <cellStyle name="표준 6 5 6 2 2 2" xfId="12691"/>
    <cellStyle name="표준 6 5 6 2 2 2 2" xfId="25364"/>
    <cellStyle name="표준 6 5 6 2 2 2 2 2" xfId="50716"/>
    <cellStyle name="표준 6 5 6 2 2 2 3" xfId="38044"/>
    <cellStyle name="표준 6 5 6 2 2 3" xfId="19028"/>
    <cellStyle name="표준 6 5 6 2 2 3 2" xfId="44380"/>
    <cellStyle name="표준 6 5 6 2 2 4" xfId="31708"/>
    <cellStyle name="표준 6 5 6 2 2 5" xfId="57039"/>
    <cellStyle name="표준 6 5 6 2 3" xfId="9525"/>
    <cellStyle name="표준 6 5 6 2 3 2" xfId="22198"/>
    <cellStyle name="표준 6 5 6 2 3 2 2" xfId="47550"/>
    <cellStyle name="표준 6 5 6 2 3 3" xfId="34878"/>
    <cellStyle name="표준 6 5 6 2 4" xfId="15862"/>
    <cellStyle name="표준 6 5 6 2 4 2" xfId="41214"/>
    <cellStyle name="표준 6 5 6 2 5" xfId="28542"/>
    <cellStyle name="표준 6 5 6 2 6" xfId="57040"/>
    <cellStyle name="표준 6 5 6 3" xfId="6356"/>
    <cellStyle name="표준 6 5 6 3 2" xfId="12692"/>
    <cellStyle name="표준 6 5 6 3 2 2" xfId="25365"/>
    <cellStyle name="표준 6 5 6 3 2 2 2" xfId="50717"/>
    <cellStyle name="표준 6 5 6 3 2 3" xfId="38045"/>
    <cellStyle name="표준 6 5 6 3 3" xfId="19029"/>
    <cellStyle name="표준 6 5 6 3 3 2" xfId="44381"/>
    <cellStyle name="표준 6 5 6 3 4" xfId="31709"/>
    <cellStyle name="표준 6 5 6 3 5" xfId="57041"/>
    <cellStyle name="표준 6 5 6 4" xfId="9524"/>
    <cellStyle name="표준 6 5 6 4 2" xfId="22197"/>
    <cellStyle name="표준 6 5 6 4 2 2" xfId="47549"/>
    <cellStyle name="표준 6 5 6 4 3" xfId="34877"/>
    <cellStyle name="표준 6 5 6 5" xfId="15861"/>
    <cellStyle name="표준 6 5 6 5 2" xfId="41213"/>
    <cellStyle name="표준 6 5 6 6" xfId="28541"/>
    <cellStyle name="표준 6 5 6 7" xfId="57042"/>
    <cellStyle name="표준 6 5 7" xfId="3189"/>
    <cellStyle name="표준 6 5 7 2" xfId="3190"/>
    <cellStyle name="표준 6 5 7 2 2" xfId="6357"/>
    <cellStyle name="표준 6 5 7 2 2 2" xfId="12693"/>
    <cellStyle name="표준 6 5 7 2 2 2 2" xfId="25366"/>
    <cellStyle name="표준 6 5 7 2 2 2 2 2" xfId="50718"/>
    <cellStyle name="표준 6 5 7 2 2 2 3" xfId="38046"/>
    <cellStyle name="표준 6 5 7 2 2 3" xfId="19030"/>
    <cellStyle name="표준 6 5 7 2 2 3 2" xfId="44382"/>
    <cellStyle name="표준 6 5 7 2 2 4" xfId="31710"/>
    <cellStyle name="표준 6 5 7 2 2 5" xfId="57043"/>
    <cellStyle name="표준 6 5 7 2 3" xfId="9527"/>
    <cellStyle name="표준 6 5 7 2 3 2" xfId="22200"/>
    <cellStyle name="표준 6 5 7 2 3 2 2" xfId="47552"/>
    <cellStyle name="표준 6 5 7 2 3 3" xfId="34880"/>
    <cellStyle name="표준 6 5 7 2 4" xfId="15864"/>
    <cellStyle name="표준 6 5 7 2 4 2" xfId="41216"/>
    <cellStyle name="표준 6 5 7 2 5" xfId="28544"/>
    <cellStyle name="표준 6 5 7 2 6" xfId="57044"/>
    <cellStyle name="표준 6 5 7 3" xfId="6358"/>
    <cellStyle name="표준 6 5 7 3 2" xfId="12694"/>
    <cellStyle name="표준 6 5 7 3 2 2" xfId="25367"/>
    <cellStyle name="표준 6 5 7 3 2 2 2" xfId="50719"/>
    <cellStyle name="표준 6 5 7 3 2 3" xfId="38047"/>
    <cellStyle name="표준 6 5 7 3 3" xfId="19031"/>
    <cellStyle name="표준 6 5 7 3 3 2" xfId="44383"/>
    <cellStyle name="표준 6 5 7 3 4" xfId="31711"/>
    <cellStyle name="표준 6 5 7 3 5" xfId="57045"/>
    <cellStyle name="표준 6 5 7 4" xfId="9526"/>
    <cellStyle name="표준 6 5 7 4 2" xfId="22199"/>
    <cellStyle name="표준 6 5 7 4 2 2" xfId="47551"/>
    <cellStyle name="표준 6 5 7 4 3" xfId="34879"/>
    <cellStyle name="표준 6 5 7 5" xfId="15863"/>
    <cellStyle name="표준 6 5 7 5 2" xfId="41215"/>
    <cellStyle name="표준 6 5 7 6" xfId="28543"/>
    <cellStyle name="표준 6 5 7 7" xfId="57046"/>
    <cellStyle name="표준 6 5 8" xfId="3191"/>
    <cellStyle name="표준 6 5 8 2" xfId="3192"/>
    <cellStyle name="표준 6 5 8 2 2" xfId="6359"/>
    <cellStyle name="표준 6 5 8 2 2 2" xfId="12695"/>
    <cellStyle name="표준 6 5 8 2 2 2 2" xfId="25368"/>
    <cellStyle name="표준 6 5 8 2 2 2 2 2" xfId="50720"/>
    <cellStyle name="표준 6 5 8 2 2 2 3" xfId="38048"/>
    <cellStyle name="표준 6 5 8 2 2 3" xfId="19032"/>
    <cellStyle name="표준 6 5 8 2 2 3 2" xfId="44384"/>
    <cellStyle name="표준 6 5 8 2 2 4" xfId="31712"/>
    <cellStyle name="표준 6 5 8 2 2 5" xfId="57047"/>
    <cellStyle name="표준 6 5 8 2 3" xfId="9529"/>
    <cellStyle name="표준 6 5 8 2 3 2" xfId="22202"/>
    <cellStyle name="표준 6 5 8 2 3 2 2" xfId="47554"/>
    <cellStyle name="표준 6 5 8 2 3 3" xfId="34882"/>
    <cellStyle name="표준 6 5 8 2 4" xfId="15866"/>
    <cellStyle name="표준 6 5 8 2 4 2" xfId="41218"/>
    <cellStyle name="표준 6 5 8 2 5" xfId="28546"/>
    <cellStyle name="표준 6 5 8 2 6" xfId="57048"/>
    <cellStyle name="표준 6 5 8 3" xfId="6360"/>
    <cellStyle name="표준 6 5 8 3 2" xfId="12696"/>
    <cellStyle name="표준 6 5 8 3 2 2" xfId="25369"/>
    <cellStyle name="표준 6 5 8 3 2 2 2" xfId="50721"/>
    <cellStyle name="표준 6 5 8 3 2 3" xfId="38049"/>
    <cellStyle name="표준 6 5 8 3 3" xfId="19033"/>
    <cellStyle name="표준 6 5 8 3 3 2" xfId="44385"/>
    <cellStyle name="표준 6 5 8 3 4" xfId="31713"/>
    <cellStyle name="표준 6 5 8 3 5" xfId="57049"/>
    <cellStyle name="표준 6 5 8 4" xfId="9528"/>
    <cellStyle name="표준 6 5 8 4 2" xfId="22201"/>
    <cellStyle name="표준 6 5 8 4 2 2" xfId="47553"/>
    <cellStyle name="표준 6 5 8 4 3" xfId="34881"/>
    <cellStyle name="표준 6 5 8 5" xfId="15865"/>
    <cellStyle name="표준 6 5 8 5 2" xfId="41217"/>
    <cellStyle name="표준 6 5 8 6" xfId="28545"/>
    <cellStyle name="표준 6 5 8 7" xfId="57050"/>
    <cellStyle name="표준 6 5 9" xfId="3193"/>
    <cellStyle name="표준 6 5 9 2" xfId="3194"/>
    <cellStyle name="표준 6 5 9 2 2" xfId="6361"/>
    <cellStyle name="표준 6 5 9 2 2 2" xfId="12697"/>
    <cellStyle name="표준 6 5 9 2 2 2 2" xfId="25370"/>
    <cellStyle name="표준 6 5 9 2 2 2 2 2" xfId="50722"/>
    <cellStyle name="표준 6 5 9 2 2 2 3" xfId="38050"/>
    <cellStyle name="표준 6 5 9 2 2 3" xfId="19034"/>
    <cellStyle name="표준 6 5 9 2 2 3 2" xfId="44386"/>
    <cellStyle name="표준 6 5 9 2 2 4" xfId="31714"/>
    <cellStyle name="표준 6 5 9 2 2 5" xfId="57051"/>
    <cellStyle name="표준 6 5 9 2 3" xfId="9531"/>
    <cellStyle name="표준 6 5 9 2 3 2" xfId="22204"/>
    <cellStyle name="표준 6 5 9 2 3 2 2" xfId="47556"/>
    <cellStyle name="표준 6 5 9 2 3 3" xfId="34884"/>
    <cellStyle name="표준 6 5 9 2 4" xfId="15868"/>
    <cellStyle name="표준 6 5 9 2 4 2" xfId="41220"/>
    <cellStyle name="표준 6 5 9 2 5" xfId="28548"/>
    <cellStyle name="표준 6 5 9 2 6" xfId="57052"/>
    <cellStyle name="표준 6 5 9 3" xfId="6362"/>
    <cellStyle name="표준 6 5 9 3 2" xfId="12698"/>
    <cellStyle name="표준 6 5 9 3 2 2" xfId="25371"/>
    <cellStyle name="표준 6 5 9 3 2 2 2" xfId="50723"/>
    <cellStyle name="표준 6 5 9 3 2 3" xfId="38051"/>
    <cellStyle name="표준 6 5 9 3 3" xfId="19035"/>
    <cellStyle name="표준 6 5 9 3 3 2" xfId="44387"/>
    <cellStyle name="표준 6 5 9 3 4" xfId="31715"/>
    <cellStyle name="표준 6 5 9 3 5" xfId="57053"/>
    <cellStyle name="표준 6 5 9 4" xfId="9530"/>
    <cellStyle name="표준 6 5 9 4 2" xfId="22203"/>
    <cellStyle name="표준 6 5 9 4 2 2" xfId="47555"/>
    <cellStyle name="표준 6 5 9 4 3" xfId="34883"/>
    <cellStyle name="표준 6 5 9 5" xfId="15867"/>
    <cellStyle name="표준 6 5 9 5 2" xfId="41219"/>
    <cellStyle name="표준 6 5 9 6" xfId="28547"/>
    <cellStyle name="표준 6 5 9 7" xfId="57054"/>
    <cellStyle name="표준 6 6" xfId="104"/>
    <cellStyle name="표준 6 6 2" xfId="3195"/>
    <cellStyle name="표준 6 6 2 2" xfId="6363"/>
    <cellStyle name="표준 6 6 2 2 2" xfId="12699"/>
    <cellStyle name="표준 6 6 2 2 2 2" xfId="25372"/>
    <cellStyle name="표준 6 6 2 2 2 2 2" xfId="50724"/>
    <cellStyle name="표준 6 6 2 2 2 3" xfId="38052"/>
    <cellStyle name="표준 6 6 2 2 3" xfId="19036"/>
    <cellStyle name="표준 6 6 2 2 3 2" xfId="44388"/>
    <cellStyle name="표준 6 6 2 2 4" xfId="31716"/>
    <cellStyle name="표준 6 6 2 2 5" xfId="57055"/>
    <cellStyle name="표준 6 6 2 3" xfId="9532"/>
    <cellStyle name="표준 6 6 2 3 2" xfId="22205"/>
    <cellStyle name="표준 6 6 2 3 2 2" xfId="47557"/>
    <cellStyle name="표준 6 6 2 3 3" xfId="34885"/>
    <cellStyle name="표준 6 6 2 4" xfId="15869"/>
    <cellStyle name="표준 6 6 2 4 2" xfId="41221"/>
    <cellStyle name="표준 6 6 2 5" xfId="28549"/>
    <cellStyle name="표준 6 6 2 6" xfId="57056"/>
    <cellStyle name="표준 6 6 3" xfId="6364"/>
    <cellStyle name="표준 6 6 3 2" xfId="12700"/>
    <cellStyle name="표준 6 6 3 2 2" xfId="25373"/>
    <cellStyle name="표준 6 6 3 2 2 2" xfId="50725"/>
    <cellStyle name="표준 6 6 3 2 3" xfId="38053"/>
    <cellStyle name="표준 6 6 3 3" xfId="19037"/>
    <cellStyle name="표준 6 6 3 3 2" xfId="44389"/>
    <cellStyle name="표준 6 6 3 4" xfId="31717"/>
    <cellStyle name="표준 6 6 3 5" xfId="57057"/>
    <cellStyle name="표준 6 6 4" xfId="6442"/>
    <cellStyle name="표준 6 6 4 2" xfId="19115"/>
    <cellStyle name="표준 6 6 4 2 2" xfId="44467"/>
    <cellStyle name="표준 6 6 4 3" xfId="31795"/>
    <cellStyle name="표준 6 6 5" xfId="12779"/>
    <cellStyle name="표준 6 6 5 2" xfId="38131"/>
    <cellStyle name="표준 6 6 6" xfId="25459"/>
    <cellStyle name="표준 6 6 7" xfId="57058"/>
    <cellStyle name="표준 6 7" xfId="3196"/>
    <cellStyle name="표준 6 7 2" xfId="3197"/>
    <cellStyle name="표준 6 7 2 2" xfId="6365"/>
    <cellStyle name="표준 6 7 2 2 2" xfId="12701"/>
    <cellStyle name="표준 6 7 2 2 2 2" xfId="25374"/>
    <cellStyle name="표준 6 7 2 2 2 2 2" xfId="50726"/>
    <cellStyle name="표준 6 7 2 2 2 3" xfId="38054"/>
    <cellStyle name="표준 6 7 2 2 3" xfId="19038"/>
    <cellStyle name="표준 6 7 2 2 3 2" xfId="44390"/>
    <cellStyle name="표준 6 7 2 2 4" xfId="31718"/>
    <cellStyle name="표준 6 7 2 2 5" xfId="57059"/>
    <cellStyle name="표준 6 7 2 3" xfId="9534"/>
    <cellStyle name="표준 6 7 2 3 2" xfId="22207"/>
    <cellStyle name="표준 6 7 2 3 2 2" xfId="47559"/>
    <cellStyle name="표준 6 7 2 3 3" xfId="34887"/>
    <cellStyle name="표준 6 7 2 4" xfId="15871"/>
    <cellStyle name="표준 6 7 2 4 2" xfId="41223"/>
    <cellStyle name="표준 6 7 2 5" xfId="28551"/>
    <cellStyle name="표준 6 7 2 6" xfId="57060"/>
    <cellStyle name="표준 6 7 3" xfId="6366"/>
    <cellStyle name="표준 6 7 3 2" xfId="12702"/>
    <cellStyle name="표준 6 7 3 2 2" xfId="25375"/>
    <cellStyle name="표준 6 7 3 2 2 2" xfId="50727"/>
    <cellStyle name="표준 6 7 3 2 3" xfId="38055"/>
    <cellStyle name="표준 6 7 3 3" xfId="19039"/>
    <cellStyle name="표준 6 7 3 3 2" xfId="44391"/>
    <cellStyle name="표준 6 7 3 4" xfId="31719"/>
    <cellStyle name="표준 6 7 3 5" xfId="57061"/>
    <cellStyle name="표준 6 7 4" xfId="9533"/>
    <cellStyle name="표준 6 7 4 2" xfId="22206"/>
    <cellStyle name="표준 6 7 4 2 2" xfId="47558"/>
    <cellStyle name="표준 6 7 4 3" xfId="34886"/>
    <cellStyle name="표준 6 7 5" xfId="15870"/>
    <cellStyle name="표준 6 7 5 2" xfId="41222"/>
    <cellStyle name="표준 6 7 6" xfId="28550"/>
    <cellStyle name="표준 6 7 7" xfId="57062"/>
    <cellStyle name="표준 6 8" xfId="3198"/>
    <cellStyle name="표준 6 8 2" xfId="3199"/>
    <cellStyle name="표준 6 8 2 2" xfId="6367"/>
    <cellStyle name="표준 6 8 2 2 2" xfId="12703"/>
    <cellStyle name="표준 6 8 2 2 2 2" xfId="25376"/>
    <cellStyle name="표준 6 8 2 2 2 2 2" xfId="50728"/>
    <cellStyle name="표준 6 8 2 2 2 3" xfId="38056"/>
    <cellStyle name="표준 6 8 2 2 3" xfId="19040"/>
    <cellStyle name="표준 6 8 2 2 3 2" xfId="44392"/>
    <cellStyle name="표준 6 8 2 2 4" xfId="31720"/>
    <cellStyle name="표준 6 8 2 2 5" xfId="57063"/>
    <cellStyle name="표준 6 8 2 3" xfId="9536"/>
    <cellStyle name="표준 6 8 2 3 2" xfId="22209"/>
    <cellStyle name="표준 6 8 2 3 2 2" xfId="47561"/>
    <cellStyle name="표준 6 8 2 3 3" xfId="34889"/>
    <cellStyle name="표준 6 8 2 4" xfId="15873"/>
    <cellStyle name="표준 6 8 2 4 2" xfId="41225"/>
    <cellStyle name="표준 6 8 2 5" xfId="28553"/>
    <cellStyle name="표준 6 8 2 6" xfId="57064"/>
    <cellStyle name="표준 6 8 3" xfId="6368"/>
    <cellStyle name="표준 6 8 3 2" xfId="12704"/>
    <cellStyle name="표준 6 8 3 2 2" xfId="25377"/>
    <cellStyle name="표준 6 8 3 2 2 2" xfId="50729"/>
    <cellStyle name="표준 6 8 3 2 3" xfId="38057"/>
    <cellStyle name="표준 6 8 3 3" xfId="19041"/>
    <cellStyle name="표준 6 8 3 3 2" xfId="44393"/>
    <cellStyle name="표준 6 8 3 4" xfId="31721"/>
    <cellStyle name="표준 6 8 3 5" xfId="57065"/>
    <cellStyle name="표준 6 8 4" xfId="9535"/>
    <cellStyle name="표준 6 8 4 2" xfId="22208"/>
    <cellStyle name="표준 6 8 4 2 2" xfId="47560"/>
    <cellStyle name="표준 6 8 4 3" xfId="34888"/>
    <cellStyle name="표준 6 8 5" xfId="15872"/>
    <cellStyle name="표준 6 8 5 2" xfId="41224"/>
    <cellStyle name="표준 6 8 6" xfId="28552"/>
    <cellStyle name="표준 6 8 7" xfId="57066"/>
    <cellStyle name="표준 6 9" xfId="3200"/>
    <cellStyle name="표준 6 9 2" xfId="3201"/>
    <cellStyle name="표준 6 9 2 2" xfId="6369"/>
    <cellStyle name="표준 6 9 2 2 2" xfId="12705"/>
    <cellStyle name="표준 6 9 2 2 2 2" xfId="25378"/>
    <cellStyle name="표준 6 9 2 2 2 2 2" xfId="50730"/>
    <cellStyle name="표준 6 9 2 2 2 3" xfId="38058"/>
    <cellStyle name="표준 6 9 2 2 3" xfId="19042"/>
    <cellStyle name="표준 6 9 2 2 3 2" xfId="44394"/>
    <cellStyle name="표준 6 9 2 2 4" xfId="31722"/>
    <cellStyle name="표준 6 9 2 2 5" xfId="57067"/>
    <cellStyle name="표준 6 9 2 3" xfId="9538"/>
    <cellStyle name="표준 6 9 2 3 2" xfId="22211"/>
    <cellStyle name="표준 6 9 2 3 2 2" xfId="47563"/>
    <cellStyle name="표준 6 9 2 3 3" xfId="34891"/>
    <cellStyle name="표준 6 9 2 4" xfId="15875"/>
    <cellStyle name="표준 6 9 2 4 2" xfId="41227"/>
    <cellStyle name="표준 6 9 2 5" xfId="28555"/>
    <cellStyle name="표준 6 9 2 6" xfId="57068"/>
    <cellStyle name="표준 6 9 3" xfId="6370"/>
    <cellStyle name="표준 6 9 3 2" xfId="12706"/>
    <cellStyle name="표준 6 9 3 2 2" xfId="25379"/>
    <cellStyle name="표준 6 9 3 2 2 2" xfId="50731"/>
    <cellStyle name="표준 6 9 3 2 3" xfId="38059"/>
    <cellStyle name="표준 6 9 3 3" xfId="19043"/>
    <cellStyle name="표준 6 9 3 3 2" xfId="44395"/>
    <cellStyle name="표준 6 9 3 4" xfId="31723"/>
    <cellStyle name="표준 6 9 3 5" xfId="57069"/>
    <cellStyle name="표준 6 9 4" xfId="9537"/>
    <cellStyle name="표준 6 9 4 2" xfId="22210"/>
    <cellStyle name="표준 6 9 4 2 2" xfId="47562"/>
    <cellStyle name="표준 6 9 4 3" xfId="34890"/>
    <cellStyle name="표준 6 9 5" xfId="15874"/>
    <cellStyle name="표준 6 9 5 2" xfId="41226"/>
    <cellStyle name="표준 6 9 6" xfId="28554"/>
    <cellStyle name="표준 6 9 7" xfId="57070"/>
    <cellStyle name="표준 7" xfId="37"/>
    <cellStyle name="표준 8" xfId="3202"/>
    <cellStyle name="표준 9" xfId="50732"/>
    <cellStyle name="표준 9 2" xfId="57085"/>
    <cellStyle name="표준_일반관리비(07예산)" xfId="6"/>
  </cellStyles>
  <dxfs count="0"/>
  <tableStyles count="0" defaultTableStyle="TableStyleMedium9" defaultPivotStyle="PivotStyleLight16"/>
  <colors>
    <mruColors>
      <color rgb="FF0066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8394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8394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2</xdr:row>
      <xdr:rowOff>114300</xdr:rowOff>
    </xdr:from>
    <xdr:to>
      <xdr:col>5</xdr:col>
      <xdr:colOff>0</xdr:colOff>
      <xdr:row>3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839450" y="800100"/>
          <a:ext cx="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17</xdr:row>
      <xdr:rowOff>6350</xdr:rowOff>
    </xdr:from>
    <xdr:to>
      <xdr:col>5</xdr:col>
      <xdr:colOff>0</xdr:colOff>
      <xdr:row>17</xdr:row>
      <xdr:rowOff>6350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10839450" y="62642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7429500" y="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7429500" y="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57</xdr:row>
      <xdr:rowOff>0</xdr:rowOff>
    </xdr:from>
    <xdr:to>
      <xdr:col>20</xdr:col>
      <xdr:colOff>0</xdr:colOff>
      <xdr:row>57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57</xdr:row>
      <xdr:rowOff>0</xdr:rowOff>
    </xdr:from>
    <xdr:to>
      <xdr:col>20</xdr:col>
      <xdr:colOff>0</xdr:colOff>
      <xdr:row>57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52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53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54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55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56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57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58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59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60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61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62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63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65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66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67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68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69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70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71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72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73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74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75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76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77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78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79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80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81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82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83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84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85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86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87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88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89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90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91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57</xdr:row>
      <xdr:rowOff>0</xdr:rowOff>
    </xdr:from>
    <xdr:to>
      <xdr:col>20</xdr:col>
      <xdr:colOff>0</xdr:colOff>
      <xdr:row>57</xdr:row>
      <xdr:rowOff>0</xdr:rowOff>
    </xdr:to>
    <xdr:sp macro="" textlink="">
      <xdr:nvSpPr>
        <xdr:cNvPr id="92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57</xdr:row>
      <xdr:rowOff>0</xdr:rowOff>
    </xdr:from>
    <xdr:to>
      <xdr:col>20</xdr:col>
      <xdr:colOff>0</xdr:colOff>
      <xdr:row>57</xdr:row>
      <xdr:rowOff>0</xdr:rowOff>
    </xdr:to>
    <xdr:sp macro="" textlink="">
      <xdr:nvSpPr>
        <xdr:cNvPr id="93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94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95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96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97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98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99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00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01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02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03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04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05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07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08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09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10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11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12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13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14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15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16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17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18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19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20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21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22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23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24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25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26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27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28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29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30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31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32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33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57</xdr:row>
      <xdr:rowOff>0</xdr:rowOff>
    </xdr:from>
    <xdr:to>
      <xdr:col>20</xdr:col>
      <xdr:colOff>0</xdr:colOff>
      <xdr:row>57</xdr:row>
      <xdr:rowOff>0</xdr:rowOff>
    </xdr:to>
    <xdr:sp macro="" textlink="">
      <xdr:nvSpPr>
        <xdr:cNvPr id="134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57</xdr:row>
      <xdr:rowOff>0</xdr:rowOff>
    </xdr:from>
    <xdr:to>
      <xdr:col>20</xdr:col>
      <xdr:colOff>0</xdr:colOff>
      <xdr:row>57</xdr:row>
      <xdr:rowOff>0</xdr:rowOff>
    </xdr:to>
    <xdr:sp macro="" textlink="">
      <xdr:nvSpPr>
        <xdr:cNvPr id="135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36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37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38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39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40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41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42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43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44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45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46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47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48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49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50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51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52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53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54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55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56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57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58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59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60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61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62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63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64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65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66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67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68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69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70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71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72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73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74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75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57</xdr:row>
      <xdr:rowOff>0</xdr:rowOff>
    </xdr:from>
    <xdr:to>
      <xdr:col>20</xdr:col>
      <xdr:colOff>0</xdr:colOff>
      <xdr:row>57</xdr:row>
      <xdr:rowOff>0</xdr:rowOff>
    </xdr:to>
    <xdr:sp macro="" textlink="">
      <xdr:nvSpPr>
        <xdr:cNvPr id="176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57</xdr:row>
      <xdr:rowOff>0</xdr:rowOff>
    </xdr:from>
    <xdr:to>
      <xdr:col>20</xdr:col>
      <xdr:colOff>0</xdr:colOff>
      <xdr:row>57</xdr:row>
      <xdr:rowOff>0</xdr:rowOff>
    </xdr:to>
    <xdr:sp macro="" textlink="">
      <xdr:nvSpPr>
        <xdr:cNvPr id="177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78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79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80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81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82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83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84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85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86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87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88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89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91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92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93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94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95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96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97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98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199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00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01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02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03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04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05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06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07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08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09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10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11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12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13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14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15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16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57</xdr:row>
      <xdr:rowOff>0</xdr:rowOff>
    </xdr:from>
    <xdr:to>
      <xdr:col>19</xdr:col>
      <xdr:colOff>1476375</xdr:colOff>
      <xdr:row>57</xdr:row>
      <xdr:rowOff>0</xdr:rowOff>
    </xdr:to>
    <xdr:sp macro="" textlink="">
      <xdr:nvSpPr>
        <xdr:cNvPr id="217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7496175" y="0"/>
          <a:ext cx="13535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7496175" y="0"/>
          <a:ext cx="13535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6"/>
  <sheetViews>
    <sheetView view="pageBreakPreview" zoomScaleNormal="100" zoomScaleSheetLayoutView="100" workbookViewId="0">
      <selection activeCell="E13" sqref="E13"/>
    </sheetView>
  </sheetViews>
  <sheetFormatPr defaultRowHeight="31.5"/>
  <cols>
    <col min="1" max="1" width="3.6640625" style="644" customWidth="1"/>
    <col min="2" max="2" width="20.77734375" style="638" customWidth="1"/>
    <col min="3" max="3" width="25.77734375" style="638" customWidth="1"/>
    <col min="4" max="4" width="25.77734375" style="644" customWidth="1"/>
    <col min="5" max="5" width="24.88671875" style="644" customWidth="1"/>
    <col min="6" max="6" width="4.6640625" style="644" customWidth="1"/>
    <col min="7" max="7" width="28.44140625" style="971" bestFit="1" customWidth="1"/>
    <col min="8" max="8" width="24" style="644" bestFit="1" customWidth="1"/>
    <col min="9" max="9" width="17.44140625" style="638" bestFit="1" customWidth="1"/>
    <col min="10" max="16384" width="8.88671875" style="638"/>
  </cols>
  <sheetData>
    <row r="1" spans="1:9">
      <c r="A1" s="3168" t="s">
        <v>148</v>
      </c>
      <c r="B1" s="3168"/>
      <c r="C1" s="3168"/>
      <c r="D1" s="3168"/>
      <c r="E1" s="3168"/>
      <c r="F1" s="3168"/>
      <c r="G1" s="950"/>
      <c r="H1" s="638"/>
    </row>
    <row r="2" spans="1:9">
      <c r="A2" s="638"/>
      <c r="D2" s="638"/>
      <c r="E2" s="1063" t="s">
        <v>551</v>
      </c>
      <c r="F2" s="638"/>
      <c r="G2" s="950"/>
      <c r="H2" s="638"/>
    </row>
    <row r="3" spans="1:9">
      <c r="A3" s="3169" t="s">
        <v>5046</v>
      </c>
      <c r="B3" s="3169"/>
      <c r="C3" s="3169"/>
      <c r="D3" s="3169"/>
      <c r="E3" s="3169"/>
      <c r="F3" s="3169"/>
      <c r="G3" s="950"/>
      <c r="H3" s="638"/>
    </row>
    <row r="4" spans="1:9">
      <c r="A4" s="638"/>
      <c r="D4" s="638"/>
      <c r="E4" s="638"/>
      <c r="F4" s="638"/>
      <c r="G4" s="950"/>
      <c r="H4" s="638"/>
    </row>
    <row r="5" spans="1:9" ht="32.25" thickBot="1">
      <c r="A5" s="638"/>
      <c r="D5" s="638"/>
      <c r="E5" s="973" t="s">
        <v>457</v>
      </c>
      <c r="F5" s="638"/>
      <c r="G5" s="972"/>
      <c r="H5" s="638"/>
    </row>
    <row r="6" spans="1:9" ht="50.1" customHeight="1">
      <c r="A6" s="638"/>
      <c r="B6" s="130" t="s">
        <v>150</v>
      </c>
      <c r="C6" s="131" t="s">
        <v>151</v>
      </c>
      <c r="D6" s="2195" t="s">
        <v>424</v>
      </c>
      <c r="E6" s="132" t="s">
        <v>152</v>
      </c>
      <c r="F6" s="638"/>
      <c r="G6" s="972"/>
      <c r="H6" s="638"/>
    </row>
    <row r="7" spans="1:9" ht="50.1" customHeight="1">
      <c r="A7" s="638"/>
      <c r="B7" s="133" t="s">
        <v>153</v>
      </c>
      <c r="C7" s="134">
        <f>+'수입예산 총괄'!C4</f>
        <v>97087246.136999995</v>
      </c>
      <c r="D7" s="2196">
        <f>+'수입예산 총괄'!D4</f>
        <v>94338195.701999992</v>
      </c>
      <c r="E7" s="135">
        <f>C7-D7</f>
        <v>2749050.4350000024</v>
      </c>
      <c r="F7" s="638"/>
      <c r="G7" s="972">
        <f t="shared" ref="G7:I8" si="0">C7*1000000</f>
        <v>97087246137000</v>
      </c>
      <c r="H7" s="972">
        <f t="shared" si="0"/>
        <v>94338195701999.984</v>
      </c>
      <c r="I7" s="972">
        <f t="shared" si="0"/>
        <v>2749050435000.0024</v>
      </c>
    </row>
    <row r="8" spans="1:9" ht="50.1" customHeight="1" thickBot="1">
      <c r="A8" s="638"/>
      <c r="B8" s="136" t="s">
        <v>154</v>
      </c>
      <c r="C8" s="137">
        <f>+'지출예산 총괄'!C4</f>
        <v>97087246.137000009</v>
      </c>
      <c r="D8" s="2197">
        <f>+'지출예산 총괄'!D4</f>
        <v>94338195.701999992</v>
      </c>
      <c r="E8" s="138">
        <f>C8-D8</f>
        <v>2749050.4350000173</v>
      </c>
      <c r="F8" s="638"/>
      <c r="G8" s="972">
        <f t="shared" si="0"/>
        <v>97087246137000.016</v>
      </c>
      <c r="H8" s="972">
        <f t="shared" si="0"/>
        <v>94338195701999.984</v>
      </c>
      <c r="I8" s="972">
        <f t="shared" si="0"/>
        <v>2749050435000.0171</v>
      </c>
    </row>
    <row r="9" spans="1:9" ht="48" customHeight="1">
      <c r="A9" s="638"/>
      <c r="C9" s="1080"/>
      <c r="D9" s="2198"/>
      <c r="E9" s="1074"/>
      <c r="F9" s="638"/>
      <c r="G9" s="972">
        <f>G7-G8</f>
        <v>0</v>
      </c>
      <c r="H9" s="972">
        <f t="shared" ref="H9" si="1">H7-H8</f>
        <v>0</v>
      </c>
      <c r="I9" s="972">
        <f>I7-I8</f>
        <v>-1.46484375E-2</v>
      </c>
    </row>
    <row r="10" spans="1:9" ht="60" customHeight="1">
      <c r="A10" s="3169" t="s">
        <v>5047</v>
      </c>
      <c r="B10" s="3169"/>
      <c r="C10" s="3169"/>
      <c r="D10" s="3170"/>
      <c r="E10" s="3169"/>
      <c r="F10" s="3169"/>
      <c r="G10" s="950"/>
      <c r="H10" s="638"/>
    </row>
    <row r="11" spans="1:9">
      <c r="A11" s="2244" t="s">
        <v>1645</v>
      </c>
      <c r="D11" s="2198"/>
      <c r="E11" s="638"/>
      <c r="F11" s="638"/>
      <c r="G11" s="950"/>
      <c r="H11" s="638"/>
    </row>
    <row r="12" spans="1:9">
      <c r="A12" s="139"/>
      <c r="B12" s="139"/>
      <c r="C12" s="139"/>
      <c r="D12" s="2199"/>
      <c r="E12" s="139"/>
      <c r="F12" s="139"/>
      <c r="G12" s="950"/>
    </row>
    <row r="13" spans="1:9">
      <c r="A13" s="638"/>
      <c r="D13" s="2198"/>
      <c r="E13" s="638"/>
      <c r="F13" s="638"/>
      <c r="G13" s="950"/>
    </row>
    <row r="14" spans="1:9">
      <c r="D14" s="2198"/>
    </row>
    <row r="15" spans="1:9">
      <c r="D15" s="2198"/>
    </row>
    <row r="16" spans="1:9">
      <c r="D16" s="2198"/>
    </row>
    <row r="36" spans="1:2" ht="32.25" thickBot="1">
      <c r="A36" s="140"/>
      <c r="B36" s="139"/>
    </row>
  </sheetData>
  <mergeCells count="3">
    <mergeCell ref="A1:F1"/>
    <mergeCell ref="A3:F3"/>
    <mergeCell ref="A10:F10"/>
  </mergeCells>
  <phoneticPr fontId="19" type="noConversion"/>
  <pageMargins left="0.98425196850393704" right="0.98425196850393704" top="0.98425196850393704" bottom="0.98425196850393704" header="0.51181102362204722" footer="0.51181102362204722"/>
  <pageSetup paperSize="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62"/>
  <sheetViews>
    <sheetView view="pageBreakPreview" zoomScale="70" zoomScaleNormal="85" zoomScaleSheetLayoutView="70" workbookViewId="0">
      <pane ySplit="6" topLeftCell="A206" activePane="bottomLeft" state="frozen"/>
      <selection activeCell="A3" sqref="A3:F3"/>
      <selection pane="bottomLeft" activeCell="AB230" sqref="AB230"/>
    </sheetView>
  </sheetViews>
  <sheetFormatPr defaultColWidth="8.88671875" defaultRowHeight="13.5"/>
  <cols>
    <col min="1" max="1" width="7.109375" style="303" customWidth="1"/>
    <col min="2" max="4" width="6.77734375" style="303" customWidth="1"/>
    <col min="5" max="5" width="16.33203125" style="303" customWidth="1"/>
    <col min="6" max="8" width="13.77734375" style="303" customWidth="1"/>
    <col min="9" max="9" width="1.6640625" style="986" customWidth="1"/>
    <col min="10" max="10" width="2.88671875" style="303" customWidth="1"/>
    <col min="11" max="11" width="1.88671875" style="303" customWidth="1"/>
    <col min="12" max="12" width="8.77734375" style="303" customWidth="1"/>
    <col min="13" max="13" width="10.88671875" style="303" customWidth="1"/>
    <col min="14" max="14" width="5" style="303" customWidth="1"/>
    <col min="15" max="15" width="6.77734375" style="303" customWidth="1"/>
    <col min="16" max="16" width="6.6640625" style="303" customWidth="1"/>
    <col min="17" max="17" width="7.77734375" style="303" customWidth="1"/>
    <col min="18" max="18" width="8.77734375" style="320" customWidth="1"/>
    <col min="19" max="19" width="19.21875" style="322" customWidth="1"/>
    <col min="20" max="20" width="6.88671875" style="320" customWidth="1"/>
    <col min="21" max="21" width="6.88671875" style="303" customWidth="1"/>
    <col min="22" max="22" width="8" style="303" customWidth="1"/>
    <col min="23" max="23" width="7.44140625" style="303" customWidth="1"/>
    <col min="24" max="24" width="3" style="303" customWidth="1"/>
    <col min="25" max="25" width="13.33203125" style="303" customWidth="1"/>
    <col min="26" max="26" width="17.44140625" style="321" customWidth="1"/>
    <col min="27" max="27" width="17.5546875" style="321" customWidth="1"/>
    <col min="28" max="28" width="14.109375" style="311" bestFit="1" customWidth="1"/>
    <col min="29" max="29" width="13.77734375" style="303" customWidth="1"/>
    <col min="30" max="16384" width="8.88671875" style="303"/>
  </cols>
  <sheetData>
    <row r="1" spans="1:29" ht="23.25" customHeight="1">
      <c r="A1" s="357"/>
      <c r="B1" s="3250" t="s">
        <v>5058</v>
      </c>
      <c r="C1" s="3250"/>
      <c r="D1" s="3250"/>
      <c r="E1" s="3250"/>
      <c r="F1" s="3250"/>
      <c r="G1" s="3250"/>
      <c r="H1" s="3250"/>
      <c r="I1" s="3250"/>
      <c r="J1" s="3250"/>
      <c r="K1" s="3250"/>
      <c r="L1" s="3250"/>
      <c r="M1" s="3250"/>
      <c r="N1" s="3250"/>
      <c r="O1" s="3250"/>
      <c r="P1" s="3250"/>
      <c r="Q1" s="3250"/>
      <c r="R1" s="3250"/>
      <c r="S1" s="3250"/>
      <c r="T1" s="3250"/>
      <c r="U1" s="3250"/>
      <c r="V1" s="3250"/>
      <c r="W1" s="3250"/>
      <c r="X1" s="3250"/>
      <c r="Y1" s="3250"/>
      <c r="Z1" s="2669"/>
    </row>
    <row r="2" spans="1:29" ht="23.25" customHeight="1" thickBot="1">
      <c r="A2" s="357"/>
      <c r="B2" s="646"/>
      <c r="C2" s="646"/>
      <c r="D2" s="646" t="s">
        <v>267</v>
      </c>
      <c r="E2" s="646"/>
      <c r="F2" s="275"/>
      <c r="G2" s="2224" t="s">
        <v>267</v>
      </c>
      <c r="H2" s="2224" t="s">
        <v>1691</v>
      </c>
      <c r="I2" s="2278"/>
      <c r="J2" s="646" t="s">
        <v>267</v>
      </c>
      <c r="K2" s="646"/>
      <c r="L2" s="773" t="s">
        <v>267</v>
      </c>
      <c r="M2" s="646"/>
      <c r="N2" s="646"/>
      <c r="O2" s="343"/>
      <c r="P2" s="275"/>
      <c r="Q2" s="2275"/>
      <c r="R2" s="344"/>
      <c r="S2" s="1854"/>
      <c r="T2" s="344"/>
      <c r="U2" s="2278"/>
      <c r="V2" s="2278"/>
      <c r="W2" s="2278"/>
      <c r="X2" s="2278"/>
      <c r="Y2" s="408" t="s">
        <v>1691</v>
      </c>
      <c r="Z2" s="275"/>
    </row>
    <row r="3" spans="1:29" ht="22.5" customHeight="1">
      <c r="A3" s="3251" t="s">
        <v>188</v>
      </c>
      <c r="B3" s="3252"/>
      <c r="C3" s="3252"/>
      <c r="D3" s="3252"/>
      <c r="E3" s="3253"/>
      <c r="F3" s="3254" t="s">
        <v>151</v>
      </c>
      <c r="G3" s="3256" t="s">
        <v>1692</v>
      </c>
      <c r="H3" s="3396" t="s">
        <v>189</v>
      </c>
      <c r="I3" s="473"/>
      <c r="J3" s="3260" t="s">
        <v>190</v>
      </c>
      <c r="K3" s="3261"/>
      <c r="L3" s="3261"/>
      <c r="M3" s="3261"/>
      <c r="N3" s="3261"/>
      <c r="O3" s="3261"/>
      <c r="P3" s="3261"/>
      <c r="Q3" s="3261"/>
      <c r="R3" s="3261"/>
      <c r="S3" s="3261"/>
      <c r="T3" s="3261"/>
      <c r="U3" s="3261"/>
      <c r="V3" s="3261"/>
      <c r="W3" s="3261"/>
      <c r="X3" s="3261"/>
      <c r="Y3" s="3262"/>
      <c r="Z3" s="275"/>
    </row>
    <row r="4" spans="1:29" ht="22.5" customHeight="1" thickBot="1">
      <c r="A4" s="652" t="s">
        <v>216</v>
      </c>
      <c r="B4" s="653" t="s">
        <v>444</v>
      </c>
      <c r="C4" s="654" t="s">
        <v>191</v>
      </c>
      <c r="D4" s="654" t="s">
        <v>205</v>
      </c>
      <c r="E4" s="654" t="s">
        <v>815</v>
      </c>
      <c r="F4" s="3255"/>
      <c r="G4" s="3257"/>
      <c r="H4" s="3397"/>
      <c r="I4" s="655"/>
      <c r="J4" s="3263"/>
      <c r="K4" s="3264"/>
      <c r="L4" s="3264"/>
      <c r="M4" s="3264"/>
      <c r="N4" s="3264"/>
      <c r="O4" s="3264"/>
      <c r="P4" s="3264"/>
      <c r="Q4" s="3264"/>
      <c r="R4" s="3264"/>
      <c r="S4" s="3264"/>
      <c r="T4" s="3264"/>
      <c r="U4" s="3264"/>
      <c r="V4" s="3264"/>
      <c r="W4" s="3264"/>
      <c r="X4" s="3264"/>
      <c r="Y4" s="3265"/>
      <c r="Z4" s="275"/>
    </row>
    <row r="5" spans="1:29" ht="22.5" customHeight="1" thickBot="1">
      <c r="A5" s="3406" t="s">
        <v>721</v>
      </c>
      <c r="B5" s="3407"/>
      <c r="C5" s="3407"/>
      <c r="D5" s="3407"/>
      <c r="E5" s="3408"/>
      <c r="F5" s="2225">
        <f>+F6+F92+F198+F298</f>
        <v>5260000</v>
      </c>
      <c r="G5" s="2225">
        <f>+G6+G92+G198+G298</f>
        <v>5260000</v>
      </c>
      <c r="H5" s="780">
        <f>F5-G5</f>
        <v>0</v>
      </c>
      <c r="I5" s="655"/>
      <c r="J5" s="2251"/>
      <c r="K5" s="2252"/>
      <c r="L5" s="2252"/>
      <c r="M5" s="2252"/>
      <c r="N5" s="2252"/>
      <c r="O5" s="2252"/>
      <c r="P5" s="2252"/>
      <c r="Q5" s="2252"/>
      <c r="R5" s="2252"/>
      <c r="S5" s="2252"/>
      <c r="T5" s="2252"/>
      <c r="U5" s="2252"/>
      <c r="V5" s="2252"/>
      <c r="W5" s="2252"/>
      <c r="X5" s="2252"/>
      <c r="Y5" s="2253"/>
      <c r="Z5" s="275"/>
    </row>
    <row r="6" spans="1:29" ht="22.5" customHeight="1" thickBot="1">
      <c r="A6" s="2322"/>
      <c r="B6" s="3409" t="s">
        <v>2014</v>
      </c>
      <c r="C6" s="3409"/>
      <c r="D6" s="3409"/>
      <c r="E6" s="3410"/>
      <c r="F6" s="2212">
        <f>+F7</f>
        <v>2227000</v>
      </c>
      <c r="G6" s="2212">
        <f>+G7</f>
        <v>2227000</v>
      </c>
      <c r="H6" s="2213">
        <f>F6-G6</f>
        <v>0</v>
      </c>
      <c r="I6" s="1127"/>
      <c r="J6" s="379"/>
      <c r="K6" s="781"/>
      <c r="L6" s="781"/>
      <c r="M6" s="781"/>
      <c r="N6" s="781"/>
      <c r="O6" s="781"/>
      <c r="P6" s="781"/>
      <c r="Q6" s="783"/>
      <c r="R6" s="1867"/>
      <c r="S6" s="1866"/>
      <c r="T6" s="1867"/>
      <c r="U6" s="781"/>
      <c r="V6" s="781"/>
      <c r="W6" s="781"/>
      <c r="X6" s="1170"/>
      <c r="Y6" s="2323"/>
      <c r="Z6" s="275"/>
    </row>
    <row r="7" spans="1:29" ht="22.5" customHeight="1">
      <c r="A7" s="1342"/>
      <c r="B7" s="1844"/>
      <c r="C7" s="3389" t="s">
        <v>817</v>
      </c>
      <c r="D7" s="3390"/>
      <c r="E7" s="3391"/>
      <c r="F7" s="600">
        <f>+F8+F26+F88</f>
        <v>2227000</v>
      </c>
      <c r="G7" s="600">
        <f>+G8+G26+G88</f>
        <v>2227000</v>
      </c>
      <c r="H7" s="1382">
        <f>F7-G7</f>
        <v>0</v>
      </c>
      <c r="I7" s="1127"/>
      <c r="J7" s="1129"/>
      <c r="K7" s="2285"/>
      <c r="L7" s="2285"/>
      <c r="M7" s="2285"/>
      <c r="N7" s="2285"/>
      <c r="O7" s="846"/>
      <c r="P7" s="2268"/>
      <c r="Q7" s="847"/>
      <c r="R7" s="1845"/>
      <c r="S7" s="1846"/>
      <c r="T7" s="362"/>
      <c r="U7" s="846"/>
      <c r="V7" s="2285"/>
      <c r="W7" s="2285"/>
      <c r="X7" s="846"/>
      <c r="Y7" s="345"/>
      <c r="Z7" s="275"/>
    </row>
    <row r="8" spans="1:29" ht="22.5" customHeight="1">
      <c r="A8" s="1342"/>
      <c r="B8" s="495"/>
      <c r="C8" s="350"/>
      <c r="D8" s="3411" t="s">
        <v>604</v>
      </c>
      <c r="E8" s="3412"/>
      <c r="F8" s="599">
        <f>SUM(F9:F25)</f>
        <v>1972000</v>
      </c>
      <c r="G8" s="599">
        <f>SUM(G9:G25)</f>
        <v>1972000</v>
      </c>
      <c r="H8" s="1383">
        <f>+F8-G8</f>
        <v>0</v>
      </c>
      <c r="I8" s="1127"/>
      <c r="J8" s="501"/>
      <c r="K8" s="2276"/>
      <c r="L8" s="2276"/>
      <c r="M8" s="2276"/>
      <c r="N8" s="2276"/>
      <c r="O8" s="800"/>
      <c r="P8" s="2267"/>
      <c r="Q8" s="857"/>
      <c r="R8" s="1847"/>
      <c r="S8" s="1848"/>
      <c r="T8" s="1002"/>
      <c r="U8" s="800"/>
      <c r="V8" s="2276"/>
      <c r="W8" s="2276"/>
      <c r="X8" s="905"/>
      <c r="Y8" s="431"/>
      <c r="Z8" s="275"/>
    </row>
    <row r="9" spans="1:29" ht="22.5" customHeight="1">
      <c r="A9" s="1342"/>
      <c r="B9" s="1145"/>
      <c r="C9" s="1126"/>
      <c r="D9" s="1849"/>
      <c r="E9" s="1126" t="s">
        <v>1435</v>
      </c>
      <c r="F9" s="978">
        <f>Y9</f>
        <v>1600320</v>
      </c>
      <c r="G9" s="351">
        <v>1600320</v>
      </c>
      <c r="H9" s="352"/>
      <c r="I9" s="1127"/>
      <c r="J9" s="2261" t="s">
        <v>194</v>
      </c>
      <c r="K9" s="2282"/>
      <c r="L9" s="2282"/>
      <c r="M9" s="2282"/>
      <c r="N9" s="2278"/>
      <c r="O9" s="2278"/>
      <c r="P9" s="275"/>
      <c r="Q9" s="2288"/>
      <c r="R9" s="2282"/>
      <c r="S9" s="1377"/>
      <c r="T9" s="2282"/>
      <c r="U9" s="2282"/>
      <c r="V9" s="2282"/>
      <c r="W9" s="2282"/>
      <c r="X9" s="397"/>
      <c r="Y9" s="766">
        <f>Z9/1000</f>
        <v>1600320</v>
      </c>
      <c r="Z9" s="275">
        <f>SUM(Z10,Z14,Z18,Z21)</f>
        <v>1600320000</v>
      </c>
    </row>
    <row r="10" spans="1:29" ht="22.5" customHeight="1">
      <c r="A10" s="1342"/>
      <c r="B10" s="1145"/>
      <c r="C10" s="1126"/>
      <c r="D10" s="1126"/>
      <c r="E10" s="1850"/>
      <c r="F10" s="337"/>
      <c r="G10" s="337"/>
      <c r="H10" s="338"/>
      <c r="I10" s="1127"/>
      <c r="J10" s="3414" t="s">
        <v>227</v>
      </c>
      <c r="K10" s="3415"/>
      <c r="L10" s="3415"/>
      <c r="M10" s="3415"/>
      <c r="N10" s="2278"/>
      <c r="O10" s="2278"/>
      <c r="P10" s="275"/>
      <c r="Q10" s="2288"/>
      <c r="R10" s="2262"/>
      <c r="S10" s="1377" t="s">
        <v>601</v>
      </c>
      <c r="T10" s="2288" t="s">
        <v>601</v>
      </c>
      <c r="U10" s="2288" t="s">
        <v>601</v>
      </c>
      <c r="V10" s="2288" t="s">
        <v>601</v>
      </c>
      <c r="W10" s="2288" t="s">
        <v>601</v>
      </c>
      <c r="X10" s="1140" t="s">
        <v>601</v>
      </c>
      <c r="Y10" s="766">
        <f>SUM(Y11:Y11)</f>
        <v>668400</v>
      </c>
      <c r="Z10" s="275">
        <f>SUM(Z11:Z13)</f>
        <v>1404000000</v>
      </c>
    </row>
    <row r="11" spans="1:29" ht="22.5" customHeight="1">
      <c r="A11" s="1342"/>
      <c r="B11" s="1145"/>
      <c r="C11" s="1126"/>
      <c r="D11" s="1126"/>
      <c r="E11" s="1850"/>
      <c r="F11" s="337"/>
      <c r="G11" s="337"/>
      <c r="H11" s="338"/>
      <c r="I11" s="1127"/>
      <c r="J11" s="2287"/>
      <c r="K11" s="807" t="s">
        <v>2015</v>
      </c>
      <c r="L11" s="2282"/>
      <c r="M11" s="2282"/>
      <c r="N11" s="2278"/>
      <c r="O11" s="2278"/>
      <c r="P11" s="275"/>
      <c r="Q11" s="2288">
        <v>12</v>
      </c>
      <c r="R11" s="2262" t="s">
        <v>464</v>
      </c>
      <c r="S11" s="1377">
        <v>4641666.666666667</v>
      </c>
      <c r="T11" s="2288" t="s">
        <v>354</v>
      </c>
      <c r="U11" s="2288"/>
      <c r="V11" s="2288">
        <v>12</v>
      </c>
      <c r="W11" s="2288" t="s">
        <v>198</v>
      </c>
      <c r="X11" s="1140" t="s">
        <v>629</v>
      </c>
      <c r="Y11" s="766">
        <f>Z11/1000</f>
        <v>668400</v>
      </c>
      <c r="Z11" s="275">
        <f>Q11*S11*V11</f>
        <v>668400000</v>
      </c>
      <c r="AC11" s="331"/>
    </row>
    <row r="12" spans="1:29" ht="22.5" customHeight="1">
      <c r="A12" s="1342"/>
      <c r="B12" s="1145"/>
      <c r="C12" s="1126"/>
      <c r="D12" s="1126"/>
      <c r="E12" s="1850"/>
      <c r="F12" s="337"/>
      <c r="G12" s="337"/>
      <c r="H12" s="338"/>
      <c r="I12" s="1127"/>
      <c r="J12" s="2287"/>
      <c r="K12" s="807" t="s">
        <v>2016</v>
      </c>
      <c r="L12" s="2282"/>
      <c r="M12" s="2282"/>
      <c r="N12" s="2278"/>
      <c r="O12" s="2278"/>
      <c r="P12" s="275"/>
      <c r="Q12" s="2288">
        <v>5</v>
      </c>
      <c r="R12" s="2262" t="s">
        <v>464</v>
      </c>
      <c r="S12" s="1377">
        <v>5820000</v>
      </c>
      <c r="T12" s="2288" t="s">
        <v>354</v>
      </c>
      <c r="U12" s="2288"/>
      <c r="V12" s="2288">
        <v>12</v>
      </c>
      <c r="W12" s="2288" t="s">
        <v>198</v>
      </c>
      <c r="X12" s="1140" t="s">
        <v>629</v>
      </c>
      <c r="Y12" s="766">
        <f t="shared" ref="Y12:Y13" si="0">Z12/1000</f>
        <v>349200</v>
      </c>
      <c r="Z12" s="275">
        <f t="shared" ref="Z12:Z13" si="1">Q12*S12*V12</f>
        <v>349200000</v>
      </c>
      <c r="AC12" s="331"/>
    </row>
    <row r="13" spans="1:29" ht="22.5" customHeight="1">
      <c r="A13" s="1342"/>
      <c r="B13" s="1145"/>
      <c r="C13" s="1126"/>
      <c r="D13" s="1126"/>
      <c r="E13" s="1850"/>
      <c r="F13" s="337"/>
      <c r="G13" s="337"/>
      <c r="H13" s="338"/>
      <c r="I13" s="1127"/>
      <c r="J13" s="2287"/>
      <c r="K13" s="807" t="s">
        <v>2017</v>
      </c>
      <c r="L13" s="2282"/>
      <c r="M13" s="2282"/>
      <c r="N13" s="2278"/>
      <c r="O13" s="2278"/>
      <c r="P13" s="275"/>
      <c r="Q13" s="2288">
        <v>8</v>
      </c>
      <c r="R13" s="2262" t="s">
        <v>464</v>
      </c>
      <c r="S13" s="1377">
        <v>4025000</v>
      </c>
      <c r="T13" s="2288" t="s">
        <v>354</v>
      </c>
      <c r="U13" s="2288"/>
      <c r="V13" s="2288">
        <v>12</v>
      </c>
      <c r="W13" s="2288" t="s">
        <v>198</v>
      </c>
      <c r="X13" s="1140" t="s">
        <v>629</v>
      </c>
      <c r="Y13" s="766">
        <f t="shared" si="0"/>
        <v>386400</v>
      </c>
      <c r="Z13" s="275">
        <f t="shared" si="1"/>
        <v>386400000</v>
      </c>
      <c r="AC13" s="331"/>
    </row>
    <row r="14" spans="1:29" ht="22.5" customHeight="1">
      <c r="A14" s="1342"/>
      <c r="B14" s="1145"/>
      <c r="C14" s="1126"/>
      <c r="D14" s="1126"/>
      <c r="E14" s="1126"/>
      <c r="F14" s="337"/>
      <c r="G14" s="337"/>
      <c r="H14" s="338"/>
      <c r="I14" s="1127"/>
      <c r="J14" s="2261" t="s">
        <v>2018</v>
      </c>
      <c r="K14" s="2262"/>
      <c r="L14" s="2262"/>
      <c r="M14" s="2262"/>
      <c r="N14" s="2262"/>
      <c r="O14" s="2262"/>
      <c r="P14" s="2262"/>
      <c r="Q14" s="2262"/>
      <c r="R14" s="2262"/>
      <c r="S14" s="1377"/>
      <c r="T14" s="2288"/>
      <c r="U14" s="2288"/>
      <c r="V14" s="2288"/>
      <c r="W14" s="2288"/>
      <c r="X14" s="1140"/>
      <c r="Y14" s="766">
        <f>SUM(Y15:Y15)</f>
        <v>48000</v>
      </c>
      <c r="Z14" s="275">
        <f>SUM(Z15:Z17)</f>
        <v>104400000</v>
      </c>
    </row>
    <row r="15" spans="1:29" ht="22.5" customHeight="1">
      <c r="A15" s="1342"/>
      <c r="B15" s="1145"/>
      <c r="C15" s="1126"/>
      <c r="D15" s="1126"/>
      <c r="E15" s="1126"/>
      <c r="F15" s="337"/>
      <c r="G15" s="337"/>
      <c r="H15" s="338"/>
      <c r="I15" s="1127"/>
      <c r="J15" s="2287"/>
      <c r="K15" s="807" t="s">
        <v>2015</v>
      </c>
      <c r="L15" s="2282"/>
      <c r="M15" s="2282"/>
      <c r="N15" s="2278"/>
      <c r="O15" s="2278"/>
      <c r="P15" s="275"/>
      <c r="Q15" s="2288">
        <v>12</v>
      </c>
      <c r="R15" s="2262" t="s">
        <v>464</v>
      </c>
      <c r="S15" s="1377">
        <v>333333.33333333331</v>
      </c>
      <c r="T15" s="2288" t="s">
        <v>354</v>
      </c>
      <c r="U15" s="2288"/>
      <c r="V15" s="344">
        <v>12</v>
      </c>
      <c r="W15" s="2288" t="s">
        <v>198</v>
      </c>
      <c r="X15" s="1140" t="s">
        <v>629</v>
      </c>
      <c r="Y15" s="766">
        <f t="shared" ref="Y15:Y25" si="2">Z15/1000</f>
        <v>48000</v>
      </c>
      <c r="Z15" s="275">
        <f>Q15*S15*V15</f>
        <v>48000000</v>
      </c>
      <c r="AC15" s="331"/>
    </row>
    <row r="16" spans="1:29" ht="22.5" customHeight="1">
      <c r="A16" s="1342"/>
      <c r="B16" s="1145"/>
      <c r="C16" s="1126"/>
      <c r="D16" s="1126"/>
      <c r="E16" s="1126"/>
      <c r="F16" s="337"/>
      <c r="G16" s="337"/>
      <c r="H16" s="338"/>
      <c r="I16" s="1127"/>
      <c r="J16" s="2287"/>
      <c r="K16" s="807" t="s">
        <v>2016</v>
      </c>
      <c r="L16" s="2282"/>
      <c r="M16" s="2282"/>
      <c r="N16" s="2278"/>
      <c r="O16" s="2278"/>
      <c r="P16" s="275"/>
      <c r="Q16" s="2288">
        <v>5</v>
      </c>
      <c r="R16" s="2262" t="s">
        <v>464</v>
      </c>
      <c r="S16" s="1377">
        <v>440000</v>
      </c>
      <c r="T16" s="2288" t="s">
        <v>354</v>
      </c>
      <c r="U16" s="2288"/>
      <c r="V16" s="344">
        <v>12</v>
      </c>
      <c r="W16" s="2288" t="s">
        <v>198</v>
      </c>
      <c r="X16" s="1140" t="s">
        <v>629</v>
      </c>
      <c r="Y16" s="766">
        <f t="shared" si="2"/>
        <v>26400</v>
      </c>
      <c r="Z16" s="275">
        <f>Q16*S16*V16</f>
        <v>26400000</v>
      </c>
      <c r="AC16" s="331"/>
    </row>
    <row r="17" spans="1:29" ht="22.5" customHeight="1">
      <c r="A17" s="1342"/>
      <c r="B17" s="1145"/>
      <c r="C17" s="1126"/>
      <c r="D17" s="1126"/>
      <c r="E17" s="1126"/>
      <c r="F17" s="337"/>
      <c r="G17" s="337"/>
      <c r="H17" s="338"/>
      <c r="I17" s="1127"/>
      <c r="J17" s="2287"/>
      <c r="K17" s="807" t="s">
        <v>2017</v>
      </c>
      <c r="L17" s="2282"/>
      <c r="M17" s="2282"/>
      <c r="N17" s="2278"/>
      <c r="O17" s="2278"/>
      <c r="P17" s="275"/>
      <c r="Q17" s="2288">
        <v>8</v>
      </c>
      <c r="R17" s="2262" t="s">
        <v>464</v>
      </c>
      <c r="S17" s="1377">
        <v>312500</v>
      </c>
      <c r="T17" s="2288" t="s">
        <v>354</v>
      </c>
      <c r="U17" s="2288"/>
      <c r="V17" s="344">
        <v>12</v>
      </c>
      <c r="W17" s="2288" t="s">
        <v>198</v>
      </c>
      <c r="X17" s="1140" t="s">
        <v>629</v>
      </c>
      <c r="Y17" s="766">
        <f t="shared" si="2"/>
        <v>30000</v>
      </c>
      <c r="Z17" s="275">
        <f>Q17*S17*V17</f>
        <v>30000000</v>
      </c>
      <c r="AC17" s="331"/>
    </row>
    <row r="18" spans="1:29" s="986" customFormat="1" ht="22.5" customHeight="1">
      <c r="A18" s="2274"/>
      <c r="B18" s="1145"/>
      <c r="C18" s="465"/>
      <c r="D18" s="1131"/>
      <c r="E18" s="410"/>
      <c r="F18" s="438"/>
      <c r="G18" s="438"/>
      <c r="H18" s="482"/>
      <c r="I18" s="1127"/>
      <c r="J18" s="2287" t="s">
        <v>722</v>
      </c>
      <c r="K18" s="2288"/>
      <c r="L18" s="2288"/>
      <c r="M18" s="2282"/>
      <c r="N18" s="2278"/>
      <c r="O18" s="2278"/>
      <c r="P18" s="2278"/>
      <c r="Q18" s="2288"/>
      <c r="R18" s="2262"/>
      <c r="S18" s="401"/>
      <c r="T18" s="2288"/>
      <c r="U18" s="2288"/>
      <c r="V18" s="2288"/>
      <c r="W18" s="2288"/>
      <c r="X18" s="2288"/>
      <c r="Y18" s="766">
        <f t="shared" si="2"/>
        <v>32400</v>
      </c>
      <c r="Z18" s="275">
        <f>SUM(Z19:Z20)</f>
        <v>32400000</v>
      </c>
      <c r="AA18" s="321"/>
      <c r="AB18" s="321"/>
    </row>
    <row r="19" spans="1:29" s="986" customFormat="1" ht="22.5" customHeight="1">
      <c r="A19" s="2274"/>
      <c r="B19" s="1145"/>
      <c r="C19" s="465"/>
      <c r="D19" s="1131"/>
      <c r="E19" s="410"/>
      <c r="F19" s="438"/>
      <c r="G19" s="438"/>
      <c r="H19" s="482"/>
      <c r="I19" s="1127"/>
      <c r="J19" s="2287"/>
      <c r="K19" s="807" t="s">
        <v>2017</v>
      </c>
      <c r="L19" s="2282"/>
      <c r="M19" s="2282"/>
      <c r="N19" s="2278"/>
      <c r="O19" s="2278"/>
      <c r="P19" s="275"/>
      <c r="Q19" s="2288">
        <v>7</v>
      </c>
      <c r="R19" s="2262" t="s">
        <v>464</v>
      </c>
      <c r="S19" s="1377">
        <v>300000</v>
      </c>
      <c r="T19" s="2288" t="s">
        <v>354</v>
      </c>
      <c r="U19" s="2288"/>
      <c r="V19" s="2288">
        <v>12</v>
      </c>
      <c r="W19" s="2288" t="s">
        <v>198</v>
      </c>
      <c r="X19" s="1140" t="s">
        <v>629</v>
      </c>
      <c r="Y19" s="766">
        <f t="shared" si="2"/>
        <v>25200</v>
      </c>
      <c r="Z19" s="275">
        <f t="shared" ref="Z19:Z20" si="3">Q19*S19*V19</f>
        <v>25200000</v>
      </c>
      <c r="AA19" s="321"/>
      <c r="AB19" s="321"/>
    </row>
    <row r="20" spans="1:29" s="986" customFormat="1" ht="22.5" customHeight="1">
      <c r="A20" s="2274"/>
      <c r="B20" s="1145"/>
      <c r="C20" s="465"/>
      <c r="D20" s="1131"/>
      <c r="E20" s="410"/>
      <c r="F20" s="438"/>
      <c r="G20" s="438"/>
      <c r="H20" s="482"/>
      <c r="I20" s="1127"/>
      <c r="J20" s="2287"/>
      <c r="K20" s="807" t="s">
        <v>2019</v>
      </c>
      <c r="L20" s="2282"/>
      <c r="M20" s="2282"/>
      <c r="N20" s="2278"/>
      <c r="O20" s="2278"/>
      <c r="P20" s="275"/>
      <c r="Q20" s="2288">
        <v>2</v>
      </c>
      <c r="R20" s="2262" t="s">
        <v>464</v>
      </c>
      <c r="S20" s="1377">
        <v>300000</v>
      </c>
      <c r="T20" s="2288" t="s">
        <v>354</v>
      </c>
      <c r="U20" s="2288"/>
      <c r="V20" s="2288">
        <v>12</v>
      </c>
      <c r="W20" s="2288" t="s">
        <v>198</v>
      </c>
      <c r="X20" s="1140" t="s">
        <v>629</v>
      </c>
      <c r="Y20" s="766">
        <f t="shared" si="2"/>
        <v>7200</v>
      </c>
      <c r="Z20" s="275">
        <f t="shared" si="3"/>
        <v>7200000</v>
      </c>
      <c r="AA20" s="321"/>
      <c r="AB20" s="321"/>
    </row>
    <row r="21" spans="1:29" ht="22.5" customHeight="1">
      <c r="A21" s="1342"/>
      <c r="B21" s="1145"/>
      <c r="C21" s="1126"/>
      <c r="D21" s="1126"/>
      <c r="E21" s="1126"/>
      <c r="F21" s="337"/>
      <c r="G21" s="337"/>
      <c r="H21" s="338"/>
      <c r="I21" s="1127"/>
      <c r="J21" s="2261" t="s">
        <v>2020</v>
      </c>
      <c r="K21" s="2262"/>
      <c r="L21" s="2262"/>
      <c r="M21" s="2262"/>
      <c r="N21" s="2262"/>
      <c r="O21" s="2262"/>
      <c r="P21" s="2262"/>
      <c r="Q21" s="2288">
        <v>25</v>
      </c>
      <c r="R21" s="2262" t="s">
        <v>464</v>
      </c>
      <c r="S21" s="1377">
        <v>2380800</v>
      </c>
      <c r="T21" s="2288" t="s">
        <v>354</v>
      </c>
      <c r="U21" s="2288"/>
      <c r="V21" s="344">
        <v>1</v>
      </c>
      <c r="W21" s="2288" t="s">
        <v>196</v>
      </c>
      <c r="X21" s="1140" t="s">
        <v>629</v>
      </c>
      <c r="Y21" s="766">
        <f t="shared" si="2"/>
        <v>59520</v>
      </c>
      <c r="Z21" s="275">
        <f>Q21*S21*V21</f>
        <v>59520000</v>
      </c>
      <c r="AC21" s="331"/>
    </row>
    <row r="22" spans="1:29" ht="22.5" customHeight="1">
      <c r="A22" s="1342"/>
      <c r="B22" s="1145"/>
      <c r="C22" s="1851"/>
      <c r="D22" s="1126"/>
      <c r="E22" s="944" t="s">
        <v>714</v>
      </c>
      <c r="F22" s="373">
        <f>Y22</f>
        <v>192600</v>
      </c>
      <c r="G22" s="373">
        <v>192600</v>
      </c>
      <c r="H22" s="1132"/>
      <c r="I22" s="1127"/>
      <c r="J22" s="501" t="s">
        <v>2021</v>
      </c>
      <c r="K22" s="2267"/>
      <c r="L22" s="2267"/>
      <c r="M22" s="2267"/>
      <c r="N22" s="2267"/>
      <c r="O22" s="2276"/>
      <c r="P22" s="2267"/>
      <c r="Q22" s="2267"/>
      <c r="R22" s="1002"/>
      <c r="S22" s="1848">
        <f>Z10+Z14+Z18</f>
        <v>1540800000</v>
      </c>
      <c r="T22" s="1002" t="s">
        <v>626</v>
      </c>
      <c r="U22" s="2276">
        <v>12</v>
      </c>
      <c r="V22" s="800" t="s">
        <v>336</v>
      </c>
      <c r="W22" s="1852">
        <v>1.5</v>
      </c>
      <c r="X22" s="375" t="s">
        <v>565</v>
      </c>
      <c r="Y22" s="439">
        <f t="shared" si="2"/>
        <v>192600</v>
      </c>
      <c r="Z22" s="275">
        <f>(S22/12)*W22</f>
        <v>192600000</v>
      </c>
    </row>
    <row r="23" spans="1:29" ht="22.5" customHeight="1">
      <c r="A23" s="1342"/>
      <c r="B23" s="1145"/>
      <c r="C23" s="1851"/>
      <c r="D23" s="1126"/>
      <c r="E23" s="934" t="s">
        <v>334</v>
      </c>
      <c r="F23" s="351">
        <f>Y23</f>
        <v>179080</v>
      </c>
      <c r="G23" s="351">
        <v>179080</v>
      </c>
      <c r="H23" s="352"/>
      <c r="I23" s="1127"/>
      <c r="J23" s="2261" t="s">
        <v>194</v>
      </c>
      <c r="K23" s="2278"/>
      <c r="L23" s="2278"/>
      <c r="M23" s="2278"/>
      <c r="N23" s="2278"/>
      <c r="O23" s="867"/>
      <c r="P23" s="2275"/>
      <c r="Q23" s="867"/>
      <c r="R23" s="1853"/>
      <c r="S23" s="1854"/>
      <c r="T23" s="344"/>
      <c r="U23" s="867"/>
      <c r="V23" s="2278"/>
      <c r="W23" s="1718"/>
      <c r="X23" s="525"/>
      <c r="Y23" s="766">
        <f t="shared" si="2"/>
        <v>179080</v>
      </c>
      <c r="Z23" s="275">
        <f>SUM(Z24:Z25)</f>
        <v>179080000</v>
      </c>
    </row>
    <row r="24" spans="1:29" ht="22.5" customHeight="1">
      <c r="A24" s="1342"/>
      <c r="B24" s="1145"/>
      <c r="C24" s="1126"/>
      <c r="D24" s="1126"/>
      <c r="E24" s="1126"/>
      <c r="F24" s="337"/>
      <c r="G24" s="337"/>
      <c r="H24" s="338"/>
      <c r="I24" s="1127"/>
      <c r="J24" s="2261" t="s">
        <v>723</v>
      </c>
      <c r="K24" s="2282"/>
      <c r="L24" s="2282"/>
      <c r="M24" s="2282"/>
      <c r="N24" s="2278"/>
      <c r="O24" s="2278"/>
      <c r="P24" s="2278"/>
      <c r="Q24" s="408"/>
      <c r="R24" s="2275"/>
      <c r="S24" s="1377">
        <f>S22</f>
        <v>1540800000</v>
      </c>
      <c r="T24" s="2288" t="s">
        <v>0</v>
      </c>
      <c r="U24" s="2278"/>
      <c r="V24" s="1378">
        <v>0.1</v>
      </c>
      <c r="W24" s="2288"/>
      <c r="X24" s="1140" t="s">
        <v>1</v>
      </c>
      <c r="Y24" s="766">
        <f t="shared" si="2"/>
        <v>154080</v>
      </c>
      <c r="Z24" s="275">
        <f>S24*V24</f>
        <v>154080000</v>
      </c>
    </row>
    <row r="25" spans="1:29" ht="22.5" customHeight="1">
      <c r="A25" s="1342"/>
      <c r="B25" s="1145"/>
      <c r="C25" s="1126"/>
      <c r="D25" s="1126"/>
      <c r="E25" s="1126"/>
      <c r="F25" s="337"/>
      <c r="G25" s="337"/>
      <c r="H25" s="338"/>
      <c r="I25" s="1127"/>
      <c r="J25" s="1379" t="s">
        <v>724</v>
      </c>
      <c r="K25" s="2260"/>
      <c r="L25" s="2260"/>
      <c r="M25" s="2260"/>
      <c r="N25" s="2285"/>
      <c r="O25" s="2285"/>
      <c r="P25" s="2285"/>
      <c r="Q25" s="456"/>
      <c r="R25" s="2268"/>
      <c r="S25" s="1855">
        <v>1000000</v>
      </c>
      <c r="T25" s="459" t="s">
        <v>0</v>
      </c>
      <c r="U25" s="2285"/>
      <c r="V25" s="459">
        <v>25</v>
      </c>
      <c r="W25" s="459" t="s">
        <v>25</v>
      </c>
      <c r="X25" s="460" t="s">
        <v>1</v>
      </c>
      <c r="Y25" s="935">
        <f t="shared" si="2"/>
        <v>25000</v>
      </c>
      <c r="Z25" s="275">
        <f>ROUNDUP(S25*V25,-3)</f>
        <v>25000000</v>
      </c>
    </row>
    <row r="26" spans="1:29" ht="22.5" customHeight="1">
      <c r="A26" s="1342"/>
      <c r="B26" s="1145"/>
      <c r="C26" s="1126"/>
      <c r="D26" s="3284" t="s">
        <v>725</v>
      </c>
      <c r="E26" s="3285"/>
      <c r="F26" s="599">
        <f>SUM(F27:F87)</f>
        <v>250000</v>
      </c>
      <c r="G26" s="599">
        <f>SUM(G27:G87)</f>
        <v>250000</v>
      </c>
      <c r="H26" s="1132">
        <f>+F26-G26</f>
        <v>0</v>
      </c>
      <c r="I26" s="1127"/>
      <c r="J26" s="374"/>
      <c r="K26" s="375"/>
      <c r="L26" s="375"/>
      <c r="M26" s="375"/>
      <c r="N26" s="375"/>
      <c r="O26" s="375"/>
      <c r="P26" s="376"/>
      <c r="Q26" s="375"/>
      <c r="R26" s="1856"/>
      <c r="S26" s="1848"/>
      <c r="T26" s="1856"/>
      <c r="U26" s="375"/>
      <c r="V26" s="376"/>
      <c r="W26" s="375"/>
      <c r="X26" s="375"/>
      <c r="Y26" s="503"/>
      <c r="Z26" s="275"/>
    </row>
    <row r="27" spans="1:29" s="986" customFormat="1" ht="22.5" customHeight="1">
      <c r="A27" s="1342"/>
      <c r="B27" s="1145"/>
      <c r="C27" s="1126"/>
      <c r="D27" s="1126"/>
      <c r="E27" s="350" t="s">
        <v>726</v>
      </c>
      <c r="F27" s="351">
        <f>+Y27</f>
        <v>18000</v>
      </c>
      <c r="G27" s="351">
        <v>18000</v>
      </c>
      <c r="H27" s="352"/>
      <c r="I27" s="1127"/>
      <c r="J27" s="1714" t="s">
        <v>194</v>
      </c>
      <c r="K27" s="2277"/>
      <c r="L27" s="2277"/>
      <c r="M27" s="2277"/>
      <c r="N27" s="2277"/>
      <c r="O27" s="2277"/>
      <c r="P27" s="353"/>
      <c r="Q27" s="2277"/>
      <c r="R27" s="1857"/>
      <c r="S27" s="1858"/>
      <c r="T27" s="1857"/>
      <c r="U27" s="2277"/>
      <c r="V27" s="353"/>
      <c r="W27" s="2277"/>
      <c r="X27" s="2277"/>
      <c r="Y27" s="1674">
        <f>+Z27/1000</f>
        <v>18000</v>
      </c>
      <c r="Z27" s="275">
        <f>SUM(Z28:Z30)</f>
        <v>18000000</v>
      </c>
      <c r="AA27" s="321"/>
      <c r="AB27" s="321"/>
    </row>
    <row r="28" spans="1:29" s="1675" customFormat="1" ht="22.5" customHeight="1">
      <c r="A28" s="1342"/>
      <c r="B28" s="1145"/>
      <c r="C28" s="1126"/>
      <c r="D28" s="1126"/>
      <c r="E28" s="1126"/>
      <c r="F28" s="337"/>
      <c r="G28" s="337"/>
      <c r="H28" s="338"/>
      <c r="I28" s="1127"/>
      <c r="J28" s="348" t="s">
        <v>727</v>
      </c>
      <c r="K28" s="2278"/>
      <c r="L28" s="2278"/>
      <c r="M28" s="2278"/>
      <c r="N28" s="2278"/>
      <c r="O28" s="2278"/>
      <c r="P28" s="1128"/>
      <c r="Q28" s="2278"/>
      <c r="R28" s="344"/>
      <c r="S28" s="1859">
        <v>120000</v>
      </c>
      <c r="T28" s="344" t="s">
        <v>50</v>
      </c>
      <c r="U28" s="2278"/>
      <c r="V28" s="344">
        <v>25</v>
      </c>
      <c r="W28" s="2278" t="s">
        <v>25</v>
      </c>
      <c r="X28" s="2278" t="s">
        <v>1</v>
      </c>
      <c r="Y28" s="1674">
        <f>Z28/1000</f>
        <v>3000</v>
      </c>
      <c r="Z28" s="275">
        <f>S28*V28</f>
        <v>3000000</v>
      </c>
      <c r="AA28" s="321"/>
      <c r="AB28" s="347"/>
    </row>
    <row r="29" spans="1:29" s="1675" customFormat="1" ht="22.5" customHeight="1">
      <c r="A29" s="334"/>
      <c r="B29" s="335"/>
      <c r="C29" s="1126"/>
      <c r="D29" s="1126"/>
      <c r="E29" s="1126"/>
      <c r="F29" s="337"/>
      <c r="G29" s="337"/>
      <c r="H29" s="338"/>
      <c r="I29" s="1127"/>
      <c r="J29" s="1670" t="s">
        <v>2022</v>
      </c>
      <c r="K29" s="1671"/>
      <c r="L29" s="1671"/>
      <c r="M29" s="1671"/>
      <c r="N29" s="1672"/>
      <c r="O29" s="1671"/>
      <c r="P29" s="1671"/>
      <c r="Q29" s="1673"/>
      <c r="R29" s="1860"/>
      <c r="S29" s="343">
        <v>250000</v>
      </c>
      <c r="T29" s="2278" t="s">
        <v>2023</v>
      </c>
      <c r="U29" s="2278"/>
      <c r="V29" s="344">
        <v>50</v>
      </c>
      <c r="W29" s="2278" t="s">
        <v>2024</v>
      </c>
      <c r="X29" s="2278" t="s">
        <v>2025</v>
      </c>
      <c r="Y29" s="1674">
        <f>Z29/1000</f>
        <v>12500</v>
      </c>
      <c r="Z29" s="275">
        <f>S29*V29</f>
        <v>12500000</v>
      </c>
      <c r="AA29" s="321"/>
      <c r="AB29" s="347"/>
    </row>
    <row r="30" spans="1:29" s="1675" customFormat="1" ht="22.5" customHeight="1">
      <c r="A30" s="334"/>
      <c r="B30" s="335"/>
      <c r="C30" s="1126"/>
      <c r="D30" s="1126"/>
      <c r="E30" s="1126"/>
      <c r="F30" s="337"/>
      <c r="G30" s="337"/>
      <c r="H30" s="338"/>
      <c r="I30" s="1127"/>
      <c r="J30" s="1670" t="s">
        <v>2026</v>
      </c>
      <c r="K30" s="1671"/>
      <c r="L30" s="1671"/>
      <c r="M30" s="1671"/>
      <c r="N30" s="1672"/>
      <c r="O30" s="1671"/>
      <c r="P30" s="1671"/>
      <c r="Q30" s="1673"/>
      <c r="R30" s="1860"/>
      <c r="S30" s="343">
        <v>100000</v>
      </c>
      <c r="T30" s="2278" t="s">
        <v>2023</v>
      </c>
      <c r="U30" s="2278"/>
      <c r="V30" s="344">
        <v>25</v>
      </c>
      <c r="W30" s="2278" t="s">
        <v>2024</v>
      </c>
      <c r="X30" s="2278" t="s">
        <v>2025</v>
      </c>
      <c r="Y30" s="1674">
        <f>Z30/1000</f>
        <v>2500</v>
      </c>
      <c r="Z30" s="275">
        <f>S30*V30</f>
        <v>2500000</v>
      </c>
      <c r="AA30" s="321"/>
      <c r="AB30" s="347"/>
    </row>
    <row r="31" spans="1:29" s="1675" customFormat="1" ht="22.5" customHeight="1">
      <c r="A31" s="334"/>
      <c r="B31" s="335"/>
      <c r="C31" s="1126"/>
      <c r="D31" s="1126"/>
      <c r="E31" s="944" t="s">
        <v>2027</v>
      </c>
      <c r="F31" s="373">
        <f>+Y31</f>
        <v>2500</v>
      </c>
      <c r="G31" s="373">
        <v>2500</v>
      </c>
      <c r="H31" s="1132"/>
      <c r="I31" s="1127"/>
      <c r="J31" s="835" t="s">
        <v>2028</v>
      </c>
      <c r="K31" s="462"/>
      <c r="L31" s="462"/>
      <c r="M31" s="462"/>
      <c r="N31" s="399"/>
      <c r="O31" s="462"/>
      <c r="P31" s="462"/>
      <c r="Q31" s="836">
        <v>25</v>
      </c>
      <c r="R31" s="1876" t="s">
        <v>23</v>
      </c>
      <c r="S31" s="1877">
        <v>100000</v>
      </c>
      <c r="T31" s="1876" t="s">
        <v>0</v>
      </c>
      <c r="U31" s="462"/>
      <c r="V31" s="462">
        <v>1</v>
      </c>
      <c r="W31" s="462" t="s">
        <v>3</v>
      </c>
      <c r="X31" s="462" t="s">
        <v>1</v>
      </c>
      <c r="Y31" s="377">
        <f t="shared" ref="Y31:Y87" si="4">+Z31/1000</f>
        <v>2500</v>
      </c>
      <c r="Z31" s="275">
        <f>Q31*S31*V31</f>
        <v>2500000</v>
      </c>
      <c r="AA31" s="347"/>
      <c r="AB31" s="347"/>
    </row>
    <row r="32" spans="1:29" s="357" customFormat="1" ht="22.5" customHeight="1">
      <c r="A32" s="334"/>
      <c r="B32" s="335"/>
      <c r="C32" s="1126"/>
      <c r="D32" s="1126"/>
      <c r="E32" s="944" t="s">
        <v>2029</v>
      </c>
      <c r="F32" s="373">
        <f>+Y32</f>
        <v>300</v>
      </c>
      <c r="G32" s="373">
        <v>300</v>
      </c>
      <c r="H32" s="1132"/>
      <c r="I32" s="1127"/>
      <c r="J32" s="501" t="s">
        <v>2030</v>
      </c>
      <c r="K32" s="2276"/>
      <c r="L32" s="2276"/>
      <c r="M32" s="2276"/>
      <c r="N32" s="2276"/>
      <c r="O32" s="2276"/>
      <c r="P32" s="484"/>
      <c r="Q32" s="1861"/>
      <c r="R32" s="1002"/>
      <c r="S32" s="1848">
        <v>100000</v>
      </c>
      <c r="T32" s="1002" t="s">
        <v>50</v>
      </c>
      <c r="U32" s="1146"/>
      <c r="V32" s="521">
        <v>3</v>
      </c>
      <c r="W32" s="2276" t="s">
        <v>1725</v>
      </c>
      <c r="X32" s="850" t="s">
        <v>1747</v>
      </c>
      <c r="Y32" s="377">
        <f t="shared" si="4"/>
        <v>300</v>
      </c>
      <c r="Z32" s="275">
        <f>S32*V32</f>
        <v>300000</v>
      </c>
      <c r="AA32" s="347"/>
      <c r="AB32" s="358"/>
    </row>
    <row r="33" spans="1:28" s="357" customFormat="1" ht="22.5" customHeight="1">
      <c r="A33" s="334"/>
      <c r="B33" s="335"/>
      <c r="C33" s="1126"/>
      <c r="D33" s="1126"/>
      <c r="E33" s="1126" t="s">
        <v>2031</v>
      </c>
      <c r="F33" s="337">
        <f>+Y33</f>
        <v>4000</v>
      </c>
      <c r="G33" s="337">
        <v>4000</v>
      </c>
      <c r="H33" s="338"/>
      <c r="I33" s="1127"/>
      <c r="J33" s="348" t="s">
        <v>1727</v>
      </c>
      <c r="K33" s="2278"/>
      <c r="L33" s="2278"/>
      <c r="M33" s="2278"/>
      <c r="N33" s="2278"/>
      <c r="O33" s="2278"/>
      <c r="P33" s="1128"/>
      <c r="Q33" s="2278"/>
      <c r="R33" s="344"/>
      <c r="S33" s="1854"/>
      <c r="T33" s="344"/>
      <c r="U33" s="2278"/>
      <c r="V33" s="1128"/>
      <c r="W33" s="2278"/>
      <c r="X33" s="2278"/>
      <c r="Y33" s="1674">
        <f t="shared" si="4"/>
        <v>4000</v>
      </c>
      <c r="Z33" s="275">
        <f>SUM(Z34:Z36)</f>
        <v>4000000</v>
      </c>
      <c r="AA33" s="347"/>
      <c r="AB33" s="358"/>
    </row>
    <row r="34" spans="1:28" s="357" customFormat="1" ht="22.5" customHeight="1">
      <c r="A34" s="334"/>
      <c r="B34" s="335"/>
      <c r="C34" s="1126"/>
      <c r="D34" s="1126"/>
      <c r="E34" s="1126"/>
      <c r="F34" s="337"/>
      <c r="G34" s="337"/>
      <c r="H34" s="338"/>
      <c r="I34" s="1127"/>
      <c r="J34" s="348" t="s">
        <v>2032</v>
      </c>
      <c r="K34" s="2278"/>
      <c r="L34" s="2278"/>
      <c r="M34" s="2278"/>
      <c r="N34" s="2278"/>
      <c r="O34" s="2278"/>
      <c r="P34" s="1675"/>
      <c r="Q34" s="1675"/>
      <c r="R34" s="1715"/>
      <c r="S34" s="365">
        <v>100000</v>
      </c>
      <c r="T34" s="2288" t="s">
        <v>2023</v>
      </c>
      <c r="U34" s="2278"/>
      <c r="V34" s="2288">
        <v>2</v>
      </c>
      <c r="W34" s="2278" t="s">
        <v>1951</v>
      </c>
      <c r="X34" s="1718" t="s">
        <v>1747</v>
      </c>
      <c r="Y34" s="1674">
        <f t="shared" si="4"/>
        <v>200</v>
      </c>
      <c r="Z34" s="275">
        <f>+S34*V34</f>
        <v>200000</v>
      </c>
      <c r="AA34" s="347"/>
      <c r="AB34" s="358"/>
    </row>
    <row r="35" spans="1:28" s="357" customFormat="1" ht="22.5" customHeight="1">
      <c r="A35" s="334"/>
      <c r="B35" s="335"/>
      <c r="C35" s="1126"/>
      <c r="D35" s="1126"/>
      <c r="E35" s="1126"/>
      <c r="F35" s="337"/>
      <c r="G35" s="337"/>
      <c r="H35" s="338"/>
      <c r="I35" s="1127"/>
      <c r="J35" s="348" t="s">
        <v>2033</v>
      </c>
      <c r="K35" s="2278"/>
      <c r="L35" s="2278"/>
      <c r="M35" s="2278"/>
      <c r="N35" s="2278"/>
      <c r="O35" s="2278"/>
      <c r="P35" s="1675"/>
      <c r="Q35" s="1675"/>
      <c r="R35" s="1715"/>
      <c r="S35" s="365">
        <v>200000</v>
      </c>
      <c r="T35" s="2288" t="s">
        <v>2023</v>
      </c>
      <c r="U35" s="2278"/>
      <c r="V35" s="2288">
        <v>10</v>
      </c>
      <c r="W35" s="2278" t="s">
        <v>1753</v>
      </c>
      <c r="X35" s="1718" t="s">
        <v>1747</v>
      </c>
      <c r="Y35" s="1674">
        <f t="shared" si="4"/>
        <v>2000</v>
      </c>
      <c r="Z35" s="275">
        <f>+S35*V35</f>
        <v>2000000</v>
      </c>
      <c r="AA35" s="347"/>
      <c r="AB35" s="358"/>
    </row>
    <row r="36" spans="1:28" s="1675" customFormat="1" ht="22.5" customHeight="1">
      <c r="A36" s="334"/>
      <c r="B36" s="335"/>
      <c r="C36" s="1126"/>
      <c r="D36" s="1126"/>
      <c r="E36" s="1126"/>
      <c r="F36" s="337"/>
      <c r="G36" s="337"/>
      <c r="H36" s="338"/>
      <c r="I36" s="1127"/>
      <c r="J36" s="348" t="s">
        <v>2034</v>
      </c>
      <c r="K36" s="2278"/>
      <c r="L36" s="2278"/>
      <c r="M36" s="2278"/>
      <c r="N36" s="2278"/>
      <c r="O36" s="2278"/>
      <c r="R36" s="1715"/>
      <c r="S36" s="1854">
        <v>150000</v>
      </c>
      <c r="T36" s="344" t="s">
        <v>2023</v>
      </c>
      <c r="V36" s="366">
        <v>12</v>
      </c>
      <c r="W36" s="2278" t="s">
        <v>1955</v>
      </c>
      <c r="X36" s="1718" t="s">
        <v>1747</v>
      </c>
      <c r="Y36" s="345">
        <f t="shared" si="4"/>
        <v>1800</v>
      </c>
      <c r="Z36" s="275">
        <f>+S36*V36</f>
        <v>1800000</v>
      </c>
      <c r="AA36" s="347"/>
      <c r="AB36" s="347"/>
    </row>
    <row r="37" spans="1:28" s="1675" customFormat="1" ht="22.5" customHeight="1">
      <c r="A37" s="334"/>
      <c r="B37" s="335"/>
      <c r="C37" s="1126"/>
      <c r="D37" s="1131"/>
      <c r="E37" s="367" t="s">
        <v>2035</v>
      </c>
      <c r="F37" s="351">
        <f>+Y37</f>
        <v>10800</v>
      </c>
      <c r="G37" s="351">
        <v>10800</v>
      </c>
      <c r="H37" s="352"/>
      <c r="I37" s="1127"/>
      <c r="J37" s="3398" t="s">
        <v>1727</v>
      </c>
      <c r="K37" s="3399"/>
      <c r="L37" s="3399"/>
      <c r="M37" s="3399"/>
      <c r="N37" s="3399"/>
      <c r="O37" s="3399"/>
      <c r="P37" s="353"/>
      <c r="Q37" s="2277"/>
      <c r="R37" s="1857"/>
      <c r="S37" s="1858"/>
      <c r="T37" s="1857"/>
      <c r="U37" s="2277"/>
      <c r="V37" s="353"/>
      <c r="W37" s="2277"/>
      <c r="X37" s="2277"/>
      <c r="Y37" s="356">
        <f t="shared" si="4"/>
        <v>10800</v>
      </c>
      <c r="Z37" s="275">
        <f>SUM(Z38:Z39)</f>
        <v>10800000</v>
      </c>
      <c r="AA37" s="347"/>
      <c r="AB37" s="347"/>
    </row>
    <row r="38" spans="1:28" s="1675" customFormat="1" ht="22.5" customHeight="1">
      <c r="A38" s="334"/>
      <c r="B38" s="335"/>
      <c r="C38" s="1126"/>
      <c r="D38" s="1131"/>
      <c r="E38" s="1131"/>
      <c r="F38" s="337"/>
      <c r="G38" s="337"/>
      <c r="H38" s="338"/>
      <c r="I38" s="1127"/>
      <c r="J38" s="348" t="s">
        <v>2036</v>
      </c>
      <c r="K38" s="2275"/>
      <c r="L38" s="2275"/>
      <c r="M38" s="2275"/>
      <c r="N38" s="2278"/>
      <c r="O38" s="2278"/>
      <c r="P38" s="1128"/>
      <c r="Q38" s="2278"/>
      <c r="R38" s="1715"/>
      <c r="S38" s="1854">
        <v>100000</v>
      </c>
      <c r="T38" s="344" t="s">
        <v>2023</v>
      </c>
      <c r="U38" s="2278"/>
      <c r="V38" s="366">
        <v>12</v>
      </c>
      <c r="W38" s="2278" t="s">
        <v>1955</v>
      </c>
      <c r="X38" s="1718" t="s">
        <v>1747</v>
      </c>
      <c r="Y38" s="1674">
        <f t="shared" si="4"/>
        <v>1200</v>
      </c>
      <c r="Z38" s="275">
        <f>S38*V38</f>
        <v>1200000</v>
      </c>
      <c r="AA38" s="347"/>
      <c r="AB38" s="347"/>
    </row>
    <row r="39" spans="1:28" s="1675" customFormat="1" ht="22.5" customHeight="1">
      <c r="A39" s="334"/>
      <c r="B39" s="335"/>
      <c r="C39" s="1126"/>
      <c r="D39" s="1126"/>
      <c r="E39" s="359"/>
      <c r="F39" s="360"/>
      <c r="G39" s="360"/>
      <c r="H39" s="361"/>
      <c r="I39" s="1127"/>
      <c r="J39" s="1129" t="s">
        <v>2037</v>
      </c>
      <c r="K39" s="2285"/>
      <c r="L39" s="2285"/>
      <c r="M39" s="2285"/>
      <c r="N39" s="2285"/>
      <c r="O39" s="2285"/>
      <c r="P39" s="1130"/>
      <c r="Q39" s="368">
        <v>4</v>
      </c>
      <c r="R39" s="1878" t="s">
        <v>2038</v>
      </c>
      <c r="S39" s="1846">
        <v>200000</v>
      </c>
      <c r="T39" s="362" t="s">
        <v>2023</v>
      </c>
      <c r="U39" s="2285"/>
      <c r="V39" s="363">
        <v>12</v>
      </c>
      <c r="W39" s="2285" t="s">
        <v>1955</v>
      </c>
      <c r="X39" s="1863" t="s">
        <v>1747</v>
      </c>
      <c r="Y39" s="345">
        <f t="shared" si="4"/>
        <v>9600</v>
      </c>
      <c r="Z39" s="275">
        <f>S39*V39*Q39</f>
        <v>9600000</v>
      </c>
      <c r="AA39" s="347"/>
      <c r="AB39" s="347"/>
    </row>
    <row r="40" spans="1:28" s="1675" customFormat="1" ht="23.1" customHeight="1">
      <c r="A40" s="334"/>
      <c r="B40" s="335"/>
      <c r="C40" s="1126"/>
      <c r="D40" s="1126"/>
      <c r="E40" s="1126" t="s">
        <v>2039</v>
      </c>
      <c r="F40" s="337">
        <f>+Y40</f>
        <v>97700</v>
      </c>
      <c r="G40" s="337">
        <v>97700</v>
      </c>
      <c r="H40" s="352"/>
      <c r="I40" s="1127"/>
      <c r="J40" s="348" t="s">
        <v>1727</v>
      </c>
      <c r="K40" s="2278"/>
      <c r="L40" s="2278"/>
      <c r="M40" s="2278"/>
      <c r="N40" s="2278"/>
      <c r="O40" s="2278"/>
      <c r="P40" s="1128"/>
      <c r="Q40" s="2278"/>
      <c r="R40" s="344"/>
      <c r="S40" s="1854"/>
      <c r="T40" s="344"/>
      <c r="U40" s="2278"/>
      <c r="V40" s="1128"/>
      <c r="W40" s="2278"/>
      <c r="X40" s="2278"/>
      <c r="Y40" s="356">
        <f t="shared" si="4"/>
        <v>97700</v>
      </c>
      <c r="Z40" s="275">
        <f>SUM(Z41:Z45)</f>
        <v>97700000</v>
      </c>
      <c r="AA40" s="347"/>
      <c r="AB40" s="347"/>
    </row>
    <row r="41" spans="1:28" s="357" customFormat="1" ht="23.1" customHeight="1">
      <c r="A41" s="334"/>
      <c r="B41" s="335"/>
      <c r="C41" s="1126"/>
      <c r="D41" s="1126"/>
      <c r="E41" s="1126"/>
      <c r="F41" s="337"/>
      <c r="G41" s="337"/>
      <c r="H41" s="338"/>
      <c r="I41" s="1127"/>
      <c r="J41" s="2274" t="s">
        <v>2040</v>
      </c>
      <c r="K41" s="2275"/>
      <c r="L41" s="2275"/>
      <c r="M41" s="2275"/>
      <c r="N41" s="2275"/>
      <c r="O41" s="1675"/>
      <c r="P41" s="1675"/>
      <c r="Q41" s="1675"/>
      <c r="R41" s="1715"/>
      <c r="S41" s="1854">
        <v>20000</v>
      </c>
      <c r="T41" s="344" t="s">
        <v>2023</v>
      </c>
      <c r="U41" s="1675"/>
      <c r="V41" s="366">
        <v>20</v>
      </c>
      <c r="W41" s="2278" t="s">
        <v>1753</v>
      </c>
      <c r="X41" s="1718" t="s">
        <v>1747</v>
      </c>
      <c r="Y41" s="1674">
        <f t="shared" si="4"/>
        <v>400</v>
      </c>
      <c r="Z41" s="275">
        <f>+S41*V41</f>
        <v>400000</v>
      </c>
      <c r="AA41" s="347"/>
      <c r="AB41" s="358"/>
    </row>
    <row r="42" spans="1:28" s="357" customFormat="1" ht="23.1" customHeight="1">
      <c r="A42" s="334"/>
      <c r="B42" s="335"/>
      <c r="C42" s="1126"/>
      <c r="D42" s="1126"/>
      <c r="E42" s="1126"/>
      <c r="F42" s="337"/>
      <c r="G42" s="337"/>
      <c r="H42" s="338"/>
      <c r="I42" s="1127"/>
      <c r="J42" s="2274" t="s">
        <v>2041</v>
      </c>
      <c r="K42" s="2275"/>
      <c r="L42" s="2275"/>
      <c r="M42" s="2275"/>
      <c r="N42" s="2275"/>
      <c r="O42" s="1675"/>
      <c r="P42" s="1675"/>
      <c r="Q42" s="1675"/>
      <c r="R42" s="1715"/>
      <c r="S42" s="1854">
        <v>20000</v>
      </c>
      <c r="T42" s="344" t="s">
        <v>2023</v>
      </c>
      <c r="U42" s="1675"/>
      <c r="V42" s="366">
        <v>20</v>
      </c>
      <c r="W42" s="2278" t="s">
        <v>1753</v>
      </c>
      <c r="X42" s="1718" t="s">
        <v>1747</v>
      </c>
      <c r="Y42" s="1674">
        <f t="shared" si="4"/>
        <v>400</v>
      </c>
      <c r="Z42" s="275">
        <f>+S42*V42</f>
        <v>400000</v>
      </c>
      <c r="AA42" s="347"/>
      <c r="AB42" s="358"/>
    </row>
    <row r="43" spans="1:28" s="357" customFormat="1" ht="23.1" customHeight="1">
      <c r="A43" s="334"/>
      <c r="B43" s="335"/>
      <c r="C43" s="1126"/>
      <c r="D43" s="1126"/>
      <c r="E43" s="1126"/>
      <c r="F43" s="337"/>
      <c r="G43" s="337"/>
      <c r="H43" s="338"/>
      <c r="I43" s="1127"/>
      <c r="J43" s="2274" t="s">
        <v>2042</v>
      </c>
      <c r="K43" s="2275"/>
      <c r="L43" s="2275"/>
      <c r="M43" s="2275"/>
      <c r="N43" s="2275"/>
      <c r="O43" s="1675"/>
      <c r="P43" s="1675"/>
      <c r="Q43" s="1675"/>
      <c r="R43" s="1715"/>
      <c r="S43" s="1854">
        <v>1500000</v>
      </c>
      <c r="T43" s="344" t="s">
        <v>2023</v>
      </c>
      <c r="U43" s="1675"/>
      <c r="V43" s="366">
        <v>12</v>
      </c>
      <c r="W43" s="2278" t="s">
        <v>2043</v>
      </c>
      <c r="X43" s="1718" t="s">
        <v>1747</v>
      </c>
      <c r="Y43" s="1674">
        <f t="shared" si="4"/>
        <v>18000</v>
      </c>
      <c r="Z43" s="275">
        <f>+S43*V43</f>
        <v>18000000</v>
      </c>
      <c r="AA43" s="347"/>
      <c r="AB43" s="358"/>
    </row>
    <row r="44" spans="1:28" s="357" customFormat="1" ht="23.1" customHeight="1">
      <c r="A44" s="334"/>
      <c r="B44" s="335"/>
      <c r="C44" s="1126"/>
      <c r="D44" s="1126"/>
      <c r="E44" s="1126"/>
      <c r="F44" s="337"/>
      <c r="G44" s="337"/>
      <c r="H44" s="338"/>
      <c r="I44" s="1127"/>
      <c r="J44" s="2274" t="s">
        <v>2044</v>
      </c>
      <c r="K44" s="2275"/>
      <c r="L44" s="2275"/>
      <c r="M44" s="2275"/>
      <c r="N44" s="2275"/>
      <c r="O44" s="1675"/>
      <c r="P44" s="1675"/>
      <c r="Q44" s="1675"/>
      <c r="R44" s="1715"/>
      <c r="S44" s="1854">
        <v>35950000</v>
      </c>
      <c r="T44" s="344" t="s">
        <v>2045</v>
      </c>
      <c r="U44" s="1675"/>
      <c r="V44" s="366">
        <v>2</v>
      </c>
      <c r="W44" s="2278" t="s">
        <v>2046</v>
      </c>
      <c r="X44" s="2278" t="s">
        <v>1812</v>
      </c>
      <c r="Y44" s="1674">
        <f t="shared" si="4"/>
        <v>71900</v>
      </c>
      <c r="Z44" s="275">
        <f>+S44*V44</f>
        <v>71900000</v>
      </c>
      <c r="AA44" s="347"/>
      <c r="AB44" s="358"/>
    </row>
    <row r="45" spans="1:28" s="357" customFormat="1" ht="23.1" customHeight="1">
      <c r="A45" s="334"/>
      <c r="B45" s="335"/>
      <c r="C45" s="1126"/>
      <c r="D45" s="1126"/>
      <c r="E45" s="1126"/>
      <c r="F45" s="337"/>
      <c r="G45" s="337"/>
      <c r="H45" s="338"/>
      <c r="I45" s="1127"/>
      <c r="J45" s="2274" t="s">
        <v>2047</v>
      </c>
      <c r="K45" s="2275"/>
      <c r="L45" s="2275"/>
      <c r="M45" s="2275" t="s">
        <v>2048</v>
      </c>
      <c r="N45" s="2275"/>
      <c r="O45" s="1675"/>
      <c r="P45" s="1675"/>
      <c r="Q45" s="1128"/>
      <c r="R45" s="344"/>
      <c r="S45" s="1854">
        <v>7000000</v>
      </c>
      <c r="T45" s="344" t="s">
        <v>2045</v>
      </c>
      <c r="U45" s="1128"/>
      <c r="V45" s="366">
        <v>1</v>
      </c>
      <c r="W45" s="2278" t="s">
        <v>2046</v>
      </c>
      <c r="X45" s="1718" t="s">
        <v>1812</v>
      </c>
      <c r="Y45" s="1674">
        <f t="shared" si="4"/>
        <v>7000</v>
      </c>
      <c r="Z45" s="275">
        <f>+S45*V45</f>
        <v>7000000</v>
      </c>
      <c r="AA45" s="347"/>
      <c r="AB45" s="358"/>
    </row>
    <row r="46" spans="1:28" s="357" customFormat="1" ht="23.1" customHeight="1">
      <c r="A46" s="334"/>
      <c r="B46" s="335"/>
      <c r="C46" s="1126"/>
      <c r="D46" s="1126"/>
      <c r="E46" s="350" t="s">
        <v>1815</v>
      </c>
      <c r="F46" s="351">
        <f>+Y46</f>
        <v>6600</v>
      </c>
      <c r="G46" s="351">
        <v>6600</v>
      </c>
      <c r="H46" s="352"/>
      <c r="I46" s="1127"/>
      <c r="J46" s="1714" t="s">
        <v>1814</v>
      </c>
      <c r="K46" s="2277"/>
      <c r="L46" s="2277"/>
      <c r="M46" s="2277"/>
      <c r="N46" s="2277"/>
      <c r="O46" s="2277"/>
      <c r="P46" s="353"/>
      <c r="Q46" s="2277"/>
      <c r="R46" s="1857"/>
      <c r="S46" s="1858"/>
      <c r="T46" s="1857"/>
      <c r="U46" s="2277"/>
      <c r="V46" s="353"/>
      <c r="W46" s="2277"/>
      <c r="X46" s="2277"/>
      <c r="Y46" s="356">
        <f t="shared" si="4"/>
        <v>6600</v>
      </c>
      <c r="Z46" s="275">
        <f>SUM(Z47:Z50)</f>
        <v>6600000</v>
      </c>
      <c r="AA46" s="347"/>
      <c r="AB46" s="358"/>
    </row>
    <row r="47" spans="1:28" s="357" customFormat="1" ht="23.1" customHeight="1">
      <c r="A47" s="334"/>
      <c r="B47" s="335"/>
      <c r="C47" s="1126"/>
      <c r="D47" s="1126"/>
      <c r="E47" s="1126"/>
      <c r="F47" s="337"/>
      <c r="G47" s="337"/>
      <c r="H47" s="338"/>
      <c r="I47" s="1127"/>
      <c r="J47" s="2274" t="s">
        <v>2049</v>
      </c>
      <c r="K47" s="2275"/>
      <c r="L47" s="2275"/>
      <c r="M47" s="2275"/>
      <c r="N47" s="2275"/>
      <c r="O47" s="2275"/>
      <c r="P47" s="1675"/>
      <c r="Q47" s="2278">
        <v>5</v>
      </c>
      <c r="R47" s="344" t="s">
        <v>2050</v>
      </c>
      <c r="S47" s="1854">
        <v>25000</v>
      </c>
      <c r="T47" s="344" t="s">
        <v>2045</v>
      </c>
      <c r="U47" s="1128"/>
      <c r="V47" s="2278">
        <v>12</v>
      </c>
      <c r="W47" s="2278" t="s">
        <v>1811</v>
      </c>
      <c r="X47" s="1718" t="s">
        <v>1812</v>
      </c>
      <c r="Y47" s="1674">
        <f t="shared" si="4"/>
        <v>1500</v>
      </c>
      <c r="Z47" s="275">
        <f>Q47*S47*V47</f>
        <v>1500000</v>
      </c>
      <c r="AA47" s="347"/>
      <c r="AB47" s="358"/>
    </row>
    <row r="48" spans="1:28" s="1675" customFormat="1" ht="23.1" customHeight="1">
      <c r="A48" s="334"/>
      <c r="B48" s="335"/>
      <c r="C48" s="1126"/>
      <c r="D48" s="1126"/>
      <c r="E48" s="1126"/>
      <c r="F48" s="337"/>
      <c r="G48" s="337"/>
      <c r="H48" s="338"/>
      <c r="I48" s="1127"/>
      <c r="J48" s="2274" t="s">
        <v>2051</v>
      </c>
      <c r="K48" s="2275"/>
      <c r="L48" s="2275"/>
      <c r="M48" s="2275"/>
      <c r="N48" s="2275"/>
      <c r="O48" s="2275"/>
      <c r="P48" s="2278"/>
      <c r="Q48" s="2278">
        <v>1</v>
      </c>
      <c r="R48" s="344" t="s">
        <v>2052</v>
      </c>
      <c r="S48" s="1854">
        <v>250000</v>
      </c>
      <c r="T48" s="344" t="s">
        <v>2045</v>
      </c>
      <c r="U48" s="1128"/>
      <c r="V48" s="2278">
        <v>12</v>
      </c>
      <c r="W48" s="2278" t="s">
        <v>2053</v>
      </c>
      <c r="X48" s="2278" t="s">
        <v>1812</v>
      </c>
      <c r="Y48" s="1674">
        <f t="shared" si="4"/>
        <v>3000</v>
      </c>
      <c r="Z48" s="275">
        <f>Q48*S48*V48</f>
        <v>3000000</v>
      </c>
      <c r="AA48" s="347"/>
      <c r="AB48" s="347"/>
    </row>
    <row r="49" spans="1:29" s="1675" customFormat="1" ht="23.1" customHeight="1">
      <c r="A49" s="334"/>
      <c r="B49" s="335"/>
      <c r="C49" s="1126"/>
      <c r="D49" s="1126"/>
      <c r="E49" s="1126"/>
      <c r="F49" s="337"/>
      <c r="G49" s="337"/>
      <c r="H49" s="338"/>
      <c r="I49" s="1127"/>
      <c r="J49" s="2274" t="s">
        <v>2054</v>
      </c>
      <c r="K49" s="2275"/>
      <c r="L49" s="2275"/>
      <c r="M49" s="2275"/>
      <c r="N49" s="2275"/>
      <c r="O49" s="2275"/>
      <c r="P49" s="2278"/>
      <c r="Q49" s="2278">
        <v>20</v>
      </c>
      <c r="R49" s="344" t="s">
        <v>2055</v>
      </c>
      <c r="S49" s="1854">
        <v>5000</v>
      </c>
      <c r="T49" s="344" t="s">
        <v>2045</v>
      </c>
      <c r="U49" s="1128"/>
      <c r="V49" s="2278">
        <v>12</v>
      </c>
      <c r="W49" s="2278" t="s">
        <v>2053</v>
      </c>
      <c r="X49" s="2278" t="s">
        <v>1812</v>
      </c>
      <c r="Y49" s="1674">
        <f t="shared" si="4"/>
        <v>1200</v>
      </c>
      <c r="Z49" s="275">
        <f>Q49*S49*V49</f>
        <v>1200000</v>
      </c>
      <c r="AA49" s="347"/>
      <c r="AB49" s="347"/>
    </row>
    <row r="50" spans="1:29" s="357" customFormat="1" ht="23.1" customHeight="1">
      <c r="A50" s="334"/>
      <c r="B50" s="335"/>
      <c r="C50" s="1126"/>
      <c r="D50" s="1126"/>
      <c r="E50" s="1126"/>
      <c r="F50" s="337"/>
      <c r="G50" s="337"/>
      <c r="H50" s="338"/>
      <c r="I50" s="1127"/>
      <c r="J50" s="2274" t="s">
        <v>2056</v>
      </c>
      <c r="K50" s="2275"/>
      <c r="L50" s="2275"/>
      <c r="M50" s="2275"/>
      <c r="N50" s="2275"/>
      <c r="O50" s="2275"/>
      <c r="P50" s="1128"/>
      <c r="Q50" s="2278"/>
      <c r="R50" s="344"/>
      <c r="S50" s="1854">
        <v>150000</v>
      </c>
      <c r="T50" s="344" t="s">
        <v>2045</v>
      </c>
      <c r="U50" s="1128"/>
      <c r="V50" s="1719">
        <v>6</v>
      </c>
      <c r="W50" s="2278" t="s">
        <v>1811</v>
      </c>
      <c r="X50" s="2278" t="s">
        <v>1812</v>
      </c>
      <c r="Y50" s="1674">
        <f t="shared" si="4"/>
        <v>900</v>
      </c>
      <c r="Z50" s="275">
        <f>S50*V50</f>
        <v>900000</v>
      </c>
      <c r="AA50" s="347"/>
      <c r="AB50" s="358"/>
    </row>
    <row r="51" spans="1:29" s="357" customFormat="1" ht="23.1" customHeight="1">
      <c r="A51" s="334"/>
      <c r="B51" s="335"/>
      <c r="C51" s="1126"/>
      <c r="D51" s="1126"/>
      <c r="E51" s="367" t="s">
        <v>2057</v>
      </c>
      <c r="F51" s="351">
        <f>+Y51</f>
        <v>10900</v>
      </c>
      <c r="G51" s="351">
        <v>10900</v>
      </c>
      <c r="H51" s="352"/>
      <c r="I51" s="1127"/>
      <c r="J51" s="3398" t="s">
        <v>1814</v>
      </c>
      <c r="K51" s="3399"/>
      <c r="L51" s="3399"/>
      <c r="M51" s="3399"/>
      <c r="N51" s="3399"/>
      <c r="O51" s="3399"/>
      <c r="P51" s="353"/>
      <c r="Q51" s="2277"/>
      <c r="R51" s="1857"/>
      <c r="S51" s="1858"/>
      <c r="T51" s="1857"/>
      <c r="U51" s="2277"/>
      <c r="V51" s="353"/>
      <c r="W51" s="2277"/>
      <c r="X51" s="2277"/>
      <c r="Y51" s="356">
        <f t="shared" si="4"/>
        <v>10900</v>
      </c>
      <c r="Z51" s="275">
        <f>SUM(Z52:Z53)</f>
        <v>10900000</v>
      </c>
      <c r="AA51" s="347"/>
      <c r="AB51" s="358"/>
    </row>
    <row r="52" spans="1:29" s="357" customFormat="1" ht="23.1" customHeight="1">
      <c r="A52" s="334"/>
      <c r="B52" s="335"/>
      <c r="C52" s="1126"/>
      <c r="D52" s="1126"/>
      <c r="E52" s="1126"/>
      <c r="F52" s="337"/>
      <c r="G52" s="337"/>
      <c r="H52" s="338"/>
      <c r="I52" s="1127"/>
      <c r="J52" s="348" t="s">
        <v>2058</v>
      </c>
      <c r="K52" s="2278"/>
      <c r="L52" s="2278"/>
      <c r="M52" s="2278"/>
      <c r="N52" s="2278"/>
      <c r="O52" s="2278"/>
      <c r="P52" s="1128"/>
      <c r="Q52" s="2278"/>
      <c r="R52" s="344"/>
      <c r="S52" s="369">
        <v>700000</v>
      </c>
      <c r="T52" s="1671" t="s">
        <v>1810</v>
      </c>
      <c r="U52" s="1671"/>
      <c r="V52" s="1671">
        <v>12</v>
      </c>
      <c r="W52" s="1671" t="s">
        <v>2053</v>
      </c>
      <c r="X52" s="1671" t="s">
        <v>1812</v>
      </c>
      <c r="Y52" s="1674">
        <f t="shared" si="4"/>
        <v>8400</v>
      </c>
      <c r="Z52" s="275">
        <f>S52*V52</f>
        <v>8400000</v>
      </c>
      <c r="AA52" s="347"/>
      <c r="AB52" s="358"/>
      <c r="AC52" s="370"/>
    </row>
    <row r="53" spans="1:29" s="1675" customFormat="1" ht="23.1" customHeight="1">
      <c r="A53" s="334"/>
      <c r="B53" s="335"/>
      <c r="C53" s="1126"/>
      <c r="D53" s="1126"/>
      <c r="E53" s="359"/>
      <c r="F53" s="360"/>
      <c r="G53" s="360"/>
      <c r="H53" s="361"/>
      <c r="I53" s="1127"/>
      <c r="J53" s="1129" t="s">
        <v>2059</v>
      </c>
      <c r="K53" s="2285"/>
      <c r="L53" s="2285"/>
      <c r="M53" s="2285"/>
      <c r="N53" s="2285"/>
      <c r="O53" s="2285"/>
      <c r="P53" s="1130"/>
      <c r="Q53" s="2285"/>
      <c r="R53" s="362"/>
      <c r="S53" s="1879">
        <v>2500000000</v>
      </c>
      <c r="T53" s="371" t="s">
        <v>1810</v>
      </c>
      <c r="U53" s="371"/>
      <c r="V53" s="1880">
        <v>1E-3</v>
      </c>
      <c r="W53" s="371"/>
      <c r="X53" s="371" t="s">
        <v>2060</v>
      </c>
      <c r="Y53" s="345">
        <f t="shared" si="4"/>
        <v>2500</v>
      </c>
      <c r="Z53" s="275">
        <f>S53*V53</f>
        <v>2500000</v>
      </c>
      <c r="AA53" s="347"/>
      <c r="AB53" s="347"/>
    </row>
    <row r="54" spans="1:29" s="357" customFormat="1" ht="23.1" customHeight="1">
      <c r="A54" s="334"/>
      <c r="B54" s="335"/>
      <c r="C54" s="1126"/>
      <c r="D54" s="1126"/>
      <c r="E54" s="1126" t="s">
        <v>2061</v>
      </c>
      <c r="F54" s="337">
        <f>Y54</f>
        <v>28500</v>
      </c>
      <c r="G54" s="337">
        <v>28500</v>
      </c>
      <c r="H54" s="352"/>
      <c r="I54" s="1127"/>
      <c r="J54" s="348" t="s">
        <v>1814</v>
      </c>
      <c r="K54" s="2278"/>
      <c r="L54" s="2278"/>
      <c r="M54" s="2278"/>
      <c r="N54" s="2278"/>
      <c r="O54" s="2278"/>
      <c r="P54" s="1128"/>
      <c r="Q54" s="2278"/>
      <c r="R54" s="344"/>
      <c r="S54" s="1854"/>
      <c r="T54" s="344"/>
      <c r="U54" s="2278"/>
      <c r="V54" s="1128"/>
      <c r="W54" s="2278"/>
      <c r="X54" s="2278"/>
      <c r="Y54" s="356">
        <f t="shared" si="4"/>
        <v>28500</v>
      </c>
      <c r="Z54" s="275">
        <f>SUM(Z55:Z56)</f>
        <v>28500000</v>
      </c>
      <c r="AA54" s="321"/>
      <c r="AB54" s="358"/>
    </row>
    <row r="55" spans="1:29" s="357" customFormat="1" ht="23.1" customHeight="1">
      <c r="A55" s="334"/>
      <c r="B55" s="335"/>
      <c r="C55" s="1126"/>
      <c r="D55" s="1126"/>
      <c r="E55" s="1126"/>
      <c r="F55" s="337"/>
      <c r="G55" s="337"/>
      <c r="H55" s="338"/>
      <c r="I55" s="1127"/>
      <c r="J55" s="348" t="s">
        <v>2062</v>
      </c>
      <c r="K55" s="2278"/>
      <c r="L55" s="2278"/>
      <c r="M55" s="2278"/>
      <c r="N55" s="2278">
        <v>25</v>
      </c>
      <c r="O55" s="344" t="s">
        <v>2063</v>
      </c>
      <c r="P55" s="1128"/>
      <c r="Q55" s="2278">
        <v>3</v>
      </c>
      <c r="R55" s="344" t="s">
        <v>2064</v>
      </c>
      <c r="S55" s="1854">
        <v>30000</v>
      </c>
      <c r="T55" s="344" t="s">
        <v>2045</v>
      </c>
      <c r="U55" s="2278"/>
      <c r="V55" s="1128">
        <v>12</v>
      </c>
      <c r="W55" s="2278" t="s">
        <v>2053</v>
      </c>
      <c r="X55" s="2278" t="s">
        <v>1812</v>
      </c>
      <c r="Y55" s="1674">
        <f t="shared" si="4"/>
        <v>27000</v>
      </c>
      <c r="Z55" s="275">
        <f>Q55*S55*V55*N55</f>
        <v>27000000</v>
      </c>
      <c r="AA55" s="321"/>
      <c r="AB55" s="358"/>
    </row>
    <row r="56" spans="1:29" s="357" customFormat="1" ht="23.1" customHeight="1">
      <c r="A56" s="334"/>
      <c r="B56" s="335"/>
      <c r="C56" s="1126"/>
      <c r="D56" s="1126"/>
      <c r="E56" s="1126"/>
      <c r="F56" s="337"/>
      <c r="G56" s="337"/>
      <c r="H56" s="338"/>
      <c r="I56" s="1127"/>
      <c r="J56" s="348" t="s">
        <v>2065</v>
      </c>
      <c r="K56" s="2278"/>
      <c r="L56" s="2278"/>
      <c r="M56" s="2278"/>
      <c r="N56" s="2278"/>
      <c r="O56" s="2278"/>
      <c r="P56" s="1128"/>
      <c r="Q56" s="2278">
        <v>1</v>
      </c>
      <c r="R56" s="344" t="s">
        <v>2063</v>
      </c>
      <c r="S56" s="1854">
        <v>1500000</v>
      </c>
      <c r="T56" s="344" t="s">
        <v>2045</v>
      </c>
      <c r="U56" s="2278"/>
      <c r="V56" s="1128">
        <v>1</v>
      </c>
      <c r="W56" s="2278" t="s">
        <v>1811</v>
      </c>
      <c r="X56" s="2278" t="s">
        <v>1812</v>
      </c>
      <c r="Y56" s="345">
        <f t="shared" si="4"/>
        <v>1500</v>
      </c>
      <c r="Z56" s="275">
        <f>Q56*S56*V56</f>
        <v>1500000</v>
      </c>
      <c r="AA56" s="321"/>
      <c r="AB56" s="358"/>
    </row>
    <row r="57" spans="1:29" s="357" customFormat="1" ht="23.1" customHeight="1">
      <c r="A57" s="334"/>
      <c r="B57" s="335"/>
      <c r="C57" s="1126"/>
      <c r="D57" s="1126"/>
      <c r="E57" s="350" t="s">
        <v>2066</v>
      </c>
      <c r="F57" s="351">
        <f>+Y57</f>
        <v>9000</v>
      </c>
      <c r="G57" s="351">
        <v>9000</v>
      </c>
      <c r="H57" s="352"/>
      <c r="I57" s="1127"/>
      <c r="J57" s="1714" t="s">
        <v>1814</v>
      </c>
      <c r="K57" s="2277"/>
      <c r="L57" s="2277"/>
      <c r="M57" s="2277"/>
      <c r="N57" s="2277"/>
      <c r="O57" s="2277"/>
      <c r="P57" s="353"/>
      <c r="Q57" s="2277"/>
      <c r="R57" s="1857"/>
      <c r="S57" s="1858"/>
      <c r="T57" s="1857"/>
      <c r="U57" s="2277"/>
      <c r="V57" s="353"/>
      <c r="W57" s="2277"/>
      <c r="X57" s="2277"/>
      <c r="Y57" s="356">
        <f t="shared" si="4"/>
        <v>9000</v>
      </c>
      <c r="Z57" s="275">
        <f>SUM(Z58:Z62)</f>
        <v>9000000</v>
      </c>
      <c r="AA57" s="321"/>
      <c r="AB57" s="358"/>
    </row>
    <row r="58" spans="1:29" s="357" customFormat="1" ht="23.1" customHeight="1">
      <c r="A58" s="334"/>
      <c r="B58" s="335"/>
      <c r="C58" s="1126"/>
      <c r="D58" s="1126"/>
      <c r="E58" s="1126"/>
      <c r="F58" s="337"/>
      <c r="G58" s="337"/>
      <c r="H58" s="338"/>
      <c r="I58" s="1127"/>
      <c r="J58" s="348" t="s">
        <v>2067</v>
      </c>
      <c r="K58" s="2278"/>
      <c r="L58" s="2278"/>
      <c r="M58" s="2278"/>
      <c r="N58" s="2278"/>
      <c r="O58" s="2278"/>
      <c r="P58" s="1675"/>
      <c r="Q58" s="1675"/>
      <c r="R58" s="1715"/>
      <c r="S58" s="1854">
        <v>200000</v>
      </c>
      <c r="T58" s="344" t="s">
        <v>2068</v>
      </c>
      <c r="U58" s="1675"/>
      <c r="V58" s="1128">
        <v>2</v>
      </c>
      <c r="W58" s="2278" t="s">
        <v>1823</v>
      </c>
      <c r="X58" s="1718" t="s">
        <v>1783</v>
      </c>
      <c r="Y58" s="1674">
        <f t="shared" si="4"/>
        <v>400</v>
      </c>
      <c r="Z58" s="275">
        <f>+S58*V58</f>
        <v>400000</v>
      </c>
      <c r="AA58" s="321"/>
      <c r="AB58" s="358"/>
    </row>
    <row r="59" spans="1:29" s="1675" customFormat="1" ht="23.1" customHeight="1">
      <c r="A59" s="334"/>
      <c r="B59" s="335"/>
      <c r="C59" s="1126"/>
      <c r="D59" s="1126"/>
      <c r="E59" s="1126"/>
      <c r="F59" s="337"/>
      <c r="G59" s="337"/>
      <c r="H59" s="338"/>
      <c r="I59" s="1127"/>
      <c r="J59" s="348" t="s">
        <v>2069</v>
      </c>
      <c r="K59" s="2278"/>
      <c r="L59" s="2278"/>
      <c r="M59" s="2278"/>
      <c r="N59" s="2278"/>
      <c r="O59" s="2278"/>
      <c r="Q59" s="1128">
        <v>15</v>
      </c>
      <c r="R59" s="344" t="s">
        <v>2070</v>
      </c>
      <c r="S59" s="1854">
        <v>10000</v>
      </c>
      <c r="T59" s="344" t="s">
        <v>2068</v>
      </c>
      <c r="V59" s="1128">
        <v>12</v>
      </c>
      <c r="W59" s="2278" t="s">
        <v>2071</v>
      </c>
      <c r="X59" s="1718" t="s">
        <v>1783</v>
      </c>
      <c r="Y59" s="1674">
        <f t="shared" si="4"/>
        <v>1800</v>
      </c>
      <c r="Z59" s="275">
        <f>+Q59*S59*V59</f>
        <v>1800000</v>
      </c>
      <c r="AA59" s="321"/>
      <c r="AB59" s="347"/>
    </row>
    <row r="60" spans="1:29" s="1675" customFormat="1" ht="23.1" customHeight="1">
      <c r="A60" s="334"/>
      <c r="B60" s="335"/>
      <c r="C60" s="1126"/>
      <c r="D60" s="1126"/>
      <c r="E60" s="1126"/>
      <c r="F60" s="337"/>
      <c r="G60" s="337"/>
      <c r="H60" s="338"/>
      <c r="I60" s="1127"/>
      <c r="J60" s="348" t="s">
        <v>2072</v>
      </c>
      <c r="K60" s="2278"/>
      <c r="L60" s="2278"/>
      <c r="M60" s="2278"/>
      <c r="N60" s="2278"/>
      <c r="O60" s="2278"/>
      <c r="R60" s="1715"/>
      <c r="S60" s="1854">
        <v>40000</v>
      </c>
      <c r="T60" s="344" t="s">
        <v>2073</v>
      </c>
      <c r="V60" s="1128">
        <v>2</v>
      </c>
      <c r="W60" s="2278" t="s">
        <v>1806</v>
      </c>
      <c r="X60" s="1718" t="s">
        <v>1797</v>
      </c>
      <c r="Y60" s="1674">
        <f t="shared" si="4"/>
        <v>80</v>
      </c>
      <c r="Z60" s="275">
        <f>+S60*V60</f>
        <v>80000</v>
      </c>
      <c r="AA60" s="321"/>
      <c r="AB60" s="347"/>
    </row>
    <row r="61" spans="1:29" s="1675" customFormat="1" ht="23.1" customHeight="1">
      <c r="A61" s="334"/>
      <c r="B61" s="335"/>
      <c r="C61" s="1126"/>
      <c r="D61" s="1126"/>
      <c r="E61" s="1126"/>
      <c r="F61" s="337"/>
      <c r="G61" s="337"/>
      <c r="H61" s="338"/>
      <c r="I61" s="1127"/>
      <c r="J61" s="348" t="s">
        <v>2074</v>
      </c>
      <c r="K61" s="2278"/>
      <c r="L61" s="2278"/>
      <c r="M61" s="2278"/>
      <c r="N61" s="2278"/>
      <c r="O61" s="2278"/>
      <c r="R61" s="1715"/>
      <c r="S61" s="1854">
        <v>350000</v>
      </c>
      <c r="T61" s="344" t="s">
        <v>2073</v>
      </c>
      <c r="V61" s="1128">
        <v>12</v>
      </c>
      <c r="W61" s="2278" t="s">
        <v>1802</v>
      </c>
      <c r="X61" s="1718" t="s">
        <v>1797</v>
      </c>
      <c r="Y61" s="1674">
        <f t="shared" si="4"/>
        <v>4200</v>
      </c>
      <c r="Z61" s="275">
        <f>+S61*V61</f>
        <v>4200000</v>
      </c>
      <c r="AA61" s="321"/>
      <c r="AB61" s="347"/>
    </row>
    <row r="62" spans="1:29" s="357" customFormat="1" ht="23.1" customHeight="1">
      <c r="A62" s="334"/>
      <c r="B62" s="335"/>
      <c r="C62" s="1126"/>
      <c r="D62" s="1126"/>
      <c r="E62" s="1126"/>
      <c r="F62" s="337"/>
      <c r="G62" s="337"/>
      <c r="H62" s="338"/>
      <c r="I62" s="1127"/>
      <c r="J62" s="348" t="s">
        <v>2075</v>
      </c>
      <c r="K62" s="2278"/>
      <c r="L62" s="2278"/>
      <c r="M62" s="2278"/>
      <c r="N62" s="2278"/>
      <c r="O62" s="2278"/>
      <c r="P62" s="1675"/>
      <c r="Q62" s="2278">
        <v>1</v>
      </c>
      <c r="R62" s="344" t="s">
        <v>2076</v>
      </c>
      <c r="S62" s="1854">
        <v>210000</v>
      </c>
      <c r="T62" s="344" t="s">
        <v>2073</v>
      </c>
      <c r="U62" s="1675"/>
      <c r="V62" s="1128">
        <v>12</v>
      </c>
      <c r="W62" s="2278" t="s">
        <v>1802</v>
      </c>
      <c r="X62" s="1718" t="s">
        <v>1797</v>
      </c>
      <c r="Y62" s="345">
        <f t="shared" si="4"/>
        <v>2520</v>
      </c>
      <c r="Z62" s="275">
        <f>+S62*V62</f>
        <v>2520000</v>
      </c>
      <c r="AA62" s="321"/>
      <c r="AB62" s="358"/>
    </row>
    <row r="63" spans="1:29" s="357" customFormat="1" ht="23.1" customHeight="1">
      <c r="A63" s="334"/>
      <c r="B63" s="335"/>
      <c r="C63" s="1126"/>
      <c r="D63" s="1126"/>
      <c r="E63" s="350" t="s">
        <v>2077</v>
      </c>
      <c r="F63" s="351">
        <f>+Y63</f>
        <v>2640</v>
      </c>
      <c r="G63" s="351">
        <v>2640</v>
      </c>
      <c r="H63" s="352"/>
      <c r="I63" s="1127"/>
      <c r="J63" s="1714" t="s">
        <v>2078</v>
      </c>
      <c r="K63" s="2271"/>
      <c r="L63" s="2271"/>
      <c r="M63" s="2271"/>
      <c r="N63" s="2271"/>
      <c r="O63" s="2271"/>
      <c r="P63" s="353"/>
      <c r="Q63" s="2277"/>
      <c r="R63" s="1857"/>
      <c r="S63" s="1858"/>
      <c r="T63" s="1857"/>
      <c r="U63" s="2277"/>
      <c r="V63" s="353"/>
      <c r="W63" s="2277"/>
      <c r="X63" s="2277"/>
      <c r="Y63" s="356">
        <f t="shared" si="4"/>
        <v>2640</v>
      </c>
      <c r="Z63" s="275">
        <f>SUM(Z64:Z65)</f>
        <v>2640000</v>
      </c>
      <c r="AA63" s="321"/>
      <c r="AB63" s="358"/>
    </row>
    <row r="64" spans="1:29" s="357" customFormat="1" ht="23.1" customHeight="1">
      <c r="A64" s="334"/>
      <c r="B64" s="335"/>
      <c r="C64" s="1126"/>
      <c r="D64" s="1126"/>
      <c r="E64" s="1126"/>
      <c r="F64" s="337"/>
      <c r="G64" s="337"/>
      <c r="H64" s="338"/>
      <c r="I64" s="1127"/>
      <c r="J64" s="348" t="s">
        <v>2079</v>
      </c>
      <c r="K64" s="2275"/>
      <c r="L64" s="2275"/>
      <c r="M64" s="2275"/>
      <c r="N64" s="2275"/>
      <c r="O64" s="2275"/>
      <c r="P64" s="1128"/>
      <c r="Q64" s="2278"/>
      <c r="R64" s="344"/>
      <c r="S64" s="1854">
        <v>20000</v>
      </c>
      <c r="T64" s="344" t="s">
        <v>2073</v>
      </c>
      <c r="U64" s="2278"/>
      <c r="V64" s="1128">
        <v>30</v>
      </c>
      <c r="W64" s="2278" t="s">
        <v>2080</v>
      </c>
      <c r="X64" s="2278" t="s">
        <v>1797</v>
      </c>
      <c r="Y64" s="1674">
        <f t="shared" si="4"/>
        <v>600</v>
      </c>
      <c r="Z64" s="275">
        <f>+S64*V64</f>
        <v>600000</v>
      </c>
      <c r="AA64" s="321"/>
      <c r="AB64" s="358"/>
    </row>
    <row r="65" spans="1:28" s="357" customFormat="1" ht="23.1" customHeight="1">
      <c r="A65" s="334"/>
      <c r="B65" s="335"/>
      <c r="C65" s="1126"/>
      <c r="D65" s="1126"/>
      <c r="E65" s="1126"/>
      <c r="F65" s="337"/>
      <c r="G65" s="337"/>
      <c r="H65" s="338"/>
      <c r="I65" s="1127"/>
      <c r="J65" s="348" t="s">
        <v>2081</v>
      </c>
      <c r="K65" s="2275"/>
      <c r="L65" s="2275"/>
      <c r="M65" s="2275"/>
      <c r="N65" s="2275"/>
      <c r="O65" s="2275"/>
      <c r="P65" s="1128"/>
      <c r="Q65" s="2278">
        <v>10</v>
      </c>
      <c r="R65" s="344" t="s">
        <v>2082</v>
      </c>
      <c r="S65" s="1854">
        <v>17000</v>
      </c>
      <c r="T65" s="344" t="s">
        <v>2068</v>
      </c>
      <c r="U65" s="2278"/>
      <c r="V65" s="1128">
        <v>12</v>
      </c>
      <c r="W65" s="2278" t="s">
        <v>1820</v>
      </c>
      <c r="X65" s="2278" t="s">
        <v>1783</v>
      </c>
      <c r="Y65" s="1674">
        <f t="shared" si="4"/>
        <v>2040</v>
      </c>
      <c r="Z65" s="275">
        <f>+Q65*S65*V65</f>
        <v>2040000</v>
      </c>
      <c r="AA65" s="321"/>
      <c r="AB65" s="358"/>
    </row>
    <row r="66" spans="1:28" s="1675" customFormat="1" ht="23.1" customHeight="1">
      <c r="A66" s="334"/>
      <c r="B66" s="335"/>
      <c r="C66" s="1126"/>
      <c r="D66" s="1126"/>
      <c r="E66" s="350" t="s">
        <v>1790</v>
      </c>
      <c r="F66" s="351">
        <f>+Y66</f>
        <v>7200</v>
      </c>
      <c r="G66" s="351">
        <v>7200</v>
      </c>
      <c r="H66" s="352"/>
      <c r="I66" s="1127"/>
      <c r="J66" s="1714" t="s">
        <v>1794</v>
      </c>
      <c r="K66" s="2271"/>
      <c r="L66" s="2271"/>
      <c r="M66" s="2271"/>
      <c r="N66" s="2271"/>
      <c r="O66" s="2271"/>
      <c r="P66" s="353"/>
      <c r="Q66" s="2277"/>
      <c r="R66" s="1857"/>
      <c r="S66" s="1858"/>
      <c r="T66" s="1857"/>
      <c r="U66" s="2277"/>
      <c r="V66" s="353"/>
      <c r="W66" s="2277"/>
      <c r="X66" s="2277"/>
      <c r="Y66" s="356">
        <f t="shared" si="4"/>
        <v>7200</v>
      </c>
      <c r="Z66" s="275">
        <f>SUM(Z67:Z69)</f>
        <v>7200000</v>
      </c>
      <c r="AA66" s="321"/>
      <c r="AB66" s="347"/>
    </row>
    <row r="67" spans="1:28" s="1675" customFormat="1" ht="23.1" customHeight="1">
      <c r="A67" s="334"/>
      <c r="B67" s="335"/>
      <c r="C67" s="1126"/>
      <c r="D67" s="1126"/>
      <c r="E67" s="1126"/>
      <c r="F67" s="337"/>
      <c r="G67" s="337"/>
      <c r="H67" s="338"/>
      <c r="I67" s="1127"/>
      <c r="J67" s="2274" t="s">
        <v>2083</v>
      </c>
      <c r="K67" s="2275"/>
      <c r="L67" s="2275"/>
      <c r="M67" s="2275"/>
      <c r="N67" s="2275"/>
      <c r="O67" s="2275"/>
      <c r="P67" s="1128"/>
      <c r="Q67" s="2278"/>
      <c r="R67" s="344"/>
      <c r="S67" s="1854">
        <v>100000</v>
      </c>
      <c r="T67" s="344" t="s">
        <v>2068</v>
      </c>
      <c r="U67" s="2278"/>
      <c r="V67" s="1128">
        <v>12</v>
      </c>
      <c r="W67" s="1675" t="s">
        <v>1795</v>
      </c>
      <c r="X67" s="2278" t="s">
        <v>1783</v>
      </c>
      <c r="Y67" s="1674">
        <f t="shared" si="4"/>
        <v>1200</v>
      </c>
      <c r="Z67" s="275">
        <f>+S67*V67</f>
        <v>1200000</v>
      </c>
      <c r="AA67" s="321"/>
      <c r="AB67" s="347"/>
    </row>
    <row r="68" spans="1:28" s="1675" customFormat="1" ht="23.1" customHeight="1">
      <c r="A68" s="334"/>
      <c r="B68" s="335"/>
      <c r="C68" s="1126"/>
      <c r="D68" s="1126"/>
      <c r="E68" s="1126"/>
      <c r="F68" s="337"/>
      <c r="G68" s="337"/>
      <c r="H68" s="338"/>
      <c r="I68" s="1127"/>
      <c r="J68" s="2274" t="s">
        <v>2084</v>
      </c>
      <c r="K68" s="2275"/>
      <c r="L68" s="2275"/>
      <c r="M68" s="2275"/>
      <c r="N68" s="2275"/>
      <c r="O68" s="2275"/>
      <c r="P68" s="1128"/>
      <c r="Q68" s="2278"/>
      <c r="R68" s="344"/>
      <c r="S68" s="1854">
        <v>200000</v>
      </c>
      <c r="T68" s="344" t="s">
        <v>2068</v>
      </c>
      <c r="U68" s="2278"/>
      <c r="V68" s="1128">
        <v>12</v>
      </c>
      <c r="W68" s="1675" t="s">
        <v>1795</v>
      </c>
      <c r="X68" s="1718" t="s">
        <v>1783</v>
      </c>
      <c r="Y68" s="1674">
        <f t="shared" si="4"/>
        <v>2400</v>
      </c>
      <c r="Z68" s="275">
        <f>S68*V68</f>
        <v>2400000</v>
      </c>
      <c r="AA68" s="321"/>
      <c r="AB68" s="347"/>
    </row>
    <row r="69" spans="1:28" s="357" customFormat="1" ht="23.1" customHeight="1">
      <c r="A69" s="334"/>
      <c r="B69" s="335"/>
      <c r="C69" s="1126"/>
      <c r="D69" s="1126"/>
      <c r="E69" s="359"/>
      <c r="F69" s="360"/>
      <c r="G69" s="360"/>
      <c r="H69" s="361"/>
      <c r="I69" s="1127"/>
      <c r="J69" s="1862" t="s">
        <v>2085</v>
      </c>
      <c r="K69" s="2268"/>
      <c r="L69" s="2268"/>
      <c r="M69" s="2268"/>
      <c r="N69" s="2268"/>
      <c r="O69" s="2268"/>
      <c r="P69" s="1626"/>
      <c r="Q69" s="1130"/>
      <c r="R69" s="362"/>
      <c r="S69" s="1846">
        <v>300000</v>
      </c>
      <c r="T69" s="362" t="s">
        <v>2068</v>
      </c>
      <c r="U69" s="1130"/>
      <c r="V69" s="1130">
        <v>12</v>
      </c>
      <c r="W69" s="1626" t="s">
        <v>1795</v>
      </c>
      <c r="X69" s="1863" t="s">
        <v>1783</v>
      </c>
      <c r="Y69" s="345">
        <f t="shared" si="4"/>
        <v>3600</v>
      </c>
      <c r="Z69" s="275">
        <f>S69*V69</f>
        <v>3600000</v>
      </c>
      <c r="AA69" s="321"/>
      <c r="AB69" s="358"/>
    </row>
    <row r="70" spans="1:28" s="357" customFormat="1" ht="23.1" customHeight="1">
      <c r="A70" s="334"/>
      <c r="B70" s="335"/>
      <c r="C70" s="1126"/>
      <c r="D70" s="1126"/>
      <c r="E70" s="1126" t="s">
        <v>1791</v>
      </c>
      <c r="F70" s="337">
        <f>+Y70</f>
        <v>12980</v>
      </c>
      <c r="G70" s="337">
        <v>12980</v>
      </c>
      <c r="H70" s="352"/>
      <c r="I70" s="1127"/>
      <c r="J70" s="348" t="s">
        <v>1794</v>
      </c>
      <c r="K70" s="2278"/>
      <c r="L70" s="2278"/>
      <c r="M70" s="2278"/>
      <c r="N70" s="2278"/>
      <c r="O70" s="2278"/>
      <c r="P70" s="1128"/>
      <c r="Q70" s="2278"/>
      <c r="R70" s="344"/>
      <c r="S70" s="1854"/>
      <c r="T70" s="344"/>
      <c r="U70" s="2278"/>
      <c r="V70" s="1128"/>
      <c r="W70" s="2278"/>
      <c r="X70" s="2278"/>
      <c r="Y70" s="356">
        <f t="shared" si="4"/>
        <v>12980</v>
      </c>
      <c r="Z70" s="275">
        <f>SUM(Z71:Z74)</f>
        <v>12980000</v>
      </c>
      <c r="AA70" s="321"/>
      <c r="AB70" s="358"/>
    </row>
    <row r="71" spans="1:28" s="357" customFormat="1" ht="23.1" customHeight="1">
      <c r="A71" s="334"/>
      <c r="B71" s="335"/>
      <c r="C71" s="1126"/>
      <c r="D71" s="1126"/>
      <c r="E71" s="1126"/>
      <c r="F71" s="337"/>
      <c r="G71" s="337"/>
      <c r="H71" s="338"/>
      <c r="I71" s="1127"/>
      <c r="J71" s="2274" t="s">
        <v>2086</v>
      </c>
      <c r="K71" s="2275"/>
      <c r="L71" s="2275"/>
      <c r="M71" s="2275"/>
      <c r="N71" s="2275"/>
      <c r="O71" s="2275"/>
      <c r="P71" s="1675"/>
      <c r="Q71" s="1675"/>
      <c r="R71" s="1864" t="s">
        <v>2087</v>
      </c>
      <c r="S71" s="1854">
        <v>1500000</v>
      </c>
      <c r="T71" s="344" t="s">
        <v>2068</v>
      </c>
      <c r="U71" s="1128"/>
      <c r="V71" s="1128">
        <v>1</v>
      </c>
      <c r="W71" s="2278" t="s">
        <v>1823</v>
      </c>
      <c r="X71" s="1718" t="s">
        <v>1783</v>
      </c>
      <c r="Y71" s="1674">
        <f t="shared" si="4"/>
        <v>1500</v>
      </c>
      <c r="Z71" s="275">
        <f>S71*V71</f>
        <v>1500000</v>
      </c>
      <c r="AA71" s="321"/>
      <c r="AB71" s="358"/>
    </row>
    <row r="72" spans="1:28" s="357" customFormat="1" ht="23.1" customHeight="1">
      <c r="A72" s="334"/>
      <c r="B72" s="335"/>
      <c r="C72" s="1126"/>
      <c r="D72" s="1126"/>
      <c r="E72" s="1126"/>
      <c r="F72" s="337"/>
      <c r="G72" s="337"/>
      <c r="H72" s="338"/>
      <c r="I72" s="1127"/>
      <c r="J72" s="2274" t="s">
        <v>2088</v>
      </c>
      <c r="K72" s="2275"/>
      <c r="L72" s="2275"/>
      <c r="M72" s="2275"/>
      <c r="N72" s="2275"/>
      <c r="O72" s="2275"/>
      <c r="P72" s="1675"/>
      <c r="Q72" s="1675"/>
      <c r="R72" s="1864"/>
      <c r="S72" s="1854">
        <v>1500000</v>
      </c>
      <c r="T72" s="344" t="s">
        <v>2068</v>
      </c>
      <c r="U72" s="1128"/>
      <c r="V72" s="1128">
        <v>1</v>
      </c>
      <c r="W72" s="2278" t="s">
        <v>1788</v>
      </c>
      <c r="X72" s="1718" t="s">
        <v>1783</v>
      </c>
      <c r="Y72" s="1674">
        <f t="shared" si="4"/>
        <v>1500</v>
      </c>
      <c r="Z72" s="275">
        <f>S72*V72</f>
        <v>1500000</v>
      </c>
      <c r="AA72" s="321"/>
      <c r="AB72" s="358"/>
    </row>
    <row r="73" spans="1:28" s="357" customFormat="1" ht="23.1" customHeight="1">
      <c r="A73" s="334"/>
      <c r="B73" s="335"/>
      <c r="C73" s="1126"/>
      <c r="D73" s="1126"/>
      <c r="E73" s="1126"/>
      <c r="F73" s="337"/>
      <c r="G73" s="337"/>
      <c r="H73" s="338"/>
      <c r="I73" s="1127"/>
      <c r="J73" s="2274" t="s">
        <v>2089</v>
      </c>
      <c r="K73" s="2275"/>
      <c r="L73" s="2275"/>
      <c r="M73" s="2275"/>
      <c r="N73" s="2275"/>
      <c r="O73" s="2275"/>
      <c r="P73" s="1675"/>
      <c r="Q73" s="1675"/>
      <c r="R73" s="1864"/>
      <c r="S73" s="1854">
        <v>730000</v>
      </c>
      <c r="T73" s="344" t="s">
        <v>2068</v>
      </c>
      <c r="U73" s="1128"/>
      <c r="V73" s="1128">
        <v>12</v>
      </c>
      <c r="W73" s="2278" t="s">
        <v>1795</v>
      </c>
      <c r="X73" s="2278" t="s">
        <v>1783</v>
      </c>
      <c r="Y73" s="1674">
        <f t="shared" si="4"/>
        <v>8760</v>
      </c>
      <c r="Z73" s="275">
        <f>S73*V73</f>
        <v>8760000</v>
      </c>
      <c r="AA73" s="321"/>
      <c r="AB73" s="358"/>
    </row>
    <row r="74" spans="1:28" s="1675" customFormat="1" ht="23.1" customHeight="1">
      <c r="A74" s="334"/>
      <c r="B74" s="335"/>
      <c r="C74" s="1126"/>
      <c r="D74" s="1126"/>
      <c r="E74" s="1126"/>
      <c r="F74" s="337"/>
      <c r="G74" s="337"/>
      <c r="H74" s="338"/>
      <c r="I74" s="1127"/>
      <c r="J74" s="2274" t="s">
        <v>2090</v>
      </c>
      <c r="K74" s="2278"/>
      <c r="L74" s="2278"/>
      <c r="M74" s="2278"/>
      <c r="N74" s="2278"/>
      <c r="O74" s="2278"/>
      <c r="Q74" s="1128"/>
      <c r="R74" s="344"/>
      <c r="S74" s="1854">
        <v>305000</v>
      </c>
      <c r="T74" s="344" t="s">
        <v>2068</v>
      </c>
      <c r="U74" s="1128"/>
      <c r="V74" s="1128">
        <v>4</v>
      </c>
      <c r="W74" s="2278" t="s">
        <v>1823</v>
      </c>
      <c r="X74" s="1718" t="s">
        <v>1783</v>
      </c>
      <c r="Y74" s="345">
        <f t="shared" si="4"/>
        <v>1220</v>
      </c>
      <c r="Z74" s="275">
        <f>S74*V74</f>
        <v>1220000</v>
      </c>
      <c r="AA74" s="321"/>
      <c r="AB74" s="347"/>
    </row>
    <row r="75" spans="1:28" s="357" customFormat="1" ht="23.1" customHeight="1">
      <c r="A75" s="334"/>
      <c r="B75" s="335"/>
      <c r="C75" s="1126"/>
      <c r="D75" s="1126"/>
      <c r="E75" s="350" t="s">
        <v>1824</v>
      </c>
      <c r="F75" s="351">
        <f>+Y75</f>
        <v>12600</v>
      </c>
      <c r="G75" s="351">
        <v>12600</v>
      </c>
      <c r="H75" s="352"/>
      <c r="I75" s="1127"/>
      <c r="J75" s="3398" t="s">
        <v>1794</v>
      </c>
      <c r="K75" s="3399"/>
      <c r="L75" s="3399"/>
      <c r="M75" s="3399"/>
      <c r="N75" s="3399"/>
      <c r="O75" s="3399"/>
      <c r="P75" s="353"/>
      <c r="Q75" s="2277"/>
      <c r="R75" s="1857"/>
      <c r="S75" s="1858"/>
      <c r="T75" s="1857"/>
      <c r="U75" s="2277"/>
      <c r="V75" s="353"/>
      <c r="W75" s="2277"/>
      <c r="X75" s="2277"/>
      <c r="Y75" s="356">
        <f t="shared" si="4"/>
        <v>12600</v>
      </c>
      <c r="Z75" s="275">
        <f>SUM(Z76:Z78)</f>
        <v>12600000</v>
      </c>
      <c r="AA75" s="321"/>
      <c r="AB75" s="358"/>
    </row>
    <row r="76" spans="1:28" s="357" customFormat="1" ht="22.5" customHeight="1">
      <c r="A76" s="334"/>
      <c r="B76" s="335"/>
      <c r="C76" s="1126"/>
      <c r="D76" s="1126"/>
      <c r="E76" s="1126"/>
      <c r="F76" s="337"/>
      <c r="G76" s="337"/>
      <c r="H76" s="338"/>
      <c r="I76" s="1127"/>
      <c r="J76" s="348" t="s">
        <v>2091</v>
      </c>
      <c r="K76" s="2278"/>
      <c r="L76" s="2278"/>
      <c r="M76" s="2278"/>
      <c r="N76" s="2278"/>
      <c r="O76" s="2278"/>
      <c r="P76" s="1128"/>
      <c r="Q76" s="2278"/>
      <c r="R76" s="1865"/>
      <c r="S76" s="365">
        <v>600000</v>
      </c>
      <c r="T76" s="2288" t="s">
        <v>0</v>
      </c>
      <c r="U76" s="2278"/>
      <c r="V76" s="2288">
        <v>12</v>
      </c>
      <c r="W76" s="2278" t="s">
        <v>1820</v>
      </c>
      <c r="X76" s="1718" t="s">
        <v>1783</v>
      </c>
      <c r="Y76" s="1674">
        <f t="shared" si="4"/>
        <v>7200</v>
      </c>
      <c r="Z76" s="275">
        <f>S76*V76</f>
        <v>7200000</v>
      </c>
      <c r="AA76" s="321"/>
      <c r="AB76" s="358"/>
    </row>
    <row r="77" spans="1:28" s="357" customFormat="1" ht="22.5" customHeight="1">
      <c r="A77" s="334"/>
      <c r="B77" s="335"/>
      <c r="C77" s="1126"/>
      <c r="D77" s="1126"/>
      <c r="E77" s="1126"/>
      <c r="F77" s="337"/>
      <c r="G77" s="337"/>
      <c r="H77" s="338"/>
      <c r="I77" s="1127"/>
      <c r="J77" s="348" t="s">
        <v>2092</v>
      </c>
      <c r="K77" s="2278"/>
      <c r="L77" s="2278"/>
      <c r="M77" s="2278"/>
      <c r="N77" s="2278"/>
      <c r="O77" s="2278"/>
      <c r="P77" s="1128"/>
      <c r="Q77" s="2278">
        <v>1</v>
      </c>
      <c r="R77" s="1865" t="s">
        <v>2070</v>
      </c>
      <c r="S77" s="365">
        <v>100000</v>
      </c>
      <c r="T77" s="2288" t="s">
        <v>0</v>
      </c>
      <c r="U77" s="2278"/>
      <c r="V77" s="2288">
        <v>12</v>
      </c>
      <c r="W77" s="2278" t="s">
        <v>1820</v>
      </c>
      <c r="X77" s="1718" t="s">
        <v>1783</v>
      </c>
      <c r="Y77" s="1674">
        <f t="shared" si="4"/>
        <v>1200</v>
      </c>
      <c r="Z77" s="275">
        <f>Q77*S77*V77</f>
        <v>1200000</v>
      </c>
      <c r="AA77" s="321"/>
      <c r="AB77" s="358"/>
    </row>
    <row r="78" spans="1:28" s="357" customFormat="1" ht="22.5" customHeight="1">
      <c r="A78" s="334"/>
      <c r="B78" s="335"/>
      <c r="C78" s="1126"/>
      <c r="D78" s="1126"/>
      <c r="E78" s="1126"/>
      <c r="F78" s="337"/>
      <c r="G78" s="337"/>
      <c r="H78" s="338"/>
      <c r="I78" s="1127"/>
      <c r="J78" s="348" t="s">
        <v>2093</v>
      </c>
      <c r="K78" s="2278"/>
      <c r="L78" s="2278"/>
      <c r="M78" s="2278"/>
      <c r="N78" s="2278"/>
      <c r="O78" s="2278"/>
      <c r="P78" s="1128"/>
      <c r="Q78" s="2278">
        <v>1</v>
      </c>
      <c r="R78" s="1865" t="s">
        <v>2070</v>
      </c>
      <c r="S78" s="365">
        <v>350000</v>
      </c>
      <c r="T78" s="2288" t="s">
        <v>1782</v>
      </c>
      <c r="U78" s="2278"/>
      <c r="V78" s="2288">
        <v>12</v>
      </c>
      <c r="W78" s="2278" t="s">
        <v>1820</v>
      </c>
      <c r="X78" s="1718" t="s">
        <v>1783</v>
      </c>
      <c r="Y78" s="1674">
        <f t="shared" si="4"/>
        <v>4200</v>
      </c>
      <c r="Z78" s="275">
        <f>Q78*S78*V78</f>
        <v>4200000</v>
      </c>
      <c r="AA78" s="321"/>
      <c r="AB78" s="358"/>
    </row>
    <row r="79" spans="1:28" s="357" customFormat="1" ht="22.5" customHeight="1">
      <c r="A79" s="334"/>
      <c r="B79" s="335"/>
      <c r="C79" s="1126"/>
      <c r="D79" s="1126"/>
      <c r="E79" s="367" t="s">
        <v>2094</v>
      </c>
      <c r="F79" s="351">
        <f>+Y79</f>
        <v>21600</v>
      </c>
      <c r="G79" s="351">
        <v>21600</v>
      </c>
      <c r="H79" s="352"/>
      <c r="I79" s="1127"/>
      <c r="J79" s="3398" t="s">
        <v>1794</v>
      </c>
      <c r="K79" s="3399"/>
      <c r="L79" s="3399"/>
      <c r="M79" s="3399"/>
      <c r="N79" s="3399"/>
      <c r="O79" s="3399"/>
      <c r="P79" s="353"/>
      <c r="Q79" s="2277"/>
      <c r="R79" s="1857"/>
      <c r="S79" s="1858"/>
      <c r="T79" s="1857"/>
      <c r="U79" s="2277"/>
      <c r="V79" s="353"/>
      <c r="W79" s="2277"/>
      <c r="X79" s="2277"/>
      <c r="Y79" s="356">
        <f t="shared" si="4"/>
        <v>21600</v>
      </c>
      <c r="Z79" s="275">
        <f>SUM(Z80:Z81)</f>
        <v>21600000</v>
      </c>
      <c r="AA79" s="321"/>
      <c r="AB79" s="358"/>
    </row>
    <row r="80" spans="1:28" s="357" customFormat="1" ht="22.5" customHeight="1">
      <c r="A80" s="334"/>
      <c r="B80" s="335"/>
      <c r="C80" s="1126"/>
      <c r="D80" s="1126"/>
      <c r="E80" s="1126"/>
      <c r="F80" s="337"/>
      <c r="G80" s="337"/>
      <c r="H80" s="338"/>
      <c r="I80" s="1127"/>
      <c r="J80" s="2274" t="s">
        <v>2095</v>
      </c>
      <c r="K80" s="2275"/>
      <c r="L80" s="2275"/>
      <c r="M80" s="2275"/>
      <c r="N80" s="2275"/>
      <c r="O80" s="1675"/>
      <c r="P80" s="1675"/>
      <c r="Q80" s="1128">
        <v>1</v>
      </c>
      <c r="R80" s="344" t="s">
        <v>2096</v>
      </c>
      <c r="S80" s="1854">
        <v>600000</v>
      </c>
      <c r="T80" s="344" t="s">
        <v>2068</v>
      </c>
      <c r="U80" s="1675"/>
      <c r="V80" s="1128">
        <v>12</v>
      </c>
      <c r="W80" s="2278" t="s">
        <v>1795</v>
      </c>
      <c r="X80" s="1718" t="s">
        <v>1783</v>
      </c>
      <c r="Y80" s="1674">
        <f t="shared" si="4"/>
        <v>7200</v>
      </c>
      <c r="Z80" s="275">
        <f>+Q80*S80*V80</f>
        <v>7200000</v>
      </c>
      <c r="AA80" s="347"/>
      <c r="AB80" s="358"/>
    </row>
    <row r="81" spans="1:28" s="357" customFormat="1" ht="22.5" customHeight="1">
      <c r="A81" s="334"/>
      <c r="B81" s="2275"/>
      <c r="C81" s="1126"/>
      <c r="D81" s="1126"/>
      <c r="E81" s="1126"/>
      <c r="F81" s="337"/>
      <c r="G81" s="337"/>
      <c r="H81" s="338"/>
      <c r="I81" s="1127"/>
      <c r="J81" s="3400" t="s">
        <v>2097</v>
      </c>
      <c r="K81" s="3401"/>
      <c r="L81" s="3401"/>
      <c r="M81" s="2275"/>
      <c r="N81" s="2275"/>
      <c r="O81" s="1675"/>
      <c r="P81" s="1675"/>
      <c r="Q81" s="1128">
        <v>4</v>
      </c>
      <c r="R81" s="344" t="s">
        <v>2096</v>
      </c>
      <c r="S81" s="1854">
        <v>300000</v>
      </c>
      <c r="T81" s="344" t="s">
        <v>2068</v>
      </c>
      <c r="U81" s="1675"/>
      <c r="V81" s="1128">
        <v>12</v>
      </c>
      <c r="W81" s="2278" t="s">
        <v>2071</v>
      </c>
      <c r="X81" s="1718" t="s">
        <v>1783</v>
      </c>
      <c r="Y81" s="345">
        <f t="shared" si="4"/>
        <v>14400</v>
      </c>
      <c r="Z81" s="275">
        <f>Q81*S81*V81</f>
        <v>14400000</v>
      </c>
      <c r="AA81" s="347"/>
      <c r="AB81" s="358"/>
    </row>
    <row r="82" spans="1:28" s="1675" customFormat="1" ht="22.5" customHeight="1">
      <c r="A82" s="334"/>
      <c r="B82" s="335"/>
      <c r="C82" s="1126"/>
      <c r="D82" s="1126"/>
      <c r="E82" s="350" t="s">
        <v>1825</v>
      </c>
      <c r="F82" s="351">
        <f>+Y82</f>
        <v>2580</v>
      </c>
      <c r="G82" s="351">
        <v>2580</v>
      </c>
      <c r="H82" s="352"/>
      <c r="I82" s="1127"/>
      <c r="J82" s="1714" t="s">
        <v>1794</v>
      </c>
      <c r="K82" s="2277"/>
      <c r="L82" s="2277"/>
      <c r="M82" s="2277"/>
      <c r="N82" s="2277"/>
      <c r="O82" s="2277"/>
      <c r="P82" s="353"/>
      <c r="Q82" s="2277"/>
      <c r="R82" s="1857"/>
      <c r="S82" s="1858"/>
      <c r="T82" s="1857"/>
      <c r="U82" s="2277"/>
      <c r="V82" s="353"/>
      <c r="W82" s="2277"/>
      <c r="X82" s="2277"/>
      <c r="Y82" s="356">
        <f t="shared" si="4"/>
        <v>2580</v>
      </c>
      <c r="Z82" s="275">
        <f>SUM(Z83:Z86)</f>
        <v>2580000</v>
      </c>
      <c r="AA82" s="321"/>
      <c r="AB82" s="347"/>
    </row>
    <row r="83" spans="1:28" s="1675" customFormat="1" ht="22.5" customHeight="1">
      <c r="A83" s="334"/>
      <c r="B83" s="335"/>
      <c r="C83" s="1126"/>
      <c r="D83" s="1126"/>
      <c r="E83" s="1126"/>
      <c r="F83" s="337"/>
      <c r="G83" s="337"/>
      <c r="H83" s="338"/>
      <c r="I83" s="1127"/>
      <c r="J83" s="348" t="s">
        <v>2098</v>
      </c>
      <c r="K83" s="2278"/>
      <c r="L83" s="2278"/>
      <c r="M83" s="2278"/>
      <c r="N83" s="2278"/>
      <c r="O83" s="2278"/>
      <c r="Q83" s="1128">
        <v>150</v>
      </c>
      <c r="R83" s="344" t="s">
        <v>2099</v>
      </c>
      <c r="S83" s="1854">
        <v>5000</v>
      </c>
      <c r="T83" s="344" t="s">
        <v>2068</v>
      </c>
      <c r="V83" s="1128">
        <v>2</v>
      </c>
      <c r="W83" s="2278" t="s">
        <v>2100</v>
      </c>
      <c r="X83" s="1718" t="s">
        <v>1783</v>
      </c>
      <c r="Y83" s="1674">
        <f t="shared" si="4"/>
        <v>1500</v>
      </c>
      <c r="Z83" s="275">
        <f>+Q83*S83*V83</f>
        <v>1500000</v>
      </c>
      <c r="AA83" s="321"/>
      <c r="AB83" s="347"/>
    </row>
    <row r="84" spans="1:28" s="1675" customFormat="1" ht="22.5" customHeight="1">
      <c r="A84" s="334"/>
      <c r="B84" s="335"/>
      <c r="C84" s="1126"/>
      <c r="D84" s="1126"/>
      <c r="E84" s="1126"/>
      <c r="F84" s="337"/>
      <c r="G84" s="337"/>
      <c r="H84" s="338"/>
      <c r="I84" s="1127"/>
      <c r="J84" s="348" t="s">
        <v>2101</v>
      </c>
      <c r="K84" s="2278"/>
      <c r="L84" s="2278"/>
      <c r="M84" s="2278"/>
      <c r="N84" s="2278"/>
      <c r="O84" s="2278"/>
      <c r="Q84" s="1128"/>
      <c r="R84" s="344"/>
      <c r="S84" s="1854">
        <v>20000</v>
      </c>
      <c r="T84" s="344" t="s">
        <v>2068</v>
      </c>
      <c r="V84" s="1128">
        <v>12</v>
      </c>
      <c r="W84" s="2278" t="s">
        <v>1795</v>
      </c>
      <c r="X84" s="1718" t="s">
        <v>1783</v>
      </c>
      <c r="Y84" s="1674">
        <f t="shared" si="4"/>
        <v>240</v>
      </c>
      <c r="Z84" s="275">
        <f>+S84*V84</f>
        <v>240000</v>
      </c>
      <c r="AA84" s="321"/>
      <c r="AB84" s="347"/>
    </row>
    <row r="85" spans="1:28" s="1675" customFormat="1" ht="22.5" customHeight="1">
      <c r="A85" s="334"/>
      <c r="B85" s="335"/>
      <c r="C85" s="1126"/>
      <c r="D85" s="1126"/>
      <c r="E85" s="1126"/>
      <c r="F85" s="337"/>
      <c r="G85" s="337"/>
      <c r="H85" s="338"/>
      <c r="I85" s="1127"/>
      <c r="J85" s="348" t="s">
        <v>2102</v>
      </c>
      <c r="K85" s="2278"/>
      <c r="L85" s="2278"/>
      <c r="M85" s="2278"/>
      <c r="N85" s="2278"/>
      <c r="O85" s="2278"/>
      <c r="Q85" s="1128">
        <v>20</v>
      </c>
      <c r="R85" s="344" t="s">
        <v>2103</v>
      </c>
      <c r="S85" s="1854">
        <v>45000</v>
      </c>
      <c r="T85" s="344" t="s">
        <v>2104</v>
      </c>
      <c r="V85" s="1128">
        <v>12</v>
      </c>
      <c r="W85" s="2278" t="s">
        <v>2105</v>
      </c>
      <c r="X85" s="1718" t="s">
        <v>2106</v>
      </c>
      <c r="Y85" s="1674">
        <f t="shared" si="4"/>
        <v>540</v>
      </c>
      <c r="Z85" s="275">
        <f>+S85*V85</f>
        <v>540000</v>
      </c>
      <c r="AA85" s="321"/>
      <c r="AB85" s="347"/>
    </row>
    <row r="86" spans="1:28" s="1675" customFormat="1" ht="22.5" customHeight="1">
      <c r="A86" s="334"/>
      <c r="B86" s="335"/>
      <c r="C86" s="1126"/>
      <c r="D86" s="1126"/>
      <c r="E86" s="1126"/>
      <c r="F86" s="337"/>
      <c r="G86" s="337"/>
      <c r="H86" s="338"/>
      <c r="I86" s="1127"/>
      <c r="J86" s="348" t="s">
        <v>2107</v>
      </c>
      <c r="K86" s="2278"/>
      <c r="L86" s="2278"/>
      <c r="M86" s="2278"/>
      <c r="N86" s="2278"/>
      <c r="O86" s="2278"/>
      <c r="Q86" s="1128">
        <v>1</v>
      </c>
      <c r="R86" s="344" t="s">
        <v>2108</v>
      </c>
      <c r="S86" s="1854">
        <v>25000</v>
      </c>
      <c r="T86" s="344" t="s">
        <v>2104</v>
      </c>
      <c r="V86" s="1128">
        <v>12</v>
      </c>
      <c r="W86" s="2278" t="s">
        <v>2105</v>
      </c>
      <c r="X86" s="1718" t="s">
        <v>2106</v>
      </c>
      <c r="Y86" s="1674">
        <f t="shared" si="4"/>
        <v>300</v>
      </c>
      <c r="Z86" s="275">
        <f>+S86*V86</f>
        <v>300000</v>
      </c>
      <c r="AA86" s="321"/>
      <c r="AB86" s="347"/>
    </row>
    <row r="87" spans="1:28" s="357" customFormat="1" ht="22.5" customHeight="1">
      <c r="A87" s="334"/>
      <c r="B87" s="335"/>
      <c r="C87" s="1126"/>
      <c r="D87" s="1126"/>
      <c r="E87" s="350" t="s">
        <v>2109</v>
      </c>
      <c r="F87" s="351">
        <f>+Y87</f>
        <v>2100</v>
      </c>
      <c r="G87" s="351">
        <v>2100</v>
      </c>
      <c r="H87" s="352"/>
      <c r="I87" s="1127"/>
      <c r="J87" s="501" t="s">
        <v>2110</v>
      </c>
      <c r="K87" s="2276"/>
      <c r="L87" s="2276"/>
      <c r="M87" s="2276"/>
      <c r="N87" s="2276"/>
      <c r="O87" s="2276"/>
      <c r="P87" s="1146"/>
      <c r="Q87" s="485">
        <v>30</v>
      </c>
      <c r="R87" s="1002" t="s">
        <v>2111</v>
      </c>
      <c r="S87" s="1848">
        <v>10000</v>
      </c>
      <c r="T87" s="1002" t="s">
        <v>2068</v>
      </c>
      <c r="U87" s="484"/>
      <c r="V87" s="484">
        <v>7</v>
      </c>
      <c r="W87" s="2276" t="s">
        <v>1823</v>
      </c>
      <c r="X87" s="850" t="s">
        <v>1783</v>
      </c>
      <c r="Y87" s="377">
        <f t="shared" si="4"/>
        <v>2100</v>
      </c>
      <c r="Z87" s="275">
        <f>S87*Q87*V87</f>
        <v>2100000</v>
      </c>
      <c r="AA87" s="321"/>
      <c r="AB87" s="358"/>
    </row>
    <row r="88" spans="1:28" s="1675" customFormat="1" ht="22.5" customHeight="1">
      <c r="A88" s="334"/>
      <c r="B88" s="335"/>
      <c r="C88" s="1126"/>
      <c r="D88" s="3284" t="s">
        <v>2112</v>
      </c>
      <c r="E88" s="3285"/>
      <c r="F88" s="373">
        <f>+F89</f>
        <v>5000</v>
      </c>
      <c r="G88" s="373">
        <f>+G89</f>
        <v>5000</v>
      </c>
      <c r="H88" s="1132">
        <f>+F88-G88</f>
        <v>0</v>
      </c>
      <c r="I88" s="1127"/>
      <c r="J88" s="374"/>
      <c r="K88" s="375"/>
      <c r="L88" s="375"/>
      <c r="M88" s="375"/>
      <c r="N88" s="375"/>
      <c r="O88" s="375"/>
      <c r="P88" s="376"/>
      <c r="Q88" s="375"/>
      <c r="R88" s="1856"/>
      <c r="S88" s="1848"/>
      <c r="T88" s="1856"/>
      <c r="U88" s="375"/>
      <c r="V88" s="376"/>
      <c r="W88" s="375"/>
      <c r="X88" s="375"/>
      <c r="Y88" s="377"/>
      <c r="Z88" s="275">
        <f>+Z89</f>
        <v>5000000</v>
      </c>
      <c r="AA88" s="321"/>
      <c r="AB88" s="347"/>
    </row>
    <row r="89" spans="1:28" s="357" customFormat="1" ht="22.5" customHeight="1">
      <c r="A89" s="334"/>
      <c r="B89" s="335"/>
      <c r="C89" s="1126"/>
      <c r="D89" s="1126"/>
      <c r="E89" s="1126" t="s">
        <v>1821</v>
      </c>
      <c r="F89" s="337">
        <f>+Y89</f>
        <v>5000</v>
      </c>
      <c r="G89" s="337">
        <v>5000</v>
      </c>
      <c r="H89" s="352"/>
      <c r="I89" s="1127"/>
      <c r="J89" s="3149" t="s">
        <v>194</v>
      </c>
      <c r="K89" s="3150"/>
      <c r="L89" s="3150"/>
      <c r="M89" s="3150"/>
      <c r="N89" s="3150"/>
      <c r="O89" s="2951"/>
      <c r="P89" s="3151"/>
      <c r="Q89" s="3151"/>
      <c r="R89" s="3152"/>
      <c r="S89" s="3153"/>
      <c r="T89" s="3154"/>
      <c r="U89" s="3151"/>
      <c r="V89" s="3013"/>
      <c r="W89" s="2951"/>
      <c r="X89" s="3155"/>
      <c r="Y89" s="3156">
        <f t="shared" ref="Y89:Y91" si="5">+Z89/1000</f>
        <v>5000</v>
      </c>
      <c r="Z89" s="275">
        <f>Z90+Z91</f>
        <v>5000000</v>
      </c>
      <c r="AA89" s="321"/>
      <c r="AB89" s="358"/>
    </row>
    <row r="90" spans="1:28" s="357" customFormat="1" ht="22.5" customHeight="1">
      <c r="A90" s="334"/>
      <c r="B90" s="335"/>
      <c r="C90" s="1154"/>
      <c r="D90" s="1126"/>
      <c r="E90" s="470"/>
      <c r="F90" s="337"/>
      <c r="G90" s="337"/>
      <c r="H90" s="338"/>
      <c r="I90" s="1127"/>
      <c r="J90" s="3157" t="s">
        <v>6105</v>
      </c>
      <c r="K90" s="2951"/>
      <c r="L90" s="2951"/>
      <c r="M90" s="2951"/>
      <c r="N90" s="2951"/>
      <c r="O90" s="2951"/>
      <c r="P90" s="3151"/>
      <c r="Q90" s="3151">
        <v>1</v>
      </c>
      <c r="R90" s="3152" t="s">
        <v>2113</v>
      </c>
      <c r="S90" s="3153">
        <v>1300000</v>
      </c>
      <c r="T90" s="3154" t="s">
        <v>2068</v>
      </c>
      <c r="U90" s="3151"/>
      <c r="V90" s="3013">
        <v>1</v>
      </c>
      <c r="W90" s="2951" t="s">
        <v>1822</v>
      </c>
      <c r="X90" s="3155" t="s">
        <v>1783</v>
      </c>
      <c r="Y90" s="3156">
        <f t="shared" si="5"/>
        <v>1300</v>
      </c>
      <c r="Z90" s="275">
        <f t="shared" ref="Z90" si="6">Q90*S90*V90</f>
        <v>1300000</v>
      </c>
      <c r="AA90" s="321"/>
      <c r="AB90" s="358"/>
    </row>
    <row r="91" spans="1:28" s="357" customFormat="1" ht="22.5" customHeight="1" thickBot="1">
      <c r="A91" s="334"/>
      <c r="B91" s="335"/>
      <c r="C91" s="1154"/>
      <c r="D91" s="1133"/>
      <c r="E91" s="470"/>
      <c r="F91" s="337"/>
      <c r="G91" s="337"/>
      <c r="H91" s="338"/>
      <c r="I91" s="1127"/>
      <c r="J91" s="3157" t="s">
        <v>6106</v>
      </c>
      <c r="K91" s="2951"/>
      <c r="L91" s="2951"/>
      <c r="M91" s="2951"/>
      <c r="N91" s="2951"/>
      <c r="O91" s="3158"/>
      <c r="P91" s="3159"/>
      <c r="Q91" s="3159"/>
      <c r="R91" s="3160"/>
      <c r="S91" s="3161">
        <v>1850000</v>
      </c>
      <c r="T91" s="3162" t="s">
        <v>2068</v>
      </c>
      <c r="U91" s="3159"/>
      <c r="V91" s="3163">
        <v>2</v>
      </c>
      <c r="W91" s="3158" t="s">
        <v>1822</v>
      </c>
      <c r="X91" s="3164" t="s">
        <v>1783</v>
      </c>
      <c r="Y91" s="3165">
        <f t="shared" si="5"/>
        <v>3700</v>
      </c>
      <c r="Z91" s="275">
        <f>S91*V91</f>
        <v>3700000</v>
      </c>
      <c r="AA91" s="321"/>
      <c r="AB91" s="358"/>
    </row>
    <row r="92" spans="1:28" s="986" customFormat="1" ht="22.5" customHeight="1" thickBot="1">
      <c r="A92" s="334"/>
      <c r="B92" s="2269" t="s">
        <v>2114</v>
      </c>
      <c r="C92" s="2259"/>
      <c r="D92" s="2259"/>
      <c r="E92" s="1875"/>
      <c r="F92" s="1367">
        <f>F93+F152+F188</f>
        <v>1808000</v>
      </c>
      <c r="G92" s="1367">
        <f>G93+G152+G188</f>
        <v>1808000</v>
      </c>
      <c r="H92" s="838">
        <f>F92-G92</f>
        <v>0</v>
      </c>
      <c r="I92" s="1127"/>
      <c r="J92" s="1368"/>
      <c r="K92" s="1369"/>
      <c r="L92" s="1369"/>
      <c r="M92" s="1369"/>
      <c r="N92" s="1369"/>
      <c r="O92" s="1369"/>
      <c r="P92" s="1370"/>
      <c r="Q92" s="1370"/>
      <c r="R92" s="1371"/>
      <c r="S92" s="1372"/>
      <c r="T92" s="1373"/>
      <c r="U92" s="1370"/>
      <c r="V92" s="1374"/>
      <c r="W92" s="1336"/>
      <c r="X92" s="1375"/>
      <c r="Y92" s="1376"/>
      <c r="Z92" s="275">
        <f t="shared" ref="Z92:Z93" si="7">F92*1000</f>
        <v>1808000000</v>
      </c>
      <c r="AA92" s="321"/>
      <c r="AB92" s="321"/>
    </row>
    <row r="93" spans="1:28" ht="22.5" customHeight="1">
      <c r="A93" s="334"/>
      <c r="B93" s="335"/>
      <c r="C93" s="3411" t="s">
        <v>732</v>
      </c>
      <c r="D93" s="3416"/>
      <c r="E93" s="3412"/>
      <c r="F93" s="600">
        <f>F94</f>
        <v>1362000</v>
      </c>
      <c r="G93" s="600">
        <f>G94</f>
        <v>1362000</v>
      </c>
      <c r="H93" s="1382">
        <f>F93-G93</f>
        <v>0</v>
      </c>
      <c r="I93" s="1127"/>
      <c r="J93" s="1129"/>
      <c r="K93" s="2801"/>
      <c r="L93" s="2801"/>
      <c r="M93" s="2801"/>
      <c r="N93" s="2801"/>
      <c r="O93" s="846"/>
      <c r="P93" s="2929"/>
      <c r="Q93" s="847"/>
      <c r="R93" s="1845"/>
      <c r="S93" s="1846"/>
      <c r="T93" s="362"/>
      <c r="U93" s="846"/>
      <c r="V93" s="2801"/>
      <c r="W93" s="2801"/>
      <c r="X93" s="846"/>
      <c r="Y93" s="1674"/>
      <c r="Z93" s="275">
        <f t="shared" si="7"/>
        <v>1362000000</v>
      </c>
    </row>
    <row r="94" spans="1:28" ht="22.5" customHeight="1">
      <c r="A94" s="334"/>
      <c r="B94" s="335"/>
      <c r="C94" s="1154"/>
      <c r="D94" s="3402" t="s">
        <v>732</v>
      </c>
      <c r="E94" s="3403"/>
      <c r="F94" s="599">
        <f>SUM(F95:F151)</f>
        <v>1362000</v>
      </c>
      <c r="G94" s="599">
        <f>SUM(G95:G151)</f>
        <v>1362000</v>
      </c>
      <c r="H94" s="1383">
        <f>F94-G94</f>
        <v>0</v>
      </c>
      <c r="I94" s="1127"/>
      <c r="J94" s="501"/>
      <c r="K94" s="2932"/>
      <c r="L94" s="2932"/>
      <c r="M94" s="2932"/>
      <c r="N94" s="2932"/>
      <c r="O94" s="800"/>
      <c r="P94" s="2928"/>
      <c r="Q94" s="857"/>
      <c r="R94" s="1847"/>
      <c r="S94" s="1848"/>
      <c r="T94" s="1002"/>
      <c r="U94" s="800"/>
      <c r="V94" s="2932"/>
      <c r="W94" s="2932"/>
      <c r="X94" s="800"/>
      <c r="Y94" s="377">
        <f t="shared" ref="Y94:Y151" si="8">+Z94/1000</f>
        <v>1362000</v>
      </c>
      <c r="Z94" s="275">
        <f>F94*1000</f>
        <v>1362000000</v>
      </c>
    </row>
    <row r="95" spans="1:28" ht="22.5" customHeight="1">
      <c r="A95" s="334"/>
      <c r="B95" s="335"/>
      <c r="C95" s="1851"/>
      <c r="D95" s="1126"/>
      <c r="E95" s="350" t="s">
        <v>2115</v>
      </c>
      <c r="F95" s="351">
        <f>Y95</f>
        <v>428400</v>
      </c>
      <c r="G95" s="351">
        <v>428400</v>
      </c>
      <c r="H95" s="352"/>
      <c r="I95" s="1127"/>
      <c r="J95" s="3097" t="s">
        <v>2116</v>
      </c>
      <c r="K95" s="275"/>
      <c r="L95" s="275"/>
      <c r="M95" s="275"/>
      <c r="N95" s="275"/>
      <c r="O95" s="347"/>
      <c r="P95" s="275"/>
      <c r="Q95" s="3098">
        <v>14</v>
      </c>
      <c r="R95" s="3099" t="s">
        <v>1789</v>
      </c>
      <c r="S95" s="3100">
        <v>2550000</v>
      </c>
      <c r="T95" s="344" t="s">
        <v>1782</v>
      </c>
      <c r="U95" s="275"/>
      <c r="V95" s="3098">
        <v>12</v>
      </c>
      <c r="W95" s="2992" t="s">
        <v>1820</v>
      </c>
      <c r="X95" s="2992" t="s">
        <v>2117</v>
      </c>
      <c r="Y95" s="1674">
        <f t="shared" si="8"/>
        <v>428400</v>
      </c>
      <c r="Z95" s="275">
        <f>S95*V95*Q95</f>
        <v>428400000</v>
      </c>
    </row>
    <row r="96" spans="1:28" ht="22.5" customHeight="1">
      <c r="A96" s="334"/>
      <c r="B96" s="335"/>
      <c r="C96" s="1126"/>
      <c r="D96" s="1126"/>
      <c r="E96" s="1126" t="s">
        <v>2118</v>
      </c>
      <c r="F96" s="337">
        <f>+Y96</f>
        <v>60000</v>
      </c>
      <c r="G96" s="337">
        <v>60000</v>
      </c>
      <c r="H96" s="338"/>
      <c r="I96" s="1127"/>
      <c r="J96" s="348" t="s">
        <v>1794</v>
      </c>
      <c r="K96" s="2992"/>
      <c r="L96" s="2992"/>
      <c r="M96" s="2992"/>
      <c r="N96" s="2992"/>
      <c r="O96" s="2992"/>
      <c r="P96" s="1128"/>
      <c r="Q96" s="2992"/>
      <c r="R96" s="344"/>
      <c r="S96" s="3101"/>
      <c r="T96" s="344"/>
      <c r="U96" s="2992"/>
      <c r="V96" s="1128"/>
      <c r="W96" s="2992"/>
      <c r="X96" s="2992"/>
      <c r="Y96" s="1674">
        <f t="shared" si="8"/>
        <v>60000</v>
      </c>
      <c r="Z96" s="275">
        <f>SUM(Z97:Z100)</f>
        <v>60000000</v>
      </c>
    </row>
    <row r="97" spans="1:28" s="986" customFormat="1" ht="22.5" customHeight="1">
      <c r="A97" s="334"/>
      <c r="B97" s="335"/>
      <c r="C97" s="1126"/>
      <c r="D97" s="1126"/>
      <c r="E97" s="1126"/>
      <c r="F97" s="337"/>
      <c r="G97" s="337"/>
      <c r="H97" s="338"/>
      <c r="I97" s="1127"/>
      <c r="J97" s="348" t="s">
        <v>2119</v>
      </c>
      <c r="K97" s="2992"/>
      <c r="L97" s="2992"/>
      <c r="M97" s="2992"/>
      <c r="N97" s="2992"/>
      <c r="O97" s="2992"/>
      <c r="P97" s="1128"/>
      <c r="Q97" s="1717">
        <v>500</v>
      </c>
      <c r="R97" s="344" t="s">
        <v>66</v>
      </c>
      <c r="S97" s="372">
        <v>20000</v>
      </c>
      <c r="T97" s="344" t="s">
        <v>50</v>
      </c>
      <c r="U97" s="1675"/>
      <c r="V97" s="366">
        <v>5</v>
      </c>
      <c r="W97" s="2992" t="s">
        <v>1725</v>
      </c>
      <c r="X97" s="1718" t="s">
        <v>1747</v>
      </c>
      <c r="Y97" s="1674">
        <f t="shared" si="8"/>
        <v>50000</v>
      </c>
      <c r="Z97" s="275">
        <f>Q97*S97*V97</f>
        <v>50000000</v>
      </c>
      <c r="AA97" s="321"/>
      <c r="AB97" s="321"/>
    </row>
    <row r="98" spans="1:28" ht="22.5" customHeight="1">
      <c r="A98" s="334"/>
      <c r="B98" s="335"/>
      <c r="C98" s="1126"/>
      <c r="D98" s="1126"/>
      <c r="E98" s="1126"/>
      <c r="F98" s="337"/>
      <c r="G98" s="337"/>
      <c r="H98" s="338"/>
      <c r="I98" s="1127"/>
      <c r="J98" s="348" t="s">
        <v>2120</v>
      </c>
      <c r="K98" s="2992"/>
      <c r="L98" s="2992"/>
      <c r="M98" s="2992"/>
      <c r="N98" s="2992"/>
      <c r="O98" s="2992"/>
      <c r="P98" s="1128"/>
      <c r="Q98" s="3102">
        <v>100</v>
      </c>
      <c r="R98" s="344" t="s">
        <v>66</v>
      </c>
      <c r="S98" s="372">
        <v>2000</v>
      </c>
      <c r="T98" s="344" t="s">
        <v>50</v>
      </c>
      <c r="U98" s="1675"/>
      <c r="V98" s="366">
        <v>5</v>
      </c>
      <c r="W98" s="2992" t="s">
        <v>1725</v>
      </c>
      <c r="X98" s="1718" t="s">
        <v>1747</v>
      </c>
      <c r="Y98" s="1674">
        <f t="shared" si="8"/>
        <v>1000</v>
      </c>
      <c r="Z98" s="275">
        <f>Q98*S98*V98</f>
        <v>1000000</v>
      </c>
    </row>
    <row r="99" spans="1:28" ht="22.5" customHeight="1">
      <c r="A99" s="334"/>
      <c r="B99" s="335"/>
      <c r="C99" s="1126"/>
      <c r="D99" s="1126"/>
      <c r="E99" s="1126"/>
      <c r="F99" s="337"/>
      <c r="G99" s="337"/>
      <c r="H99" s="338"/>
      <c r="I99" s="1127"/>
      <c r="J99" s="348" t="s">
        <v>2121</v>
      </c>
      <c r="K99" s="2992"/>
      <c r="L99" s="2992"/>
      <c r="M99" s="2992"/>
      <c r="N99" s="2992"/>
      <c r="O99" s="2992"/>
      <c r="P99" s="1128"/>
      <c r="Q99" s="1717">
        <v>400</v>
      </c>
      <c r="R99" s="344" t="s">
        <v>66</v>
      </c>
      <c r="S99" s="372">
        <v>10000</v>
      </c>
      <c r="T99" s="344" t="s">
        <v>50</v>
      </c>
      <c r="U99" s="1675"/>
      <c r="V99" s="366">
        <v>2</v>
      </c>
      <c r="W99" s="2992" t="s">
        <v>1725</v>
      </c>
      <c r="X99" s="2992" t="s">
        <v>1747</v>
      </c>
      <c r="Y99" s="1674">
        <f t="shared" si="8"/>
        <v>8000</v>
      </c>
      <c r="Z99" s="275">
        <f>Q99*S99*V99</f>
        <v>8000000</v>
      </c>
    </row>
    <row r="100" spans="1:28" s="986" customFormat="1" ht="22.5" customHeight="1">
      <c r="A100" s="334"/>
      <c r="B100" s="335"/>
      <c r="C100" s="1126"/>
      <c r="D100" s="1126"/>
      <c r="E100" s="1126"/>
      <c r="F100" s="337"/>
      <c r="G100" s="337"/>
      <c r="H100" s="338"/>
      <c r="I100" s="1127"/>
      <c r="J100" s="348" t="s">
        <v>2122</v>
      </c>
      <c r="K100" s="2992"/>
      <c r="L100" s="2992"/>
      <c r="M100" s="2992"/>
      <c r="N100" s="2992"/>
      <c r="O100" s="2992"/>
      <c r="P100" s="1128"/>
      <c r="Q100" s="3102">
        <v>20</v>
      </c>
      <c r="R100" s="344" t="s">
        <v>66</v>
      </c>
      <c r="S100" s="372">
        <v>5000</v>
      </c>
      <c r="T100" s="344" t="s">
        <v>50</v>
      </c>
      <c r="U100" s="1675"/>
      <c r="V100" s="366">
        <v>10</v>
      </c>
      <c r="W100" s="2992" t="s">
        <v>1725</v>
      </c>
      <c r="X100" s="1718" t="s">
        <v>1747</v>
      </c>
      <c r="Y100" s="1674">
        <f t="shared" si="8"/>
        <v>1000</v>
      </c>
      <c r="Z100" s="275">
        <f>Q100*S100*V100</f>
        <v>1000000</v>
      </c>
      <c r="AA100" s="321"/>
      <c r="AB100" s="321"/>
    </row>
    <row r="101" spans="1:28" ht="22.5" customHeight="1">
      <c r="A101" s="334"/>
      <c r="B101" s="335"/>
      <c r="C101" s="1126"/>
      <c r="D101" s="1126"/>
      <c r="E101" s="1126" t="s">
        <v>2031</v>
      </c>
      <c r="F101" s="337">
        <f>+Y101</f>
        <v>4400</v>
      </c>
      <c r="G101" s="337">
        <v>400</v>
      </c>
      <c r="H101" s="338">
        <f>F101-G101</f>
        <v>4000</v>
      </c>
      <c r="I101" s="1127"/>
      <c r="J101" s="348" t="s">
        <v>5151</v>
      </c>
      <c r="K101" s="2992"/>
      <c r="L101" s="2992"/>
      <c r="M101" s="2992"/>
      <c r="N101" s="2992"/>
      <c r="O101" s="2992"/>
      <c r="P101" s="1675"/>
      <c r="Q101" s="1675"/>
      <c r="R101" s="1715"/>
      <c r="S101" s="524">
        <v>4400000</v>
      </c>
      <c r="T101" s="344" t="s">
        <v>5130</v>
      </c>
      <c r="U101" s="1675"/>
      <c r="V101" s="366">
        <v>1</v>
      </c>
      <c r="W101" s="2992" t="s">
        <v>5110</v>
      </c>
      <c r="X101" s="1718" t="s">
        <v>5098</v>
      </c>
      <c r="Y101" s="1674">
        <f t="shared" si="8"/>
        <v>4400</v>
      </c>
      <c r="Z101" s="1128">
        <f>+S101*V101</f>
        <v>4400000</v>
      </c>
      <c r="AA101" s="2138">
        <f t="shared" ref="AA101" si="9">F101*1000000</f>
        <v>4400000000</v>
      </c>
    </row>
    <row r="102" spans="1:28" s="986" customFormat="1" ht="22.5" customHeight="1">
      <c r="A102" s="334"/>
      <c r="B102" s="335"/>
      <c r="C102" s="1126"/>
      <c r="D102" s="1131"/>
      <c r="E102" s="1131" t="s">
        <v>2123</v>
      </c>
      <c r="F102" s="337">
        <f>+Y102</f>
        <v>8400</v>
      </c>
      <c r="G102" s="337">
        <v>8400</v>
      </c>
      <c r="H102" s="338"/>
      <c r="I102" s="1127"/>
      <c r="J102" s="348" t="s">
        <v>2124</v>
      </c>
      <c r="K102" s="2992"/>
      <c r="L102" s="2992"/>
      <c r="M102" s="2992"/>
      <c r="N102" s="2992"/>
      <c r="O102" s="2992"/>
      <c r="P102" s="1128"/>
      <c r="Q102" s="2992">
        <v>7</v>
      </c>
      <c r="R102" s="344" t="s">
        <v>2125</v>
      </c>
      <c r="S102" s="524">
        <v>300000</v>
      </c>
      <c r="T102" s="344" t="s">
        <v>2023</v>
      </c>
      <c r="U102" s="1675"/>
      <c r="V102" s="366">
        <v>4</v>
      </c>
      <c r="W102" s="2992" t="s">
        <v>2126</v>
      </c>
      <c r="X102" s="1718" t="s">
        <v>1747</v>
      </c>
      <c r="Y102" s="1674">
        <f t="shared" si="8"/>
        <v>8400</v>
      </c>
      <c r="Z102" s="275">
        <f>Q102*S102*V102</f>
        <v>8400000</v>
      </c>
      <c r="AA102" s="321"/>
      <c r="AB102" s="321"/>
    </row>
    <row r="103" spans="1:28" ht="22.5" customHeight="1">
      <c r="A103" s="334"/>
      <c r="B103" s="335"/>
      <c r="C103" s="1126"/>
      <c r="D103" s="1126"/>
      <c r="E103" s="1126" t="s">
        <v>2127</v>
      </c>
      <c r="F103" s="337">
        <f>+Y103</f>
        <v>101300</v>
      </c>
      <c r="G103" s="337">
        <v>71300</v>
      </c>
      <c r="H103" s="338">
        <f>F103-G103</f>
        <v>30000</v>
      </c>
      <c r="I103" s="1127"/>
      <c r="J103" s="348" t="s">
        <v>5092</v>
      </c>
      <c r="K103" s="2992"/>
      <c r="L103" s="2992"/>
      <c r="M103" s="2992"/>
      <c r="N103" s="2992"/>
      <c r="O103" s="2992"/>
      <c r="P103" s="1128"/>
      <c r="Q103" s="2992"/>
      <c r="R103" s="344"/>
      <c r="S103" s="3101"/>
      <c r="T103" s="344"/>
      <c r="U103" s="2992"/>
      <c r="V103" s="1128"/>
      <c r="W103" s="2992"/>
      <c r="X103" s="2992"/>
      <c r="Y103" s="1674">
        <f>SUM(Y104:Y109)</f>
        <v>101300</v>
      </c>
      <c r="Z103" s="1128">
        <f>SUM(Z104:Z108)</f>
        <v>96500000</v>
      </c>
      <c r="AA103" s="2138">
        <f t="shared" ref="AA103:AA109" si="10">F103*1000000</f>
        <v>101300000000</v>
      </c>
    </row>
    <row r="104" spans="1:28" ht="22.5" customHeight="1">
      <c r="A104" s="334"/>
      <c r="B104" s="335"/>
      <c r="C104" s="1126"/>
      <c r="D104" s="1126"/>
      <c r="E104" s="1126"/>
      <c r="F104" s="337"/>
      <c r="G104" s="337"/>
      <c r="H104" s="338"/>
      <c r="I104" s="1127"/>
      <c r="J104" s="2934" t="s">
        <v>5152</v>
      </c>
      <c r="K104" s="2935"/>
      <c r="L104" s="2935"/>
      <c r="M104" s="2935"/>
      <c r="N104" s="2935"/>
      <c r="O104" s="2935"/>
      <c r="P104" s="1675"/>
      <c r="Q104" s="1675"/>
      <c r="R104" s="1715"/>
      <c r="S104" s="524">
        <v>2000000</v>
      </c>
      <c r="T104" s="344" t="s">
        <v>5130</v>
      </c>
      <c r="U104" s="1128"/>
      <c r="V104" s="2992">
        <v>10</v>
      </c>
      <c r="W104" s="2992" t="s">
        <v>5104</v>
      </c>
      <c r="X104" s="1718" t="s">
        <v>5098</v>
      </c>
      <c r="Y104" s="1674">
        <f>+Z104/1000</f>
        <v>20000</v>
      </c>
      <c r="Z104" s="1128">
        <f>S104*V104</f>
        <v>20000000</v>
      </c>
      <c r="AA104" s="2138">
        <f t="shared" si="10"/>
        <v>0</v>
      </c>
    </row>
    <row r="105" spans="1:28" s="986" customFormat="1" ht="22.5" customHeight="1">
      <c r="A105" s="334"/>
      <c r="B105" s="335"/>
      <c r="C105" s="1126"/>
      <c r="D105" s="1126"/>
      <c r="E105" s="1126"/>
      <c r="F105" s="337"/>
      <c r="G105" s="337"/>
      <c r="H105" s="338"/>
      <c r="I105" s="1127"/>
      <c r="J105" s="2934" t="s">
        <v>5153</v>
      </c>
      <c r="K105" s="2935"/>
      <c r="L105" s="2935"/>
      <c r="M105" s="2935"/>
      <c r="N105" s="2935"/>
      <c r="O105" s="2935"/>
      <c r="P105" s="1675"/>
      <c r="Q105" s="1675"/>
      <c r="R105" s="1715"/>
      <c r="S105" s="524">
        <v>300000</v>
      </c>
      <c r="T105" s="344" t="s">
        <v>5130</v>
      </c>
      <c r="U105" s="1128"/>
      <c r="V105" s="2992">
        <v>10</v>
      </c>
      <c r="W105" s="2992" t="s">
        <v>5104</v>
      </c>
      <c r="X105" s="1718" t="s">
        <v>5098</v>
      </c>
      <c r="Y105" s="1674">
        <f t="shared" ref="Y105:Y109" si="11">+Z105/1000</f>
        <v>3000</v>
      </c>
      <c r="Z105" s="1128">
        <f>S105*V105</f>
        <v>3000000</v>
      </c>
      <c r="AA105" s="2138">
        <f t="shared" si="10"/>
        <v>0</v>
      </c>
      <c r="AB105" s="321"/>
    </row>
    <row r="106" spans="1:28" s="986" customFormat="1" ht="22.5" customHeight="1">
      <c r="A106" s="334"/>
      <c r="B106" s="335"/>
      <c r="C106" s="1126"/>
      <c r="D106" s="1126"/>
      <c r="E106" s="1126"/>
      <c r="F106" s="337"/>
      <c r="G106" s="337"/>
      <c r="H106" s="338"/>
      <c r="I106" s="1127"/>
      <c r="J106" s="2934" t="s">
        <v>5154</v>
      </c>
      <c r="K106" s="2935"/>
      <c r="L106" s="2935"/>
      <c r="M106" s="2935"/>
      <c r="N106" s="2935"/>
      <c r="O106" s="2935"/>
      <c r="P106" s="1675"/>
      <c r="Q106" s="1675"/>
      <c r="R106" s="1715"/>
      <c r="S106" s="524">
        <v>1350000</v>
      </c>
      <c r="T106" s="344" t="s">
        <v>5130</v>
      </c>
      <c r="U106" s="1128"/>
      <c r="V106" s="2992">
        <v>10</v>
      </c>
      <c r="W106" s="2992" t="s">
        <v>5104</v>
      </c>
      <c r="X106" s="1718" t="s">
        <v>5098</v>
      </c>
      <c r="Y106" s="1674">
        <f t="shared" si="11"/>
        <v>13500</v>
      </c>
      <c r="Z106" s="1128">
        <f>S106*V106</f>
        <v>13500000</v>
      </c>
      <c r="AA106" s="2138">
        <f t="shared" si="10"/>
        <v>0</v>
      </c>
      <c r="AB106" s="321"/>
    </row>
    <row r="107" spans="1:28" s="986" customFormat="1" ht="22.5" customHeight="1">
      <c r="A107" s="334"/>
      <c r="B107" s="335"/>
      <c r="C107" s="1126"/>
      <c r="D107" s="1126"/>
      <c r="E107" s="1126"/>
      <c r="F107" s="337"/>
      <c r="G107" s="337"/>
      <c r="H107" s="338"/>
      <c r="I107" s="1127"/>
      <c r="J107" s="2934" t="s">
        <v>5155</v>
      </c>
      <c r="K107" s="2935"/>
      <c r="L107" s="2935"/>
      <c r="M107" s="2935"/>
      <c r="N107" s="2935"/>
      <c r="O107" s="2935"/>
      <c r="P107" s="1675"/>
      <c r="Q107" s="1675"/>
      <c r="R107" s="1715"/>
      <c r="S107" s="524">
        <v>2000000</v>
      </c>
      <c r="T107" s="344" t="s">
        <v>5130</v>
      </c>
      <c r="U107" s="1128"/>
      <c r="V107" s="2992">
        <v>10</v>
      </c>
      <c r="W107" s="2992" t="s">
        <v>5104</v>
      </c>
      <c r="X107" s="1718" t="s">
        <v>5098</v>
      </c>
      <c r="Y107" s="1674">
        <f t="shared" si="11"/>
        <v>20000</v>
      </c>
      <c r="Z107" s="1128">
        <f>S107*V107</f>
        <v>20000000</v>
      </c>
      <c r="AA107" s="2138">
        <f t="shared" si="10"/>
        <v>0</v>
      </c>
      <c r="AB107" s="321"/>
    </row>
    <row r="108" spans="1:28" s="986" customFormat="1" ht="22.5" customHeight="1">
      <c r="A108" s="334"/>
      <c r="B108" s="335"/>
      <c r="C108" s="1126"/>
      <c r="D108" s="1126"/>
      <c r="E108" s="1126"/>
      <c r="F108" s="337"/>
      <c r="G108" s="337"/>
      <c r="H108" s="338"/>
      <c r="I108" s="1127"/>
      <c r="J108" s="2934" t="s">
        <v>5156</v>
      </c>
      <c r="K108" s="2935"/>
      <c r="L108" s="2935"/>
      <c r="M108" s="2935"/>
      <c r="N108" s="2935"/>
      <c r="O108" s="2935"/>
      <c r="P108" s="2992"/>
      <c r="Q108" s="2992"/>
      <c r="R108" s="1715"/>
      <c r="S108" s="524">
        <v>5000000</v>
      </c>
      <c r="T108" s="344" t="s">
        <v>5130</v>
      </c>
      <c r="U108" s="1128"/>
      <c r="V108" s="2992">
        <v>8</v>
      </c>
      <c r="W108" s="2992" t="s">
        <v>5113</v>
      </c>
      <c r="X108" s="1718" t="s">
        <v>5098</v>
      </c>
      <c r="Y108" s="1674">
        <f t="shared" si="11"/>
        <v>40000</v>
      </c>
      <c r="Z108" s="1128">
        <f>S108*V108</f>
        <v>40000000</v>
      </c>
      <c r="AA108" s="2138">
        <f t="shared" si="10"/>
        <v>0</v>
      </c>
      <c r="AB108" s="321"/>
    </row>
    <row r="109" spans="1:28" s="986" customFormat="1" ht="22.5" customHeight="1">
      <c r="A109" s="334"/>
      <c r="B109" s="335"/>
      <c r="C109" s="1126"/>
      <c r="D109" s="1126"/>
      <c r="E109" s="1126"/>
      <c r="F109" s="337"/>
      <c r="G109" s="337"/>
      <c r="H109" s="338"/>
      <c r="I109" s="1127"/>
      <c r="J109" s="2934" t="s">
        <v>5157</v>
      </c>
      <c r="K109" s="2935"/>
      <c r="L109" s="2935"/>
      <c r="M109" s="2935"/>
      <c r="N109" s="2935"/>
      <c r="O109" s="2935"/>
      <c r="P109" s="2992"/>
      <c r="Q109" s="2992">
        <v>4</v>
      </c>
      <c r="R109" s="1715" t="s">
        <v>5158</v>
      </c>
      <c r="S109" s="524">
        <v>150000</v>
      </c>
      <c r="T109" s="344" t="s">
        <v>5130</v>
      </c>
      <c r="U109" s="1128"/>
      <c r="V109" s="2992">
        <v>8</v>
      </c>
      <c r="W109" s="2992" t="s">
        <v>5159</v>
      </c>
      <c r="X109" s="1718" t="s">
        <v>5098</v>
      </c>
      <c r="Y109" s="1674">
        <f t="shared" si="11"/>
        <v>4800</v>
      </c>
      <c r="Z109" s="1128">
        <f>Q109*S109*V109</f>
        <v>4800000</v>
      </c>
      <c r="AA109" s="2138">
        <f t="shared" si="10"/>
        <v>0</v>
      </c>
      <c r="AB109" s="321"/>
    </row>
    <row r="110" spans="1:28" s="986" customFormat="1" ht="22.5" customHeight="1">
      <c r="A110" s="334"/>
      <c r="B110" s="335"/>
      <c r="C110" s="1126"/>
      <c r="D110" s="1126"/>
      <c r="E110" s="1126" t="s">
        <v>2128</v>
      </c>
      <c r="F110" s="337">
        <f>+Y110</f>
        <v>3300</v>
      </c>
      <c r="G110" s="337">
        <v>3300</v>
      </c>
      <c r="H110" s="338"/>
      <c r="I110" s="1127"/>
      <c r="J110" s="348" t="s">
        <v>5891</v>
      </c>
      <c r="K110" s="2992"/>
      <c r="L110" s="2992"/>
      <c r="M110" s="2992"/>
      <c r="N110" s="2992"/>
      <c r="O110" s="2992"/>
      <c r="P110" s="1128"/>
      <c r="Q110" s="2992"/>
      <c r="R110" s="344"/>
      <c r="S110" s="3100">
        <v>275000</v>
      </c>
      <c r="T110" s="344" t="s">
        <v>2023</v>
      </c>
      <c r="U110" s="2992"/>
      <c r="V110" s="2940">
        <v>12</v>
      </c>
      <c r="W110" s="2940" t="s">
        <v>1955</v>
      </c>
      <c r="X110" s="1718" t="s">
        <v>1747</v>
      </c>
      <c r="Y110" s="345">
        <f t="shared" si="8"/>
        <v>3300</v>
      </c>
      <c r="Z110" s="275">
        <f>S110*V110</f>
        <v>3300000</v>
      </c>
      <c r="AA110" s="321"/>
      <c r="AB110" s="321"/>
    </row>
    <row r="111" spans="1:28" ht="20.100000000000001" customHeight="1">
      <c r="A111" s="334"/>
      <c r="B111" s="335"/>
      <c r="C111" s="1126"/>
      <c r="D111" s="1126"/>
      <c r="E111" s="1126" t="s">
        <v>2129</v>
      </c>
      <c r="F111" s="337">
        <f>Y111</f>
        <v>57090</v>
      </c>
      <c r="G111" s="337">
        <v>61090</v>
      </c>
      <c r="H111" s="338">
        <f>F111-G111</f>
        <v>-4000</v>
      </c>
      <c r="I111" s="1127"/>
      <c r="J111" s="348" t="s">
        <v>5092</v>
      </c>
      <c r="K111" s="2992"/>
      <c r="L111" s="2992"/>
      <c r="M111" s="2992"/>
      <c r="N111" s="2992"/>
      <c r="O111" s="2992"/>
      <c r="P111" s="1128"/>
      <c r="Q111" s="2992"/>
      <c r="R111" s="344"/>
      <c r="S111" s="3101"/>
      <c r="T111" s="344"/>
      <c r="U111" s="2992"/>
      <c r="V111" s="1128"/>
      <c r="W111" s="2992"/>
      <c r="X111" s="2992"/>
      <c r="Y111" s="356">
        <f t="shared" si="8"/>
        <v>57090</v>
      </c>
      <c r="Z111" s="1128">
        <f>SUM(Z112:Z114)</f>
        <v>57090000</v>
      </c>
      <c r="AA111" s="2138">
        <f t="shared" ref="AA111:AA112" si="12">F111*1000000</f>
        <v>57090000000</v>
      </c>
    </row>
    <row r="112" spans="1:28" ht="20.100000000000001" customHeight="1">
      <c r="A112" s="334"/>
      <c r="B112" s="335"/>
      <c r="C112" s="1126"/>
      <c r="D112" s="1126"/>
      <c r="E112" s="1126"/>
      <c r="F112" s="337"/>
      <c r="G112" s="337"/>
      <c r="H112" s="338"/>
      <c r="I112" s="1127"/>
      <c r="J112" s="348" t="s">
        <v>5144</v>
      </c>
      <c r="K112" s="2992"/>
      <c r="L112" s="2992"/>
      <c r="M112" s="2992"/>
      <c r="N112" s="2992"/>
      <c r="O112" s="2992">
        <v>6</v>
      </c>
      <c r="P112" s="1128" t="s">
        <v>5145</v>
      </c>
      <c r="Q112" s="2992">
        <v>4</v>
      </c>
      <c r="R112" s="344" t="s">
        <v>5146</v>
      </c>
      <c r="S112" s="524">
        <v>35000</v>
      </c>
      <c r="T112" s="344" t="s">
        <v>5130</v>
      </c>
      <c r="U112" s="2992"/>
      <c r="V112" s="1128">
        <v>1</v>
      </c>
      <c r="W112" s="2992" t="s">
        <v>5102</v>
      </c>
      <c r="X112" s="1718" t="s">
        <v>5098</v>
      </c>
      <c r="Y112" s="1674">
        <f t="shared" si="8"/>
        <v>840</v>
      </c>
      <c r="Z112" s="1128">
        <f>O112*Q112*S112*V112</f>
        <v>840000</v>
      </c>
      <c r="AA112" s="2138">
        <f t="shared" si="12"/>
        <v>0</v>
      </c>
    </row>
    <row r="113" spans="1:29" s="986" customFormat="1" ht="20.100000000000001" customHeight="1">
      <c r="A113" s="334"/>
      <c r="B113" s="335"/>
      <c r="C113" s="1126"/>
      <c r="D113" s="1126"/>
      <c r="E113" s="1126"/>
      <c r="F113" s="337"/>
      <c r="G113" s="337"/>
      <c r="H113" s="338"/>
      <c r="I113" s="1127"/>
      <c r="J113" s="348" t="s">
        <v>5147</v>
      </c>
      <c r="K113" s="2992"/>
      <c r="L113" s="2992"/>
      <c r="M113" s="2992"/>
      <c r="N113" s="2992"/>
      <c r="O113" s="2992">
        <v>4</v>
      </c>
      <c r="P113" s="1128" t="s">
        <v>5146</v>
      </c>
      <c r="Q113" s="2992">
        <v>4</v>
      </c>
      <c r="R113" s="344" t="s">
        <v>5148</v>
      </c>
      <c r="S113" s="524">
        <v>628125</v>
      </c>
      <c r="T113" s="344" t="s">
        <v>5130</v>
      </c>
      <c r="U113" s="2992"/>
      <c r="V113" s="1128">
        <v>5</v>
      </c>
      <c r="W113" s="2992" t="s">
        <v>5102</v>
      </c>
      <c r="X113" s="1718" t="s">
        <v>5098</v>
      </c>
      <c r="Y113" s="1674">
        <f t="shared" si="8"/>
        <v>50250</v>
      </c>
      <c r="Z113" s="1128">
        <f>O113*Q113*S113*V113</f>
        <v>50250000</v>
      </c>
      <c r="AA113" s="2138">
        <v>52750000</v>
      </c>
      <c r="AB113" s="321"/>
    </row>
    <row r="114" spans="1:29" ht="20.100000000000001" customHeight="1">
      <c r="A114" s="334"/>
      <c r="B114" s="335"/>
      <c r="C114" s="1126"/>
      <c r="D114" s="1126"/>
      <c r="E114" s="1126"/>
      <c r="F114" s="337"/>
      <c r="G114" s="337"/>
      <c r="H114" s="338"/>
      <c r="I114" s="1127"/>
      <c r="J114" s="348" t="s">
        <v>5149</v>
      </c>
      <c r="K114" s="2992"/>
      <c r="L114" s="2992"/>
      <c r="M114" s="2992"/>
      <c r="N114" s="2992"/>
      <c r="O114" s="2992">
        <v>10</v>
      </c>
      <c r="P114" s="1128" t="s">
        <v>5150</v>
      </c>
      <c r="Q114" s="2992">
        <v>10</v>
      </c>
      <c r="R114" s="344" t="s">
        <v>5146</v>
      </c>
      <c r="S114" s="524">
        <v>20000</v>
      </c>
      <c r="T114" s="344" t="s">
        <v>5130</v>
      </c>
      <c r="U114" s="2992"/>
      <c r="V114" s="1128">
        <v>3</v>
      </c>
      <c r="W114" s="2992" t="s">
        <v>5102</v>
      </c>
      <c r="X114" s="1718" t="s">
        <v>5098</v>
      </c>
      <c r="Y114" s="1674">
        <f t="shared" si="8"/>
        <v>6000</v>
      </c>
      <c r="Z114" s="1128">
        <f>O114*Q114*S114*V114</f>
        <v>6000000</v>
      </c>
      <c r="AA114" s="2138">
        <f>AA113/V113/Q113/O113</f>
        <v>659375</v>
      </c>
    </row>
    <row r="115" spans="1:29" ht="20.100000000000001" customHeight="1">
      <c r="A115" s="334"/>
      <c r="B115" s="335"/>
      <c r="C115" s="1126"/>
      <c r="D115" s="1126"/>
      <c r="E115" s="1126" t="s">
        <v>2131</v>
      </c>
      <c r="F115" s="337">
        <f>+Y115</f>
        <v>5600</v>
      </c>
      <c r="G115" s="337">
        <v>5600</v>
      </c>
      <c r="H115" s="338"/>
      <c r="I115" s="1127"/>
      <c r="J115" s="348" t="s">
        <v>2132</v>
      </c>
      <c r="K115" s="2992"/>
      <c r="L115" s="2992"/>
      <c r="M115" s="2992"/>
      <c r="N115" s="2992"/>
      <c r="O115" s="2992"/>
      <c r="P115" s="1128"/>
      <c r="Q115" s="1128">
        <v>7</v>
      </c>
      <c r="R115" s="1715" t="s">
        <v>2125</v>
      </c>
      <c r="S115" s="524">
        <v>200000</v>
      </c>
      <c r="T115" s="344" t="s">
        <v>2023</v>
      </c>
      <c r="U115" s="1675"/>
      <c r="V115" s="1128">
        <v>4</v>
      </c>
      <c r="W115" s="2992" t="s">
        <v>2126</v>
      </c>
      <c r="X115" s="1718" t="s">
        <v>1747</v>
      </c>
      <c r="Y115" s="1674">
        <f t="shared" si="8"/>
        <v>5600</v>
      </c>
      <c r="Z115" s="275">
        <f>+Q115*S115*V115</f>
        <v>5600000</v>
      </c>
    </row>
    <row r="116" spans="1:29" s="986" customFormat="1" ht="20.100000000000001" customHeight="1">
      <c r="A116" s="334"/>
      <c r="B116" s="335"/>
      <c r="C116" s="1126"/>
      <c r="D116" s="1126"/>
      <c r="E116" s="1126" t="s">
        <v>2133</v>
      </c>
      <c r="F116" s="337">
        <f>+Y116</f>
        <v>24200</v>
      </c>
      <c r="G116" s="337">
        <v>24200</v>
      </c>
      <c r="H116" s="338"/>
      <c r="I116" s="1127"/>
      <c r="J116" s="348" t="s">
        <v>1727</v>
      </c>
      <c r="K116" s="2935"/>
      <c r="L116" s="2935"/>
      <c r="M116" s="2935"/>
      <c r="N116" s="2935"/>
      <c r="O116" s="2935"/>
      <c r="P116" s="1128"/>
      <c r="Q116" s="2992"/>
      <c r="R116" s="344"/>
      <c r="S116" s="3101"/>
      <c r="T116" s="344"/>
      <c r="U116" s="2992"/>
      <c r="V116" s="1128"/>
      <c r="W116" s="2992"/>
      <c r="X116" s="2992"/>
      <c r="Y116" s="1674">
        <f t="shared" si="8"/>
        <v>24200</v>
      </c>
      <c r="Z116" s="275">
        <f>SUM(Z117:Z119)</f>
        <v>24200000</v>
      </c>
      <c r="AA116" s="321"/>
      <c r="AB116" s="321"/>
    </row>
    <row r="117" spans="1:29" ht="20.100000000000001" customHeight="1">
      <c r="A117" s="334"/>
      <c r="B117" s="335"/>
      <c r="C117" s="1126"/>
      <c r="D117" s="1126"/>
      <c r="E117" s="1126"/>
      <c r="F117" s="337"/>
      <c r="G117" s="337"/>
      <c r="H117" s="338"/>
      <c r="I117" s="1127"/>
      <c r="J117" s="2934" t="s">
        <v>2134</v>
      </c>
      <c r="K117" s="2935"/>
      <c r="L117" s="2935"/>
      <c r="M117" s="2935"/>
      <c r="N117" s="2935"/>
      <c r="O117" s="2935"/>
      <c r="P117" s="1675"/>
      <c r="Q117" s="1128">
        <v>3</v>
      </c>
      <c r="R117" s="344" t="s">
        <v>2135</v>
      </c>
      <c r="S117" s="524">
        <v>300000</v>
      </c>
      <c r="T117" s="344" t="s">
        <v>2023</v>
      </c>
      <c r="U117" s="1128"/>
      <c r="V117" s="1128">
        <v>8</v>
      </c>
      <c r="W117" s="1675" t="s">
        <v>1725</v>
      </c>
      <c r="X117" s="1718" t="s">
        <v>1747</v>
      </c>
      <c r="Y117" s="1674">
        <f t="shared" si="8"/>
        <v>7200</v>
      </c>
      <c r="Z117" s="275">
        <f>S117*Q117*V117</f>
        <v>7200000</v>
      </c>
    </row>
    <row r="118" spans="1:29" ht="20.100000000000001" customHeight="1">
      <c r="A118" s="334"/>
      <c r="B118" s="335"/>
      <c r="C118" s="1126"/>
      <c r="D118" s="1126"/>
      <c r="E118" s="1126"/>
      <c r="F118" s="337"/>
      <c r="G118" s="337"/>
      <c r="H118" s="338"/>
      <c r="I118" s="1127"/>
      <c r="J118" s="2934" t="s">
        <v>2136</v>
      </c>
      <c r="K118" s="2935"/>
      <c r="L118" s="2935"/>
      <c r="M118" s="2935"/>
      <c r="N118" s="2935"/>
      <c r="O118" s="2935"/>
      <c r="P118" s="1675"/>
      <c r="Q118" s="1128">
        <v>4</v>
      </c>
      <c r="R118" s="344" t="s">
        <v>2135</v>
      </c>
      <c r="S118" s="524">
        <v>1000000</v>
      </c>
      <c r="T118" s="344" t="s">
        <v>2023</v>
      </c>
      <c r="U118" s="1128"/>
      <c r="V118" s="1128">
        <v>4</v>
      </c>
      <c r="W118" s="1675" t="s">
        <v>1725</v>
      </c>
      <c r="X118" s="1718" t="s">
        <v>1747</v>
      </c>
      <c r="Y118" s="1674">
        <f t="shared" si="8"/>
        <v>16000</v>
      </c>
      <c r="Z118" s="275">
        <f>S118*Q118*V118</f>
        <v>16000000</v>
      </c>
    </row>
    <row r="119" spans="1:29" ht="20.100000000000001" customHeight="1">
      <c r="A119" s="334"/>
      <c r="B119" s="335"/>
      <c r="C119" s="1126"/>
      <c r="D119" s="1126"/>
      <c r="E119" s="1126"/>
      <c r="F119" s="337"/>
      <c r="G119" s="337"/>
      <c r="H119" s="338"/>
      <c r="I119" s="1127"/>
      <c r="J119" s="2934" t="s">
        <v>2137</v>
      </c>
      <c r="K119" s="2935"/>
      <c r="L119" s="2935"/>
      <c r="M119" s="2935"/>
      <c r="N119" s="2935"/>
      <c r="O119" s="2935"/>
      <c r="P119" s="1675"/>
      <c r="Q119" s="1128"/>
      <c r="R119" s="344"/>
      <c r="S119" s="524">
        <v>100000</v>
      </c>
      <c r="T119" s="344" t="s">
        <v>2023</v>
      </c>
      <c r="U119" s="1128"/>
      <c r="V119" s="1128">
        <v>10</v>
      </c>
      <c r="W119" s="1675" t="s">
        <v>1725</v>
      </c>
      <c r="X119" s="1718" t="s">
        <v>1747</v>
      </c>
      <c r="Y119" s="1674">
        <f t="shared" si="8"/>
        <v>1000</v>
      </c>
      <c r="Z119" s="275">
        <f>S119*V119</f>
        <v>1000000</v>
      </c>
      <c r="AB119" s="311">
        <v>52750000</v>
      </c>
      <c r="AC119" s="3096">
        <f>AB119-2500000</f>
        <v>50250000</v>
      </c>
    </row>
    <row r="120" spans="1:29" ht="20.100000000000001" customHeight="1">
      <c r="A120" s="334"/>
      <c r="B120" s="335"/>
      <c r="C120" s="1126"/>
      <c r="D120" s="1126"/>
      <c r="E120" s="1126" t="s">
        <v>1736</v>
      </c>
      <c r="F120" s="337">
        <f>+Y120</f>
        <v>348550</v>
      </c>
      <c r="G120" s="337">
        <v>348550</v>
      </c>
      <c r="H120" s="338"/>
      <c r="I120" s="1127"/>
      <c r="J120" s="348" t="s">
        <v>1727</v>
      </c>
      <c r="K120" s="2992"/>
      <c r="L120" s="2992"/>
      <c r="M120" s="2992"/>
      <c r="N120" s="2992"/>
      <c r="O120" s="2992"/>
      <c r="P120" s="1128"/>
      <c r="Q120" s="2992"/>
      <c r="R120" s="344"/>
      <c r="S120" s="3101"/>
      <c r="T120" s="344"/>
      <c r="U120" s="2992"/>
      <c r="V120" s="1128"/>
      <c r="W120" s="2992"/>
      <c r="X120" s="2992"/>
      <c r="Y120" s="1674">
        <f t="shared" si="8"/>
        <v>348550</v>
      </c>
      <c r="Z120" s="275">
        <f>SUM(Z121:Z134)</f>
        <v>348550000</v>
      </c>
      <c r="AC120" s="3096">
        <f>AC119/V113/Q113/O113</f>
        <v>628125</v>
      </c>
    </row>
    <row r="121" spans="1:29" ht="20.100000000000001" customHeight="1">
      <c r="A121" s="334"/>
      <c r="B121" s="1384"/>
      <c r="C121" s="1851"/>
      <c r="D121" s="392"/>
      <c r="E121" s="392"/>
      <c r="F121" s="392"/>
      <c r="G121" s="392"/>
      <c r="H121" s="3103"/>
      <c r="I121" s="1127"/>
      <c r="J121" s="348" t="s">
        <v>2138</v>
      </c>
      <c r="K121" s="275"/>
      <c r="L121" s="275"/>
      <c r="M121" s="275"/>
      <c r="N121" s="275"/>
      <c r="O121" s="347"/>
      <c r="P121" s="347"/>
      <c r="Q121" s="3104">
        <v>110</v>
      </c>
      <c r="R121" s="344" t="s">
        <v>2130</v>
      </c>
      <c r="S121" s="3100">
        <v>75000</v>
      </c>
      <c r="T121" s="344" t="s">
        <v>1746</v>
      </c>
      <c r="U121" s="275"/>
      <c r="V121" s="1128">
        <v>22</v>
      </c>
      <c r="W121" s="2992" t="s">
        <v>1951</v>
      </c>
      <c r="X121" s="2992" t="s">
        <v>2025</v>
      </c>
      <c r="Y121" s="1674">
        <f t="shared" si="8"/>
        <v>181500</v>
      </c>
      <c r="Z121" s="275">
        <f>S121*V121*Q121</f>
        <v>181500000</v>
      </c>
    </row>
    <row r="122" spans="1:29" ht="20.100000000000001" customHeight="1">
      <c r="A122" s="334"/>
      <c r="B122" s="1384"/>
      <c r="C122" s="1851"/>
      <c r="D122" s="392"/>
      <c r="E122" s="392"/>
      <c r="F122" s="392"/>
      <c r="G122" s="392"/>
      <c r="H122" s="3103"/>
      <c r="I122" s="1127"/>
      <c r="J122" s="348" t="s">
        <v>2139</v>
      </c>
      <c r="K122" s="275"/>
      <c r="L122" s="275"/>
      <c r="M122" s="275"/>
      <c r="N122" s="275"/>
      <c r="O122" s="347"/>
      <c r="P122" s="347"/>
      <c r="Q122" s="3104">
        <v>110</v>
      </c>
      <c r="R122" s="344" t="s">
        <v>2130</v>
      </c>
      <c r="S122" s="3100">
        <v>72000</v>
      </c>
      <c r="T122" s="344" t="s">
        <v>1746</v>
      </c>
      <c r="U122" s="275"/>
      <c r="V122" s="1128">
        <v>10</v>
      </c>
      <c r="W122" s="2992" t="s">
        <v>1951</v>
      </c>
      <c r="X122" s="2992" t="s">
        <v>2025</v>
      </c>
      <c r="Y122" s="1674">
        <f t="shared" si="8"/>
        <v>79200</v>
      </c>
      <c r="Z122" s="275">
        <f>S122*V122*Q122</f>
        <v>79200000</v>
      </c>
    </row>
    <row r="123" spans="1:29" ht="20.100000000000001" customHeight="1">
      <c r="A123" s="334"/>
      <c r="B123" s="1384"/>
      <c r="C123" s="1851"/>
      <c r="D123" s="392"/>
      <c r="E123" s="392"/>
      <c r="F123" s="392"/>
      <c r="G123" s="392"/>
      <c r="H123" s="3103"/>
      <c r="I123" s="1127"/>
      <c r="J123" s="348" t="s">
        <v>2140</v>
      </c>
      <c r="K123" s="275"/>
      <c r="L123" s="275"/>
      <c r="M123" s="275"/>
      <c r="N123" s="275"/>
      <c r="O123" s="347"/>
      <c r="P123" s="347"/>
      <c r="Q123" s="3104">
        <v>90</v>
      </c>
      <c r="R123" s="344" t="s">
        <v>2130</v>
      </c>
      <c r="S123" s="3100">
        <v>72000</v>
      </c>
      <c r="T123" s="344" t="s">
        <v>1746</v>
      </c>
      <c r="U123" s="275"/>
      <c r="V123" s="1128">
        <v>4</v>
      </c>
      <c r="W123" s="2992" t="s">
        <v>1951</v>
      </c>
      <c r="X123" s="2992" t="s">
        <v>2025</v>
      </c>
      <c r="Y123" s="1674">
        <f t="shared" si="8"/>
        <v>25920</v>
      </c>
      <c r="Z123" s="275">
        <f>S123*V123*Q123</f>
        <v>25920000</v>
      </c>
    </row>
    <row r="124" spans="1:29" ht="20.100000000000001" customHeight="1">
      <c r="A124" s="334"/>
      <c r="B124" s="335"/>
      <c r="C124" s="1126"/>
      <c r="D124" s="1126"/>
      <c r="E124" s="1126"/>
      <c r="F124" s="337"/>
      <c r="G124" s="337"/>
      <c r="H124" s="338"/>
      <c r="I124" s="1127"/>
      <c r="J124" s="348" t="s">
        <v>2141</v>
      </c>
      <c r="K124" s="2992"/>
      <c r="L124" s="2992"/>
      <c r="M124" s="2992"/>
      <c r="N124" s="2992"/>
      <c r="O124" s="2992"/>
      <c r="P124" s="1675"/>
      <c r="Q124" s="1128"/>
      <c r="R124" s="344"/>
      <c r="S124" s="524">
        <v>4000000</v>
      </c>
      <c r="T124" s="344" t="s">
        <v>2073</v>
      </c>
      <c r="U124" s="1128"/>
      <c r="V124" s="1128">
        <v>3</v>
      </c>
      <c r="W124" s="2992" t="s">
        <v>1806</v>
      </c>
      <c r="X124" s="1718" t="s">
        <v>1797</v>
      </c>
      <c r="Y124" s="1674">
        <f t="shared" si="8"/>
        <v>12000</v>
      </c>
      <c r="Z124" s="275">
        <f>S124*V124</f>
        <v>12000000</v>
      </c>
    </row>
    <row r="125" spans="1:29" s="986" customFormat="1" ht="20.100000000000001" customHeight="1">
      <c r="A125" s="334"/>
      <c r="B125" s="335"/>
      <c r="C125" s="1126"/>
      <c r="D125" s="1126"/>
      <c r="E125" s="1126"/>
      <c r="F125" s="337"/>
      <c r="G125" s="337"/>
      <c r="H125" s="338"/>
      <c r="I125" s="1127"/>
      <c r="J125" s="348" t="s">
        <v>2142</v>
      </c>
      <c r="K125" s="2992"/>
      <c r="L125" s="2992"/>
      <c r="M125" s="2992"/>
      <c r="N125" s="2992"/>
      <c r="O125" s="2992"/>
      <c r="P125" s="1675"/>
      <c r="Q125" s="1128"/>
      <c r="R125" s="344"/>
      <c r="S125" s="524">
        <v>8000000</v>
      </c>
      <c r="T125" s="344" t="s">
        <v>2073</v>
      </c>
      <c r="U125" s="1128"/>
      <c r="V125" s="1128">
        <v>2</v>
      </c>
      <c r="W125" s="2992" t="s">
        <v>1806</v>
      </c>
      <c r="X125" s="1718" t="s">
        <v>1797</v>
      </c>
      <c r="Y125" s="1674">
        <f t="shared" si="8"/>
        <v>16000</v>
      </c>
      <c r="Z125" s="275">
        <f>S125*V125</f>
        <v>16000000</v>
      </c>
      <c r="AA125" s="321"/>
      <c r="AB125" s="321"/>
    </row>
    <row r="126" spans="1:29" ht="20.100000000000001" customHeight="1">
      <c r="A126" s="334"/>
      <c r="B126" s="335"/>
      <c r="C126" s="1126"/>
      <c r="D126" s="1126"/>
      <c r="E126" s="1126"/>
      <c r="F126" s="337"/>
      <c r="G126" s="337"/>
      <c r="H126" s="338"/>
      <c r="I126" s="1127"/>
      <c r="J126" s="348" t="s">
        <v>2143</v>
      </c>
      <c r="K126" s="2992"/>
      <c r="L126" s="2992"/>
      <c r="M126" s="2992"/>
      <c r="N126" s="2992"/>
      <c r="O126" s="2992"/>
      <c r="P126" s="1675"/>
      <c r="Q126" s="1675"/>
      <c r="R126" s="1715"/>
      <c r="S126" s="524">
        <v>1000000</v>
      </c>
      <c r="T126" s="344" t="s">
        <v>2073</v>
      </c>
      <c r="U126" s="1128"/>
      <c r="V126" s="1128">
        <v>4</v>
      </c>
      <c r="W126" s="2992" t="s">
        <v>1806</v>
      </c>
      <c r="X126" s="1718" t="s">
        <v>1797</v>
      </c>
      <c r="Y126" s="1674">
        <f t="shared" si="8"/>
        <v>4000</v>
      </c>
      <c r="Z126" s="275">
        <f>S126*V126</f>
        <v>4000000</v>
      </c>
    </row>
    <row r="127" spans="1:29" ht="20.100000000000001" customHeight="1">
      <c r="A127" s="334"/>
      <c r="B127" s="335"/>
      <c r="C127" s="1126"/>
      <c r="D127" s="1126"/>
      <c r="E127" s="1126"/>
      <c r="F127" s="337"/>
      <c r="G127" s="337"/>
      <c r="H127" s="338"/>
      <c r="I127" s="1127"/>
      <c r="J127" s="348" t="s">
        <v>2144</v>
      </c>
      <c r="K127" s="2992"/>
      <c r="L127" s="2992"/>
      <c r="M127" s="2992"/>
      <c r="N127" s="2992"/>
      <c r="O127" s="2992"/>
      <c r="P127" s="1128"/>
      <c r="Q127" s="2992"/>
      <c r="R127" s="344"/>
      <c r="S127" s="1719">
        <v>2000000</v>
      </c>
      <c r="T127" s="344" t="s">
        <v>2073</v>
      </c>
      <c r="U127" s="2992"/>
      <c r="V127" s="1128">
        <v>1</v>
      </c>
      <c r="W127" s="2992" t="s">
        <v>1806</v>
      </c>
      <c r="X127" s="2992" t="s">
        <v>1797</v>
      </c>
      <c r="Y127" s="1674">
        <f t="shared" si="8"/>
        <v>2000</v>
      </c>
      <c r="Z127" s="275">
        <f>S127*V127</f>
        <v>2000000</v>
      </c>
    </row>
    <row r="128" spans="1:29" ht="20.100000000000001" customHeight="1">
      <c r="A128" s="334"/>
      <c r="B128" s="335"/>
      <c r="C128" s="1126"/>
      <c r="D128" s="1126"/>
      <c r="E128" s="1126"/>
      <c r="F128" s="337"/>
      <c r="G128" s="337"/>
      <c r="H128" s="338"/>
      <c r="I128" s="1127"/>
      <c r="J128" s="2934" t="s">
        <v>2145</v>
      </c>
      <c r="K128" s="2935"/>
      <c r="L128" s="2935"/>
      <c r="M128" s="2935"/>
      <c r="N128" s="2935"/>
      <c r="O128" s="2935"/>
      <c r="P128" s="1675"/>
      <c r="Q128" s="1128"/>
      <c r="R128" s="344"/>
      <c r="S128" s="524">
        <v>2000000</v>
      </c>
      <c r="T128" s="344" t="s">
        <v>2073</v>
      </c>
      <c r="U128" s="1675"/>
      <c r="V128" s="1128">
        <v>1</v>
      </c>
      <c r="W128" s="2992" t="s">
        <v>2146</v>
      </c>
      <c r="X128" s="1718" t="s">
        <v>1797</v>
      </c>
      <c r="Y128" s="1674">
        <f t="shared" si="8"/>
        <v>2000</v>
      </c>
      <c r="Z128" s="275">
        <f>S128*V128</f>
        <v>2000000</v>
      </c>
    </row>
    <row r="129" spans="1:29" ht="20.100000000000001" customHeight="1">
      <c r="A129" s="334"/>
      <c r="B129" s="335"/>
      <c r="C129" s="1126"/>
      <c r="D129" s="1126"/>
      <c r="E129" s="1126"/>
      <c r="F129" s="337"/>
      <c r="G129" s="337"/>
      <c r="H129" s="338"/>
      <c r="I129" s="1127"/>
      <c r="J129" s="348" t="s">
        <v>2147</v>
      </c>
      <c r="K129" s="2992"/>
      <c r="L129" s="2992"/>
      <c r="M129" s="2992"/>
      <c r="N129" s="2992"/>
      <c r="O129" s="2992"/>
      <c r="P129" s="1675"/>
      <c r="Q129" s="3105">
        <v>6730</v>
      </c>
      <c r="R129" s="2992" t="s">
        <v>2148</v>
      </c>
      <c r="S129" s="524">
        <v>1000</v>
      </c>
      <c r="T129" s="344" t="s">
        <v>2073</v>
      </c>
      <c r="U129" s="1128"/>
      <c r="V129" s="1128">
        <v>1</v>
      </c>
      <c r="W129" s="2992" t="s">
        <v>2146</v>
      </c>
      <c r="X129" s="1718" t="s">
        <v>1797</v>
      </c>
      <c r="Y129" s="1674">
        <f t="shared" si="8"/>
        <v>6730</v>
      </c>
      <c r="Z129" s="275">
        <f>Q129*S129*V129</f>
        <v>6730000</v>
      </c>
    </row>
    <row r="130" spans="1:29" s="986" customFormat="1" ht="20.100000000000001" customHeight="1">
      <c r="A130" s="334"/>
      <c r="B130" s="335"/>
      <c r="C130" s="1126"/>
      <c r="D130" s="1126"/>
      <c r="E130" s="1126"/>
      <c r="F130" s="337"/>
      <c r="G130" s="337"/>
      <c r="H130" s="338"/>
      <c r="I130" s="1127"/>
      <c r="J130" s="2934" t="s">
        <v>2149</v>
      </c>
      <c r="K130" s="2935"/>
      <c r="L130" s="2935"/>
      <c r="M130" s="2935"/>
      <c r="N130" s="2935"/>
      <c r="O130" s="2935"/>
      <c r="P130" s="1675"/>
      <c r="Q130" s="1128">
        <v>4</v>
      </c>
      <c r="R130" s="1853" t="s">
        <v>2150</v>
      </c>
      <c r="S130" s="524">
        <v>1200000</v>
      </c>
      <c r="T130" s="344" t="s">
        <v>2073</v>
      </c>
      <c r="U130" s="1128"/>
      <c r="V130" s="1128">
        <v>2</v>
      </c>
      <c r="W130" s="1675" t="s">
        <v>1806</v>
      </c>
      <c r="X130" s="1718" t="s">
        <v>1797</v>
      </c>
      <c r="Y130" s="1674">
        <f t="shared" si="8"/>
        <v>9600</v>
      </c>
      <c r="Z130" s="275">
        <f>Q130*S130*V130</f>
        <v>9600000</v>
      </c>
      <c r="AA130" s="321"/>
      <c r="AB130" s="321"/>
    </row>
    <row r="131" spans="1:29" s="986" customFormat="1" ht="20.100000000000001" customHeight="1">
      <c r="A131" s="334"/>
      <c r="B131" s="335"/>
      <c r="C131" s="1126"/>
      <c r="D131" s="1126"/>
      <c r="E131" s="1126"/>
      <c r="F131" s="337"/>
      <c r="G131" s="337"/>
      <c r="H131" s="338"/>
      <c r="I131" s="1127"/>
      <c r="J131" s="2934" t="s">
        <v>2151</v>
      </c>
      <c r="K131" s="2935"/>
      <c r="L131" s="2935"/>
      <c r="M131" s="2935"/>
      <c r="N131" s="2935"/>
      <c r="O131" s="2935"/>
      <c r="P131" s="1675"/>
      <c r="Q131" s="1128" t="s">
        <v>1804</v>
      </c>
      <c r="R131" s="344" t="s">
        <v>1804</v>
      </c>
      <c r="S131" s="524">
        <v>300000</v>
      </c>
      <c r="T131" s="344" t="s">
        <v>2073</v>
      </c>
      <c r="U131" s="1675"/>
      <c r="V131" s="1128">
        <v>4</v>
      </c>
      <c r="W131" s="2992" t="s">
        <v>1806</v>
      </c>
      <c r="X131" s="2992" t="s">
        <v>1797</v>
      </c>
      <c r="Y131" s="1674">
        <f t="shared" si="8"/>
        <v>1200</v>
      </c>
      <c r="Z131" s="275">
        <f>S131*V131</f>
        <v>1200000</v>
      </c>
      <c r="AA131" s="321"/>
      <c r="AB131" s="321"/>
    </row>
    <row r="132" spans="1:29" s="986" customFormat="1" ht="20.100000000000001" customHeight="1">
      <c r="A132" s="334"/>
      <c r="B132" s="335"/>
      <c r="C132" s="1126"/>
      <c r="D132" s="1126"/>
      <c r="E132" s="1126"/>
      <c r="F132" s="337"/>
      <c r="G132" s="337"/>
      <c r="H132" s="338"/>
      <c r="I132" s="1127"/>
      <c r="J132" s="2934" t="s">
        <v>2152</v>
      </c>
      <c r="K132" s="2935"/>
      <c r="L132" s="2935"/>
      <c r="M132" s="2935"/>
      <c r="N132" s="2935"/>
      <c r="O132" s="2935"/>
      <c r="P132" s="1675"/>
      <c r="Q132" s="1128">
        <v>4</v>
      </c>
      <c r="R132" s="1853" t="s">
        <v>2150</v>
      </c>
      <c r="S132" s="524">
        <v>1100000</v>
      </c>
      <c r="T132" s="344" t="s">
        <v>2073</v>
      </c>
      <c r="U132" s="1675"/>
      <c r="V132" s="1128">
        <v>1</v>
      </c>
      <c r="W132" s="2992" t="s">
        <v>1806</v>
      </c>
      <c r="X132" s="1718" t="s">
        <v>1797</v>
      </c>
      <c r="Y132" s="1674">
        <f t="shared" si="8"/>
        <v>4400</v>
      </c>
      <c r="Z132" s="275">
        <f>Q132*S132*V132</f>
        <v>4400000</v>
      </c>
      <c r="AA132" s="321"/>
      <c r="AB132" s="321"/>
    </row>
    <row r="133" spans="1:29" ht="20.100000000000001" customHeight="1">
      <c r="A133" s="334"/>
      <c r="B133" s="335"/>
      <c r="C133" s="1126"/>
      <c r="D133" s="1126"/>
      <c r="E133" s="1126"/>
      <c r="F133" s="337"/>
      <c r="G133" s="337"/>
      <c r="H133" s="338"/>
      <c r="I133" s="1127"/>
      <c r="J133" s="3373" t="s">
        <v>2153</v>
      </c>
      <c r="K133" s="3374"/>
      <c r="L133" s="3374"/>
      <c r="M133" s="3374"/>
      <c r="N133" s="3374"/>
      <c r="O133" s="3374"/>
      <c r="P133" s="1675"/>
      <c r="Q133" s="1128">
        <v>2</v>
      </c>
      <c r="R133" s="1853" t="s">
        <v>2150</v>
      </c>
      <c r="S133" s="524">
        <v>1000000</v>
      </c>
      <c r="T133" s="344" t="s">
        <v>2073</v>
      </c>
      <c r="U133" s="1675"/>
      <c r="V133" s="1128">
        <v>1</v>
      </c>
      <c r="W133" s="2992" t="s">
        <v>1806</v>
      </c>
      <c r="X133" s="1718" t="s">
        <v>1797</v>
      </c>
      <c r="Y133" s="1674">
        <f t="shared" si="8"/>
        <v>2000</v>
      </c>
      <c r="Z133" s="275">
        <f>Q133*S133*V133</f>
        <v>2000000</v>
      </c>
    </row>
    <row r="134" spans="1:29" ht="20.100000000000001" customHeight="1">
      <c r="A134" s="334"/>
      <c r="B134" s="335"/>
      <c r="C134" s="1126"/>
      <c r="D134" s="1126"/>
      <c r="E134" s="1126"/>
      <c r="F134" s="337"/>
      <c r="G134" s="337"/>
      <c r="H134" s="338"/>
      <c r="I134" s="1127"/>
      <c r="J134" s="3373" t="s">
        <v>2154</v>
      </c>
      <c r="K134" s="3374"/>
      <c r="L134" s="3374"/>
      <c r="M134" s="3374"/>
      <c r="N134" s="3374"/>
      <c r="O134" s="3374"/>
      <c r="P134" s="1675"/>
      <c r="Q134" s="1128">
        <v>2</v>
      </c>
      <c r="R134" s="344" t="s">
        <v>2155</v>
      </c>
      <c r="S134" s="524">
        <v>1000000</v>
      </c>
      <c r="T134" s="344" t="s">
        <v>2073</v>
      </c>
      <c r="U134" s="1675"/>
      <c r="V134" s="1128">
        <v>1</v>
      </c>
      <c r="W134" s="2992" t="s">
        <v>2156</v>
      </c>
      <c r="X134" s="1718" t="s">
        <v>1797</v>
      </c>
      <c r="Y134" s="1674">
        <f t="shared" si="8"/>
        <v>2000</v>
      </c>
      <c r="Z134" s="275">
        <f>Q134*V134*S134</f>
        <v>2000000</v>
      </c>
    </row>
    <row r="135" spans="1:29" ht="20.100000000000001" customHeight="1">
      <c r="A135" s="334"/>
      <c r="B135" s="335"/>
      <c r="C135" s="1126"/>
      <c r="D135" s="1126"/>
      <c r="E135" s="1126" t="s">
        <v>1807</v>
      </c>
      <c r="F135" s="337">
        <f>+Y135</f>
        <v>312960</v>
      </c>
      <c r="G135" s="337">
        <v>342960</v>
      </c>
      <c r="H135" s="338">
        <f>F135-G135</f>
        <v>-30000</v>
      </c>
      <c r="I135" s="1127"/>
      <c r="J135" s="3400" t="s">
        <v>5092</v>
      </c>
      <c r="K135" s="3401"/>
      <c r="L135" s="3401"/>
      <c r="M135" s="3401"/>
      <c r="N135" s="3401"/>
      <c r="O135" s="3401"/>
      <c r="P135" s="1128"/>
      <c r="Q135" s="2992"/>
      <c r="R135" s="344"/>
      <c r="S135" s="3101"/>
      <c r="T135" s="344"/>
      <c r="U135" s="2992"/>
      <c r="V135" s="1128"/>
      <c r="W135" s="2992"/>
      <c r="X135" s="2992"/>
      <c r="Y135" s="1674">
        <f t="shared" si="8"/>
        <v>312960</v>
      </c>
      <c r="Z135" s="1128">
        <f>SUM(Z136:Z145)</f>
        <v>312960000</v>
      </c>
      <c r="AA135" s="2138">
        <f t="shared" ref="AA135:AA145" si="13">F135*1000000</f>
        <v>312960000000</v>
      </c>
    </row>
    <row r="136" spans="1:29" ht="20.100000000000001" customHeight="1">
      <c r="A136" s="334"/>
      <c r="B136" s="335"/>
      <c r="C136" s="1126"/>
      <c r="D136" s="1126"/>
      <c r="E136" s="1126"/>
      <c r="F136" s="337"/>
      <c r="G136" s="337"/>
      <c r="H136" s="338"/>
      <c r="I136" s="1127"/>
      <c r="J136" s="348" t="s">
        <v>5128</v>
      </c>
      <c r="K136" s="2992"/>
      <c r="L136" s="2992"/>
      <c r="M136" s="2992"/>
      <c r="N136" s="2992"/>
      <c r="O136" s="2992"/>
      <c r="P136" s="1128">
        <v>50</v>
      </c>
      <c r="Q136" s="2992" t="s">
        <v>5129</v>
      </c>
      <c r="R136" s="1865">
        <v>600000</v>
      </c>
      <c r="S136" s="2927" t="s">
        <v>5130</v>
      </c>
      <c r="T136" s="344">
        <v>1</v>
      </c>
      <c r="U136" s="2992" t="s">
        <v>5131</v>
      </c>
      <c r="V136" s="1128">
        <v>4</v>
      </c>
      <c r="W136" s="2992" t="s">
        <v>5132</v>
      </c>
      <c r="X136" s="1718" t="s">
        <v>5098</v>
      </c>
      <c r="Y136" s="1674">
        <f t="shared" si="8"/>
        <v>120000</v>
      </c>
      <c r="Z136" s="1128">
        <f>+P136*R136*T136*V136</f>
        <v>120000000</v>
      </c>
      <c r="AA136" s="2138">
        <f t="shared" si="13"/>
        <v>0</v>
      </c>
    </row>
    <row r="137" spans="1:29" s="986" customFormat="1" ht="20.100000000000001" customHeight="1">
      <c r="A137" s="334"/>
      <c r="B137" s="335"/>
      <c r="C137" s="1126"/>
      <c r="D137" s="1126"/>
      <c r="E137" s="1126"/>
      <c r="F137" s="337"/>
      <c r="G137" s="337"/>
      <c r="H137" s="338"/>
      <c r="I137" s="1127"/>
      <c r="J137" s="348" t="s">
        <v>5133</v>
      </c>
      <c r="K137" s="2992"/>
      <c r="L137" s="2992"/>
      <c r="M137" s="2992"/>
      <c r="N137" s="2992"/>
      <c r="O137" s="2992"/>
      <c r="P137" s="1128">
        <v>50</v>
      </c>
      <c r="Q137" s="2992" t="s">
        <v>5129</v>
      </c>
      <c r="R137" s="1865">
        <v>500000</v>
      </c>
      <c r="S137" s="2927" t="s">
        <v>5130</v>
      </c>
      <c r="T137" s="344">
        <v>1</v>
      </c>
      <c r="U137" s="2992" t="s">
        <v>5131</v>
      </c>
      <c r="V137" s="1128">
        <v>4</v>
      </c>
      <c r="W137" s="2992" t="s">
        <v>5132</v>
      </c>
      <c r="X137" s="1718" t="s">
        <v>5098</v>
      </c>
      <c r="Y137" s="1674">
        <f t="shared" si="8"/>
        <v>100000</v>
      </c>
      <c r="Z137" s="1128">
        <f>+P137*R137*T137*V137</f>
        <v>100000000</v>
      </c>
      <c r="AA137" s="2138">
        <f t="shared" si="13"/>
        <v>0</v>
      </c>
      <c r="AB137" s="321"/>
    </row>
    <row r="138" spans="1:29" s="986" customFormat="1" ht="20.100000000000001" customHeight="1">
      <c r="A138" s="334"/>
      <c r="B138" s="335"/>
      <c r="C138" s="1126"/>
      <c r="D138" s="1126"/>
      <c r="E138" s="1126"/>
      <c r="F138" s="337"/>
      <c r="G138" s="337"/>
      <c r="H138" s="338"/>
      <c r="I138" s="1127"/>
      <c r="J138" s="348" t="s">
        <v>5134</v>
      </c>
      <c r="K138" s="2992"/>
      <c r="L138" s="2992"/>
      <c r="M138" s="2992"/>
      <c r="N138" s="2992"/>
      <c r="O138" s="2992"/>
      <c r="P138" s="1128">
        <v>10</v>
      </c>
      <c r="Q138" s="2992" t="s">
        <v>5129</v>
      </c>
      <c r="R138" s="1865">
        <v>495000</v>
      </c>
      <c r="S138" s="2927" t="s">
        <v>5130</v>
      </c>
      <c r="T138" s="344">
        <v>1</v>
      </c>
      <c r="U138" s="2992" t="s">
        <v>5131</v>
      </c>
      <c r="V138" s="1128">
        <v>4</v>
      </c>
      <c r="W138" s="2992" t="s">
        <v>5132</v>
      </c>
      <c r="X138" s="1718" t="s">
        <v>5098</v>
      </c>
      <c r="Y138" s="1674">
        <f t="shared" si="8"/>
        <v>19800</v>
      </c>
      <c r="Z138" s="1128">
        <f>+P138*R138*T138*V138</f>
        <v>19800000</v>
      </c>
      <c r="AA138" s="2138">
        <f t="shared" si="13"/>
        <v>0</v>
      </c>
      <c r="AB138" s="321"/>
      <c r="AC138" s="986">
        <v>310460000</v>
      </c>
    </row>
    <row r="139" spans="1:29" ht="20.100000000000001" customHeight="1">
      <c r="A139" s="334"/>
      <c r="B139" s="335"/>
      <c r="C139" s="1126"/>
      <c r="D139" s="1126"/>
      <c r="E139" s="1126"/>
      <c r="F139" s="337"/>
      <c r="G139" s="337"/>
      <c r="H139" s="338"/>
      <c r="I139" s="1127"/>
      <c r="J139" s="348" t="s">
        <v>5135</v>
      </c>
      <c r="K139" s="2992"/>
      <c r="L139" s="2992"/>
      <c r="M139" s="2992"/>
      <c r="N139" s="2992"/>
      <c r="O139" s="2992"/>
      <c r="P139" s="1128"/>
      <c r="Q139" s="2992"/>
      <c r="R139" s="1865">
        <v>440000</v>
      </c>
      <c r="S139" s="2927" t="s">
        <v>5130</v>
      </c>
      <c r="T139" s="344">
        <v>2</v>
      </c>
      <c r="U139" s="2992" t="s">
        <v>5131</v>
      </c>
      <c r="V139" s="1128">
        <v>4</v>
      </c>
      <c r="W139" s="2992" t="s">
        <v>5132</v>
      </c>
      <c r="X139" s="1718" t="s">
        <v>5098</v>
      </c>
      <c r="Y139" s="1674">
        <f t="shared" si="8"/>
        <v>3520</v>
      </c>
      <c r="Z139" s="1128">
        <f>R139*T139*V139</f>
        <v>3520000</v>
      </c>
      <c r="AA139" s="2138">
        <f t="shared" si="13"/>
        <v>0</v>
      </c>
      <c r="AC139" s="303">
        <f>AC138+2500000</f>
        <v>312960000</v>
      </c>
    </row>
    <row r="140" spans="1:29" ht="20.100000000000001" customHeight="1">
      <c r="A140" s="334"/>
      <c r="B140" s="335"/>
      <c r="C140" s="1126"/>
      <c r="D140" s="1126"/>
      <c r="E140" s="1126"/>
      <c r="F140" s="337"/>
      <c r="G140" s="337"/>
      <c r="H140" s="338"/>
      <c r="I140" s="1127"/>
      <c r="J140" s="348" t="s">
        <v>5136</v>
      </c>
      <c r="K140" s="2992"/>
      <c r="L140" s="2992"/>
      <c r="M140" s="2992"/>
      <c r="N140" s="2992"/>
      <c r="O140" s="2992"/>
      <c r="P140" s="1128"/>
      <c r="Q140" s="2992"/>
      <c r="R140" s="1865">
        <v>440000</v>
      </c>
      <c r="S140" s="2927" t="s">
        <v>5130</v>
      </c>
      <c r="T140" s="344">
        <v>2</v>
      </c>
      <c r="U140" s="2992" t="s">
        <v>5131</v>
      </c>
      <c r="V140" s="1128">
        <v>4</v>
      </c>
      <c r="W140" s="2992" t="s">
        <v>5132</v>
      </c>
      <c r="X140" s="1718" t="s">
        <v>5098</v>
      </c>
      <c r="Y140" s="1674">
        <f t="shared" si="8"/>
        <v>3520</v>
      </c>
      <c r="Z140" s="1128">
        <f>R140*T140*V140</f>
        <v>3520000</v>
      </c>
      <c r="AA140" s="2138">
        <f t="shared" si="13"/>
        <v>0</v>
      </c>
    </row>
    <row r="141" spans="1:29" ht="20.100000000000001" customHeight="1">
      <c r="A141" s="334"/>
      <c r="B141" s="335"/>
      <c r="C141" s="1126"/>
      <c r="D141" s="1126"/>
      <c r="E141" s="1126"/>
      <c r="F141" s="337"/>
      <c r="G141" s="337"/>
      <c r="H141" s="338"/>
      <c r="I141" s="1127"/>
      <c r="J141" s="348" t="s">
        <v>5137</v>
      </c>
      <c r="K141" s="2992"/>
      <c r="L141" s="2992"/>
      <c r="M141" s="2992"/>
      <c r="N141" s="2992"/>
      <c r="O141" s="2992"/>
      <c r="P141" s="1128"/>
      <c r="Q141" s="2992"/>
      <c r="R141" s="1865">
        <v>330000</v>
      </c>
      <c r="S141" s="2927" t="s">
        <v>5130</v>
      </c>
      <c r="T141" s="344">
        <v>1</v>
      </c>
      <c r="U141" s="2992" t="s">
        <v>5138</v>
      </c>
      <c r="V141" s="1128">
        <v>2</v>
      </c>
      <c r="W141" s="2992" t="s">
        <v>5132</v>
      </c>
      <c r="X141" s="1718" t="s">
        <v>5098</v>
      </c>
      <c r="Y141" s="1674">
        <f t="shared" si="8"/>
        <v>660</v>
      </c>
      <c r="Z141" s="1128">
        <f>R141*T141*V141</f>
        <v>660000</v>
      </c>
      <c r="AA141" s="2138">
        <f t="shared" si="13"/>
        <v>0</v>
      </c>
    </row>
    <row r="142" spans="1:29" s="986" customFormat="1" ht="20.100000000000001" customHeight="1">
      <c r="A142" s="334"/>
      <c r="B142" s="335"/>
      <c r="C142" s="1126"/>
      <c r="D142" s="1126"/>
      <c r="E142" s="1126"/>
      <c r="F142" s="337"/>
      <c r="G142" s="337"/>
      <c r="H142" s="338"/>
      <c r="I142" s="1127"/>
      <c r="J142" s="348" t="s">
        <v>5139</v>
      </c>
      <c r="K142" s="2992"/>
      <c r="L142" s="2992"/>
      <c r="M142" s="2992"/>
      <c r="N142" s="2992"/>
      <c r="O142" s="2992"/>
      <c r="P142" s="1128">
        <v>9</v>
      </c>
      <c r="Q142" s="2992" t="s">
        <v>5140</v>
      </c>
      <c r="R142" s="344"/>
      <c r="S142" s="524">
        <v>880000</v>
      </c>
      <c r="T142" s="344" t="s">
        <v>5130</v>
      </c>
      <c r="U142" s="1675"/>
      <c r="V142" s="1128">
        <v>2</v>
      </c>
      <c r="W142" s="2992" t="s">
        <v>5132</v>
      </c>
      <c r="X142" s="1718" t="s">
        <v>5098</v>
      </c>
      <c r="Y142" s="1674">
        <f t="shared" si="8"/>
        <v>15840</v>
      </c>
      <c r="Z142" s="1128">
        <f>+P142*S142*V142</f>
        <v>15840000</v>
      </c>
      <c r="AA142" s="2138">
        <f t="shared" si="13"/>
        <v>0</v>
      </c>
      <c r="AB142" s="321"/>
    </row>
    <row r="143" spans="1:29" ht="20.100000000000001" customHeight="1">
      <c r="A143" s="334"/>
      <c r="B143" s="335"/>
      <c r="C143" s="1126"/>
      <c r="D143" s="1126"/>
      <c r="E143" s="1126"/>
      <c r="F143" s="337"/>
      <c r="G143" s="337"/>
      <c r="H143" s="338"/>
      <c r="I143" s="1127"/>
      <c r="J143" s="348" t="s">
        <v>5141</v>
      </c>
      <c r="K143" s="2992"/>
      <c r="L143" s="2992"/>
      <c r="M143" s="2992"/>
      <c r="N143" s="2992"/>
      <c r="O143" s="2992"/>
      <c r="P143" s="1128"/>
      <c r="Q143" s="2992"/>
      <c r="R143" s="1715"/>
      <c r="S143" s="524">
        <v>220000</v>
      </c>
      <c r="T143" s="344" t="s">
        <v>5130</v>
      </c>
      <c r="U143" s="2992"/>
      <c r="V143" s="1128">
        <v>12</v>
      </c>
      <c r="W143" s="2992" t="s">
        <v>5104</v>
      </c>
      <c r="X143" s="1718" t="s">
        <v>5098</v>
      </c>
      <c r="Y143" s="1674">
        <f t="shared" si="8"/>
        <v>2640</v>
      </c>
      <c r="Z143" s="1128">
        <f>+V143*S143</f>
        <v>2640000</v>
      </c>
      <c r="AA143" s="2138">
        <f t="shared" si="13"/>
        <v>0</v>
      </c>
    </row>
    <row r="144" spans="1:29" ht="20.100000000000001" customHeight="1">
      <c r="A144" s="334"/>
      <c r="B144" s="335"/>
      <c r="C144" s="1126"/>
      <c r="D144" s="1126"/>
      <c r="E144" s="1126"/>
      <c r="F144" s="337"/>
      <c r="G144" s="337"/>
      <c r="H144" s="338"/>
      <c r="I144" s="1127"/>
      <c r="J144" s="348" t="s">
        <v>5142</v>
      </c>
      <c r="K144" s="2992"/>
      <c r="L144" s="2992"/>
      <c r="M144" s="2992"/>
      <c r="N144" s="2992"/>
      <c r="O144" s="2992"/>
      <c r="P144" s="1128">
        <v>9</v>
      </c>
      <c r="Q144" s="2992" t="s">
        <v>5140</v>
      </c>
      <c r="R144" s="1715"/>
      <c r="S144" s="524">
        <v>805000</v>
      </c>
      <c r="T144" s="344" t="s">
        <v>5130</v>
      </c>
      <c r="U144" s="2992"/>
      <c r="V144" s="1128">
        <v>4</v>
      </c>
      <c r="W144" s="2992" t="s">
        <v>5132</v>
      </c>
      <c r="X144" s="1718" t="s">
        <v>5098</v>
      </c>
      <c r="Y144" s="1674">
        <f t="shared" si="8"/>
        <v>28980</v>
      </c>
      <c r="Z144" s="1128">
        <f>+P144*S144*V144</f>
        <v>28980000</v>
      </c>
      <c r="AA144" s="2138">
        <f t="shared" si="13"/>
        <v>0</v>
      </c>
    </row>
    <row r="145" spans="1:28" ht="20.100000000000001" customHeight="1">
      <c r="A145" s="334"/>
      <c r="B145" s="335"/>
      <c r="C145" s="1126"/>
      <c r="D145" s="1126"/>
      <c r="E145" s="1126"/>
      <c r="F145" s="337"/>
      <c r="G145" s="337"/>
      <c r="H145" s="338"/>
      <c r="I145" s="1127"/>
      <c r="J145" s="3417" t="s">
        <v>5143</v>
      </c>
      <c r="K145" s="3418"/>
      <c r="L145" s="3418"/>
      <c r="M145" s="3418"/>
      <c r="N145" s="3418"/>
      <c r="O145" s="3418"/>
      <c r="P145" s="1128">
        <v>9</v>
      </c>
      <c r="Q145" s="2992" t="s">
        <v>5140</v>
      </c>
      <c r="R145" s="1715"/>
      <c r="S145" s="524">
        <v>500000</v>
      </c>
      <c r="T145" s="344" t="s">
        <v>5130</v>
      </c>
      <c r="U145" s="2992"/>
      <c r="V145" s="1128">
        <v>4</v>
      </c>
      <c r="W145" s="2992" t="s">
        <v>5132</v>
      </c>
      <c r="X145" s="1718" t="s">
        <v>5098</v>
      </c>
      <c r="Y145" s="1674">
        <f t="shared" si="8"/>
        <v>18000</v>
      </c>
      <c r="Z145" s="1128">
        <f>+P145*S145*V145</f>
        <v>18000000</v>
      </c>
      <c r="AA145" s="2138">
        <f t="shared" si="13"/>
        <v>0</v>
      </c>
    </row>
    <row r="146" spans="1:28" s="986" customFormat="1" ht="20.100000000000001" customHeight="1">
      <c r="A146" s="334"/>
      <c r="B146" s="335"/>
      <c r="C146" s="1126"/>
      <c r="D146" s="1126"/>
      <c r="E146" s="1126" t="s">
        <v>1808</v>
      </c>
      <c r="F146" s="337">
        <f>+Y146</f>
        <v>1800</v>
      </c>
      <c r="G146" s="337">
        <v>1800</v>
      </c>
      <c r="H146" s="338"/>
      <c r="I146" s="1127"/>
      <c r="J146" s="348" t="s">
        <v>2157</v>
      </c>
      <c r="K146" s="2992"/>
      <c r="L146" s="2992"/>
      <c r="M146" s="2992"/>
      <c r="N146" s="2992"/>
      <c r="O146" s="2992"/>
      <c r="P146" s="1675"/>
      <c r="Q146" s="1128"/>
      <c r="R146" s="344"/>
      <c r="S146" s="524">
        <v>150000</v>
      </c>
      <c r="T146" s="344" t="s">
        <v>2073</v>
      </c>
      <c r="U146" s="1675"/>
      <c r="V146" s="1128">
        <v>12</v>
      </c>
      <c r="W146" s="2992" t="s">
        <v>1802</v>
      </c>
      <c r="X146" s="1718" t="s">
        <v>1797</v>
      </c>
      <c r="Y146" s="1674">
        <f t="shared" si="8"/>
        <v>1800</v>
      </c>
      <c r="Z146" s="275">
        <f>+S146*V146</f>
        <v>1800000</v>
      </c>
      <c r="AA146" s="321"/>
      <c r="AB146" s="321"/>
    </row>
    <row r="147" spans="1:28" s="986" customFormat="1" ht="20.100000000000001" customHeight="1">
      <c r="A147" s="334"/>
      <c r="B147" s="335"/>
      <c r="C147" s="1126"/>
      <c r="D147" s="1126"/>
      <c r="E147" s="1126" t="s">
        <v>1799</v>
      </c>
      <c r="F147" s="337">
        <f>+Y147</f>
        <v>1000</v>
      </c>
      <c r="G147" s="337">
        <v>1000</v>
      </c>
      <c r="H147" s="338"/>
      <c r="I147" s="1127"/>
      <c r="J147" s="2939" t="s">
        <v>2158</v>
      </c>
      <c r="K147" s="2992"/>
      <c r="L147" s="2992"/>
      <c r="M147" s="2992"/>
      <c r="N147" s="2992"/>
      <c r="O147" s="2992"/>
      <c r="P147" s="1128"/>
      <c r="Q147" s="372"/>
      <c r="R147" s="2938"/>
      <c r="S147" s="492">
        <v>1000000</v>
      </c>
      <c r="T147" s="344" t="s">
        <v>2073</v>
      </c>
      <c r="U147" s="2938"/>
      <c r="V147" s="492">
        <v>1</v>
      </c>
      <c r="W147" s="2938" t="s">
        <v>1806</v>
      </c>
      <c r="X147" s="1140" t="s">
        <v>1</v>
      </c>
      <c r="Y147" s="406">
        <f>(Z147)/1000</f>
        <v>1000</v>
      </c>
      <c r="Z147" s="1716">
        <f>S147*V147</f>
        <v>1000000</v>
      </c>
      <c r="AA147" s="321"/>
      <c r="AB147" s="321"/>
    </row>
    <row r="148" spans="1:28" ht="20.100000000000001" customHeight="1">
      <c r="A148" s="334"/>
      <c r="B148" s="335"/>
      <c r="C148" s="1126"/>
      <c r="D148" s="1126"/>
      <c r="E148" s="1126" t="s">
        <v>1798</v>
      </c>
      <c r="F148" s="337">
        <f>+Y148</f>
        <v>5000</v>
      </c>
      <c r="G148" s="337">
        <v>5000</v>
      </c>
      <c r="H148" s="338"/>
      <c r="I148" s="1127"/>
      <c r="J148" s="348" t="s">
        <v>1805</v>
      </c>
      <c r="K148" s="2992"/>
      <c r="L148" s="2992"/>
      <c r="M148" s="2992"/>
      <c r="N148" s="2992"/>
      <c r="O148" s="2992"/>
      <c r="P148" s="1128"/>
      <c r="Q148" s="2992"/>
      <c r="R148" s="344"/>
      <c r="S148" s="3101"/>
      <c r="T148" s="344"/>
      <c r="U148" s="2992"/>
      <c r="V148" s="1128"/>
      <c r="W148" s="2992"/>
      <c r="X148" s="2992"/>
      <c r="Y148" s="1674">
        <f t="shared" si="8"/>
        <v>5000</v>
      </c>
      <c r="Z148" s="275">
        <f>SUM(Z149:Z151)</f>
        <v>5000000</v>
      </c>
    </row>
    <row r="149" spans="1:28" ht="20.100000000000001" customHeight="1">
      <c r="A149" s="334"/>
      <c r="B149" s="335"/>
      <c r="C149" s="1126"/>
      <c r="D149" s="1126"/>
      <c r="E149" s="1126"/>
      <c r="F149" s="337"/>
      <c r="G149" s="337"/>
      <c r="H149" s="338"/>
      <c r="I149" s="1127"/>
      <c r="J149" s="348" t="s">
        <v>2159</v>
      </c>
      <c r="K149" s="2992"/>
      <c r="L149" s="2992" t="s">
        <v>2160</v>
      </c>
      <c r="M149" s="2992"/>
      <c r="N149" s="2992"/>
      <c r="O149" s="2992"/>
      <c r="P149" s="1675"/>
      <c r="Q149" s="372">
        <v>10</v>
      </c>
      <c r="R149" s="344" t="s">
        <v>2161</v>
      </c>
      <c r="S149" s="524">
        <v>20000</v>
      </c>
      <c r="T149" s="344" t="s">
        <v>2073</v>
      </c>
      <c r="U149" s="1128"/>
      <c r="V149" s="1128">
        <v>10</v>
      </c>
      <c r="W149" s="2992" t="s">
        <v>1806</v>
      </c>
      <c r="X149" s="1718" t="s">
        <v>1797</v>
      </c>
      <c r="Y149" s="1674">
        <f t="shared" si="8"/>
        <v>2000</v>
      </c>
      <c r="Z149" s="275">
        <f>S149*Q149*V149</f>
        <v>2000000</v>
      </c>
    </row>
    <row r="150" spans="1:28" ht="20.100000000000001" customHeight="1">
      <c r="A150" s="334"/>
      <c r="B150" s="335"/>
      <c r="C150" s="1126"/>
      <c r="D150" s="1126"/>
      <c r="E150" s="1126"/>
      <c r="F150" s="337"/>
      <c r="G150" s="337"/>
      <c r="H150" s="338"/>
      <c r="I150" s="1127"/>
      <c r="J150" s="348" t="s">
        <v>2162</v>
      </c>
      <c r="K150" s="2992"/>
      <c r="L150" s="2992"/>
      <c r="M150" s="2992"/>
      <c r="N150" s="2992"/>
      <c r="O150" s="2992"/>
      <c r="P150" s="1675"/>
      <c r="Q150" s="372">
        <v>10</v>
      </c>
      <c r="R150" s="344" t="s">
        <v>2161</v>
      </c>
      <c r="S150" s="524">
        <v>20000</v>
      </c>
      <c r="T150" s="344" t="s">
        <v>2073</v>
      </c>
      <c r="U150" s="1128"/>
      <c r="V150" s="1128">
        <v>10</v>
      </c>
      <c r="W150" s="2992" t="s">
        <v>1806</v>
      </c>
      <c r="X150" s="2992" t="s">
        <v>1797</v>
      </c>
      <c r="Y150" s="1674">
        <f t="shared" si="8"/>
        <v>2000</v>
      </c>
      <c r="Z150" s="275">
        <f>S150*Q150*V150</f>
        <v>2000000</v>
      </c>
    </row>
    <row r="151" spans="1:28" ht="20.100000000000001" customHeight="1">
      <c r="A151" s="334"/>
      <c r="B151" s="335"/>
      <c r="C151" s="1126"/>
      <c r="D151" s="1126"/>
      <c r="E151" s="1126"/>
      <c r="F151" s="337"/>
      <c r="G151" s="337"/>
      <c r="H151" s="338"/>
      <c r="I151" s="1127"/>
      <c r="J151" s="348" t="s">
        <v>2163</v>
      </c>
      <c r="K151" s="2992"/>
      <c r="L151" s="2992"/>
      <c r="M151" s="2992"/>
      <c r="N151" s="2992"/>
      <c r="O151" s="2992"/>
      <c r="P151" s="1128"/>
      <c r="Q151" s="372">
        <v>10</v>
      </c>
      <c r="R151" s="344" t="s">
        <v>2161</v>
      </c>
      <c r="S151" s="524">
        <v>10000</v>
      </c>
      <c r="T151" s="344" t="s">
        <v>2073</v>
      </c>
      <c r="U151" s="1128"/>
      <c r="V151" s="1128">
        <v>10</v>
      </c>
      <c r="W151" s="2992" t="s">
        <v>1806</v>
      </c>
      <c r="X151" s="1718" t="s">
        <v>1797</v>
      </c>
      <c r="Y151" s="1674">
        <f t="shared" si="8"/>
        <v>1000</v>
      </c>
      <c r="Z151" s="275">
        <f>S151*Q151*V151</f>
        <v>1000000</v>
      </c>
    </row>
    <row r="152" spans="1:28" ht="22.5" customHeight="1">
      <c r="A152" s="2274"/>
      <c r="B152" s="1145"/>
      <c r="C152" s="3386" t="s">
        <v>2164</v>
      </c>
      <c r="D152" s="3386"/>
      <c r="E152" s="3386"/>
      <c r="F152" s="483">
        <f>F153+F164+F172+F180+F185</f>
        <v>346000</v>
      </c>
      <c r="G152" s="483">
        <f>G153+G164+G172+G180+G185</f>
        <v>346000</v>
      </c>
      <c r="H152" s="1383">
        <f t="shared" ref="H152:H153" si="14">F152-G152</f>
        <v>0</v>
      </c>
      <c r="I152" s="1127"/>
      <c r="J152" s="394"/>
      <c r="K152" s="2276"/>
      <c r="L152" s="2276"/>
      <c r="M152" s="2276"/>
      <c r="N152" s="2276"/>
      <c r="O152" s="2276"/>
      <c r="P152" s="484"/>
      <c r="Q152" s="485"/>
      <c r="R152" s="486"/>
      <c r="S152" s="487"/>
      <c r="T152" s="486"/>
      <c r="U152" s="2254"/>
      <c r="V152" s="487"/>
      <c r="W152" s="2254"/>
      <c r="X152" s="2254"/>
      <c r="Y152" s="1870"/>
      <c r="Z152" s="401"/>
    </row>
    <row r="153" spans="1:28" s="986" customFormat="1" ht="22.5" customHeight="1">
      <c r="A153" s="2274"/>
      <c r="B153" s="1145"/>
      <c r="C153" s="2290"/>
      <c r="D153" s="3387" t="s">
        <v>3300</v>
      </c>
      <c r="E153" s="3388"/>
      <c r="F153" s="488">
        <f>SUM(F154:F163)</f>
        <v>30000</v>
      </c>
      <c r="G153" s="488">
        <f>SUM(G154:G163)</f>
        <v>30000</v>
      </c>
      <c r="H153" s="468">
        <f t="shared" si="14"/>
        <v>0</v>
      </c>
      <c r="I153" s="1127"/>
      <c r="J153" s="394"/>
      <c r="K153" s="2896"/>
      <c r="L153" s="2896"/>
      <c r="M153" s="2896"/>
      <c r="N153" s="2896"/>
      <c r="O153" s="2896"/>
      <c r="P153" s="484"/>
      <c r="Q153" s="487"/>
      <c r="R153" s="486"/>
      <c r="S153" s="487"/>
      <c r="T153" s="486"/>
      <c r="U153" s="1146"/>
      <c r="V153" s="487"/>
      <c r="W153" s="2876"/>
      <c r="X153" s="430"/>
      <c r="Y153" s="439"/>
      <c r="Z153" s="401"/>
      <c r="AA153" s="321"/>
      <c r="AB153" s="321"/>
    </row>
    <row r="154" spans="1:28" s="986" customFormat="1" ht="22.5" customHeight="1">
      <c r="A154" s="2274"/>
      <c r="B154" s="1145"/>
      <c r="C154" s="2290"/>
      <c r="D154" s="1871"/>
      <c r="E154" s="2990" t="s">
        <v>199</v>
      </c>
      <c r="F154" s="490">
        <f>Y154</f>
        <v>5000</v>
      </c>
      <c r="G154" s="1872">
        <v>4640</v>
      </c>
      <c r="H154" s="1147">
        <f>F154-G154</f>
        <v>360</v>
      </c>
      <c r="I154" s="1127"/>
      <c r="J154" s="3400" t="s">
        <v>1888</v>
      </c>
      <c r="K154" s="3401"/>
      <c r="L154" s="3401"/>
      <c r="M154" s="3401"/>
      <c r="N154" s="3401"/>
      <c r="O154" s="3401"/>
      <c r="P154" s="1128"/>
      <c r="Q154" s="492"/>
      <c r="R154" s="493"/>
      <c r="S154" s="492">
        <v>5000000</v>
      </c>
      <c r="T154" s="344" t="s">
        <v>50</v>
      </c>
      <c r="U154" s="1675"/>
      <c r="V154" s="492">
        <v>1</v>
      </c>
      <c r="W154" s="2889" t="s">
        <v>5267</v>
      </c>
      <c r="X154" s="1140" t="s">
        <v>1</v>
      </c>
      <c r="Y154" s="406">
        <f t="shared" ref="Y154" si="15">(Z154)/1000</f>
        <v>5000</v>
      </c>
      <c r="Z154" s="401">
        <f t="shared" ref="Z154" si="16">S154*V154</f>
        <v>5000000</v>
      </c>
      <c r="AA154" s="321"/>
      <c r="AB154" s="321"/>
    </row>
    <row r="155" spans="1:28" s="986" customFormat="1" ht="22.5" customHeight="1">
      <c r="A155" s="2274"/>
      <c r="B155" s="1145"/>
      <c r="C155" s="470"/>
      <c r="D155" s="489"/>
      <c r="E155" s="2990" t="s">
        <v>5268</v>
      </c>
      <c r="F155" s="490">
        <f>Y155</f>
        <v>0</v>
      </c>
      <c r="G155" s="1872">
        <v>600</v>
      </c>
      <c r="H155" s="1147">
        <f t="shared" ref="H155:H156" si="17">F155-G155</f>
        <v>-600</v>
      </c>
      <c r="I155" s="1127"/>
      <c r="J155" s="2899" t="s">
        <v>5124</v>
      </c>
      <c r="K155" s="2357"/>
      <c r="L155" s="2357"/>
      <c r="M155" s="2357"/>
      <c r="N155" s="2357"/>
      <c r="O155" s="2357"/>
      <c r="P155" s="1128"/>
      <c r="Q155" s="492"/>
      <c r="R155" s="493"/>
      <c r="S155" s="492"/>
      <c r="T155" s="344"/>
      <c r="U155" s="1675"/>
      <c r="V155" s="492"/>
      <c r="W155" s="2889"/>
      <c r="X155" s="1140"/>
      <c r="Y155" s="406"/>
      <c r="Z155" s="275">
        <f>Q155*S155*V155</f>
        <v>0</v>
      </c>
      <c r="AA155" s="321"/>
      <c r="AB155" s="321"/>
    </row>
    <row r="156" spans="1:28" s="986" customFormat="1" ht="22.5" customHeight="1">
      <c r="A156" s="2274"/>
      <c r="B156" s="1145"/>
      <c r="C156" s="470"/>
      <c r="D156" s="489"/>
      <c r="E156" s="2990" t="s">
        <v>5270</v>
      </c>
      <c r="F156" s="490">
        <f>Y156</f>
        <v>9700</v>
      </c>
      <c r="G156" s="1872">
        <v>19200</v>
      </c>
      <c r="H156" s="1147">
        <f t="shared" si="17"/>
        <v>-9500</v>
      </c>
      <c r="I156" s="1127"/>
      <c r="J156" s="2939" t="s">
        <v>194</v>
      </c>
      <c r="K156" s="2357"/>
      <c r="L156" s="2357"/>
      <c r="M156" s="2357"/>
      <c r="N156" s="2357"/>
      <c r="O156" s="2357"/>
      <c r="P156" s="1128"/>
      <c r="Q156" s="492"/>
      <c r="R156" s="493"/>
      <c r="S156" s="492"/>
      <c r="T156" s="344"/>
      <c r="U156" s="1675"/>
      <c r="V156" s="492"/>
      <c r="W156" s="2889"/>
      <c r="X156" s="1140" t="s">
        <v>1</v>
      </c>
      <c r="Y156" s="406">
        <f>(Z156)/1000</f>
        <v>9700</v>
      </c>
      <c r="Z156" s="275">
        <f>Z157+Z158+Z159</f>
        <v>9700000</v>
      </c>
      <c r="AA156" s="321"/>
      <c r="AB156" s="321"/>
    </row>
    <row r="157" spans="1:28" s="986" customFormat="1" ht="22.5" customHeight="1">
      <c r="A157" s="2274"/>
      <c r="B157" s="1145"/>
      <c r="C157" s="470"/>
      <c r="D157" s="489"/>
      <c r="E157" s="2990"/>
      <c r="F157" s="490"/>
      <c r="G157" s="1872"/>
      <c r="H157" s="1147"/>
      <c r="I157" s="1127"/>
      <c r="J157" s="2899" t="s">
        <v>5304</v>
      </c>
      <c r="K157" s="2357"/>
      <c r="L157" s="2357"/>
      <c r="M157" s="2357"/>
      <c r="N157" s="2357"/>
      <c r="O157" s="2357"/>
      <c r="P157" s="1128"/>
      <c r="Q157" s="492"/>
      <c r="R157" s="493"/>
      <c r="S157" s="492">
        <v>400000</v>
      </c>
      <c r="T157" s="344" t="s">
        <v>50</v>
      </c>
      <c r="U157" s="1675"/>
      <c r="V157" s="492">
        <v>8</v>
      </c>
      <c r="W157" s="2889" t="s">
        <v>5267</v>
      </c>
      <c r="X157" s="1140" t="s">
        <v>1</v>
      </c>
      <c r="Y157" s="406">
        <f t="shared" ref="Y157:Y162" si="18">(Z157)/1000</f>
        <v>3200</v>
      </c>
      <c r="Z157" s="401">
        <f t="shared" ref="Z157:Z162" si="19">S157*V157</f>
        <v>3200000</v>
      </c>
      <c r="AA157" s="321"/>
      <c r="AB157" s="321"/>
    </row>
    <row r="158" spans="1:28" s="986" customFormat="1" ht="22.5" customHeight="1">
      <c r="A158" s="2274"/>
      <c r="B158" s="1145"/>
      <c r="C158" s="2290"/>
      <c r="D158" s="1871"/>
      <c r="E158" s="2990"/>
      <c r="F158" s="490"/>
      <c r="G158" s="1872"/>
      <c r="H158" s="1147"/>
      <c r="I158" s="1127"/>
      <c r="J158" s="2899" t="s">
        <v>5305</v>
      </c>
      <c r="K158" s="2357"/>
      <c r="L158" s="2357"/>
      <c r="M158" s="2357"/>
      <c r="N158" s="2357"/>
      <c r="O158" s="2357"/>
      <c r="P158" s="1128"/>
      <c r="Q158" s="492"/>
      <c r="R158" s="493"/>
      <c r="S158" s="492">
        <v>1000000</v>
      </c>
      <c r="T158" s="344" t="s">
        <v>50</v>
      </c>
      <c r="U158" s="1675"/>
      <c r="V158" s="492">
        <v>6</v>
      </c>
      <c r="W158" s="2889" t="s">
        <v>5267</v>
      </c>
      <c r="X158" s="1140" t="s">
        <v>1</v>
      </c>
      <c r="Y158" s="406">
        <f t="shared" si="18"/>
        <v>6000</v>
      </c>
      <c r="Z158" s="401">
        <f t="shared" si="19"/>
        <v>6000000</v>
      </c>
      <c r="AA158" s="321"/>
      <c r="AB158" s="321"/>
    </row>
    <row r="159" spans="1:28" s="986" customFormat="1" ht="22.5" customHeight="1">
      <c r="A159" s="2274"/>
      <c r="B159" s="1145"/>
      <c r="C159" s="470"/>
      <c r="D159" s="489"/>
      <c r="E159" s="2990"/>
      <c r="F159" s="490"/>
      <c r="G159" s="1872"/>
      <c r="H159" s="1147"/>
      <c r="I159" s="1127"/>
      <c r="J159" s="2899" t="s">
        <v>5306</v>
      </c>
      <c r="K159" s="2357"/>
      <c r="L159" s="2357"/>
      <c r="M159" s="2357"/>
      <c r="N159" s="2357"/>
      <c r="O159" s="2357"/>
      <c r="P159" s="1128"/>
      <c r="Q159" s="492"/>
      <c r="R159" s="493"/>
      <c r="S159" s="492">
        <v>500000</v>
      </c>
      <c r="T159" s="344" t="s">
        <v>50</v>
      </c>
      <c r="U159" s="1675"/>
      <c r="V159" s="492">
        <v>1</v>
      </c>
      <c r="W159" s="2889" t="s">
        <v>5267</v>
      </c>
      <c r="X159" s="1140" t="s">
        <v>1</v>
      </c>
      <c r="Y159" s="406">
        <f t="shared" si="18"/>
        <v>500</v>
      </c>
      <c r="Z159" s="401">
        <f t="shared" si="19"/>
        <v>500000</v>
      </c>
      <c r="AA159" s="321"/>
      <c r="AB159" s="321"/>
    </row>
    <row r="160" spans="1:28" s="986" customFormat="1" ht="22.5" customHeight="1">
      <c r="A160" s="2868"/>
      <c r="B160" s="1145"/>
      <c r="C160" s="470"/>
      <c r="D160" s="489"/>
      <c r="E160" s="2990" t="s">
        <v>5272</v>
      </c>
      <c r="F160" s="490">
        <f t="shared" ref="F160:F171" si="20">Y160</f>
        <v>500</v>
      </c>
      <c r="G160" s="1872">
        <v>0</v>
      </c>
      <c r="H160" s="1147">
        <f t="shared" ref="H160:H179" si="21">F160-G160</f>
        <v>500</v>
      </c>
      <c r="I160" s="1127"/>
      <c r="J160" s="2899" t="s">
        <v>5273</v>
      </c>
      <c r="K160" s="2357"/>
      <c r="L160" s="2357"/>
      <c r="M160" s="2357"/>
      <c r="N160" s="2357"/>
      <c r="O160" s="2357"/>
      <c r="P160" s="1128"/>
      <c r="Q160" s="492"/>
      <c r="R160" s="493"/>
      <c r="S160" s="492">
        <v>500000</v>
      </c>
      <c r="T160" s="344" t="s">
        <v>50</v>
      </c>
      <c r="U160" s="1675"/>
      <c r="V160" s="492">
        <v>1</v>
      </c>
      <c r="W160" s="2889" t="s">
        <v>5267</v>
      </c>
      <c r="X160" s="1140" t="s">
        <v>1</v>
      </c>
      <c r="Y160" s="406">
        <f t="shared" ref="Y160" si="22">(Z160)/1000</f>
        <v>500</v>
      </c>
      <c r="Z160" s="401">
        <f t="shared" si="19"/>
        <v>500000</v>
      </c>
      <c r="AA160" s="321"/>
      <c r="AB160" s="321"/>
    </row>
    <row r="161" spans="1:28" s="986" customFormat="1" ht="22.5" customHeight="1">
      <c r="A161" s="2868"/>
      <c r="B161" s="1145"/>
      <c r="C161" s="470"/>
      <c r="D161" s="489"/>
      <c r="E161" s="2469" t="s">
        <v>602</v>
      </c>
      <c r="F161" s="490">
        <f t="shared" si="20"/>
        <v>10800</v>
      </c>
      <c r="G161" s="1872">
        <v>4360</v>
      </c>
      <c r="H161" s="1147">
        <f t="shared" si="21"/>
        <v>6440</v>
      </c>
      <c r="I161" s="1127"/>
      <c r="J161" s="2899" t="s">
        <v>5271</v>
      </c>
      <c r="K161" s="2357"/>
      <c r="L161" s="2357"/>
      <c r="M161" s="2357"/>
      <c r="N161" s="2357"/>
      <c r="O161" s="2357"/>
      <c r="P161" s="1128"/>
      <c r="Q161" s="492"/>
      <c r="R161" s="493"/>
      <c r="S161" s="492">
        <v>1350000</v>
      </c>
      <c r="T161" s="344" t="s">
        <v>50</v>
      </c>
      <c r="U161" s="1675"/>
      <c r="V161" s="492">
        <v>8</v>
      </c>
      <c r="W161" s="2889" t="s">
        <v>5267</v>
      </c>
      <c r="X161" s="1140" t="s">
        <v>1</v>
      </c>
      <c r="Y161" s="406">
        <f t="shared" si="18"/>
        <v>10800</v>
      </c>
      <c r="Z161" s="401">
        <f t="shared" si="19"/>
        <v>10800000</v>
      </c>
      <c r="AA161" s="321"/>
      <c r="AB161" s="321"/>
    </row>
    <row r="162" spans="1:28" s="986" customFormat="1" ht="22.5" customHeight="1">
      <c r="A162" s="2274"/>
      <c r="B162" s="1145"/>
      <c r="C162" s="470"/>
      <c r="D162" s="489"/>
      <c r="E162" s="2469" t="s">
        <v>695</v>
      </c>
      <c r="F162" s="490">
        <f t="shared" si="20"/>
        <v>3300</v>
      </c>
      <c r="G162" s="1872">
        <v>0</v>
      </c>
      <c r="H162" s="1147">
        <f t="shared" si="21"/>
        <v>3300</v>
      </c>
      <c r="I162" s="1127"/>
      <c r="J162" s="514" t="s">
        <v>5299</v>
      </c>
      <c r="K162" s="2894"/>
      <c r="L162" s="2894"/>
      <c r="M162" s="2894"/>
      <c r="N162" s="2894"/>
      <c r="O162" s="2894"/>
      <c r="P162" s="535"/>
      <c r="Q162" s="1385"/>
      <c r="R162" s="1390"/>
      <c r="S162" s="1385">
        <v>3300000</v>
      </c>
      <c r="T162" s="985" t="s">
        <v>50</v>
      </c>
      <c r="U162" s="515"/>
      <c r="V162" s="1385">
        <v>1</v>
      </c>
      <c r="W162" s="2880" t="s">
        <v>5267</v>
      </c>
      <c r="X162" s="517" t="s">
        <v>1</v>
      </c>
      <c r="Y162" s="724">
        <f t="shared" si="18"/>
        <v>3300</v>
      </c>
      <c r="Z162" s="2665">
        <f t="shared" si="19"/>
        <v>3300000</v>
      </c>
      <c r="AA162" s="2668"/>
      <c r="AB162" s="321"/>
    </row>
    <row r="163" spans="1:28" ht="22.5" customHeight="1">
      <c r="A163" s="2274"/>
      <c r="B163" s="1145"/>
      <c r="C163" s="2290"/>
      <c r="D163" s="1312"/>
      <c r="E163" s="1318" t="s">
        <v>5274</v>
      </c>
      <c r="F163" s="490">
        <f t="shared" si="20"/>
        <v>700</v>
      </c>
      <c r="G163" s="497">
        <v>1200</v>
      </c>
      <c r="H163" s="1147">
        <f t="shared" si="21"/>
        <v>-500</v>
      </c>
      <c r="I163" s="1127"/>
      <c r="J163" s="2899" t="s">
        <v>5275</v>
      </c>
      <c r="K163" s="2357"/>
      <c r="L163" s="2357"/>
      <c r="M163" s="2357"/>
      <c r="N163" s="2357"/>
      <c r="O163" s="2357"/>
      <c r="P163" s="1128"/>
      <c r="Q163" s="492">
        <v>5</v>
      </c>
      <c r="R163" s="493" t="s">
        <v>5269</v>
      </c>
      <c r="S163" s="492">
        <v>20000</v>
      </c>
      <c r="T163" s="344" t="s">
        <v>50</v>
      </c>
      <c r="U163" s="1675"/>
      <c r="V163" s="492">
        <v>7</v>
      </c>
      <c r="W163" s="2889" t="s">
        <v>5267</v>
      </c>
      <c r="X163" s="1140" t="s">
        <v>1</v>
      </c>
      <c r="Y163" s="406">
        <f t="shared" ref="Y163" si="23">(Z163)/1000</f>
        <v>700</v>
      </c>
      <c r="Z163" s="275">
        <f>Q163*S163*V163</f>
        <v>700000</v>
      </c>
    </row>
    <row r="164" spans="1:28" s="986" customFormat="1" ht="22.5" customHeight="1">
      <c r="A164" s="2274"/>
      <c r="B164" s="1145"/>
      <c r="C164" s="2290"/>
      <c r="D164" s="3387" t="s">
        <v>5276</v>
      </c>
      <c r="E164" s="3388"/>
      <c r="F164" s="488">
        <f>SUM(F165:F171)</f>
        <v>65000</v>
      </c>
      <c r="G164" s="488">
        <f>SUM(G165:G171)</f>
        <v>65000</v>
      </c>
      <c r="H164" s="468">
        <f t="shared" ref="H164" si="24">F164-G164</f>
        <v>0</v>
      </c>
      <c r="I164" s="1127"/>
      <c r="J164" s="394"/>
      <c r="K164" s="2896"/>
      <c r="L164" s="2896"/>
      <c r="M164" s="2896"/>
      <c r="N164" s="2896"/>
      <c r="O164" s="2896"/>
      <c r="P164" s="484"/>
      <c r="Q164" s="487"/>
      <c r="R164" s="486"/>
      <c r="S164" s="487"/>
      <c r="T164" s="486"/>
      <c r="U164" s="1146"/>
      <c r="V164" s="487"/>
      <c r="W164" s="2876"/>
      <c r="X164" s="430"/>
      <c r="Y164" s="439"/>
      <c r="Z164" s="401"/>
      <c r="AA164" s="321"/>
      <c r="AB164" s="321"/>
    </row>
    <row r="165" spans="1:28" s="986" customFormat="1" ht="22.5" customHeight="1">
      <c r="A165" s="2274"/>
      <c r="B165" s="1145"/>
      <c r="C165" s="2290"/>
      <c r="D165" s="1871"/>
      <c r="E165" s="350" t="s">
        <v>5277</v>
      </c>
      <c r="F165" s="490">
        <f t="shared" si="20"/>
        <v>27000</v>
      </c>
      <c r="G165" s="491">
        <v>18000</v>
      </c>
      <c r="H165" s="1147">
        <f t="shared" si="21"/>
        <v>9000</v>
      </c>
      <c r="I165" s="1127"/>
      <c r="J165" s="2899" t="s">
        <v>5278</v>
      </c>
      <c r="K165" s="2357"/>
      <c r="L165" s="2357"/>
      <c r="M165" s="2357"/>
      <c r="N165" s="2357"/>
      <c r="O165" s="2357"/>
      <c r="P165" s="1128"/>
      <c r="Q165" s="492">
        <v>1</v>
      </c>
      <c r="R165" s="493" t="s">
        <v>5269</v>
      </c>
      <c r="S165" s="492">
        <v>2700000</v>
      </c>
      <c r="T165" s="344" t="s">
        <v>50</v>
      </c>
      <c r="U165" s="1675"/>
      <c r="V165" s="492">
        <v>10</v>
      </c>
      <c r="W165" s="2889" t="s">
        <v>2</v>
      </c>
      <c r="X165" s="1140" t="s">
        <v>1</v>
      </c>
      <c r="Y165" s="406">
        <f t="shared" ref="Y165:Y171" si="25">(Z165)/1000</f>
        <v>27000</v>
      </c>
      <c r="Z165" s="2666">
        <f t="shared" ref="Z165" si="26">Q165*S165*V165</f>
        <v>27000000</v>
      </c>
      <c r="AA165" s="321"/>
      <c r="AB165" s="321"/>
    </row>
    <row r="166" spans="1:28" s="986" customFormat="1" ht="22.5" customHeight="1">
      <c r="A166" s="2274"/>
      <c r="B166" s="1145"/>
      <c r="C166" s="2290"/>
      <c r="D166" s="1871"/>
      <c r="E166" s="1313" t="s">
        <v>5279</v>
      </c>
      <c r="F166" s="490">
        <f t="shared" si="20"/>
        <v>7000</v>
      </c>
      <c r="G166" s="497">
        <v>7000</v>
      </c>
      <c r="H166" s="1147"/>
      <c r="I166" s="1127"/>
      <c r="J166" s="2899" t="s">
        <v>5280</v>
      </c>
      <c r="K166" s="1675"/>
      <c r="L166" s="525"/>
      <c r="M166" s="2357"/>
      <c r="N166" s="2357"/>
      <c r="O166" s="2357"/>
      <c r="P166" s="1128"/>
      <c r="Q166" s="492"/>
      <c r="R166" s="493"/>
      <c r="S166" s="492">
        <v>500000</v>
      </c>
      <c r="T166" s="344" t="s">
        <v>5281</v>
      </c>
      <c r="U166" s="1675"/>
      <c r="V166" s="492">
        <v>14</v>
      </c>
      <c r="W166" s="2889" t="s">
        <v>5267</v>
      </c>
      <c r="X166" s="1140" t="s">
        <v>5282</v>
      </c>
      <c r="Y166" s="406">
        <f t="shared" si="25"/>
        <v>7000</v>
      </c>
      <c r="Z166" s="401">
        <f>S166*V166</f>
        <v>7000000</v>
      </c>
      <c r="AA166" s="321"/>
      <c r="AB166" s="321"/>
    </row>
    <row r="167" spans="1:28" ht="22.5" customHeight="1">
      <c r="A167" s="2274"/>
      <c r="B167" s="1145"/>
      <c r="C167" s="2290"/>
      <c r="D167" s="1871"/>
      <c r="E167" s="1313" t="s">
        <v>5283</v>
      </c>
      <c r="F167" s="490">
        <f t="shared" si="20"/>
        <v>1200</v>
      </c>
      <c r="G167" s="497">
        <v>2100</v>
      </c>
      <c r="H167" s="1147">
        <f t="shared" si="21"/>
        <v>-900</v>
      </c>
      <c r="I167" s="1127"/>
      <c r="J167" s="2899" t="s">
        <v>5284</v>
      </c>
      <c r="K167" s="2357"/>
      <c r="L167" s="2357"/>
      <c r="M167" s="2357"/>
      <c r="N167" s="2357"/>
      <c r="O167" s="2357"/>
      <c r="P167" s="1128"/>
      <c r="Q167" s="372">
        <v>2</v>
      </c>
      <c r="R167" s="2889" t="s">
        <v>5269</v>
      </c>
      <c r="S167" s="492">
        <v>30000</v>
      </c>
      <c r="T167" s="344" t="s">
        <v>5281</v>
      </c>
      <c r="U167" s="2889"/>
      <c r="V167" s="492">
        <v>20</v>
      </c>
      <c r="W167" s="2889" t="s">
        <v>5267</v>
      </c>
      <c r="X167" s="1140" t="s">
        <v>1</v>
      </c>
      <c r="Y167" s="406">
        <f t="shared" si="25"/>
        <v>1200</v>
      </c>
      <c r="Z167" s="1716">
        <f>Q167*S167*V167</f>
        <v>1200000</v>
      </c>
    </row>
    <row r="168" spans="1:28" s="986" customFormat="1" ht="22.5" customHeight="1">
      <c r="A168" s="2274"/>
      <c r="B168" s="1145"/>
      <c r="C168" s="2290"/>
      <c r="D168" s="1871"/>
      <c r="E168" s="1126" t="s">
        <v>5285</v>
      </c>
      <c r="F168" s="490">
        <f t="shared" si="20"/>
        <v>8000</v>
      </c>
      <c r="G168" s="491">
        <v>8000</v>
      </c>
      <c r="H168" s="1147"/>
      <c r="I168" s="1127"/>
      <c r="J168" s="2899" t="s">
        <v>5286</v>
      </c>
      <c r="K168" s="2357"/>
      <c r="L168" s="2357"/>
      <c r="M168" s="2357"/>
      <c r="N168" s="2357"/>
      <c r="O168" s="2357"/>
      <c r="P168" s="1128"/>
      <c r="Q168" s="492"/>
      <c r="R168" s="493"/>
      <c r="S168" s="492">
        <v>500000</v>
      </c>
      <c r="T168" s="344" t="s">
        <v>50</v>
      </c>
      <c r="U168" s="1675"/>
      <c r="V168" s="492">
        <v>16</v>
      </c>
      <c r="W168" s="2889" t="s">
        <v>5267</v>
      </c>
      <c r="X168" s="1140" t="s">
        <v>1</v>
      </c>
      <c r="Y168" s="406">
        <f t="shared" si="25"/>
        <v>8000</v>
      </c>
      <c r="Z168" s="401">
        <f t="shared" ref="Z168:Z169" si="27">S168*V168</f>
        <v>8000000</v>
      </c>
      <c r="AA168" s="321"/>
      <c r="AB168" s="321"/>
    </row>
    <row r="169" spans="1:28" s="1675" customFormat="1" ht="22.5" customHeight="1">
      <c r="A169" s="2627"/>
      <c r="B169" s="1145"/>
      <c r="C169" s="2651"/>
      <c r="D169" s="1871"/>
      <c r="E169" s="1313" t="s">
        <v>5272</v>
      </c>
      <c r="F169" s="490">
        <f t="shared" si="20"/>
        <v>8000</v>
      </c>
      <c r="G169" s="491">
        <v>8000</v>
      </c>
      <c r="H169" s="1147"/>
      <c r="I169" s="1127"/>
      <c r="J169" s="2899" t="s">
        <v>5287</v>
      </c>
      <c r="K169" s="2357"/>
      <c r="L169" s="2357"/>
      <c r="M169" s="2357"/>
      <c r="N169" s="2357"/>
      <c r="O169" s="2357"/>
      <c r="P169" s="1128"/>
      <c r="Q169" s="492"/>
      <c r="R169" s="493"/>
      <c r="S169" s="492">
        <v>500000</v>
      </c>
      <c r="T169" s="344" t="s">
        <v>50</v>
      </c>
      <c r="V169" s="492">
        <v>16</v>
      </c>
      <c r="W169" s="2889" t="s">
        <v>5267</v>
      </c>
      <c r="X169" s="1140" t="s">
        <v>1</v>
      </c>
      <c r="Y169" s="406">
        <f t="shared" si="25"/>
        <v>8000</v>
      </c>
      <c r="Z169" s="401">
        <f t="shared" si="27"/>
        <v>8000000</v>
      </c>
      <c r="AA169" s="321"/>
      <c r="AB169" s="347"/>
    </row>
    <row r="170" spans="1:28" s="1675" customFormat="1" ht="22.5" customHeight="1">
      <c r="A170" s="2274"/>
      <c r="B170" s="1145"/>
      <c r="C170" s="470"/>
      <c r="D170" s="489"/>
      <c r="E170" s="1313" t="s">
        <v>5288</v>
      </c>
      <c r="F170" s="490">
        <f t="shared" si="20"/>
        <v>13080</v>
      </c>
      <c r="G170" s="491">
        <v>21900</v>
      </c>
      <c r="H170" s="1147">
        <f t="shared" si="21"/>
        <v>-8820</v>
      </c>
      <c r="I170" s="1127"/>
      <c r="J170" s="2899" t="s">
        <v>5289</v>
      </c>
      <c r="K170" s="2357"/>
      <c r="L170" s="2357"/>
      <c r="M170" s="2357"/>
      <c r="N170" s="2357"/>
      <c r="O170" s="2357"/>
      <c r="P170" s="1128"/>
      <c r="Q170" s="372"/>
      <c r="R170" s="2889"/>
      <c r="S170" s="492">
        <v>817500</v>
      </c>
      <c r="T170" s="344" t="s">
        <v>5281</v>
      </c>
      <c r="U170" s="2889"/>
      <c r="V170" s="492">
        <v>16</v>
      </c>
      <c r="W170" s="2889" t="s">
        <v>5267</v>
      </c>
      <c r="X170" s="1140" t="s">
        <v>1</v>
      </c>
      <c r="Y170" s="406">
        <f t="shared" si="25"/>
        <v>13080</v>
      </c>
      <c r="Z170" s="1716">
        <f>S170*V170</f>
        <v>13080000</v>
      </c>
      <c r="AA170" s="321"/>
      <c r="AB170" s="347"/>
    </row>
    <row r="171" spans="1:28" s="1675" customFormat="1" ht="22.5" customHeight="1">
      <c r="A171" s="2274"/>
      <c r="B171" s="1145"/>
      <c r="C171" s="470"/>
      <c r="D171" s="489"/>
      <c r="E171" s="1318" t="s">
        <v>5274</v>
      </c>
      <c r="F171" s="490">
        <f t="shared" si="20"/>
        <v>720</v>
      </c>
      <c r="G171" s="491">
        <v>0</v>
      </c>
      <c r="H171" s="1147">
        <f t="shared" si="21"/>
        <v>720</v>
      </c>
      <c r="I171" s="1127"/>
      <c r="J171" s="2899" t="s">
        <v>5275</v>
      </c>
      <c r="K171" s="2357"/>
      <c r="L171" s="2357"/>
      <c r="M171" s="2357"/>
      <c r="N171" s="2357"/>
      <c r="O171" s="2357"/>
      <c r="P171" s="1128"/>
      <c r="Q171" s="492">
        <v>6</v>
      </c>
      <c r="R171" s="493" t="s">
        <v>5269</v>
      </c>
      <c r="S171" s="492">
        <v>20000</v>
      </c>
      <c r="T171" s="344" t="s">
        <v>50</v>
      </c>
      <c r="V171" s="492">
        <v>6</v>
      </c>
      <c r="W171" s="2889" t="s">
        <v>5267</v>
      </c>
      <c r="X171" s="1140" t="s">
        <v>1</v>
      </c>
      <c r="Y171" s="406">
        <f t="shared" si="25"/>
        <v>720</v>
      </c>
      <c r="Z171" s="1716">
        <f t="shared" ref="Z171" si="28">Q171*S171*V171</f>
        <v>720000</v>
      </c>
      <c r="AA171" s="321"/>
      <c r="AB171" s="347"/>
    </row>
    <row r="172" spans="1:28" s="986" customFormat="1" ht="22.5" customHeight="1">
      <c r="A172" s="2274"/>
      <c r="B172" s="1145"/>
      <c r="C172" s="2290"/>
      <c r="D172" s="3387" t="s">
        <v>5290</v>
      </c>
      <c r="E172" s="3388"/>
      <c r="F172" s="488">
        <f>SUM(F173:F179)</f>
        <v>50000</v>
      </c>
      <c r="G172" s="488">
        <f>SUM(G173:G179)</f>
        <v>50000</v>
      </c>
      <c r="H172" s="468">
        <f t="shared" ref="H172:H173" si="29">F172-G172</f>
        <v>0</v>
      </c>
      <c r="I172" s="1127"/>
      <c r="J172" s="394"/>
      <c r="K172" s="2896"/>
      <c r="L172" s="2896"/>
      <c r="M172" s="2896"/>
      <c r="N172" s="2896"/>
      <c r="O172" s="2896"/>
      <c r="P172" s="484"/>
      <c r="Q172" s="487"/>
      <c r="R172" s="486"/>
      <c r="S172" s="487"/>
      <c r="T172" s="486"/>
      <c r="U172" s="1146"/>
      <c r="V172" s="487"/>
      <c r="W172" s="2876"/>
      <c r="X172" s="430"/>
      <c r="Y172" s="439"/>
      <c r="Z172" s="401"/>
      <c r="AA172" s="321"/>
      <c r="AB172" s="321"/>
    </row>
    <row r="173" spans="1:28" s="986" customFormat="1" ht="22.5" customHeight="1">
      <c r="A173" s="2892"/>
      <c r="B173" s="1145"/>
      <c r="C173" s="2904"/>
      <c r="D173" s="1871"/>
      <c r="E173" s="2991" t="s">
        <v>224</v>
      </c>
      <c r="F173" s="1805">
        <f>Y173</f>
        <v>4200</v>
      </c>
      <c r="G173" s="1872">
        <v>0</v>
      </c>
      <c r="H173" s="1147">
        <f t="shared" si="29"/>
        <v>4200</v>
      </c>
      <c r="I173" s="1127"/>
      <c r="J173" s="2899" t="s">
        <v>1087</v>
      </c>
      <c r="K173" s="2357"/>
      <c r="L173" s="2357"/>
      <c r="M173" s="2357"/>
      <c r="N173" s="2357"/>
      <c r="O173" s="2357"/>
      <c r="P173" s="1128"/>
      <c r="Q173" s="492"/>
      <c r="R173" s="493"/>
      <c r="S173" s="492">
        <v>420000</v>
      </c>
      <c r="T173" s="344" t="s">
        <v>50</v>
      </c>
      <c r="U173" s="1675"/>
      <c r="V173" s="492">
        <v>10</v>
      </c>
      <c r="W173" s="2889" t="s">
        <v>265</v>
      </c>
      <c r="X173" s="1140" t="s">
        <v>1</v>
      </c>
      <c r="Y173" s="406">
        <f t="shared" ref="Y173" si="30">(Z173)/1000</f>
        <v>4200</v>
      </c>
      <c r="Z173" s="401">
        <f>S173*V173</f>
        <v>4200000</v>
      </c>
      <c r="AA173" s="321"/>
      <c r="AB173" s="321"/>
    </row>
    <row r="174" spans="1:28" s="986" customFormat="1" ht="22.5" customHeight="1">
      <c r="A174" s="2868"/>
      <c r="B174" s="1145"/>
      <c r="C174" s="2873"/>
      <c r="D174" s="1871"/>
      <c r="E174" s="2990" t="s">
        <v>5302</v>
      </c>
      <c r="F174" s="1805">
        <f t="shared" ref="F174:F177" si="31">Y174</f>
        <v>900</v>
      </c>
      <c r="G174" s="1872">
        <v>0</v>
      </c>
      <c r="H174" s="1147">
        <f t="shared" si="21"/>
        <v>900</v>
      </c>
      <c r="I174" s="1127"/>
      <c r="J174" s="2899" t="s">
        <v>5291</v>
      </c>
      <c r="K174" s="2357"/>
      <c r="L174" s="2357"/>
      <c r="M174" s="2357"/>
      <c r="N174" s="2357"/>
      <c r="O174" s="2357"/>
      <c r="P174" s="1128"/>
      <c r="Q174" s="492">
        <v>2</v>
      </c>
      <c r="R174" s="493" t="s">
        <v>5269</v>
      </c>
      <c r="S174" s="492">
        <v>30000</v>
      </c>
      <c r="T174" s="344" t="s">
        <v>50</v>
      </c>
      <c r="U174" s="1675"/>
      <c r="V174" s="492">
        <v>15</v>
      </c>
      <c r="W174" s="2889" t="s">
        <v>5267</v>
      </c>
      <c r="X174" s="1140" t="s">
        <v>1</v>
      </c>
      <c r="Y174" s="406">
        <f t="shared" ref="Y174:Y176" si="32">(Z174)/1000</f>
        <v>900</v>
      </c>
      <c r="Z174" s="401">
        <f>Q174*S174*V174</f>
        <v>900000</v>
      </c>
      <c r="AA174" s="321"/>
      <c r="AB174" s="321"/>
    </row>
    <row r="175" spans="1:28" s="986" customFormat="1" ht="22.5" customHeight="1">
      <c r="A175" s="2892"/>
      <c r="B175" s="1145"/>
      <c r="C175" s="2904"/>
      <c r="D175" s="1312"/>
      <c r="E175" s="1313" t="s">
        <v>21</v>
      </c>
      <c r="F175" s="1805">
        <f t="shared" si="31"/>
        <v>6000</v>
      </c>
      <c r="G175" s="497">
        <v>6000</v>
      </c>
      <c r="H175" s="1147"/>
      <c r="I175" s="1127"/>
      <c r="J175" s="2939" t="s">
        <v>5865</v>
      </c>
      <c r="K175" s="2992"/>
      <c r="L175" s="2992"/>
      <c r="M175" s="2357"/>
      <c r="N175" s="2357"/>
      <c r="O175" s="2357"/>
      <c r="P175" s="1128"/>
      <c r="Q175" s="492">
        <v>1</v>
      </c>
      <c r="R175" s="2889" t="s">
        <v>4218</v>
      </c>
      <c r="S175" s="492">
        <v>6000000</v>
      </c>
      <c r="T175" s="344" t="s">
        <v>50</v>
      </c>
      <c r="U175" s="1675"/>
      <c r="V175" s="492">
        <v>1</v>
      </c>
      <c r="W175" s="2889" t="s">
        <v>265</v>
      </c>
      <c r="X175" s="1140" t="s">
        <v>1</v>
      </c>
      <c r="Y175" s="406">
        <f t="shared" si="32"/>
        <v>6000</v>
      </c>
      <c r="Z175" s="401">
        <f t="shared" ref="Z175" si="33">Q175*S175*V175</f>
        <v>6000000</v>
      </c>
      <c r="AA175" s="321"/>
      <c r="AB175" s="321"/>
    </row>
    <row r="176" spans="1:28" s="986" customFormat="1" ht="22.5" customHeight="1">
      <c r="A176" s="2868"/>
      <c r="B176" s="1145"/>
      <c r="C176" s="2873"/>
      <c r="D176" s="1871"/>
      <c r="E176" s="2990" t="s">
        <v>5300</v>
      </c>
      <c r="F176" s="1805">
        <f t="shared" si="31"/>
        <v>1800</v>
      </c>
      <c r="G176" s="1872">
        <v>0</v>
      </c>
      <c r="H176" s="1147">
        <f t="shared" si="21"/>
        <v>1800</v>
      </c>
      <c r="I176" s="1127"/>
      <c r="J176" s="2899" t="s">
        <v>5293</v>
      </c>
      <c r="K176" s="2357"/>
      <c r="L176" s="2357"/>
      <c r="M176" s="2357"/>
      <c r="N176" s="2357"/>
      <c r="O176" s="2357"/>
      <c r="P176" s="1128"/>
      <c r="Q176" s="492">
        <v>3</v>
      </c>
      <c r="R176" s="493" t="s">
        <v>5294</v>
      </c>
      <c r="S176" s="492">
        <v>200000</v>
      </c>
      <c r="T176" s="344" t="s">
        <v>50</v>
      </c>
      <c r="U176" s="1675"/>
      <c r="V176" s="492">
        <v>3</v>
      </c>
      <c r="W176" s="2889" t="s">
        <v>5267</v>
      </c>
      <c r="X176" s="1140" t="s">
        <v>1</v>
      </c>
      <c r="Y176" s="406">
        <f t="shared" si="32"/>
        <v>1800</v>
      </c>
      <c r="Z176" s="401">
        <f t="shared" ref="Z176:Z177" si="34">Q176*S176*V176</f>
        <v>1800000</v>
      </c>
      <c r="AA176" s="321"/>
      <c r="AB176" s="321"/>
    </row>
    <row r="177" spans="1:29" s="986" customFormat="1" ht="22.5" customHeight="1">
      <c r="A177" s="2868"/>
      <c r="B177" s="1145"/>
      <c r="C177" s="2873"/>
      <c r="D177" s="1871"/>
      <c r="E177" s="2990" t="s">
        <v>5301</v>
      </c>
      <c r="F177" s="1805">
        <f t="shared" si="31"/>
        <v>34180</v>
      </c>
      <c r="G177" s="1872">
        <v>44000</v>
      </c>
      <c r="H177" s="1147">
        <f t="shared" si="21"/>
        <v>-9820</v>
      </c>
      <c r="I177" s="1127"/>
      <c r="J177" s="2899" t="s">
        <v>5295</v>
      </c>
      <c r="K177" s="3413" t="s">
        <v>5296</v>
      </c>
      <c r="L177" s="3413"/>
      <c r="M177" s="3413"/>
      <c r="N177" s="3413"/>
      <c r="O177" s="3413"/>
      <c r="P177" s="1128"/>
      <c r="Q177" s="372">
        <v>1</v>
      </c>
      <c r="R177" s="493" t="s">
        <v>5297</v>
      </c>
      <c r="S177" s="492">
        <v>34180000</v>
      </c>
      <c r="T177" s="344" t="s">
        <v>5281</v>
      </c>
      <c r="U177" s="2889"/>
      <c r="V177" s="492">
        <v>1</v>
      </c>
      <c r="W177" s="2889" t="s">
        <v>5298</v>
      </c>
      <c r="X177" s="1140" t="s">
        <v>1</v>
      </c>
      <c r="Y177" s="406">
        <f>(Q177*S177*V177)/1000</f>
        <v>34180</v>
      </c>
      <c r="Z177" s="401">
        <f t="shared" si="34"/>
        <v>34180000</v>
      </c>
      <c r="AA177" s="321"/>
      <c r="AB177" s="321"/>
    </row>
    <row r="178" spans="1:29" s="986" customFormat="1" ht="22.5" customHeight="1">
      <c r="A178" s="2892"/>
      <c r="B178" s="1145"/>
      <c r="C178" s="2904"/>
      <c r="D178" s="1871"/>
      <c r="E178" s="2990" t="s">
        <v>223</v>
      </c>
      <c r="F178" s="1805">
        <f t="shared" ref="F178" si="35">Y178</f>
        <v>1920</v>
      </c>
      <c r="G178" s="1872">
        <v>0</v>
      </c>
      <c r="H178" s="1147">
        <f t="shared" ref="H178" si="36">F178-G178</f>
        <v>1920</v>
      </c>
      <c r="I178" s="1127"/>
      <c r="J178" s="2899" t="s">
        <v>5292</v>
      </c>
      <c r="K178" s="2357"/>
      <c r="L178" s="2357"/>
      <c r="M178" s="2357"/>
      <c r="N178" s="2357"/>
      <c r="O178" s="2357"/>
      <c r="P178" s="1128"/>
      <c r="Q178" s="492"/>
      <c r="R178" s="493"/>
      <c r="S178" s="492">
        <v>240000</v>
      </c>
      <c r="T178" s="344" t="s">
        <v>50</v>
      </c>
      <c r="U178" s="1675"/>
      <c r="V178" s="492">
        <v>8</v>
      </c>
      <c r="W178" s="2889" t="s">
        <v>49</v>
      </c>
      <c r="X178" s="1140" t="s">
        <v>1</v>
      </c>
      <c r="Y178" s="406">
        <f t="shared" ref="Y178" si="37">(Z178)/1000</f>
        <v>1920</v>
      </c>
      <c r="Z178" s="401">
        <f>S178*V178</f>
        <v>1920000</v>
      </c>
      <c r="AA178" s="321"/>
      <c r="AB178" s="321"/>
    </row>
    <row r="179" spans="1:29" s="986" customFormat="1" ht="22.5" customHeight="1">
      <c r="A179" s="2274"/>
      <c r="B179" s="1145"/>
      <c r="C179" s="2290"/>
      <c r="D179" s="1312"/>
      <c r="E179" s="1313" t="s">
        <v>5303</v>
      </c>
      <c r="F179" s="1805">
        <f t="shared" ref="F179" si="38">Y179</f>
        <v>1000</v>
      </c>
      <c r="G179" s="497">
        <v>0</v>
      </c>
      <c r="H179" s="1147">
        <f t="shared" si="21"/>
        <v>1000</v>
      </c>
      <c r="I179" s="1127"/>
      <c r="J179" s="2939" t="s">
        <v>5866</v>
      </c>
      <c r="K179" s="2992"/>
      <c r="L179" s="2992"/>
      <c r="M179" s="2992"/>
      <c r="N179" s="2357"/>
      <c r="O179" s="2357"/>
      <c r="P179" s="1128"/>
      <c r="Q179" s="492">
        <v>10</v>
      </c>
      <c r="R179" s="493" t="s">
        <v>5294</v>
      </c>
      <c r="S179" s="492">
        <v>20000</v>
      </c>
      <c r="T179" s="344" t="s">
        <v>50</v>
      </c>
      <c r="U179" s="1675"/>
      <c r="V179" s="492">
        <v>5</v>
      </c>
      <c r="W179" s="2889" t="s">
        <v>5267</v>
      </c>
      <c r="X179" s="1140" t="s">
        <v>1</v>
      </c>
      <c r="Y179" s="406">
        <f>(Z179)/1000</f>
        <v>1000</v>
      </c>
      <c r="Z179" s="401">
        <f t="shared" ref="Z179" si="39">Q179*S179*V179</f>
        <v>1000000</v>
      </c>
      <c r="AA179" s="321"/>
      <c r="AB179" s="321"/>
    </row>
    <row r="180" spans="1:29" s="316" customFormat="1" ht="22.5" customHeight="1">
      <c r="A180" s="2274"/>
      <c r="B180" s="1145"/>
      <c r="C180" s="2290"/>
      <c r="D180" s="3387" t="s">
        <v>3301</v>
      </c>
      <c r="E180" s="3388"/>
      <c r="F180" s="488">
        <f>SUM(F181:F183)</f>
        <v>125000</v>
      </c>
      <c r="G180" s="488">
        <f>SUM(G181:G183)</f>
        <v>125000</v>
      </c>
      <c r="H180" s="468">
        <f>F180-G180</f>
        <v>0</v>
      </c>
      <c r="I180" s="1127"/>
      <c r="J180" s="394"/>
      <c r="K180" s="2276"/>
      <c r="L180" s="2276"/>
      <c r="M180" s="2276"/>
      <c r="N180" s="2276"/>
      <c r="O180" s="2276"/>
      <c r="P180" s="484"/>
      <c r="Q180" s="487"/>
      <c r="R180" s="486"/>
      <c r="S180" s="487"/>
      <c r="T180" s="486"/>
      <c r="U180" s="1146"/>
      <c r="V180" s="487"/>
      <c r="W180" s="2254"/>
      <c r="X180" s="430"/>
      <c r="Y180" s="439"/>
      <c r="Z180" s="401"/>
      <c r="AA180" s="321"/>
      <c r="AB180" s="330"/>
    </row>
    <row r="181" spans="1:29" s="986" customFormat="1" ht="22.5" customHeight="1">
      <c r="A181" s="2274"/>
      <c r="B181" s="1145"/>
      <c r="C181" s="2290"/>
      <c r="D181" s="495"/>
      <c r="E181" s="498" t="s">
        <v>1981</v>
      </c>
      <c r="F181" s="490">
        <f>Y181</f>
        <v>125000</v>
      </c>
      <c r="G181" s="497">
        <v>125000</v>
      </c>
      <c r="H181" s="1147"/>
      <c r="I181" s="1127"/>
      <c r="J181" s="3419" t="s">
        <v>194</v>
      </c>
      <c r="K181" s="3420"/>
      <c r="L181" s="3420"/>
      <c r="M181" s="3420"/>
      <c r="N181" s="3420"/>
      <c r="O181" s="3420"/>
      <c r="P181" s="535"/>
      <c r="Q181" s="1385"/>
      <c r="R181" s="1390"/>
      <c r="S181" s="1385"/>
      <c r="T181" s="985"/>
      <c r="U181" s="515"/>
      <c r="V181" s="1385"/>
      <c r="W181" s="2347"/>
      <c r="X181" s="517" t="s">
        <v>1</v>
      </c>
      <c r="Y181" s="724">
        <f>(Z181)/1000</f>
        <v>125000</v>
      </c>
      <c r="Z181" s="675">
        <f>SUM(Z182:Z184)</f>
        <v>125000000</v>
      </c>
      <c r="AA181" s="321"/>
      <c r="AB181" s="321"/>
    </row>
    <row r="182" spans="1:29" s="986" customFormat="1" ht="22.5" customHeight="1">
      <c r="A182" s="2274"/>
      <c r="B182" s="1145"/>
      <c r="C182" s="2290"/>
      <c r="D182" s="495"/>
      <c r="E182" s="498"/>
      <c r="F182" s="490"/>
      <c r="G182" s="497"/>
      <c r="H182" s="1147"/>
      <c r="I182" s="1127"/>
      <c r="J182" s="2939" t="s">
        <v>5892</v>
      </c>
      <c r="K182" s="2992"/>
      <c r="L182" s="2992"/>
      <c r="M182" s="2992"/>
      <c r="N182" s="516"/>
      <c r="O182" s="1781"/>
      <c r="P182" s="535"/>
      <c r="Q182" s="1385"/>
      <c r="R182" s="1390"/>
      <c r="S182" s="1385">
        <v>50000000</v>
      </c>
      <c r="T182" s="985" t="s">
        <v>50</v>
      </c>
      <c r="U182" s="515"/>
      <c r="V182" s="1385">
        <v>1</v>
      </c>
      <c r="W182" s="2347" t="s">
        <v>2899</v>
      </c>
      <c r="X182" s="517" t="s">
        <v>1</v>
      </c>
      <c r="Y182" s="724">
        <f>(Z182)/1000</f>
        <v>50000</v>
      </c>
      <c r="Z182" s="675">
        <f>S182*V182</f>
        <v>50000000</v>
      </c>
      <c r="AA182" s="321"/>
      <c r="AB182" s="321"/>
    </row>
    <row r="183" spans="1:29" s="986" customFormat="1" ht="22.5" customHeight="1">
      <c r="A183" s="2274"/>
      <c r="B183" s="1145"/>
      <c r="C183" s="2290"/>
      <c r="D183" s="495"/>
      <c r="E183" s="498"/>
      <c r="F183" s="490"/>
      <c r="G183" s="497"/>
      <c r="H183" s="1147"/>
      <c r="I183" s="1127"/>
      <c r="J183" s="514" t="s">
        <v>5893</v>
      </c>
      <c r="K183" s="2936"/>
      <c r="L183" s="2936"/>
      <c r="M183" s="2936"/>
      <c r="N183" s="2936"/>
      <c r="O183" s="1781"/>
      <c r="P183" s="535"/>
      <c r="Q183" s="1385"/>
      <c r="R183" s="1390"/>
      <c r="S183" s="1385">
        <v>25000000</v>
      </c>
      <c r="T183" s="985" t="s">
        <v>50</v>
      </c>
      <c r="U183" s="515"/>
      <c r="V183" s="1385">
        <v>1</v>
      </c>
      <c r="W183" s="2347" t="s">
        <v>2899</v>
      </c>
      <c r="X183" s="517" t="s">
        <v>1</v>
      </c>
      <c r="Y183" s="724">
        <f>(Z183)/1000</f>
        <v>25000</v>
      </c>
      <c r="Z183" s="675">
        <f t="shared" ref="Z183:Z184" si="40">S183*V183</f>
        <v>25000000</v>
      </c>
      <c r="AA183" s="321"/>
      <c r="AB183" s="321"/>
    </row>
    <row r="184" spans="1:29" s="986" customFormat="1" ht="22.5" customHeight="1">
      <c r="A184" s="2353"/>
      <c r="B184" s="1145"/>
      <c r="C184" s="2366"/>
      <c r="D184" s="1312"/>
      <c r="E184" s="1318"/>
      <c r="F184" s="490"/>
      <c r="G184" s="497"/>
      <c r="H184" s="1147"/>
      <c r="I184" s="1127"/>
      <c r="J184" s="514" t="s">
        <v>5894</v>
      </c>
      <c r="K184" s="2936"/>
      <c r="L184" s="2936"/>
      <c r="M184" s="2936"/>
      <c r="N184" s="2936"/>
      <c r="O184" s="1781"/>
      <c r="P184" s="535"/>
      <c r="Q184" s="1385"/>
      <c r="R184" s="1390"/>
      <c r="S184" s="1385">
        <v>50000000</v>
      </c>
      <c r="T184" s="985" t="s">
        <v>50</v>
      </c>
      <c r="U184" s="515"/>
      <c r="V184" s="1385">
        <v>1</v>
      </c>
      <c r="W184" s="2347" t="s">
        <v>2899</v>
      </c>
      <c r="X184" s="517" t="s">
        <v>1</v>
      </c>
      <c r="Y184" s="724">
        <f>(Z184)/1000</f>
        <v>50000</v>
      </c>
      <c r="Z184" s="675">
        <f t="shared" si="40"/>
        <v>50000000</v>
      </c>
      <c r="AA184" s="321"/>
      <c r="AB184" s="321"/>
    </row>
    <row r="185" spans="1:29" s="2849" customFormat="1" ht="22.5" customHeight="1">
      <c r="A185" s="396"/>
      <c r="B185" s="2853"/>
      <c r="C185" s="397"/>
      <c r="D185" s="3266" t="s">
        <v>5085</v>
      </c>
      <c r="E185" s="3267"/>
      <c r="F185" s="1683">
        <f>SUM(F186:F187)</f>
        <v>76000</v>
      </c>
      <c r="G185" s="1683">
        <f>SUM(G186:G187)</f>
        <v>76000</v>
      </c>
      <c r="H185" s="386">
        <f t="shared" ref="H185" si="41">F185-G185</f>
        <v>0</v>
      </c>
      <c r="I185" s="409"/>
      <c r="J185" s="394"/>
      <c r="K185" s="2848"/>
      <c r="L185" s="2848"/>
      <c r="M185" s="2848"/>
      <c r="N185" s="2848"/>
      <c r="O185" s="2848"/>
      <c r="P185" s="2848"/>
      <c r="Q185" s="2848"/>
      <c r="R185" s="395"/>
      <c r="S185" s="2848"/>
      <c r="T185" s="2848"/>
      <c r="U185" s="2848"/>
      <c r="V185" s="2848"/>
      <c r="W185" s="2848"/>
      <c r="X185" s="430"/>
      <c r="Y185" s="439"/>
      <c r="Z185" s="2666">
        <f>SUM(Z186:Z187,Z202:Z210)</f>
        <v>122000000</v>
      </c>
      <c r="AA185" s="321"/>
      <c r="AB185" s="305"/>
      <c r="AC185" s="2557"/>
    </row>
    <row r="186" spans="1:29" s="2849" customFormat="1" ht="22.5" customHeight="1">
      <c r="A186" s="436"/>
      <c r="B186" s="437"/>
      <c r="C186" s="397"/>
      <c r="D186" s="367"/>
      <c r="E186" s="1134" t="s">
        <v>52</v>
      </c>
      <c r="F186" s="403">
        <f t="shared" ref="F186" si="42">Y186</f>
        <v>2000</v>
      </c>
      <c r="G186" s="1139">
        <v>2000</v>
      </c>
      <c r="H186" s="391"/>
      <c r="I186" s="409"/>
      <c r="J186" s="2851" t="s">
        <v>5086</v>
      </c>
      <c r="Q186" s="1673">
        <v>5</v>
      </c>
      <c r="R186" s="2852" t="s">
        <v>23</v>
      </c>
      <c r="S186" s="1673">
        <v>200000</v>
      </c>
      <c r="T186" s="1671" t="s">
        <v>0</v>
      </c>
      <c r="U186" s="2852"/>
      <c r="V186" s="1671">
        <v>2</v>
      </c>
      <c r="W186" s="2852" t="s">
        <v>5087</v>
      </c>
      <c r="X186" s="1140" t="s">
        <v>1</v>
      </c>
      <c r="Y186" s="406">
        <f t="shared" ref="Y186" si="43">Z186/1000</f>
        <v>2000</v>
      </c>
      <c r="Z186" s="1716">
        <f>Q186*S186*V186</f>
        <v>2000000</v>
      </c>
      <c r="AA186" s="321"/>
      <c r="AB186" s="305"/>
      <c r="AC186" s="2557"/>
    </row>
    <row r="187" spans="1:29" s="2849" customFormat="1" ht="22.5" customHeight="1">
      <c r="A187" s="436"/>
      <c r="B187" s="437"/>
      <c r="C187" s="397"/>
      <c r="D187" s="1131"/>
      <c r="E187" s="389" t="s">
        <v>5088</v>
      </c>
      <c r="F187" s="403">
        <f>Y187</f>
        <v>74000</v>
      </c>
      <c r="G187" s="1139">
        <v>74000</v>
      </c>
      <c r="H187" s="391"/>
      <c r="I187" s="409"/>
      <c r="J187" s="2851" t="s">
        <v>5089</v>
      </c>
      <c r="K187" s="1671"/>
      <c r="L187" s="1671"/>
      <c r="M187" s="1671"/>
      <c r="N187" s="1671"/>
      <c r="O187" s="1671"/>
      <c r="P187" s="1671"/>
      <c r="Q187" s="2852"/>
      <c r="R187" s="2852"/>
      <c r="S187" s="408">
        <v>74000000</v>
      </c>
      <c r="T187" s="2852" t="s">
        <v>0</v>
      </c>
      <c r="U187" s="2852"/>
      <c r="V187" s="2852">
        <v>1</v>
      </c>
      <c r="W187" s="2852" t="s">
        <v>6</v>
      </c>
      <c r="X187" s="1140" t="s">
        <v>1</v>
      </c>
      <c r="Y187" s="406">
        <f>Z187/1000</f>
        <v>74000</v>
      </c>
      <c r="Z187" s="1716">
        <f>S187*V187</f>
        <v>74000000</v>
      </c>
      <c r="AA187" s="321"/>
      <c r="AB187" s="305"/>
      <c r="AC187" s="2557"/>
    </row>
    <row r="188" spans="1:29" ht="21.6" customHeight="1">
      <c r="A188" s="1342"/>
      <c r="B188" s="1145"/>
      <c r="C188" s="3395" t="s">
        <v>2900</v>
      </c>
      <c r="D188" s="3395"/>
      <c r="E188" s="3395"/>
      <c r="F188" s="351">
        <f>F189</f>
        <v>100000</v>
      </c>
      <c r="G188" s="351">
        <f>G189</f>
        <v>100000</v>
      </c>
      <c r="H188" s="351">
        <f>F188-G188</f>
        <v>0</v>
      </c>
      <c r="I188" s="1127"/>
      <c r="J188" s="501"/>
      <c r="K188" s="2355"/>
      <c r="L188" s="2355"/>
      <c r="M188" s="2355"/>
      <c r="N188" s="2355"/>
      <c r="O188" s="2355"/>
      <c r="P188" s="484"/>
      <c r="Q188" s="485"/>
      <c r="R188" s="1002"/>
      <c r="S188" s="520"/>
      <c r="T188" s="1002"/>
      <c r="U188" s="484"/>
      <c r="V188" s="484"/>
      <c r="W188" s="2355"/>
      <c r="X188" s="850"/>
      <c r="Y188" s="377"/>
      <c r="Z188" s="275"/>
    </row>
    <row r="189" spans="1:29" ht="21.6" customHeight="1">
      <c r="A189" s="1342"/>
      <c r="B189" s="1145"/>
      <c r="C189" s="2466"/>
      <c r="D189" s="3394" t="s">
        <v>2901</v>
      </c>
      <c r="E189" s="3393"/>
      <c r="F189" s="373">
        <f>SUM(F190:F197)</f>
        <v>100000</v>
      </c>
      <c r="G189" s="373">
        <f>SUM(G190:G197)</f>
        <v>100000</v>
      </c>
      <c r="H189" s="1132">
        <f>F189-G189</f>
        <v>0</v>
      </c>
      <c r="I189" s="1127"/>
      <c r="J189" s="501"/>
      <c r="K189" s="2355"/>
      <c r="L189" s="2355"/>
      <c r="M189" s="2355"/>
      <c r="N189" s="2355"/>
      <c r="O189" s="2355"/>
      <c r="P189" s="484"/>
      <c r="Q189" s="485"/>
      <c r="R189" s="1002"/>
      <c r="S189" s="520"/>
      <c r="T189" s="1002"/>
      <c r="U189" s="484"/>
      <c r="V189" s="484"/>
      <c r="W189" s="2355"/>
      <c r="X189" s="850"/>
      <c r="Y189" s="377"/>
      <c r="Z189" s="275"/>
    </row>
    <row r="190" spans="1:29" ht="21.6" customHeight="1">
      <c r="A190" s="1342"/>
      <c r="B190" s="1145"/>
      <c r="C190" s="2466"/>
      <c r="D190" s="2467"/>
      <c r="E190" s="2469" t="s">
        <v>224</v>
      </c>
      <c r="F190" s="337">
        <f>Y190</f>
        <v>2000</v>
      </c>
      <c r="G190" s="337">
        <v>2000</v>
      </c>
      <c r="H190" s="338"/>
      <c r="I190" s="1127"/>
      <c r="J190" s="514" t="s">
        <v>2906</v>
      </c>
      <c r="K190" s="2894"/>
      <c r="L190" s="2894"/>
      <c r="M190" s="2894"/>
      <c r="N190" s="2894"/>
      <c r="O190" s="2894"/>
      <c r="P190" s="535"/>
      <c r="Q190" s="1385"/>
      <c r="R190" s="1390"/>
      <c r="S190" s="1385">
        <v>1000000</v>
      </c>
      <c r="T190" s="985" t="s">
        <v>50</v>
      </c>
      <c r="U190" s="515"/>
      <c r="V190" s="1385">
        <v>2</v>
      </c>
      <c r="W190" s="2880" t="s">
        <v>265</v>
      </c>
      <c r="X190" s="517" t="s">
        <v>1</v>
      </c>
      <c r="Y190" s="724">
        <f t="shared" ref="Y190" si="44">(Z190)/1000</f>
        <v>2000</v>
      </c>
      <c r="Z190" s="675">
        <f>S190*V190</f>
        <v>2000000</v>
      </c>
    </row>
    <row r="191" spans="1:29" ht="21.6" customHeight="1">
      <c r="A191" s="1342"/>
      <c r="B191" s="1145"/>
      <c r="C191" s="2466"/>
      <c r="D191" s="2467"/>
      <c r="E191" s="2469" t="s">
        <v>462</v>
      </c>
      <c r="F191" s="337">
        <f>Y191</f>
        <v>1000.0000000000001</v>
      </c>
      <c r="G191" s="337">
        <v>1000</v>
      </c>
      <c r="H191" s="338"/>
      <c r="I191" s="1127"/>
      <c r="J191" s="514" t="s">
        <v>2904</v>
      </c>
      <c r="K191" s="1781"/>
      <c r="L191" s="1781"/>
      <c r="M191" s="1781"/>
      <c r="N191" s="1781"/>
      <c r="O191" s="1781"/>
      <c r="P191" s="535"/>
      <c r="Q191" s="1385">
        <v>4</v>
      </c>
      <c r="R191" s="1390" t="s">
        <v>2905</v>
      </c>
      <c r="S191" s="1385">
        <v>30000</v>
      </c>
      <c r="T191" s="985" t="s">
        <v>50</v>
      </c>
      <c r="U191" s="515"/>
      <c r="V191" s="1385">
        <v>8.3333333333333339</v>
      </c>
      <c r="W191" s="2347" t="s">
        <v>2903</v>
      </c>
      <c r="X191" s="517" t="s">
        <v>1</v>
      </c>
      <c r="Y191" s="724">
        <f t="shared" ref="Y191" si="45">(Z191)/1000</f>
        <v>1000.0000000000001</v>
      </c>
      <c r="Z191" s="675">
        <f>Q191*S191*V191</f>
        <v>1000000.0000000001</v>
      </c>
      <c r="AC191" s="331"/>
    </row>
    <row r="192" spans="1:29" ht="21.6" customHeight="1">
      <c r="A192" s="1342"/>
      <c r="B192" s="1145"/>
      <c r="C192" s="2466"/>
      <c r="D192" s="2467"/>
      <c r="E192" s="2469" t="s">
        <v>21</v>
      </c>
      <c r="F192" s="337">
        <f>Y192</f>
        <v>74000</v>
      </c>
      <c r="G192" s="337">
        <v>74000</v>
      </c>
      <c r="H192" s="338"/>
      <c r="I192" s="1127"/>
      <c r="J192" s="3404" t="s">
        <v>194</v>
      </c>
      <c r="K192" s="3405"/>
      <c r="L192" s="3405"/>
      <c r="M192" s="3405"/>
      <c r="N192" s="3405"/>
      <c r="O192" s="3405"/>
      <c r="P192" s="535"/>
      <c r="Q192" s="1385"/>
      <c r="R192" s="1390"/>
      <c r="S192" s="1385"/>
      <c r="T192" s="985"/>
      <c r="U192" s="515"/>
      <c r="V192" s="1385"/>
      <c r="W192" s="2880"/>
      <c r="X192" s="517"/>
      <c r="Y192" s="724">
        <f t="shared" ref="Y192:Y195" si="46">(Z192)/1000</f>
        <v>74000</v>
      </c>
      <c r="Z192" s="675">
        <f>SUM(Z193:Z195)</f>
        <v>74000000</v>
      </c>
    </row>
    <row r="193" spans="1:28" ht="21.6" customHeight="1">
      <c r="A193" s="1342"/>
      <c r="B193" s="1145"/>
      <c r="C193" s="2422"/>
      <c r="D193" s="2472"/>
      <c r="E193" s="508"/>
      <c r="F193" s="2422"/>
      <c r="G193" s="2473"/>
      <c r="H193" s="338"/>
      <c r="I193" s="1127"/>
      <c r="J193" s="514" t="s">
        <v>5867</v>
      </c>
      <c r="K193" s="2894"/>
      <c r="L193" s="2894"/>
      <c r="M193" s="2894"/>
      <c r="N193" s="2894"/>
      <c r="O193" s="2894"/>
      <c r="P193" s="535"/>
      <c r="Q193" s="1385"/>
      <c r="R193" s="1390"/>
      <c r="S193" s="1385">
        <v>40000000</v>
      </c>
      <c r="T193" s="985" t="s">
        <v>50</v>
      </c>
      <c r="U193" s="515"/>
      <c r="V193" s="1385">
        <v>1</v>
      </c>
      <c r="W193" s="2880" t="s">
        <v>292</v>
      </c>
      <c r="X193" s="517" t="s">
        <v>1</v>
      </c>
      <c r="Y193" s="724">
        <f t="shared" si="46"/>
        <v>40000</v>
      </c>
      <c r="Z193" s="675">
        <f>S193*V193</f>
        <v>40000000</v>
      </c>
    </row>
    <row r="194" spans="1:28" ht="21.6" customHeight="1">
      <c r="A194" s="1342"/>
      <c r="B194" s="1145"/>
      <c r="C194" s="2422"/>
      <c r="D194" s="2472"/>
      <c r="E194" s="508"/>
      <c r="F194" s="2422"/>
      <c r="G194" s="2472"/>
      <c r="H194" s="338"/>
      <c r="I194" s="1127"/>
      <c r="J194" s="514" t="s">
        <v>5896</v>
      </c>
      <c r="K194" s="2894"/>
      <c r="L194" s="2894"/>
      <c r="M194" s="2894"/>
      <c r="N194" s="2894"/>
      <c r="O194" s="2894"/>
      <c r="P194" s="535"/>
      <c r="Q194" s="1385"/>
      <c r="R194" s="1390"/>
      <c r="S194" s="1385">
        <v>25000000</v>
      </c>
      <c r="T194" s="985" t="s">
        <v>50</v>
      </c>
      <c r="U194" s="515"/>
      <c r="V194" s="1385">
        <v>1</v>
      </c>
      <c r="W194" s="2880" t="s">
        <v>292</v>
      </c>
      <c r="X194" s="517" t="s">
        <v>1</v>
      </c>
      <c r="Y194" s="724">
        <f t="shared" si="46"/>
        <v>25000</v>
      </c>
      <c r="Z194" s="675">
        <f t="shared" ref="Z194:Z195" si="47">S194*V194</f>
        <v>25000000</v>
      </c>
    </row>
    <row r="195" spans="1:28" ht="21.6" customHeight="1">
      <c r="A195" s="1342"/>
      <c r="B195" s="1145"/>
      <c r="C195" s="2422"/>
      <c r="D195" s="2472"/>
      <c r="E195" s="508"/>
      <c r="F195" s="2422"/>
      <c r="G195" s="2472"/>
      <c r="H195" s="338"/>
      <c r="I195" s="1127"/>
      <c r="J195" s="514" t="s">
        <v>5895</v>
      </c>
      <c r="K195" s="2894"/>
      <c r="L195" s="2894"/>
      <c r="M195" s="2894"/>
      <c r="N195" s="2894"/>
      <c r="O195" s="2894"/>
      <c r="P195" s="535"/>
      <c r="Q195" s="1385"/>
      <c r="R195" s="1390"/>
      <c r="S195" s="1385">
        <v>4500000</v>
      </c>
      <c r="T195" s="985" t="s">
        <v>50</v>
      </c>
      <c r="U195" s="515"/>
      <c r="V195" s="1385">
        <v>2</v>
      </c>
      <c r="W195" s="2880" t="s">
        <v>292</v>
      </c>
      <c r="X195" s="517" t="s">
        <v>1</v>
      </c>
      <c r="Y195" s="724">
        <f t="shared" si="46"/>
        <v>9000</v>
      </c>
      <c r="Z195" s="675">
        <f t="shared" si="47"/>
        <v>9000000</v>
      </c>
    </row>
    <row r="196" spans="1:28" ht="21.6" customHeight="1">
      <c r="A196" s="1342"/>
      <c r="B196" s="1145"/>
      <c r="C196" s="2466"/>
      <c r="D196" s="2467"/>
      <c r="E196" s="2469" t="s">
        <v>287</v>
      </c>
      <c r="F196" s="337">
        <f>Y196</f>
        <v>22000</v>
      </c>
      <c r="G196" s="337">
        <v>22000</v>
      </c>
      <c r="H196" s="338"/>
      <c r="I196" s="1127"/>
      <c r="J196" s="514" t="s">
        <v>2902</v>
      </c>
      <c r="K196" s="2894"/>
      <c r="L196" s="2894"/>
      <c r="M196" s="2894"/>
      <c r="N196" s="2894"/>
      <c r="O196" s="2894"/>
      <c r="P196" s="535"/>
      <c r="Q196" s="1385"/>
      <c r="R196" s="1390"/>
      <c r="S196" s="1385">
        <v>11000000</v>
      </c>
      <c r="T196" s="985" t="s">
        <v>50</v>
      </c>
      <c r="U196" s="515"/>
      <c r="V196" s="1385">
        <v>2</v>
      </c>
      <c r="W196" s="2880" t="s">
        <v>265</v>
      </c>
      <c r="X196" s="517" t="s">
        <v>1</v>
      </c>
      <c r="Y196" s="724">
        <f t="shared" ref="Y196" si="48">(Z196)/1000</f>
        <v>22000</v>
      </c>
      <c r="Z196" s="675">
        <f>S196*V196</f>
        <v>22000000</v>
      </c>
    </row>
    <row r="197" spans="1:28" ht="21.6" customHeight="1" thickBot="1">
      <c r="A197" s="1342"/>
      <c r="B197" s="1145"/>
      <c r="C197" s="2466"/>
      <c r="D197" s="2470"/>
      <c r="E197" s="2471" t="s">
        <v>303</v>
      </c>
      <c r="F197" s="337">
        <f>Y197</f>
        <v>1000</v>
      </c>
      <c r="G197" s="337">
        <v>1000</v>
      </c>
      <c r="H197" s="338"/>
      <c r="I197" s="1127"/>
      <c r="J197" s="514" t="s">
        <v>3299</v>
      </c>
      <c r="K197" s="1781"/>
      <c r="L197" s="1781"/>
      <c r="M197" s="1781"/>
      <c r="N197" s="1781"/>
      <c r="O197" s="1781"/>
      <c r="P197" s="535"/>
      <c r="Q197" s="1385"/>
      <c r="R197" s="1390"/>
      <c r="S197" s="1385">
        <v>250000</v>
      </c>
      <c r="T197" s="985" t="s">
        <v>50</v>
      </c>
      <c r="U197" s="515"/>
      <c r="V197" s="1385">
        <v>4</v>
      </c>
      <c r="W197" s="2347" t="s">
        <v>2903</v>
      </c>
      <c r="X197" s="517" t="s">
        <v>1</v>
      </c>
      <c r="Y197" s="724">
        <f>(Z197)/1000</f>
        <v>1000</v>
      </c>
      <c r="Z197" s="675">
        <f>S197*V197</f>
        <v>1000000</v>
      </c>
    </row>
    <row r="198" spans="1:28" s="986" customFormat="1" ht="21.6" customHeight="1" thickBot="1">
      <c r="A198" s="475"/>
      <c r="B198" s="2796" t="s">
        <v>2170</v>
      </c>
      <c r="C198" s="2789"/>
      <c r="D198" s="2789"/>
      <c r="E198" s="1875"/>
      <c r="F198" s="1367">
        <f>+F199+F200</f>
        <v>940000</v>
      </c>
      <c r="G198" s="1367">
        <f>+G199+G200</f>
        <v>940000</v>
      </c>
      <c r="H198" s="838">
        <f t="shared" ref="H198:H205" si="49">F198-G198</f>
        <v>0</v>
      </c>
      <c r="I198" s="1127"/>
      <c r="J198" s="1368"/>
      <c r="K198" s="1369"/>
      <c r="L198" s="1369"/>
      <c r="M198" s="1369"/>
      <c r="N198" s="1369"/>
      <c r="O198" s="1369"/>
      <c r="P198" s="1370"/>
      <c r="Q198" s="1370"/>
      <c r="R198" s="1371"/>
      <c r="S198" s="1372"/>
      <c r="T198" s="1373"/>
      <c r="U198" s="1370"/>
      <c r="V198" s="1374"/>
      <c r="W198" s="1336"/>
      <c r="X198" s="1375"/>
      <c r="Y198" s="1376"/>
      <c r="Z198" s="275"/>
      <c r="AA198" s="321"/>
      <c r="AB198" s="321"/>
    </row>
    <row r="199" spans="1:28" s="986" customFormat="1" ht="21.6" customHeight="1">
      <c r="A199" s="2797"/>
      <c r="B199" s="924"/>
      <c r="C199" s="3389" t="s">
        <v>2171</v>
      </c>
      <c r="D199" s="3390"/>
      <c r="E199" s="3391"/>
      <c r="F199" s="600">
        <v>0</v>
      </c>
      <c r="G199" s="600">
        <v>0</v>
      </c>
      <c r="H199" s="1382">
        <f t="shared" si="49"/>
        <v>0</v>
      </c>
      <c r="I199" s="1127"/>
      <c r="J199" s="1129"/>
      <c r="K199" s="2801"/>
      <c r="L199" s="2801"/>
      <c r="M199" s="2801"/>
      <c r="N199" s="2801"/>
      <c r="O199" s="846"/>
      <c r="P199" s="2795"/>
      <c r="Q199" s="847"/>
      <c r="R199" s="1845"/>
      <c r="S199" s="1846"/>
      <c r="T199" s="362"/>
      <c r="U199" s="846"/>
      <c r="V199" s="2801"/>
      <c r="W199" s="2801"/>
      <c r="X199" s="846"/>
      <c r="Y199" s="345"/>
      <c r="Z199" s="275"/>
      <c r="AA199" s="321"/>
      <c r="AB199" s="321"/>
    </row>
    <row r="200" spans="1:28" ht="21.6" customHeight="1">
      <c r="A200" s="2797"/>
      <c r="B200" s="1145"/>
      <c r="C200" s="3386" t="s">
        <v>2172</v>
      </c>
      <c r="D200" s="3386"/>
      <c r="E200" s="3386"/>
      <c r="F200" s="483">
        <f>F201+F211+F234+F241+F245+F251+F268+F284+F295</f>
        <v>940000</v>
      </c>
      <c r="G200" s="483">
        <f>G201+G211+G234+G241+G245+G251+G268+G284+G295</f>
        <v>940000</v>
      </c>
      <c r="H200" s="1383">
        <f t="shared" si="49"/>
        <v>0</v>
      </c>
      <c r="I200" s="1127"/>
      <c r="J200" s="394"/>
      <c r="K200" s="2799"/>
      <c r="L200" s="2799"/>
      <c r="M200" s="2799"/>
      <c r="N200" s="2799"/>
      <c r="O200" s="2799"/>
      <c r="P200" s="484"/>
      <c r="Q200" s="485"/>
      <c r="R200" s="486"/>
      <c r="S200" s="487"/>
      <c r="T200" s="486"/>
      <c r="U200" s="2784"/>
      <c r="V200" s="487"/>
      <c r="W200" s="2784"/>
      <c r="X200" s="2784"/>
      <c r="Y200" s="1870"/>
      <c r="Z200" s="401"/>
    </row>
    <row r="201" spans="1:28" s="986" customFormat="1" ht="21.6" customHeight="1">
      <c r="A201" s="2797"/>
      <c r="B201" s="1145"/>
      <c r="C201" s="2805"/>
      <c r="D201" s="3387" t="s">
        <v>3342</v>
      </c>
      <c r="E201" s="3388"/>
      <c r="F201" s="488">
        <f>SUM(F202:F210)</f>
        <v>30000</v>
      </c>
      <c r="G201" s="488">
        <f>SUM(G202:G210)</f>
        <v>30000</v>
      </c>
      <c r="H201" s="468">
        <f t="shared" si="49"/>
        <v>0</v>
      </c>
      <c r="I201" s="1127"/>
      <c r="J201" s="394"/>
      <c r="K201" s="2896"/>
      <c r="L201" s="2896"/>
      <c r="M201" s="2896"/>
      <c r="N201" s="2896"/>
      <c r="O201" s="2896"/>
      <c r="P201" s="484"/>
      <c r="Q201" s="487"/>
      <c r="R201" s="486"/>
      <c r="S201" s="487"/>
      <c r="T201" s="486"/>
      <c r="U201" s="1146"/>
      <c r="V201" s="487"/>
      <c r="W201" s="2876"/>
      <c r="X201" s="430"/>
      <c r="Y201" s="439"/>
      <c r="Z201" s="401"/>
      <c r="AA201" s="321"/>
      <c r="AB201" s="321"/>
    </row>
    <row r="202" spans="1:28" s="1675" customFormat="1" ht="21.6" customHeight="1">
      <c r="A202" s="2797"/>
      <c r="B202" s="1145"/>
      <c r="C202" s="470"/>
      <c r="D202" s="489"/>
      <c r="E202" s="1134" t="s">
        <v>199</v>
      </c>
      <c r="F202" s="737">
        <f>Y202</f>
        <v>9000</v>
      </c>
      <c r="G202" s="1391">
        <v>16000</v>
      </c>
      <c r="H202" s="513">
        <f t="shared" si="49"/>
        <v>-7000</v>
      </c>
      <c r="I202" s="1164"/>
      <c r="J202" s="1670" t="s">
        <v>5483</v>
      </c>
      <c r="K202" s="2889"/>
      <c r="L202" s="2889"/>
      <c r="M202" s="2889"/>
      <c r="N202" s="2889"/>
      <c r="O202" s="2889"/>
      <c r="P202" s="2889"/>
      <c r="Q202" s="2900">
        <v>500</v>
      </c>
      <c r="R202" s="2900" t="s">
        <v>225</v>
      </c>
      <c r="S202" s="1673">
        <v>9000</v>
      </c>
      <c r="T202" s="2900" t="s">
        <v>5454</v>
      </c>
      <c r="U202" s="2900"/>
      <c r="V202" s="2900">
        <v>2</v>
      </c>
      <c r="W202" s="2900" t="s">
        <v>5474</v>
      </c>
      <c r="X202" s="1140" t="s">
        <v>5456</v>
      </c>
      <c r="Y202" s="406">
        <v>9000</v>
      </c>
      <c r="Z202" s="2667">
        <f>Q202*S202*V202</f>
        <v>9000000</v>
      </c>
      <c r="AA202" s="2668"/>
      <c r="AB202" s="347"/>
    </row>
    <row r="203" spans="1:28" s="1675" customFormat="1" ht="21.6" customHeight="1">
      <c r="A203" s="2892"/>
      <c r="B203" s="1145"/>
      <c r="C203" s="470"/>
      <c r="D203" s="489"/>
      <c r="E203" s="1134" t="s">
        <v>224</v>
      </c>
      <c r="F203" s="737">
        <f t="shared" ref="F203:F205" si="50">Y203</f>
        <v>900</v>
      </c>
      <c r="G203" s="1391">
        <v>900</v>
      </c>
      <c r="H203" s="513"/>
      <c r="I203" s="1164"/>
      <c r="J203" s="2899" t="s">
        <v>5478</v>
      </c>
      <c r="K203" s="2889"/>
      <c r="L203" s="2889"/>
      <c r="M203" s="2889"/>
      <c r="N203" s="2889"/>
      <c r="O203" s="2889"/>
      <c r="P203" s="2889"/>
      <c r="Q203" s="2889"/>
      <c r="R203" s="405"/>
      <c r="S203" s="1673">
        <v>900000</v>
      </c>
      <c r="T203" s="2900" t="s">
        <v>5454</v>
      </c>
      <c r="U203" s="2900"/>
      <c r="V203" s="2900">
        <v>1</v>
      </c>
      <c r="W203" s="2900" t="s">
        <v>5463</v>
      </c>
      <c r="X203" s="1140" t="s">
        <v>5456</v>
      </c>
      <c r="Y203" s="406">
        <v>900</v>
      </c>
      <c r="Z203" s="2667">
        <f t="shared" ref="Z203" si="51">S203*V203</f>
        <v>900000</v>
      </c>
      <c r="AA203" s="2668"/>
      <c r="AB203" s="347"/>
    </row>
    <row r="204" spans="1:28" s="1675" customFormat="1" ht="21.6" customHeight="1">
      <c r="A204" s="2892"/>
      <c r="B204" s="1145"/>
      <c r="C204" s="470"/>
      <c r="D204" s="489"/>
      <c r="E204" s="1134" t="s">
        <v>195</v>
      </c>
      <c r="F204" s="737">
        <f t="shared" si="50"/>
        <v>1600</v>
      </c>
      <c r="G204" s="1391">
        <v>900</v>
      </c>
      <c r="H204" s="513">
        <f t="shared" si="49"/>
        <v>700</v>
      </c>
      <c r="I204" s="1164"/>
      <c r="J204" s="1670" t="s">
        <v>5479</v>
      </c>
      <c r="K204" s="2889"/>
      <c r="L204" s="2889"/>
      <c r="M204" s="2889"/>
      <c r="N204" s="2889"/>
      <c r="O204" s="2889"/>
      <c r="P204" s="2889"/>
      <c r="Q204" s="2900">
        <v>2</v>
      </c>
      <c r="R204" s="2900" t="s">
        <v>5462</v>
      </c>
      <c r="S204" s="2900">
        <v>40000</v>
      </c>
      <c r="T204" s="2900" t="s">
        <v>5454</v>
      </c>
      <c r="U204" s="2900"/>
      <c r="V204" s="2900">
        <v>20</v>
      </c>
      <c r="W204" s="2900" t="s">
        <v>5463</v>
      </c>
      <c r="X204" s="1140" t="s">
        <v>5456</v>
      </c>
      <c r="Y204" s="406">
        <v>1600</v>
      </c>
      <c r="Z204" s="2667">
        <f>Q204*S204*V204</f>
        <v>1600000</v>
      </c>
      <c r="AA204" s="2668"/>
      <c r="AB204" s="347"/>
    </row>
    <row r="205" spans="1:28" s="1675" customFormat="1" ht="21.6" customHeight="1">
      <c r="A205" s="2892"/>
      <c r="B205" s="1145"/>
      <c r="C205" s="470"/>
      <c r="D205" s="489"/>
      <c r="E205" s="1134" t="s">
        <v>269</v>
      </c>
      <c r="F205" s="737">
        <f t="shared" si="50"/>
        <v>16000</v>
      </c>
      <c r="G205" s="1391">
        <v>11000</v>
      </c>
      <c r="H205" s="513">
        <f t="shared" si="49"/>
        <v>5000</v>
      </c>
      <c r="I205" s="1164"/>
      <c r="J205" s="1328" t="s">
        <v>5316</v>
      </c>
      <c r="K205" s="1328"/>
      <c r="L205" s="1328"/>
      <c r="M205" s="1328"/>
      <c r="N205" s="2889"/>
      <c r="O205" s="2889"/>
      <c r="P205" s="2889"/>
      <c r="Q205" s="2900"/>
      <c r="R205" s="2900"/>
      <c r="S205" s="1673"/>
      <c r="T205" s="2900"/>
      <c r="U205" s="2900"/>
      <c r="V205" s="2900"/>
      <c r="W205" s="2900"/>
      <c r="X205" s="1140"/>
      <c r="Y205" s="406">
        <f>Z205/1000</f>
        <v>16000</v>
      </c>
      <c r="Z205" s="2667">
        <f>Z206+Z207</f>
        <v>16000000</v>
      </c>
      <c r="AA205" s="2668"/>
      <c r="AB205" s="347"/>
    </row>
    <row r="206" spans="1:28" s="1675" customFormat="1" ht="21.6" customHeight="1">
      <c r="A206" s="2892"/>
      <c r="B206" s="1145"/>
      <c r="C206" s="470"/>
      <c r="D206" s="489"/>
      <c r="E206" s="1134"/>
      <c r="F206" s="737"/>
      <c r="G206" s="1391"/>
      <c r="H206" s="513"/>
      <c r="I206" s="1164"/>
      <c r="J206" s="514" t="s">
        <v>5868</v>
      </c>
      <c r="K206" s="2936"/>
      <c r="L206" s="2936"/>
      <c r="M206" s="2936"/>
      <c r="N206" s="2889"/>
      <c r="O206" s="2889"/>
      <c r="P206" s="2889"/>
      <c r="Q206" s="2900">
        <v>25</v>
      </c>
      <c r="R206" s="2900" t="s">
        <v>5462</v>
      </c>
      <c r="S206" s="1673">
        <v>400000</v>
      </c>
      <c r="T206" s="2900" t="s">
        <v>5475</v>
      </c>
      <c r="U206" s="2900"/>
      <c r="V206" s="2900"/>
      <c r="W206" s="2900"/>
      <c r="X206" s="1140" t="s">
        <v>5456</v>
      </c>
      <c r="Y206" s="406">
        <v>10000</v>
      </c>
      <c r="Z206" s="2667">
        <f>Q206*S206</f>
        <v>10000000</v>
      </c>
      <c r="AA206" s="2668"/>
      <c r="AB206" s="347"/>
    </row>
    <row r="207" spans="1:28" s="1675" customFormat="1" ht="21.6" customHeight="1">
      <c r="A207" s="2892"/>
      <c r="B207" s="1145"/>
      <c r="C207" s="470"/>
      <c r="D207" s="489"/>
      <c r="E207" s="1134"/>
      <c r="F207" s="737"/>
      <c r="G207" s="1391"/>
      <c r="H207" s="513"/>
      <c r="I207" s="1164"/>
      <c r="J207" s="514" t="s">
        <v>5176</v>
      </c>
      <c r="K207" s="2936"/>
      <c r="L207" s="2936"/>
      <c r="M207" s="2936"/>
      <c r="N207" s="2938"/>
      <c r="O207" s="2938"/>
      <c r="P207" s="2889"/>
      <c r="Q207" s="2900">
        <v>6</v>
      </c>
      <c r="R207" s="2900" t="s">
        <v>5462</v>
      </c>
      <c r="S207" s="1673">
        <v>10000</v>
      </c>
      <c r="T207" s="2900" t="s">
        <v>5454</v>
      </c>
      <c r="U207" s="2900"/>
      <c r="V207" s="2900">
        <v>100</v>
      </c>
      <c r="W207" s="2900" t="s">
        <v>5476</v>
      </c>
      <c r="X207" s="1140" t="s">
        <v>5456</v>
      </c>
      <c r="Y207" s="406">
        <v>6000</v>
      </c>
      <c r="Z207" s="2667">
        <f t="shared" ref="Z207" si="52">Q207*S207*V207</f>
        <v>6000000</v>
      </c>
      <c r="AA207" s="2668"/>
      <c r="AB207" s="347"/>
    </row>
    <row r="208" spans="1:28" s="986" customFormat="1" ht="21.6" customHeight="1">
      <c r="A208" s="2892"/>
      <c r="B208" s="1145"/>
      <c r="C208" s="2904"/>
      <c r="D208" s="1871"/>
      <c r="E208" s="1134" t="s">
        <v>297</v>
      </c>
      <c r="F208" s="737">
        <f t="shared" ref="F208" si="53">Y208</f>
        <v>400</v>
      </c>
      <c r="G208" s="2475">
        <v>0</v>
      </c>
      <c r="H208" s="513">
        <f>F208-G208</f>
        <v>400</v>
      </c>
      <c r="I208" s="1164"/>
      <c r="J208" s="1670" t="s">
        <v>5482</v>
      </c>
      <c r="K208" s="2889"/>
      <c r="L208" s="2889"/>
      <c r="M208" s="2889"/>
      <c r="N208" s="2889"/>
      <c r="O208" s="2889"/>
      <c r="P208" s="2889"/>
      <c r="Q208" s="2900"/>
      <c r="R208" s="2900"/>
      <c r="S208" s="1672">
        <v>200000</v>
      </c>
      <c r="T208" s="2900" t="s">
        <v>5477</v>
      </c>
      <c r="U208" s="2900"/>
      <c r="V208" s="2900">
        <v>2</v>
      </c>
      <c r="W208" s="2900" t="s">
        <v>5463</v>
      </c>
      <c r="X208" s="1140" t="s">
        <v>5456</v>
      </c>
      <c r="Y208" s="406">
        <v>400</v>
      </c>
      <c r="Z208" s="2667">
        <f t="shared" ref="Z208" si="54">S208*V208</f>
        <v>400000</v>
      </c>
      <c r="AA208" s="2668"/>
      <c r="AB208" s="321"/>
    </row>
    <row r="209" spans="1:28" s="1675" customFormat="1" ht="21.6" customHeight="1">
      <c r="A209" s="2892"/>
      <c r="B209" s="1145"/>
      <c r="C209" s="470"/>
      <c r="D209" s="489"/>
      <c r="E209" s="1134" t="s">
        <v>602</v>
      </c>
      <c r="F209" s="737">
        <f t="shared" ref="F209" si="55">Y209</f>
        <v>1500</v>
      </c>
      <c r="G209" s="1391">
        <v>0</v>
      </c>
      <c r="H209" s="513">
        <f t="shared" ref="H209:H210" si="56">F209-G209</f>
        <v>1500</v>
      </c>
      <c r="I209" s="1164"/>
      <c r="J209" s="2899" t="s">
        <v>5481</v>
      </c>
      <c r="K209" s="2889"/>
      <c r="L209" s="2889"/>
      <c r="M209" s="2889"/>
      <c r="N209" s="2889"/>
      <c r="O209" s="2889"/>
      <c r="P209" s="2889"/>
      <c r="Q209" s="2900"/>
      <c r="R209" s="2900"/>
      <c r="S209" s="1672">
        <v>62500</v>
      </c>
      <c r="T209" s="2900" t="s">
        <v>5454</v>
      </c>
      <c r="U209" s="2900"/>
      <c r="V209" s="2900">
        <v>24</v>
      </c>
      <c r="W209" s="2900" t="s">
        <v>5463</v>
      </c>
      <c r="X209" s="1140" t="s">
        <v>5456</v>
      </c>
      <c r="Y209" s="406">
        <v>1500</v>
      </c>
      <c r="Z209" s="2667">
        <f t="shared" ref="Z209" si="57">S209*V209</f>
        <v>1500000</v>
      </c>
      <c r="AA209" s="2668"/>
      <c r="AB209" s="347"/>
    </row>
    <row r="210" spans="1:28" s="1675" customFormat="1" ht="21.6" customHeight="1">
      <c r="A210" s="2892"/>
      <c r="B210" s="1145"/>
      <c r="C210" s="470"/>
      <c r="D210" s="489"/>
      <c r="E210" s="1134" t="s">
        <v>271</v>
      </c>
      <c r="F210" s="737">
        <f t="shared" ref="F210" si="58">Y210</f>
        <v>600</v>
      </c>
      <c r="G210" s="1391">
        <v>1200</v>
      </c>
      <c r="H210" s="513">
        <f t="shared" si="56"/>
        <v>-600</v>
      </c>
      <c r="I210" s="1164"/>
      <c r="J210" s="1670" t="s">
        <v>5480</v>
      </c>
      <c r="K210" s="2889"/>
      <c r="L210" s="2889"/>
      <c r="M210" s="2889"/>
      <c r="N210" s="2889"/>
      <c r="O210" s="2889"/>
      <c r="P210" s="2889"/>
      <c r="Q210" s="2900"/>
      <c r="R210" s="2900"/>
      <c r="S210" s="2900">
        <v>200000</v>
      </c>
      <c r="T210" s="459" t="s">
        <v>5454</v>
      </c>
      <c r="U210" s="459"/>
      <c r="V210" s="459">
        <v>3</v>
      </c>
      <c r="W210" s="459" t="s">
        <v>5463</v>
      </c>
      <c r="X210" s="460" t="s">
        <v>5456</v>
      </c>
      <c r="Y210" s="549">
        <v>600</v>
      </c>
      <c r="Z210" s="2667">
        <f>S210*V210</f>
        <v>600000</v>
      </c>
      <c r="AA210" s="2668"/>
      <c r="AB210" s="347"/>
    </row>
    <row r="211" spans="1:28" s="986" customFormat="1" ht="21.6" customHeight="1">
      <c r="A211" s="2797"/>
      <c r="B211" s="1145"/>
      <c r="C211" s="2805"/>
      <c r="D211" s="3387" t="s">
        <v>2177</v>
      </c>
      <c r="E211" s="3388"/>
      <c r="F211" s="488">
        <f>SUM(F212:F233)</f>
        <v>255000</v>
      </c>
      <c r="G211" s="488">
        <f>SUM(G212:G233)</f>
        <v>255000</v>
      </c>
      <c r="H211" s="468">
        <f>F211-G211</f>
        <v>0</v>
      </c>
      <c r="I211" s="1127"/>
      <c r="J211" s="394"/>
      <c r="K211" s="2896"/>
      <c r="L211" s="2896"/>
      <c r="M211" s="2896"/>
      <c r="N211" s="2896"/>
      <c r="O211" s="2896"/>
      <c r="P211" s="484"/>
      <c r="Q211" s="487"/>
      <c r="R211" s="486"/>
      <c r="S211" s="487"/>
      <c r="T211" s="2943"/>
      <c r="U211" s="1626"/>
      <c r="V211" s="2942"/>
      <c r="W211" s="2883"/>
      <c r="X211" s="426"/>
      <c r="Y211" s="935"/>
      <c r="Z211" s="401"/>
      <c r="AA211" s="321"/>
      <c r="AB211" s="321"/>
    </row>
    <row r="212" spans="1:28" s="1675" customFormat="1" ht="21.6" customHeight="1">
      <c r="A212" s="2797"/>
      <c r="B212" s="1145"/>
      <c r="C212" s="470"/>
      <c r="D212" s="2472"/>
      <c r="E212" s="508" t="s">
        <v>59</v>
      </c>
      <c r="F212" s="737">
        <f>Y212</f>
        <v>35000</v>
      </c>
      <c r="G212" s="1391">
        <v>38000</v>
      </c>
      <c r="H212" s="513">
        <f>F212-G212</f>
        <v>-3000</v>
      </c>
      <c r="I212" s="1164"/>
      <c r="J212" s="514" t="s">
        <v>1920</v>
      </c>
      <c r="K212" s="2798"/>
      <c r="L212" s="2798"/>
      <c r="M212" s="2798"/>
      <c r="N212" s="2798"/>
      <c r="O212" s="2798"/>
      <c r="P212" s="535"/>
      <c r="Q212" s="1385"/>
      <c r="R212" s="1390"/>
      <c r="S212" s="1385"/>
      <c r="T212" s="985"/>
      <c r="U212" s="515"/>
      <c r="V212" s="1385"/>
      <c r="W212" s="2787"/>
      <c r="X212" s="517"/>
      <c r="Y212" s="724">
        <f t="shared" ref="Y212:Y228" si="59">(Z212)/1000</f>
        <v>35000</v>
      </c>
      <c r="Z212" s="2667">
        <f>Z213+Z214</f>
        <v>35000000</v>
      </c>
      <c r="AA212" s="2668"/>
      <c r="AB212" s="347"/>
    </row>
    <row r="213" spans="1:28" s="1675" customFormat="1" ht="21.6" customHeight="1">
      <c r="A213" s="2797"/>
      <c r="B213" s="1145"/>
      <c r="C213" s="470"/>
      <c r="D213" s="2472"/>
      <c r="E213" s="508"/>
      <c r="F213" s="737"/>
      <c r="G213" s="1391"/>
      <c r="H213" s="513"/>
      <c r="I213" s="1164"/>
      <c r="J213" s="514" t="s">
        <v>6118</v>
      </c>
      <c r="K213" s="2798"/>
      <c r="L213" s="2798"/>
      <c r="M213" s="2798"/>
      <c r="N213" s="2798"/>
      <c r="O213" s="2798"/>
      <c r="P213" s="535"/>
      <c r="Q213" s="1385">
        <v>2</v>
      </c>
      <c r="R213" s="1390" t="s">
        <v>33</v>
      </c>
      <c r="S213" s="1385">
        <v>2500000</v>
      </c>
      <c r="T213" s="985" t="s">
        <v>62</v>
      </c>
      <c r="U213" s="515"/>
      <c r="V213" s="1385">
        <v>6</v>
      </c>
      <c r="W213" s="2787" t="s">
        <v>49</v>
      </c>
      <c r="X213" s="517" t="s">
        <v>1</v>
      </c>
      <c r="Y213" s="724">
        <f t="shared" si="59"/>
        <v>30000</v>
      </c>
      <c r="Z213" s="2667">
        <f>Q213*S213*V213</f>
        <v>30000000</v>
      </c>
      <c r="AA213" s="2668"/>
      <c r="AB213" s="347"/>
    </row>
    <row r="214" spans="1:28" s="357" customFormat="1" ht="21.6" customHeight="1">
      <c r="A214" s="2892"/>
      <c r="B214" s="1145"/>
      <c r="C214" s="470"/>
      <c r="D214" s="2472"/>
      <c r="E214" s="508"/>
      <c r="F214" s="737"/>
      <c r="G214" s="1391"/>
      <c r="H214" s="513"/>
      <c r="I214" s="1164"/>
      <c r="J214" s="514" t="s">
        <v>6117</v>
      </c>
      <c r="K214" s="2894"/>
      <c r="L214" s="2894"/>
      <c r="M214" s="515"/>
      <c r="N214" s="2894"/>
      <c r="O214" s="2894"/>
      <c r="P214" s="535"/>
      <c r="Q214" s="1385">
        <v>2</v>
      </c>
      <c r="R214" s="3166" t="s">
        <v>220</v>
      </c>
      <c r="S214" s="1385">
        <v>2500000</v>
      </c>
      <c r="T214" s="985" t="s">
        <v>62</v>
      </c>
      <c r="U214" s="515"/>
      <c r="V214" s="1385"/>
      <c r="W214" s="2880"/>
      <c r="X214" s="517" t="s">
        <v>266</v>
      </c>
      <c r="Y214" s="724">
        <f t="shared" ref="Y214" si="60">(Z214)/1000</f>
        <v>5000</v>
      </c>
      <c r="Z214" s="2667">
        <f>Q214*S214</f>
        <v>5000000</v>
      </c>
      <c r="AA214" s="2668"/>
      <c r="AB214" s="358"/>
    </row>
    <row r="215" spans="1:28" s="357" customFormat="1" ht="21.6" customHeight="1">
      <c r="A215" s="2892"/>
      <c r="B215" s="1145"/>
      <c r="C215" s="470"/>
      <c r="D215" s="2472"/>
      <c r="E215" s="2471" t="s">
        <v>199</v>
      </c>
      <c r="F215" s="737">
        <f>Y215</f>
        <v>117000</v>
      </c>
      <c r="G215" s="1391">
        <v>117000</v>
      </c>
      <c r="H215" s="513"/>
      <c r="I215" s="1164"/>
      <c r="J215" s="514" t="s">
        <v>1920</v>
      </c>
      <c r="K215" s="515"/>
      <c r="L215" s="531"/>
      <c r="M215" s="2894"/>
      <c r="N215" s="2894"/>
      <c r="O215" s="2894"/>
      <c r="P215" s="535"/>
      <c r="Q215" s="1385"/>
      <c r="R215" s="1390"/>
      <c r="S215" s="1385"/>
      <c r="T215" s="985"/>
      <c r="U215" s="515"/>
      <c r="V215" s="1385"/>
      <c r="W215" s="2880"/>
      <c r="X215" s="517"/>
      <c r="Y215" s="724">
        <f t="shared" si="59"/>
        <v>117000</v>
      </c>
      <c r="Z215" s="2667">
        <f>Z216+Z217+Z218</f>
        <v>117000000</v>
      </c>
      <c r="AA215" s="2668"/>
      <c r="AB215" s="358"/>
    </row>
    <row r="216" spans="1:28" s="986" customFormat="1" ht="21.6" customHeight="1">
      <c r="A216" s="2892"/>
      <c r="B216" s="1145"/>
      <c r="C216" s="2904"/>
      <c r="D216" s="2467"/>
      <c r="E216" s="2471"/>
      <c r="F216" s="737"/>
      <c r="G216" s="2475"/>
      <c r="H216" s="513"/>
      <c r="I216" s="1164"/>
      <c r="J216" s="514" t="s">
        <v>5821</v>
      </c>
      <c r="K216" s="2894"/>
      <c r="L216" s="2894"/>
      <c r="M216" s="2894"/>
      <c r="N216" s="2894"/>
      <c r="O216" s="2894"/>
      <c r="P216" s="535"/>
      <c r="Q216" s="1385">
        <v>1</v>
      </c>
      <c r="R216" s="1390" t="s">
        <v>365</v>
      </c>
      <c r="S216" s="1385">
        <v>2800</v>
      </c>
      <c r="T216" s="985" t="s">
        <v>62</v>
      </c>
      <c r="U216" s="515"/>
      <c r="V216" s="1385">
        <v>20000</v>
      </c>
      <c r="W216" s="2880" t="s">
        <v>218</v>
      </c>
      <c r="X216" s="517" t="s">
        <v>266</v>
      </c>
      <c r="Y216" s="724">
        <f t="shared" si="59"/>
        <v>56000</v>
      </c>
      <c r="Z216" s="2667">
        <f t="shared" ref="Z216:Z218" si="61">Q216*S216*V216</f>
        <v>56000000</v>
      </c>
      <c r="AA216" s="2668"/>
      <c r="AB216" s="321"/>
    </row>
    <row r="217" spans="1:28" s="986" customFormat="1" ht="21.6" customHeight="1">
      <c r="A217" s="2892"/>
      <c r="B217" s="1145"/>
      <c r="C217" s="2904"/>
      <c r="D217" s="2467"/>
      <c r="E217" s="2471"/>
      <c r="F217" s="737"/>
      <c r="G217" s="2475"/>
      <c r="H217" s="513"/>
      <c r="I217" s="1164"/>
      <c r="J217" s="514" t="s">
        <v>5822</v>
      </c>
      <c r="K217" s="2894"/>
      <c r="L217" s="2894"/>
      <c r="M217" s="2894"/>
      <c r="N217" s="2894"/>
      <c r="O217" s="2894"/>
      <c r="P217" s="535"/>
      <c r="Q217" s="1385">
        <v>1</v>
      </c>
      <c r="R217" s="1390" t="s">
        <v>365</v>
      </c>
      <c r="S217" s="1385">
        <v>2800</v>
      </c>
      <c r="T217" s="985" t="s">
        <v>62</v>
      </c>
      <c r="U217" s="515"/>
      <c r="V217" s="1385">
        <v>20000</v>
      </c>
      <c r="W217" s="2880" t="s">
        <v>218</v>
      </c>
      <c r="X217" s="517" t="s">
        <v>266</v>
      </c>
      <c r="Y217" s="724">
        <f t="shared" si="59"/>
        <v>56000</v>
      </c>
      <c r="Z217" s="2667">
        <f t="shared" si="61"/>
        <v>56000000</v>
      </c>
      <c r="AA217" s="2668"/>
      <c r="AB217" s="321"/>
    </row>
    <row r="218" spans="1:28" s="986" customFormat="1" ht="21.6" customHeight="1">
      <c r="A218" s="2892"/>
      <c r="B218" s="1145"/>
      <c r="C218" s="2904"/>
      <c r="D218" s="2467"/>
      <c r="E218" s="2471"/>
      <c r="F218" s="737"/>
      <c r="G218" s="2475"/>
      <c r="H218" s="513"/>
      <c r="I218" s="1164"/>
      <c r="J218" s="514" t="s">
        <v>5869</v>
      </c>
      <c r="K218" s="2894"/>
      <c r="L218" s="2894"/>
      <c r="M218" s="2894"/>
      <c r="N218" s="2894"/>
      <c r="O218" s="2894"/>
      <c r="P218" s="535"/>
      <c r="Q218" s="1385">
        <v>1</v>
      </c>
      <c r="R218" s="1390" t="s">
        <v>365</v>
      </c>
      <c r="S218" s="1385">
        <v>10000</v>
      </c>
      <c r="T218" s="985" t="s">
        <v>62</v>
      </c>
      <c r="U218" s="515"/>
      <c r="V218" s="1385">
        <v>500</v>
      </c>
      <c r="W218" s="2880" t="s">
        <v>218</v>
      </c>
      <c r="X218" s="517" t="s">
        <v>266</v>
      </c>
      <c r="Y218" s="724">
        <f t="shared" si="59"/>
        <v>5000</v>
      </c>
      <c r="Z218" s="2667">
        <f t="shared" si="61"/>
        <v>5000000</v>
      </c>
      <c r="AA218" s="2668"/>
      <c r="AB218" s="321"/>
    </row>
    <row r="219" spans="1:28" s="986" customFormat="1" ht="21.6" customHeight="1">
      <c r="A219" s="2892"/>
      <c r="B219" s="1145"/>
      <c r="C219" s="2904"/>
      <c r="D219" s="2467"/>
      <c r="E219" s="2471" t="s">
        <v>950</v>
      </c>
      <c r="F219" s="737">
        <f t="shared" ref="F219:F220" si="62">Y219</f>
        <v>1700</v>
      </c>
      <c r="G219" s="2475">
        <v>1000</v>
      </c>
      <c r="H219" s="513">
        <f t="shared" ref="H219:H233" si="63">F219-G219</f>
        <v>700</v>
      </c>
      <c r="I219" s="1164"/>
      <c r="J219" s="514" t="s">
        <v>6119</v>
      </c>
      <c r="K219" s="2894"/>
      <c r="L219" s="2894"/>
      <c r="M219" s="2894"/>
      <c r="N219" s="2894"/>
      <c r="O219" s="2894"/>
      <c r="P219" s="535"/>
      <c r="Q219" s="534"/>
      <c r="R219" s="2880"/>
      <c r="S219" s="1385">
        <v>1700000</v>
      </c>
      <c r="T219" s="985" t="s">
        <v>62</v>
      </c>
      <c r="U219" s="2880"/>
      <c r="V219" s="1385">
        <v>1</v>
      </c>
      <c r="W219" s="2880" t="s">
        <v>265</v>
      </c>
      <c r="X219" s="517" t="s">
        <v>1</v>
      </c>
      <c r="Y219" s="724">
        <f t="shared" si="59"/>
        <v>1700</v>
      </c>
      <c r="Z219" s="2667">
        <f>S219*V219</f>
        <v>1700000</v>
      </c>
      <c r="AA219" s="2668"/>
      <c r="AB219" s="321"/>
    </row>
    <row r="220" spans="1:28" s="357" customFormat="1" ht="21.6" customHeight="1">
      <c r="A220" s="2892"/>
      <c r="B220" s="1145"/>
      <c r="C220" s="470"/>
      <c r="D220" s="2472"/>
      <c r="E220" s="2471" t="s">
        <v>426</v>
      </c>
      <c r="F220" s="737">
        <f t="shared" si="62"/>
        <v>1800</v>
      </c>
      <c r="G220" s="1391">
        <v>2000</v>
      </c>
      <c r="H220" s="513">
        <f t="shared" si="63"/>
        <v>-200</v>
      </c>
      <c r="I220" s="1164"/>
      <c r="J220" s="514" t="s">
        <v>2918</v>
      </c>
      <c r="K220" s="2894"/>
      <c r="L220" s="2894"/>
      <c r="M220" s="2894"/>
      <c r="N220" s="2894"/>
      <c r="O220" s="2894"/>
      <c r="P220" s="535"/>
      <c r="Q220" s="534">
        <v>2</v>
      </c>
      <c r="R220" s="2880" t="s">
        <v>605</v>
      </c>
      <c r="S220" s="1385">
        <v>30000</v>
      </c>
      <c r="T220" s="985" t="s">
        <v>62</v>
      </c>
      <c r="U220" s="2880"/>
      <c r="V220" s="1385">
        <v>30</v>
      </c>
      <c r="W220" s="2880" t="s">
        <v>265</v>
      </c>
      <c r="X220" s="517" t="s">
        <v>1</v>
      </c>
      <c r="Y220" s="724">
        <f>(Z220)/1000</f>
        <v>1800</v>
      </c>
      <c r="Z220" s="2667">
        <f>Q220*S220*V220</f>
        <v>1800000</v>
      </c>
      <c r="AA220" s="2668"/>
      <c r="AB220" s="358"/>
    </row>
    <row r="221" spans="1:28" s="357" customFormat="1" ht="21.6" customHeight="1">
      <c r="A221" s="2797"/>
      <c r="B221" s="1145"/>
      <c r="C221" s="470"/>
      <c r="D221" s="2472"/>
      <c r="E221" s="508" t="s">
        <v>269</v>
      </c>
      <c r="F221" s="737">
        <f>Y221</f>
        <v>26000</v>
      </c>
      <c r="G221" s="1391">
        <v>26000</v>
      </c>
      <c r="H221" s="513"/>
      <c r="I221" s="1164"/>
      <c r="J221" s="514" t="s">
        <v>620</v>
      </c>
      <c r="K221" s="2798"/>
      <c r="L221" s="2798"/>
      <c r="M221" s="2798"/>
      <c r="N221" s="2798"/>
      <c r="O221" s="2798"/>
      <c r="P221" s="535"/>
      <c r="Q221" s="1385"/>
      <c r="R221" s="1390"/>
      <c r="S221" s="1385"/>
      <c r="T221" s="985"/>
      <c r="U221" s="515"/>
      <c r="V221" s="1385"/>
      <c r="W221" s="2787"/>
      <c r="X221" s="517"/>
      <c r="Y221" s="724">
        <f t="shared" si="59"/>
        <v>26000</v>
      </c>
      <c r="Z221" s="2667">
        <f>SUM(Z222:Z224)</f>
        <v>26000000</v>
      </c>
      <c r="AA221" s="2668"/>
      <c r="AB221" s="358"/>
    </row>
    <row r="222" spans="1:28" s="1675" customFormat="1" ht="21.6" customHeight="1">
      <c r="A222" s="2797"/>
      <c r="B222" s="1145"/>
      <c r="C222" s="470"/>
      <c r="D222" s="2472"/>
      <c r="E222" s="508"/>
      <c r="F222" s="737"/>
      <c r="G222" s="1391"/>
      <c r="H222" s="513"/>
      <c r="I222" s="1164"/>
      <c r="J222" s="514" t="s">
        <v>5870</v>
      </c>
      <c r="K222" s="2798"/>
      <c r="L222" s="2798"/>
      <c r="M222" s="2798"/>
      <c r="N222" s="2798"/>
      <c r="O222" s="2798"/>
      <c r="P222" s="535"/>
      <c r="Q222" s="1385">
        <v>4</v>
      </c>
      <c r="R222" s="1390" t="s">
        <v>33</v>
      </c>
      <c r="S222" s="1385">
        <v>1000000</v>
      </c>
      <c r="T222" s="985" t="s">
        <v>50</v>
      </c>
      <c r="U222" s="515"/>
      <c r="V222" s="1385">
        <v>5</v>
      </c>
      <c r="W222" s="2787" t="s">
        <v>2903</v>
      </c>
      <c r="X222" s="517" t="s">
        <v>1</v>
      </c>
      <c r="Y222" s="724">
        <f t="shared" si="59"/>
        <v>20000</v>
      </c>
      <c r="Z222" s="2667">
        <f>Q222*S222*V222</f>
        <v>20000000</v>
      </c>
      <c r="AA222" s="2668"/>
      <c r="AB222" s="347"/>
    </row>
    <row r="223" spans="1:28" s="1675" customFormat="1" ht="22.5" customHeight="1">
      <c r="A223" s="2797"/>
      <c r="B223" s="1145"/>
      <c r="C223" s="470"/>
      <c r="D223" s="2472"/>
      <c r="E223" s="508"/>
      <c r="F223" s="737"/>
      <c r="G223" s="1391"/>
      <c r="H223" s="513"/>
      <c r="I223" s="1164"/>
      <c r="J223" s="514" t="s">
        <v>5871</v>
      </c>
      <c r="K223" s="2798"/>
      <c r="L223" s="2798"/>
      <c r="M223" s="2798"/>
      <c r="N223" s="2798"/>
      <c r="O223" s="2798"/>
      <c r="P223" s="535"/>
      <c r="Q223" s="1385">
        <v>2</v>
      </c>
      <c r="R223" s="1390" t="s">
        <v>2913</v>
      </c>
      <c r="S223" s="1385">
        <v>500000</v>
      </c>
      <c r="T223" s="985" t="s">
        <v>50</v>
      </c>
      <c r="U223" s="515"/>
      <c r="V223" s="1385">
        <v>1</v>
      </c>
      <c r="W223" s="2787" t="s">
        <v>2903</v>
      </c>
      <c r="X223" s="517" t="s">
        <v>1</v>
      </c>
      <c r="Y223" s="724">
        <f t="shared" si="59"/>
        <v>1000</v>
      </c>
      <c r="Z223" s="2667">
        <f>Q223*S223*V223</f>
        <v>1000000</v>
      </c>
      <c r="AA223" s="2668"/>
      <c r="AB223" s="347"/>
    </row>
    <row r="224" spans="1:28" s="1675" customFormat="1" ht="22.5" customHeight="1">
      <c r="A224" s="2797"/>
      <c r="B224" s="1145"/>
      <c r="C224" s="470"/>
      <c r="D224" s="2472"/>
      <c r="E224" s="508"/>
      <c r="F224" s="737"/>
      <c r="G224" s="1391"/>
      <c r="H224" s="513"/>
      <c r="I224" s="1164"/>
      <c r="J224" s="514" t="s">
        <v>5872</v>
      </c>
      <c r="K224" s="2798"/>
      <c r="L224" s="2798"/>
      <c r="M224" s="515"/>
      <c r="N224" s="2798"/>
      <c r="O224" s="2798"/>
      <c r="P224" s="535"/>
      <c r="Q224" s="1385">
        <v>4</v>
      </c>
      <c r="R224" s="1390" t="s">
        <v>2913</v>
      </c>
      <c r="S224" s="1385">
        <v>250000</v>
      </c>
      <c r="T224" s="985" t="s">
        <v>2908</v>
      </c>
      <c r="U224" s="515"/>
      <c r="V224" s="1385">
        <v>5</v>
      </c>
      <c r="W224" s="2787" t="s">
        <v>2903</v>
      </c>
      <c r="X224" s="517" t="s">
        <v>2910</v>
      </c>
      <c r="Y224" s="724">
        <f t="shared" si="59"/>
        <v>5000</v>
      </c>
      <c r="Z224" s="2667">
        <f>Q224*S224*V224</f>
        <v>5000000</v>
      </c>
      <c r="AA224" s="2668"/>
      <c r="AB224" s="347"/>
    </row>
    <row r="225" spans="1:28" s="357" customFormat="1" ht="21.6" customHeight="1">
      <c r="A225" s="2797"/>
      <c r="B225" s="1145"/>
      <c r="C225" s="470"/>
      <c r="D225" s="2472"/>
      <c r="E225" s="508" t="s">
        <v>2914</v>
      </c>
      <c r="F225" s="737">
        <f>Y225</f>
        <v>47500</v>
      </c>
      <c r="G225" s="1391">
        <v>46000</v>
      </c>
      <c r="H225" s="513">
        <f t="shared" si="63"/>
        <v>1500</v>
      </c>
      <c r="I225" s="1164"/>
      <c r="J225" s="514" t="s">
        <v>2915</v>
      </c>
      <c r="K225" s="2798"/>
      <c r="L225" s="2798"/>
      <c r="M225" s="2798"/>
      <c r="N225" s="2798"/>
      <c r="O225" s="2798"/>
      <c r="P225" s="535"/>
      <c r="Q225" s="1385"/>
      <c r="R225" s="1390"/>
      <c r="S225" s="1385"/>
      <c r="T225" s="985"/>
      <c r="U225" s="515"/>
      <c r="V225" s="1385"/>
      <c r="W225" s="2787"/>
      <c r="X225" s="517"/>
      <c r="Y225" s="724">
        <f t="shared" si="59"/>
        <v>47500</v>
      </c>
      <c r="Z225" s="2667">
        <f>SUM(Z226:Z228)</f>
        <v>47500000</v>
      </c>
      <c r="AA225" s="2668"/>
      <c r="AB225" s="358"/>
    </row>
    <row r="226" spans="1:28" s="1675" customFormat="1" ht="21.6" customHeight="1">
      <c r="A226" s="2797"/>
      <c r="B226" s="1145"/>
      <c r="C226" s="470"/>
      <c r="D226" s="2472"/>
      <c r="E226" s="508"/>
      <c r="F226" s="737"/>
      <c r="G226" s="1391"/>
      <c r="H226" s="513"/>
      <c r="I226" s="1164"/>
      <c r="J226" s="514" t="s">
        <v>5873</v>
      </c>
      <c r="K226" s="2798"/>
      <c r="L226" s="2798"/>
      <c r="M226" s="2798"/>
      <c r="N226" s="2798"/>
      <c r="O226" s="2798"/>
      <c r="P226" s="535"/>
      <c r="Q226" s="1385"/>
      <c r="R226" s="1390"/>
      <c r="S226" s="1385">
        <v>30000000</v>
      </c>
      <c r="T226" s="985" t="s">
        <v>50</v>
      </c>
      <c r="U226" s="515"/>
      <c r="V226" s="1385">
        <v>1</v>
      </c>
      <c r="W226" s="2787" t="s">
        <v>2903</v>
      </c>
      <c r="X226" s="517" t="s">
        <v>1</v>
      </c>
      <c r="Y226" s="724">
        <f t="shared" si="59"/>
        <v>30000</v>
      </c>
      <c r="Z226" s="2667">
        <f>S226*V226</f>
        <v>30000000</v>
      </c>
      <c r="AA226" s="2668"/>
      <c r="AB226" s="347"/>
    </row>
    <row r="227" spans="1:28" s="1675" customFormat="1" ht="21.6" customHeight="1">
      <c r="A227" s="2797"/>
      <c r="B227" s="1145"/>
      <c r="C227" s="470"/>
      <c r="D227" s="2472"/>
      <c r="E227" s="508"/>
      <c r="F227" s="737"/>
      <c r="G227" s="1391"/>
      <c r="H227" s="513"/>
      <c r="I227" s="1164"/>
      <c r="J227" s="514" t="s">
        <v>5874</v>
      </c>
      <c r="K227" s="2798"/>
      <c r="L227" s="2798"/>
      <c r="M227" s="2798"/>
      <c r="N227" s="2798"/>
      <c r="O227" s="2798"/>
      <c r="P227" s="535"/>
      <c r="Q227" s="1385"/>
      <c r="R227" s="1390"/>
      <c r="S227" s="1385">
        <v>10000000</v>
      </c>
      <c r="T227" s="985" t="s">
        <v>50</v>
      </c>
      <c r="U227" s="515"/>
      <c r="V227" s="1385">
        <v>1</v>
      </c>
      <c r="W227" s="2787" t="s">
        <v>2903</v>
      </c>
      <c r="X227" s="517" t="s">
        <v>1</v>
      </c>
      <c r="Y227" s="724">
        <f t="shared" si="59"/>
        <v>10000</v>
      </c>
      <c r="Z227" s="2667">
        <f>S227*V227</f>
        <v>10000000</v>
      </c>
      <c r="AA227" s="2668"/>
      <c r="AB227" s="347"/>
    </row>
    <row r="228" spans="1:28" s="1675" customFormat="1" ht="21.6" customHeight="1">
      <c r="A228" s="2797"/>
      <c r="B228" s="1145"/>
      <c r="C228" s="470"/>
      <c r="D228" s="2472"/>
      <c r="E228" s="508"/>
      <c r="F228" s="737"/>
      <c r="G228" s="1391"/>
      <c r="H228" s="513"/>
      <c r="I228" s="1164"/>
      <c r="J228" s="514" t="s">
        <v>5825</v>
      </c>
      <c r="K228" s="2798"/>
      <c r="L228" s="2798"/>
      <c r="M228" s="515"/>
      <c r="N228" s="2798"/>
      <c r="O228" s="2798"/>
      <c r="P228" s="535"/>
      <c r="Q228" s="1385"/>
      <c r="R228" s="1390"/>
      <c r="S228" s="1385">
        <v>2500000</v>
      </c>
      <c r="T228" s="985" t="s">
        <v>50</v>
      </c>
      <c r="U228" s="515"/>
      <c r="V228" s="1385">
        <v>3</v>
      </c>
      <c r="W228" s="2787" t="s">
        <v>2903</v>
      </c>
      <c r="X228" s="517" t="s">
        <v>1</v>
      </c>
      <c r="Y228" s="724">
        <f t="shared" si="59"/>
        <v>7500</v>
      </c>
      <c r="Z228" s="2667">
        <f>S228*V228</f>
        <v>7500000</v>
      </c>
      <c r="AA228" s="2668"/>
      <c r="AB228" s="347"/>
    </row>
    <row r="229" spans="1:28" s="986" customFormat="1" ht="21.6" customHeight="1">
      <c r="A229" s="2797"/>
      <c r="B229" s="1145"/>
      <c r="C229" s="2805"/>
      <c r="D229" s="2467"/>
      <c r="E229" s="508" t="s">
        <v>2917</v>
      </c>
      <c r="F229" s="737">
        <f>Y229</f>
        <v>23000</v>
      </c>
      <c r="G229" s="2475">
        <v>23000</v>
      </c>
      <c r="H229" s="513"/>
      <c r="I229" s="1164"/>
      <c r="J229" s="514" t="s">
        <v>2915</v>
      </c>
      <c r="K229" s="2798"/>
      <c r="L229" s="2798"/>
      <c r="M229" s="2798"/>
      <c r="N229" s="2798"/>
      <c r="O229" s="2798"/>
      <c r="P229" s="535"/>
      <c r="Q229" s="1385"/>
      <c r="R229" s="1390"/>
      <c r="S229" s="1385"/>
      <c r="T229" s="985"/>
      <c r="U229" s="515"/>
      <c r="V229" s="1385"/>
      <c r="W229" s="2787"/>
      <c r="X229" s="517"/>
      <c r="Y229" s="724">
        <f>(Z229)/1000</f>
        <v>23000</v>
      </c>
      <c r="Z229" s="2667">
        <f>SUM(Z230:Z232)</f>
        <v>23000000</v>
      </c>
      <c r="AA229" s="2668"/>
      <c r="AB229" s="321"/>
    </row>
    <row r="230" spans="1:28" s="1675" customFormat="1" ht="21.6" customHeight="1">
      <c r="A230" s="2797"/>
      <c r="B230" s="1145"/>
      <c r="C230" s="470"/>
      <c r="D230" s="2472"/>
      <c r="E230" s="508"/>
      <c r="F230" s="737"/>
      <c r="G230" s="1391"/>
      <c r="H230" s="513"/>
      <c r="I230" s="1164"/>
      <c r="J230" s="514" t="s">
        <v>5875</v>
      </c>
      <c r="K230" s="2798"/>
      <c r="L230" s="2798"/>
      <c r="M230" s="2798"/>
      <c r="N230" s="2798"/>
      <c r="O230" s="2798"/>
      <c r="P230" s="535"/>
      <c r="Q230" s="1385"/>
      <c r="R230" s="1390"/>
      <c r="S230" s="1385">
        <v>1000000</v>
      </c>
      <c r="T230" s="985" t="s">
        <v>50</v>
      </c>
      <c r="U230" s="515"/>
      <c r="V230" s="1385">
        <v>7</v>
      </c>
      <c r="W230" s="2787" t="s">
        <v>2903</v>
      </c>
      <c r="X230" s="517" t="s">
        <v>1</v>
      </c>
      <c r="Y230" s="724">
        <f>(Z230)/1000</f>
        <v>7000</v>
      </c>
      <c r="Z230" s="2667">
        <f>S230*V230</f>
        <v>7000000</v>
      </c>
      <c r="AA230" s="2668"/>
      <c r="AB230" s="347"/>
    </row>
    <row r="231" spans="1:28" s="1675" customFormat="1" ht="21.6" customHeight="1">
      <c r="A231" s="2797"/>
      <c r="B231" s="1145"/>
      <c r="C231" s="470"/>
      <c r="D231" s="2472"/>
      <c r="E231" s="508"/>
      <c r="F231" s="737"/>
      <c r="G231" s="1391"/>
      <c r="H231" s="513"/>
      <c r="I231" s="1164"/>
      <c r="J231" s="514" t="s">
        <v>5876</v>
      </c>
      <c r="K231" s="2798"/>
      <c r="L231" s="2798"/>
      <c r="M231" s="2798"/>
      <c r="N231" s="2798"/>
      <c r="O231" s="2798"/>
      <c r="P231" s="535"/>
      <c r="Q231" s="1385"/>
      <c r="R231" s="1390"/>
      <c r="S231" s="1385">
        <v>1500000</v>
      </c>
      <c r="T231" s="985" t="s">
        <v>50</v>
      </c>
      <c r="U231" s="515"/>
      <c r="V231" s="1385">
        <v>10</v>
      </c>
      <c r="W231" s="2787" t="s">
        <v>2903</v>
      </c>
      <c r="X231" s="517" t="s">
        <v>1</v>
      </c>
      <c r="Y231" s="724">
        <f>(Z231)/1000</f>
        <v>15000</v>
      </c>
      <c r="Z231" s="2667">
        <f>S231*V231</f>
        <v>15000000</v>
      </c>
      <c r="AA231" s="2668"/>
      <c r="AB231" s="347"/>
    </row>
    <row r="232" spans="1:28" s="1675" customFormat="1" ht="21.6" customHeight="1">
      <c r="A232" s="2797"/>
      <c r="B232" s="1145"/>
      <c r="C232" s="470"/>
      <c r="D232" s="2472"/>
      <c r="E232" s="508"/>
      <c r="F232" s="737"/>
      <c r="G232" s="1391"/>
      <c r="H232" s="513"/>
      <c r="I232" s="1164"/>
      <c r="J232" s="514" t="s">
        <v>5877</v>
      </c>
      <c r="K232" s="2798"/>
      <c r="L232" s="2798"/>
      <c r="M232" s="515"/>
      <c r="N232" s="2798"/>
      <c r="O232" s="2798"/>
      <c r="P232" s="535"/>
      <c r="Q232" s="1385"/>
      <c r="R232" s="1390"/>
      <c r="S232" s="1385">
        <v>1000000</v>
      </c>
      <c r="T232" s="985" t="s">
        <v>50</v>
      </c>
      <c r="U232" s="515"/>
      <c r="V232" s="1385">
        <v>1</v>
      </c>
      <c r="W232" s="2787" t="s">
        <v>2903</v>
      </c>
      <c r="X232" s="517" t="s">
        <v>1</v>
      </c>
      <c r="Y232" s="724">
        <f>(Z232)/1000</f>
        <v>1000</v>
      </c>
      <c r="Z232" s="2667">
        <f>S232*V232</f>
        <v>1000000</v>
      </c>
      <c r="AA232" s="2668"/>
      <c r="AB232" s="347"/>
    </row>
    <row r="233" spans="1:28" s="986" customFormat="1" ht="21.6" customHeight="1">
      <c r="A233" s="2797"/>
      <c r="B233" s="1145"/>
      <c r="C233" s="2805"/>
      <c r="D233" s="2467"/>
      <c r="E233" s="508" t="s">
        <v>2911</v>
      </c>
      <c r="F233" s="737">
        <f t="shared" ref="F233" si="64">Y233</f>
        <v>3000</v>
      </c>
      <c r="G233" s="1391">
        <v>2000</v>
      </c>
      <c r="H233" s="513">
        <f t="shared" si="63"/>
        <v>1000</v>
      </c>
      <c r="I233" s="1164"/>
      <c r="J233" s="514" t="s">
        <v>2912</v>
      </c>
      <c r="K233" s="2798"/>
      <c r="L233" s="2798"/>
      <c r="M233" s="2798"/>
      <c r="N233" s="2798"/>
      <c r="O233" s="2798"/>
      <c r="P233" s="535"/>
      <c r="Q233" s="1385">
        <v>10</v>
      </c>
      <c r="R233" s="1390" t="s">
        <v>2905</v>
      </c>
      <c r="S233" s="1385">
        <v>20000</v>
      </c>
      <c r="T233" s="985" t="s">
        <v>50</v>
      </c>
      <c r="U233" s="515"/>
      <c r="V233" s="1385">
        <v>15</v>
      </c>
      <c r="W233" s="2787" t="s">
        <v>2903</v>
      </c>
      <c r="X233" s="517" t="s">
        <v>1</v>
      </c>
      <c r="Y233" s="724">
        <f t="shared" ref="Y233" si="65">(Z233)/1000</f>
        <v>3000</v>
      </c>
      <c r="Z233" s="2667">
        <f t="shared" ref="Z233" si="66">Q233*S233*V233</f>
        <v>3000000</v>
      </c>
      <c r="AA233" s="2668"/>
      <c r="AB233" s="321"/>
    </row>
    <row r="234" spans="1:28" s="986" customFormat="1" ht="21.6" customHeight="1">
      <c r="A234" s="2797"/>
      <c r="B234" s="1145"/>
      <c r="C234" s="2805"/>
      <c r="D234" s="3394" t="s">
        <v>3343</v>
      </c>
      <c r="E234" s="3393"/>
      <c r="F234" s="2477">
        <f>SUM(F235:F240)</f>
        <v>300000</v>
      </c>
      <c r="G234" s="2477">
        <f>SUM(G235:G240)</f>
        <v>300000</v>
      </c>
      <c r="H234" s="2478">
        <f>F234-G234</f>
        <v>0</v>
      </c>
      <c r="I234" s="1164"/>
      <c r="J234" s="1119"/>
      <c r="K234" s="2640"/>
      <c r="L234" s="2640"/>
      <c r="M234" s="2640"/>
      <c r="N234" s="2640"/>
      <c r="O234" s="2640"/>
      <c r="P234" s="731"/>
      <c r="Q234" s="1388"/>
      <c r="R234" s="1389"/>
      <c r="S234" s="1388"/>
      <c r="T234" s="1389"/>
      <c r="U234" s="2379"/>
      <c r="V234" s="1388"/>
      <c r="W234" s="2607"/>
      <c r="X234" s="869"/>
      <c r="Y234" s="2479"/>
      <c r="Z234" s="2665"/>
      <c r="AA234" s="2668"/>
      <c r="AB234" s="321"/>
    </row>
    <row r="235" spans="1:28" s="986" customFormat="1" ht="21.6" customHeight="1">
      <c r="A235" s="2892"/>
      <c r="B235" s="1145"/>
      <c r="C235" s="2904"/>
      <c r="D235" s="1871"/>
      <c r="E235" s="1313" t="s">
        <v>199</v>
      </c>
      <c r="F235" s="1873">
        <f t="shared" ref="F235" si="67">Y235</f>
        <v>96000</v>
      </c>
      <c r="G235" s="497">
        <v>96000</v>
      </c>
      <c r="H235" s="1147"/>
      <c r="I235" s="1127"/>
      <c r="J235" s="514" t="s">
        <v>2907</v>
      </c>
      <c r="K235" s="515"/>
      <c r="L235" s="531"/>
      <c r="M235" s="2894"/>
      <c r="N235" s="2894"/>
      <c r="O235" s="2894"/>
      <c r="P235" s="535"/>
      <c r="Q235" s="1385">
        <v>4</v>
      </c>
      <c r="R235" s="1390" t="s">
        <v>365</v>
      </c>
      <c r="S235" s="1385">
        <v>24000</v>
      </c>
      <c r="T235" s="985" t="s">
        <v>62</v>
      </c>
      <c r="U235" s="515"/>
      <c r="V235" s="1385">
        <v>1000</v>
      </c>
      <c r="W235" s="2880" t="s">
        <v>218</v>
      </c>
      <c r="X235" s="517" t="s">
        <v>266</v>
      </c>
      <c r="Y235" s="724">
        <f t="shared" ref="Y235" si="68">(Z235)/1000</f>
        <v>96000</v>
      </c>
      <c r="Z235" s="2667">
        <f>Q235*S235*V235</f>
        <v>96000000</v>
      </c>
      <c r="AA235" s="2668"/>
      <c r="AB235" s="321"/>
    </row>
    <row r="236" spans="1:28" s="1675" customFormat="1" ht="21.6" customHeight="1">
      <c r="A236" s="2797"/>
      <c r="B236" s="1145"/>
      <c r="C236" s="470"/>
      <c r="D236" s="489"/>
      <c r="E236" s="1126" t="s">
        <v>2133</v>
      </c>
      <c r="F236" s="490">
        <f>Y236</f>
        <v>120000</v>
      </c>
      <c r="G236" s="491">
        <v>120000</v>
      </c>
      <c r="H236" s="1147"/>
      <c r="I236" s="1127"/>
      <c r="J236" s="514" t="s">
        <v>620</v>
      </c>
      <c r="K236" s="2798"/>
      <c r="L236" s="2798"/>
      <c r="M236" s="2798"/>
      <c r="N236" s="2798"/>
      <c r="O236" s="2798"/>
      <c r="P236" s="535"/>
      <c r="Q236" s="1385"/>
      <c r="R236" s="1390"/>
      <c r="S236" s="1385"/>
      <c r="T236" s="985"/>
      <c r="U236" s="515"/>
      <c r="V236" s="1385"/>
      <c r="W236" s="2787"/>
      <c r="X236" s="517"/>
      <c r="Y236" s="724">
        <f>(Z236)/1000</f>
        <v>120000</v>
      </c>
      <c r="Z236" s="2667">
        <f>SUM(Z237:Z238)</f>
        <v>120000000</v>
      </c>
      <c r="AA236" s="2668"/>
      <c r="AB236" s="347"/>
    </row>
    <row r="237" spans="1:28" s="1675" customFormat="1" ht="21.6" customHeight="1">
      <c r="A237" s="2797"/>
      <c r="B237" s="1145"/>
      <c r="C237" s="470"/>
      <c r="D237" s="489"/>
      <c r="E237" s="1126"/>
      <c r="F237" s="490"/>
      <c r="G237" s="491"/>
      <c r="H237" s="1147"/>
      <c r="I237" s="1127"/>
      <c r="J237" s="514" t="s">
        <v>5878</v>
      </c>
      <c r="K237" s="2798"/>
      <c r="L237" s="2798"/>
      <c r="M237" s="2798"/>
      <c r="N237" s="2798"/>
      <c r="O237" s="2798">
        <v>8</v>
      </c>
      <c r="P237" s="535" t="s">
        <v>365</v>
      </c>
      <c r="Q237" s="1385">
        <v>5</v>
      </c>
      <c r="R237" s="1390" t="s">
        <v>33</v>
      </c>
      <c r="S237" s="1385">
        <v>10000</v>
      </c>
      <c r="T237" s="985" t="s">
        <v>343</v>
      </c>
      <c r="U237" s="515"/>
      <c r="V237" s="1385">
        <v>250</v>
      </c>
      <c r="W237" s="2787" t="s">
        <v>1232</v>
      </c>
      <c r="X237" s="517" t="s">
        <v>1</v>
      </c>
      <c r="Y237" s="724">
        <f>(Z237)/1000</f>
        <v>100000</v>
      </c>
      <c r="Z237" s="2667">
        <f>O237*Q237*S237*V237</f>
        <v>100000000</v>
      </c>
      <c r="AA237" s="2668"/>
      <c r="AB237" s="347"/>
    </row>
    <row r="238" spans="1:28" s="357" customFormat="1" ht="21.6" customHeight="1">
      <c r="A238" s="2797"/>
      <c r="B238" s="1145"/>
      <c r="C238" s="470"/>
      <c r="D238" s="489"/>
      <c r="E238" s="1126"/>
      <c r="F238" s="490"/>
      <c r="G238" s="491"/>
      <c r="H238" s="1147"/>
      <c r="I238" s="1127"/>
      <c r="J238" s="514" t="s">
        <v>5879</v>
      </c>
      <c r="K238" s="2798"/>
      <c r="L238" s="2798"/>
      <c r="M238" s="515"/>
      <c r="N238" s="2798"/>
      <c r="O238" s="2798">
        <v>8</v>
      </c>
      <c r="P238" s="535" t="s">
        <v>365</v>
      </c>
      <c r="Q238" s="1385">
        <v>5</v>
      </c>
      <c r="R238" s="1390" t="s">
        <v>33</v>
      </c>
      <c r="S238" s="1385">
        <v>250000</v>
      </c>
      <c r="T238" s="985" t="s">
        <v>343</v>
      </c>
      <c r="U238" s="515"/>
      <c r="V238" s="1385">
        <v>2</v>
      </c>
      <c r="W238" s="2787" t="s">
        <v>567</v>
      </c>
      <c r="X238" s="517" t="s">
        <v>1</v>
      </c>
      <c r="Y238" s="724">
        <f>(Z238)/1000</f>
        <v>20000</v>
      </c>
      <c r="Z238" s="2667">
        <f>O238*Q238*S238*V238</f>
        <v>20000000</v>
      </c>
      <c r="AA238" s="2668"/>
      <c r="AB238" s="358"/>
    </row>
    <row r="239" spans="1:28" s="986" customFormat="1" ht="21.6" customHeight="1">
      <c r="A239" s="2797"/>
      <c r="B239" s="1145"/>
      <c r="C239" s="2805"/>
      <c r="D239" s="1871"/>
      <c r="E239" s="1313" t="s">
        <v>2928</v>
      </c>
      <c r="F239" s="1873">
        <f>Y239</f>
        <v>4000</v>
      </c>
      <c r="G239" s="497">
        <v>4000</v>
      </c>
      <c r="H239" s="1147"/>
      <c r="I239" s="1127"/>
      <c r="J239" s="514" t="s">
        <v>2929</v>
      </c>
      <c r="K239" s="2798"/>
      <c r="L239" s="2798"/>
      <c r="M239" s="2798"/>
      <c r="N239" s="2798"/>
      <c r="O239" s="2798"/>
      <c r="P239" s="535"/>
      <c r="Q239" s="534"/>
      <c r="R239" s="2787"/>
      <c r="S239" s="1385">
        <v>1000000</v>
      </c>
      <c r="T239" s="985" t="s">
        <v>2908</v>
      </c>
      <c r="U239" s="2787"/>
      <c r="V239" s="1385">
        <v>4</v>
      </c>
      <c r="W239" s="2787" t="s">
        <v>2930</v>
      </c>
      <c r="X239" s="517" t="s">
        <v>1</v>
      </c>
      <c r="Y239" s="724">
        <f>(Z239)/1000</f>
        <v>4000</v>
      </c>
      <c r="Z239" s="2667">
        <f>S239*V239</f>
        <v>4000000</v>
      </c>
      <c r="AA239" s="2668"/>
      <c r="AB239" s="321"/>
    </row>
    <row r="240" spans="1:28" s="1675" customFormat="1" ht="21.6" customHeight="1">
      <c r="A240" s="475"/>
      <c r="B240" s="1145"/>
      <c r="C240" s="2805"/>
      <c r="D240" s="1312"/>
      <c r="E240" s="1318" t="s">
        <v>2167</v>
      </c>
      <c r="F240" s="1873">
        <f t="shared" ref="F240" si="69">Y240</f>
        <v>80000</v>
      </c>
      <c r="G240" s="497">
        <v>80000</v>
      </c>
      <c r="H240" s="1147"/>
      <c r="I240" s="1127"/>
      <c r="J240" s="514" t="s">
        <v>2931</v>
      </c>
      <c r="K240" s="2798"/>
      <c r="L240" s="2798"/>
      <c r="M240" s="2798"/>
      <c r="N240" s="2798"/>
      <c r="O240" s="2798"/>
      <c r="P240" s="535"/>
      <c r="Q240" s="534">
        <v>8</v>
      </c>
      <c r="R240" s="2787" t="s">
        <v>2916</v>
      </c>
      <c r="S240" s="1385">
        <v>2000000</v>
      </c>
      <c r="T240" s="985" t="s">
        <v>2908</v>
      </c>
      <c r="U240" s="2787"/>
      <c r="V240" s="1385">
        <v>5</v>
      </c>
      <c r="W240" s="2787" t="s">
        <v>2903</v>
      </c>
      <c r="X240" s="517" t="s">
        <v>1</v>
      </c>
      <c r="Y240" s="724">
        <f>Q240*S240*V240/1000</f>
        <v>80000</v>
      </c>
      <c r="Z240" s="2667"/>
      <c r="AA240" s="2668"/>
      <c r="AB240" s="347"/>
    </row>
    <row r="241" spans="1:28" s="986" customFormat="1" ht="21.6" customHeight="1">
      <c r="A241" s="2797"/>
      <c r="B241" s="1145"/>
      <c r="C241" s="2805"/>
      <c r="D241" s="3387" t="s">
        <v>3344</v>
      </c>
      <c r="E241" s="3388"/>
      <c r="F241" s="488">
        <f>SUM(F242:F244)</f>
        <v>35000</v>
      </c>
      <c r="G241" s="488">
        <f>SUM(G242:G244)</f>
        <v>35000</v>
      </c>
      <c r="H241" s="468">
        <f>F241-G241</f>
        <v>0</v>
      </c>
      <c r="I241" s="1127"/>
      <c r="J241" s="1119"/>
      <c r="K241" s="2640"/>
      <c r="L241" s="2640"/>
      <c r="M241" s="2640"/>
      <c r="N241" s="2640"/>
      <c r="O241" s="2640"/>
      <c r="P241" s="731"/>
      <c r="Q241" s="1388"/>
      <c r="R241" s="1389"/>
      <c r="S241" s="1388"/>
      <c r="T241" s="1389"/>
      <c r="U241" s="2379"/>
      <c r="V241" s="1388"/>
      <c r="W241" s="2607"/>
      <c r="X241" s="869"/>
      <c r="Y241" s="2479"/>
      <c r="Z241" s="2665"/>
      <c r="AA241" s="2668"/>
      <c r="AB241" s="321"/>
    </row>
    <row r="242" spans="1:28" s="1675" customFormat="1" ht="21.6" customHeight="1">
      <c r="A242" s="2797"/>
      <c r="B242" s="1145"/>
      <c r="C242" s="470"/>
      <c r="D242" s="489"/>
      <c r="E242" s="1126" t="s">
        <v>2181</v>
      </c>
      <c r="F242" s="490">
        <f>Y242</f>
        <v>35000</v>
      </c>
      <c r="G242" s="491">
        <v>35000</v>
      </c>
      <c r="H242" s="1147"/>
      <c r="I242" s="1127"/>
      <c r="J242" s="514" t="s">
        <v>2915</v>
      </c>
      <c r="K242" s="2798"/>
      <c r="L242" s="2798"/>
      <c r="M242" s="2798"/>
      <c r="N242" s="2798"/>
      <c r="O242" s="2798"/>
      <c r="P242" s="535"/>
      <c r="Q242" s="1385"/>
      <c r="R242" s="1390"/>
      <c r="S242" s="1385"/>
      <c r="T242" s="985"/>
      <c r="U242" s="515"/>
      <c r="V242" s="1385"/>
      <c r="W242" s="2787"/>
      <c r="X242" s="517"/>
      <c r="Y242" s="724">
        <f>(Z242)/1000</f>
        <v>35000</v>
      </c>
      <c r="Z242" s="2667">
        <f>SUM(Z243:Z244)</f>
        <v>35000000</v>
      </c>
      <c r="AA242" s="2668"/>
      <c r="AB242" s="347"/>
    </row>
    <row r="243" spans="1:28" s="1675" customFormat="1" ht="21.6" customHeight="1">
      <c r="A243" s="2797"/>
      <c r="B243" s="1145"/>
      <c r="C243" s="470"/>
      <c r="D243" s="489"/>
      <c r="E243" s="1126"/>
      <c r="F243" s="490"/>
      <c r="G243" s="491"/>
      <c r="H243" s="1147"/>
      <c r="I243" s="1127"/>
      <c r="J243" s="514" t="s">
        <v>5880</v>
      </c>
      <c r="K243" s="2798"/>
      <c r="L243" s="2798"/>
      <c r="M243" s="2798"/>
      <c r="N243" s="2798"/>
      <c r="O243" s="2798"/>
      <c r="P243" s="535"/>
      <c r="Q243" s="1385">
        <v>2</v>
      </c>
      <c r="R243" s="1390" t="s">
        <v>2916</v>
      </c>
      <c r="S243" s="1385">
        <v>30000</v>
      </c>
      <c r="T243" s="985" t="s">
        <v>2921</v>
      </c>
      <c r="U243" s="515"/>
      <c r="V243" s="1385">
        <v>500</v>
      </c>
      <c r="W243" s="2787" t="s">
        <v>2909</v>
      </c>
      <c r="X243" s="517" t="s">
        <v>1</v>
      </c>
      <c r="Y243" s="724">
        <f>(Z243)/1000</f>
        <v>30000</v>
      </c>
      <c r="Z243" s="2667">
        <f>Q243*S243*V243</f>
        <v>30000000</v>
      </c>
      <c r="AA243" s="2668"/>
      <c r="AB243" s="347"/>
    </row>
    <row r="244" spans="1:28" s="357" customFormat="1" ht="21.6" customHeight="1">
      <c r="A244" s="2797"/>
      <c r="B244" s="1145"/>
      <c r="C244" s="470"/>
      <c r="D244" s="489"/>
      <c r="E244" s="1126"/>
      <c r="F244" s="490"/>
      <c r="G244" s="491"/>
      <c r="H244" s="1147"/>
      <c r="I244" s="1127"/>
      <c r="J244" s="514" t="s">
        <v>5881</v>
      </c>
      <c r="K244" s="2798"/>
      <c r="L244" s="2798"/>
      <c r="M244" s="515"/>
      <c r="N244" s="2798"/>
      <c r="O244" s="2798"/>
      <c r="P244" s="535"/>
      <c r="Q244" s="1385">
        <v>4</v>
      </c>
      <c r="R244" s="1390" t="s">
        <v>2916</v>
      </c>
      <c r="S244" s="1385">
        <v>25000</v>
      </c>
      <c r="T244" s="985" t="s">
        <v>2921</v>
      </c>
      <c r="U244" s="515"/>
      <c r="V244" s="1385">
        <v>50</v>
      </c>
      <c r="W244" s="2787" t="s">
        <v>2909</v>
      </c>
      <c r="X244" s="517" t="s">
        <v>1</v>
      </c>
      <c r="Y244" s="724">
        <f>(Z244)/1000</f>
        <v>5000</v>
      </c>
      <c r="Z244" s="2667">
        <f>Q244*S244*V244</f>
        <v>5000000</v>
      </c>
      <c r="AA244" s="2668"/>
      <c r="AB244" s="358"/>
    </row>
    <row r="245" spans="1:28" s="986" customFormat="1" ht="21.6" customHeight="1">
      <c r="A245" s="2797"/>
      <c r="B245" s="1145"/>
      <c r="C245" s="2805"/>
      <c r="D245" s="3387" t="s">
        <v>2182</v>
      </c>
      <c r="E245" s="3388"/>
      <c r="F245" s="488">
        <f>SUM(F246:F250)</f>
        <v>50000</v>
      </c>
      <c r="G245" s="488">
        <f>SUM(G246:G250)</f>
        <v>50000</v>
      </c>
      <c r="H245" s="468">
        <f>F245-G245</f>
        <v>0</v>
      </c>
      <c r="I245" s="1127"/>
      <c r="J245" s="394"/>
      <c r="K245" s="2896"/>
      <c r="L245" s="2896"/>
      <c r="M245" s="2896"/>
      <c r="N245" s="2896"/>
      <c r="O245" s="2896"/>
      <c r="P245" s="484"/>
      <c r="Q245" s="487"/>
      <c r="R245" s="486"/>
      <c r="S245" s="487"/>
      <c r="T245" s="486"/>
      <c r="U245" s="1146"/>
      <c r="V245" s="487"/>
      <c r="W245" s="2876"/>
      <c r="X245" s="430"/>
      <c r="Y245" s="439"/>
      <c r="Z245" s="401"/>
      <c r="AA245" s="321"/>
      <c r="AB245" s="321"/>
    </row>
    <row r="246" spans="1:28" s="1675" customFormat="1" ht="21.6" customHeight="1">
      <c r="A246" s="2797"/>
      <c r="B246" s="1145"/>
      <c r="C246" s="470"/>
      <c r="D246" s="489"/>
      <c r="E246" s="508" t="s">
        <v>224</v>
      </c>
      <c r="F246" s="737">
        <f t="shared" ref="F246:F250" si="70">Y246</f>
        <v>0</v>
      </c>
      <c r="G246" s="1391">
        <v>200</v>
      </c>
      <c r="H246" s="513">
        <f t="shared" ref="H246" si="71">F246-G246</f>
        <v>-200</v>
      </c>
      <c r="I246" s="1164"/>
      <c r="J246" s="514" t="s">
        <v>5307</v>
      </c>
      <c r="K246" s="515"/>
      <c r="L246" s="531"/>
      <c r="M246" s="2894"/>
      <c r="N246" s="2894"/>
      <c r="O246" s="2894"/>
      <c r="P246" s="535"/>
      <c r="Q246" s="1385"/>
      <c r="R246" s="1390"/>
      <c r="S246" s="1385"/>
      <c r="T246" s="985"/>
      <c r="U246" s="515"/>
      <c r="V246" s="1385"/>
      <c r="W246" s="2880"/>
      <c r="X246" s="517"/>
      <c r="Y246" s="724"/>
      <c r="Z246" s="2667">
        <f>S246*V246</f>
        <v>0</v>
      </c>
      <c r="AA246" s="321"/>
      <c r="AB246" s="347"/>
    </row>
    <row r="247" spans="1:28" s="1675" customFormat="1" ht="21.6" customHeight="1">
      <c r="A247" s="475"/>
      <c r="B247" s="1145"/>
      <c r="C247" s="2805"/>
      <c r="D247" s="1312"/>
      <c r="E247" s="2471" t="s">
        <v>426</v>
      </c>
      <c r="F247" s="737">
        <f t="shared" si="70"/>
        <v>1000</v>
      </c>
      <c r="G247" s="2475">
        <v>1200</v>
      </c>
      <c r="H247" s="513">
        <f>F247-G247</f>
        <v>-200</v>
      </c>
      <c r="I247" s="1164"/>
      <c r="J247" s="514" t="s">
        <v>2918</v>
      </c>
      <c r="K247" s="2894"/>
      <c r="L247" s="2894"/>
      <c r="M247" s="2894"/>
      <c r="N247" s="2894"/>
      <c r="O247" s="2894"/>
      <c r="P247" s="535"/>
      <c r="Q247" s="534">
        <v>2</v>
      </c>
      <c r="R247" s="2880" t="s">
        <v>605</v>
      </c>
      <c r="S247" s="1385">
        <v>50000</v>
      </c>
      <c r="T247" s="985" t="s">
        <v>62</v>
      </c>
      <c r="U247" s="2880"/>
      <c r="V247" s="1385">
        <v>10</v>
      </c>
      <c r="W247" s="2880" t="s">
        <v>567</v>
      </c>
      <c r="X247" s="517" t="s">
        <v>1</v>
      </c>
      <c r="Y247" s="724">
        <f t="shared" ref="Y247:Y250" si="72">(Z247)/1000</f>
        <v>1000</v>
      </c>
      <c r="Z247" s="2667">
        <f>Q247*S247*V247</f>
        <v>1000000</v>
      </c>
      <c r="AA247" s="321"/>
      <c r="AB247" s="347"/>
    </row>
    <row r="248" spans="1:28" s="986" customFormat="1" ht="21.6" customHeight="1">
      <c r="A248" s="2797"/>
      <c r="B248" s="1145"/>
      <c r="C248" s="2805"/>
      <c r="D248" s="1871"/>
      <c r="E248" s="2471" t="s">
        <v>213</v>
      </c>
      <c r="F248" s="737">
        <f t="shared" si="70"/>
        <v>47000</v>
      </c>
      <c r="G248" s="1391">
        <v>45000</v>
      </c>
      <c r="H248" s="513">
        <f t="shared" ref="H248:H250" si="73">F248-G248</f>
        <v>2000</v>
      </c>
      <c r="I248" s="1164"/>
      <c r="J248" s="514" t="s">
        <v>2183</v>
      </c>
      <c r="K248" s="2894"/>
      <c r="L248" s="2894"/>
      <c r="M248" s="2894"/>
      <c r="N248" s="2894"/>
      <c r="O248" s="2894"/>
      <c r="P248" s="535"/>
      <c r="Q248" s="534"/>
      <c r="R248" s="2880"/>
      <c r="S248" s="1385">
        <v>10000</v>
      </c>
      <c r="T248" s="985" t="s">
        <v>62</v>
      </c>
      <c r="U248" s="2880"/>
      <c r="V248" s="1385">
        <v>4700</v>
      </c>
      <c r="W248" s="2880" t="s">
        <v>363</v>
      </c>
      <c r="X248" s="517" t="s">
        <v>1</v>
      </c>
      <c r="Y248" s="724">
        <f>(Z248)/1000</f>
        <v>47000</v>
      </c>
      <c r="Z248" s="2667">
        <f>S248*V248</f>
        <v>47000000</v>
      </c>
      <c r="AA248" s="321"/>
      <c r="AB248" s="321"/>
    </row>
    <row r="249" spans="1:28" s="986" customFormat="1" ht="21.6" customHeight="1">
      <c r="A249" s="2797"/>
      <c r="B249" s="1145"/>
      <c r="C249" s="2805"/>
      <c r="D249" s="1871"/>
      <c r="E249" s="508" t="s">
        <v>958</v>
      </c>
      <c r="F249" s="737">
        <f t="shared" si="70"/>
        <v>1000</v>
      </c>
      <c r="G249" s="2475">
        <v>2400</v>
      </c>
      <c r="H249" s="513">
        <f t="shared" si="73"/>
        <v>-1400</v>
      </c>
      <c r="I249" s="1164"/>
      <c r="J249" s="514" t="s">
        <v>5308</v>
      </c>
      <c r="K249" s="2894"/>
      <c r="L249" s="2894"/>
      <c r="M249" s="2894"/>
      <c r="N249" s="2894"/>
      <c r="O249" s="2894"/>
      <c r="P249" s="535"/>
      <c r="Q249" s="1385"/>
      <c r="R249" s="1390"/>
      <c r="S249" s="1385">
        <v>250000</v>
      </c>
      <c r="T249" s="985" t="s">
        <v>50</v>
      </c>
      <c r="U249" s="515"/>
      <c r="V249" s="1385">
        <v>4</v>
      </c>
      <c r="W249" s="2880" t="s">
        <v>2903</v>
      </c>
      <c r="X249" s="517" t="s">
        <v>1</v>
      </c>
      <c r="Y249" s="724">
        <f t="shared" si="72"/>
        <v>1000</v>
      </c>
      <c r="Z249" s="2667">
        <f>S249*V249</f>
        <v>1000000</v>
      </c>
      <c r="AA249" s="321"/>
      <c r="AB249" s="321"/>
    </row>
    <row r="250" spans="1:28" ht="21.6" customHeight="1">
      <c r="A250" s="2797"/>
      <c r="B250" s="1145"/>
      <c r="C250" s="2805"/>
      <c r="D250" s="1871"/>
      <c r="E250" s="2471" t="s">
        <v>211</v>
      </c>
      <c r="F250" s="737">
        <f t="shared" si="70"/>
        <v>1000</v>
      </c>
      <c r="G250" s="2475">
        <v>1200</v>
      </c>
      <c r="H250" s="513">
        <f t="shared" si="73"/>
        <v>-200</v>
      </c>
      <c r="I250" s="1164"/>
      <c r="J250" s="514" t="s">
        <v>5309</v>
      </c>
      <c r="K250" s="2894"/>
      <c r="L250" s="2894"/>
      <c r="M250" s="2894"/>
      <c r="N250" s="2894"/>
      <c r="O250" s="2894"/>
      <c r="P250" s="535"/>
      <c r="Q250" s="534"/>
      <c r="R250" s="2880"/>
      <c r="S250" s="1385">
        <v>200000</v>
      </c>
      <c r="T250" s="985" t="s">
        <v>2908</v>
      </c>
      <c r="U250" s="2880"/>
      <c r="V250" s="1385">
        <v>5</v>
      </c>
      <c r="W250" s="2880" t="s">
        <v>2903</v>
      </c>
      <c r="X250" s="517" t="s">
        <v>1</v>
      </c>
      <c r="Y250" s="724">
        <f t="shared" si="72"/>
        <v>1000</v>
      </c>
      <c r="Z250" s="2667">
        <f>S250*V250</f>
        <v>1000000</v>
      </c>
    </row>
    <row r="251" spans="1:28" s="986" customFormat="1" ht="21.6" customHeight="1">
      <c r="A251" s="2797"/>
      <c r="B251" s="1145"/>
      <c r="C251" s="2805"/>
      <c r="D251" s="3387" t="s">
        <v>2184</v>
      </c>
      <c r="E251" s="3388"/>
      <c r="F251" s="488">
        <f>SUM(F252:F267)</f>
        <v>130000</v>
      </c>
      <c r="G251" s="488">
        <f>SUM(G252:G267)</f>
        <v>130000</v>
      </c>
      <c r="H251" s="468">
        <f>F251-G251</f>
        <v>0</v>
      </c>
      <c r="I251" s="1127"/>
      <c r="J251" s="394"/>
      <c r="K251" s="2799"/>
      <c r="L251" s="2799"/>
      <c r="M251" s="2799"/>
      <c r="N251" s="2799"/>
      <c r="O251" s="2799"/>
      <c r="P251" s="484"/>
      <c r="Q251" s="487"/>
      <c r="R251" s="486"/>
      <c r="S251" s="487"/>
      <c r="T251" s="486"/>
      <c r="U251" s="1146"/>
      <c r="V251" s="487"/>
      <c r="W251" s="2784"/>
      <c r="X251" s="430"/>
      <c r="Y251" s="439"/>
      <c r="Z251" s="401"/>
      <c r="AA251" s="321"/>
      <c r="AB251" s="321"/>
    </row>
    <row r="252" spans="1:28" s="1675" customFormat="1" ht="21.6" customHeight="1">
      <c r="A252" s="2797"/>
      <c r="B252" s="1145"/>
      <c r="C252" s="470"/>
      <c r="D252" s="489"/>
      <c r="E252" s="1126" t="s">
        <v>2178</v>
      </c>
      <c r="F252" s="490">
        <f>Y252</f>
        <v>16500</v>
      </c>
      <c r="G252" s="491">
        <v>16500</v>
      </c>
      <c r="H252" s="1147"/>
      <c r="I252" s="1127"/>
      <c r="J252" s="2802" t="s">
        <v>2173</v>
      </c>
      <c r="K252" s="2357"/>
      <c r="L252" s="2357"/>
      <c r="M252" s="2357"/>
      <c r="N252" s="2357"/>
      <c r="O252" s="2357"/>
      <c r="P252" s="1128"/>
      <c r="Q252" s="492"/>
      <c r="R252" s="493"/>
      <c r="S252" s="492"/>
      <c r="T252" s="344"/>
      <c r="V252" s="492"/>
      <c r="W252" s="2800"/>
      <c r="X252" s="1140"/>
      <c r="Y252" s="406">
        <f t="shared" ref="Y252:Y267" si="74">(Z252)/1000</f>
        <v>16500</v>
      </c>
      <c r="Z252" s="1716">
        <f>SUM(Z253:Z254)</f>
        <v>16500000</v>
      </c>
      <c r="AA252" s="321"/>
      <c r="AB252" s="347"/>
    </row>
    <row r="253" spans="1:28" s="1675" customFormat="1" ht="21.6" customHeight="1">
      <c r="A253" s="2797"/>
      <c r="B253" s="1145"/>
      <c r="C253" s="470"/>
      <c r="D253" s="489"/>
      <c r="E253" s="1126"/>
      <c r="F253" s="490"/>
      <c r="G253" s="491"/>
      <c r="H253" s="1147"/>
      <c r="I253" s="1127"/>
      <c r="J253" s="2899" t="s">
        <v>4809</v>
      </c>
      <c r="K253" s="2357"/>
      <c r="L253" s="2357"/>
      <c r="M253" s="2357"/>
      <c r="N253" s="2357"/>
      <c r="O253" s="2357"/>
      <c r="P253" s="1128"/>
      <c r="Q253" s="492">
        <v>1</v>
      </c>
      <c r="R253" s="493" t="s">
        <v>1732</v>
      </c>
      <c r="S253" s="492">
        <v>3000000</v>
      </c>
      <c r="T253" s="344" t="s">
        <v>2023</v>
      </c>
      <c r="V253" s="492">
        <v>5</v>
      </c>
      <c r="W253" s="2800" t="s">
        <v>1955</v>
      </c>
      <c r="X253" s="1140" t="s">
        <v>1</v>
      </c>
      <c r="Y253" s="406">
        <f t="shared" si="74"/>
        <v>15000</v>
      </c>
      <c r="Z253" s="1716">
        <f>Q253*S253*V253</f>
        <v>15000000</v>
      </c>
      <c r="AA253" s="321"/>
      <c r="AB253" s="347"/>
    </row>
    <row r="254" spans="1:28" s="357" customFormat="1" ht="21.6" customHeight="1">
      <c r="A254" s="2797"/>
      <c r="B254" s="1145"/>
      <c r="C254" s="470"/>
      <c r="D254" s="489"/>
      <c r="E254" s="1126"/>
      <c r="F254" s="490"/>
      <c r="G254" s="491"/>
      <c r="H254" s="1147"/>
      <c r="I254" s="1127"/>
      <c r="J254" s="2899" t="s">
        <v>5820</v>
      </c>
      <c r="K254" s="2357"/>
      <c r="L254" s="2357"/>
      <c r="M254" s="1675"/>
      <c r="N254" s="2357"/>
      <c r="O254" s="2357"/>
      <c r="P254" s="1128"/>
      <c r="Q254" s="492"/>
      <c r="R254" s="493"/>
      <c r="S254" s="492">
        <f>Z253</f>
        <v>15000000</v>
      </c>
      <c r="T254" s="344" t="s">
        <v>2023</v>
      </c>
      <c r="U254" s="1675"/>
      <c r="V254" s="492">
        <v>10</v>
      </c>
      <c r="W254" s="2800" t="s">
        <v>2179</v>
      </c>
      <c r="X254" s="1140" t="s">
        <v>1747</v>
      </c>
      <c r="Y254" s="406">
        <f t="shared" si="74"/>
        <v>1500</v>
      </c>
      <c r="Z254" s="1716">
        <f>(S254*V254)/100</f>
        <v>1500000</v>
      </c>
      <c r="AA254" s="321"/>
      <c r="AB254" s="358"/>
    </row>
    <row r="255" spans="1:28" s="986" customFormat="1" ht="21.6" customHeight="1">
      <c r="A255" s="2892"/>
      <c r="B255" s="1145"/>
      <c r="C255" s="2904"/>
      <c r="D255" s="1871"/>
      <c r="E255" s="1313" t="s">
        <v>199</v>
      </c>
      <c r="F255" s="490">
        <f>Y255</f>
        <v>40000</v>
      </c>
      <c r="G255" s="497">
        <v>40000</v>
      </c>
      <c r="H255" s="1147"/>
      <c r="I255" s="1127"/>
      <c r="J255" s="2899" t="s">
        <v>2185</v>
      </c>
      <c r="K255" s="1675"/>
      <c r="L255" s="525"/>
      <c r="M255" s="2357"/>
      <c r="N255" s="2357"/>
      <c r="O255" s="2357"/>
      <c r="P255" s="1128"/>
      <c r="Q255" s="492"/>
      <c r="R255" s="493"/>
      <c r="S255" s="492">
        <v>4000</v>
      </c>
      <c r="T255" s="344" t="s">
        <v>62</v>
      </c>
      <c r="U255" s="1675"/>
      <c r="V255" s="492">
        <v>10000</v>
      </c>
      <c r="W255" s="2889" t="s">
        <v>218</v>
      </c>
      <c r="X255" s="1140" t="s">
        <v>266</v>
      </c>
      <c r="Y255" s="406">
        <f t="shared" ref="Y255:Y258" si="75">(Z255)/1000</f>
        <v>40000</v>
      </c>
      <c r="Z255" s="1716">
        <f>S255*V255</f>
        <v>40000000</v>
      </c>
      <c r="AA255" s="321"/>
      <c r="AB255" s="321"/>
    </row>
    <row r="256" spans="1:28" s="986" customFormat="1" ht="21.6" customHeight="1">
      <c r="A256" s="2892"/>
      <c r="B256" s="1145"/>
      <c r="C256" s="2904"/>
      <c r="D256" s="1871"/>
      <c r="E256" s="1313"/>
      <c r="F256" s="490"/>
      <c r="G256" s="497"/>
      <c r="H256" s="1147"/>
      <c r="I256" s="1127"/>
      <c r="J256" s="2899" t="s">
        <v>5821</v>
      </c>
      <c r="K256" s="2357"/>
      <c r="L256" s="2357"/>
      <c r="M256" s="2357"/>
      <c r="N256" s="2357"/>
      <c r="O256" s="2357"/>
      <c r="P256" s="1128"/>
      <c r="Q256" s="492">
        <v>1</v>
      </c>
      <c r="R256" s="493" t="s">
        <v>365</v>
      </c>
      <c r="S256" s="492">
        <v>2800</v>
      </c>
      <c r="T256" s="344" t="s">
        <v>62</v>
      </c>
      <c r="U256" s="1675"/>
      <c r="V256" s="492">
        <v>20000</v>
      </c>
      <c r="W256" s="2889" t="s">
        <v>218</v>
      </c>
      <c r="X256" s="1140" t="s">
        <v>266</v>
      </c>
      <c r="Y256" s="406">
        <f t="shared" si="75"/>
        <v>56000</v>
      </c>
      <c r="Z256" s="1716">
        <f t="shared" ref="Z256:Z257" si="76">Q256*S256*V256</f>
        <v>56000000</v>
      </c>
      <c r="AA256" s="321"/>
      <c r="AB256" s="321"/>
    </row>
    <row r="257" spans="1:28" s="986" customFormat="1" ht="21.6" customHeight="1">
      <c r="A257" s="2892"/>
      <c r="B257" s="1145"/>
      <c r="C257" s="2904"/>
      <c r="D257" s="1871"/>
      <c r="E257" s="1313"/>
      <c r="F257" s="490"/>
      <c r="G257" s="497"/>
      <c r="H257" s="1147"/>
      <c r="I257" s="1127"/>
      <c r="J257" s="2899" t="s">
        <v>5822</v>
      </c>
      <c r="K257" s="2357"/>
      <c r="L257" s="2357"/>
      <c r="M257" s="2357"/>
      <c r="N257" s="2357"/>
      <c r="O257" s="2357"/>
      <c r="P257" s="1128"/>
      <c r="Q257" s="492">
        <v>1</v>
      </c>
      <c r="R257" s="493" t="s">
        <v>365</v>
      </c>
      <c r="S257" s="492">
        <v>2800</v>
      </c>
      <c r="T257" s="344" t="s">
        <v>62</v>
      </c>
      <c r="U257" s="1675"/>
      <c r="V257" s="492">
        <v>20000</v>
      </c>
      <c r="W257" s="2889" t="s">
        <v>218</v>
      </c>
      <c r="X257" s="1140" t="s">
        <v>266</v>
      </c>
      <c r="Y257" s="406">
        <f t="shared" si="75"/>
        <v>56000</v>
      </c>
      <c r="Z257" s="1716">
        <f t="shared" si="76"/>
        <v>56000000</v>
      </c>
      <c r="AA257" s="321"/>
      <c r="AB257" s="321"/>
    </row>
    <row r="258" spans="1:28" s="1675" customFormat="1" ht="21.6" customHeight="1">
      <c r="A258" s="475"/>
      <c r="B258" s="1145"/>
      <c r="C258" s="2904"/>
      <c r="D258" s="1312"/>
      <c r="E258" s="1313" t="s">
        <v>950</v>
      </c>
      <c r="F258" s="1873">
        <f>Y258</f>
        <v>500</v>
      </c>
      <c r="G258" s="497">
        <v>500</v>
      </c>
      <c r="H258" s="513"/>
      <c r="I258" s="1127"/>
      <c r="J258" s="2899" t="s">
        <v>2176</v>
      </c>
      <c r="K258" s="2357"/>
      <c r="L258" s="2357"/>
      <c r="M258" s="2357"/>
      <c r="N258" s="2357"/>
      <c r="O258" s="2357"/>
      <c r="P258" s="1128"/>
      <c r="Q258" s="372"/>
      <c r="R258" s="2889"/>
      <c r="S258" s="492">
        <v>500000</v>
      </c>
      <c r="T258" s="344" t="s">
        <v>62</v>
      </c>
      <c r="U258" s="2889"/>
      <c r="V258" s="492">
        <v>1</v>
      </c>
      <c r="W258" s="2889" t="s">
        <v>265</v>
      </c>
      <c r="X258" s="1140" t="s">
        <v>1</v>
      </c>
      <c r="Y258" s="406">
        <f t="shared" si="75"/>
        <v>500</v>
      </c>
      <c r="Z258" s="1716">
        <f>S258*V258</f>
        <v>500000</v>
      </c>
      <c r="AA258" s="321"/>
      <c r="AB258" s="347"/>
    </row>
    <row r="259" spans="1:28" s="986" customFormat="1" ht="21.6" customHeight="1">
      <c r="A259" s="2892"/>
      <c r="B259" s="1145"/>
      <c r="C259" s="2904"/>
      <c r="D259" s="1871"/>
      <c r="E259" s="1313" t="s">
        <v>426</v>
      </c>
      <c r="F259" s="490">
        <f>Y259</f>
        <v>1000</v>
      </c>
      <c r="G259" s="497">
        <v>1000</v>
      </c>
      <c r="H259" s="513"/>
      <c r="I259" s="1127"/>
      <c r="J259" s="2899" t="s">
        <v>2166</v>
      </c>
      <c r="K259" s="2357"/>
      <c r="L259" s="2357"/>
      <c r="M259" s="2357"/>
      <c r="N259" s="2357"/>
      <c r="O259" s="2357"/>
      <c r="P259" s="1128"/>
      <c r="Q259" s="372">
        <v>1</v>
      </c>
      <c r="R259" s="2889" t="s">
        <v>605</v>
      </c>
      <c r="S259" s="492">
        <v>200000</v>
      </c>
      <c r="T259" s="344" t="s">
        <v>62</v>
      </c>
      <c r="U259" s="2889"/>
      <c r="V259" s="492">
        <v>5</v>
      </c>
      <c r="W259" s="2889" t="s">
        <v>49</v>
      </c>
      <c r="X259" s="1140" t="s">
        <v>1</v>
      </c>
      <c r="Y259" s="406">
        <f>(Z259)/1000</f>
        <v>1000</v>
      </c>
      <c r="Z259" s="1716">
        <f>Q259*S259*V259</f>
        <v>1000000</v>
      </c>
      <c r="AA259" s="321"/>
      <c r="AB259" s="321"/>
    </row>
    <row r="260" spans="1:28" s="1675" customFormat="1" ht="21.6" customHeight="1">
      <c r="A260" s="2797"/>
      <c r="B260" s="1145"/>
      <c r="C260" s="470"/>
      <c r="D260" s="489"/>
      <c r="E260" s="1126" t="s">
        <v>2133</v>
      </c>
      <c r="F260" s="490">
        <f>Y260</f>
        <v>27000</v>
      </c>
      <c r="G260" s="491">
        <v>27000</v>
      </c>
      <c r="H260" s="1147"/>
      <c r="I260" s="1127"/>
      <c r="J260" s="2802" t="s">
        <v>2173</v>
      </c>
      <c r="K260" s="2357"/>
      <c r="L260" s="2357"/>
      <c r="M260" s="2357"/>
      <c r="N260" s="2357"/>
      <c r="O260" s="2357"/>
      <c r="P260" s="1128"/>
      <c r="Q260" s="492"/>
      <c r="R260" s="493"/>
      <c r="S260" s="492"/>
      <c r="T260" s="344"/>
      <c r="V260" s="492"/>
      <c r="W260" s="2800"/>
      <c r="X260" s="1140"/>
      <c r="Y260" s="406">
        <f t="shared" si="74"/>
        <v>27000</v>
      </c>
      <c r="Z260" s="1716">
        <f>SUM(Z261:Z262)</f>
        <v>27000000</v>
      </c>
      <c r="AA260" s="321"/>
      <c r="AB260" s="347"/>
    </row>
    <row r="261" spans="1:28" s="1675" customFormat="1" ht="22.5" customHeight="1">
      <c r="A261" s="2797"/>
      <c r="B261" s="1145"/>
      <c r="C261" s="470"/>
      <c r="D261" s="489"/>
      <c r="E261" s="1126"/>
      <c r="F261" s="490"/>
      <c r="G261" s="491"/>
      <c r="H261" s="1147"/>
      <c r="I261" s="1127"/>
      <c r="J261" s="2899" t="s">
        <v>5823</v>
      </c>
      <c r="K261" s="2357"/>
      <c r="L261" s="2357"/>
      <c r="M261" s="2357"/>
      <c r="N261" s="2357"/>
      <c r="O261" s="2357"/>
      <c r="P261" s="1128"/>
      <c r="Q261" s="492">
        <v>50</v>
      </c>
      <c r="R261" s="493" t="s">
        <v>1732</v>
      </c>
      <c r="S261" s="492">
        <v>10000</v>
      </c>
      <c r="T261" s="344" t="s">
        <v>50</v>
      </c>
      <c r="V261" s="492">
        <v>50</v>
      </c>
      <c r="W261" s="2800" t="s">
        <v>2180</v>
      </c>
      <c r="X261" s="1140" t="s">
        <v>1</v>
      </c>
      <c r="Y261" s="406">
        <f t="shared" si="74"/>
        <v>25000</v>
      </c>
      <c r="Z261" s="1716">
        <f>Q261*S261*V261</f>
        <v>25000000</v>
      </c>
      <c r="AA261" s="321"/>
      <c r="AB261" s="347"/>
    </row>
    <row r="262" spans="1:28" s="357" customFormat="1" ht="22.5" customHeight="1">
      <c r="A262" s="2797"/>
      <c r="B262" s="1145"/>
      <c r="C262" s="470"/>
      <c r="D262" s="489"/>
      <c r="E262" s="1126"/>
      <c r="F262" s="490"/>
      <c r="G262" s="491"/>
      <c r="H262" s="1147"/>
      <c r="I262" s="1127"/>
      <c r="J262" s="2899" t="s">
        <v>4224</v>
      </c>
      <c r="K262" s="2357"/>
      <c r="L262" s="2357"/>
      <c r="M262" s="1675"/>
      <c r="N262" s="2357"/>
      <c r="O262" s="2357"/>
      <c r="P262" s="1128"/>
      <c r="Q262" s="492">
        <v>4</v>
      </c>
      <c r="R262" s="493" t="s">
        <v>1732</v>
      </c>
      <c r="S262" s="492">
        <v>250000</v>
      </c>
      <c r="T262" s="344" t="s">
        <v>2023</v>
      </c>
      <c r="U262" s="1675"/>
      <c r="V262" s="492">
        <v>2</v>
      </c>
      <c r="W262" s="2800" t="s">
        <v>1725</v>
      </c>
      <c r="X262" s="1140" t="s">
        <v>1747</v>
      </c>
      <c r="Y262" s="406">
        <f t="shared" si="74"/>
        <v>2000</v>
      </c>
      <c r="Z262" s="1716">
        <f>Q262*S262*V262</f>
        <v>2000000</v>
      </c>
      <c r="AA262" s="321"/>
      <c r="AB262" s="358"/>
    </row>
    <row r="263" spans="1:28" s="1675" customFormat="1" ht="23.45" customHeight="1">
      <c r="A263" s="2797"/>
      <c r="B263" s="1145"/>
      <c r="C263" s="470"/>
      <c r="D263" s="489"/>
      <c r="E263" s="1126" t="s">
        <v>1736</v>
      </c>
      <c r="F263" s="490">
        <f>Y263</f>
        <v>44000</v>
      </c>
      <c r="G263" s="491">
        <v>44000</v>
      </c>
      <c r="H263" s="1147"/>
      <c r="I263" s="1127"/>
      <c r="J263" s="2802" t="s">
        <v>2173</v>
      </c>
      <c r="K263" s="2357"/>
      <c r="L263" s="2357"/>
      <c r="M263" s="2357"/>
      <c r="N263" s="2357"/>
      <c r="O263" s="2357"/>
      <c r="P263" s="1128"/>
      <c r="Q263" s="492"/>
      <c r="R263" s="493"/>
      <c r="S263" s="492"/>
      <c r="T263" s="344"/>
      <c r="V263" s="492"/>
      <c r="W263" s="2800"/>
      <c r="X263" s="1140"/>
      <c r="Y263" s="406">
        <f t="shared" si="74"/>
        <v>44000</v>
      </c>
      <c r="Z263" s="1716">
        <f>SUM(Z264:Z266)</f>
        <v>44000000</v>
      </c>
      <c r="AA263" s="321"/>
      <c r="AB263" s="347"/>
    </row>
    <row r="264" spans="1:28" s="1675" customFormat="1" ht="23.45" customHeight="1">
      <c r="A264" s="2797"/>
      <c r="B264" s="1145"/>
      <c r="C264" s="470"/>
      <c r="D264" s="489"/>
      <c r="E264" s="1126"/>
      <c r="F264" s="490"/>
      <c r="G264" s="491"/>
      <c r="H264" s="1147"/>
      <c r="I264" s="1127"/>
      <c r="J264" s="2899" t="s">
        <v>5824</v>
      </c>
      <c r="K264" s="2357"/>
      <c r="L264" s="2357"/>
      <c r="M264" s="2357"/>
      <c r="N264" s="2357"/>
      <c r="O264" s="2357"/>
      <c r="P264" s="1128"/>
      <c r="Q264" s="492"/>
      <c r="R264" s="493"/>
      <c r="S264" s="492">
        <v>30000000</v>
      </c>
      <c r="T264" s="344" t="s">
        <v>50</v>
      </c>
      <c r="V264" s="492">
        <v>1</v>
      </c>
      <c r="W264" s="2800" t="s">
        <v>1725</v>
      </c>
      <c r="X264" s="1140" t="s">
        <v>1</v>
      </c>
      <c r="Y264" s="406">
        <f t="shared" si="74"/>
        <v>30000</v>
      </c>
      <c r="Z264" s="1716">
        <f>S264*V264</f>
        <v>30000000</v>
      </c>
      <c r="AA264" s="321"/>
      <c r="AB264" s="347"/>
    </row>
    <row r="265" spans="1:28" s="1675" customFormat="1" ht="23.45" customHeight="1">
      <c r="A265" s="2797"/>
      <c r="B265" s="1145"/>
      <c r="C265" s="470"/>
      <c r="D265" s="489"/>
      <c r="E265" s="1126"/>
      <c r="F265" s="490"/>
      <c r="G265" s="491"/>
      <c r="H265" s="1147"/>
      <c r="I265" s="1127"/>
      <c r="J265" s="2899" t="s">
        <v>5826</v>
      </c>
      <c r="K265" s="2357"/>
      <c r="L265" s="2357"/>
      <c r="M265" s="2357"/>
      <c r="N265" s="2357"/>
      <c r="O265" s="2357"/>
      <c r="P265" s="1128"/>
      <c r="Q265" s="492"/>
      <c r="R265" s="493"/>
      <c r="S265" s="492">
        <v>11000000</v>
      </c>
      <c r="T265" s="344" t="s">
        <v>50</v>
      </c>
      <c r="V265" s="492">
        <v>1</v>
      </c>
      <c r="W265" s="2800" t="s">
        <v>1725</v>
      </c>
      <c r="X265" s="1140" t="s">
        <v>1</v>
      </c>
      <c r="Y265" s="406">
        <f t="shared" si="74"/>
        <v>11000</v>
      </c>
      <c r="Z265" s="1716">
        <f>S265*V265</f>
        <v>11000000</v>
      </c>
      <c r="AA265" s="321"/>
      <c r="AB265" s="347"/>
    </row>
    <row r="266" spans="1:28" s="357" customFormat="1" ht="23.45" customHeight="1">
      <c r="A266" s="2797"/>
      <c r="B266" s="1145"/>
      <c r="C266" s="470"/>
      <c r="D266" s="489"/>
      <c r="E266" s="1126"/>
      <c r="F266" s="490"/>
      <c r="G266" s="491"/>
      <c r="H266" s="1147"/>
      <c r="I266" s="1127"/>
      <c r="J266" s="2899" t="s">
        <v>5825</v>
      </c>
      <c r="K266" s="2357"/>
      <c r="L266" s="2357"/>
      <c r="M266" s="1675"/>
      <c r="N266" s="2357"/>
      <c r="O266" s="2357"/>
      <c r="P266" s="1128"/>
      <c r="Q266" s="492"/>
      <c r="R266" s="493"/>
      <c r="S266" s="492">
        <v>1500000</v>
      </c>
      <c r="T266" s="344" t="s">
        <v>50</v>
      </c>
      <c r="U266" s="1675"/>
      <c r="V266" s="492">
        <v>2</v>
      </c>
      <c r="W266" s="2800" t="s">
        <v>1725</v>
      </c>
      <c r="X266" s="1140" t="s">
        <v>1</v>
      </c>
      <c r="Y266" s="406">
        <f t="shared" si="74"/>
        <v>3000</v>
      </c>
      <c r="Z266" s="1716">
        <f>S266*V266</f>
        <v>3000000</v>
      </c>
      <c r="AA266" s="321"/>
      <c r="AB266" s="358"/>
    </row>
    <row r="267" spans="1:28" s="986" customFormat="1" ht="23.45" customHeight="1">
      <c r="A267" s="2797"/>
      <c r="B267" s="1145"/>
      <c r="C267" s="2805"/>
      <c r="D267" s="1871"/>
      <c r="E267" s="1126" t="s">
        <v>2174</v>
      </c>
      <c r="F267" s="490">
        <f t="shared" ref="F267" si="77">Y267</f>
        <v>1000</v>
      </c>
      <c r="G267" s="491">
        <v>1000</v>
      </c>
      <c r="H267" s="1147"/>
      <c r="I267" s="1127"/>
      <c r="J267" s="2802" t="s">
        <v>2175</v>
      </c>
      <c r="K267" s="2357"/>
      <c r="L267" s="2357"/>
      <c r="M267" s="2357"/>
      <c r="N267" s="2357"/>
      <c r="O267" s="2357"/>
      <c r="P267" s="1128"/>
      <c r="Q267" s="492">
        <v>10</v>
      </c>
      <c r="R267" s="493" t="s">
        <v>2165</v>
      </c>
      <c r="S267" s="492">
        <v>20000</v>
      </c>
      <c r="T267" s="344" t="s">
        <v>50</v>
      </c>
      <c r="U267" s="1675"/>
      <c r="V267" s="492">
        <v>5</v>
      </c>
      <c r="W267" s="2800" t="s">
        <v>1725</v>
      </c>
      <c r="X267" s="1140" t="s">
        <v>1</v>
      </c>
      <c r="Y267" s="406">
        <f t="shared" si="74"/>
        <v>1000</v>
      </c>
      <c r="Z267" s="1716">
        <f t="shared" ref="Z267" si="78">Q267*S267*V267</f>
        <v>1000000</v>
      </c>
      <c r="AA267" s="321"/>
      <c r="AB267" s="321"/>
    </row>
    <row r="268" spans="1:28" s="1675" customFormat="1" ht="23.45" customHeight="1">
      <c r="A268" s="475"/>
      <c r="B268" s="471"/>
      <c r="C268" s="437"/>
      <c r="D268" s="3392" t="s">
        <v>2920</v>
      </c>
      <c r="E268" s="3393"/>
      <c r="F268" s="2477">
        <f>SUM(F269:F283)</f>
        <v>80000</v>
      </c>
      <c r="G268" s="2477">
        <f>SUM(G269:G283)</f>
        <v>80000</v>
      </c>
      <c r="H268" s="2478">
        <f>F268-G268</f>
        <v>0</v>
      </c>
      <c r="I268" s="1164"/>
      <c r="J268" s="889"/>
      <c r="K268" s="2640"/>
      <c r="L268" s="2640"/>
      <c r="M268" s="2640"/>
      <c r="N268" s="2640"/>
      <c r="O268" s="2640"/>
      <c r="P268" s="731"/>
      <c r="Q268" s="736"/>
      <c r="R268" s="2912"/>
      <c r="S268" s="1388"/>
      <c r="T268" s="2995"/>
      <c r="U268" s="2912"/>
      <c r="V268" s="1388"/>
      <c r="W268" s="2912"/>
      <c r="X268" s="891"/>
      <c r="Y268" s="2996"/>
      <c r="Z268" s="675"/>
      <c r="AA268" s="321"/>
      <c r="AB268" s="347"/>
    </row>
    <row r="269" spans="1:28" s="1675" customFormat="1" ht="23.45" customHeight="1">
      <c r="A269" s="475"/>
      <c r="B269" s="471"/>
      <c r="C269" s="437"/>
      <c r="D269" s="2468"/>
      <c r="E269" s="1134" t="s">
        <v>5317</v>
      </c>
      <c r="F269" s="2997">
        <f>Y269</f>
        <v>3600</v>
      </c>
      <c r="G269" s="2994">
        <v>1000</v>
      </c>
      <c r="H269" s="700">
        <f t="shared" ref="H269" si="79">F269-G269</f>
        <v>2600</v>
      </c>
      <c r="I269" s="1164"/>
      <c r="J269" s="2899" t="s">
        <v>5219</v>
      </c>
      <c r="K269" s="2889"/>
      <c r="L269" s="2889"/>
      <c r="M269" s="2889"/>
      <c r="N269" s="2889"/>
      <c r="O269" s="2889"/>
      <c r="P269" s="2889"/>
      <c r="Q269" s="2900"/>
      <c r="R269" s="2900"/>
      <c r="S269" s="1673"/>
      <c r="T269" s="2900"/>
      <c r="U269" s="2900"/>
      <c r="V269" s="2900"/>
      <c r="W269" s="2900"/>
      <c r="X269" s="1140"/>
      <c r="Y269" s="406">
        <f>Z269/1000</f>
        <v>3600</v>
      </c>
      <c r="Z269" s="675">
        <f>Z270+Z271</f>
        <v>3600000</v>
      </c>
      <c r="AA269" s="321"/>
      <c r="AB269" s="347"/>
    </row>
    <row r="270" spans="1:28" s="1675" customFormat="1" ht="23.45" customHeight="1">
      <c r="A270" s="475"/>
      <c r="B270" s="471"/>
      <c r="C270" s="437"/>
      <c r="D270" s="2469"/>
      <c r="E270" s="1134"/>
      <c r="F270" s="2997"/>
      <c r="G270" s="2994"/>
      <c r="H270" s="700"/>
      <c r="I270" s="1164"/>
      <c r="J270" s="2899" t="s">
        <v>2425</v>
      </c>
      <c r="K270" s="2357"/>
      <c r="L270" s="2357"/>
      <c r="M270" s="2889"/>
      <c r="N270" s="2889"/>
      <c r="O270" s="2889"/>
      <c r="P270" s="2889"/>
      <c r="Q270" s="2900"/>
      <c r="R270" s="2900"/>
      <c r="S270" s="1673">
        <v>600000</v>
      </c>
      <c r="T270" s="2900" t="s">
        <v>5216</v>
      </c>
      <c r="U270" s="2900"/>
      <c r="V270" s="2900">
        <v>1</v>
      </c>
      <c r="W270" s="2900" t="s">
        <v>5221</v>
      </c>
      <c r="X270" s="1140" t="s">
        <v>5218</v>
      </c>
      <c r="Y270" s="406">
        <v>600</v>
      </c>
      <c r="Z270" s="675">
        <f>S270*V270</f>
        <v>600000</v>
      </c>
      <c r="AA270" s="321"/>
      <c r="AB270" s="347"/>
    </row>
    <row r="271" spans="1:28" s="1675" customFormat="1" ht="23.45" customHeight="1">
      <c r="A271" s="475"/>
      <c r="B271" s="471"/>
      <c r="C271" s="437"/>
      <c r="D271" s="2469"/>
      <c r="E271" s="1134"/>
      <c r="F271" s="2997"/>
      <c r="G271" s="2994"/>
      <c r="H271" s="700"/>
      <c r="I271" s="1164"/>
      <c r="J271" s="2899" t="s">
        <v>5828</v>
      </c>
      <c r="K271" s="2357"/>
      <c r="L271" s="2357"/>
      <c r="M271" s="2889"/>
      <c r="N271" s="2889"/>
      <c r="O271" s="2889"/>
      <c r="P271" s="2889"/>
      <c r="Q271" s="2900"/>
      <c r="R271" s="2900"/>
      <c r="S271" s="1673">
        <v>1500000</v>
      </c>
      <c r="T271" s="2900" t="s">
        <v>5216</v>
      </c>
      <c r="U271" s="2900"/>
      <c r="V271" s="2900">
        <v>2</v>
      </c>
      <c r="W271" s="2900" t="s">
        <v>5221</v>
      </c>
      <c r="X271" s="1140" t="s">
        <v>5218</v>
      </c>
      <c r="Y271" s="406">
        <v>3000</v>
      </c>
      <c r="Z271" s="675">
        <f>S271*V271</f>
        <v>3000000</v>
      </c>
      <c r="AA271" s="321"/>
      <c r="AB271" s="347"/>
    </row>
    <row r="272" spans="1:28" s="1675" customFormat="1" ht="23.45" customHeight="1">
      <c r="A272" s="475"/>
      <c r="B272" s="471"/>
      <c r="C272" s="437"/>
      <c r="D272" s="2469"/>
      <c r="E272" s="1134" t="s">
        <v>5318</v>
      </c>
      <c r="F272" s="2997">
        <f>Y272</f>
        <v>100</v>
      </c>
      <c r="G272" s="2994">
        <v>1100</v>
      </c>
      <c r="H272" s="700">
        <f>F272-G272</f>
        <v>-1000</v>
      </c>
      <c r="I272" s="1164"/>
      <c r="J272" s="2899" t="s">
        <v>5320</v>
      </c>
      <c r="K272" s="2889"/>
      <c r="L272" s="2889"/>
      <c r="M272" s="2889"/>
      <c r="N272" s="2889"/>
      <c r="O272" s="2889"/>
      <c r="P272" s="2889"/>
      <c r="Q272" s="2889"/>
      <c r="R272" s="405"/>
      <c r="S272" s="1673">
        <v>100000</v>
      </c>
      <c r="T272" s="2900" t="s">
        <v>5216</v>
      </c>
      <c r="U272" s="2900"/>
      <c r="V272" s="2900">
        <v>1</v>
      </c>
      <c r="W272" s="2900" t="s">
        <v>5221</v>
      </c>
      <c r="X272" s="1140" t="s">
        <v>5218</v>
      </c>
      <c r="Y272" s="406">
        <v>100</v>
      </c>
      <c r="Z272" s="675">
        <f>S272*V272</f>
        <v>100000</v>
      </c>
      <c r="AA272" s="321"/>
      <c r="AB272" s="347"/>
    </row>
    <row r="273" spans="1:28" s="1675" customFormat="1" ht="23.45" customHeight="1">
      <c r="A273" s="475"/>
      <c r="B273" s="471"/>
      <c r="C273" s="437"/>
      <c r="D273" s="2469"/>
      <c r="E273" s="1134" t="s">
        <v>5249</v>
      </c>
      <c r="F273" s="2997">
        <f>Y273</f>
        <v>900</v>
      </c>
      <c r="G273" s="2994">
        <v>900</v>
      </c>
      <c r="H273" s="700"/>
      <c r="I273" s="1164"/>
      <c r="J273" s="1670" t="s">
        <v>5321</v>
      </c>
      <c r="K273" s="2889"/>
      <c r="L273" s="2889"/>
      <c r="M273" s="2889"/>
      <c r="N273" s="2889"/>
      <c r="O273" s="2889"/>
      <c r="P273" s="2889"/>
      <c r="Q273" s="2900">
        <v>2</v>
      </c>
      <c r="R273" s="2900" t="s">
        <v>5227</v>
      </c>
      <c r="S273" s="2900">
        <v>15000</v>
      </c>
      <c r="T273" s="2900" t="s">
        <v>5216</v>
      </c>
      <c r="U273" s="2900"/>
      <c r="V273" s="2900">
        <v>30</v>
      </c>
      <c r="W273" s="2900" t="s">
        <v>5221</v>
      </c>
      <c r="X273" s="1140" t="s">
        <v>5218</v>
      </c>
      <c r="Y273" s="406">
        <v>900</v>
      </c>
      <c r="Z273" s="2667">
        <f>Q273*S273*V273</f>
        <v>900000</v>
      </c>
      <c r="AA273" s="321"/>
      <c r="AB273" s="347"/>
    </row>
    <row r="274" spans="1:28" s="1675" customFormat="1" ht="23.45" customHeight="1">
      <c r="A274" s="475"/>
      <c r="B274" s="471"/>
      <c r="C274" s="437"/>
      <c r="D274" s="2998"/>
      <c r="E274" s="1134" t="s">
        <v>5251</v>
      </c>
      <c r="F274" s="2997">
        <f>Y274</f>
        <v>11600</v>
      </c>
      <c r="G274" s="2475">
        <v>2000</v>
      </c>
      <c r="H274" s="700">
        <f t="shared" ref="H274:H279" si="80">F274-G274</f>
        <v>9600</v>
      </c>
      <c r="I274" s="1164"/>
      <c r="J274" s="1328" t="s">
        <v>5316</v>
      </c>
      <c r="K274" s="1328"/>
      <c r="L274" s="1328"/>
      <c r="M274" s="1328"/>
      <c r="N274" s="2889"/>
      <c r="O274" s="2889"/>
      <c r="P274" s="2889"/>
      <c r="Q274" s="2900"/>
      <c r="R274" s="2900"/>
      <c r="S274" s="1673"/>
      <c r="T274" s="2900"/>
      <c r="U274" s="2900"/>
      <c r="V274" s="2900"/>
      <c r="W274" s="2900"/>
      <c r="X274" s="1140"/>
      <c r="Y274" s="406">
        <f>Z274/1000</f>
        <v>11600</v>
      </c>
      <c r="Z274" s="2667">
        <f>Z275+Z276+Z277</f>
        <v>11600000</v>
      </c>
      <c r="AA274" s="321"/>
      <c r="AB274" s="347"/>
    </row>
    <row r="275" spans="1:28" s="1675" customFormat="1" ht="23.45" customHeight="1">
      <c r="A275" s="475"/>
      <c r="B275" s="471"/>
      <c r="C275" s="437"/>
      <c r="D275" s="2998"/>
      <c r="E275" s="1134"/>
      <c r="F275" s="2480"/>
      <c r="G275" s="2475"/>
      <c r="H275" s="700"/>
      <c r="I275" s="1164"/>
      <c r="J275" s="2899" t="s">
        <v>3495</v>
      </c>
      <c r="K275" s="2357"/>
      <c r="L275" s="2357"/>
      <c r="M275" s="2357"/>
      <c r="N275" s="2889"/>
      <c r="O275" s="2889"/>
      <c r="P275" s="2889"/>
      <c r="Q275" s="2900">
        <v>5</v>
      </c>
      <c r="R275" s="2900" t="s">
        <v>5227</v>
      </c>
      <c r="S275" s="1673">
        <v>10000</v>
      </c>
      <c r="T275" s="2900" t="s">
        <v>5216</v>
      </c>
      <c r="U275" s="2900"/>
      <c r="V275" s="2900">
        <v>200</v>
      </c>
      <c r="W275" s="2900" t="s">
        <v>5224</v>
      </c>
      <c r="X275" s="1140" t="s">
        <v>5218</v>
      </c>
      <c r="Y275" s="406">
        <v>10000</v>
      </c>
      <c r="Z275" s="2667">
        <f>Q275*S275*V275</f>
        <v>10000000</v>
      </c>
      <c r="AA275" s="321"/>
      <c r="AB275" s="347"/>
    </row>
    <row r="276" spans="1:28" s="1675" customFormat="1" ht="23.45" customHeight="1">
      <c r="A276" s="475"/>
      <c r="B276" s="471"/>
      <c r="C276" s="437"/>
      <c r="D276" s="2998"/>
      <c r="E276" s="1134"/>
      <c r="F276" s="2480"/>
      <c r="G276" s="2475"/>
      <c r="H276" s="700"/>
      <c r="I276" s="1164"/>
      <c r="J276" s="2899" t="s">
        <v>5176</v>
      </c>
      <c r="K276" s="2357"/>
      <c r="L276" s="2357"/>
      <c r="M276" s="2357"/>
      <c r="N276" s="2889"/>
      <c r="O276" s="2889"/>
      <c r="P276" s="2889"/>
      <c r="Q276" s="2900">
        <v>1</v>
      </c>
      <c r="R276" s="2900" t="s">
        <v>5227</v>
      </c>
      <c r="S276" s="1673">
        <v>10000</v>
      </c>
      <c r="T276" s="2900" t="s">
        <v>5216</v>
      </c>
      <c r="U276" s="2900"/>
      <c r="V276" s="2900">
        <v>40</v>
      </c>
      <c r="W276" s="2900" t="s">
        <v>5224</v>
      </c>
      <c r="X276" s="1140" t="s">
        <v>5218</v>
      </c>
      <c r="Y276" s="406">
        <v>400</v>
      </c>
      <c r="Z276" s="2667">
        <f t="shared" ref="Z276:Z277" si="81">Q276*S276*V276</f>
        <v>400000</v>
      </c>
      <c r="AA276" s="321"/>
      <c r="AB276" s="347"/>
    </row>
    <row r="277" spans="1:28" s="1675" customFormat="1" ht="23.45" customHeight="1">
      <c r="A277" s="475"/>
      <c r="B277" s="471"/>
      <c r="C277" s="437"/>
      <c r="D277" s="2998"/>
      <c r="E277" s="1134"/>
      <c r="F277" s="2480"/>
      <c r="G277" s="2475"/>
      <c r="H277" s="700"/>
      <c r="I277" s="1164"/>
      <c r="J277" s="2899" t="s">
        <v>5827</v>
      </c>
      <c r="K277" s="2357"/>
      <c r="L277" s="2357"/>
      <c r="M277" s="2357"/>
      <c r="N277" s="2889"/>
      <c r="O277" s="2889"/>
      <c r="P277" s="2889"/>
      <c r="Q277" s="2900">
        <v>2</v>
      </c>
      <c r="R277" s="2900" t="s">
        <v>5227</v>
      </c>
      <c r="S277" s="1673">
        <v>200000</v>
      </c>
      <c r="T277" s="2900" t="s">
        <v>5216</v>
      </c>
      <c r="U277" s="2900"/>
      <c r="V277" s="2900">
        <v>3</v>
      </c>
      <c r="W277" s="2900" t="s">
        <v>5221</v>
      </c>
      <c r="X277" s="1140" t="s">
        <v>5218</v>
      </c>
      <c r="Y277" s="406">
        <v>1200</v>
      </c>
      <c r="Z277" s="2667">
        <f t="shared" si="81"/>
        <v>1200000</v>
      </c>
      <c r="AA277" s="321"/>
      <c r="AB277" s="347"/>
    </row>
    <row r="278" spans="1:28" s="1675" customFormat="1" ht="23.45" customHeight="1">
      <c r="A278" s="475"/>
      <c r="B278" s="471"/>
      <c r="C278" s="437"/>
      <c r="D278" s="2998"/>
      <c r="E278" s="1134" t="s">
        <v>5250</v>
      </c>
      <c r="F278" s="2997">
        <f>Y278</f>
        <v>9800</v>
      </c>
      <c r="G278" s="2475">
        <v>20000</v>
      </c>
      <c r="H278" s="700">
        <f t="shared" si="80"/>
        <v>-10200</v>
      </c>
      <c r="I278" s="1164"/>
      <c r="J278" s="1670" t="s">
        <v>5322</v>
      </c>
      <c r="K278" s="2889"/>
      <c r="L278" s="2889"/>
      <c r="M278" s="2889"/>
      <c r="N278" s="2889"/>
      <c r="O278" s="2889"/>
      <c r="P278" s="2889"/>
      <c r="Q278" s="2900"/>
      <c r="R278" s="2900"/>
      <c r="S278" s="2900">
        <v>4900000</v>
      </c>
      <c r="T278" s="2900" t="s">
        <v>5216</v>
      </c>
      <c r="U278" s="2900"/>
      <c r="V278" s="2900">
        <v>2</v>
      </c>
      <c r="W278" s="2900" t="s">
        <v>5221</v>
      </c>
      <c r="X278" s="1140" t="s">
        <v>5218</v>
      </c>
      <c r="Y278" s="406">
        <v>9800</v>
      </c>
      <c r="Z278" s="2667">
        <f>S278*V278</f>
        <v>9800000</v>
      </c>
      <c r="AA278" s="321"/>
      <c r="AB278" s="347"/>
    </row>
    <row r="279" spans="1:28" s="1675" customFormat="1" ht="23.45" customHeight="1">
      <c r="A279" s="475"/>
      <c r="B279" s="471"/>
      <c r="C279" s="437"/>
      <c r="D279" s="2998"/>
      <c r="E279" s="1134" t="s">
        <v>5319</v>
      </c>
      <c r="F279" s="2480">
        <f>-Y279</f>
        <v>0</v>
      </c>
      <c r="G279" s="2475">
        <v>1000</v>
      </c>
      <c r="H279" s="700">
        <f t="shared" si="80"/>
        <v>-1000</v>
      </c>
      <c r="I279" s="1164"/>
      <c r="J279" s="1670" t="s">
        <v>5323</v>
      </c>
      <c r="K279" s="2889"/>
      <c r="L279" s="2889"/>
      <c r="M279" s="2889"/>
      <c r="N279" s="2889"/>
      <c r="O279" s="2889"/>
      <c r="P279" s="2889"/>
      <c r="Q279" s="2900"/>
      <c r="R279" s="2900"/>
      <c r="S279" s="2900"/>
      <c r="T279" s="2900"/>
      <c r="U279" s="2900"/>
      <c r="V279" s="2900"/>
      <c r="W279" s="2900"/>
      <c r="X279" s="1140"/>
      <c r="Y279" s="406"/>
      <c r="Z279" s="2667"/>
      <c r="AA279" s="321"/>
      <c r="AB279" s="347"/>
    </row>
    <row r="280" spans="1:28" s="1675" customFormat="1" ht="23.45" customHeight="1">
      <c r="A280" s="475"/>
      <c r="B280" s="471"/>
      <c r="C280" s="437"/>
      <c r="D280" s="2998"/>
      <c r="E280" s="1134" t="s">
        <v>5252</v>
      </c>
      <c r="F280" s="2997">
        <f>Y280</f>
        <v>53000</v>
      </c>
      <c r="G280" s="2475">
        <v>53000</v>
      </c>
      <c r="H280" s="700"/>
      <c r="I280" s="1164"/>
      <c r="J280" s="2899" t="s">
        <v>5316</v>
      </c>
      <c r="K280" s="2889"/>
      <c r="L280" s="2889"/>
      <c r="M280" s="2889"/>
      <c r="N280" s="2889"/>
      <c r="O280" s="2889"/>
      <c r="P280" s="2889"/>
      <c r="Q280" s="2900"/>
      <c r="R280" s="2900"/>
      <c r="S280" s="2900"/>
      <c r="T280" s="2900"/>
      <c r="U280" s="2900"/>
      <c r="V280" s="2900"/>
      <c r="W280" s="2900"/>
      <c r="X280" s="1140"/>
      <c r="Y280" s="406">
        <f>Z280/1000</f>
        <v>53000</v>
      </c>
      <c r="Z280" s="2667">
        <f>Z281+Z282</f>
        <v>53000000</v>
      </c>
      <c r="AA280" s="321"/>
      <c r="AB280" s="347"/>
    </row>
    <row r="281" spans="1:28" s="1675" customFormat="1" ht="23.45" customHeight="1">
      <c r="A281" s="475"/>
      <c r="B281" s="471"/>
      <c r="C281" s="437"/>
      <c r="D281" s="2998"/>
      <c r="E281" s="1134"/>
      <c r="F281" s="2480"/>
      <c r="G281" s="2475"/>
      <c r="H281" s="700"/>
      <c r="I281" s="1164"/>
      <c r="J281" s="2899" t="s">
        <v>5829</v>
      </c>
      <c r="K281" s="2357"/>
      <c r="L281" s="2357"/>
      <c r="M281" s="2889"/>
      <c r="N281" s="2889"/>
      <c r="O281" s="2889"/>
      <c r="P281" s="2889"/>
      <c r="Q281" s="2889"/>
      <c r="R281" s="405"/>
      <c r="S281" s="1672">
        <v>10000000</v>
      </c>
      <c r="T281" s="2900" t="s">
        <v>5216</v>
      </c>
      <c r="U281" s="2900"/>
      <c r="V281" s="2900">
        <v>5</v>
      </c>
      <c r="W281" s="2900" t="s">
        <v>5221</v>
      </c>
      <c r="X281" s="1140" t="s">
        <v>5218</v>
      </c>
      <c r="Y281" s="406">
        <v>50000</v>
      </c>
      <c r="Z281" s="2667">
        <f>S281*V281</f>
        <v>50000000</v>
      </c>
      <c r="AA281" s="321"/>
      <c r="AB281" s="347"/>
    </row>
    <row r="282" spans="1:28" s="1675" customFormat="1" ht="23.45" customHeight="1">
      <c r="A282" s="475"/>
      <c r="B282" s="471"/>
      <c r="C282" s="437"/>
      <c r="D282" s="2998"/>
      <c r="E282" s="1134"/>
      <c r="F282" s="2480"/>
      <c r="G282" s="2475"/>
      <c r="H282" s="700"/>
      <c r="I282" s="1164"/>
      <c r="J282" s="2899" t="s">
        <v>5830</v>
      </c>
      <c r="K282" s="2357"/>
      <c r="L282" s="2357"/>
      <c r="M282" s="2889"/>
      <c r="N282" s="2889"/>
      <c r="O282" s="2889"/>
      <c r="P282" s="2889"/>
      <c r="Q282" s="2900"/>
      <c r="R282" s="2900"/>
      <c r="S282" s="1673">
        <v>1000000</v>
      </c>
      <c r="T282" s="2900" t="s">
        <v>5216</v>
      </c>
      <c r="U282" s="2900"/>
      <c r="V282" s="2900">
        <v>3</v>
      </c>
      <c r="W282" s="2900" t="s">
        <v>5221</v>
      </c>
      <c r="X282" s="1140" t="s">
        <v>5218</v>
      </c>
      <c r="Y282" s="406">
        <v>3000</v>
      </c>
      <c r="Z282" s="2667">
        <f>S282*V282</f>
        <v>3000000</v>
      </c>
      <c r="AA282" s="321"/>
      <c r="AB282" s="347"/>
    </row>
    <row r="283" spans="1:28" s="1675" customFormat="1" ht="23.45" customHeight="1">
      <c r="A283" s="475"/>
      <c r="B283" s="471"/>
      <c r="C283" s="437"/>
      <c r="D283" s="2998"/>
      <c r="E283" s="1134" t="s">
        <v>5253</v>
      </c>
      <c r="F283" s="2997">
        <f>Y283</f>
        <v>1000</v>
      </c>
      <c r="G283" s="2475">
        <v>1000</v>
      </c>
      <c r="H283" s="700"/>
      <c r="I283" s="1164"/>
      <c r="J283" s="1670" t="s">
        <v>5324</v>
      </c>
      <c r="K283" s="2889"/>
      <c r="L283" s="2889"/>
      <c r="M283" s="2889"/>
      <c r="N283" s="2889"/>
      <c r="O283" s="2889"/>
      <c r="P283" s="2889"/>
      <c r="Q283" s="368">
        <v>10</v>
      </c>
      <c r="R283" s="1325" t="s">
        <v>5227</v>
      </c>
      <c r="S283" s="458">
        <v>20000</v>
      </c>
      <c r="T283" s="459" t="s">
        <v>5216</v>
      </c>
      <c r="U283" s="459"/>
      <c r="V283" s="459">
        <v>5</v>
      </c>
      <c r="W283" s="459" t="s">
        <v>5221</v>
      </c>
      <c r="X283" s="460" t="s">
        <v>5218</v>
      </c>
      <c r="Y283" s="549">
        <v>1000</v>
      </c>
      <c r="Z283" s="2999">
        <f>S283*V283</f>
        <v>100000</v>
      </c>
      <c r="AA283" s="321"/>
      <c r="AB283" s="347"/>
    </row>
    <row r="284" spans="1:28" s="1675" customFormat="1" ht="23.45" customHeight="1">
      <c r="A284" s="475"/>
      <c r="B284" s="471"/>
      <c r="C284" s="437"/>
      <c r="D284" s="3394" t="s">
        <v>3345</v>
      </c>
      <c r="E284" s="3393"/>
      <c r="F284" s="1394">
        <f>SUM(F285:F294)</f>
        <v>20000</v>
      </c>
      <c r="G284" s="1394">
        <f>SUM(G285:G294)</f>
        <v>20000</v>
      </c>
      <c r="H284" s="2493">
        <f t="shared" ref="H284" si="82">F284-G284</f>
        <v>0</v>
      </c>
      <c r="I284" s="1164"/>
      <c r="J284" s="889"/>
      <c r="K284" s="2640"/>
      <c r="L284" s="2640"/>
      <c r="M284" s="2640"/>
      <c r="N284" s="2640"/>
      <c r="O284" s="2640"/>
      <c r="P284" s="731"/>
      <c r="Q284" s="2506"/>
      <c r="R284" s="2410"/>
      <c r="S284" s="2911"/>
      <c r="T284" s="2508"/>
      <c r="U284" s="2410"/>
      <c r="V284" s="2911"/>
      <c r="W284" s="2410"/>
      <c r="X284" s="1152"/>
      <c r="Y284" s="2773"/>
      <c r="Z284" s="675"/>
      <c r="AA284" s="321"/>
      <c r="AB284" s="347"/>
    </row>
    <row r="285" spans="1:28" s="1675" customFormat="1" ht="23.45" customHeight="1">
      <c r="A285" s="475"/>
      <c r="B285" s="471"/>
      <c r="C285" s="437"/>
      <c r="D285" s="2467"/>
      <c r="E285" s="2471" t="s">
        <v>199</v>
      </c>
      <c r="F285" s="2480">
        <f t="shared" ref="F285:F288" si="83">Y285</f>
        <v>7500</v>
      </c>
      <c r="G285" s="2475">
        <v>7500</v>
      </c>
      <c r="H285" s="513"/>
      <c r="I285" s="1164"/>
      <c r="J285" s="514" t="s">
        <v>5747</v>
      </c>
      <c r="K285" s="515"/>
      <c r="L285" s="531"/>
      <c r="M285" s="2894"/>
      <c r="N285" s="2894"/>
      <c r="O285" s="2894"/>
      <c r="P285" s="535"/>
      <c r="Q285" s="1385"/>
      <c r="R285" s="1390"/>
      <c r="S285" s="1385">
        <v>25000</v>
      </c>
      <c r="T285" s="985" t="s">
        <v>62</v>
      </c>
      <c r="U285" s="515"/>
      <c r="V285" s="1385">
        <v>300</v>
      </c>
      <c r="W285" s="2880" t="s">
        <v>218</v>
      </c>
      <c r="X285" s="517" t="s">
        <v>266</v>
      </c>
      <c r="Y285" s="724">
        <f t="shared" ref="Y285:Y286" si="84">(Z285)/1000</f>
        <v>7500</v>
      </c>
      <c r="Z285" s="2667">
        <f>S285*V285</f>
        <v>7500000</v>
      </c>
      <c r="AA285" s="321"/>
      <c r="AB285" s="347"/>
    </row>
    <row r="286" spans="1:28" s="1675" customFormat="1" ht="23.45" customHeight="1">
      <c r="A286" s="475"/>
      <c r="B286" s="471"/>
      <c r="C286" s="437"/>
      <c r="D286" s="2470" t="s">
        <v>2927</v>
      </c>
      <c r="E286" s="2471" t="s">
        <v>950</v>
      </c>
      <c r="F286" s="2480">
        <f t="shared" si="83"/>
        <v>270</v>
      </c>
      <c r="G286" s="2475">
        <v>270</v>
      </c>
      <c r="H286" s="513"/>
      <c r="I286" s="1164"/>
      <c r="J286" s="514" t="s">
        <v>2919</v>
      </c>
      <c r="K286" s="2894"/>
      <c r="L286" s="2894"/>
      <c r="M286" s="2894"/>
      <c r="N286" s="2894"/>
      <c r="O286" s="2894"/>
      <c r="P286" s="535"/>
      <c r="Q286" s="534"/>
      <c r="R286" s="2880"/>
      <c r="S286" s="1385">
        <v>270000</v>
      </c>
      <c r="T286" s="985" t="s">
        <v>62</v>
      </c>
      <c r="U286" s="2880"/>
      <c r="V286" s="1385">
        <v>1</v>
      </c>
      <c r="W286" s="2880" t="s">
        <v>265</v>
      </c>
      <c r="X286" s="517" t="s">
        <v>1</v>
      </c>
      <c r="Y286" s="724">
        <f t="shared" si="84"/>
        <v>270</v>
      </c>
      <c r="Z286" s="2667">
        <f>S286*V286</f>
        <v>270000</v>
      </c>
      <c r="AA286" s="321"/>
      <c r="AB286" s="347"/>
    </row>
    <row r="287" spans="1:28" s="1675" customFormat="1" ht="23.45" customHeight="1">
      <c r="A287" s="475"/>
      <c r="B287" s="471"/>
      <c r="C287" s="437"/>
      <c r="D287" s="2467"/>
      <c r="E287" s="2471" t="s">
        <v>426</v>
      </c>
      <c r="F287" s="2480">
        <f t="shared" si="83"/>
        <v>480</v>
      </c>
      <c r="G287" s="2475">
        <v>480</v>
      </c>
      <c r="H287" s="513"/>
      <c r="I287" s="1164"/>
      <c r="J287" s="514" t="s">
        <v>2922</v>
      </c>
      <c r="K287" s="2894"/>
      <c r="L287" s="2894"/>
      <c r="M287" s="2894"/>
      <c r="N287" s="2894"/>
      <c r="O287" s="2894"/>
      <c r="P287" s="535"/>
      <c r="Q287" s="534">
        <v>2</v>
      </c>
      <c r="R287" s="2880" t="s">
        <v>605</v>
      </c>
      <c r="S287" s="1385">
        <v>30000</v>
      </c>
      <c r="T287" s="985" t="s">
        <v>62</v>
      </c>
      <c r="U287" s="2880"/>
      <c r="V287" s="1385">
        <v>8</v>
      </c>
      <c r="W287" s="2880" t="s">
        <v>265</v>
      </c>
      <c r="X287" s="517" t="s">
        <v>1</v>
      </c>
      <c r="Y287" s="724">
        <f>(Z287)/1000</f>
        <v>480</v>
      </c>
      <c r="Z287" s="2667">
        <f>Q287*S287*V287</f>
        <v>480000</v>
      </c>
      <c r="AA287" s="321"/>
      <c r="AB287" s="347"/>
    </row>
    <row r="288" spans="1:28" s="1675" customFormat="1" ht="23.45" customHeight="1">
      <c r="A288" s="475"/>
      <c r="B288" s="471"/>
      <c r="C288" s="437"/>
      <c r="D288" s="2470"/>
      <c r="E288" s="2471" t="s">
        <v>2925</v>
      </c>
      <c r="F288" s="2480">
        <f t="shared" si="83"/>
        <v>500</v>
      </c>
      <c r="G288" s="2475">
        <v>500</v>
      </c>
      <c r="H288" s="513"/>
      <c r="I288" s="1164"/>
      <c r="J288" s="514" t="s">
        <v>2926</v>
      </c>
      <c r="K288" s="2894"/>
      <c r="L288" s="2894"/>
      <c r="M288" s="2894"/>
      <c r="N288" s="2894"/>
      <c r="O288" s="2894"/>
      <c r="P288" s="535"/>
      <c r="Q288" s="534"/>
      <c r="R288" s="2880"/>
      <c r="S288" s="1385">
        <v>125000</v>
      </c>
      <c r="T288" s="985" t="s">
        <v>62</v>
      </c>
      <c r="U288" s="2880"/>
      <c r="V288" s="1385">
        <v>4</v>
      </c>
      <c r="W288" s="2880" t="s">
        <v>265</v>
      </c>
      <c r="X288" s="517" t="s">
        <v>1</v>
      </c>
      <c r="Y288" s="724">
        <f t="shared" ref="Y288" si="85">(Z288)/1000</f>
        <v>500</v>
      </c>
      <c r="Z288" s="2667">
        <f>S288*V288</f>
        <v>500000</v>
      </c>
      <c r="AA288" s="321"/>
      <c r="AB288" s="347"/>
    </row>
    <row r="289" spans="1:29" s="1675" customFormat="1" ht="23.45" customHeight="1">
      <c r="A289" s="475"/>
      <c r="B289" s="471"/>
      <c r="C289" s="437"/>
      <c r="D289" s="2472"/>
      <c r="E289" s="508" t="s">
        <v>269</v>
      </c>
      <c r="F289" s="2480">
        <f>Y289</f>
        <v>10650</v>
      </c>
      <c r="G289" s="2475">
        <v>10650</v>
      </c>
      <c r="H289" s="513"/>
      <c r="I289" s="1164"/>
      <c r="J289" s="514" t="s">
        <v>620</v>
      </c>
      <c r="K289" s="2798"/>
      <c r="L289" s="2798"/>
      <c r="M289" s="2798"/>
      <c r="N289" s="2798"/>
      <c r="O289" s="2798"/>
      <c r="P289" s="535"/>
      <c r="Q289" s="1385"/>
      <c r="R289" s="1390"/>
      <c r="S289" s="1385"/>
      <c r="T289" s="985"/>
      <c r="U289" s="515"/>
      <c r="V289" s="1385"/>
      <c r="W289" s="2787"/>
      <c r="X289" s="517"/>
      <c r="Y289" s="724">
        <f>(Z289)/1000</f>
        <v>10650</v>
      </c>
      <c r="Z289" s="2667">
        <f>SUM(Z290:Z292)</f>
        <v>10650000</v>
      </c>
      <c r="AA289" s="321"/>
      <c r="AB289" s="347"/>
    </row>
    <row r="290" spans="1:29" s="1675" customFormat="1" ht="23.45" customHeight="1">
      <c r="A290" s="475"/>
      <c r="B290" s="471"/>
      <c r="C290" s="437"/>
      <c r="D290" s="2472"/>
      <c r="E290" s="508"/>
      <c r="F290" s="2480"/>
      <c r="G290" s="2475"/>
      <c r="H290" s="513"/>
      <c r="I290" s="1164"/>
      <c r="J290" s="514" t="s">
        <v>5325</v>
      </c>
      <c r="K290" s="2798"/>
      <c r="L290" s="2798"/>
      <c r="M290" s="2798"/>
      <c r="N290" s="2798"/>
      <c r="O290" s="2798"/>
      <c r="P290" s="535"/>
      <c r="Q290" s="1385">
        <v>3</v>
      </c>
      <c r="R290" s="1390" t="s">
        <v>33</v>
      </c>
      <c r="S290" s="1385">
        <v>10000</v>
      </c>
      <c r="T290" s="985" t="s">
        <v>343</v>
      </c>
      <c r="U290" s="515"/>
      <c r="V290" s="1385">
        <v>300</v>
      </c>
      <c r="W290" s="2787" t="s">
        <v>1232</v>
      </c>
      <c r="X290" s="517" t="s">
        <v>1</v>
      </c>
      <c r="Y290" s="724">
        <f>(Z290)/1000</f>
        <v>9000</v>
      </c>
      <c r="Z290" s="2667">
        <f>Q290*S290*V290</f>
        <v>9000000</v>
      </c>
      <c r="AA290" s="321"/>
      <c r="AB290" s="347"/>
    </row>
    <row r="291" spans="1:29" s="1675" customFormat="1" ht="23.45" customHeight="1">
      <c r="A291" s="475"/>
      <c r="B291" s="471"/>
      <c r="C291" s="437"/>
      <c r="D291" s="2472"/>
      <c r="E291" s="508"/>
      <c r="F291" s="2480"/>
      <c r="G291" s="2475"/>
      <c r="H291" s="513"/>
      <c r="I291" s="1164"/>
      <c r="J291" s="514" t="s">
        <v>1915</v>
      </c>
      <c r="K291" s="2798"/>
      <c r="L291" s="2798"/>
      <c r="M291" s="515"/>
      <c r="N291" s="2798"/>
      <c r="O291" s="2798"/>
      <c r="P291" s="535"/>
      <c r="Q291" s="1385">
        <v>2</v>
      </c>
      <c r="R291" s="1390" t="s">
        <v>33</v>
      </c>
      <c r="S291" s="1385">
        <v>200000</v>
      </c>
      <c r="T291" s="985" t="s">
        <v>343</v>
      </c>
      <c r="U291" s="515"/>
      <c r="V291" s="1385">
        <v>1</v>
      </c>
      <c r="W291" s="2787" t="s">
        <v>567</v>
      </c>
      <c r="X291" s="517" t="s">
        <v>1</v>
      </c>
      <c r="Y291" s="724">
        <f>(Z291)/1000</f>
        <v>400</v>
      </c>
      <c r="Z291" s="2667">
        <f t="shared" ref="Z291:Z292" si="86">Q291*S291*V291</f>
        <v>400000</v>
      </c>
      <c r="AA291" s="321"/>
      <c r="AB291" s="347"/>
    </row>
    <row r="292" spans="1:29" s="1675" customFormat="1" ht="23.45" customHeight="1">
      <c r="A292" s="475"/>
      <c r="B292" s="471"/>
      <c r="C292" s="437"/>
      <c r="D292" s="2472"/>
      <c r="E292" s="508"/>
      <c r="F292" s="2480"/>
      <c r="G292" s="2475"/>
      <c r="H292" s="513"/>
      <c r="I292" s="1164"/>
      <c r="J292" s="514" t="s">
        <v>5326</v>
      </c>
      <c r="K292" s="2798"/>
      <c r="L292" s="2798"/>
      <c r="M292" s="515"/>
      <c r="N292" s="2798"/>
      <c r="O292" s="2798"/>
      <c r="P292" s="535"/>
      <c r="Q292" s="1385">
        <v>1</v>
      </c>
      <c r="R292" s="1390" t="s">
        <v>33</v>
      </c>
      <c r="S292" s="1385">
        <v>5000</v>
      </c>
      <c r="T292" s="985" t="s">
        <v>343</v>
      </c>
      <c r="U292" s="515"/>
      <c r="V292" s="1385">
        <v>250</v>
      </c>
      <c r="W292" s="2787" t="s">
        <v>1232</v>
      </c>
      <c r="X292" s="517" t="s">
        <v>1</v>
      </c>
      <c r="Y292" s="724">
        <f>(Z292)/1000</f>
        <v>1250</v>
      </c>
      <c r="Z292" s="2667">
        <f t="shared" si="86"/>
        <v>1250000</v>
      </c>
      <c r="AA292" s="321"/>
      <c r="AB292" s="347"/>
    </row>
    <row r="293" spans="1:29" s="1675" customFormat="1" ht="23.45" customHeight="1">
      <c r="A293" s="475"/>
      <c r="B293" s="471"/>
      <c r="C293" s="437"/>
      <c r="D293" s="2467"/>
      <c r="E293" s="2471" t="s">
        <v>67</v>
      </c>
      <c r="F293" s="2480">
        <f t="shared" ref="F293:F294" si="87">Y293</f>
        <v>225</v>
      </c>
      <c r="G293" s="2475">
        <v>225</v>
      </c>
      <c r="H293" s="513"/>
      <c r="I293" s="1164"/>
      <c r="J293" s="514" t="s">
        <v>2924</v>
      </c>
      <c r="K293" s="515"/>
      <c r="L293" s="531"/>
      <c r="M293" s="2798"/>
      <c r="N293" s="2798"/>
      <c r="O293" s="2798"/>
      <c r="P293" s="535"/>
      <c r="Q293" s="1385">
        <v>3</v>
      </c>
      <c r="R293" s="1390" t="s">
        <v>605</v>
      </c>
      <c r="S293" s="1385">
        <v>15000</v>
      </c>
      <c r="T293" s="985" t="s">
        <v>62</v>
      </c>
      <c r="U293" s="515"/>
      <c r="V293" s="1385">
        <v>5</v>
      </c>
      <c r="W293" s="2787" t="s">
        <v>567</v>
      </c>
      <c r="X293" s="517" t="s">
        <v>465</v>
      </c>
      <c r="Y293" s="724">
        <f t="shared" ref="Y293" si="88">(Z293)/1000</f>
        <v>225</v>
      </c>
      <c r="Z293" s="2667">
        <f t="shared" ref="Z293:Z294" si="89">Q293*S293*V293</f>
        <v>225000</v>
      </c>
      <c r="AA293" s="321"/>
      <c r="AB293" s="347"/>
    </row>
    <row r="294" spans="1:29" s="1675" customFormat="1" ht="23.45" customHeight="1">
      <c r="A294" s="475"/>
      <c r="B294" s="471"/>
      <c r="C294" s="437"/>
      <c r="D294" s="2467"/>
      <c r="E294" s="508" t="s">
        <v>211</v>
      </c>
      <c r="F294" s="2480">
        <f t="shared" si="87"/>
        <v>375</v>
      </c>
      <c r="G294" s="2475">
        <v>375</v>
      </c>
      <c r="H294" s="513"/>
      <c r="I294" s="1164"/>
      <c r="J294" s="514" t="s">
        <v>2923</v>
      </c>
      <c r="K294" s="2798"/>
      <c r="L294" s="2798"/>
      <c r="M294" s="2798"/>
      <c r="N294" s="2798"/>
      <c r="O294" s="2798"/>
      <c r="P294" s="535"/>
      <c r="Q294" s="1385">
        <v>5</v>
      </c>
      <c r="R294" s="1390" t="s">
        <v>605</v>
      </c>
      <c r="S294" s="1385">
        <v>15000</v>
      </c>
      <c r="T294" s="985" t="s">
        <v>50</v>
      </c>
      <c r="U294" s="515"/>
      <c r="V294" s="1385">
        <v>5</v>
      </c>
      <c r="W294" s="2787" t="s">
        <v>2903</v>
      </c>
      <c r="X294" s="517" t="s">
        <v>1</v>
      </c>
      <c r="Y294" s="724">
        <f>(Z294)/1000</f>
        <v>375</v>
      </c>
      <c r="Z294" s="2667">
        <f t="shared" si="89"/>
        <v>375000</v>
      </c>
      <c r="AA294" s="321"/>
      <c r="AB294" s="347"/>
    </row>
    <row r="295" spans="1:29" s="2534" customFormat="1" ht="23.45" customHeight="1">
      <c r="A295" s="396"/>
      <c r="B295" s="2806"/>
      <c r="C295" s="2806"/>
      <c r="D295" s="3266" t="s">
        <v>3036</v>
      </c>
      <c r="E295" s="3267"/>
      <c r="F295" s="1683">
        <f>SUM(F296:F297)</f>
        <v>40000</v>
      </c>
      <c r="G295" s="1683">
        <f>SUM(G296:G297)</f>
        <v>40000</v>
      </c>
      <c r="H295" s="386">
        <f t="shared" ref="H295:H299" si="90">F295-G295</f>
        <v>0</v>
      </c>
      <c r="I295" s="409"/>
      <c r="J295" s="394"/>
      <c r="K295" s="2784"/>
      <c r="L295" s="2784"/>
      <c r="M295" s="2784"/>
      <c r="N295" s="2784"/>
      <c r="O295" s="2784"/>
      <c r="P295" s="2784"/>
      <c r="Q295" s="2784"/>
      <c r="R295" s="395"/>
      <c r="S295" s="2784"/>
      <c r="T295" s="2784"/>
      <c r="U295" s="2784"/>
      <c r="V295" s="2784"/>
      <c r="W295" s="2784"/>
      <c r="X295" s="430"/>
      <c r="Y295" s="439"/>
      <c r="Z295" s="2666">
        <f>SUM(Z296:Z297,Z301:Z306)</f>
        <v>53320000</v>
      </c>
      <c r="AA295" s="305"/>
      <c r="AB295" s="305"/>
      <c r="AC295" s="2557"/>
    </row>
    <row r="296" spans="1:29" s="2534" customFormat="1" ht="23.45" customHeight="1">
      <c r="A296" s="436"/>
      <c r="B296" s="437"/>
      <c r="C296" s="2806"/>
      <c r="D296" s="367"/>
      <c r="E296" s="1134" t="s">
        <v>52</v>
      </c>
      <c r="F296" s="403">
        <f t="shared" ref="F296" si="91">Y296</f>
        <v>2000</v>
      </c>
      <c r="G296" s="1139">
        <v>2000</v>
      </c>
      <c r="H296" s="513"/>
      <c r="I296" s="409"/>
      <c r="J296" s="2802" t="s">
        <v>2970</v>
      </c>
      <c r="K296" s="2800"/>
      <c r="L296" s="2800"/>
      <c r="M296" s="2800"/>
      <c r="N296" s="2800"/>
      <c r="O296" s="2800"/>
      <c r="P296" s="2800"/>
      <c r="Q296" s="1673">
        <v>5</v>
      </c>
      <c r="R296" s="2803" t="s">
        <v>23</v>
      </c>
      <c r="S296" s="1673">
        <v>200000</v>
      </c>
      <c r="T296" s="1671" t="s">
        <v>0</v>
      </c>
      <c r="U296" s="2803"/>
      <c r="V296" s="1671">
        <v>2</v>
      </c>
      <c r="W296" s="2803" t="s">
        <v>299</v>
      </c>
      <c r="X296" s="1140" t="s">
        <v>1</v>
      </c>
      <c r="Y296" s="406">
        <f t="shared" ref="Y296" si="92">Z296/1000</f>
        <v>2000</v>
      </c>
      <c r="Z296" s="1716">
        <f>Q296*S296*V296</f>
        <v>2000000</v>
      </c>
      <c r="AA296" s="305"/>
      <c r="AB296" s="305"/>
      <c r="AC296" s="2557"/>
    </row>
    <row r="297" spans="1:29" s="2534" customFormat="1" ht="23.45" customHeight="1" thickBot="1">
      <c r="A297" s="436"/>
      <c r="B297" s="437"/>
      <c r="C297" s="397"/>
      <c r="D297" s="1131"/>
      <c r="E297" s="389" t="s">
        <v>638</v>
      </c>
      <c r="F297" s="403">
        <f>Y297</f>
        <v>38000</v>
      </c>
      <c r="G297" s="1139">
        <v>38000</v>
      </c>
      <c r="H297" s="513"/>
      <c r="I297" s="409"/>
      <c r="J297" s="2802" t="s">
        <v>3037</v>
      </c>
      <c r="K297" s="1671"/>
      <c r="L297" s="1671"/>
      <c r="M297" s="1671"/>
      <c r="N297" s="1671"/>
      <c r="O297" s="1671"/>
      <c r="P297" s="1671"/>
      <c r="Q297" s="2803"/>
      <c r="R297" s="2803"/>
      <c r="S297" s="408">
        <v>38000000</v>
      </c>
      <c r="T297" s="2803" t="s">
        <v>0</v>
      </c>
      <c r="U297" s="2803"/>
      <c r="V297" s="2803">
        <v>1</v>
      </c>
      <c r="W297" s="2803" t="s">
        <v>6</v>
      </c>
      <c r="X297" s="1140" t="s">
        <v>1</v>
      </c>
      <c r="Y297" s="406">
        <f>Z297/1000</f>
        <v>38000</v>
      </c>
      <c r="Z297" s="1716">
        <f>S297*V297</f>
        <v>38000000</v>
      </c>
      <c r="AA297" s="305"/>
      <c r="AB297" s="305"/>
      <c r="AC297" s="2557"/>
    </row>
    <row r="298" spans="1:29" s="986" customFormat="1" ht="21.6" customHeight="1" thickBot="1">
      <c r="A298" s="475"/>
      <c r="B298" s="2269" t="s">
        <v>2186</v>
      </c>
      <c r="C298" s="2259"/>
      <c r="D298" s="2481"/>
      <c r="E298" s="2482"/>
      <c r="F298" s="2483">
        <f>+F299+F322</f>
        <v>285000</v>
      </c>
      <c r="G298" s="2483">
        <f>+G299+G322</f>
        <v>285000</v>
      </c>
      <c r="H298" s="2484">
        <f t="shared" si="90"/>
        <v>0</v>
      </c>
      <c r="I298" s="1164"/>
      <c r="J298" s="2485"/>
      <c r="K298" s="2486"/>
      <c r="L298" s="2486"/>
      <c r="M298" s="2486"/>
      <c r="N298" s="2486"/>
      <c r="O298" s="2486"/>
      <c r="P298" s="2487"/>
      <c r="Q298" s="2487"/>
      <c r="R298" s="2488"/>
      <c r="S298" s="2489"/>
      <c r="T298" s="2490"/>
      <c r="U298" s="2487"/>
      <c r="V298" s="2491"/>
      <c r="W298" s="672"/>
      <c r="X298" s="2492"/>
      <c r="Y298" s="674"/>
      <c r="Z298" s="675"/>
      <c r="AA298" s="321"/>
      <c r="AB298" s="321"/>
    </row>
    <row r="299" spans="1:29" ht="21.6" customHeight="1">
      <c r="A299" s="2274"/>
      <c r="B299" s="1145"/>
      <c r="C299" s="3395" t="s">
        <v>2187</v>
      </c>
      <c r="D299" s="3395"/>
      <c r="E299" s="3395"/>
      <c r="F299" s="1394">
        <f>+F300+F318</f>
        <v>75000</v>
      </c>
      <c r="G299" s="1394">
        <f>+G300+G318</f>
        <v>75000</v>
      </c>
      <c r="H299" s="1393">
        <f t="shared" si="90"/>
        <v>0</v>
      </c>
      <c r="I299" s="1164"/>
      <c r="J299" s="1119"/>
      <c r="K299" s="2640"/>
      <c r="L299" s="2640"/>
      <c r="M299" s="2640"/>
      <c r="N299" s="2640"/>
      <c r="O299" s="2640"/>
      <c r="P299" s="731"/>
      <c r="Q299" s="736"/>
      <c r="R299" s="1389"/>
      <c r="S299" s="1388"/>
      <c r="T299" s="1389"/>
      <c r="U299" s="2912"/>
      <c r="V299" s="1388"/>
      <c r="W299" s="2912"/>
      <c r="X299" s="2912"/>
      <c r="Y299" s="1395"/>
      <c r="Z299" s="2665"/>
    </row>
    <row r="300" spans="1:29" ht="21.6" customHeight="1">
      <c r="A300" s="2274"/>
      <c r="B300" s="1145"/>
      <c r="C300" s="2466"/>
      <c r="D300" s="3394" t="s">
        <v>1161</v>
      </c>
      <c r="E300" s="3393"/>
      <c r="F300" s="2477">
        <f>SUM(F301:F317)</f>
        <v>68000</v>
      </c>
      <c r="G300" s="2477">
        <f>SUM(G301:G317)</f>
        <v>68000</v>
      </c>
      <c r="H300" s="2478">
        <f t="shared" ref="H300:H301" si="93">F300-G300</f>
        <v>0</v>
      </c>
      <c r="I300" s="1164"/>
      <c r="J300" s="1119"/>
      <c r="K300" s="2640"/>
      <c r="L300" s="2640"/>
      <c r="M300" s="2640"/>
      <c r="N300" s="2640"/>
      <c r="O300" s="2640"/>
      <c r="P300" s="731"/>
      <c r="Q300" s="1388"/>
      <c r="R300" s="1389"/>
      <c r="S300" s="1388"/>
      <c r="T300" s="1389"/>
      <c r="U300" s="2379"/>
      <c r="V300" s="1388"/>
      <c r="W300" s="2912"/>
      <c r="X300" s="869"/>
      <c r="Y300" s="2479"/>
      <c r="Z300" s="2665"/>
    </row>
    <row r="301" spans="1:29" ht="21.6" customHeight="1">
      <c r="A301" s="2274"/>
      <c r="B301" s="471"/>
      <c r="C301" s="2824"/>
      <c r="D301" s="2998"/>
      <c r="E301" s="2824" t="s">
        <v>1363</v>
      </c>
      <c r="F301" s="737">
        <f>Y301</f>
        <v>1900</v>
      </c>
      <c r="G301" s="1186">
        <v>4000</v>
      </c>
      <c r="H301" s="700">
        <f t="shared" si="93"/>
        <v>-2100</v>
      </c>
      <c r="I301" s="1164"/>
      <c r="J301" s="1780" t="s">
        <v>1920</v>
      </c>
      <c r="K301" s="2894"/>
      <c r="L301" s="2894"/>
      <c r="M301" s="2894"/>
      <c r="N301" s="2894"/>
      <c r="O301" s="2894"/>
      <c r="P301" s="535"/>
      <c r="Q301" s="3000"/>
      <c r="R301" s="515"/>
      <c r="S301" s="3001"/>
      <c r="T301" s="515"/>
      <c r="U301" s="515"/>
      <c r="V301" s="3000"/>
      <c r="W301" s="515"/>
      <c r="X301" s="531"/>
      <c r="Y301" s="2372">
        <f>Z301/1000</f>
        <v>1900</v>
      </c>
      <c r="Z301" s="675">
        <f>SUM(Z302:Z303)</f>
        <v>1900000</v>
      </c>
    </row>
    <row r="302" spans="1:29" ht="21.6" customHeight="1">
      <c r="A302" s="2274"/>
      <c r="B302" s="471"/>
      <c r="C302" s="2824"/>
      <c r="D302" s="2998"/>
      <c r="E302" s="2824"/>
      <c r="F302" s="737"/>
      <c r="G302" s="1186"/>
      <c r="H302" s="700"/>
      <c r="I302" s="1164"/>
      <c r="J302" s="1780" t="s">
        <v>2189</v>
      </c>
      <c r="K302" s="1685"/>
      <c r="L302" s="1685"/>
      <c r="M302" s="2894"/>
      <c r="N302" s="2894"/>
      <c r="O302" s="2894"/>
      <c r="P302" s="535"/>
      <c r="Q302" s="2736"/>
      <c r="R302" s="2880"/>
      <c r="S302" s="1197">
        <v>5000</v>
      </c>
      <c r="T302" s="2894" t="s">
        <v>62</v>
      </c>
      <c r="U302" s="515"/>
      <c r="V302" s="3002">
        <v>160</v>
      </c>
      <c r="W302" s="516" t="s">
        <v>1232</v>
      </c>
      <c r="X302" s="531" t="s">
        <v>465</v>
      </c>
      <c r="Y302" s="2372">
        <f>Z302/1000</f>
        <v>800</v>
      </c>
      <c r="Z302" s="675">
        <f>S302*V302</f>
        <v>800000</v>
      </c>
    </row>
    <row r="303" spans="1:29" s="986" customFormat="1" ht="21.6" customHeight="1">
      <c r="A303" s="2274"/>
      <c r="B303" s="1145"/>
      <c r="C303" s="2466"/>
      <c r="D303" s="2998"/>
      <c r="E303" s="2824"/>
      <c r="F303" s="737"/>
      <c r="G303" s="1186"/>
      <c r="H303" s="700"/>
      <c r="I303" s="1164"/>
      <c r="J303" s="1780" t="s">
        <v>2190</v>
      </c>
      <c r="K303" s="1685"/>
      <c r="L303" s="1685"/>
      <c r="M303" s="2894"/>
      <c r="N303" s="2894"/>
      <c r="O303" s="2894"/>
      <c r="P303" s="535"/>
      <c r="Q303" s="2736"/>
      <c r="R303" s="2880"/>
      <c r="S303" s="2736">
        <v>4000</v>
      </c>
      <c r="T303" s="2894" t="s">
        <v>62</v>
      </c>
      <c r="U303" s="515"/>
      <c r="V303" s="3002">
        <v>275</v>
      </c>
      <c r="W303" s="2894" t="s">
        <v>1232</v>
      </c>
      <c r="X303" s="531" t="s">
        <v>465</v>
      </c>
      <c r="Y303" s="2372">
        <f>Z303/1000</f>
        <v>1100</v>
      </c>
      <c r="Z303" s="675">
        <f>S303*V303</f>
        <v>1100000</v>
      </c>
      <c r="AA303" s="321"/>
      <c r="AB303" s="321"/>
    </row>
    <row r="304" spans="1:29" ht="21.6" customHeight="1">
      <c r="A304" s="2858"/>
      <c r="B304" s="471"/>
      <c r="C304" s="2824"/>
      <c r="D304" s="2998"/>
      <c r="E304" s="2989" t="s">
        <v>834</v>
      </c>
      <c r="F304" s="737">
        <f>Y304</f>
        <v>1120</v>
      </c>
      <c r="G304" s="2993">
        <v>1120</v>
      </c>
      <c r="H304" s="700"/>
      <c r="I304" s="1164"/>
      <c r="J304" s="514" t="s">
        <v>2188</v>
      </c>
      <c r="K304" s="2894"/>
      <c r="L304" s="2894"/>
      <c r="M304" s="2894"/>
      <c r="N304" s="2894"/>
      <c r="O304" s="2894"/>
      <c r="P304" s="535"/>
      <c r="Q304" s="534"/>
      <c r="R304" s="1390"/>
      <c r="S304" s="1385">
        <v>1120000</v>
      </c>
      <c r="T304" s="985" t="s">
        <v>62</v>
      </c>
      <c r="U304" s="2880"/>
      <c r="V304" s="1385">
        <v>1</v>
      </c>
      <c r="W304" s="2880" t="s">
        <v>463</v>
      </c>
      <c r="X304" s="517" t="s">
        <v>20</v>
      </c>
      <c r="Y304" s="724">
        <f t="shared" ref="Y304" si="94">(Z304)/1000</f>
        <v>1120</v>
      </c>
      <c r="Z304" s="675">
        <f>S304*V304</f>
        <v>1120000</v>
      </c>
    </row>
    <row r="305" spans="1:28" s="986" customFormat="1" ht="21.6" customHeight="1">
      <c r="A305" s="2274"/>
      <c r="B305" s="1145"/>
      <c r="C305" s="2466"/>
      <c r="D305" s="2998"/>
      <c r="E305" s="2471" t="s">
        <v>61</v>
      </c>
      <c r="F305" s="737">
        <f>Y305</f>
        <v>2400</v>
      </c>
      <c r="G305" s="2475">
        <v>2400</v>
      </c>
      <c r="H305" s="700"/>
      <c r="I305" s="1164"/>
      <c r="J305" s="514" t="s">
        <v>2191</v>
      </c>
      <c r="K305" s="2894"/>
      <c r="L305" s="2894"/>
      <c r="M305" s="2894"/>
      <c r="N305" s="2894"/>
      <c r="O305" s="2894"/>
      <c r="P305" s="535"/>
      <c r="Q305" s="535">
        <v>1</v>
      </c>
      <c r="R305" s="985" t="s">
        <v>2113</v>
      </c>
      <c r="S305" s="534">
        <v>200000</v>
      </c>
      <c r="T305" s="985" t="s">
        <v>62</v>
      </c>
      <c r="U305" s="515"/>
      <c r="V305" s="535">
        <v>12</v>
      </c>
      <c r="W305" s="2894" t="s">
        <v>49</v>
      </c>
      <c r="X305" s="517" t="s">
        <v>465</v>
      </c>
      <c r="Y305" s="724">
        <f t="shared" ref="Y305:Y317" si="95">(Z305)/1000</f>
        <v>2400</v>
      </c>
      <c r="Z305" s="675">
        <f>Q305*S305*V305</f>
        <v>2400000</v>
      </c>
      <c r="AA305" s="321"/>
      <c r="AB305" s="321"/>
    </row>
    <row r="306" spans="1:28" s="986" customFormat="1" ht="21.6" customHeight="1">
      <c r="A306" s="2274"/>
      <c r="B306" s="1145"/>
      <c r="C306" s="2466"/>
      <c r="D306" s="2998"/>
      <c r="E306" s="2471" t="s">
        <v>963</v>
      </c>
      <c r="F306" s="737">
        <f>Y306</f>
        <v>6000</v>
      </c>
      <c r="G306" s="2475">
        <v>6000</v>
      </c>
      <c r="H306" s="700"/>
      <c r="I306" s="1164"/>
      <c r="J306" s="514" t="s">
        <v>2192</v>
      </c>
      <c r="K306" s="2894"/>
      <c r="L306" s="2894"/>
      <c r="M306" s="2894"/>
      <c r="N306" s="2894"/>
      <c r="O306" s="2894"/>
      <c r="P306" s="535"/>
      <c r="Q306" s="534">
        <v>1</v>
      </c>
      <c r="R306" s="1390" t="s">
        <v>2193</v>
      </c>
      <c r="S306" s="1385">
        <v>500000</v>
      </c>
      <c r="T306" s="985" t="s">
        <v>62</v>
      </c>
      <c r="U306" s="2880"/>
      <c r="V306" s="1385">
        <v>12</v>
      </c>
      <c r="W306" s="2880" t="s">
        <v>49</v>
      </c>
      <c r="X306" s="517" t="s">
        <v>20</v>
      </c>
      <c r="Y306" s="724">
        <f t="shared" si="95"/>
        <v>6000</v>
      </c>
      <c r="Z306" s="675">
        <f>Q306*S306*V306</f>
        <v>6000000</v>
      </c>
      <c r="AA306" s="321"/>
      <c r="AB306" s="321"/>
    </row>
    <row r="307" spans="1:28" ht="21.6" customHeight="1">
      <c r="A307" s="2274"/>
      <c r="B307" s="1145"/>
      <c r="C307" s="2466"/>
      <c r="D307" s="2998"/>
      <c r="E307" s="2824" t="s">
        <v>462</v>
      </c>
      <c r="F307" s="737">
        <f>Y307</f>
        <v>31500</v>
      </c>
      <c r="G307" s="1186">
        <v>33000</v>
      </c>
      <c r="H307" s="700">
        <f>F307-G307</f>
        <v>-1500</v>
      </c>
      <c r="I307" s="1164"/>
      <c r="J307" s="1780" t="s">
        <v>1920</v>
      </c>
      <c r="K307" s="2894"/>
      <c r="L307" s="2894"/>
      <c r="M307" s="2894"/>
      <c r="N307" s="2894"/>
      <c r="O307" s="2894"/>
      <c r="P307" s="535"/>
      <c r="Q307" s="3000"/>
      <c r="R307" s="515"/>
      <c r="S307" s="3001"/>
      <c r="T307" s="515"/>
      <c r="U307" s="515"/>
      <c r="V307" s="3000"/>
      <c r="W307" s="515"/>
      <c r="X307" s="3003"/>
      <c r="Y307" s="724">
        <f t="shared" si="95"/>
        <v>31500</v>
      </c>
      <c r="Z307" s="675">
        <f>SUM(Z308:Z310)</f>
        <v>31500000</v>
      </c>
    </row>
    <row r="308" spans="1:28" ht="21.6" customHeight="1">
      <c r="A308" s="2274"/>
      <c r="B308" s="1145"/>
      <c r="C308" s="2466"/>
      <c r="D308" s="2998"/>
      <c r="E308" s="2824"/>
      <c r="F308" s="737"/>
      <c r="G308" s="1186"/>
      <c r="H308" s="700"/>
      <c r="I308" s="1164"/>
      <c r="J308" s="3304" t="s">
        <v>2194</v>
      </c>
      <c r="K308" s="3305"/>
      <c r="L308" s="3305"/>
      <c r="M308" s="3305"/>
      <c r="N308" s="2894"/>
      <c r="O308" s="2894"/>
      <c r="P308" s="535"/>
      <c r="Q308" s="2736">
        <v>2</v>
      </c>
      <c r="R308" s="2880" t="s">
        <v>605</v>
      </c>
      <c r="S308" s="1197">
        <v>200000</v>
      </c>
      <c r="T308" s="2894" t="s">
        <v>62</v>
      </c>
      <c r="U308" s="515"/>
      <c r="V308" s="1385">
        <v>12</v>
      </c>
      <c r="W308" s="2880" t="s">
        <v>49</v>
      </c>
      <c r="X308" s="531" t="s">
        <v>465</v>
      </c>
      <c r="Y308" s="724">
        <f t="shared" si="95"/>
        <v>4800</v>
      </c>
      <c r="Z308" s="675">
        <f>Q308*S308*V308</f>
        <v>4800000</v>
      </c>
    </row>
    <row r="309" spans="1:28" s="986" customFormat="1" ht="21.6" customHeight="1">
      <c r="A309" s="2265"/>
      <c r="B309" s="495"/>
      <c r="C309" s="2466"/>
      <c r="D309" s="2998"/>
      <c r="E309" s="2824"/>
      <c r="F309" s="737"/>
      <c r="G309" s="1186"/>
      <c r="H309" s="700"/>
      <c r="I309" s="1164"/>
      <c r="J309" s="3304" t="s">
        <v>2195</v>
      </c>
      <c r="K309" s="3305"/>
      <c r="L309" s="3305"/>
      <c r="M309" s="2894"/>
      <c r="N309" s="2894"/>
      <c r="O309" s="2894"/>
      <c r="P309" s="535"/>
      <c r="Q309" s="2736">
        <v>8</v>
      </c>
      <c r="R309" s="2880" t="s">
        <v>605</v>
      </c>
      <c r="S309" s="1197">
        <v>184375</v>
      </c>
      <c r="T309" s="2894" t="s">
        <v>62</v>
      </c>
      <c r="U309" s="515"/>
      <c r="V309" s="1385">
        <v>12</v>
      </c>
      <c r="W309" s="2880" t="s">
        <v>49</v>
      </c>
      <c r="X309" s="531" t="s">
        <v>465</v>
      </c>
      <c r="Y309" s="724">
        <f t="shared" si="95"/>
        <v>17700</v>
      </c>
      <c r="Z309" s="675">
        <f>Q309*S309*V309</f>
        <v>17700000</v>
      </c>
      <c r="AA309" s="321"/>
      <c r="AB309" s="321"/>
    </row>
    <row r="310" spans="1:28" s="326" customFormat="1" ht="21.6" customHeight="1">
      <c r="A310" s="475"/>
      <c r="B310" s="1145"/>
      <c r="C310" s="2824"/>
      <c r="D310" s="2998"/>
      <c r="E310" s="2824"/>
      <c r="F310" s="737"/>
      <c r="G310" s="1186"/>
      <c r="H310" s="700"/>
      <c r="I310" s="1164"/>
      <c r="J310" s="3304" t="s">
        <v>2196</v>
      </c>
      <c r="K310" s="3305"/>
      <c r="L310" s="3305"/>
      <c r="M310" s="2894"/>
      <c r="N310" s="2894"/>
      <c r="O310" s="2894"/>
      <c r="P310" s="535"/>
      <c r="Q310" s="2736">
        <v>3</v>
      </c>
      <c r="R310" s="2880" t="s">
        <v>605</v>
      </c>
      <c r="S310" s="2736">
        <v>3000000</v>
      </c>
      <c r="T310" s="2894" t="s">
        <v>62</v>
      </c>
      <c r="U310" s="515"/>
      <c r="V310" s="3002">
        <v>1</v>
      </c>
      <c r="W310" s="2894" t="s">
        <v>616</v>
      </c>
      <c r="X310" s="531" t="s">
        <v>465</v>
      </c>
      <c r="Y310" s="724">
        <f t="shared" si="95"/>
        <v>9000</v>
      </c>
      <c r="Z310" s="675">
        <f>Q310*S310*V310</f>
        <v>9000000</v>
      </c>
      <c r="AA310" s="321"/>
      <c r="AB310" s="301"/>
    </row>
    <row r="311" spans="1:28" ht="21.6" customHeight="1">
      <c r="A311" s="2274"/>
      <c r="B311" s="1145"/>
      <c r="C311" s="2466"/>
      <c r="D311" s="2998"/>
      <c r="E311" s="2471" t="s">
        <v>573</v>
      </c>
      <c r="F311" s="737">
        <f t="shared" ref="F311:F317" si="96">Y311</f>
        <v>1980</v>
      </c>
      <c r="G311" s="737">
        <v>1980</v>
      </c>
      <c r="H311" s="700"/>
      <c r="I311" s="1164"/>
      <c r="J311" s="514" t="s">
        <v>2197</v>
      </c>
      <c r="K311" s="2894"/>
      <c r="L311" s="2894"/>
      <c r="M311" s="2894"/>
      <c r="N311" s="2894"/>
      <c r="O311" s="2894"/>
      <c r="P311" s="535"/>
      <c r="Q311" s="534"/>
      <c r="R311" s="1390"/>
      <c r="S311" s="1385">
        <v>165000</v>
      </c>
      <c r="T311" s="985" t="s">
        <v>62</v>
      </c>
      <c r="U311" s="2880"/>
      <c r="V311" s="1385">
        <v>12</v>
      </c>
      <c r="W311" s="2880" t="s">
        <v>49</v>
      </c>
      <c r="X311" s="517" t="s">
        <v>465</v>
      </c>
      <c r="Y311" s="724">
        <f t="shared" si="95"/>
        <v>1980</v>
      </c>
      <c r="Z311" s="675">
        <f>S311*V311</f>
        <v>1980000</v>
      </c>
    </row>
    <row r="312" spans="1:28" s="986" customFormat="1" ht="21.6" customHeight="1">
      <c r="A312" s="2274"/>
      <c r="B312" s="1145"/>
      <c r="C312" s="2466"/>
      <c r="D312" s="2998"/>
      <c r="E312" s="2471" t="s">
        <v>881</v>
      </c>
      <c r="F312" s="737">
        <f t="shared" si="96"/>
        <v>3900</v>
      </c>
      <c r="G312" s="2475">
        <v>3900</v>
      </c>
      <c r="H312" s="700"/>
      <c r="I312" s="1164"/>
      <c r="J312" s="514" t="s">
        <v>2198</v>
      </c>
      <c r="K312" s="2894"/>
      <c r="L312" s="2894"/>
      <c r="M312" s="2894"/>
      <c r="N312" s="2894"/>
      <c r="O312" s="2894"/>
      <c r="P312" s="535"/>
      <c r="Q312" s="534">
        <v>3</v>
      </c>
      <c r="R312" s="1390" t="s">
        <v>619</v>
      </c>
      <c r="S312" s="1385">
        <v>130000</v>
      </c>
      <c r="T312" s="985" t="s">
        <v>62</v>
      </c>
      <c r="U312" s="2880"/>
      <c r="V312" s="1385">
        <v>10</v>
      </c>
      <c r="W312" s="2880" t="s">
        <v>616</v>
      </c>
      <c r="X312" s="517" t="s">
        <v>20</v>
      </c>
      <c r="Y312" s="724">
        <f t="shared" si="95"/>
        <v>3900</v>
      </c>
      <c r="Z312" s="675">
        <f>Q312*S312*V312</f>
        <v>3900000</v>
      </c>
      <c r="AA312" s="321"/>
      <c r="AB312" s="321"/>
    </row>
    <row r="313" spans="1:28" s="326" customFormat="1" ht="21.6" customHeight="1">
      <c r="A313" s="475"/>
      <c r="B313" s="1145"/>
      <c r="C313" s="2824"/>
      <c r="D313" s="2998"/>
      <c r="E313" s="2471" t="s">
        <v>571</v>
      </c>
      <c r="F313" s="737">
        <f t="shared" si="96"/>
        <v>2000</v>
      </c>
      <c r="G313" s="2475">
        <v>2000</v>
      </c>
      <c r="H313" s="700"/>
      <c r="I313" s="1164"/>
      <c r="J313" s="514" t="s">
        <v>2199</v>
      </c>
      <c r="K313" s="2894"/>
      <c r="L313" s="2894"/>
      <c r="M313" s="2894"/>
      <c r="N313" s="2894"/>
      <c r="O313" s="2894"/>
      <c r="P313" s="535"/>
      <c r="Q313" s="534">
        <v>10</v>
      </c>
      <c r="R313" s="1390" t="s">
        <v>605</v>
      </c>
      <c r="S313" s="1385">
        <v>200000</v>
      </c>
      <c r="T313" s="985" t="s">
        <v>62</v>
      </c>
      <c r="U313" s="2880"/>
      <c r="V313" s="1385">
        <v>1</v>
      </c>
      <c r="W313" s="2880" t="s">
        <v>616</v>
      </c>
      <c r="X313" s="517" t="s">
        <v>465</v>
      </c>
      <c r="Y313" s="724">
        <f t="shared" si="95"/>
        <v>2000</v>
      </c>
      <c r="Z313" s="675">
        <f>Q313*S313*V313</f>
        <v>2000000</v>
      </c>
      <c r="AA313" s="321"/>
      <c r="AB313" s="301"/>
    </row>
    <row r="314" spans="1:28" s="326" customFormat="1" ht="21.6" customHeight="1">
      <c r="A314" s="475"/>
      <c r="B314" s="1145"/>
      <c r="C314" s="2824"/>
      <c r="D314" s="2998"/>
      <c r="E314" s="2471" t="s">
        <v>631</v>
      </c>
      <c r="F314" s="737">
        <f t="shared" si="96"/>
        <v>4200</v>
      </c>
      <c r="G314" s="737">
        <v>4200</v>
      </c>
      <c r="H314" s="700"/>
      <c r="I314" s="1164"/>
      <c r="J314" s="514" t="s">
        <v>2200</v>
      </c>
      <c r="K314" s="2894"/>
      <c r="L314" s="2894"/>
      <c r="M314" s="2894"/>
      <c r="N314" s="2894"/>
      <c r="O314" s="2894"/>
      <c r="P314" s="535"/>
      <c r="Q314" s="534"/>
      <c r="R314" s="1390"/>
      <c r="S314" s="1385">
        <v>350000</v>
      </c>
      <c r="T314" s="985" t="s">
        <v>62</v>
      </c>
      <c r="U314" s="2880"/>
      <c r="V314" s="1385">
        <v>12</v>
      </c>
      <c r="W314" s="2880" t="s">
        <v>49</v>
      </c>
      <c r="X314" s="517" t="s">
        <v>465</v>
      </c>
      <c r="Y314" s="724">
        <f t="shared" si="95"/>
        <v>4200</v>
      </c>
      <c r="Z314" s="675">
        <f>S314*V314</f>
        <v>4200000</v>
      </c>
      <c r="AA314" s="321"/>
      <c r="AB314" s="301"/>
    </row>
    <row r="315" spans="1:28" ht="21.6" customHeight="1">
      <c r="A315" s="2274"/>
      <c r="B315" s="1145"/>
      <c r="C315" s="2466"/>
      <c r="D315" s="2998"/>
      <c r="E315" s="2471" t="s">
        <v>1059</v>
      </c>
      <c r="F315" s="737">
        <f t="shared" si="96"/>
        <v>6000</v>
      </c>
      <c r="G315" s="737">
        <v>2400</v>
      </c>
      <c r="H315" s="700">
        <f t="shared" ref="H315" si="97">F315-G315</f>
        <v>3600</v>
      </c>
      <c r="I315" s="1164"/>
      <c r="J315" s="514" t="s">
        <v>2201</v>
      </c>
      <c r="K315" s="2894"/>
      <c r="L315" s="2894"/>
      <c r="M315" s="2894"/>
      <c r="N315" s="2894"/>
      <c r="O315" s="2894"/>
      <c r="P315" s="535"/>
      <c r="Q315" s="534"/>
      <c r="R315" s="1390"/>
      <c r="S315" s="1385">
        <v>500000</v>
      </c>
      <c r="T315" s="985" t="s">
        <v>62</v>
      </c>
      <c r="U315" s="2880"/>
      <c r="V315" s="1385">
        <v>12</v>
      </c>
      <c r="W315" s="2880" t="s">
        <v>49</v>
      </c>
      <c r="X315" s="517" t="s">
        <v>20</v>
      </c>
      <c r="Y315" s="724">
        <f t="shared" si="95"/>
        <v>6000</v>
      </c>
      <c r="Z315" s="675">
        <f>S315*V315</f>
        <v>6000000</v>
      </c>
    </row>
    <row r="316" spans="1:28" ht="21.6" customHeight="1">
      <c r="A316" s="2274"/>
      <c r="B316" s="1145"/>
      <c r="C316" s="2466"/>
      <c r="D316" s="2998"/>
      <c r="E316" s="2471" t="s">
        <v>1276</v>
      </c>
      <c r="F316" s="737">
        <f t="shared" si="96"/>
        <v>3000</v>
      </c>
      <c r="G316" s="737">
        <v>3000</v>
      </c>
      <c r="H316" s="700"/>
      <c r="I316" s="1164"/>
      <c r="J316" s="514" t="s">
        <v>2202</v>
      </c>
      <c r="K316" s="2894"/>
      <c r="L316" s="2894"/>
      <c r="M316" s="2894"/>
      <c r="N316" s="2894"/>
      <c r="O316" s="2894"/>
      <c r="P316" s="535"/>
      <c r="Q316" s="534"/>
      <c r="R316" s="1390"/>
      <c r="S316" s="1385">
        <v>250000</v>
      </c>
      <c r="T316" s="985" t="s">
        <v>62</v>
      </c>
      <c r="U316" s="2880"/>
      <c r="V316" s="1385">
        <v>12</v>
      </c>
      <c r="W316" s="2880" t="s">
        <v>49</v>
      </c>
      <c r="X316" s="517" t="s">
        <v>20</v>
      </c>
      <c r="Y316" s="724">
        <f t="shared" si="95"/>
        <v>3000</v>
      </c>
      <c r="Z316" s="675">
        <f>S316*V316</f>
        <v>3000000</v>
      </c>
    </row>
    <row r="317" spans="1:28" s="326" customFormat="1" ht="21.6" customHeight="1">
      <c r="A317" s="475"/>
      <c r="B317" s="1145"/>
      <c r="C317" s="2824"/>
      <c r="D317" s="2998"/>
      <c r="E317" s="2471" t="s">
        <v>632</v>
      </c>
      <c r="F317" s="737">
        <f t="shared" si="96"/>
        <v>4000</v>
      </c>
      <c r="G317" s="737">
        <v>4000</v>
      </c>
      <c r="H317" s="700"/>
      <c r="I317" s="1164"/>
      <c r="J317" s="514" t="s">
        <v>2192</v>
      </c>
      <c r="K317" s="2894" t="s">
        <v>632</v>
      </c>
      <c r="L317" s="2894"/>
      <c r="M317" s="2894"/>
      <c r="N317" s="2894"/>
      <c r="O317" s="2894"/>
      <c r="P317" s="535"/>
      <c r="Q317" s="534">
        <v>10</v>
      </c>
      <c r="R317" s="1390" t="s">
        <v>605</v>
      </c>
      <c r="S317" s="1385">
        <v>20000</v>
      </c>
      <c r="T317" s="985" t="s">
        <v>62</v>
      </c>
      <c r="U317" s="2880"/>
      <c r="V317" s="1385">
        <v>20</v>
      </c>
      <c r="W317" s="2880" t="s">
        <v>616</v>
      </c>
      <c r="X317" s="517" t="s">
        <v>465</v>
      </c>
      <c r="Y317" s="724">
        <f t="shared" si="95"/>
        <v>4000</v>
      </c>
      <c r="Z317" s="675">
        <f>Q317*S317*V317</f>
        <v>4000000</v>
      </c>
      <c r="AA317" s="321"/>
      <c r="AB317" s="301"/>
    </row>
    <row r="318" spans="1:28" ht="21.6" customHeight="1">
      <c r="A318" s="2274"/>
      <c r="B318" s="1145"/>
      <c r="C318" s="2290"/>
      <c r="D318" s="3387" t="s">
        <v>2203</v>
      </c>
      <c r="E318" s="3388"/>
      <c r="F318" s="488">
        <f>SUM(F319:F319)</f>
        <v>7000</v>
      </c>
      <c r="G318" s="488">
        <f>SUM(G319:G319)</f>
        <v>7000</v>
      </c>
      <c r="H318" s="468">
        <f t="shared" ref="H318" si="98">F318-G318</f>
        <v>0</v>
      </c>
      <c r="I318" s="1127"/>
      <c r="J318" s="394"/>
      <c r="K318" s="2276"/>
      <c r="L318" s="2276"/>
      <c r="M318" s="2276"/>
      <c r="N318" s="2276"/>
      <c r="O318" s="2276"/>
      <c r="P318" s="484"/>
      <c r="Q318" s="487"/>
      <c r="R318" s="486"/>
      <c r="S318" s="487"/>
      <c r="T318" s="486"/>
      <c r="U318" s="1146"/>
      <c r="V318" s="487"/>
      <c r="W318" s="2254"/>
      <c r="X318" s="2254"/>
      <c r="Y318" s="2324"/>
      <c r="Z318" s="401"/>
    </row>
    <row r="319" spans="1:28" s="986" customFormat="1" ht="21.6" customHeight="1">
      <c r="A319" s="2274"/>
      <c r="B319" s="1145"/>
      <c r="C319" s="2290"/>
      <c r="D319" s="495"/>
      <c r="E319" s="1313" t="s">
        <v>1981</v>
      </c>
      <c r="F319" s="490">
        <f>Y319</f>
        <v>7000</v>
      </c>
      <c r="G319" s="497">
        <v>7000</v>
      </c>
      <c r="H319" s="1147"/>
      <c r="I319" s="1127"/>
      <c r="J319" s="2287" t="s">
        <v>1727</v>
      </c>
      <c r="K319" s="2278"/>
      <c r="L319" s="2278"/>
      <c r="M319" s="2278"/>
      <c r="N319" s="2278"/>
      <c r="O319" s="2278"/>
      <c r="P319" s="1128"/>
      <c r="Q319" s="372"/>
      <c r="R319" s="493"/>
      <c r="S319" s="492"/>
      <c r="T319" s="344"/>
      <c r="U319" s="2282"/>
      <c r="V319" s="492"/>
      <c r="W319" s="2282"/>
      <c r="X319" s="2288"/>
      <c r="Y319" s="1142">
        <f>(Z319)/1000</f>
        <v>7000</v>
      </c>
      <c r="Z319" s="275">
        <f>Z320+Z321</f>
        <v>7000000</v>
      </c>
      <c r="AA319" s="321"/>
      <c r="AB319" s="321"/>
    </row>
    <row r="320" spans="1:28" s="326" customFormat="1" ht="21.6" customHeight="1">
      <c r="A320" s="475"/>
      <c r="B320" s="1145"/>
      <c r="C320" s="437"/>
      <c r="D320" s="495"/>
      <c r="E320" s="1313"/>
      <c r="F320" s="490"/>
      <c r="G320" s="490"/>
      <c r="H320" s="404"/>
      <c r="I320" s="1127"/>
      <c r="J320" s="3384" t="s">
        <v>2204</v>
      </c>
      <c r="K320" s="3385"/>
      <c r="L320" s="3385"/>
      <c r="M320" s="3385"/>
      <c r="N320" s="2278"/>
      <c r="O320" s="2278"/>
      <c r="P320" s="1128"/>
      <c r="Q320" s="372"/>
      <c r="R320" s="493"/>
      <c r="S320" s="492">
        <v>1500000</v>
      </c>
      <c r="T320" s="344" t="s">
        <v>2023</v>
      </c>
      <c r="U320" s="2282"/>
      <c r="V320" s="492">
        <v>2</v>
      </c>
      <c r="W320" s="2282" t="s">
        <v>2169</v>
      </c>
      <c r="X320" s="1140" t="s">
        <v>1747</v>
      </c>
      <c r="Y320" s="406">
        <f t="shared" ref="Y320:Y321" si="99">(Z320)/1000</f>
        <v>3000</v>
      </c>
      <c r="Z320" s="275">
        <f>S320*V320</f>
        <v>3000000</v>
      </c>
      <c r="AA320" s="321"/>
      <c r="AB320" s="301"/>
    </row>
    <row r="321" spans="1:29" s="326" customFormat="1" ht="21.6" customHeight="1" thickBot="1">
      <c r="A321" s="475"/>
      <c r="B321" s="1145"/>
      <c r="C321" s="437"/>
      <c r="D321" s="495"/>
      <c r="E321" s="1313"/>
      <c r="F321" s="490"/>
      <c r="G321" s="490"/>
      <c r="H321" s="404"/>
      <c r="I321" s="1127"/>
      <c r="J321" s="3384" t="s">
        <v>2205</v>
      </c>
      <c r="K321" s="3385"/>
      <c r="L321" s="3385"/>
      <c r="M321" s="3385"/>
      <c r="N321" s="2278"/>
      <c r="O321" s="2278"/>
      <c r="P321" s="1128"/>
      <c r="Q321" s="372"/>
      <c r="R321" s="493"/>
      <c r="S321" s="492">
        <v>2000000</v>
      </c>
      <c r="T321" s="344" t="s">
        <v>2023</v>
      </c>
      <c r="U321" s="2282"/>
      <c r="V321" s="492">
        <v>2</v>
      </c>
      <c r="W321" s="2282" t="s">
        <v>2206</v>
      </c>
      <c r="X321" s="1140" t="s">
        <v>1747</v>
      </c>
      <c r="Y321" s="406">
        <f t="shared" si="99"/>
        <v>4000</v>
      </c>
      <c r="Z321" s="275">
        <f>S321*V321</f>
        <v>4000000</v>
      </c>
      <c r="AA321" s="321"/>
      <c r="AB321" s="301"/>
    </row>
    <row r="322" spans="1:29" s="326" customFormat="1" ht="21.6" customHeight="1" thickBot="1">
      <c r="A322" s="2274"/>
      <c r="B322" s="1145"/>
      <c r="C322" s="3355" t="s">
        <v>71</v>
      </c>
      <c r="D322" s="3310"/>
      <c r="E322" s="3311"/>
      <c r="F322" s="1260">
        <f>+F323+F341</f>
        <v>210000</v>
      </c>
      <c r="G322" s="1260">
        <v>210000</v>
      </c>
      <c r="H322" s="838">
        <f>F322-G322</f>
        <v>0</v>
      </c>
      <c r="I322" s="473"/>
      <c r="J322" s="1353"/>
      <c r="K322" s="1336"/>
      <c r="L322" s="1337"/>
      <c r="M322" s="1337"/>
      <c r="N322" s="1337"/>
      <c r="O322" s="1337"/>
      <c r="P322" s="1337"/>
      <c r="Q322" s="1337"/>
      <c r="R322" s="1339"/>
      <c r="S322" s="1337"/>
      <c r="T322" s="1337"/>
      <c r="U322" s="1337"/>
      <c r="V322" s="1337"/>
      <c r="W322" s="1337"/>
      <c r="X322" s="1354"/>
      <c r="Y322" s="842"/>
      <c r="Z322" s="275"/>
      <c r="AA322" s="321"/>
      <c r="AB322" s="301"/>
    </row>
    <row r="323" spans="1:29" ht="21.6" customHeight="1">
      <c r="A323" s="2274"/>
      <c r="B323" s="1145"/>
      <c r="C323" s="3386" t="s">
        <v>2207</v>
      </c>
      <c r="D323" s="3386"/>
      <c r="E323" s="3386"/>
      <c r="F323" s="483">
        <f>+F324</f>
        <v>100000</v>
      </c>
      <c r="G323" s="483">
        <f>+G324</f>
        <v>100000</v>
      </c>
      <c r="H323" s="1383">
        <f>F323-G323</f>
        <v>0</v>
      </c>
      <c r="I323" s="1127"/>
      <c r="J323" s="394"/>
      <c r="K323" s="2896"/>
      <c r="L323" s="2896"/>
      <c r="M323" s="2896"/>
      <c r="N323" s="2896"/>
      <c r="O323" s="2896"/>
      <c r="P323" s="484"/>
      <c r="Q323" s="485"/>
      <c r="R323" s="486"/>
      <c r="S323" s="487"/>
      <c r="T323" s="486"/>
      <c r="U323" s="2876"/>
      <c r="V323" s="487"/>
      <c r="W323" s="2876"/>
      <c r="X323" s="2876"/>
      <c r="Y323" s="1870"/>
      <c r="Z323" s="401"/>
    </row>
    <row r="324" spans="1:29" s="165" customFormat="1" ht="21.6" customHeight="1">
      <c r="A324" s="1290"/>
      <c r="B324" s="1189"/>
      <c r="C324" s="413"/>
      <c r="D324" s="3266" t="s">
        <v>2208</v>
      </c>
      <c r="E324" s="3267"/>
      <c r="F324" s="385">
        <f>SUM(F325:F340)</f>
        <v>100000</v>
      </c>
      <c r="G324" s="385">
        <f>SUM(G325:G340)</f>
        <v>100000</v>
      </c>
      <c r="H324" s="386">
        <f>F324-G324</f>
        <v>0</v>
      </c>
      <c r="I324" s="2559"/>
      <c r="J324" s="394"/>
      <c r="K324" s="2876"/>
      <c r="L324" s="2876"/>
      <c r="M324" s="2876"/>
      <c r="N324" s="2876"/>
      <c r="O324" s="2876"/>
      <c r="P324" s="2876"/>
      <c r="Q324" s="2876"/>
      <c r="R324" s="395"/>
      <c r="S324" s="2876"/>
      <c r="T324" s="2876"/>
      <c r="U324" s="2876"/>
      <c r="V324" s="2876"/>
      <c r="W324" s="2876"/>
      <c r="X324" s="430"/>
      <c r="Y324" s="1184"/>
      <c r="Z324" s="1716"/>
      <c r="AA324" s="305"/>
      <c r="AB324" s="305"/>
      <c r="AC324" s="166"/>
    </row>
    <row r="325" spans="1:29" s="165" customFormat="1" ht="21.6" customHeight="1">
      <c r="A325" s="1290"/>
      <c r="B325" s="1189"/>
      <c r="C325" s="397"/>
      <c r="D325" s="465"/>
      <c r="E325" s="837" t="s">
        <v>2029</v>
      </c>
      <c r="F325" s="978">
        <f>Y325</f>
        <v>6000</v>
      </c>
      <c r="G325" s="978">
        <v>12500</v>
      </c>
      <c r="H325" s="513">
        <f t="shared" ref="H325:H340" si="100">F325-G325</f>
        <v>-6500</v>
      </c>
      <c r="I325" s="2559"/>
      <c r="J325" s="2345" t="s">
        <v>5162</v>
      </c>
      <c r="K325" s="1672"/>
      <c r="L325" s="1672"/>
      <c r="M325" s="1672"/>
      <c r="N325" s="1672"/>
      <c r="O325" s="1672"/>
      <c r="P325" s="1672"/>
      <c r="Q325" s="1672"/>
      <c r="R325" s="1672"/>
      <c r="S325" s="1672">
        <v>6000000</v>
      </c>
      <c r="T325" s="1672" t="s">
        <v>592</v>
      </c>
      <c r="U325" s="1672"/>
      <c r="V325" s="1672">
        <v>1</v>
      </c>
      <c r="W325" s="1672" t="s">
        <v>2826</v>
      </c>
      <c r="X325" s="1323" t="s">
        <v>706</v>
      </c>
      <c r="Y325" s="406">
        <f t="shared" ref="Y325" si="101">(Z325)/1000</f>
        <v>6000</v>
      </c>
      <c r="Z325" s="275">
        <f>S325*V325</f>
        <v>6000000</v>
      </c>
      <c r="AA325" s="305"/>
      <c r="AB325" s="305"/>
      <c r="AC325" s="166"/>
    </row>
    <row r="326" spans="1:29" s="165" customFormat="1" ht="21.6" customHeight="1">
      <c r="A326" s="1290"/>
      <c r="B326" s="1189"/>
      <c r="C326" s="413"/>
      <c r="D326" s="1131"/>
      <c r="E326" s="1154" t="s">
        <v>2209</v>
      </c>
      <c r="F326" s="1141">
        <f t="shared" ref="F326" si="102">Y326</f>
        <v>400</v>
      </c>
      <c r="G326" s="1141">
        <v>400</v>
      </c>
      <c r="H326" s="513"/>
      <c r="I326" s="2559"/>
      <c r="J326" s="2345" t="s">
        <v>2210</v>
      </c>
      <c r="K326" s="1672"/>
      <c r="L326" s="1672"/>
      <c r="M326" s="1672"/>
      <c r="N326" s="1672"/>
      <c r="O326" s="1672"/>
      <c r="P326" s="1672"/>
      <c r="Q326" s="1672"/>
      <c r="R326" s="1672"/>
      <c r="S326" s="1672">
        <v>400000</v>
      </c>
      <c r="T326" s="1672" t="s">
        <v>1817</v>
      </c>
      <c r="U326" s="1672"/>
      <c r="V326" s="1672">
        <v>1</v>
      </c>
      <c r="W326" s="1672" t="s">
        <v>1786</v>
      </c>
      <c r="X326" s="1323" t="s">
        <v>1818</v>
      </c>
      <c r="Y326" s="406">
        <f t="shared" ref="Y326:Y340" si="103">(Z326)/1000</f>
        <v>400</v>
      </c>
      <c r="Z326" s="275">
        <f>S326*V326</f>
        <v>400000</v>
      </c>
      <c r="AA326" s="305"/>
      <c r="AB326" s="305"/>
      <c r="AC326" s="166"/>
    </row>
    <row r="327" spans="1:29" s="165" customFormat="1" ht="21.6" customHeight="1">
      <c r="A327" s="1290"/>
      <c r="B327" s="1189"/>
      <c r="C327" s="413"/>
      <c r="D327" s="1131"/>
      <c r="E327" s="1154" t="s">
        <v>2211</v>
      </c>
      <c r="F327" s="1141">
        <f>Y327</f>
        <v>1400</v>
      </c>
      <c r="G327" s="1141">
        <v>8000</v>
      </c>
      <c r="H327" s="513">
        <f t="shared" si="100"/>
        <v>-6600</v>
      </c>
      <c r="I327" s="2559"/>
      <c r="J327" s="2345" t="s">
        <v>532</v>
      </c>
      <c r="K327" s="1672"/>
      <c r="L327" s="1672"/>
      <c r="M327" s="1672"/>
      <c r="N327" s="1672"/>
      <c r="O327" s="1672"/>
      <c r="P327" s="1672"/>
      <c r="Q327" s="1672">
        <v>2</v>
      </c>
      <c r="R327" s="1672" t="s">
        <v>1819</v>
      </c>
      <c r="S327" s="1672">
        <v>25000</v>
      </c>
      <c r="T327" s="1672" t="s">
        <v>592</v>
      </c>
      <c r="U327" s="1672"/>
      <c r="V327" s="1672">
        <v>28</v>
      </c>
      <c r="W327" s="1672" t="s">
        <v>630</v>
      </c>
      <c r="X327" s="1323" t="s">
        <v>706</v>
      </c>
      <c r="Y327" s="406">
        <f t="shared" ref="Y327" si="104">(Z327)/1000</f>
        <v>1400</v>
      </c>
      <c r="Z327" s="275">
        <f>Q327*S327*V327</f>
        <v>1400000</v>
      </c>
      <c r="AA327" s="305"/>
      <c r="AB327" s="305"/>
      <c r="AC327" s="166"/>
    </row>
    <row r="328" spans="1:29" s="165" customFormat="1" ht="21.6" customHeight="1">
      <c r="A328" s="1290"/>
      <c r="B328" s="1189"/>
      <c r="C328" s="413"/>
      <c r="D328" s="1131"/>
      <c r="E328" s="1154" t="s">
        <v>1790</v>
      </c>
      <c r="F328" s="1141">
        <f>Y328</f>
        <v>5200</v>
      </c>
      <c r="G328" s="1141">
        <v>19000</v>
      </c>
      <c r="H328" s="513">
        <f t="shared" si="100"/>
        <v>-13800</v>
      </c>
      <c r="I328" s="2559"/>
      <c r="J328" s="2345" t="s">
        <v>1794</v>
      </c>
      <c r="K328" s="1672"/>
      <c r="L328" s="1672"/>
      <c r="M328" s="1672"/>
      <c r="N328" s="1672"/>
      <c r="O328" s="1672"/>
      <c r="P328" s="1672"/>
      <c r="Q328" s="1672"/>
      <c r="R328" s="1672"/>
      <c r="S328" s="1672"/>
      <c r="T328" s="1672"/>
      <c r="U328" s="1672"/>
      <c r="V328" s="1672"/>
      <c r="W328" s="1672"/>
      <c r="X328" s="1323"/>
      <c r="Y328" s="406">
        <f t="shared" si="103"/>
        <v>5200</v>
      </c>
      <c r="Z328" s="1716">
        <f>Z329+Z330</f>
        <v>5200000</v>
      </c>
      <c r="AA328" s="305"/>
      <c r="AB328" s="305"/>
      <c r="AC328" s="166"/>
    </row>
    <row r="329" spans="1:29" s="165" customFormat="1" ht="21.6" customHeight="1">
      <c r="A329" s="1290"/>
      <c r="B329" s="1189"/>
      <c r="C329" s="413"/>
      <c r="D329" s="1131"/>
      <c r="E329" s="1154"/>
      <c r="F329" s="1141"/>
      <c r="G329" s="1141"/>
      <c r="H329" s="513"/>
      <c r="I329" s="2559"/>
      <c r="J329" s="2345" t="s">
        <v>5168</v>
      </c>
      <c r="K329" s="1672"/>
      <c r="L329" s="1672"/>
      <c r="M329" s="1672"/>
      <c r="N329" s="1672"/>
      <c r="O329" s="1672"/>
      <c r="P329" s="1672"/>
      <c r="Q329" s="1672"/>
      <c r="R329" s="1672"/>
      <c r="S329" s="1672">
        <v>3400000</v>
      </c>
      <c r="T329" s="1672" t="s">
        <v>1817</v>
      </c>
      <c r="U329" s="1672"/>
      <c r="V329" s="1672">
        <v>1</v>
      </c>
      <c r="W329" s="1672" t="s">
        <v>1788</v>
      </c>
      <c r="X329" s="1323" t="s">
        <v>1818</v>
      </c>
      <c r="Y329" s="406">
        <f t="shared" si="103"/>
        <v>3400</v>
      </c>
      <c r="Z329" s="275">
        <f>S329*V329</f>
        <v>3400000</v>
      </c>
      <c r="AA329" s="305"/>
      <c r="AB329" s="305"/>
      <c r="AC329" s="166"/>
    </row>
    <row r="330" spans="1:29" s="165" customFormat="1" ht="21.6" customHeight="1">
      <c r="A330" s="1290"/>
      <c r="B330" s="1189"/>
      <c r="C330" s="413"/>
      <c r="D330" s="1131"/>
      <c r="E330" s="3004"/>
      <c r="F330" s="1141"/>
      <c r="G330" s="1141"/>
      <c r="H330" s="513"/>
      <c r="I330" s="2559"/>
      <c r="J330" s="2345" t="s">
        <v>5169</v>
      </c>
      <c r="K330" s="1672"/>
      <c r="L330" s="1672"/>
      <c r="M330" s="1672"/>
      <c r="N330" s="1672"/>
      <c r="O330" s="1672"/>
      <c r="P330" s="1672"/>
      <c r="Q330" s="1672">
        <v>3</v>
      </c>
      <c r="R330" s="1672" t="s">
        <v>5170</v>
      </c>
      <c r="S330" s="1672">
        <v>200000</v>
      </c>
      <c r="T330" s="1672" t="s">
        <v>1817</v>
      </c>
      <c r="U330" s="1672"/>
      <c r="V330" s="1672">
        <v>3</v>
      </c>
      <c r="W330" s="1672" t="s">
        <v>1786</v>
      </c>
      <c r="X330" s="1323" t="s">
        <v>1818</v>
      </c>
      <c r="Y330" s="406">
        <f t="shared" si="103"/>
        <v>1800</v>
      </c>
      <c r="Z330" s="275">
        <f>Q330*S330*V330</f>
        <v>1800000</v>
      </c>
      <c r="AA330" s="305"/>
      <c r="AB330" s="305"/>
      <c r="AC330" s="166"/>
    </row>
    <row r="331" spans="1:29" s="165" customFormat="1" ht="21.6" customHeight="1">
      <c r="A331" s="1290"/>
      <c r="B331" s="1189"/>
      <c r="C331" s="413"/>
      <c r="D331" s="1131"/>
      <c r="E331" s="1154" t="s">
        <v>1791</v>
      </c>
      <c r="F331" s="1141">
        <f>Y331</f>
        <v>78500</v>
      </c>
      <c r="G331" s="1141">
        <v>55000</v>
      </c>
      <c r="H331" s="513">
        <f t="shared" si="100"/>
        <v>23500</v>
      </c>
      <c r="I331" s="2559"/>
      <c r="J331" s="2345" t="s">
        <v>1794</v>
      </c>
      <c r="K331" s="1672"/>
      <c r="L331" s="1672"/>
      <c r="M331" s="1672"/>
      <c r="N331" s="1672"/>
      <c r="O331" s="1672"/>
      <c r="P331" s="1672"/>
      <c r="Q331" s="1672"/>
      <c r="R331" s="1672"/>
      <c r="S331" s="1672"/>
      <c r="T331" s="1672"/>
      <c r="U331" s="1672"/>
      <c r="V331" s="1672"/>
      <c r="W331" s="1672"/>
      <c r="X331" s="1323"/>
      <c r="Y331" s="406">
        <f t="shared" si="103"/>
        <v>78500</v>
      </c>
      <c r="Z331" s="1716">
        <f>Z332+Z333+Z334+Z335</f>
        <v>78500000</v>
      </c>
      <c r="AA331" s="305"/>
      <c r="AB331" s="305"/>
      <c r="AC331" s="166"/>
    </row>
    <row r="332" spans="1:29" s="165" customFormat="1" ht="21.6" customHeight="1">
      <c r="A332" s="1290"/>
      <c r="B332" s="1189"/>
      <c r="C332" s="413"/>
      <c r="D332" s="1131"/>
      <c r="E332" s="1154"/>
      <c r="F332" s="1141"/>
      <c r="G332" s="1141"/>
      <c r="H332" s="513"/>
      <c r="I332" s="2559"/>
      <c r="J332" s="2345" t="s">
        <v>5163</v>
      </c>
      <c r="K332" s="1672"/>
      <c r="L332" s="1672"/>
      <c r="M332" s="1672"/>
      <c r="N332" s="1672"/>
      <c r="O332" s="1672"/>
      <c r="P332" s="1672"/>
      <c r="Q332" s="1672">
        <v>2</v>
      </c>
      <c r="R332" s="1672" t="s">
        <v>5167</v>
      </c>
      <c r="S332" s="1672">
        <v>15000000</v>
      </c>
      <c r="T332" s="1672" t="s">
        <v>592</v>
      </c>
      <c r="U332" s="1672"/>
      <c r="V332" s="1672">
        <v>1</v>
      </c>
      <c r="W332" s="1672" t="s">
        <v>2826</v>
      </c>
      <c r="X332" s="1323" t="s">
        <v>706</v>
      </c>
      <c r="Y332" s="406">
        <f t="shared" ref="Y332:Y333" si="105">(Z332)/1000</f>
        <v>30000</v>
      </c>
      <c r="Z332" s="275">
        <f>Q332*S332*V332</f>
        <v>30000000</v>
      </c>
      <c r="AA332" s="305"/>
      <c r="AB332" s="305"/>
      <c r="AC332" s="2557"/>
    </row>
    <row r="333" spans="1:29" s="165" customFormat="1" ht="21.6" customHeight="1">
      <c r="A333" s="1290"/>
      <c r="B333" s="1189"/>
      <c r="C333" s="413"/>
      <c r="D333" s="1131"/>
      <c r="E333" s="1154"/>
      <c r="F333" s="1141"/>
      <c r="G333" s="1141"/>
      <c r="H333" s="513"/>
      <c r="I333" s="2559"/>
      <c r="J333" s="2345" t="s">
        <v>5164</v>
      </c>
      <c r="K333" s="1672"/>
      <c r="L333" s="1672"/>
      <c r="M333" s="1672"/>
      <c r="N333" s="1672"/>
      <c r="O333" s="1672"/>
      <c r="P333" s="1672"/>
      <c r="Q333" s="1672"/>
      <c r="R333" s="1672"/>
      <c r="S333" s="1672">
        <v>20000000</v>
      </c>
      <c r="T333" s="1672" t="s">
        <v>592</v>
      </c>
      <c r="U333" s="1672"/>
      <c r="V333" s="1672">
        <v>1</v>
      </c>
      <c r="W333" s="1672" t="s">
        <v>2826</v>
      </c>
      <c r="X333" s="1323" t="s">
        <v>706</v>
      </c>
      <c r="Y333" s="406">
        <f t="shared" si="105"/>
        <v>20000</v>
      </c>
      <c r="Z333" s="275">
        <f>S333*V333</f>
        <v>20000000</v>
      </c>
      <c r="AA333" s="305"/>
      <c r="AB333" s="305"/>
      <c r="AC333" s="2557"/>
    </row>
    <row r="334" spans="1:29" s="165" customFormat="1" ht="21.6" customHeight="1">
      <c r="A334" s="1290"/>
      <c r="B334" s="1189"/>
      <c r="C334" s="413"/>
      <c r="D334" s="1131"/>
      <c r="E334" s="3004"/>
      <c r="F334" s="1141"/>
      <c r="G334" s="1141"/>
      <c r="H334" s="513"/>
      <c r="I334" s="2559"/>
      <c r="J334" s="2345" t="s">
        <v>5165</v>
      </c>
      <c r="K334" s="1672"/>
      <c r="L334" s="1672"/>
      <c r="M334" s="1672"/>
      <c r="N334" s="1672"/>
      <c r="O334" s="1672"/>
      <c r="P334" s="1672"/>
      <c r="Q334" s="1672"/>
      <c r="R334" s="1672"/>
      <c r="S334" s="1672">
        <v>20000000</v>
      </c>
      <c r="T334" s="1672" t="s">
        <v>1817</v>
      </c>
      <c r="U334" s="1672"/>
      <c r="V334" s="1672">
        <v>1</v>
      </c>
      <c r="W334" s="1672" t="s">
        <v>2826</v>
      </c>
      <c r="X334" s="1323" t="s">
        <v>1818</v>
      </c>
      <c r="Y334" s="406">
        <f t="shared" si="103"/>
        <v>20000</v>
      </c>
      <c r="Z334" s="275">
        <f>S334*V334</f>
        <v>20000000</v>
      </c>
      <c r="AA334" s="305"/>
      <c r="AB334" s="305"/>
      <c r="AC334" s="166"/>
    </row>
    <row r="335" spans="1:29" s="165" customFormat="1" ht="22.5" customHeight="1">
      <c r="A335" s="1290"/>
      <c r="B335" s="1189"/>
      <c r="C335" s="413"/>
      <c r="D335" s="1131"/>
      <c r="E335" s="1154"/>
      <c r="F335" s="1141"/>
      <c r="G335" s="1141"/>
      <c r="H335" s="513"/>
      <c r="I335" s="2559"/>
      <c r="J335" s="2345" t="s">
        <v>5166</v>
      </c>
      <c r="K335" s="1672"/>
      <c r="L335" s="1672"/>
      <c r="M335" s="1672"/>
      <c r="N335" s="1672"/>
      <c r="O335" s="1672"/>
      <c r="P335" s="1672"/>
      <c r="Q335" s="1672"/>
      <c r="R335" s="1672"/>
      <c r="S335" s="1672">
        <v>8500000</v>
      </c>
      <c r="T335" s="1672" t="s">
        <v>1817</v>
      </c>
      <c r="U335" s="1672"/>
      <c r="V335" s="1672">
        <v>1</v>
      </c>
      <c r="W335" s="1672" t="s">
        <v>2826</v>
      </c>
      <c r="X335" s="1323" t="s">
        <v>1818</v>
      </c>
      <c r="Y335" s="406">
        <f t="shared" si="103"/>
        <v>8500</v>
      </c>
      <c r="Z335" s="275">
        <f>S335*V335</f>
        <v>8500000</v>
      </c>
      <c r="AA335" s="305"/>
      <c r="AB335" s="305"/>
      <c r="AC335" s="166"/>
    </row>
    <row r="336" spans="1:29" s="165" customFormat="1" ht="22.5" customHeight="1">
      <c r="A336" s="1290"/>
      <c r="B336" s="1189"/>
      <c r="C336" s="413"/>
      <c r="D336" s="1131"/>
      <c r="E336" s="1154" t="s">
        <v>2212</v>
      </c>
      <c r="F336" s="1141">
        <f>Y336</f>
        <v>5900</v>
      </c>
      <c r="G336" s="1141">
        <v>1500</v>
      </c>
      <c r="H336" s="513">
        <f t="shared" si="100"/>
        <v>4400</v>
      </c>
      <c r="I336" s="2559"/>
      <c r="J336" s="2345" t="s">
        <v>895</v>
      </c>
      <c r="K336" s="1672"/>
      <c r="L336" s="1672"/>
      <c r="M336" s="1672"/>
      <c r="N336" s="1672"/>
      <c r="O336" s="1672"/>
      <c r="P336" s="1672"/>
      <c r="Q336" s="1672"/>
      <c r="R336" s="1672"/>
      <c r="S336" s="1672"/>
      <c r="T336" s="1672"/>
      <c r="U336" s="1672"/>
      <c r="V336" s="1672"/>
      <c r="W336" s="1672"/>
      <c r="X336" s="1323"/>
      <c r="Y336" s="406">
        <f t="shared" ref="Y336" si="106">(Z336)/1000</f>
        <v>5900</v>
      </c>
      <c r="Z336" s="275">
        <f>Z337+Z338</f>
        <v>5900000</v>
      </c>
      <c r="AA336" s="305"/>
      <c r="AB336" s="305"/>
      <c r="AC336" s="166"/>
    </row>
    <row r="337" spans="1:29" s="165" customFormat="1" ht="22.5" customHeight="1">
      <c r="A337" s="1290"/>
      <c r="B337" s="1189"/>
      <c r="C337" s="413"/>
      <c r="D337" s="1131"/>
      <c r="E337" s="1154"/>
      <c r="F337" s="1141"/>
      <c r="G337" s="1141"/>
      <c r="H337" s="513"/>
      <c r="I337" s="2559"/>
      <c r="J337" s="2345" t="s">
        <v>5173</v>
      </c>
      <c r="K337" s="1672"/>
      <c r="L337" s="1672"/>
      <c r="M337" s="1672"/>
      <c r="N337" s="1672"/>
      <c r="O337" s="1672"/>
      <c r="P337" s="1672"/>
      <c r="Q337" s="1672"/>
      <c r="R337" s="1672"/>
      <c r="S337" s="1672">
        <v>1500000</v>
      </c>
      <c r="T337" s="1672" t="s">
        <v>592</v>
      </c>
      <c r="U337" s="1672"/>
      <c r="V337" s="1672">
        <v>1</v>
      </c>
      <c r="W337" s="1672" t="s">
        <v>463</v>
      </c>
      <c r="X337" s="1323" t="s">
        <v>706</v>
      </c>
      <c r="Y337" s="406">
        <f t="shared" ref="Y337:Y339" si="107">(Z337)/1000</f>
        <v>1500</v>
      </c>
      <c r="Z337" s="275">
        <f>S337*V337</f>
        <v>1500000</v>
      </c>
      <c r="AA337" s="305"/>
      <c r="AB337" s="305"/>
      <c r="AC337" s="2557"/>
    </row>
    <row r="338" spans="1:29" s="165" customFormat="1" ht="22.5" customHeight="1">
      <c r="A338" s="1290"/>
      <c r="B338" s="1189"/>
      <c r="C338" s="413"/>
      <c r="D338" s="1131"/>
      <c r="E338" s="1154"/>
      <c r="F338" s="1141"/>
      <c r="G338" s="1141"/>
      <c r="H338" s="513"/>
      <c r="I338" s="2559"/>
      <c r="J338" s="2345" t="s">
        <v>5174</v>
      </c>
      <c r="K338" s="1672"/>
      <c r="L338" s="1672"/>
      <c r="M338" s="1672"/>
      <c r="N338" s="1672"/>
      <c r="O338" s="1672"/>
      <c r="P338" s="1672"/>
      <c r="Q338" s="1672"/>
      <c r="R338" s="1672"/>
      <c r="S338" s="1672">
        <v>4400000</v>
      </c>
      <c r="T338" s="1672" t="s">
        <v>592</v>
      </c>
      <c r="U338" s="1672"/>
      <c r="V338" s="1672">
        <v>1</v>
      </c>
      <c r="W338" s="1672" t="s">
        <v>463</v>
      </c>
      <c r="X338" s="1323" t="s">
        <v>706</v>
      </c>
      <c r="Y338" s="406">
        <f t="shared" si="107"/>
        <v>4400</v>
      </c>
      <c r="Z338" s="275">
        <f>S338*V338</f>
        <v>4400000</v>
      </c>
      <c r="AA338" s="305"/>
      <c r="AB338" s="305"/>
      <c r="AC338" s="2557"/>
    </row>
    <row r="339" spans="1:29" s="165" customFormat="1" ht="22.5" customHeight="1">
      <c r="A339" s="1290"/>
      <c r="B339" s="1189"/>
      <c r="C339" s="413"/>
      <c r="D339" s="1131"/>
      <c r="E339" s="1154" t="s">
        <v>5171</v>
      </c>
      <c r="F339" s="1141">
        <f>Y339</f>
        <v>600</v>
      </c>
      <c r="G339" s="1141">
        <v>0</v>
      </c>
      <c r="H339" s="513">
        <f t="shared" si="100"/>
        <v>600</v>
      </c>
      <c r="I339" s="2559"/>
      <c r="J339" s="2345" t="s">
        <v>5172</v>
      </c>
      <c r="K339" s="1672"/>
      <c r="L339" s="1672"/>
      <c r="M339" s="1672"/>
      <c r="N339" s="1672"/>
      <c r="O339" s="1672"/>
      <c r="P339" s="1672"/>
      <c r="Q339" s="1672"/>
      <c r="R339" s="1672"/>
      <c r="S339" s="1672">
        <v>600000</v>
      </c>
      <c r="T339" s="1672" t="s">
        <v>592</v>
      </c>
      <c r="U339" s="1672"/>
      <c r="V339" s="1672">
        <v>1</v>
      </c>
      <c r="W339" s="1672" t="s">
        <v>2826</v>
      </c>
      <c r="X339" s="1323" t="s">
        <v>706</v>
      </c>
      <c r="Y339" s="406">
        <f t="shared" si="107"/>
        <v>600</v>
      </c>
      <c r="Z339" s="275">
        <f>S339*V339</f>
        <v>600000</v>
      </c>
      <c r="AA339" s="305"/>
      <c r="AB339" s="305"/>
      <c r="AC339" s="2557"/>
    </row>
    <row r="340" spans="1:29" s="165" customFormat="1" ht="22.5" customHeight="1">
      <c r="A340" s="1290"/>
      <c r="B340" s="1189"/>
      <c r="C340" s="413"/>
      <c r="D340" s="1131"/>
      <c r="E340" s="1154" t="s">
        <v>2213</v>
      </c>
      <c r="F340" s="1141">
        <f>Y340</f>
        <v>2000</v>
      </c>
      <c r="G340" s="1141">
        <v>3600</v>
      </c>
      <c r="H340" s="513">
        <f t="shared" si="100"/>
        <v>-1600</v>
      </c>
      <c r="I340" s="2559"/>
      <c r="J340" s="2345" t="s">
        <v>1785</v>
      </c>
      <c r="K340" s="1672"/>
      <c r="L340" s="1672"/>
      <c r="M340" s="1672"/>
      <c r="N340" s="1672"/>
      <c r="O340" s="1672"/>
      <c r="P340" s="1672"/>
      <c r="Q340" s="1672"/>
      <c r="R340" s="1672"/>
      <c r="S340" s="1672">
        <v>200000</v>
      </c>
      <c r="T340" s="1672" t="s">
        <v>1817</v>
      </c>
      <c r="U340" s="1672"/>
      <c r="V340" s="1672">
        <v>10</v>
      </c>
      <c r="W340" s="1672" t="s">
        <v>1786</v>
      </c>
      <c r="X340" s="1323" t="s">
        <v>1818</v>
      </c>
      <c r="Y340" s="406">
        <f t="shared" si="103"/>
        <v>2000</v>
      </c>
      <c r="Z340" s="275">
        <f>S340*V340</f>
        <v>2000000</v>
      </c>
      <c r="AA340" s="305"/>
      <c r="AB340" s="305"/>
      <c r="AC340" s="166"/>
    </row>
    <row r="341" spans="1:29" ht="22.5" customHeight="1">
      <c r="A341" s="2660"/>
      <c r="B341" s="1145"/>
      <c r="C341" s="3386" t="s">
        <v>735</v>
      </c>
      <c r="D341" s="3386"/>
      <c r="E341" s="3386"/>
      <c r="F341" s="483">
        <f>F342</f>
        <v>110000</v>
      </c>
      <c r="G341" s="483">
        <f>G342</f>
        <v>110000</v>
      </c>
      <c r="H341" s="1383">
        <f>F341-G341</f>
        <v>0</v>
      </c>
      <c r="I341" s="1127"/>
      <c r="J341" s="394"/>
      <c r="K341" s="2662"/>
      <c r="L341" s="2662"/>
      <c r="M341" s="2662"/>
      <c r="N341" s="2662"/>
      <c r="O341" s="2662"/>
      <c r="P341" s="484"/>
      <c r="Q341" s="485"/>
      <c r="R341" s="486"/>
      <c r="S341" s="487"/>
      <c r="T341" s="486"/>
      <c r="U341" s="2658"/>
      <c r="V341" s="487"/>
      <c r="W341" s="2658"/>
      <c r="X341" s="2658"/>
      <c r="Y341" s="1870"/>
      <c r="Z341" s="401"/>
    </row>
    <row r="342" spans="1:29" s="986" customFormat="1" ht="22.5" customHeight="1">
      <c r="A342" s="2660"/>
      <c r="B342" s="1145"/>
      <c r="C342" s="2664"/>
      <c r="D342" s="3387" t="s">
        <v>3302</v>
      </c>
      <c r="E342" s="3388"/>
      <c r="F342" s="488">
        <f>SUM(F343:F362)</f>
        <v>110000</v>
      </c>
      <c r="G342" s="488">
        <f>SUM(G343:G362)</f>
        <v>110000</v>
      </c>
      <c r="H342" s="468">
        <f>F342-G342</f>
        <v>0</v>
      </c>
      <c r="I342" s="1127"/>
      <c r="J342" s="394"/>
      <c r="K342" s="2662"/>
      <c r="L342" s="2662"/>
      <c r="M342" s="2662"/>
      <c r="N342" s="2662"/>
      <c r="O342" s="2662"/>
      <c r="P342" s="484"/>
      <c r="Q342" s="487"/>
      <c r="R342" s="486"/>
      <c r="S342" s="487"/>
      <c r="T342" s="486"/>
      <c r="U342" s="1146"/>
      <c r="V342" s="487"/>
      <c r="W342" s="2658"/>
      <c r="X342" s="430"/>
      <c r="Y342" s="439"/>
      <c r="Z342" s="401"/>
      <c r="AA342" s="321"/>
      <c r="AB342" s="321"/>
    </row>
    <row r="343" spans="1:29" s="986" customFormat="1" ht="22.5" customHeight="1">
      <c r="A343" s="2274"/>
      <c r="B343" s="1145"/>
      <c r="C343" s="470"/>
      <c r="D343" s="489"/>
      <c r="E343" s="1126" t="s">
        <v>2214</v>
      </c>
      <c r="F343" s="490">
        <f>Y343</f>
        <v>30000</v>
      </c>
      <c r="G343" s="491">
        <v>30000</v>
      </c>
      <c r="H343" s="1147"/>
      <c r="I343" s="1127"/>
      <c r="J343" s="2287" t="s">
        <v>2215</v>
      </c>
      <c r="K343" s="2278"/>
      <c r="L343" s="2278"/>
      <c r="M343" s="2278"/>
      <c r="N343" s="2278"/>
      <c r="O343" s="2278"/>
      <c r="P343" s="1128"/>
      <c r="Q343" s="492">
        <v>1</v>
      </c>
      <c r="R343" s="493" t="s">
        <v>2096</v>
      </c>
      <c r="S343" s="492">
        <v>2500000</v>
      </c>
      <c r="T343" s="344" t="s">
        <v>50</v>
      </c>
      <c r="U343" s="1675"/>
      <c r="V343" s="492">
        <v>12</v>
      </c>
      <c r="W343" s="2282" t="s">
        <v>2</v>
      </c>
      <c r="X343" s="1140" t="s">
        <v>1</v>
      </c>
      <c r="Y343" s="406">
        <f t="shared" ref="Y343:Y352" si="108">(Z343)/1000</f>
        <v>30000</v>
      </c>
      <c r="Z343" s="275">
        <f>Q343*S343*V343</f>
        <v>30000000</v>
      </c>
      <c r="AA343" s="321"/>
      <c r="AB343" s="321"/>
    </row>
    <row r="344" spans="1:29" s="986" customFormat="1" ht="22.5" customHeight="1">
      <c r="A344" s="2274"/>
      <c r="B344" s="1145"/>
      <c r="C344" s="2290"/>
      <c r="D344" s="495"/>
      <c r="E344" s="496" t="s">
        <v>51</v>
      </c>
      <c r="F344" s="490">
        <f>Y344</f>
        <v>14400</v>
      </c>
      <c r="G344" s="497">
        <v>14400</v>
      </c>
      <c r="H344" s="1147"/>
      <c r="I344" s="1127"/>
      <c r="J344" s="2287" t="s">
        <v>1727</v>
      </c>
      <c r="K344" s="2278"/>
      <c r="L344" s="2278"/>
      <c r="M344" s="2278"/>
      <c r="N344" s="2278"/>
      <c r="O344" s="2278"/>
      <c r="P344" s="1128"/>
      <c r="Q344" s="372"/>
      <c r="R344" s="2282"/>
      <c r="S344" s="492"/>
      <c r="T344" s="2282"/>
      <c r="U344" s="2282"/>
      <c r="V344" s="492"/>
      <c r="W344" s="2282"/>
      <c r="X344" s="1140"/>
      <c r="Y344" s="406">
        <f t="shared" si="108"/>
        <v>14400</v>
      </c>
      <c r="Z344" s="275">
        <f>SUM(Z345:Z346)</f>
        <v>14400000</v>
      </c>
      <c r="AA344" s="321"/>
      <c r="AB344" s="321"/>
    </row>
    <row r="345" spans="1:29" s="986" customFormat="1" ht="22.5" customHeight="1">
      <c r="A345" s="2274"/>
      <c r="B345" s="1145"/>
      <c r="C345" s="2290"/>
      <c r="D345" s="495"/>
      <c r="E345" s="496"/>
      <c r="F345" s="490"/>
      <c r="G345" s="497"/>
      <c r="H345" s="1147"/>
      <c r="I345" s="1127"/>
      <c r="J345" s="2287" t="s">
        <v>2216</v>
      </c>
      <c r="K345" s="2278"/>
      <c r="L345" s="2278"/>
      <c r="M345" s="2278"/>
      <c r="N345" s="2278"/>
      <c r="O345" s="2278"/>
      <c r="P345" s="1128"/>
      <c r="Q345" s="372">
        <v>2</v>
      </c>
      <c r="R345" s="2282" t="s">
        <v>1730</v>
      </c>
      <c r="S345" s="492">
        <v>1200000</v>
      </c>
      <c r="T345" s="344" t="s">
        <v>50</v>
      </c>
      <c r="U345" s="2282"/>
      <c r="V345" s="492">
        <v>2</v>
      </c>
      <c r="W345" s="2282" t="s">
        <v>3</v>
      </c>
      <c r="X345" s="1140" t="s">
        <v>1</v>
      </c>
      <c r="Y345" s="406">
        <f t="shared" si="108"/>
        <v>4800</v>
      </c>
      <c r="Z345" s="275">
        <f>Q345*S345*V345</f>
        <v>4800000</v>
      </c>
      <c r="AA345" s="321"/>
      <c r="AB345" s="321"/>
    </row>
    <row r="346" spans="1:29" ht="22.5" customHeight="1">
      <c r="A346" s="2274"/>
      <c r="B346" s="1145"/>
      <c r="C346" s="2290"/>
      <c r="D346" s="495"/>
      <c r="E346" s="496"/>
      <c r="F346" s="490"/>
      <c r="G346" s="497"/>
      <c r="H346" s="1147"/>
      <c r="I346" s="1127"/>
      <c r="J346" s="2287" t="s">
        <v>2217</v>
      </c>
      <c r="K346" s="2278"/>
      <c r="L346" s="2278"/>
      <c r="M346" s="2278"/>
      <c r="N346" s="2278"/>
      <c r="O346" s="2278"/>
      <c r="P346" s="1128"/>
      <c r="Q346" s="372">
        <v>2</v>
      </c>
      <c r="R346" s="2282" t="s">
        <v>1730</v>
      </c>
      <c r="S346" s="492">
        <v>1200000</v>
      </c>
      <c r="T346" s="344" t="s">
        <v>50</v>
      </c>
      <c r="U346" s="2282"/>
      <c r="V346" s="492">
        <v>4</v>
      </c>
      <c r="W346" s="2282" t="s">
        <v>3</v>
      </c>
      <c r="X346" s="1140" t="s">
        <v>1</v>
      </c>
      <c r="Y346" s="406">
        <f t="shared" si="108"/>
        <v>9600</v>
      </c>
      <c r="Z346" s="275">
        <f>Q346*S346*V346</f>
        <v>9600000</v>
      </c>
    </row>
    <row r="347" spans="1:29" ht="22.5" customHeight="1">
      <c r="A347" s="2274"/>
      <c r="B347" s="1145"/>
      <c r="C347" s="2290"/>
      <c r="D347" s="495"/>
      <c r="E347" s="498" t="s">
        <v>2031</v>
      </c>
      <c r="F347" s="490">
        <f>Y347</f>
        <v>1630</v>
      </c>
      <c r="G347" s="497">
        <v>1630</v>
      </c>
      <c r="H347" s="1147"/>
      <c r="I347" s="1127"/>
      <c r="J347" s="2287" t="s">
        <v>2218</v>
      </c>
      <c r="K347" s="2278"/>
      <c r="L347" s="2278"/>
      <c r="M347" s="2278"/>
      <c r="N347" s="2278"/>
      <c r="O347" s="2278"/>
      <c r="P347" s="1128"/>
      <c r="Q347" s="372"/>
      <c r="R347" s="2282"/>
      <c r="S347" s="492">
        <v>1630000</v>
      </c>
      <c r="T347" s="344" t="s">
        <v>50</v>
      </c>
      <c r="U347" s="2282"/>
      <c r="V347" s="492">
        <v>1</v>
      </c>
      <c r="W347" s="2282" t="s">
        <v>1738</v>
      </c>
      <c r="X347" s="1140" t="s">
        <v>1</v>
      </c>
      <c r="Y347" s="406">
        <f t="shared" si="108"/>
        <v>1630</v>
      </c>
      <c r="Z347" s="275">
        <f>S347*V347</f>
        <v>1630000</v>
      </c>
    </row>
    <row r="348" spans="1:29" ht="22.5" customHeight="1">
      <c r="A348" s="2274"/>
      <c r="B348" s="1145"/>
      <c r="C348" s="2290"/>
      <c r="D348" s="495"/>
      <c r="E348" s="496" t="s">
        <v>143</v>
      </c>
      <c r="F348" s="490">
        <f>Y348</f>
        <v>6000</v>
      </c>
      <c r="G348" s="497">
        <v>6000</v>
      </c>
      <c r="H348" s="1147"/>
      <c r="I348" s="1127"/>
      <c r="J348" s="2287" t="s">
        <v>2219</v>
      </c>
      <c r="K348" s="2278"/>
      <c r="L348" s="2278"/>
      <c r="M348" s="2278"/>
      <c r="N348" s="2278"/>
      <c r="O348" s="2278"/>
      <c r="P348" s="1128"/>
      <c r="Q348" s="372"/>
      <c r="R348" s="2282"/>
      <c r="S348" s="492">
        <v>500000</v>
      </c>
      <c r="T348" s="344" t="s">
        <v>2023</v>
      </c>
      <c r="U348" s="2282"/>
      <c r="V348" s="492">
        <v>12</v>
      </c>
      <c r="W348" s="2282" t="s">
        <v>1955</v>
      </c>
      <c r="X348" s="1140" t="s">
        <v>1</v>
      </c>
      <c r="Y348" s="406">
        <f t="shared" si="108"/>
        <v>6000</v>
      </c>
      <c r="Z348" s="275">
        <f>S348*V348</f>
        <v>6000000</v>
      </c>
    </row>
    <row r="349" spans="1:29" ht="22.5" customHeight="1">
      <c r="A349" s="2274"/>
      <c r="B349" s="1145"/>
      <c r="C349" s="2290"/>
      <c r="D349" s="495"/>
      <c r="E349" s="496" t="s">
        <v>52</v>
      </c>
      <c r="F349" s="490">
        <v>12820</v>
      </c>
      <c r="G349" s="497">
        <v>12820</v>
      </c>
      <c r="H349" s="1147"/>
      <c r="I349" s="1127"/>
      <c r="J349" s="2287" t="s">
        <v>1727</v>
      </c>
      <c r="K349" s="2278"/>
      <c r="L349" s="2278"/>
      <c r="M349" s="2278"/>
      <c r="N349" s="2278"/>
      <c r="O349" s="2278"/>
      <c r="P349" s="1128"/>
      <c r="Q349" s="372"/>
      <c r="R349" s="2282"/>
      <c r="S349" s="492"/>
      <c r="T349" s="2282"/>
      <c r="U349" s="2282"/>
      <c r="V349" s="492"/>
      <c r="W349" s="2282"/>
      <c r="X349" s="1140"/>
      <c r="Y349" s="406">
        <f t="shared" si="108"/>
        <v>12820</v>
      </c>
      <c r="Z349" s="275">
        <f>SUM(Z350:Z352)</f>
        <v>12820000</v>
      </c>
    </row>
    <row r="350" spans="1:29" ht="22.5" customHeight="1">
      <c r="A350" s="2274"/>
      <c r="B350" s="1145"/>
      <c r="C350" s="2290"/>
      <c r="D350" s="495"/>
      <c r="E350" s="496"/>
      <c r="F350" s="490"/>
      <c r="G350" s="497"/>
      <c r="H350" s="1147"/>
      <c r="I350" s="1127"/>
      <c r="J350" s="2287" t="s">
        <v>2220</v>
      </c>
      <c r="K350" s="2278"/>
      <c r="L350" s="2278"/>
      <c r="M350" s="2278"/>
      <c r="N350" s="2278"/>
      <c r="O350" s="2278"/>
      <c r="P350" s="1128"/>
      <c r="Q350" s="372">
        <v>1</v>
      </c>
      <c r="R350" s="2282" t="s">
        <v>2165</v>
      </c>
      <c r="S350" s="492">
        <v>32000</v>
      </c>
      <c r="T350" s="344" t="s">
        <v>50</v>
      </c>
      <c r="U350" s="2282"/>
      <c r="V350" s="492">
        <v>185</v>
      </c>
      <c r="W350" s="2282" t="s">
        <v>3</v>
      </c>
      <c r="X350" s="1140" t="s">
        <v>1</v>
      </c>
      <c r="Y350" s="406">
        <f t="shared" si="108"/>
        <v>5920</v>
      </c>
      <c r="Z350" s="275">
        <f>Q350*S350*V350</f>
        <v>5920000</v>
      </c>
    </row>
    <row r="351" spans="1:29" ht="22.5" customHeight="1">
      <c r="A351" s="1342"/>
      <c r="B351" s="1145"/>
      <c r="C351" s="2290"/>
      <c r="D351" s="495"/>
      <c r="E351" s="496"/>
      <c r="F351" s="490"/>
      <c r="G351" s="497"/>
      <c r="H351" s="1147"/>
      <c r="I351" s="1127"/>
      <c r="J351" s="2287" t="s">
        <v>2221</v>
      </c>
      <c r="K351" s="2278"/>
      <c r="L351" s="2278"/>
      <c r="M351" s="2278"/>
      <c r="N351" s="2278"/>
      <c r="O351" s="2278"/>
      <c r="P351" s="1128"/>
      <c r="Q351" s="372">
        <v>1</v>
      </c>
      <c r="R351" s="2282" t="s">
        <v>53</v>
      </c>
      <c r="S351" s="1314">
        <v>250000</v>
      </c>
      <c r="T351" s="344" t="s">
        <v>50</v>
      </c>
      <c r="U351" s="1675"/>
      <c r="V351" s="372">
        <v>15</v>
      </c>
      <c r="W351" s="2282" t="s">
        <v>3</v>
      </c>
      <c r="X351" s="1140" t="s">
        <v>1</v>
      </c>
      <c r="Y351" s="406">
        <f t="shared" si="108"/>
        <v>3750</v>
      </c>
      <c r="Z351" s="275">
        <f>Q351*S351*V351</f>
        <v>3750000</v>
      </c>
    </row>
    <row r="352" spans="1:29" ht="22.5" customHeight="1">
      <c r="A352" s="2274"/>
      <c r="B352" s="1145"/>
      <c r="C352" s="2290"/>
      <c r="D352" s="495"/>
      <c r="E352" s="496"/>
      <c r="F352" s="490"/>
      <c r="G352" s="497"/>
      <c r="H352" s="1147"/>
      <c r="I352" s="1127"/>
      <c r="J352" s="2287" t="s">
        <v>2222</v>
      </c>
      <c r="K352" s="2278"/>
      <c r="L352" s="2278"/>
      <c r="M352" s="2278"/>
      <c r="N352" s="2278"/>
      <c r="O352" s="2278"/>
      <c r="P352" s="1128"/>
      <c r="Q352" s="372">
        <v>3</v>
      </c>
      <c r="R352" s="2282" t="s">
        <v>53</v>
      </c>
      <c r="S352" s="1314">
        <v>105000</v>
      </c>
      <c r="T352" s="344" t="s">
        <v>50</v>
      </c>
      <c r="U352" s="1675"/>
      <c r="V352" s="372">
        <v>10</v>
      </c>
      <c r="W352" s="2282" t="s">
        <v>3</v>
      </c>
      <c r="X352" s="1140" t="s">
        <v>1</v>
      </c>
      <c r="Y352" s="406">
        <f t="shared" si="108"/>
        <v>3150</v>
      </c>
      <c r="Z352" s="275">
        <f>Q352*S352*V352</f>
        <v>3150000</v>
      </c>
    </row>
    <row r="353" spans="1:29" ht="22.5" customHeight="1">
      <c r="A353" s="2274"/>
      <c r="B353" s="1145"/>
      <c r="C353" s="2290"/>
      <c r="D353" s="495"/>
      <c r="E353" s="496" t="s">
        <v>65</v>
      </c>
      <c r="F353" s="490">
        <f>Y353</f>
        <v>2420</v>
      </c>
      <c r="G353" s="497">
        <v>2420</v>
      </c>
      <c r="H353" s="1147"/>
      <c r="I353" s="1127"/>
      <c r="J353" s="2287" t="s">
        <v>1727</v>
      </c>
      <c r="K353" s="2278"/>
      <c r="L353" s="2278"/>
      <c r="M353" s="2278"/>
      <c r="N353" s="2278"/>
      <c r="O353" s="2278"/>
      <c r="P353" s="1128"/>
      <c r="Q353" s="372"/>
      <c r="R353" s="2282"/>
      <c r="S353" s="492"/>
      <c r="T353" s="2282"/>
      <c r="U353" s="2282"/>
      <c r="V353" s="492"/>
      <c r="W353" s="2282"/>
      <c r="X353" s="1140"/>
      <c r="Y353" s="406">
        <f>SUM(Y354:Y355)</f>
        <v>2420</v>
      </c>
      <c r="Z353" s="275">
        <f>SUM(Z354:Z355)</f>
        <v>2420000</v>
      </c>
    </row>
    <row r="354" spans="1:29" ht="22.5" customHeight="1">
      <c r="A354" s="2274"/>
      <c r="B354" s="1145"/>
      <c r="C354" s="2290"/>
      <c r="D354" s="495"/>
      <c r="E354" s="496"/>
      <c r="F354" s="490"/>
      <c r="G354" s="497"/>
      <c r="H354" s="1147"/>
      <c r="I354" s="1127"/>
      <c r="J354" s="2287" t="s">
        <v>274</v>
      </c>
      <c r="K354" s="2278"/>
      <c r="L354" s="2278"/>
      <c r="M354" s="2278"/>
      <c r="N354" s="2278"/>
      <c r="O354" s="2278"/>
      <c r="P354" s="1128"/>
      <c r="Q354" s="372">
        <v>1</v>
      </c>
      <c r="R354" s="2282" t="s">
        <v>57</v>
      </c>
      <c r="S354" s="492">
        <v>135000</v>
      </c>
      <c r="T354" s="344" t="s">
        <v>50</v>
      </c>
      <c r="U354" s="2282"/>
      <c r="V354" s="492">
        <v>12</v>
      </c>
      <c r="W354" s="2282" t="s">
        <v>2</v>
      </c>
      <c r="X354" s="1140" t="s">
        <v>1</v>
      </c>
      <c r="Y354" s="406">
        <f>(Z354)/1000</f>
        <v>1620</v>
      </c>
      <c r="Z354" s="275">
        <f>Q354*S354*V354</f>
        <v>1620000</v>
      </c>
    </row>
    <row r="355" spans="1:29" ht="22.5" customHeight="1">
      <c r="A355" s="2274"/>
      <c r="B355" s="1145"/>
      <c r="C355" s="2290"/>
      <c r="D355" s="495"/>
      <c r="E355" s="496"/>
      <c r="F355" s="490"/>
      <c r="G355" s="497"/>
      <c r="H355" s="1147"/>
      <c r="I355" s="1127"/>
      <c r="J355" s="2287" t="s">
        <v>2223</v>
      </c>
      <c r="K355" s="2278"/>
      <c r="L355" s="2278"/>
      <c r="M355" s="2278"/>
      <c r="N355" s="2278"/>
      <c r="O355" s="2278"/>
      <c r="P355" s="1128"/>
      <c r="Q355" s="372">
        <v>1</v>
      </c>
      <c r="R355" s="2282" t="s">
        <v>57</v>
      </c>
      <c r="S355" s="492">
        <v>800000</v>
      </c>
      <c r="T355" s="344" t="s">
        <v>50</v>
      </c>
      <c r="U355" s="2282"/>
      <c r="V355" s="492">
        <v>1</v>
      </c>
      <c r="W355" s="2282" t="s">
        <v>3</v>
      </c>
      <c r="X355" s="1140" t="s">
        <v>1</v>
      </c>
      <c r="Y355" s="406">
        <f>(Z355)/1000</f>
        <v>800</v>
      </c>
      <c r="Z355" s="275">
        <f>Q355*S355*V355</f>
        <v>800000</v>
      </c>
    </row>
    <row r="356" spans="1:29" ht="22.5" customHeight="1">
      <c r="A356" s="2274"/>
      <c r="B356" s="1145"/>
      <c r="C356" s="2290"/>
      <c r="D356" s="495"/>
      <c r="E356" s="496" t="s">
        <v>64</v>
      </c>
      <c r="F356" s="490">
        <v>21660</v>
      </c>
      <c r="G356" s="497">
        <v>21660</v>
      </c>
      <c r="H356" s="1147"/>
      <c r="I356" s="1127"/>
      <c r="J356" s="2287" t="s">
        <v>2224</v>
      </c>
      <c r="K356" s="2278"/>
      <c r="L356" s="2278"/>
      <c r="M356" s="2278"/>
      <c r="N356" s="2278"/>
      <c r="O356" s="2278"/>
      <c r="P356" s="1128"/>
      <c r="Q356" s="372">
        <v>1</v>
      </c>
      <c r="R356" s="2282" t="s">
        <v>57</v>
      </c>
      <c r="S356" s="492">
        <v>1805000</v>
      </c>
      <c r="T356" s="344" t="s">
        <v>50</v>
      </c>
      <c r="U356" s="2282"/>
      <c r="V356" s="492">
        <v>12</v>
      </c>
      <c r="W356" s="2282" t="s">
        <v>2</v>
      </c>
      <c r="X356" s="1140" t="s">
        <v>1</v>
      </c>
      <c r="Y356" s="406">
        <f t="shared" ref="Y356:Y362" si="109">(Z356)/1000</f>
        <v>21660</v>
      </c>
      <c r="Z356" s="275">
        <f>Q356*S356*V356</f>
        <v>21660000</v>
      </c>
    </row>
    <row r="357" spans="1:29" ht="22.5" customHeight="1">
      <c r="A357" s="2274"/>
      <c r="B357" s="1145"/>
      <c r="C357" s="2290"/>
      <c r="D357" s="495"/>
      <c r="E357" s="1313" t="s">
        <v>54</v>
      </c>
      <c r="F357" s="490">
        <f>Y357</f>
        <v>2100</v>
      </c>
      <c r="G357" s="497">
        <v>2100</v>
      </c>
      <c r="H357" s="1147"/>
      <c r="I357" s="1127"/>
      <c r="J357" s="2287" t="s">
        <v>2225</v>
      </c>
      <c r="K357" s="2278"/>
      <c r="L357" s="2278"/>
      <c r="M357" s="2278"/>
      <c r="N357" s="2278"/>
      <c r="O357" s="2278"/>
      <c r="P357" s="1128"/>
      <c r="Q357" s="372"/>
      <c r="R357" s="493"/>
      <c r="S357" s="492">
        <v>175000</v>
      </c>
      <c r="T357" s="344" t="s">
        <v>50</v>
      </c>
      <c r="U357" s="2282"/>
      <c r="V357" s="492">
        <v>12</v>
      </c>
      <c r="W357" s="2282" t="s">
        <v>2</v>
      </c>
      <c r="X357" s="1140" t="s">
        <v>1</v>
      </c>
      <c r="Y357" s="406">
        <f t="shared" si="109"/>
        <v>2100</v>
      </c>
      <c r="Z357" s="275">
        <f>S357*V357</f>
        <v>2100000</v>
      </c>
    </row>
    <row r="358" spans="1:29" ht="22.5" customHeight="1">
      <c r="A358" s="2274"/>
      <c r="B358" s="1145"/>
      <c r="C358" s="2290"/>
      <c r="D358" s="495"/>
      <c r="E358" s="498" t="s">
        <v>56</v>
      </c>
      <c r="F358" s="490">
        <v>16000</v>
      </c>
      <c r="G358" s="497">
        <v>16000</v>
      </c>
      <c r="H358" s="1147"/>
      <c r="I358" s="1127"/>
      <c r="J358" s="2287" t="s">
        <v>1727</v>
      </c>
      <c r="K358" s="2278"/>
      <c r="L358" s="2278"/>
      <c r="M358" s="2278"/>
      <c r="N358" s="2278"/>
      <c r="O358" s="2278"/>
      <c r="P358" s="1128"/>
      <c r="Q358" s="372"/>
      <c r="R358" s="2282"/>
      <c r="S358" s="492"/>
      <c r="T358" s="2282"/>
      <c r="U358" s="2282"/>
      <c r="V358" s="492"/>
      <c r="W358" s="2282"/>
      <c r="X358" s="1140"/>
      <c r="Y358" s="406">
        <f t="shared" si="109"/>
        <v>16000</v>
      </c>
      <c r="Z358" s="275">
        <f>SUM(Z359:Z361)</f>
        <v>16000000</v>
      </c>
    </row>
    <row r="359" spans="1:29" ht="22.5" customHeight="1">
      <c r="A359" s="2274"/>
      <c r="B359" s="1145"/>
      <c r="C359" s="2290"/>
      <c r="D359" s="495"/>
      <c r="E359" s="498"/>
      <c r="F359" s="490"/>
      <c r="G359" s="497"/>
      <c r="H359" s="1147"/>
      <c r="I359" s="1127"/>
      <c r="J359" s="1670" t="s">
        <v>1748</v>
      </c>
      <c r="K359" s="2278"/>
      <c r="L359" s="2278"/>
      <c r="M359" s="2278"/>
      <c r="N359" s="2278"/>
      <c r="O359" s="2278"/>
      <c r="P359" s="1128"/>
      <c r="Q359" s="372">
        <v>1</v>
      </c>
      <c r="R359" s="2282" t="s">
        <v>57</v>
      </c>
      <c r="S359" s="492">
        <v>2500</v>
      </c>
      <c r="T359" s="344" t="s">
        <v>50</v>
      </c>
      <c r="U359" s="2282"/>
      <c r="V359" s="492">
        <v>1000</v>
      </c>
      <c r="W359" s="2282" t="s">
        <v>58</v>
      </c>
      <c r="X359" s="1140" t="s">
        <v>1</v>
      </c>
      <c r="Y359" s="406">
        <f t="shared" si="109"/>
        <v>2500</v>
      </c>
      <c r="Z359" s="275">
        <f>Q359*S359*V359</f>
        <v>2500000</v>
      </c>
    </row>
    <row r="360" spans="1:29" s="311" customFormat="1" ht="22.5" customHeight="1">
      <c r="A360" s="2274"/>
      <c r="B360" s="1145"/>
      <c r="C360" s="2290"/>
      <c r="D360" s="495"/>
      <c r="E360" s="498"/>
      <c r="F360" s="490"/>
      <c r="G360" s="497"/>
      <c r="H360" s="1147"/>
      <c r="I360" s="1127"/>
      <c r="J360" s="1670" t="s">
        <v>2226</v>
      </c>
      <c r="K360" s="2278"/>
      <c r="L360" s="2278"/>
      <c r="M360" s="2278"/>
      <c r="N360" s="2278"/>
      <c r="O360" s="2278"/>
      <c r="P360" s="1128"/>
      <c r="Q360" s="372"/>
      <c r="R360" s="2282"/>
      <c r="S360" s="1314">
        <v>300000</v>
      </c>
      <c r="T360" s="344" t="s">
        <v>50</v>
      </c>
      <c r="U360" s="1675"/>
      <c r="V360" s="372">
        <v>25</v>
      </c>
      <c r="W360" s="2282" t="s">
        <v>3</v>
      </c>
      <c r="X360" s="1140" t="s">
        <v>1</v>
      </c>
      <c r="Y360" s="406">
        <f t="shared" si="109"/>
        <v>7500</v>
      </c>
      <c r="Z360" s="275">
        <f>S360*V360</f>
        <v>7500000</v>
      </c>
      <c r="AA360" s="321"/>
      <c r="AC360" s="303"/>
    </row>
    <row r="361" spans="1:29" s="311" customFormat="1" ht="22.5" customHeight="1">
      <c r="A361" s="475"/>
      <c r="B361" s="1145"/>
      <c r="C361" s="2290"/>
      <c r="D361" s="495"/>
      <c r="E361" s="1313"/>
      <c r="F361" s="490"/>
      <c r="G361" s="497"/>
      <c r="H361" s="1147"/>
      <c r="I361" s="1127"/>
      <c r="J361" s="1670" t="s">
        <v>2227</v>
      </c>
      <c r="K361" s="2278"/>
      <c r="L361" s="2278"/>
      <c r="M361" s="2278"/>
      <c r="N361" s="2278"/>
      <c r="O361" s="2278"/>
      <c r="P361" s="1128"/>
      <c r="Q361" s="372">
        <v>25</v>
      </c>
      <c r="R361" s="2282" t="s">
        <v>53</v>
      </c>
      <c r="S361" s="1314">
        <v>12000</v>
      </c>
      <c r="T361" s="344" t="s">
        <v>50</v>
      </c>
      <c r="U361" s="1675"/>
      <c r="V361" s="372">
        <v>20</v>
      </c>
      <c r="W361" s="2282" t="s">
        <v>3</v>
      </c>
      <c r="X361" s="1140" t="s">
        <v>1</v>
      </c>
      <c r="Y361" s="406">
        <f t="shared" si="109"/>
        <v>6000</v>
      </c>
      <c r="Z361" s="275">
        <f>Q361*S361*V361</f>
        <v>6000000</v>
      </c>
      <c r="AA361" s="321"/>
      <c r="AC361" s="303"/>
    </row>
    <row r="362" spans="1:29" s="311" customFormat="1" ht="22.5" customHeight="1">
      <c r="A362" s="2274"/>
      <c r="B362" s="1145"/>
      <c r="C362" s="2290"/>
      <c r="D362" s="495"/>
      <c r="E362" s="498" t="s">
        <v>55</v>
      </c>
      <c r="F362" s="490">
        <f>Y362</f>
        <v>2970</v>
      </c>
      <c r="G362" s="490">
        <v>2970</v>
      </c>
      <c r="H362" s="1147"/>
      <c r="I362" s="1127"/>
      <c r="J362" s="1670" t="s">
        <v>2228</v>
      </c>
      <c r="K362" s="2278"/>
      <c r="L362" s="2278"/>
      <c r="M362" s="2278"/>
      <c r="N362" s="2278"/>
      <c r="O362" s="2278"/>
      <c r="P362" s="1128"/>
      <c r="Q362" s="372">
        <v>10</v>
      </c>
      <c r="R362" s="2282" t="s">
        <v>53</v>
      </c>
      <c r="S362" s="1314">
        <v>14850</v>
      </c>
      <c r="T362" s="344" t="s">
        <v>50</v>
      </c>
      <c r="U362" s="1675"/>
      <c r="V362" s="372">
        <v>20</v>
      </c>
      <c r="W362" s="2288" t="s">
        <v>3</v>
      </c>
      <c r="X362" s="1140" t="s">
        <v>1</v>
      </c>
      <c r="Y362" s="406">
        <f t="shared" si="109"/>
        <v>2970</v>
      </c>
      <c r="Z362" s="275">
        <f>Q362*S362*V362</f>
        <v>2970000</v>
      </c>
      <c r="AA362" s="321"/>
      <c r="AC362" s="303"/>
    </row>
  </sheetData>
  <mergeCells count="60">
    <mergeCell ref="J10:M10"/>
    <mergeCell ref="D26:E26"/>
    <mergeCell ref="C152:E152"/>
    <mergeCell ref="C93:E93"/>
    <mergeCell ref="D88:E88"/>
    <mergeCell ref="J145:O145"/>
    <mergeCell ref="A5:E5"/>
    <mergeCell ref="B6:E6"/>
    <mergeCell ref="C7:E7"/>
    <mergeCell ref="D8:E8"/>
    <mergeCell ref="D153:E153"/>
    <mergeCell ref="J134:O134"/>
    <mergeCell ref="J154:O154"/>
    <mergeCell ref="J133:O133"/>
    <mergeCell ref="C188:E188"/>
    <mergeCell ref="J192:O192"/>
    <mergeCell ref="K177:O177"/>
    <mergeCell ref="D164:E164"/>
    <mergeCell ref="D172:E172"/>
    <mergeCell ref="J181:O181"/>
    <mergeCell ref="D189:E189"/>
    <mergeCell ref="D185:E185"/>
    <mergeCell ref="B1:Y1"/>
    <mergeCell ref="A3:E3"/>
    <mergeCell ref="F3:F4"/>
    <mergeCell ref="G3:G4"/>
    <mergeCell ref="H3:H4"/>
    <mergeCell ref="J3:Y4"/>
    <mergeCell ref="J37:O37"/>
    <mergeCell ref="J51:O51"/>
    <mergeCell ref="J75:O75"/>
    <mergeCell ref="J79:O79"/>
    <mergeCell ref="J81:L81"/>
    <mergeCell ref="J135:O135"/>
    <mergeCell ref="D94:E94"/>
    <mergeCell ref="D180:E180"/>
    <mergeCell ref="D342:E342"/>
    <mergeCell ref="D324:E324"/>
    <mergeCell ref="C323:E323"/>
    <mergeCell ref="C322:E322"/>
    <mergeCell ref="C299:E299"/>
    <mergeCell ref="D300:E300"/>
    <mergeCell ref="D295:E295"/>
    <mergeCell ref="D251:E251"/>
    <mergeCell ref="C199:E199"/>
    <mergeCell ref="D268:E268"/>
    <mergeCell ref="D284:E284"/>
    <mergeCell ref="C200:E200"/>
    <mergeCell ref="D201:E201"/>
    <mergeCell ref="D211:E211"/>
    <mergeCell ref="D234:E234"/>
    <mergeCell ref="D241:E241"/>
    <mergeCell ref="D245:E245"/>
    <mergeCell ref="J308:M308"/>
    <mergeCell ref="J309:L309"/>
    <mergeCell ref="J320:M320"/>
    <mergeCell ref="J321:M321"/>
    <mergeCell ref="C341:E341"/>
    <mergeCell ref="J310:L310"/>
    <mergeCell ref="D318:E318"/>
  </mergeCells>
  <phoneticPr fontId="19" type="noConversion"/>
  <pageMargins left="0.70866141732283472" right="0.70866141732283472" top="0.74803149606299213" bottom="0.74803149606299213" header="0.31496062992125984" footer="0.31496062992125984"/>
  <pageSetup paperSize="9" scale="54" fitToHeight="100" orientation="landscape" r:id="rId1"/>
  <rowBreaks count="1" manualBreakCount="1">
    <brk id="151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B586"/>
  <sheetViews>
    <sheetView view="pageBreakPreview" zoomScale="70" zoomScaleNormal="60" zoomScaleSheetLayoutView="70" workbookViewId="0">
      <pane ySplit="6" topLeftCell="A310" activePane="bottomLeft" state="frozen"/>
      <selection activeCell="F154" sqref="F154"/>
      <selection pane="bottomLeft" activeCell="AB208" sqref="AB208"/>
    </sheetView>
  </sheetViews>
  <sheetFormatPr defaultRowHeight="21.75" customHeight="1"/>
  <cols>
    <col min="1" max="1" width="6.6640625" style="357" customWidth="1"/>
    <col min="2" max="4" width="6.6640625" style="1155" customWidth="1"/>
    <col min="5" max="5" width="16" style="1155" customWidth="1"/>
    <col min="6" max="7" width="13.77734375" style="947" customWidth="1"/>
    <col min="8" max="8" width="13.77734375" style="948" customWidth="1"/>
    <col min="9" max="9" width="1.6640625" style="2278" customWidth="1"/>
    <col min="10" max="10" width="4" style="1155" customWidth="1"/>
    <col min="11" max="11" width="1.88671875" style="1155" customWidth="1"/>
    <col min="12" max="12" width="8.6640625" style="1155" customWidth="1"/>
    <col min="13" max="13" width="8.77734375" style="1155" customWidth="1"/>
    <col min="14" max="14" width="10.77734375" style="1155" customWidth="1"/>
    <col min="15" max="16" width="7.77734375" style="1155" customWidth="1"/>
    <col min="17" max="17" width="8.109375" style="1155" customWidth="1"/>
    <col min="18" max="18" width="6.88671875" style="1155" customWidth="1"/>
    <col min="19" max="19" width="16.109375" style="1155" customWidth="1"/>
    <col min="20" max="23" width="6.77734375" style="1155" customWidth="1"/>
    <col min="24" max="24" width="3" style="882" customWidth="1"/>
    <col min="25" max="25" width="14.77734375" style="1155" customWidth="1"/>
    <col min="26" max="26" width="19.6640625" style="357" customWidth="1"/>
    <col min="27" max="27" width="19.109375" style="358" bestFit="1" customWidth="1"/>
    <col min="28" max="28" width="21.21875" style="358" customWidth="1"/>
    <col min="29" max="29" width="20.77734375" style="358" bestFit="1" customWidth="1"/>
    <col min="30" max="30" width="11.5546875" style="357" bestFit="1" customWidth="1"/>
    <col min="31" max="31" width="14.88671875" style="357" bestFit="1" customWidth="1"/>
    <col min="32" max="32" width="13.88671875" style="357" bestFit="1" customWidth="1"/>
    <col min="33" max="33" width="9.77734375" style="357" bestFit="1" customWidth="1"/>
    <col min="34" max="16384" width="8.88671875" style="357"/>
  </cols>
  <sheetData>
    <row r="1" spans="1:29" ht="42" customHeight="1">
      <c r="A1" s="3250" t="s">
        <v>5748</v>
      </c>
      <c r="B1" s="3250"/>
      <c r="C1" s="3250"/>
      <c r="D1" s="3250"/>
      <c r="E1" s="3250"/>
      <c r="F1" s="3250"/>
      <c r="G1" s="3250"/>
      <c r="H1" s="3250"/>
      <c r="I1" s="3250"/>
      <c r="J1" s="3250"/>
      <c r="K1" s="3250"/>
      <c r="L1" s="3250"/>
      <c r="M1" s="3250"/>
      <c r="N1" s="3250"/>
      <c r="O1" s="3250"/>
      <c r="P1" s="3250"/>
      <c r="Q1" s="3250"/>
      <c r="R1" s="3250"/>
      <c r="S1" s="3250"/>
      <c r="T1" s="3250"/>
      <c r="U1" s="3250"/>
      <c r="V1" s="3250"/>
      <c r="W1" s="3250"/>
      <c r="X1" s="3250"/>
      <c r="Y1" s="3250"/>
      <c r="Z1" s="892"/>
    </row>
    <row r="2" spans="1:29" ht="20.25" customHeight="1" thickBot="1">
      <c r="B2" s="646"/>
      <c r="C2" s="646"/>
      <c r="D2" s="646" t="s">
        <v>267</v>
      </c>
      <c r="E2" s="646"/>
      <c r="F2" s="867"/>
      <c r="G2" s="772"/>
      <c r="H2" s="647" t="s">
        <v>1691</v>
      </c>
      <c r="J2" s="646" t="s">
        <v>267</v>
      </c>
      <c r="K2" s="646"/>
      <c r="L2" s="773" t="s">
        <v>267</v>
      </c>
      <c r="M2" s="646"/>
      <c r="N2" s="646"/>
      <c r="O2" s="343"/>
      <c r="P2" s="275"/>
      <c r="Q2" s="2275"/>
      <c r="R2" s="2278"/>
      <c r="S2" s="2278"/>
      <c r="T2" s="2278"/>
      <c r="U2" s="2278"/>
      <c r="V2" s="2278"/>
      <c r="W2" s="2278"/>
      <c r="X2" s="525"/>
      <c r="Y2" s="408" t="s">
        <v>1691</v>
      </c>
      <c r="Z2" s="2278"/>
    </row>
    <row r="3" spans="1:29" ht="21.75" customHeight="1">
      <c r="A3" s="3251" t="s">
        <v>188</v>
      </c>
      <c r="B3" s="3252"/>
      <c r="C3" s="3252"/>
      <c r="D3" s="3252"/>
      <c r="E3" s="3253"/>
      <c r="F3" s="3254" t="s">
        <v>151</v>
      </c>
      <c r="G3" s="3256" t="s">
        <v>1692</v>
      </c>
      <c r="H3" s="3258" t="s">
        <v>189</v>
      </c>
      <c r="I3" s="473"/>
      <c r="J3" s="3260" t="s">
        <v>2229</v>
      </c>
      <c r="K3" s="3261"/>
      <c r="L3" s="3261"/>
      <c r="M3" s="3261"/>
      <c r="N3" s="3261"/>
      <c r="O3" s="3261"/>
      <c r="P3" s="3261"/>
      <c r="Q3" s="3261"/>
      <c r="R3" s="3261"/>
      <c r="S3" s="3261"/>
      <c r="T3" s="3261"/>
      <c r="U3" s="3261"/>
      <c r="V3" s="3261"/>
      <c r="W3" s="3261"/>
      <c r="X3" s="3261"/>
      <c r="Y3" s="3262"/>
      <c r="Z3" s="343"/>
    </row>
    <row r="4" spans="1:29" ht="21.75" customHeight="1" thickBot="1">
      <c r="A4" s="893" t="s">
        <v>216</v>
      </c>
      <c r="B4" s="653" t="s">
        <v>444</v>
      </c>
      <c r="C4" s="654" t="s">
        <v>191</v>
      </c>
      <c r="D4" s="654" t="s">
        <v>205</v>
      </c>
      <c r="E4" s="654" t="s">
        <v>815</v>
      </c>
      <c r="F4" s="3255"/>
      <c r="G4" s="3257"/>
      <c r="H4" s="3259"/>
      <c r="I4" s="655"/>
      <c r="J4" s="3263"/>
      <c r="K4" s="3264"/>
      <c r="L4" s="3264"/>
      <c r="M4" s="3264"/>
      <c r="N4" s="3264"/>
      <c r="O4" s="3264"/>
      <c r="P4" s="3264"/>
      <c r="Q4" s="3264"/>
      <c r="R4" s="3264"/>
      <c r="S4" s="3264"/>
      <c r="T4" s="3264"/>
      <c r="U4" s="3264"/>
      <c r="V4" s="3264"/>
      <c r="W4" s="3264"/>
      <c r="X4" s="3264"/>
      <c r="Y4" s="3265"/>
      <c r="Z4" s="2288"/>
    </row>
    <row r="5" spans="1:29" s="795" customFormat="1" ht="22.5" customHeight="1">
      <c r="A5" s="3424" t="s">
        <v>2230</v>
      </c>
      <c r="B5" s="3425"/>
      <c r="C5" s="3425"/>
      <c r="D5" s="3425"/>
      <c r="E5" s="3426"/>
      <c r="F5" s="894">
        <f>+F6</f>
        <v>4153000</v>
      </c>
      <c r="G5" s="894">
        <f>+G6</f>
        <v>4153000</v>
      </c>
      <c r="H5" s="895">
        <f>F5-G5</f>
        <v>0</v>
      </c>
      <c r="I5" s="896"/>
      <c r="J5" s="790"/>
      <c r="K5" s="791"/>
      <c r="L5" s="791"/>
      <c r="M5" s="791"/>
      <c r="N5" s="791"/>
      <c r="O5" s="792"/>
      <c r="P5" s="2270"/>
      <c r="Q5" s="897"/>
      <c r="R5" s="898"/>
      <c r="S5" s="899"/>
      <c r="T5" s="900"/>
      <c r="U5" s="899"/>
      <c r="V5" s="900"/>
      <c r="W5" s="900"/>
      <c r="X5" s="901"/>
      <c r="Y5" s="902"/>
      <c r="Z5" s="983"/>
      <c r="AA5" s="784"/>
      <c r="AB5" s="784"/>
      <c r="AC5" s="784"/>
    </row>
    <row r="6" spans="1:29" s="795" customFormat="1" ht="22.5" customHeight="1">
      <c r="A6" s="903"/>
      <c r="B6" s="3362" t="s">
        <v>2230</v>
      </c>
      <c r="C6" s="3362"/>
      <c r="D6" s="3362"/>
      <c r="E6" s="3363"/>
      <c r="F6" s="894">
        <f>+F7+F116</f>
        <v>4153000</v>
      </c>
      <c r="G6" s="894">
        <f>+G7+G116</f>
        <v>4153000</v>
      </c>
      <c r="H6" s="895">
        <f>F6-G6</f>
        <v>0</v>
      </c>
      <c r="I6" s="896"/>
      <c r="J6" s="790"/>
      <c r="K6" s="791"/>
      <c r="L6" s="791"/>
      <c r="M6" s="791"/>
      <c r="N6" s="791"/>
      <c r="O6" s="792"/>
      <c r="P6" s="2270"/>
      <c r="Q6" s="897"/>
      <c r="R6" s="898"/>
      <c r="S6" s="899"/>
      <c r="T6" s="900"/>
      <c r="U6" s="899"/>
      <c r="V6" s="900"/>
      <c r="W6" s="900"/>
      <c r="X6" s="901"/>
      <c r="Y6" s="902"/>
      <c r="Z6" s="983"/>
      <c r="AA6" s="784"/>
      <c r="AB6" s="784"/>
      <c r="AC6" s="784"/>
    </row>
    <row r="7" spans="1:29" ht="21" customHeight="1">
      <c r="A7" s="334"/>
      <c r="B7" s="2275"/>
      <c r="C7" s="3284" t="s">
        <v>70</v>
      </c>
      <c r="D7" s="3354"/>
      <c r="E7" s="3285"/>
      <c r="F7" s="904">
        <f>F8+F21+F111</f>
        <v>2820000</v>
      </c>
      <c r="G7" s="904">
        <f>G8+G21+G111</f>
        <v>2820000</v>
      </c>
      <c r="H7" s="895">
        <f>F7-G7</f>
        <v>0</v>
      </c>
      <c r="I7" s="473"/>
      <c r="J7" s="501"/>
      <c r="K7" s="2276"/>
      <c r="L7" s="2276"/>
      <c r="M7" s="2276"/>
      <c r="N7" s="2276"/>
      <c r="O7" s="800"/>
      <c r="P7" s="2267"/>
      <c r="Q7" s="857"/>
      <c r="R7" s="2267"/>
      <c r="S7" s="800"/>
      <c r="T7" s="2276"/>
      <c r="U7" s="800"/>
      <c r="V7" s="2276"/>
      <c r="W7" s="2276"/>
      <c r="X7" s="905"/>
      <c r="Y7" s="377"/>
      <c r="Z7" s="1128"/>
    </row>
    <row r="8" spans="1:29" s="1155" customFormat="1" ht="21" customHeight="1">
      <c r="A8" s="475"/>
      <c r="B8" s="335"/>
      <c r="C8" s="1126"/>
      <c r="D8" s="3364" t="s">
        <v>604</v>
      </c>
      <c r="E8" s="3365"/>
      <c r="F8" s="373">
        <f>+F9+F16+F17</f>
        <v>1340000</v>
      </c>
      <c r="G8" s="373">
        <f>+G9+G16+G17</f>
        <v>1340000</v>
      </c>
      <c r="H8" s="1132">
        <f>F8-G8</f>
        <v>0</v>
      </c>
      <c r="I8" s="2278"/>
      <c r="J8" s="796"/>
      <c r="K8" s="797"/>
      <c r="L8" s="797"/>
      <c r="M8" s="797"/>
      <c r="N8" s="797"/>
      <c r="O8" s="797"/>
      <c r="P8" s="798"/>
      <c r="Q8" s="799"/>
      <c r="R8" s="2267"/>
      <c r="S8" s="800"/>
      <c r="T8" s="2276"/>
      <c r="U8" s="800"/>
      <c r="V8" s="2276"/>
      <c r="W8" s="2276"/>
      <c r="X8" s="905"/>
      <c r="Y8" s="801"/>
      <c r="Z8" s="503"/>
      <c r="AA8" s="907">
        <f>F8*1000000</f>
        <v>1340000000000</v>
      </c>
      <c r="AB8" s="505"/>
      <c r="AC8" s="505"/>
    </row>
    <row r="9" spans="1:29" s="1155" customFormat="1" ht="21" customHeight="1">
      <c r="A9" s="475"/>
      <c r="B9" s="335"/>
      <c r="C9" s="1126"/>
      <c r="D9" s="1126"/>
      <c r="E9" s="465" t="s">
        <v>1435</v>
      </c>
      <c r="F9" s="598">
        <f>+Y9</f>
        <v>1087290</v>
      </c>
      <c r="G9" s="598">
        <v>1087290</v>
      </c>
      <c r="H9" s="352"/>
      <c r="I9" s="2278"/>
      <c r="J9" s="802" t="s">
        <v>608</v>
      </c>
      <c r="K9" s="803"/>
      <c r="L9" s="803"/>
      <c r="M9" s="803"/>
      <c r="N9" s="649"/>
      <c r="O9" s="649"/>
      <c r="P9" s="803"/>
      <c r="Q9" s="804"/>
      <c r="R9" s="1671"/>
      <c r="S9" s="1671"/>
      <c r="T9" s="1671"/>
      <c r="U9" s="1671"/>
      <c r="V9" s="1671"/>
      <c r="W9" s="1671"/>
      <c r="X9" s="397"/>
      <c r="Y9" s="1674">
        <f t="shared" ref="Y9:Y17" si="0">+Z9/1000</f>
        <v>1087290</v>
      </c>
      <c r="Z9" s="355">
        <f>+Z10+Z12+Z14</f>
        <v>1087290000</v>
      </c>
      <c r="AA9" s="907">
        <f t="shared" ref="AA9:AA72" si="1">F9*1000000</f>
        <v>1087290000000</v>
      </c>
      <c r="AB9" s="505"/>
      <c r="AC9" s="505"/>
    </row>
    <row r="10" spans="1:29" s="1155" customFormat="1" ht="21" customHeight="1">
      <c r="A10" s="2274"/>
      <c r="B10" s="1145"/>
      <c r="C10" s="470"/>
      <c r="D10" s="1126"/>
      <c r="E10" s="465"/>
      <c r="F10" s="598"/>
      <c r="G10" s="598"/>
      <c r="H10" s="404"/>
      <c r="I10" s="2278"/>
      <c r="J10" s="802" t="s">
        <v>227</v>
      </c>
      <c r="K10" s="805"/>
      <c r="L10" s="646"/>
      <c r="M10" s="646"/>
      <c r="N10" s="649"/>
      <c r="O10" s="649"/>
      <c r="P10" s="803"/>
      <c r="Q10" s="804" t="s">
        <v>601</v>
      </c>
      <c r="R10" s="1671" t="s">
        <v>267</v>
      </c>
      <c r="S10" s="806"/>
      <c r="T10" s="1671"/>
      <c r="U10" s="1671"/>
      <c r="V10" s="1671"/>
      <c r="W10" s="1671"/>
      <c r="X10" s="397"/>
      <c r="Y10" s="1674">
        <f t="shared" si="0"/>
        <v>936000</v>
      </c>
      <c r="Z10" s="355">
        <f>SUM(Z11:Z11)</f>
        <v>936000000</v>
      </c>
      <c r="AA10" s="907">
        <f t="shared" si="1"/>
        <v>0</v>
      </c>
      <c r="AB10" s="505"/>
      <c r="AC10" s="505"/>
    </row>
    <row r="11" spans="1:29" s="1155" customFormat="1" ht="21" customHeight="1">
      <c r="A11" s="2274"/>
      <c r="B11" s="1145"/>
      <c r="C11" s="470"/>
      <c r="D11" s="1126"/>
      <c r="E11" s="465"/>
      <c r="F11" s="598"/>
      <c r="G11" s="598"/>
      <c r="H11" s="404"/>
      <c r="I11" s="2278"/>
      <c r="J11" s="802"/>
      <c r="K11" s="807" t="s">
        <v>1124</v>
      </c>
      <c r="L11" s="646"/>
      <c r="M11" s="646"/>
      <c r="N11" s="808"/>
      <c r="O11" s="803"/>
      <c r="P11" s="803"/>
      <c r="Q11" s="804" t="s">
        <v>745</v>
      </c>
      <c r="R11" s="1671" t="s">
        <v>464</v>
      </c>
      <c r="S11" s="1672">
        <v>4588235.2941176472</v>
      </c>
      <c r="T11" s="1671" t="s">
        <v>354</v>
      </c>
      <c r="U11" s="1671"/>
      <c r="V11" s="1671">
        <v>12</v>
      </c>
      <c r="W11" s="1671" t="s">
        <v>198</v>
      </c>
      <c r="X11" s="397" t="s">
        <v>565</v>
      </c>
      <c r="Y11" s="1674">
        <f t="shared" si="0"/>
        <v>936000</v>
      </c>
      <c r="Z11" s="1674">
        <f>S11*Q11*V11</f>
        <v>936000000</v>
      </c>
      <c r="AA11" s="907">
        <f t="shared" si="1"/>
        <v>0</v>
      </c>
      <c r="AB11" s="505">
        <f>78000000*12</f>
        <v>936000000</v>
      </c>
      <c r="AC11" s="505">
        <f>AB11/V11/Q11</f>
        <v>4588235.2941176472</v>
      </c>
    </row>
    <row r="12" spans="1:29" s="1155" customFormat="1" ht="21" customHeight="1">
      <c r="A12" s="2274"/>
      <c r="B12" s="1145"/>
      <c r="C12" s="470"/>
      <c r="D12" s="1126"/>
      <c r="E12" s="465"/>
      <c r="F12" s="598"/>
      <c r="G12" s="598"/>
      <c r="H12" s="404"/>
      <c r="I12" s="2278"/>
      <c r="J12" s="802" t="s">
        <v>1125</v>
      </c>
      <c r="K12" s="805"/>
      <c r="L12" s="646"/>
      <c r="M12" s="646"/>
      <c r="N12" s="808"/>
      <c r="O12" s="803"/>
      <c r="P12" s="803"/>
      <c r="Q12" s="804"/>
      <c r="R12" s="2282"/>
      <c r="S12" s="1671"/>
      <c r="T12" s="2282"/>
      <c r="U12" s="1671"/>
      <c r="V12" s="1671"/>
      <c r="W12" s="1671"/>
      <c r="X12" s="397"/>
      <c r="Y12" s="1674">
        <f t="shared" si="0"/>
        <v>111600</v>
      </c>
      <c r="Z12" s="1674">
        <f>SUM(Z13:Z13)</f>
        <v>111600000</v>
      </c>
      <c r="AA12" s="907">
        <f t="shared" si="1"/>
        <v>0</v>
      </c>
      <c r="AB12" s="505"/>
      <c r="AC12" s="505"/>
    </row>
    <row r="13" spans="1:29" s="1155" customFormat="1" ht="21" customHeight="1">
      <c r="A13" s="2274"/>
      <c r="B13" s="1145"/>
      <c r="C13" s="470"/>
      <c r="D13" s="1126"/>
      <c r="E13" s="465"/>
      <c r="F13" s="598"/>
      <c r="G13" s="598"/>
      <c r="H13" s="404"/>
      <c r="I13" s="2278"/>
      <c r="J13" s="802"/>
      <c r="K13" s="807" t="s">
        <v>1124</v>
      </c>
      <c r="L13" s="646"/>
      <c r="M13" s="646"/>
      <c r="N13" s="808"/>
      <c r="O13" s="803"/>
      <c r="P13" s="803"/>
      <c r="Q13" s="804" t="s">
        <v>745</v>
      </c>
      <c r="R13" s="1671" t="s">
        <v>464</v>
      </c>
      <c r="S13" s="1672">
        <v>547058.82352941181</v>
      </c>
      <c r="T13" s="1671" t="s">
        <v>354</v>
      </c>
      <c r="U13" s="1671"/>
      <c r="V13" s="1671">
        <v>12</v>
      </c>
      <c r="W13" s="1671" t="s">
        <v>198</v>
      </c>
      <c r="X13" s="397" t="s">
        <v>565</v>
      </c>
      <c r="Y13" s="1674">
        <f t="shared" si="0"/>
        <v>111600</v>
      </c>
      <c r="Z13" s="1674">
        <f>ROUNDUP(S13*Q13*V13,-3)</f>
        <v>111600000</v>
      </c>
      <c r="AA13" s="907">
        <f t="shared" si="1"/>
        <v>0</v>
      </c>
      <c r="AB13" s="505">
        <f>9300000*12</f>
        <v>111600000</v>
      </c>
      <c r="AC13" s="505">
        <f>AB13/V13/Q13</f>
        <v>547058.82352941181</v>
      </c>
    </row>
    <row r="14" spans="1:29" s="1155" customFormat="1" ht="21" customHeight="1">
      <c r="A14" s="2274"/>
      <c r="B14" s="1145"/>
      <c r="C14" s="470"/>
      <c r="D14" s="1126"/>
      <c r="E14" s="465"/>
      <c r="F14" s="598"/>
      <c r="G14" s="598"/>
      <c r="H14" s="404"/>
      <c r="I14" s="2278"/>
      <c r="J14" s="802" t="s">
        <v>1126</v>
      </c>
      <c r="K14" s="805"/>
      <c r="L14" s="646"/>
      <c r="M14" s="646"/>
      <c r="N14" s="808"/>
      <c r="O14" s="803"/>
      <c r="P14" s="803"/>
      <c r="Q14" s="804"/>
      <c r="R14" s="2282"/>
      <c r="S14" s="1671"/>
      <c r="T14" s="2282"/>
      <c r="U14" s="1671"/>
      <c r="V14" s="1671"/>
      <c r="W14" s="1671"/>
      <c r="X14" s="397"/>
      <c r="Y14" s="1674">
        <f t="shared" si="0"/>
        <v>39690</v>
      </c>
      <c r="Z14" s="1674">
        <f>SUM(Z15:Z15)</f>
        <v>39690000</v>
      </c>
      <c r="AA14" s="907">
        <f t="shared" si="1"/>
        <v>0</v>
      </c>
      <c r="AB14" s="505"/>
      <c r="AC14" s="505"/>
    </row>
    <row r="15" spans="1:29" s="1155" customFormat="1" ht="21" customHeight="1">
      <c r="A15" s="2274"/>
      <c r="B15" s="1145"/>
      <c r="C15" s="470"/>
      <c r="D15" s="1126"/>
      <c r="E15" s="465"/>
      <c r="F15" s="598"/>
      <c r="G15" s="598"/>
      <c r="H15" s="404"/>
      <c r="I15" s="2278"/>
      <c r="J15" s="802"/>
      <c r="K15" s="807" t="s">
        <v>1124</v>
      </c>
      <c r="L15" s="646"/>
      <c r="M15" s="646"/>
      <c r="N15" s="808"/>
      <c r="O15" s="803"/>
      <c r="P15" s="803"/>
      <c r="Q15" s="804" t="s">
        <v>745</v>
      </c>
      <c r="R15" s="1671" t="s">
        <v>464</v>
      </c>
      <c r="S15" s="1672">
        <v>2334705.8823529412</v>
      </c>
      <c r="T15" s="1671" t="s">
        <v>354</v>
      </c>
      <c r="U15" s="1671"/>
      <c r="V15" s="1671">
        <v>1</v>
      </c>
      <c r="W15" s="1671" t="s">
        <v>196</v>
      </c>
      <c r="X15" s="397" t="s">
        <v>565</v>
      </c>
      <c r="Y15" s="1674">
        <f t="shared" si="0"/>
        <v>39690</v>
      </c>
      <c r="Z15" s="1674">
        <f>ROUNDUP(S15*Q15*V15,-3)</f>
        <v>39690000</v>
      </c>
      <c r="AA15" s="907">
        <f t="shared" si="1"/>
        <v>0</v>
      </c>
      <c r="AB15" s="505">
        <v>39690000</v>
      </c>
      <c r="AC15" s="505">
        <f>AB15/Q15</f>
        <v>2334705.8823529412</v>
      </c>
    </row>
    <row r="16" spans="1:29" s="1155" customFormat="1" ht="21" customHeight="1">
      <c r="A16" s="2274"/>
      <c r="B16" s="1145"/>
      <c r="C16" s="470"/>
      <c r="D16" s="1126"/>
      <c r="E16" s="809" t="s">
        <v>714</v>
      </c>
      <c r="F16" s="1683">
        <f>Y16</f>
        <v>130950</v>
      </c>
      <c r="G16" s="613">
        <v>130950</v>
      </c>
      <c r="H16" s="1132"/>
      <c r="I16" s="2278"/>
      <c r="J16" s="811" t="s">
        <v>621</v>
      </c>
      <c r="K16" s="812"/>
      <c r="L16" s="1953"/>
      <c r="M16" s="1953"/>
      <c r="N16" s="813"/>
      <c r="O16" s="813"/>
      <c r="P16" s="812"/>
      <c r="Q16" s="814"/>
      <c r="R16" s="815"/>
      <c r="S16" s="450">
        <f>+Z11+Z13</f>
        <v>1047600000</v>
      </c>
      <c r="T16" s="815" t="s">
        <v>759</v>
      </c>
      <c r="U16" s="816">
        <v>12</v>
      </c>
      <c r="V16" s="815" t="s">
        <v>678</v>
      </c>
      <c r="W16" s="817">
        <v>1.5</v>
      </c>
      <c r="X16" s="906" t="s">
        <v>565</v>
      </c>
      <c r="Y16" s="377">
        <f t="shared" si="0"/>
        <v>130950</v>
      </c>
      <c r="Z16" s="355">
        <f>+(S16/U16*W16)</f>
        <v>130950000</v>
      </c>
      <c r="AA16" s="907">
        <f t="shared" si="1"/>
        <v>130950000000</v>
      </c>
      <c r="AB16" s="505"/>
      <c r="AC16" s="505"/>
    </row>
    <row r="17" spans="1:30" s="1155" customFormat="1" ht="21" customHeight="1">
      <c r="A17" s="2274"/>
      <c r="B17" s="1145"/>
      <c r="C17" s="470"/>
      <c r="D17" s="1126"/>
      <c r="E17" s="809" t="s">
        <v>334</v>
      </c>
      <c r="F17" s="613">
        <f>Y17</f>
        <v>121760</v>
      </c>
      <c r="G17" s="613">
        <v>121760</v>
      </c>
      <c r="H17" s="810"/>
      <c r="I17" s="2278"/>
      <c r="J17" s="811" t="s">
        <v>608</v>
      </c>
      <c r="K17" s="812"/>
      <c r="L17" s="812"/>
      <c r="M17" s="812"/>
      <c r="N17" s="813"/>
      <c r="O17" s="813"/>
      <c r="P17" s="812"/>
      <c r="Q17" s="814"/>
      <c r="R17" s="815"/>
      <c r="S17" s="815"/>
      <c r="T17" s="815"/>
      <c r="U17" s="815"/>
      <c r="V17" s="815"/>
      <c r="W17" s="815"/>
      <c r="X17" s="906"/>
      <c r="Y17" s="1674">
        <f t="shared" si="0"/>
        <v>121760</v>
      </c>
      <c r="Z17" s="1881">
        <f>SUM(Z19:Z20)</f>
        <v>121760000</v>
      </c>
      <c r="AA17" s="907">
        <f t="shared" si="1"/>
        <v>121760000000</v>
      </c>
      <c r="AB17" s="505"/>
      <c r="AC17" s="505"/>
    </row>
    <row r="18" spans="1:30" ht="21" customHeight="1">
      <c r="A18" s="2274"/>
      <c r="B18" s="1145"/>
      <c r="C18" s="470"/>
      <c r="D18" s="1126"/>
      <c r="E18" s="465"/>
      <c r="F18" s="598"/>
      <c r="G18" s="598"/>
      <c r="H18" s="404"/>
      <c r="J18" s="1670" t="s">
        <v>679</v>
      </c>
      <c r="K18" s="803"/>
      <c r="L18" s="803"/>
      <c r="M18" s="803"/>
      <c r="N18" s="649"/>
      <c r="O18" s="649"/>
      <c r="P18" s="803"/>
      <c r="Q18" s="804"/>
      <c r="R18" s="1671"/>
      <c r="S18" s="1671"/>
      <c r="T18" s="1671"/>
      <c r="U18" s="1671"/>
      <c r="V18" s="1671"/>
      <c r="W18" s="1671"/>
      <c r="X18" s="397"/>
      <c r="Y18" s="1674"/>
      <c r="Z18" s="355"/>
      <c r="AA18" s="907">
        <f t="shared" si="1"/>
        <v>0</v>
      </c>
      <c r="AB18" s="1882"/>
      <c r="AC18" s="1882"/>
    </row>
    <row r="19" spans="1:30" ht="21" customHeight="1">
      <c r="A19" s="1670"/>
      <c r="B19" s="465"/>
      <c r="C19" s="413"/>
      <c r="D19" s="1126"/>
      <c r="E19" s="465"/>
      <c r="F19" s="598"/>
      <c r="G19" s="598"/>
      <c r="H19" s="404"/>
      <c r="J19" s="802" t="s">
        <v>6061</v>
      </c>
      <c r="K19" s="803"/>
      <c r="L19" s="803"/>
      <c r="M19" s="803"/>
      <c r="N19" s="649"/>
      <c r="O19" s="803"/>
      <c r="P19" s="803"/>
      <c r="Q19" s="804"/>
      <c r="R19" s="1671"/>
      <c r="S19" s="1672">
        <f>+S16</f>
        <v>1047600000</v>
      </c>
      <c r="T19" s="1671" t="s">
        <v>354</v>
      </c>
      <c r="U19" s="1671"/>
      <c r="V19" s="818">
        <v>0.1</v>
      </c>
      <c r="W19" s="1671"/>
      <c r="X19" s="397" t="s">
        <v>565</v>
      </c>
      <c r="Y19" s="1674">
        <f>+Z19/1000</f>
        <v>104760</v>
      </c>
      <c r="Z19" s="355">
        <f>ROUNDUP(S19*V19,-3)</f>
        <v>104760000</v>
      </c>
      <c r="AA19" s="907">
        <f t="shared" si="1"/>
        <v>0</v>
      </c>
      <c r="AB19" s="1882"/>
      <c r="AC19" s="1882"/>
    </row>
    <row r="20" spans="1:30" s="1155" customFormat="1" ht="21" customHeight="1">
      <c r="A20" s="2274"/>
      <c r="B20" s="1145"/>
      <c r="C20" s="470"/>
      <c r="D20" s="359"/>
      <c r="E20" s="819"/>
      <c r="F20" s="597"/>
      <c r="G20" s="597"/>
      <c r="H20" s="820"/>
      <c r="I20" s="2278"/>
      <c r="J20" s="821" t="s">
        <v>6064</v>
      </c>
      <c r="K20" s="822"/>
      <c r="L20" s="822"/>
      <c r="M20" s="822"/>
      <c r="N20" s="823"/>
      <c r="O20" s="823"/>
      <c r="P20" s="822"/>
      <c r="Q20" s="824"/>
      <c r="R20" s="371"/>
      <c r="S20" s="458">
        <v>1000000</v>
      </c>
      <c r="T20" s="371" t="s">
        <v>1810</v>
      </c>
      <c r="U20" s="371"/>
      <c r="V20" s="825">
        <v>17</v>
      </c>
      <c r="W20" s="371" t="s">
        <v>2231</v>
      </c>
      <c r="X20" s="426" t="s">
        <v>1812</v>
      </c>
      <c r="Y20" s="1674">
        <f>+Z20/1000</f>
        <v>17000</v>
      </c>
      <c r="Z20" s="364">
        <f>ROUNDUP(S20*V20,-3)</f>
        <v>17000000</v>
      </c>
      <c r="AA20" s="907">
        <f t="shared" si="1"/>
        <v>0</v>
      </c>
      <c r="AB20" s="505"/>
      <c r="AC20" s="505"/>
    </row>
    <row r="21" spans="1:30" ht="21" customHeight="1">
      <c r="A21" s="334"/>
      <c r="B21" s="2275"/>
      <c r="C21" s="1126"/>
      <c r="D21" s="3284" t="s">
        <v>2232</v>
      </c>
      <c r="E21" s="3357"/>
      <c r="F21" s="424">
        <f>SUM(F22:F110)</f>
        <v>1453500</v>
      </c>
      <c r="G21" s="424">
        <f>SUM(G22:G110)</f>
        <v>1453500</v>
      </c>
      <c r="H21" s="1132">
        <f>F21-G21</f>
        <v>0</v>
      </c>
      <c r="I21" s="473"/>
      <c r="J21" s="826"/>
      <c r="K21" s="2289"/>
      <c r="L21" s="2289"/>
      <c r="M21" s="2289"/>
      <c r="N21" s="2289"/>
      <c r="O21" s="2289"/>
      <c r="P21" s="827"/>
      <c r="Q21" s="2289"/>
      <c r="R21" s="827"/>
      <c r="S21" s="2289"/>
      <c r="T21" s="827"/>
      <c r="U21" s="2289"/>
      <c r="V21" s="827"/>
      <c r="W21" s="2289"/>
      <c r="X21" s="2289"/>
      <c r="Y21" s="377"/>
      <c r="Z21" s="1128"/>
      <c r="AA21" s="907">
        <f t="shared" si="1"/>
        <v>1453500000000</v>
      </c>
      <c r="AB21" s="505"/>
      <c r="AD21" s="370"/>
    </row>
    <row r="22" spans="1:30" ht="21" customHeight="1">
      <c r="A22" s="334"/>
      <c r="B22" s="335"/>
      <c r="C22" s="1126"/>
      <c r="D22" s="1126"/>
      <c r="E22" s="828" t="s">
        <v>2233</v>
      </c>
      <c r="F22" s="438">
        <f>+Y22</f>
        <v>5450</v>
      </c>
      <c r="G22" s="438">
        <v>5450</v>
      </c>
      <c r="H22" s="908"/>
      <c r="I22" s="829"/>
      <c r="J22" s="1670" t="s">
        <v>1814</v>
      </c>
      <c r="K22" s="1671"/>
      <c r="L22" s="1671"/>
      <c r="M22" s="1671"/>
      <c r="N22" s="1672"/>
      <c r="O22" s="1672"/>
      <c r="P22" s="1671"/>
      <c r="Q22" s="1673"/>
      <c r="R22" s="1671"/>
      <c r="S22" s="1671"/>
      <c r="T22" s="1671"/>
      <c r="U22" s="1671"/>
      <c r="V22" s="1671"/>
      <c r="W22" s="1671"/>
      <c r="X22" s="397"/>
      <c r="Y22" s="1674">
        <f>+Z22/1000</f>
        <v>5450</v>
      </c>
      <c r="Z22" s="1671">
        <f>+Z23+Z24</f>
        <v>5450000</v>
      </c>
      <c r="AA22" s="907">
        <f t="shared" si="1"/>
        <v>5450000000</v>
      </c>
      <c r="AB22" s="505"/>
    </row>
    <row r="23" spans="1:30" ht="21" customHeight="1">
      <c r="A23" s="334"/>
      <c r="B23" s="335"/>
      <c r="C23" s="470"/>
      <c r="D23" s="1126"/>
      <c r="E23" s="470"/>
      <c r="F23" s="438"/>
      <c r="G23" s="438"/>
      <c r="H23" s="391"/>
      <c r="I23" s="829"/>
      <c r="J23" s="2287" t="s">
        <v>2234</v>
      </c>
      <c r="K23" s="2288"/>
      <c r="L23" s="2288"/>
      <c r="M23" s="2288"/>
      <c r="N23" s="1672"/>
      <c r="O23" s="2288"/>
      <c r="P23" s="1128"/>
      <c r="Q23" s="1673">
        <v>1</v>
      </c>
      <c r="R23" s="1671" t="s">
        <v>2235</v>
      </c>
      <c r="S23" s="1672">
        <v>100000</v>
      </c>
      <c r="T23" s="1671" t="s">
        <v>1810</v>
      </c>
      <c r="U23" s="1671"/>
      <c r="V23" s="1883">
        <v>12</v>
      </c>
      <c r="W23" s="2278" t="s">
        <v>2236</v>
      </c>
      <c r="X23" s="525" t="s">
        <v>2060</v>
      </c>
      <c r="Y23" s="1884">
        <f>+Z23/1000</f>
        <v>1200</v>
      </c>
      <c r="Z23" s="2288">
        <f>Q23*S23*V23</f>
        <v>1200000</v>
      </c>
      <c r="AA23" s="907">
        <f t="shared" si="1"/>
        <v>0</v>
      </c>
      <c r="AB23" s="505"/>
    </row>
    <row r="24" spans="1:30" ht="21" customHeight="1">
      <c r="A24" s="334"/>
      <c r="B24" s="413"/>
      <c r="C24" s="413"/>
      <c r="D24" s="465"/>
      <c r="E24" s="819"/>
      <c r="F24" s="424"/>
      <c r="G24" s="424"/>
      <c r="H24" s="425"/>
      <c r="I24" s="829"/>
      <c r="J24" s="830" t="s">
        <v>2237</v>
      </c>
      <c r="K24" s="371"/>
      <c r="L24" s="371"/>
      <c r="M24" s="371"/>
      <c r="N24" s="458"/>
      <c r="O24" s="371"/>
      <c r="P24" s="371"/>
      <c r="Q24" s="368"/>
      <c r="R24" s="371"/>
      <c r="S24" s="458">
        <v>250000</v>
      </c>
      <c r="T24" s="371" t="s">
        <v>1810</v>
      </c>
      <c r="U24" s="371"/>
      <c r="V24" s="1885">
        <v>17</v>
      </c>
      <c r="W24" s="371" t="s">
        <v>2231</v>
      </c>
      <c r="X24" s="426" t="s">
        <v>1812</v>
      </c>
      <c r="Y24" s="345">
        <f>+Z24/1000</f>
        <v>4250</v>
      </c>
      <c r="Z24" s="1671">
        <f>S24*V24</f>
        <v>4250000</v>
      </c>
      <c r="AA24" s="907">
        <f t="shared" si="1"/>
        <v>0</v>
      </c>
      <c r="AB24" s="505"/>
      <c r="AC24" s="909"/>
    </row>
    <row r="25" spans="1:30" ht="21" customHeight="1">
      <c r="A25" s="334"/>
      <c r="B25" s="2275"/>
      <c r="C25" s="1126"/>
      <c r="D25" s="1145"/>
      <c r="E25" s="465" t="s">
        <v>2238</v>
      </c>
      <c r="F25" s="435">
        <f>+Y25</f>
        <v>1700</v>
      </c>
      <c r="G25" s="435">
        <v>1700</v>
      </c>
      <c r="H25" s="391"/>
      <c r="I25" s="473"/>
      <c r="J25" s="802" t="s">
        <v>2239</v>
      </c>
      <c r="K25" s="803"/>
      <c r="L25" s="803"/>
      <c r="M25" s="803"/>
      <c r="N25" s="649"/>
      <c r="O25" s="803"/>
      <c r="P25" s="803"/>
      <c r="Q25" s="804"/>
      <c r="R25" s="1671"/>
      <c r="S25" s="1672">
        <v>100000</v>
      </c>
      <c r="T25" s="1671" t="s">
        <v>1810</v>
      </c>
      <c r="U25" s="1671"/>
      <c r="V25" s="1671">
        <v>17</v>
      </c>
      <c r="W25" s="1671" t="s">
        <v>2231</v>
      </c>
      <c r="X25" s="397" t="s">
        <v>1812</v>
      </c>
      <c r="Y25" s="345">
        <f>+Z25/1000</f>
        <v>1700</v>
      </c>
      <c r="Z25" s="1671">
        <f>S25*V25</f>
        <v>1700000</v>
      </c>
      <c r="AA25" s="907">
        <f t="shared" si="1"/>
        <v>1700000000</v>
      </c>
      <c r="AB25" s="505"/>
    </row>
    <row r="26" spans="1:30" ht="21" customHeight="1">
      <c r="A26" s="910"/>
      <c r="B26" s="335"/>
      <c r="C26" s="1126"/>
      <c r="D26" s="1145"/>
      <c r="E26" s="809" t="s">
        <v>2240</v>
      </c>
      <c r="F26" s="613">
        <f>+Y26</f>
        <v>2520</v>
      </c>
      <c r="G26" s="613">
        <v>2520</v>
      </c>
      <c r="H26" s="810"/>
      <c r="I26" s="473"/>
      <c r="J26" s="911" t="s">
        <v>1814</v>
      </c>
      <c r="K26" s="812"/>
      <c r="L26" s="812"/>
      <c r="M26" s="812"/>
      <c r="N26" s="813"/>
      <c r="O26" s="812"/>
      <c r="P26" s="812"/>
      <c r="Q26" s="814"/>
      <c r="R26" s="815"/>
      <c r="S26" s="450"/>
      <c r="T26" s="815"/>
      <c r="U26" s="815"/>
      <c r="V26" s="815"/>
      <c r="W26" s="815"/>
      <c r="X26" s="906"/>
      <c r="Y26" s="1674">
        <f>SUM(Y27:Y29)</f>
        <v>2520</v>
      </c>
      <c r="Z26" s="1671">
        <f>SUM(Z27:Z29)</f>
        <v>2520000</v>
      </c>
      <c r="AA26" s="907">
        <f t="shared" si="1"/>
        <v>2520000000</v>
      </c>
      <c r="AB26" s="505"/>
    </row>
    <row r="27" spans="1:30" s="1155" customFormat="1" ht="21" customHeight="1">
      <c r="A27" s="910"/>
      <c r="B27" s="335"/>
      <c r="C27" s="1126"/>
      <c r="D27" s="1145"/>
      <c r="E27" s="465"/>
      <c r="F27" s="598"/>
      <c r="G27" s="598"/>
      <c r="H27" s="404"/>
      <c r="I27" s="473"/>
      <c r="J27" s="802" t="s">
        <v>2241</v>
      </c>
      <c r="K27" s="803"/>
      <c r="L27" s="803"/>
      <c r="M27" s="803"/>
      <c r="N27" s="649"/>
      <c r="O27" s="803"/>
      <c r="P27" s="803"/>
      <c r="Q27" s="804"/>
      <c r="R27" s="1671"/>
      <c r="S27" s="1672">
        <v>1000000</v>
      </c>
      <c r="T27" s="1671" t="s">
        <v>1796</v>
      </c>
      <c r="U27" s="1671"/>
      <c r="V27" s="1671">
        <v>1</v>
      </c>
      <c r="W27" s="1671" t="s">
        <v>2242</v>
      </c>
      <c r="X27" s="397" t="s">
        <v>1797</v>
      </c>
      <c r="Y27" s="1674">
        <f t="shared" ref="Y27:Y35" si="2">+Z27/1000</f>
        <v>1000</v>
      </c>
      <c r="Z27" s="1671">
        <f>S27*V27</f>
        <v>1000000</v>
      </c>
      <c r="AA27" s="907">
        <f t="shared" si="1"/>
        <v>0</v>
      </c>
      <c r="AB27" s="505"/>
      <c r="AC27" s="1143"/>
    </row>
    <row r="28" spans="1:30" s="1155" customFormat="1" ht="21" customHeight="1">
      <c r="A28" s="910"/>
      <c r="B28" s="335"/>
      <c r="C28" s="1126"/>
      <c r="D28" s="1145"/>
      <c r="E28" s="465"/>
      <c r="F28" s="598"/>
      <c r="G28" s="598"/>
      <c r="H28" s="404"/>
      <c r="I28" s="473"/>
      <c r="J28" s="802" t="s">
        <v>2243</v>
      </c>
      <c r="K28" s="803"/>
      <c r="L28" s="803"/>
      <c r="M28" s="803"/>
      <c r="N28" s="649"/>
      <c r="O28" s="803"/>
      <c r="P28" s="803"/>
      <c r="Q28" s="804"/>
      <c r="R28" s="1671"/>
      <c r="S28" s="1672">
        <v>1000000</v>
      </c>
      <c r="T28" s="1671" t="s">
        <v>1796</v>
      </c>
      <c r="U28" s="1671"/>
      <c r="V28" s="1671">
        <v>1</v>
      </c>
      <c r="W28" s="1671" t="s">
        <v>2242</v>
      </c>
      <c r="X28" s="397" t="s">
        <v>1797</v>
      </c>
      <c r="Y28" s="1674">
        <f t="shared" si="2"/>
        <v>1000</v>
      </c>
      <c r="Z28" s="1671">
        <f>S28*V28</f>
        <v>1000000</v>
      </c>
      <c r="AA28" s="907">
        <f t="shared" si="1"/>
        <v>0</v>
      </c>
      <c r="AB28" s="505"/>
      <c r="AC28" s="1143"/>
    </row>
    <row r="29" spans="1:30" s="1155" customFormat="1" ht="21" customHeight="1">
      <c r="A29" s="910"/>
      <c r="B29" s="335"/>
      <c r="C29" s="1126"/>
      <c r="D29" s="1145"/>
      <c r="E29" s="465"/>
      <c r="F29" s="598"/>
      <c r="G29" s="598"/>
      <c r="H29" s="820"/>
      <c r="I29" s="473"/>
      <c r="J29" s="912" t="s">
        <v>2244</v>
      </c>
      <c r="K29" s="822"/>
      <c r="L29" s="822"/>
      <c r="M29" s="822"/>
      <c r="N29" s="823"/>
      <c r="O29" s="822"/>
      <c r="P29" s="822"/>
      <c r="Q29" s="824"/>
      <c r="R29" s="371"/>
      <c r="S29" s="458">
        <v>520000</v>
      </c>
      <c r="T29" s="371" t="s">
        <v>1796</v>
      </c>
      <c r="U29" s="371"/>
      <c r="V29" s="371">
        <v>1</v>
      </c>
      <c r="W29" s="1671" t="s">
        <v>2242</v>
      </c>
      <c r="X29" s="426" t="s">
        <v>1797</v>
      </c>
      <c r="Y29" s="1674">
        <f t="shared" si="2"/>
        <v>520</v>
      </c>
      <c r="Z29" s="1671">
        <f>S29*V29</f>
        <v>520000</v>
      </c>
      <c r="AA29" s="907">
        <f t="shared" si="1"/>
        <v>0</v>
      </c>
      <c r="AB29" s="505"/>
      <c r="AC29" s="1143"/>
    </row>
    <row r="30" spans="1:30" s="1155" customFormat="1" ht="21" customHeight="1">
      <c r="A30" s="334"/>
      <c r="B30" s="2275"/>
      <c r="C30" s="1126"/>
      <c r="D30" s="1145"/>
      <c r="E30" s="809" t="s">
        <v>2245</v>
      </c>
      <c r="F30" s="913">
        <f>Y30</f>
        <v>9000</v>
      </c>
      <c r="G30" s="913">
        <v>9000</v>
      </c>
      <c r="H30" s="391"/>
      <c r="I30" s="473"/>
      <c r="J30" s="1670" t="s">
        <v>1805</v>
      </c>
      <c r="K30" s="815"/>
      <c r="L30" s="815"/>
      <c r="M30" s="815"/>
      <c r="N30" s="450"/>
      <c r="O30" s="815"/>
      <c r="P30" s="815"/>
      <c r="Q30" s="831"/>
      <c r="R30" s="815"/>
      <c r="S30" s="450"/>
      <c r="T30" s="815"/>
      <c r="U30" s="815"/>
      <c r="V30" s="815"/>
      <c r="W30" s="815"/>
      <c r="X30" s="906"/>
      <c r="Y30" s="356">
        <f t="shared" si="2"/>
        <v>9000</v>
      </c>
      <c r="Z30" s="1671">
        <f>SUM(Z31:Z32)</f>
        <v>9000000</v>
      </c>
      <c r="AA30" s="907">
        <f t="shared" si="1"/>
        <v>9000000000</v>
      </c>
      <c r="AB30" s="505"/>
      <c r="AC30" s="1143"/>
    </row>
    <row r="31" spans="1:30" ht="21" customHeight="1">
      <c r="A31" s="334"/>
      <c r="B31" s="2275"/>
      <c r="C31" s="1126"/>
      <c r="D31" s="1145"/>
      <c r="E31" s="465"/>
      <c r="F31" s="435"/>
      <c r="G31" s="435"/>
      <c r="H31" s="391"/>
      <c r="I31" s="473"/>
      <c r="J31" s="1670" t="s">
        <v>2246</v>
      </c>
      <c r="K31" s="1671"/>
      <c r="L31" s="1671"/>
      <c r="M31" s="1671"/>
      <c r="N31" s="1672"/>
      <c r="O31" s="1671"/>
      <c r="P31" s="1671"/>
      <c r="Q31" s="1673"/>
      <c r="R31" s="1671"/>
      <c r="S31" s="1672">
        <v>2000000</v>
      </c>
      <c r="T31" s="1671" t="s">
        <v>1796</v>
      </c>
      <c r="U31" s="1671"/>
      <c r="V31" s="1671">
        <v>2</v>
      </c>
      <c r="W31" s="1671" t="s">
        <v>2247</v>
      </c>
      <c r="X31" s="397" t="s">
        <v>1797</v>
      </c>
      <c r="Y31" s="1674">
        <f t="shared" si="2"/>
        <v>4000</v>
      </c>
      <c r="Z31" s="1671">
        <f>S31*V31</f>
        <v>4000000</v>
      </c>
      <c r="AA31" s="907">
        <f t="shared" si="1"/>
        <v>0</v>
      </c>
      <c r="AB31" s="505"/>
    </row>
    <row r="32" spans="1:30" ht="21" customHeight="1">
      <c r="A32" s="334"/>
      <c r="B32" s="2275"/>
      <c r="C32" s="1126"/>
      <c r="D32" s="1145"/>
      <c r="E32" s="819"/>
      <c r="F32" s="424"/>
      <c r="G32" s="424"/>
      <c r="H32" s="425"/>
      <c r="I32" s="473"/>
      <c r="J32" s="830" t="s">
        <v>2248</v>
      </c>
      <c r="K32" s="371"/>
      <c r="L32" s="371"/>
      <c r="M32" s="371"/>
      <c r="N32" s="458"/>
      <c r="O32" s="371"/>
      <c r="P32" s="371"/>
      <c r="Q32" s="368"/>
      <c r="R32" s="371"/>
      <c r="S32" s="458">
        <v>5000000</v>
      </c>
      <c r="T32" s="371" t="s">
        <v>1796</v>
      </c>
      <c r="U32" s="371"/>
      <c r="V32" s="371">
        <v>1</v>
      </c>
      <c r="W32" s="371" t="s">
        <v>1800</v>
      </c>
      <c r="X32" s="426" t="s">
        <v>1797</v>
      </c>
      <c r="Y32" s="345">
        <f t="shared" si="2"/>
        <v>5000</v>
      </c>
      <c r="Z32" s="1671">
        <f>S32*V32</f>
        <v>5000000</v>
      </c>
      <c r="AA32" s="907">
        <f t="shared" si="1"/>
        <v>0</v>
      </c>
      <c r="AB32" s="505"/>
    </row>
    <row r="33" spans="1:29" ht="21" customHeight="1">
      <c r="A33" s="334"/>
      <c r="B33" s="2275"/>
      <c r="C33" s="1126"/>
      <c r="D33" s="1145"/>
      <c r="E33" s="465" t="s">
        <v>2249</v>
      </c>
      <c r="F33" s="435">
        <f>Y33</f>
        <v>6000</v>
      </c>
      <c r="G33" s="435">
        <v>6000</v>
      </c>
      <c r="H33" s="391"/>
      <c r="I33" s="473"/>
      <c r="J33" s="1670" t="s">
        <v>1805</v>
      </c>
      <c r="K33" s="1671"/>
      <c r="L33" s="1671"/>
      <c r="M33" s="1671"/>
      <c r="N33" s="1672"/>
      <c r="O33" s="1671"/>
      <c r="P33" s="1671"/>
      <c r="Q33" s="1673"/>
      <c r="R33" s="1671"/>
      <c r="S33" s="1672"/>
      <c r="T33" s="1671"/>
      <c r="U33" s="1671"/>
      <c r="V33" s="1671"/>
      <c r="W33" s="1671"/>
      <c r="X33" s="397"/>
      <c r="Y33" s="1674">
        <f t="shared" si="2"/>
        <v>6000</v>
      </c>
      <c r="Z33" s="1671">
        <f>SUM(Z34:Z35)</f>
        <v>6000000</v>
      </c>
      <c r="AA33" s="907">
        <f t="shared" si="1"/>
        <v>6000000000</v>
      </c>
      <c r="AB33" s="505"/>
    </row>
    <row r="34" spans="1:29" ht="21" customHeight="1">
      <c r="A34" s="334"/>
      <c r="B34" s="2275"/>
      <c r="C34" s="1126"/>
      <c r="D34" s="1145"/>
      <c r="E34" s="465" t="s">
        <v>1804</v>
      </c>
      <c r="F34" s="435"/>
      <c r="G34" s="435"/>
      <c r="H34" s="391"/>
      <c r="I34" s="473"/>
      <c r="J34" s="1670" t="s">
        <v>2250</v>
      </c>
      <c r="K34" s="1671"/>
      <c r="L34" s="1671"/>
      <c r="M34" s="1671"/>
      <c r="N34" s="1672"/>
      <c r="O34" s="1671"/>
      <c r="P34" s="1671"/>
      <c r="Q34" s="1673">
        <v>1</v>
      </c>
      <c r="R34" s="1671" t="s">
        <v>2251</v>
      </c>
      <c r="S34" s="1672">
        <v>100000</v>
      </c>
      <c r="T34" s="1671" t="s">
        <v>1782</v>
      </c>
      <c r="U34" s="1671"/>
      <c r="V34" s="1671">
        <v>12</v>
      </c>
      <c r="W34" s="1671" t="s">
        <v>1795</v>
      </c>
      <c r="X34" s="397" t="s">
        <v>1783</v>
      </c>
      <c r="Y34" s="1674">
        <f t="shared" si="2"/>
        <v>1200</v>
      </c>
      <c r="Z34" s="1671">
        <f>Q34*S34*V34</f>
        <v>1200000</v>
      </c>
      <c r="AA34" s="907">
        <f t="shared" si="1"/>
        <v>0</v>
      </c>
      <c r="AB34" s="505"/>
    </row>
    <row r="35" spans="1:29" ht="21" customHeight="1">
      <c r="A35" s="334"/>
      <c r="B35" s="2275"/>
      <c r="C35" s="1126"/>
      <c r="D35" s="1145"/>
      <c r="E35" s="465"/>
      <c r="F35" s="435"/>
      <c r="G35" s="435"/>
      <c r="H35" s="391"/>
      <c r="I35" s="473"/>
      <c r="J35" s="1670" t="s">
        <v>2252</v>
      </c>
      <c r="K35" s="1671"/>
      <c r="L35" s="1671"/>
      <c r="M35" s="1671"/>
      <c r="N35" s="1672"/>
      <c r="O35" s="1671"/>
      <c r="P35" s="1671"/>
      <c r="Q35" s="1673">
        <v>2</v>
      </c>
      <c r="R35" s="1671" t="s">
        <v>2253</v>
      </c>
      <c r="S35" s="1672">
        <v>200000</v>
      </c>
      <c r="T35" s="1671" t="s">
        <v>0</v>
      </c>
      <c r="U35" s="1671"/>
      <c r="V35" s="1671">
        <v>12</v>
      </c>
      <c r="W35" s="1671" t="s">
        <v>1795</v>
      </c>
      <c r="X35" s="397" t="s">
        <v>1</v>
      </c>
      <c r="Y35" s="1674">
        <f t="shared" si="2"/>
        <v>4800</v>
      </c>
      <c r="Z35" s="1671">
        <f>Q35*S35*V35</f>
        <v>4800000</v>
      </c>
      <c r="AA35" s="907">
        <f t="shared" si="1"/>
        <v>0</v>
      </c>
      <c r="AB35" s="505"/>
    </row>
    <row r="36" spans="1:29" ht="21" customHeight="1">
      <c r="A36" s="334"/>
      <c r="B36" s="2275"/>
      <c r="C36" s="1126"/>
      <c r="D36" s="1145"/>
      <c r="E36" s="809" t="s">
        <v>2254</v>
      </c>
      <c r="F36" s="913">
        <f>Y36</f>
        <v>35400</v>
      </c>
      <c r="G36" s="913">
        <v>35400</v>
      </c>
      <c r="H36" s="908"/>
      <c r="I36" s="473"/>
      <c r="J36" s="911" t="s">
        <v>1794</v>
      </c>
      <c r="K36" s="815"/>
      <c r="L36" s="815"/>
      <c r="M36" s="815"/>
      <c r="N36" s="450"/>
      <c r="O36" s="450"/>
      <c r="P36" s="815"/>
      <c r="Q36" s="831"/>
      <c r="R36" s="815"/>
      <c r="S36" s="815"/>
      <c r="T36" s="815"/>
      <c r="U36" s="815"/>
      <c r="V36" s="815"/>
      <c r="W36" s="815"/>
      <c r="X36" s="906"/>
      <c r="Y36" s="356">
        <f>SUM(Y37:Y41)</f>
        <v>35400</v>
      </c>
      <c r="Z36" s="1671">
        <f>SUM(Z37:Z41)</f>
        <v>35400000</v>
      </c>
      <c r="AA36" s="907">
        <f t="shared" si="1"/>
        <v>35400000000</v>
      </c>
      <c r="AB36" s="505"/>
    </row>
    <row r="37" spans="1:29" ht="21" customHeight="1">
      <c r="A37" s="334"/>
      <c r="B37" s="2275"/>
      <c r="C37" s="1126"/>
      <c r="D37" s="1145"/>
      <c r="E37" s="465"/>
      <c r="F37" s="435"/>
      <c r="G37" s="435"/>
      <c r="H37" s="391"/>
      <c r="I37" s="473"/>
      <c r="J37" s="1670" t="s">
        <v>2255</v>
      </c>
      <c r="K37" s="1671"/>
      <c r="L37" s="1671"/>
      <c r="M37" s="1671"/>
      <c r="N37" s="1672"/>
      <c r="O37" s="1671"/>
      <c r="P37" s="1671"/>
      <c r="Q37" s="1673"/>
      <c r="R37" s="1671"/>
      <c r="S37" s="1672">
        <v>6900000</v>
      </c>
      <c r="T37" s="1671" t="s">
        <v>0</v>
      </c>
      <c r="U37" s="1671"/>
      <c r="V37" s="1671">
        <v>4</v>
      </c>
      <c r="W37" s="1671" t="s">
        <v>3</v>
      </c>
      <c r="X37" s="397" t="s">
        <v>1</v>
      </c>
      <c r="Y37" s="1674">
        <f>Z37/1000</f>
        <v>27600</v>
      </c>
      <c r="Z37" s="1671">
        <f>S37*V37</f>
        <v>27600000</v>
      </c>
      <c r="AA37" s="907">
        <f t="shared" si="1"/>
        <v>0</v>
      </c>
      <c r="AB37" s="505"/>
    </row>
    <row r="38" spans="1:29" ht="21" customHeight="1">
      <c r="A38" s="334"/>
      <c r="B38" s="2275"/>
      <c r="C38" s="1126"/>
      <c r="D38" s="1145"/>
      <c r="E38" s="465"/>
      <c r="F38" s="435"/>
      <c r="G38" s="435"/>
      <c r="H38" s="391"/>
      <c r="I38" s="473"/>
      <c r="J38" s="1670" t="s">
        <v>2256</v>
      </c>
      <c r="K38" s="1671"/>
      <c r="L38" s="1671"/>
      <c r="M38" s="1671"/>
      <c r="N38" s="1672"/>
      <c r="O38" s="1671"/>
      <c r="P38" s="1671"/>
      <c r="Q38" s="1673"/>
      <c r="R38" s="1671"/>
      <c r="S38" s="1672">
        <v>1000000</v>
      </c>
      <c r="T38" s="1671" t="s">
        <v>0</v>
      </c>
      <c r="U38" s="1671"/>
      <c r="V38" s="1671">
        <v>2</v>
      </c>
      <c r="W38" s="1671" t="s">
        <v>3</v>
      </c>
      <c r="X38" s="397" t="s">
        <v>1</v>
      </c>
      <c r="Y38" s="1674">
        <f>Z38/1000</f>
        <v>2000</v>
      </c>
      <c r="Z38" s="1671">
        <f>S38*V38</f>
        <v>2000000</v>
      </c>
      <c r="AA38" s="907">
        <f t="shared" si="1"/>
        <v>0</v>
      </c>
      <c r="AB38" s="505"/>
    </row>
    <row r="39" spans="1:29" ht="21" customHeight="1">
      <c r="A39" s="334"/>
      <c r="B39" s="2275"/>
      <c r="C39" s="1126"/>
      <c r="D39" s="1145"/>
      <c r="E39" s="465"/>
      <c r="F39" s="435"/>
      <c r="G39" s="435"/>
      <c r="H39" s="391"/>
      <c r="I39" s="473"/>
      <c r="J39" s="1670" t="s">
        <v>2257</v>
      </c>
      <c r="K39" s="1671"/>
      <c r="L39" s="1671"/>
      <c r="M39" s="1671"/>
      <c r="N39" s="1672"/>
      <c r="O39" s="1671"/>
      <c r="P39" s="1671"/>
      <c r="Q39" s="1673"/>
      <c r="R39" s="1671"/>
      <c r="S39" s="1672">
        <v>1500000</v>
      </c>
      <c r="T39" s="1671" t="s">
        <v>0</v>
      </c>
      <c r="U39" s="1671"/>
      <c r="V39" s="1671">
        <v>2</v>
      </c>
      <c r="W39" s="1671" t="s">
        <v>3</v>
      </c>
      <c r="X39" s="397" t="s">
        <v>1</v>
      </c>
      <c r="Y39" s="1674">
        <f>Z39/1000</f>
        <v>3000</v>
      </c>
      <c r="Z39" s="1671">
        <f>S39*V39</f>
        <v>3000000</v>
      </c>
      <c r="AA39" s="907">
        <f t="shared" si="1"/>
        <v>0</v>
      </c>
      <c r="AB39" s="505"/>
    </row>
    <row r="40" spans="1:29" ht="21" customHeight="1">
      <c r="A40" s="334"/>
      <c r="B40" s="2275"/>
      <c r="C40" s="1126"/>
      <c r="D40" s="1145"/>
      <c r="E40" s="465"/>
      <c r="F40" s="435"/>
      <c r="G40" s="435"/>
      <c r="H40" s="391"/>
      <c r="I40" s="473"/>
      <c r="J40" s="802" t="s">
        <v>2258</v>
      </c>
      <c r="K40" s="803"/>
      <c r="L40" s="803"/>
      <c r="M40" s="803"/>
      <c r="N40" s="649"/>
      <c r="O40" s="803"/>
      <c r="P40" s="803"/>
      <c r="Q40" s="804"/>
      <c r="R40" s="1671"/>
      <c r="S40" s="1672">
        <v>900000</v>
      </c>
      <c r="T40" s="1671" t="s">
        <v>0</v>
      </c>
      <c r="U40" s="1671"/>
      <c r="V40" s="1671">
        <v>2</v>
      </c>
      <c r="W40" s="1671" t="s">
        <v>3</v>
      </c>
      <c r="X40" s="397" t="s">
        <v>1</v>
      </c>
      <c r="Y40" s="1674">
        <f>Z40/1000</f>
        <v>1800</v>
      </c>
      <c r="Z40" s="1671">
        <f>S40*V40</f>
        <v>1800000</v>
      </c>
      <c r="AA40" s="907">
        <f t="shared" si="1"/>
        <v>0</v>
      </c>
      <c r="AB40" s="505"/>
    </row>
    <row r="41" spans="1:29" s="1675" customFormat="1" ht="21" customHeight="1">
      <c r="A41" s="334"/>
      <c r="B41" s="2275"/>
      <c r="C41" s="1126"/>
      <c r="D41" s="1145"/>
      <c r="E41" s="465"/>
      <c r="F41" s="435"/>
      <c r="G41" s="435"/>
      <c r="H41" s="391"/>
      <c r="I41" s="473"/>
      <c r="J41" s="1670" t="s">
        <v>2259</v>
      </c>
      <c r="K41" s="1671"/>
      <c r="L41" s="1671"/>
      <c r="M41" s="1671"/>
      <c r="N41" s="1672"/>
      <c r="O41" s="1671"/>
      <c r="P41" s="1671"/>
      <c r="Q41" s="1673"/>
      <c r="R41" s="1671"/>
      <c r="S41" s="1672">
        <v>1000000</v>
      </c>
      <c r="T41" s="1671" t="s">
        <v>0</v>
      </c>
      <c r="U41" s="1671"/>
      <c r="V41" s="1671">
        <v>1</v>
      </c>
      <c r="W41" s="1671" t="s">
        <v>6</v>
      </c>
      <c r="X41" s="397" t="s">
        <v>1</v>
      </c>
      <c r="Y41" s="1674">
        <f>Z41/1000</f>
        <v>1000</v>
      </c>
      <c r="Z41" s="1671">
        <f>S41*V41</f>
        <v>1000000</v>
      </c>
      <c r="AA41" s="907">
        <f t="shared" si="1"/>
        <v>0</v>
      </c>
      <c r="AB41" s="505"/>
      <c r="AC41" s="347"/>
    </row>
    <row r="42" spans="1:29" ht="18.95" customHeight="1">
      <c r="A42" s="334"/>
      <c r="B42" s="2275"/>
      <c r="C42" s="1126"/>
      <c r="D42" s="1145"/>
      <c r="E42" s="809" t="s">
        <v>1792</v>
      </c>
      <c r="F42" s="913">
        <f>Y42</f>
        <v>37640</v>
      </c>
      <c r="G42" s="913">
        <v>37640</v>
      </c>
      <c r="H42" s="908"/>
      <c r="I42" s="473"/>
      <c r="J42" s="911" t="s">
        <v>1794</v>
      </c>
      <c r="K42" s="815"/>
      <c r="L42" s="815"/>
      <c r="M42" s="815"/>
      <c r="N42" s="450"/>
      <c r="O42" s="450"/>
      <c r="P42" s="815"/>
      <c r="Q42" s="831"/>
      <c r="R42" s="815"/>
      <c r="S42" s="815"/>
      <c r="T42" s="815"/>
      <c r="U42" s="815"/>
      <c r="V42" s="815"/>
      <c r="W42" s="815"/>
      <c r="X42" s="906"/>
      <c r="Y42" s="356">
        <f t="shared" ref="Y42:Y57" si="3">+Z42/1000</f>
        <v>37640</v>
      </c>
      <c r="Z42" s="1671">
        <f>SUM(Z43:Z46)</f>
        <v>37640000</v>
      </c>
      <c r="AA42" s="907">
        <f t="shared" si="1"/>
        <v>37640000000</v>
      </c>
      <c r="AB42" s="505"/>
    </row>
    <row r="43" spans="1:29" ht="18.95" customHeight="1">
      <c r="A43" s="334"/>
      <c r="B43" s="2275"/>
      <c r="C43" s="1126"/>
      <c r="D43" s="1145"/>
      <c r="E43" s="465"/>
      <c r="F43" s="435"/>
      <c r="G43" s="435"/>
      <c r="H43" s="391"/>
      <c r="I43" s="473"/>
      <c r="J43" s="1670" t="s">
        <v>2260</v>
      </c>
      <c r="K43" s="1671"/>
      <c r="L43" s="1671"/>
      <c r="M43" s="1671"/>
      <c r="N43" s="1672"/>
      <c r="O43" s="1671"/>
      <c r="P43" s="1671"/>
      <c r="Q43" s="1673"/>
      <c r="R43" s="1671"/>
      <c r="S43" s="1672">
        <v>2200000</v>
      </c>
      <c r="T43" s="1671" t="s">
        <v>1782</v>
      </c>
      <c r="U43" s="1671"/>
      <c r="V43" s="1671">
        <v>12</v>
      </c>
      <c r="W43" s="1671" t="s">
        <v>1795</v>
      </c>
      <c r="X43" s="397" t="s">
        <v>1783</v>
      </c>
      <c r="Y43" s="1674">
        <f t="shared" si="3"/>
        <v>26400</v>
      </c>
      <c r="Z43" s="1671">
        <f>S43*V43</f>
        <v>26400000</v>
      </c>
      <c r="AA43" s="907">
        <f t="shared" si="1"/>
        <v>0</v>
      </c>
      <c r="AB43" s="505"/>
    </row>
    <row r="44" spans="1:29" s="1675" customFormat="1" ht="18.95" customHeight="1">
      <c r="A44" s="334"/>
      <c r="B44" s="2275"/>
      <c r="C44" s="1126"/>
      <c r="D44" s="1145"/>
      <c r="E44" s="465"/>
      <c r="F44" s="435"/>
      <c r="G44" s="435"/>
      <c r="H44" s="391"/>
      <c r="I44" s="473"/>
      <c r="J44" s="1670" t="s">
        <v>2261</v>
      </c>
      <c r="K44" s="1671"/>
      <c r="L44" s="1671"/>
      <c r="M44" s="1671"/>
      <c r="N44" s="1672"/>
      <c r="O44" s="1671"/>
      <c r="P44" s="1671"/>
      <c r="Q44" s="914">
        <v>100000</v>
      </c>
      <c r="R44" s="1671" t="s">
        <v>2262</v>
      </c>
      <c r="S44" s="1672">
        <v>30</v>
      </c>
      <c r="T44" s="1671" t="s">
        <v>1782</v>
      </c>
      <c r="U44" s="1671"/>
      <c r="V44" s="1671">
        <v>1</v>
      </c>
      <c r="W44" s="1671" t="s">
        <v>1823</v>
      </c>
      <c r="X44" s="397" t="s">
        <v>1783</v>
      </c>
      <c r="Y44" s="1674">
        <f t="shared" si="3"/>
        <v>3000</v>
      </c>
      <c r="Z44" s="1671">
        <f>S44*Q44*V44</f>
        <v>3000000</v>
      </c>
      <c r="AA44" s="907">
        <f t="shared" si="1"/>
        <v>0</v>
      </c>
      <c r="AB44" s="505"/>
      <c r="AC44" s="347"/>
    </row>
    <row r="45" spans="1:29" ht="18.95" customHeight="1">
      <c r="A45" s="334"/>
      <c r="B45" s="2275"/>
      <c r="C45" s="1126"/>
      <c r="D45" s="1145"/>
      <c r="E45" s="465"/>
      <c r="F45" s="435"/>
      <c r="G45" s="435"/>
      <c r="H45" s="391"/>
      <c r="I45" s="473"/>
      <c r="J45" s="2281" t="s">
        <v>2263</v>
      </c>
      <c r="K45" s="2282"/>
      <c r="L45" s="2282"/>
      <c r="M45" s="2282"/>
      <c r="N45" s="506"/>
      <c r="O45" s="1671"/>
      <c r="P45" s="1671"/>
      <c r="Q45" s="1671">
        <v>50</v>
      </c>
      <c r="R45" s="1671" t="s">
        <v>2264</v>
      </c>
      <c r="S45" s="1672">
        <v>5400</v>
      </c>
      <c r="T45" s="1671" t="s">
        <v>1782</v>
      </c>
      <c r="U45" s="1671"/>
      <c r="V45" s="1671">
        <v>12</v>
      </c>
      <c r="W45" s="1671" t="s">
        <v>1823</v>
      </c>
      <c r="X45" s="397" t="s">
        <v>1783</v>
      </c>
      <c r="Y45" s="1674">
        <f t="shared" si="3"/>
        <v>3240</v>
      </c>
      <c r="Z45" s="1671">
        <f>S45*V45*Q45</f>
        <v>3240000</v>
      </c>
      <c r="AA45" s="907">
        <f t="shared" si="1"/>
        <v>0</v>
      </c>
      <c r="AB45" s="505"/>
    </row>
    <row r="46" spans="1:29" s="1675" customFormat="1" ht="18.95" customHeight="1">
      <c r="A46" s="334"/>
      <c r="B46" s="2275"/>
      <c r="C46" s="1126"/>
      <c r="D46" s="1145"/>
      <c r="E46" s="465"/>
      <c r="F46" s="435"/>
      <c r="G46" s="435"/>
      <c r="H46" s="391"/>
      <c r="I46" s="473"/>
      <c r="J46" s="2281" t="s">
        <v>2265</v>
      </c>
      <c r="K46" s="2282"/>
      <c r="L46" s="2282"/>
      <c r="M46" s="2282"/>
      <c r="N46" s="506"/>
      <c r="O46" s="1671"/>
      <c r="P46" s="1671"/>
      <c r="Q46" s="1671">
        <v>20</v>
      </c>
      <c r="R46" s="1671" t="s">
        <v>2266</v>
      </c>
      <c r="S46" s="1672">
        <v>125000</v>
      </c>
      <c r="T46" s="1671" t="s">
        <v>1796</v>
      </c>
      <c r="U46" s="1671"/>
      <c r="V46" s="1671">
        <v>2</v>
      </c>
      <c r="W46" s="1671" t="s">
        <v>1806</v>
      </c>
      <c r="X46" s="397" t="s">
        <v>1797</v>
      </c>
      <c r="Y46" s="1674">
        <f t="shared" si="3"/>
        <v>5000</v>
      </c>
      <c r="Z46" s="1671">
        <f>S46*V46*Q46</f>
        <v>5000000</v>
      </c>
      <c r="AA46" s="907">
        <f t="shared" si="1"/>
        <v>0</v>
      </c>
      <c r="AB46" s="505"/>
      <c r="AC46" s="347"/>
    </row>
    <row r="47" spans="1:29" ht="18.95" customHeight="1">
      <c r="A47" s="334"/>
      <c r="B47" s="2275"/>
      <c r="C47" s="1126"/>
      <c r="D47" s="1145"/>
      <c r="E47" s="809" t="s">
        <v>2267</v>
      </c>
      <c r="F47" s="913">
        <f>Y47</f>
        <v>297360</v>
      </c>
      <c r="G47" s="913">
        <v>297360</v>
      </c>
      <c r="H47" s="908"/>
      <c r="I47" s="473"/>
      <c r="J47" s="911" t="s">
        <v>1805</v>
      </c>
      <c r="K47" s="815"/>
      <c r="L47" s="815"/>
      <c r="M47" s="815"/>
      <c r="N47" s="450"/>
      <c r="O47" s="450"/>
      <c r="P47" s="815"/>
      <c r="Q47" s="831"/>
      <c r="R47" s="815"/>
      <c r="S47" s="815"/>
      <c r="T47" s="815"/>
      <c r="U47" s="815"/>
      <c r="V47" s="815"/>
      <c r="W47" s="815"/>
      <c r="X47" s="906"/>
      <c r="Y47" s="356">
        <f t="shared" si="3"/>
        <v>297360</v>
      </c>
      <c r="Z47" s="1671">
        <f>SUM(Z48:Z50)</f>
        <v>297360000</v>
      </c>
      <c r="AA47" s="907">
        <f t="shared" si="1"/>
        <v>297360000000</v>
      </c>
      <c r="AB47" s="505"/>
    </row>
    <row r="48" spans="1:29" ht="18.95" customHeight="1">
      <c r="A48" s="334"/>
      <c r="B48" s="2275"/>
      <c r="C48" s="1126"/>
      <c r="D48" s="1145"/>
      <c r="E48" s="465"/>
      <c r="F48" s="435"/>
      <c r="G48" s="435"/>
      <c r="H48" s="391"/>
      <c r="I48" s="473"/>
      <c r="J48" s="1670" t="s">
        <v>2268</v>
      </c>
      <c r="K48" s="1671"/>
      <c r="L48" s="1671"/>
      <c r="M48" s="1671"/>
      <c r="N48" s="1672"/>
      <c r="O48" s="1671"/>
      <c r="P48" s="1671"/>
      <c r="Q48" s="1673"/>
      <c r="R48" s="1671"/>
      <c r="S48" s="1672">
        <v>14700000</v>
      </c>
      <c r="T48" s="1671" t="s">
        <v>1796</v>
      </c>
      <c r="U48" s="1671"/>
      <c r="V48" s="1673">
        <v>12</v>
      </c>
      <c r="W48" s="1671" t="s">
        <v>1802</v>
      </c>
      <c r="X48" s="397" t="s">
        <v>1797</v>
      </c>
      <c r="Y48" s="1674">
        <f t="shared" si="3"/>
        <v>176400</v>
      </c>
      <c r="Z48" s="1671">
        <f>+V48*S48</f>
        <v>176400000</v>
      </c>
      <c r="AA48" s="907">
        <f t="shared" si="1"/>
        <v>0</v>
      </c>
      <c r="AB48" s="505"/>
    </row>
    <row r="49" spans="1:340" ht="18.95" customHeight="1">
      <c r="A49" s="334"/>
      <c r="B49" s="2275"/>
      <c r="C49" s="1126"/>
      <c r="D49" s="1145"/>
      <c r="E49" s="465"/>
      <c r="F49" s="435"/>
      <c r="G49" s="435"/>
      <c r="H49" s="391"/>
      <c r="I49" s="473"/>
      <c r="J49" s="1670" t="s">
        <v>2269</v>
      </c>
      <c r="K49" s="1671"/>
      <c r="L49" s="1671"/>
      <c r="M49" s="1671"/>
      <c r="N49" s="1672"/>
      <c r="O49" s="1672"/>
      <c r="P49" s="1671"/>
      <c r="Q49" s="1673"/>
      <c r="R49" s="1671"/>
      <c r="S49" s="1672">
        <v>8820000</v>
      </c>
      <c r="T49" s="1671" t="s">
        <v>1796</v>
      </c>
      <c r="U49" s="1671"/>
      <c r="V49" s="1673">
        <v>12</v>
      </c>
      <c r="W49" s="1671" t="s">
        <v>1802</v>
      </c>
      <c r="X49" s="397" t="s">
        <v>1797</v>
      </c>
      <c r="Y49" s="1674">
        <f t="shared" si="3"/>
        <v>105840</v>
      </c>
      <c r="Z49" s="1671">
        <f>+V49*S49</f>
        <v>105840000</v>
      </c>
      <c r="AA49" s="907">
        <f t="shared" si="1"/>
        <v>0</v>
      </c>
      <c r="AB49" s="505"/>
    </row>
    <row r="50" spans="1:340" ht="18.95" customHeight="1">
      <c r="A50" s="334"/>
      <c r="B50" s="2275"/>
      <c r="C50" s="1126"/>
      <c r="D50" s="1145"/>
      <c r="E50" s="465"/>
      <c r="F50" s="435"/>
      <c r="G50" s="435"/>
      <c r="H50" s="391"/>
      <c r="I50" s="473"/>
      <c r="J50" s="1670" t="s">
        <v>2270</v>
      </c>
      <c r="K50" s="1671"/>
      <c r="L50" s="1671"/>
      <c r="M50" s="1671"/>
      <c r="N50" s="1672"/>
      <c r="O50" s="1672"/>
      <c r="P50" s="1671"/>
      <c r="Q50" s="1673"/>
      <c r="R50" s="1671"/>
      <c r="S50" s="1672">
        <v>1260000</v>
      </c>
      <c r="T50" s="1671" t="s">
        <v>1796</v>
      </c>
      <c r="U50" s="1671"/>
      <c r="V50" s="1673">
        <v>12</v>
      </c>
      <c r="W50" s="1671" t="s">
        <v>1802</v>
      </c>
      <c r="X50" s="397" t="s">
        <v>1797</v>
      </c>
      <c r="Y50" s="1674">
        <f t="shared" si="3"/>
        <v>15120</v>
      </c>
      <c r="Z50" s="1671">
        <f>+V50*S50</f>
        <v>15120000</v>
      </c>
      <c r="AA50" s="907">
        <f t="shared" si="1"/>
        <v>0</v>
      </c>
      <c r="AB50" s="505"/>
    </row>
    <row r="51" spans="1:340" ht="18.95" customHeight="1">
      <c r="A51" s="334"/>
      <c r="B51" s="2275"/>
      <c r="C51" s="1126"/>
      <c r="D51" s="1145"/>
      <c r="E51" s="809" t="s">
        <v>2271</v>
      </c>
      <c r="F51" s="913">
        <f>Y51</f>
        <v>11035</v>
      </c>
      <c r="G51" s="913">
        <v>11035</v>
      </c>
      <c r="H51" s="908"/>
      <c r="I51" s="473"/>
      <c r="J51" s="911" t="s">
        <v>1805</v>
      </c>
      <c r="K51" s="815"/>
      <c r="L51" s="815"/>
      <c r="M51" s="815"/>
      <c r="N51" s="450"/>
      <c r="O51" s="450"/>
      <c r="P51" s="815"/>
      <c r="Q51" s="831"/>
      <c r="R51" s="815"/>
      <c r="S51" s="815"/>
      <c r="T51" s="815"/>
      <c r="U51" s="815"/>
      <c r="V51" s="815"/>
      <c r="W51" s="815"/>
      <c r="X51" s="906" t="s">
        <v>2272</v>
      </c>
      <c r="Y51" s="356">
        <f t="shared" si="3"/>
        <v>11035</v>
      </c>
      <c r="Z51" s="1671">
        <f>SUM(Z52:Z53)</f>
        <v>11035000</v>
      </c>
      <c r="AA51" s="907">
        <f t="shared" si="1"/>
        <v>11035000000</v>
      </c>
      <c r="AB51" s="505"/>
    </row>
    <row r="52" spans="1:340" ht="18.95" customHeight="1">
      <c r="A52" s="334"/>
      <c r="B52" s="2275"/>
      <c r="C52" s="1126"/>
      <c r="D52" s="1145"/>
      <c r="E52" s="465"/>
      <c r="F52" s="435"/>
      <c r="G52" s="435"/>
      <c r="H52" s="391"/>
      <c r="I52" s="473"/>
      <c r="J52" s="1670" t="s">
        <v>2273</v>
      </c>
      <c r="K52" s="1671"/>
      <c r="L52" s="1671"/>
      <c r="M52" s="1671"/>
      <c r="N52" s="1672"/>
      <c r="O52" s="1672"/>
      <c r="P52" s="1671"/>
      <c r="Q52" s="1673"/>
      <c r="R52" s="1671"/>
      <c r="S52" s="1671">
        <v>700000</v>
      </c>
      <c r="T52" s="1671" t="s">
        <v>1796</v>
      </c>
      <c r="U52" s="1671"/>
      <c r="V52" s="1671">
        <v>12</v>
      </c>
      <c r="W52" s="1671" t="s">
        <v>1802</v>
      </c>
      <c r="X52" s="397" t="s">
        <v>1797</v>
      </c>
      <c r="Y52" s="1674">
        <f t="shared" si="3"/>
        <v>8400</v>
      </c>
      <c r="Z52" s="1671">
        <f>S52*V52</f>
        <v>8400000</v>
      </c>
      <c r="AA52" s="907">
        <f t="shared" si="1"/>
        <v>0</v>
      </c>
      <c r="AB52" s="505"/>
    </row>
    <row r="53" spans="1:340" ht="18.95" customHeight="1">
      <c r="A53" s="334"/>
      <c r="B53" s="2275"/>
      <c r="C53" s="1126"/>
      <c r="D53" s="1145"/>
      <c r="E53" s="465"/>
      <c r="F53" s="435"/>
      <c r="G53" s="435"/>
      <c r="H53" s="391"/>
      <c r="I53" s="473"/>
      <c r="J53" s="1670" t="s">
        <v>2274</v>
      </c>
      <c r="K53" s="1671"/>
      <c r="L53" s="1671"/>
      <c r="M53" s="1671"/>
      <c r="N53" s="1672"/>
      <c r="O53" s="1672"/>
      <c r="P53" s="1671"/>
      <c r="Q53" s="1673"/>
      <c r="R53" s="1671"/>
      <c r="S53" s="1671">
        <v>2635000000</v>
      </c>
      <c r="T53" s="371" t="s">
        <v>1796</v>
      </c>
      <c r="U53" s="1671"/>
      <c r="V53" s="1886">
        <v>1E-3</v>
      </c>
      <c r="W53" s="1671"/>
      <c r="X53" s="397" t="s">
        <v>2272</v>
      </c>
      <c r="Y53" s="1674">
        <f t="shared" si="3"/>
        <v>2635</v>
      </c>
      <c r="Z53" s="1671">
        <f>+V53*S53</f>
        <v>2635000</v>
      </c>
      <c r="AA53" s="907">
        <f t="shared" si="1"/>
        <v>0</v>
      </c>
      <c r="AB53" s="505"/>
    </row>
    <row r="54" spans="1:340" ht="18.95" customHeight="1">
      <c r="A54" s="334"/>
      <c r="B54" s="2275"/>
      <c r="C54" s="1126"/>
      <c r="D54" s="1145"/>
      <c r="E54" s="809" t="s">
        <v>1801</v>
      </c>
      <c r="F54" s="913">
        <f>Y54</f>
        <v>18300</v>
      </c>
      <c r="G54" s="913">
        <v>18300</v>
      </c>
      <c r="H54" s="908"/>
      <c r="I54" s="473"/>
      <c r="J54" s="911" t="s">
        <v>1805</v>
      </c>
      <c r="K54" s="815"/>
      <c r="L54" s="815"/>
      <c r="M54" s="815"/>
      <c r="N54" s="450"/>
      <c r="O54" s="450"/>
      <c r="P54" s="815"/>
      <c r="Q54" s="831"/>
      <c r="R54" s="815"/>
      <c r="S54" s="815"/>
      <c r="T54" s="815"/>
      <c r="U54" s="815"/>
      <c r="V54" s="815"/>
      <c r="W54" s="815"/>
      <c r="X54" s="906"/>
      <c r="Y54" s="356">
        <f t="shared" si="3"/>
        <v>18300</v>
      </c>
      <c r="Z54" s="1671">
        <f>SUM(Z55:Z57)</f>
        <v>18300000</v>
      </c>
      <c r="AA54" s="907">
        <f t="shared" si="1"/>
        <v>18300000000</v>
      </c>
      <c r="AB54" s="505"/>
    </row>
    <row r="55" spans="1:340" ht="18.95" customHeight="1">
      <c r="A55" s="334"/>
      <c r="B55" s="2275"/>
      <c r="C55" s="1126"/>
      <c r="D55" s="1145"/>
      <c r="E55" s="465" t="s">
        <v>1804</v>
      </c>
      <c r="F55" s="435"/>
      <c r="G55" s="435"/>
      <c r="H55" s="391"/>
      <c r="I55" s="473"/>
      <c r="J55" s="1670" t="s">
        <v>2275</v>
      </c>
      <c r="K55" s="1671"/>
      <c r="L55" s="1671"/>
      <c r="M55" s="1671"/>
      <c r="N55" s="1672"/>
      <c r="O55" s="648" t="s">
        <v>2276</v>
      </c>
      <c r="P55" s="803" t="s">
        <v>1803</v>
      </c>
      <c r="Q55" s="804" t="s">
        <v>2277</v>
      </c>
      <c r="R55" s="1671" t="s">
        <v>2278</v>
      </c>
      <c r="S55" s="1672">
        <v>20000</v>
      </c>
      <c r="T55" s="1671" t="s">
        <v>1796</v>
      </c>
      <c r="U55" s="1671"/>
      <c r="V55" s="915">
        <v>12</v>
      </c>
      <c r="W55" s="1671" t="s">
        <v>1802</v>
      </c>
      <c r="X55" s="397" t="s">
        <v>1797</v>
      </c>
      <c r="Y55" s="1674">
        <f t="shared" si="3"/>
        <v>16320</v>
      </c>
      <c r="Z55" s="1671">
        <f>SUM(O55*Q55*S55*V55)</f>
        <v>16320000</v>
      </c>
      <c r="AA55" s="907">
        <f t="shared" si="1"/>
        <v>0</v>
      </c>
      <c r="AB55" s="505"/>
    </row>
    <row r="56" spans="1:340" ht="18.95" customHeight="1">
      <c r="A56" s="334"/>
      <c r="B56" s="2275"/>
      <c r="C56" s="1126"/>
      <c r="D56" s="1145"/>
      <c r="E56" s="465"/>
      <c r="F56" s="435"/>
      <c r="G56" s="435"/>
      <c r="H56" s="391"/>
      <c r="I56" s="473"/>
      <c r="J56" s="1670" t="s">
        <v>2279</v>
      </c>
      <c r="K56" s="1671"/>
      <c r="L56" s="1671"/>
      <c r="M56" s="1671"/>
      <c r="N56" s="1672"/>
      <c r="O56" s="648" t="s">
        <v>2280</v>
      </c>
      <c r="P56" s="803" t="s">
        <v>2281</v>
      </c>
      <c r="Q56" s="804" t="s">
        <v>2282</v>
      </c>
      <c r="R56" s="1671" t="s">
        <v>2278</v>
      </c>
      <c r="S56" s="1672">
        <v>3000</v>
      </c>
      <c r="T56" s="1671" t="s">
        <v>1796</v>
      </c>
      <c r="U56" s="1671"/>
      <c r="V56" s="915">
        <v>12</v>
      </c>
      <c r="W56" s="1671" t="s">
        <v>1802</v>
      </c>
      <c r="X56" s="397" t="s">
        <v>1797</v>
      </c>
      <c r="Y56" s="1674">
        <f t="shared" si="3"/>
        <v>720</v>
      </c>
      <c r="Z56" s="1671">
        <f>SUM(O56*Q56*S56*V56)</f>
        <v>720000</v>
      </c>
      <c r="AA56" s="907">
        <f t="shared" si="1"/>
        <v>0</v>
      </c>
      <c r="AB56" s="505"/>
    </row>
    <row r="57" spans="1:340" ht="18.95" customHeight="1">
      <c r="A57" s="334"/>
      <c r="B57" s="2275"/>
      <c r="C57" s="1126"/>
      <c r="D57" s="1145"/>
      <c r="E57" s="819"/>
      <c r="F57" s="424"/>
      <c r="G57" s="424"/>
      <c r="H57" s="425"/>
      <c r="I57" s="473"/>
      <c r="J57" s="830" t="s">
        <v>2283</v>
      </c>
      <c r="K57" s="371"/>
      <c r="L57" s="371"/>
      <c r="M57" s="371"/>
      <c r="N57" s="458"/>
      <c r="O57" s="916" t="s">
        <v>2284</v>
      </c>
      <c r="P57" s="822" t="s">
        <v>2285</v>
      </c>
      <c r="Q57" s="824" t="s">
        <v>2282</v>
      </c>
      <c r="R57" s="371" t="s">
        <v>2278</v>
      </c>
      <c r="S57" s="458">
        <v>3500</v>
      </c>
      <c r="T57" s="371" t="s">
        <v>1796</v>
      </c>
      <c r="U57" s="371"/>
      <c r="V57" s="917">
        <v>12</v>
      </c>
      <c r="W57" s="371" t="s">
        <v>1802</v>
      </c>
      <c r="X57" s="426" t="s">
        <v>1797</v>
      </c>
      <c r="Y57" s="345">
        <f t="shared" si="3"/>
        <v>1260</v>
      </c>
      <c r="Z57" s="1671">
        <f>SUM(O57*Q57*S57*V57)</f>
        <v>1260000</v>
      </c>
      <c r="AA57" s="907">
        <f t="shared" si="1"/>
        <v>0</v>
      </c>
      <c r="AB57" s="505"/>
    </row>
    <row r="58" spans="1:340" ht="18.95" customHeight="1">
      <c r="A58" s="334"/>
      <c r="B58" s="2275"/>
      <c r="C58" s="1126"/>
      <c r="D58" s="1145"/>
      <c r="E58" s="465" t="s">
        <v>2286</v>
      </c>
      <c r="F58" s="435">
        <f>Y58</f>
        <v>123090</v>
      </c>
      <c r="G58" s="435">
        <v>123090</v>
      </c>
      <c r="H58" s="391"/>
      <c r="I58" s="473"/>
      <c r="J58" s="1670" t="s">
        <v>2287</v>
      </c>
      <c r="K58" s="1671"/>
      <c r="L58" s="1671"/>
      <c r="M58" s="1671"/>
      <c r="N58" s="1672"/>
      <c r="O58" s="1671"/>
      <c r="P58" s="1671"/>
      <c r="Q58" s="1673"/>
      <c r="R58" s="1671"/>
      <c r="S58" s="1672"/>
      <c r="T58" s="1671"/>
      <c r="U58" s="1671"/>
      <c r="V58" s="1671"/>
      <c r="W58" s="1671"/>
      <c r="X58" s="397"/>
      <c r="Y58" s="1674">
        <f>SUM(Y59:Y84)</f>
        <v>123090</v>
      </c>
      <c r="Z58" s="1670">
        <f>SUM(Z59:Z84)</f>
        <v>123090000</v>
      </c>
      <c r="AA58" s="907">
        <f t="shared" si="1"/>
        <v>123090000000</v>
      </c>
      <c r="AB58" s="866"/>
    </row>
    <row r="59" spans="1:340" ht="18.95" customHeight="1">
      <c r="A59" s="334"/>
      <c r="B59" s="2275"/>
      <c r="C59" s="1126"/>
      <c r="D59" s="1145"/>
      <c r="E59" s="465"/>
      <c r="F59" s="435"/>
      <c r="G59" s="435"/>
      <c r="H59" s="391"/>
      <c r="I59" s="473"/>
      <c r="J59" s="1670" t="s">
        <v>6087</v>
      </c>
      <c r="K59" s="1671"/>
      <c r="L59" s="1671"/>
      <c r="M59" s="1671"/>
      <c r="N59" s="1672"/>
      <c r="O59" s="1671"/>
      <c r="P59" s="1671"/>
      <c r="Q59" s="1673"/>
      <c r="R59" s="1671"/>
      <c r="S59" s="1672"/>
      <c r="T59" s="1671"/>
      <c r="U59" s="1671"/>
      <c r="V59" s="1671"/>
      <c r="W59" s="1671"/>
      <c r="X59" s="1671"/>
      <c r="Y59" s="1674"/>
      <c r="Z59" s="1670">
        <f t="shared" ref="Z59:Z77" si="4">Q59*S59*V59</f>
        <v>0</v>
      </c>
      <c r="AA59" s="907">
        <f t="shared" si="1"/>
        <v>0</v>
      </c>
      <c r="AC59" s="347"/>
      <c r="AD59" s="1675"/>
      <c r="AE59" s="1675"/>
      <c r="AF59" s="1675"/>
      <c r="AG59" s="1675"/>
      <c r="AH59" s="1675"/>
      <c r="AI59" s="1675"/>
      <c r="AJ59" s="1675"/>
      <c r="AK59" s="1675"/>
      <c r="AL59" s="1675"/>
      <c r="AM59" s="1675"/>
      <c r="AN59" s="1675"/>
      <c r="AO59" s="1675"/>
      <c r="AP59" s="1675"/>
      <c r="AQ59" s="1675"/>
      <c r="AR59" s="1675"/>
      <c r="AS59" s="1675"/>
      <c r="AT59" s="1675"/>
      <c r="AU59" s="1675"/>
      <c r="AV59" s="1675"/>
      <c r="AW59" s="1675"/>
      <c r="AX59" s="1675"/>
      <c r="AY59" s="1675"/>
      <c r="AZ59" s="1675"/>
      <c r="BA59" s="1675"/>
      <c r="BB59" s="1675"/>
      <c r="BC59" s="1675"/>
      <c r="BD59" s="1675"/>
      <c r="BE59" s="1675"/>
      <c r="BF59" s="1675"/>
      <c r="BG59" s="1675"/>
      <c r="BH59" s="1675"/>
      <c r="BI59" s="1675"/>
      <c r="BJ59" s="1675"/>
      <c r="BK59" s="1675"/>
      <c r="BL59" s="1675"/>
      <c r="BM59" s="1675"/>
      <c r="BN59" s="1675"/>
      <c r="BO59" s="1675"/>
      <c r="BP59" s="1675"/>
      <c r="BQ59" s="1675"/>
      <c r="BR59" s="1675"/>
      <c r="BS59" s="1675"/>
      <c r="BT59" s="1675"/>
      <c r="BU59" s="1675"/>
      <c r="BV59" s="1675"/>
      <c r="BW59" s="1675"/>
      <c r="BX59" s="1675"/>
      <c r="BY59" s="1675"/>
      <c r="BZ59" s="1675"/>
      <c r="CA59" s="1675"/>
      <c r="CB59" s="1675"/>
      <c r="CC59" s="1675"/>
      <c r="CD59" s="1675"/>
      <c r="CE59" s="1675"/>
      <c r="CF59" s="1675"/>
      <c r="CG59" s="1675"/>
      <c r="CH59" s="1675"/>
      <c r="CI59" s="1675"/>
      <c r="CJ59" s="1675"/>
      <c r="CK59" s="1675"/>
      <c r="CL59" s="1675"/>
      <c r="CM59" s="1675"/>
      <c r="CN59" s="1675"/>
      <c r="CO59" s="1675"/>
      <c r="CP59" s="1675"/>
      <c r="CQ59" s="1675"/>
      <c r="CR59" s="1675"/>
      <c r="CS59" s="1675"/>
      <c r="CT59" s="1675"/>
      <c r="CU59" s="1675"/>
      <c r="CV59" s="1675"/>
      <c r="CW59" s="1675"/>
      <c r="CX59" s="1675"/>
      <c r="CY59" s="1675"/>
      <c r="CZ59" s="1675"/>
      <c r="DA59" s="1675"/>
      <c r="DB59" s="1675"/>
      <c r="DC59" s="1675"/>
      <c r="DD59" s="1675"/>
      <c r="DE59" s="1675"/>
      <c r="DF59" s="1675"/>
      <c r="DG59" s="1675"/>
      <c r="DH59" s="1675"/>
      <c r="DI59" s="1675"/>
      <c r="DJ59" s="1675"/>
      <c r="DK59" s="1675"/>
      <c r="DL59" s="1675"/>
      <c r="DM59" s="1675"/>
      <c r="DN59" s="1675"/>
      <c r="DO59" s="1675"/>
      <c r="DP59" s="1675"/>
      <c r="DQ59" s="1675"/>
      <c r="DR59" s="1675"/>
      <c r="DS59" s="1675"/>
      <c r="DT59" s="1675"/>
      <c r="DU59" s="1675"/>
      <c r="DV59" s="1675"/>
      <c r="DW59" s="1675"/>
      <c r="DX59" s="1675"/>
      <c r="DY59" s="1675"/>
      <c r="DZ59" s="1675"/>
      <c r="EA59" s="1675"/>
      <c r="EB59" s="1675"/>
      <c r="EC59" s="1675"/>
      <c r="ED59" s="1675"/>
      <c r="EE59" s="1675"/>
      <c r="EF59" s="1675"/>
      <c r="EG59" s="1675"/>
      <c r="EH59" s="1675"/>
      <c r="EI59" s="1675"/>
      <c r="EJ59" s="1675"/>
      <c r="EK59" s="1675"/>
      <c r="EL59" s="1675"/>
      <c r="EM59" s="1675"/>
      <c r="EN59" s="1675"/>
      <c r="EO59" s="1675"/>
      <c r="EP59" s="1675"/>
      <c r="EQ59" s="1675"/>
      <c r="ER59" s="1675"/>
      <c r="ES59" s="1675"/>
      <c r="ET59" s="1675"/>
      <c r="EU59" s="1675"/>
      <c r="EV59" s="1675"/>
      <c r="EW59" s="1675"/>
      <c r="EX59" s="1675"/>
      <c r="EY59" s="1675"/>
      <c r="EZ59" s="1675"/>
      <c r="FA59" s="1675"/>
      <c r="FB59" s="1675"/>
      <c r="FC59" s="1675"/>
      <c r="FD59" s="1675"/>
      <c r="FE59" s="1675"/>
      <c r="FF59" s="1675"/>
      <c r="FG59" s="1675"/>
      <c r="FH59" s="1675"/>
      <c r="FI59" s="1675"/>
      <c r="FJ59" s="1675"/>
      <c r="FK59" s="1675"/>
      <c r="FL59" s="1675"/>
      <c r="FM59" s="1675"/>
      <c r="FN59" s="1675"/>
      <c r="FO59" s="1675"/>
      <c r="FP59" s="1675"/>
      <c r="FQ59" s="1675"/>
      <c r="FR59" s="1675"/>
      <c r="FS59" s="1675"/>
      <c r="FT59" s="1675"/>
      <c r="FU59" s="1675"/>
      <c r="FV59" s="1675"/>
      <c r="FW59" s="1675"/>
      <c r="FX59" s="1675"/>
      <c r="FY59" s="1675"/>
      <c r="FZ59" s="1675"/>
      <c r="GA59" s="1675"/>
      <c r="GB59" s="1675"/>
      <c r="GC59" s="1675"/>
      <c r="GD59" s="1675"/>
      <c r="GE59" s="1675"/>
      <c r="GF59" s="1675"/>
      <c r="GG59" s="1675"/>
      <c r="GH59" s="1675"/>
      <c r="GI59" s="1675"/>
      <c r="GJ59" s="1675"/>
      <c r="GK59" s="1675"/>
      <c r="GL59" s="1675"/>
      <c r="GM59" s="1675"/>
      <c r="GN59" s="1675"/>
      <c r="GO59" s="1675"/>
      <c r="GP59" s="1675"/>
      <c r="GQ59" s="1675"/>
      <c r="GR59" s="1675"/>
      <c r="GS59" s="1675"/>
      <c r="GT59" s="1675"/>
      <c r="GU59" s="1675"/>
      <c r="GV59" s="1675"/>
      <c r="GW59" s="1675"/>
      <c r="GX59" s="1675"/>
      <c r="GY59" s="1675"/>
      <c r="GZ59" s="1675"/>
      <c r="HA59" s="1675"/>
      <c r="HB59" s="1675"/>
      <c r="HC59" s="1675"/>
      <c r="HD59" s="1675"/>
      <c r="HE59" s="1675"/>
      <c r="HF59" s="1675"/>
      <c r="HG59" s="1675"/>
      <c r="HH59" s="1675"/>
      <c r="HI59" s="1675"/>
      <c r="HJ59" s="1675"/>
      <c r="HK59" s="1675"/>
      <c r="HL59" s="1675"/>
      <c r="HM59" s="1675"/>
      <c r="HN59" s="1675"/>
      <c r="HO59" s="1675"/>
      <c r="HP59" s="1675"/>
      <c r="HQ59" s="1675"/>
      <c r="HR59" s="1675"/>
      <c r="HS59" s="1675"/>
      <c r="HT59" s="1675"/>
      <c r="HU59" s="1675"/>
      <c r="HV59" s="1675"/>
      <c r="HW59" s="1675"/>
      <c r="HX59" s="1675"/>
      <c r="HY59" s="1675"/>
      <c r="HZ59" s="1675"/>
      <c r="IA59" s="1675"/>
      <c r="IB59" s="1675"/>
      <c r="IC59" s="1675"/>
      <c r="ID59" s="1675"/>
      <c r="IE59" s="1675"/>
      <c r="IF59" s="1675"/>
      <c r="IG59" s="1675"/>
      <c r="IH59" s="1675"/>
      <c r="II59" s="1675"/>
      <c r="IJ59" s="1675"/>
      <c r="IK59" s="1675"/>
      <c r="IL59" s="1675"/>
      <c r="IM59" s="1675"/>
      <c r="IN59" s="1675"/>
      <c r="IO59" s="1675"/>
      <c r="IP59" s="1675"/>
      <c r="IQ59" s="1675"/>
      <c r="IR59" s="1675"/>
      <c r="IS59" s="1675"/>
      <c r="IT59" s="1675"/>
      <c r="IU59" s="1675"/>
      <c r="IV59" s="1675"/>
      <c r="IW59" s="1675"/>
      <c r="IX59" s="1675"/>
      <c r="IY59" s="1675"/>
      <c r="IZ59" s="1675"/>
      <c r="JA59" s="1675"/>
      <c r="JB59" s="1675"/>
      <c r="JC59" s="1675"/>
      <c r="JD59" s="1675"/>
      <c r="JE59" s="1675"/>
      <c r="JF59" s="1675"/>
      <c r="JG59" s="1675"/>
      <c r="JH59" s="1675"/>
      <c r="JI59" s="1675"/>
      <c r="JJ59" s="1675"/>
      <c r="JK59" s="1675"/>
      <c r="JL59" s="1675"/>
      <c r="JM59" s="1675"/>
      <c r="JN59" s="1675"/>
      <c r="JO59" s="1675"/>
      <c r="JP59" s="1675"/>
      <c r="JQ59" s="1675"/>
      <c r="JR59" s="1675"/>
      <c r="JS59" s="1675"/>
      <c r="JT59" s="1675"/>
      <c r="JU59" s="1675"/>
      <c r="JV59" s="1675"/>
      <c r="JW59" s="1675"/>
      <c r="JX59" s="1675"/>
      <c r="JY59" s="1675"/>
      <c r="JZ59" s="1675"/>
      <c r="KA59" s="1675"/>
      <c r="KB59" s="1675"/>
      <c r="KC59" s="1675"/>
      <c r="KD59" s="1675"/>
      <c r="KE59" s="1675"/>
      <c r="KF59" s="1675"/>
      <c r="KG59" s="1675"/>
      <c r="KH59" s="1675"/>
      <c r="KI59" s="1675"/>
      <c r="KJ59" s="1675"/>
      <c r="KK59" s="1675"/>
      <c r="KL59" s="1675"/>
      <c r="KM59" s="1675"/>
      <c r="KN59" s="1675"/>
      <c r="KO59" s="1675"/>
      <c r="KP59" s="1675"/>
      <c r="KQ59" s="1675"/>
      <c r="KR59" s="1675"/>
      <c r="KS59" s="1675"/>
      <c r="KT59" s="1675"/>
      <c r="KU59" s="1675"/>
      <c r="KV59" s="1675"/>
      <c r="KW59" s="1675"/>
      <c r="KX59" s="1675"/>
      <c r="KY59" s="1675"/>
      <c r="KZ59" s="1675"/>
      <c r="LA59" s="1675"/>
      <c r="LB59" s="1675"/>
      <c r="LC59" s="1675"/>
      <c r="LD59" s="1675"/>
      <c r="LE59" s="1675"/>
      <c r="LF59" s="1675"/>
      <c r="LG59" s="1675"/>
      <c r="LH59" s="1675"/>
      <c r="LI59" s="1675"/>
      <c r="LJ59" s="1675"/>
      <c r="LK59" s="1675"/>
      <c r="LL59" s="1675"/>
      <c r="LM59" s="1675"/>
      <c r="LN59" s="1675"/>
      <c r="LO59" s="1675"/>
      <c r="LP59" s="1675"/>
      <c r="LQ59" s="1675"/>
      <c r="LR59" s="1675"/>
      <c r="LS59" s="1675"/>
      <c r="LT59" s="1675"/>
      <c r="LU59" s="1675"/>
      <c r="LV59" s="1675"/>
      <c r="LW59" s="1675"/>
      <c r="LX59" s="1675"/>
      <c r="LY59" s="1675"/>
      <c r="LZ59" s="1675"/>
      <c r="MA59" s="1675"/>
      <c r="MB59" s="1675"/>
    </row>
    <row r="60" spans="1:340" ht="18.95" customHeight="1">
      <c r="A60" s="334"/>
      <c r="B60" s="2275"/>
      <c r="C60" s="1126"/>
      <c r="D60" s="1145"/>
      <c r="E60" s="465"/>
      <c r="F60" s="435"/>
      <c r="G60" s="435"/>
      <c r="H60" s="391"/>
      <c r="I60" s="473"/>
      <c r="J60" s="1670" t="s">
        <v>6065</v>
      </c>
      <c r="K60" s="1671"/>
      <c r="L60" s="1671"/>
      <c r="M60" s="1671"/>
      <c r="N60" s="1672"/>
      <c r="O60" s="1671"/>
      <c r="P60" s="1671"/>
      <c r="Q60" s="1673">
        <v>4727.9661016949149</v>
      </c>
      <c r="R60" s="1671" t="s">
        <v>2288</v>
      </c>
      <c r="S60" s="1672">
        <v>885</v>
      </c>
      <c r="T60" s="1671" t="s">
        <v>0</v>
      </c>
      <c r="U60" s="1671"/>
      <c r="V60" s="1887">
        <v>4</v>
      </c>
      <c r="W60" s="1671" t="s">
        <v>3</v>
      </c>
      <c r="X60" s="1671" t="s">
        <v>1</v>
      </c>
      <c r="Y60" s="1802">
        <f>Q60*S60*V60/1000</f>
        <v>16736.999999999996</v>
      </c>
      <c r="Z60" s="1670">
        <f t="shared" si="4"/>
        <v>16736999.999999998</v>
      </c>
      <c r="AA60" s="907">
        <f t="shared" si="1"/>
        <v>0</v>
      </c>
      <c r="AC60" s="347"/>
      <c r="AD60" s="1675"/>
      <c r="AE60" s="1675"/>
      <c r="AF60" s="1675"/>
      <c r="AG60" s="1675"/>
      <c r="AH60" s="1675"/>
      <c r="AI60" s="1675"/>
      <c r="AJ60" s="1675"/>
      <c r="AK60" s="1675"/>
      <c r="AL60" s="1675"/>
      <c r="AM60" s="1675"/>
      <c r="AN60" s="1675"/>
      <c r="AO60" s="1675"/>
      <c r="AP60" s="1675"/>
      <c r="AQ60" s="1675"/>
      <c r="AR60" s="1675"/>
      <c r="AS60" s="1675"/>
      <c r="AT60" s="1675"/>
      <c r="AU60" s="1675"/>
      <c r="AV60" s="1675"/>
      <c r="AW60" s="1675"/>
      <c r="AX60" s="1675"/>
      <c r="AY60" s="1675"/>
      <c r="AZ60" s="1675"/>
      <c r="BA60" s="1675"/>
      <c r="BB60" s="1675"/>
      <c r="BC60" s="1675"/>
      <c r="BD60" s="1675"/>
      <c r="BE60" s="1675"/>
      <c r="BF60" s="1675"/>
      <c r="BG60" s="1675"/>
      <c r="BH60" s="1675"/>
      <c r="BI60" s="1675"/>
      <c r="BJ60" s="1675"/>
      <c r="BK60" s="1675"/>
      <c r="BL60" s="1675"/>
      <c r="BM60" s="1675"/>
      <c r="BN60" s="1675"/>
      <c r="BO60" s="1675"/>
      <c r="BP60" s="1675"/>
      <c r="BQ60" s="1675"/>
      <c r="BR60" s="1675"/>
      <c r="BS60" s="1675"/>
      <c r="BT60" s="1675"/>
      <c r="BU60" s="1675"/>
      <c r="BV60" s="1675"/>
      <c r="BW60" s="1675"/>
      <c r="BX60" s="1675"/>
      <c r="BY60" s="1675"/>
      <c r="BZ60" s="1675"/>
      <c r="CA60" s="1675"/>
      <c r="CB60" s="1675"/>
      <c r="CC60" s="1675"/>
      <c r="CD60" s="1675"/>
      <c r="CE60" s="1675"/>
      <c r="CF60" s="1675"/>
      <c r="CG60" s="1675"/>
      <c r="CH60" s="1675"/>
      <c r="CI60" s="1675"/>
      <c r="CJ60" s="1675"/>
      <c r="CK60" s="1675"/>
      <c r="CL60" s="1675"/>
      <c r="CM60" s="1675"/>
      <c r="CN60" s="1675"/>
      <c r="CO60" s="1675"/>
      <c r="CP60" s="1675"/>
      <c r="CQ60" s="1675"/>
      <c r="CR60" s="1675"/>
      <c r="CS60" s="1675"/>
      <c r="CT60" s="1675"/>
      <c r="CU60" s="1675"/>
      <c r="CV60" s="1675"/>
      <c r="CW60" s="1675"/>
      <c r="CX60" s="1675"/>
      <c r="CY60" s="1675"/>
      <c r="CZ60" s="1675"/>
      <c r="DA60" s="1675"/>
      <c r="DB60" s="1675"/>
      <c r="DC60" s="1675"/>
      <c r="DD60" s="1675"/>
      <c r="DE60" s="1675"/>
      <c r="DF60" s="1675"/>
      <c r="DG60" s="1675"/>
      <c r="DH60" s="1675"/>
      <c r="DI60" s="1675"/>
      <c r="DJ60" s="1675"/>
      <c r="DK60" s="1675"/>
      <c r="DL60" s="1675"/>
      <c r="DM60" s="1675"/>
      <c r="DN60" s="1675"/>
      <c r="DO60" s="1675"/>
      <c r="DP60" s="1675"/>
      <c r="DQ60" s="1675"/>
      <c r="DR60" s="1675"/>
      <c r="DS60" s="1675"/>
      <c r="DT60" s="1675"/>
      <c r="DU60" s="1675"/>
      <c r="DV60" s="1675"/>
      <c r="DW60" s="1675"/>
      <c r="DX60" s="1675"/>
      <c r="DY60" s="1675"/>
      <c r="DZ60" s="1675"/>
      <c r="EA60" s="1675"/>
      <c r="EB60" s="1675"/>
      <c r="EC60" s="1675"/>
      <c r="ED60" s="1675"/>
      <c r="EE60" s="1675"/>
      <c r="EF60" s="1675"/>
      <c r="EG60" s="1675"/>
      <c r="EH60" s="1675"/>
      <c r="EI60" s="1675"/>
      <c r="EJ60" s="1675"/>
      <c r="EK60" s="1675"/>
      <c r="EL60" s="1675"/>
      <c r="EM60" s="1675"/>
      <c r="EN60" s="1675"/>
      <c r="EO60" s="1675"/>
      <c r="EP60" s="1675"/>
      <c r="EQ60" s="1675"/>
      <c r="ER60" s="1675"/>
      <c r="ES60" s="1675"/>
      <c r="ET60" s="1675"/>
      <c r="EU60" s="1675"/>
      <c r="EV60" s="1675"/>
      <c r="EW60" s="1675"/>
      <c r="EX60" s="1675"/>
      <c r="EY60" s="1675"/>
      <c r="EZ60" s="1675"/>
      <c r="FA60" s="1675"/>
      <c r="FB60" s="1675"/>
      <c r="FC60" s="1675"/>
      <c r="FD60" s="1675"/>
      <c r="FE60" s="1675"/>
      <c r="FF60" s="1675"/>
      <c r="FG60" s="1675"/>
      <c r="FH60" s="1675"/>
      <c r="FI60" s="1675"/>
      <c r="FJ60" s="1675"/>
      <c r="FK60" s="1675"/>
      <c r="FL60" s="1675"/>
      <c r="FM60" s="1675"/>
      <c r="FN60" s="1675"/>
      <c r="FO60" s="1675"/>
      <c r="FP60" s="1675"/>
      <c r="FQ60" s="1675"/>
      <c r="FR60" s="1675"/>
      <c r="FS60" s="1675"/>
      <c r="FT60" s="1675"/>
      <c r="FU60" s="1675"/>
      <c r="FV60" s="1675"/>
      <c r="FW60" s="1675"/>
      <c r="FX60" s="1675"/>
      <c r="FY60" s="1675"/>
      <c r="FZ60" s="1675"/>
      <c r="GA60" s="1675"/>
      <c r="GB60" s="1675"/>
      <c r="GC60" s="1675"/>
      <c r="GD60" s="1675"/>
      <c r="GE60" s="1675"/>
      <c r="GF60" s="1675"/>
      <c r="GG60" s="1675"/>
      <c r="GH60" s="1675"/>
      <c r="GI60" s="1675"/>
      <c r="GJ60" s="1675"/>
      <c r="GK60" s="1675"/>
      <c r="GL60" s="1675"/>
      <c r="GM60" s="1675"/>
      <c r="GN60" s="1675"/>
      <c r="GO60" s="1675"/>
      <c r="GP60" s="1675"/>
      <c r="GQ60" s="1675"/>
      <c r="GR60" s="1675"/>
      <c r="GS60" s="1675"/>
      <c r="GT60" s="1675"/>
      <c r="GU60" s="1675"/>
      <c r="GV60" s="1675"/>
      <c r="GW60" s="1675"/>
      <c r="GX60" s="1675"/>
      <c r="GY60" s="1675"/>
      <c r="GZ60" s="1675"/>
      <c r="HA60" s="1675"/>
      <c r="HB60" s="1675"/>
      <c r="HC60" s="1675"/>
      <c r="HD60" s="1675"/>
      <c r="HE60" s="1675"/>
      <c r="HF60" s="1675"/>
      <c r="HG60" s="1675"/>
      <c r="HH60" s="1675"/>
      <c r="HI60" s="1675"/>
      <c r="HJ60" s="1675"/>
      <c r="HK60" s="1675"/>
      <c r="HL60" s="1675"/>
      <c r="HM60" s="1675"/>
      <c r="HN60" s="1675"/>
      <c r="HO60" s="1675"/>
      <c r="HP60" s="1675"/>
      <c r="HQ60" s="1675"/>
      <c r="HR60" s="1675"/>
      <c r="HS60" s="1675"/>
      <c r="HT60" s="1675"/>
      <c r="HU60" s="1675"/>
      <c r="HV60" s="1675"/>
      <c r="HW60" s="1675"/>
      <c r="HX60" s="1675"/>
      <c r="HY60" s="1675"/>
      <c r="HZ60" s="1675"/>
      <c r="IA60" s="1675"/>
      <c r="IB60" s="1675"/>
      <c r="IC60" s="1675"/>
      <c r="ID60" s="1675"/>
      <c r="IE60" s="1675"/>
      <c r="IF60" s="1675"/>
      <c r="IG60" s="1675"/>
      <c r="IH60" s="1675"/>
      <c r="II60" s="1675"/>
      <c r="IJ60" s="1675"/>
      <c r="IK60" s="1675"/>
      <c r="IL60" s="1675"/>
      <c r="IM60" s="1675"/>
      <c r="IN60" s="1675"/>
      <c r="IO60" s="1675"/>
      <c r="IP60" s="1675"/>
      <c r="IQ60" s="1675"/>
      <c r="IR60" s="1675"/>
      <c r="IS60" s="1675"/>
      <c r="IT60" s="1675"/>
      <c r="IU60" s="1675"/>
      <c r="IV60" s="1675"/>
      <c r="IW60" s="1675"/>
      <c r="IX60" s="1675"/>
      <c r="IY60" s="1675"/>
      <c r="IZ60" s="1675"/>
      <c r="JA60" s="1675"/>
      <c r="JB60" s="1675"/>
      <c r="JC60" s="1675"/>
      <c r="JD60" s="1675"/>
      <c r="JE60" s="1675"/>
      <c r="JF60" s="1675"/>
      <c r="JG60" s="1675"/>
      <c r="JH60" s="1675"/>
      <c r="JI60" s="1675"/>
      <c r="JJ60" s="1675"/>
      <c r="JK60" s="1675"/>
      <c r="JL60" s="1675"/>
      <c r="JM60" s="1675"/>
      <c r="JN60" s="1675"/>
      <c r="JO60" s="1675"/>
      <c r="JP60" s="1675"/>
      <c r="JQ60" s="1675"/>
      <c r="JR60" s="1675"/>
      <c r="JS60" s="1675"/>
      <c r="JT60" s="1675"/>
      <c r="JU60" s="1675"/>
      <c r="JV60" s="1675"/>
      <c r="JW60" s="1675"/>
      <c r="JX60" s="1675"/>
      <c r="JY60" s="1675"/>
      <c r="JZ60" s="1675"/>
      <c r="KA60" s="1675"/>
      <c r="KB60" s="1675"/>
      <c r="KC60" s="1675"/>
      <c r="KD60" s="1675"/>
      <c r="KE60" s="1675"/>
      <c r="KF60" s="1675"/>
      <c r="KG60" s="1675"/>
      <c r="KH60" s="1675"/>
      <c r="KI60" s="1675"/>
      <c r="KJ60" s="1675"/>
      <c r="KK60" s="1675"/>
      <c r="KL60" s="1675"/>
      <c r="KM60" s="1675"/>
      <c r="KN60" s="1675"/>
      <c r="KO60" s="1675"/>
      <c r="KP60" s="1675"/>
      <c r="KQ60" s="1675"/>
      <c r="KR60" s="1675"/>
      <c r="KS60" s="1675"/>
      <c r="KT60" s="1675"/>
      <c r="KU60" s="1675"/>
      <c r="KV60" s="1675"/>
      <c r="KW60" s="1675"/>
      <c r="KX60" s="1675"/>
      <c r="KY60" s="1675"/>
      <c r="KZ60" s="1675"/>
      <c r="LA60" s="1675"/>
      <c r="LB60" s="1675"/>
      <c r="LC60" s="1675"/>
      <c r="LD60" s="1675"/>
      <c r="LE60" s="1675"/>
      <c r="LF60" s="1675"/>
      <c r="LG60" s="1675"/>
      <c r="LH60" s="1675"/>
      <c r="LI60" s="1675"/>
      <c r="LJ60" s="1675"/>
      <c r="LK60" s="1675"/>
      <c r="LL60" s="1675"/>
      <c r="LM60" s="1675"/>
      <c r="LN60" s="1675"/>
      <c r="LO60" s="1675"/>
      <c r="LP60" s="1675"/>
      <c r="LQ60" s="1675"/>
      <c r="LR60" s="1675"/>
      <c r="LS60" s="1675"/>
      <c r="LT60" s="1675"/>
      <c r="LU60" s="1675"/>
      <c r="LV60" s="1675"/>
      <c r="LW60" s="1675"/>
      <c r="LX60" s="1675"/>
      <c r="LY60" s="1675"/>
      <c r="LZ60" s="1675"/>
      <c r="MA60" s="1675"/>
      <c r="MB60" s="1675"/>
    </row>
    <row r="61" spans="1:340" ht="18.95" customHeight="1">
      <c r="A61" s="334"/>
      <c r="B61" s="2275"/>
      <c r="C61" s="1126"/>
      <c r="D61" s="1145"/>
      <c r="E61" s="465"/>
      <c r="F61" s="435"/>
      <c r="G61" s="435"/>
      <c r="H61" s="391"/>
      <c r="I61" s="473"/>
      <c r="J61" s="1670" t="s">
        <v>6066</v>
      </c>
      <c r="K61" s="1671"/>
      <c r="L61" s="1671"/>
      <c r="M61" s="1671"/>
      <c r="N61" s="1672"/>
      <c r="O61" s="1671"/>
      <c r="P61" s="1671"/>
      <c r="Q61" s="1673">
        <v>332</v>
      </c>
      <c r="R61" s="1671" t="s">
        <v>749</v>
      </c>
      <c r="S61" s="1672">
        <v>4518.0722891566265</v>
      </c>
      <c r="T61" s="1671" t="s">
        <v>0</v>
      </c>
      <c r="U61" s="1671"/>
      <c r="V61" s="1887">
        <v>2</v>
      </c>
      <c r="W61" s="1671" t="s">
        <v>3</v>
      </c>
      <c r="X61" s="1671" t="s">
        <v>1</v>
      </c>
      <c r="Y61" s="1802">
        <f>Q61*S61*V61/1000</f>
        <v>3000</v>
      </c>
      <c r="Z61" s="1670">
        <f t="shared" si="4"/>
        <v>3000000</v>
      </c>
      <c r="AA61" s="907">
        <f t="shared" si="1"/>
        <v>0</v>
      </c>
      <c r="AC61" s="347"/>
      <c r="AD61" s="1675"/>
      <c r="AE61" s="1675"/>
      <c r="AF61" s="1675"/>
      <c r="AG61" s="1675"/>
      <c r="AH61" s="1675"/>
      <c r="AI61" s="1675"/>
      <c r="AJ61" s="1675"/>
      <c r="AK61" s="1675"/>
      <c r="AL61" s="1675"/>
      <c r="AM61" s="1675"/>
      <c r="AN61" s="1675"/>
      <c r="AO61" s="1675"/>
      <c r="AP61" s="1675"/>
      <c r="AQ61" s="1675"/>
      <c r="AR61" s="1675"/>
      <c r="AS61" s="1675"/>
      <c r="AT61" s="1675"/>
      <c r="AU61" s="1675"/>
      <c r="AV61" s="1675"/>
      <c r="AW61" s="1675"/>
      <c r="AX61" s="1675"/>
      <c r="AY61" s="1675"/>
      <c r="AZ61" s="1675"/>
      <c r="BA61" s="1675"/>
      <c r="BB61" s="1675"/>
      <c r="BC61" s="1675"/>
      <c r="BD61" s="1675"/>
      <c r="BE61" s="1675"/>
      <c r="BF61" s="1675"/>
      <c r="BG61" s="1675"/>
      <c r="BH61" s="1675"/>
      <c r="BI61" s="1675"/>
      <c r="BJ61" s="1675"/>
      <c r="BK61" s="1675"/>
      <c r="BL61" s="1675"/>
      <c r="BM61" s="1675"/>
      <c r="BN61" s="1675"/>
      <c r="BO61" s="1675"/>
      <c r="BP61" s="1675"/>
      <c r="BQ61" s="1675"/>
      <c r="BR61" s="1675"/>
      <c r="BS61" s="1675"/>
      <c r="BT61" s="1675"/>
      <c r="BU61" s="1675"/>
      <c r="BV61" s="1675"/>
      <c r="BW61" s="1675"/>
      <c r="BX61" s="1675"/>
      <c r="BY61" s="1675"/>
      <c r="BZ61" s="1675"/>
      <c r="CA61" s="1675"/>
      <c r="CB61" s="1675"/>
      <c r="CC61" s="1675"/>
      <c r="CD61" s="1675"/>
      <c r="CE61" s="1675"/>
      <c r="CF61" s="1675"/>
      <c r="CG61" s="1675"/>
      <c r="CH61" s="1675"/>
      <c r="CI61" s="1675"/>
      <c r="CJ61" s="1675"/>
      <c r="CK61" s="1675"/>
      <c r="CL61" s="1675"/>
      <c r="CM61" s="1675"/>
      <c r="CN61" s="1675"/>
      <c r="CO61" s="1675"/>
      <c r="CP61" s="1675"/>
      <c r="CQ61" s="1675"/>
      <c r="CR61" s="1675"/>
      <c r="CS61" s="1675"/>
      <c r="CT61" s="1675"/>
      <c r="CU61" s="1675"/>
      <c r="CV61" s="1675"/>
      <c r="CW61" s="1675"/>
      <c r="CX61" s="1675"/>
      <c r="CY61" s="1675"/>
      <c r="CZ61" s="1675"/>
      <c r="DA61" s="1675"/>
      <c r="DB61" s="1675"/>
      <c r="DC61" s="1675"/>
      <c r="DD61" s="1675"/>
      <c r="DE61" s="1675"/>
      <c r="DF61" s="1675"/>
      <c r="DG61" s="1675"/>
      <c r="DH61" s="1675"/>
      <c r="DI61" s="1675"/>
      <c r="DJ61" s="1675"/>
      <c r="DK61" s="1675"/>
      <c r="DL61" s="1675"/>
      <c r="DM61" s="1675"/>
      <c r="DN61" s="1675"/>
      <c r="DO61" s="1675"/>
      <c r="DP61" s="1675"/>
      <c r="DQ61" s="1675"/>
      <c r="DR61" s="1675"/>
      <c r="DS61" s="1675"/>
      <c r="DT61" s="1675"/>
      <c r="DU61" s="1675"/>
      <c r="DV61" s="1675"/>
      <c r="DW61" s="1675"/>
      <c r="DX61" s="1675"/>
      <c r="DY61" s="1675"/>
      <c r="DZ61" s="1675"/>
      <c r="EA61" s="1675"/>
      <c r="EB61" s="1675"/>
      <c r="EC61" s="1675"/>
      <c r="ED61" s="1675"/>
      <c r="EE61" s="1675"/>
      <c r="EF61" s="1675"/>
      <c r="EG61" s="1675"/>
      <c r="EH61" s="1675"/>
      <c r="EI61" s="1675"/>
      <c r="EJ61" s="1675"/>
      <c r="EK61" s="1675"/>
      <c r="EL61" s="1675"/>
      <c r="EM61" s="1675"/>
      <c r="EN61" s="1675"/>
      <c r="EO61" s="1675"/>
      <c r="EP61" s="1675"/>
      <c r="EQ61" s="1675"/>
      <c r="ER61" s="1675"/>
      <c r="ES61" s="1675"/>
      <c r="ET61" s="1675"/>
      <c r="EU61" s="1675"/>
      <c r="EV61" s="1675"/>
      <c r="EW61" s="1675"/>
      <c r="EX61" s="1675"/>
      <c r="EY61" s="1675"/>
      <c r="EZ61" s="1675"/>
      <c r="FA61" s="1675"/>
      <c r="FB61" s="1675"/>
      <c r="FC61" s="1675"/>
      <c r="FD61" s="1675"/>
      <c r="FE61" s="1675"/>
      <c r="FF61" s="1675"/>
      <c r="FG61" s="1675"/>
      <c r="FH61" s="1675"/>
      <c r="FI61" s="1675"/>
      <c r="FJ61" s="1675"/>
      <c r="FK61" s="1675"/>
      <c r="FL61" s="1675"/>
      <c r="FM61" s="1675"/>
      <c r="FN61" s="1675"/>
      <c r="FO61" s="1675"/>
      <c r="FP61" s="1675"/>
      <c r="FQ61" s="1675"/>
      <c r="FR61" s="1675"/>
      <c r="FS61" s="1675"/>
      <c r="FT61" s="1675"/>
      <c r="FU61" s="1675"/>
      <c r="FV61" s="1675"/>
      <c r="FW61" s="1675"/>
      <c r="FX61" s="1675"/>
      <c r="FY61" s="1675"/>
      <c r="FZ61" s="1675"/>
      <c r="GA61" s="1675"/>
      <c r="GB61" s="1675"/>
      <c r="GC61" s="1675"/>
      <c r="GD61" s="1675"/>
      <c r="GE61" s="1675"/>
      <c r="GF61" s="1675"/>
      <c r="GG61" s="1675"/>
      <c r="GH61" s="1675"/>
      <c r="GI61" s="1675"/>
      <c r="GJ61" s="1675"/>
      <c r="GK61" s="1675"/>
      <c r="GL61" s="1675"/>
      <c r="GM61" s="1675"/>
      <c r="GN61" s="1675"/>
      <c r="GO61" s="1675"/>
      <c r="GP61" s="1675"/>
      <c r="GQ61" s="1675"/>
      <c r="GR61" s="1675"/>
      <c r="GS61" s="1675"/>
      <c r="GT61" s="1675"/>
      <c r="GU61" s="1675"/>
      <c r="GV61" s="1675"/>
      <c r="GW61" s="1675"/>
      <c r="GX61" s="1675"/>
      <c r="GY61" s="1675"/>
      <c r="GZ61" s="1675"/>
      <c r="HA61" s="1675"/>
      <c r="HB61" s="1675"/>
      <c r="HC61" s="1675"/>
      <c r="HD61" s="1675"/>
      <c r="HE61" s="1675"/>
      <c r="HF61" s="1675"/>
      <c r="HG61" s="1675"/>
      <c r="HH61" s="1675"/>
      <c r="HI61" s="1675"/>
      <c r="HJ61" s="1675"/>
      <c r="HK61" s="1675"/>
      <c r="HL61" s="1675"/>
      <c r="HM61" s="1675"/>
      <c r="HN61" s="1675"/>
      <c r="HO61" s="1675"/>
      <c r="HP61" s="1675"/>
      <c r="HQ61" s="1675"/>
      <c r="HR61" s="1675"/>
      <c r="HS61" s="1675"/>
      <c r="HT61" s="1675"/>
      <c r="HU61" s="1675"/>
      <c r="HV61" s="1675"/>
      <c r="HW61" s="1675"/>
      <c r="HX61" s="1675"/>
      <c r="HY61" s="1675"/>
      <c r="HZ61" s="1675"/>
      <c r="IA61" s="1675"/>
      <c r="IB61" s="1675"/>
      <c r="IC61" s="1675"/>
      <c r="ID61" s="1675"/>
      <c r="IE61" s="1675"/>
      <c r="IF61" s="1675"/>
      <c r="IG61" s="1675"/>
      <c r="IH61" s="1675"/>
      <c r="II61" s="1675"/>
      <c r="IJ61" s="1675"/>
      <c r="IK61" s="1675"/>
      <c r="IL61" s="1675"/>
      <c r="IM61" s="1675"/>
      <c r="IN61" s="1675"/>
      <c r="IO61" s="1675"/>
      <c r="IP61" s="1675"/>
      <c r="IQ61" s="1675"/>
      <c r="IR61" s="1675"/>
      <c r="IS61" s="1675"/>
      <c r="IT61" s="1675"/>
      <c r="IU61" s="1675"/>
      <c r="IV61" s="1675"/>
      <c r="IW61" s="1675"/>
      <c r="IX61" s="1675"/>
      <c r="IY61" s="1675"/>
      <c r="IZ61" s="1675"/>
      <c r="JA61" s="1675"/>
      <c r="JB61" s="1675"/>
      <c r="JC61" s="1675"/>
      <c r="JD61" s="1675"/>
      <c r="JE61" s="1675"/>
      <c r="JF61" s="1675"/>
      <c r="JG61" s="1675"/>
      <c r="JH61" s="1675"/>
      <c r="JI61" s="1675"/>
      <c r="JJ61" s="1675"/>
      <c r="JK61" s="1675"/>
      <c r="JL61" s="1675"/>
      <c r="JM61" s="1675"/>
      <c r="JN61" s="1675"/>
      <c r="JO61" s="1675"/>
      <c r="JP61" s="1675"/>
      <c r="JQ61" s="1675"/>
      <c r="JR61" s="1675"/>
      <c r="JS61" s="1675"/>
      <c r="JT61" s="1675"/>
      <c r="JU61" s="1675"/>
      <c r="JV61" s="1675"/>
      <c r="JW61" s="1675"/>
      <c r="JX61" s="1675"/>
      <c r="JY61" s="1675"/>
      <c r="JZ61" s="1675"/>
      <c r="KA61" s="1675"/>
      <c r="KB61" s="1675"/>
      <c r="KC61" s="1675"/>
      <c r="KD61" s="1675"/>
      <c r="KE61" s="1675"/>
      <c r="KF61" s="1675"/>
      <c r="KG61" s="1675"/>
      <c r="KH61" s="1675"/>
      <c r="KI61" s="1675"/>
      <c r="KJ61" s="1675"/>
      <c r="KK61" s="1675"/>
      <c r="KL61" s="1675"/>
      <c r="KM61" s="1675"/>
      <c r="KN61" s="1675"/>
      <c r="KO61" s="1675"/>
      <c r="KP61" s="1675"/>
      <c r="KQ61" s="1675"/>
      <c r="KR61" s="1675"/>
      <c r="KS61" s="1675"/>
      <c r="KT61" s="1675"/>
      <c r="KU61" s="1675"/>
      <c r="KV61" s="1675"/>
      <c r="KW61" s="1675"/>
      <c r="KX61" s="1675"/>
      <c r="KY61" s="1675"/>
      <c r="KZ61" s="1675"/>
      <c r="LA61" s="1675"/>
      <c r="LB61" s="1675"/>
      <c r="LC61" s="1675"/>
      <c r="LD61" s="1675"/>
      <c r="LE61" s="1675"/>
      <c r="LF61" s="1675"/>
      <c r="LG61" s="1675"/>
      <c r="LH61" s="1675"/>
      <c r="LI61" s="1675"/>
      <c r="LJ61" s="1675"/>
      <c r="LK61" s="1675"/>
      <c r="LL61" s="1675"/>
      <c r="LM61" s="1675"/>
      <c r="LN61" s="1675"/>
      <c r="LO61" s="1675"/>
      <c r="LP61" s="1675"/>
      <c r="LQ61" s="1675"/>
      <c r="LR61" s="1675"/>
      <c r="LS61" s="1675"/>
      <c r="LT61" s="1675"/>
      <c r="LU61" s="1675"/>
      <c r="LV61" s="1675"/>
      <c r="LW61" s="1675"/>
      <c r="LX61" s="1675"/>
      <c r="LY61" s="1675"/>
      <c r="LZ61" s="1675"/>
      <c r="MA61" s="1675"/>
      <c r="MB61" s="1675"/>
    </row>
    <row r="62" spans="1:340" ht="18.95" customHeight="1">
      <c r="A62" s="334"/>
      <c r="B62" s="2275"/>
      <c r="C62" s="1126"/>
      <c r="D62" s="1145"/>
      <c r="E62" s="465"/>
      <c r="F62" s="435"/>
      <c r="G62" s="435"/>
      <c r="H62" s="391"/>
      <c r="I62" s="473"/>
      <c r="J62" s="1670" t="s">
        <v>6067</v>
      </c>
      <c r="K62" s="1671"/>
      <c r="L62" s="1671"/>
      <c r="M62" s="1671"/>
      <c r="N62" s="1672"/>
      <c r="O62" s="1671"/>
      <c r="P62" s="1671"/>
      <c r="Q62" s="1673">
        <v>1</v>
      </c>
      <c r="R62" s="1671" t="s">
        <v>1800</v>
      </c>
      <c r="S62" s="1672">
        <v>8000000</v>
      </c>
      <c r="T62" s="1671" t="s">
        <v>0</v>
      </c>
      <c r="U62" s="1671"/>
      <c r="V62" s="1887">
        <v>3</v>
      </c>
      <c r="W62" s="1671" t="s">
        <v>1806</v>
      </c>
      <c r="X62" s="1671" t="s">
        <v>1797</v>
      </c>
      <c r="Y62" s="1802">
        <f>S62*V62/1000</f>
        <v>24000</v>
      </c>
      <c r="Z62" s="1670">
        <f t="shared" si="4"/>
        <v>24000000</v>
      </c>
      <c r="AA62" s="907">
        <f t="shared" si="1"/>
        <v>0</v>
      </c>
      <c r="AC62" s="347"/>
      <c r="AD62" s="1675"/>
      <c r="AE62" s="1675"/>
      <c r="AF62" s="1675"/>
      <c r="AG62" s="1675"/>
      <c r="AH62" s="1675"/>
      <c r="AI62" s="1675"/>
      <c r="AJ62" s="1675"/>
      <c r="AK62" s="1675"/>
      <c r="AL62" s="1675"/>
      <c r="AM62" s="1675"/>
      <c r="AN62" s="1675"/>
      <c r="AO62" s="1675"/>
      <c r="AP62" s="1675"/>
      <c r="AQ62" s="1675"/>
      <c r="AR62" s="1675"/>
      <c r="AS62" s="1675"/>
      <c r="AT62" s="1675"/>
      <c r="AU62" s="1675"/>
      <c r="AV62" s="1675"/>
      <c r="AW62" s="1675"/>
      <c r="AX62" s="1675"/>
      <c r="AY62" s="1675"/>
      <c r="AZ62" s="1675"/>
      <c r="BA62" s="1675"/>
      <c r="BB62" s="1675"/>
      <c r="BC62" s="1675"/>
      <c r="BD62" s="1675"/>
      <c r="BE62" s="1675"/>
      <c r="BF62" s="1675"/>
      <c r="BG62" s="1675"/>
      <c r="BH62" s="1675"/>
      <c r="BI62" s="1675"/>
      <c r="BJ62" s="1675"/>
      <c r="BK62" s="1675"/>
      <c r="BL62" s="1675"/>
      <c r="BM62" s="1675"/>
      <c r="BN62" s="1675"/>
      <c r="BO62" s="1675"/>
      <c r="BP62" s="1675"/>
      <c r="BQ62" s="1675"/>
      <c r="BR62" s="1675"/>
      <c r="BS62" s="1675"/>
      <c r="BT62" s="1675"/>
      <c r="BU62" s="1675"/>
      <c r="BV62" s="1675"/>
      <c r="BW62" s="1675"/>
      <c r="BX62" s="1675"/>
      <c r="BY62" s="1675"/>
      <c r="BZ62" s="1675"/>
      <c r="CA62" s="1675"/>
      <c r="CB62" s="1675"/>
      <c r="CC62" s="1675"/>
      <c r="CD62" s="1675"/>
      <c r="CE62" s="1675"/>
      <c r="CF62" s="1675"/>
      <c r="CG62" s="1675"/>
      <c r="CH62" s="1675"/>
      <c r="CI62" s="1675"/>
      <c r="CJ62" s="1675"/>
      <c r="CK62" s="1675"/>
      <c r="CL62" s="1675"/>
      <c r="CM62" s="1675"/>
      <c r="CN62" s="1675"/>
      <c r="CO62" s="1675"/>
      <c r="CP62" s="1675"/>
      <c r="CQ62" s="1675"/>
      <c r="CR62" s="1675"/>
      <c r="CS62" s="1675"/>
      <c r="CT62" s="1675"/>
      <c r="CU62" s="1675"/>
      <c r="CV62" s="1675"/>
      <c r="CW62" s="1675"/>
      <c r="CX62" s="1675"/>
      <c r="CY62" s="1675"/>
      <c r="CZ62" s="1675"/>
      <c r="DA62" s="1675"/>
      <c r="DB62" s="1675"/>
      <c r="DC62" s="1675"/>
      <c r="DD62" s="1675"/>
      <c r="DE62" s="1675"/>
      <c r="DF62" s="1675"/>
      <c r="DG62" s="1675"/>
      <c r="DH62" s="1675"/>
      <c r="DI62" s="1675"/>
      <c r="DJ62" s="1675"/>
      <c r="DK62" s="1675"/>
      <c r="DL62" s="1675"/>
      <c r="DM62" s="1675"/>
      <c r="DN62" s="1675"/>
      <c r="DO62" s="1675"/>
      <c r="DP62" s="1675"/>
      <c r="DQ62" s="1675"/>
      <c r="DR62" s="1675"/>
      <c r="DS62" s="1675"/>
      <c r="DT62" s="1675"/>
      <c r="DU62" s="1675"/>
      <c r="DV62" s="1675"/>
      <c r="DW62" s="1675"/>
      <c r="DX62" s="1675"/>
      <c r="DY62" s="1675"/>
      <c r="DZ62" s="1675"/>
      <c r="EA62" s="1675"/>
      <c r="EB62" s="1675"/>
      <c r="EC62" s="1675"/>
      <c r="ED62" s="1675"/>
      <c r="EE62" s="1675"/>
      <c r="EF62" s="1675"/>
      <c r="EG62" s="1675"/>
      <c r="EH62" s="1675"/>
      <c r="EI62" s="1675"/>
      <c r="EJ62" s="1675"/>
      <c r="EK62" s="1675"/>
      <c r="EL62" s="1675"/>
      <c r="EM62" s="1675"/>
      <c r="EN62" s="1675"/>
      <c r="EO62" s="1675"/>
      <c r="EP62" s="1675"/>
      <c r="EQ62" s="1675"/>
      <c r="ER62" s="1675"/>
      <c r="ES62" s="1675"/>
      <c r="ET62" s="1675"/>
      <c r="EU62" s="1675"/>
      <c r="EV62" s="1675"/>
      <c r="EW62" s="1675"/>
      <c r="EX62" s="1675"/>
      <c r="EY62" s="1675"/>
      <c r="EZ62" s="1675"/>
      <c r="FA62" s="1675"/>
      <c r="FB62" s="1675"/>
      <c r="FC62" s="1675"/>
      <c r="FD62" s="1675"/>
      <c r="FE62" s="1675"/>
      <c r="FF62" s="1675"/>
      <c r="FG62" s="1675"/>
      <c r="FH62" s="1675"/>
      <c r="FI62" s="1675"/>
      <c r="FJ62" s="1675"/>
      <c r="FK62" s="1675"/>
      <c r="FL62" s="1675"/>
      <c r="FM62" s="1675"/>
      <c r="FN62" s="1675"/>
      <c r="FO62" s="1675"/>
      <c r="FP62" s="1675"/>
      <c r="FQ62" s="1675"/>
      <c r="FR62" s="1675"/>
      <c r="FS62" s="1675"/>
      <c r="FT62" s="1675"/>
      <c r="FU62" s="1675"/>
      <c r="FV62" s="1675"/>
      <c r="FW62" s="1675"/>
      <c r="FX62" s="1675"/>
      <c r="FY62" s="1675"/>
      <c r="FZ62" s="1675"/>
      <c r="GA62" s="1675"/>
      <c r="GB62" s="1675"/>
      <c r="GC62" s="1675"/>
      <c r="GD62" s="1675"/>
      <c r="GE62" s="1675"/>
      <c r="GF62" s="1675"/>
      <c r="GG62" s="1675"/>
      <c r="GH62" s="1675"/>
      <c r="GI62" s="1675"/>
      <c r="GJ62" s="1675"/>
      <c r="GK62" s="1675"/>
      <c r="GL62" s="1675"/>
      <c r="GM62" s="1675"/>
      <c r="GN62" s="1675"/>
      <c r="GO62" s="1675"/>
      <c r="GP62" s="1675"/>
      <c r="GQ62" s="1675"/>
      <c r="GR62" s="1675"/>
      <c r="GS62" s="1675"/>
      <c r="GT62" s="1675"/>
      <c r="GU62" s="1675"/>
      <c r="GV62" s="1675"/>
      <c r="GW62" s="1675"/>
      <c r="GX62" s="1675"/>
      <c r="GY62" s="1675"/>
      <c r="GZ62" s="1675"/>
      <c r="HA62" s="1675"/>
      <c r="HB62" s="1675"/>
      <c r="HC62" s="1675"/>
      <c r="HD62" s="1675"/>
      <c r="HE62" s="1675"/>
      <c r="HF62" s="1675"/>
      <c r="HG62" s="1675"/>
      <c r="HH62" s="1675"/>
      <c r="HI62" s="1675"/>
      <c r="HJ62" s="1675"/>
      <c r="HK62" s="1675"/>
      <c r="HL62" s="1675"/>
      <c r="HM62" s="1675"/>
      <c r="HN62" s="1675"/>
      <c r="HO62" s="1675"/>
      <c r="HP62" s="1675"/>
      <c r="HQ62" s="1675"/>
      <c r="HR62" s="1675"/>
      <c r="HS62" s="1675"/>
      <c r="HT62" s="1675"/>
      <c r="HU62" s="1675"/>
      <c r="HV62" s="1675"/>
      <c r="HW62" s="1675"/>
      <c r="HX62" s="1675"/>
      <c r="HY62" s="1675"/>
      <c r="HZ62" s="1675"/>
      <c r="IA62" s="1675"/>
      <c r="IB62" s="1675"/>
      <c r="IC62" s="1675"/>
      <c r="ID62" s="1675"/>
      <c r="IE62" s="1675"/>
      <c r="IF62" s="1675"/>
      <c r="IG62" s="1675"/>
      <c r="IH62" s="1675"/>
      <c r="II62" s="1675"/>
      <c r="IJ62" s="1675"/>
      <c r="IK62" s="1675"/>
      <c r="IL62" s="1675"/>
      <c r="IM62" s="1675"/>
      <c r="IN62" s="1675"/>
      <c r="IO62" s="1675"/>
      <c r="IP62" s="1675"/>
      <c r="IQ62" s="1675"/>
      <c r="IR62" s="1675"/>
      <c r="IS62" s="1675"/>
      <c r="IT62" s="1675"/>
      <c r="IU62" s="1675"/>
      <c r="IV62" s="1675"/>
      <c r="IW62" s="1675"/>
      <c r="IX62" s="1675"/>
      <c r="IY62" s="1675"/>
      <c r="IZ62" s="1675"/>
      <c r="JA62" s="1675"/>
      <c r="JB62" s="1675"/>
      <c r="JC62" s="1675"/>
      <c r="JD62" s="1675"/>
      <c r="JE62" s="1675"/>
      <c r="JF62" s="1675"/>
      <c r="JG62" s="1675"/>
      <c r="JH62" s="1675"/>
      <c r="JI62" s="1675"/>
      <c r="JJ62" s="1675"/>
      <c r="JK62" s="1675"/>
      <c r="JL62" s="1675"/>
      <c r="JM62" s="1675"/>
      <c r="JN62" s="1675"/>
      <c r="JO62" s="1675"/>
      <c r="JP62" s="1675"/>
      <c r="JQ62" s="1675"/>
      <c r="JR62" s="1675"/>
      <c r="JS62" s="1675"/>
      <c r="JT62" s="1675"/>
      <c r="JU62" s="1675"/>
      <c r="JV62" s="1675"/>
      <c r="JW62" s="1675"/>
      <c r="JX62" s="1675"/>
      <c r="JY62" s="1675"/>
      <c r="JZ62" s="1675"/>
      <c r="KA62" s="1675"/>
      <c r="KB62" s="1675"/>
      <c r="KC62" s="1675"/>
      <c r="KD62" s="1675"/>
      <c r="KE62" s="1675"/>
      <c r="KF62" s="1675"/>
      <c r="KG62" s="1675"/>
      <c r="KH62" s="1675"/>
      <c r="KI62" s="1675"/>
      <c r="KJ62" s="1675"/>
      <c r="KK62" s="1675"/>
      <c r="KL62" s="1675"/>
      <c r="KM62" s="1675"/>
      <c r="KN62" s="1675"/>
      <c r="KO62" s="1675"/>
      <c r="KP62" s="1675"/>
      <c r="KQ62" s="1675"/>
      <c r="KR62" s="1675"/>
      <c r="KS62" s="1675"/>
      <c r="KT62" s="1675"/>
      <c r="KU62" s="1675"/>
      <c r="KV62" s="1675"/>
      <c r="KW62" s="1675"/>
      <c r="KX62" s="1675"/>
      <c r="KY62" s="1675"/>
      <c r="KZ62" s="1675"/>
      <c r="LA62" s="1675"/>
      <c r="LB62" s="1675"/>
      <c r="LC62" s="1675"/>
      <c r="LD62" s="1675"/>
      <c r="LE62" s="1675"/>
      <c r="LF62" s="1675"/>
      <c r="LG62" s="1675"/>
      <c r="LH62" s="1675"/>
      <c r="LI62" s="1675"/>
      <c r="LJ62" s="1675"/>
      <c r="LK62" s="1675"/>
      <c r="LL62" s="1675"/>
      <c r="LM62" s="1675"/>
      <c r="LN62" s="1675"/>
      <c r="LO62" s="1675"/>
      <c r="LP62" s="1675"/>
      <c r="LQ62" s="1675"/>
      <c r="LR62" s="1675"/>
      <c r="LS62" s="1675"/>
      <c r="LT62" s="1675"/>
      <c r="LU62" s="1675"/>
      <c r="LV62" s="1675"/>
      <c r="LW62" s="1675"/>
      <c r="LX62" s="1675"/>
      <c r="LY62" s="1675"/>
      <c r="LZ62" s="1675"/>
      <c r="MA62" s="1675"/>
      <c r="MB62" s="1675"/>
    </row>
    <row r="63" spans="1:340" ht="18.95" customHeight="1">
      <c r="A63" s="334"/>
      <c r="B63" s="2275"/>
      <c r="C63" s="1126"/>
      <c r="D63" s="1145"/>
      <c r="E63" s="465"/>
      <c r="F63" s="435"/>
      <c r="G63" s="435"/>
      <c r="H63" s="391"/>
      <c r="I63" s="473"/>
      <c r="J63" s="1670" t="s">
        <v>750</v>
      </c>
      <c r="K63" s="1671"/>
      <c r="L63" s="1671"/>
      <c r="M63" s="1671"/>
      <c r="N63" s="1672"/>
      <c r="O63" s="1671"/>
      <c r="P63" s="1671"/>
      <c r="Q63" s="1673"/>
      <c r="R63" s="1671"/>
      <c r="S63" s="1672"/>
      <c r="T63" s="1671"/>
      <c r="U63" s="1671"/>
      <c r="V63" s="1887"/>
      <c r="W63" s="1671"/>
      <c r="X63" s="1671"/>
      <c r="Y63" s="1802"/>
      <c r="Z63" s="1670">
        <f t="shared" si="4"/>
        <v>0</v>
      </c>
      <c r="AA63" s="907">
        <f t="shared" si="1"/>
        <v>0</v>
      </c>
      <c r="AC63" s="347"/>
      <c r="AD63" s="1675"/>
      <c r="AE63" s="1675"/>
      <c r="AF63" s="1675"/>
      <c r="AG63" s="1675"/>
      <c r="AH63" s="1675"/>
      <c r="AI63" s="1675"/>
      <c r="AJ63" s="1675"/>
      <c r="AK63" s="1675"/>
      <c r="AL63" s="1675"/>
      <c r="AM63" s="1675"/>
      <c r="AN63" s="1675"/>
      <c r="AO63" s="1675"/>
      <c r="AP63" s="1675"/>
      <c r="AQ63" s="1675"/>
      <c r="AR63" s="1675"/>
      <c r="AS63" s="1675"/>
      <c r="AT63" s="1675"/>
      <c r="AU63" s="1675"/>
      <c r="AV63" s="1675"/>
      <c r="AW63" s="1675"/>
      <c r="AX63" s="1675"/>
      <c r="AY63" s="1675"/>
      <c r="AZ63" s="1675"/>
      <c r="BA63" s="1675"/>
      <c r="BB63" s="1675"/>
      <c r="BC63" s="1675"/>
      <c r="BD63" s="1675"/>
      <c r="BE63" s="1675"/>
      <c r="BF63" s="1675"/>
      <c r="BG63" s="1675"/>
      <c r="BH63" s="1675"/>
      <c r="BI63" s="1675"/>
      <c r="BJ63" s="1675"/>
      <c r="BK63" s="1675"/>
      <c r="BL63" s="1675"/>
      <c r="BM63" s="1675"/>
      <c r="BN63" s="1675"/>
      <c r="BO63" s="1675"/>
      <c r="BP63" s="1675"/>
      <c r="BQ63" s="1675"/>
      <c r="BR63" s="1675"/>
      <c r="BS63" s="1675"/>
      <c r="BT63" s="1675"/>
      <c r="BU63" s="1675"/>
      <c r="BV63" s="1675"/>
      <c r="BW63" s="1675"/>
      <c r="BX63" s="1675"/>
      <c r="BY63" s="1675"/>
      <c r="BZ63" s="1675"/>
      <c r="CA63" s="1675"/>
      <c r="CB63" s="1675"/>
      <c r="CC63" s="1675"/>
      <c r="CD63" s="1675"/>
      <c r="CE63" s="1675"/>
      <c r="CF63" s="1675"/>
      <c r="CG63" s="1675"/>
      <c r="CH63" s="1675"/>
      <c r="CI63" s="1675"/>
      <c r="CJ63" s="1675"/>
      <c r="CK63" s="1675"/>
      <c r="CL63" s="1675"/>
      <c r="CM63" s="1675"/>
      <c r="CN63" s="1675"/>
      <c r="CO63" s="1675"/>
      <c r="CP63" s="1675"/>
      <c r="CQ63" s="1675"/>
      <c r="CR63" s="1675"/>
      <c r="CS63" s="1675"/>
      <c r="CT63" s="1675"/>
      <c r="CU63" s="1675"/>
      <c r="CV63" s="1675"/>
      <c r="CW63" s="1675"/>
      <c r="CX63" s="1675"/>
      <c r="CY63" s="1675"/>
      <c r="CZ63" s="1675"/>
      <c r="DA63" s="1675"/>
      <c r="DB63" s="1675"/>
      <c r="DC63" s="1675"/>
      <c r="DD63" s="1675"/>
      <c r="DE63" s="1675"/>
      <c r="DF63" s="1675"/>
      <c r="DG63" s="1675"/>
      <c r="DH63" s="1675"/>
      <c r="DI63" s="1675"/>
      <c r="DJ63" s="1675"/>
      <c r="DK63" s="1675"/>
      <c r="DL63" s="1675"/>
      <c r="DM63" s="1675"/>
      <c r="DN63" s="1675"/>
      <c r="DO63" s="1675"/>
      <c r="DP63" s="1675"/>
      <c r="DQ63" s="1675"/>
      <c r="DR63" s="1675"/>
      <c r="DS63" s="1675"/>
      <c r="DT63" s="1675"/>
      <c r="DU63" s="1675"/>
      <c r="DV63" s="1675"/>
      <c r="DW63" s="1675"/>
      <c r="DX63" s="1675"/>
      <c r="DY63" s="1675"/>
      <c r="DZ63" s="1675"/>
      <c r="EA63" s="1675"/>
      <c r="EB63" s="1675"/>
      <c r="EC63" s="1675"/>
      <c r="ED63" s="1675"/>
      <c r="EE63" s="1675"/>
      <c r="EF63" s="1675"/>
      <c r="EG63" s="1675"/>
      <c r="EH63" s="1675"/>
      <c r="EI63" s="1675"/>
      <c r="EJ63" s="1675"/>
      <c r="EK63" s="1675"/>
      <c r="EL63" s="1675"/>
      <c r="EM63" s="1675"/>
      <c r="EN63" s="1675"/>
      <c r="EO63" s="1675"/>
      <c r="EP63" s="1675"/>
      <c r="EQ63" s="1675"/>
      <c r="ER63" s="1675"/>
      <c r="ES63" s="1675"/>
      <c r="ET63" s="1675"/>
      <c r="EU63" s="1675"/>
      <c r="EV63" s="1675"/>
      <c r="EW63" s="1675"/>
      <c r="EX63" s="1675"/>
      <c r="EY63" s="1675"/>
      <c r="EZ63" s="1675"/>
      <c r="FA63" s="1675"/>
      <c r="FB63" s="1675"/>
      <c r="FC63" s="1675"/>
      <c r="FD63" s="1675"/>
      <c r="FE63" s="1675"/>
      <c r="FF63" s="1675"/>
      <c r="FG63" s="1675"/>
      <c r="FH63" s="1675"/>
      <c r="FI63" s="1675"/>
      <c r="FJ63" s="1675"/>
      <c r="FK63" s="1675"/>
      <c r="FL63" s="1675"/>
      <c r="FM63" s="1675"/>
      <c r="FN63" s="1675"/>
      <c r="FO63" s="1675"/>
      <c r="FP63" s="1675"/>
      <c r="FQ63" s="1675"/>
      <c r="FR63" s="1675"/>
      <c r="FS63" s="1675"/>
      <c r="FT63" s="1675"/>
      <c r="FU63" s="1675"/>
      <c r="FV63" s="1675"/>
      <c r="FW63" s="1675"/>
      <c r="FX63" s="1675"/>
      <c r="FY63" s="1675"/>
      <c r="FZ63" s="1675"/>
      <c r="GA63" s="1675"/>
      <c r="GB63" s="1675"/>
      <c r="GC63" s="1675"/>
      <c r="GD63" s="1675"/>
      <c r="GE63" s="1675"/>
      <c r="GF63" s="1675"/>
      <c r="GG63" s="1675"/>
      <c r="GH63" s="1675"/>
      <c r="GI63" s="1675"/>
      <c r="GJ63" s="1675"/>
      <c r="GK63" s="1675"/>
      <c r="GL63" s="1675"/>
      <c r="GM63" s="1675"/>
      <c r="GN63" s="1675"/>
      <c r="GO63" s="1675"/>
      <c r="GP63" s="1675"/>
      <c r="GQ63" s="1675"/>
      <c r="GR63" s="1675"/>
      <c r="GS63" s="1675"/>
      <c r="GT63" s="1675"/>
      <c r="GU63" s="1675"/>
      <c r="GV63" s="1675"/>
      <c r="GW63" s="1675"/>
      <c r="GX63" s="1675"/>
      <c r="GY63" s="1675"/>
      <c r="GZ63" s="1675"/>
      <c r="HA63" s="1675"/>
      <c r="HB63" s="1675"/>
      <c r="HC63" s="1675"/>
      <c r="HD63" s="1675"/>
      <c r="HE63" s="1675"/>
      <c r="HF63" s="1675"/>
      <c r="HG63" s="1675"/>
      <c r="HH63" s="1675"/>
      <c r="HI63" s="1675"/>
      <c r="HJ63" s="1675"/>
      <c r="HK63" s="1675"/>
      <c r="HL63" s="1675"/>
      <c r="HM63" s="1675"/>
      <c r="HN63" s="1675"/>
      <c r="HO63" s="1675"/>
      <c r="HP63" s="1675"/>
      <c r="HQ63" s="1675"/>
      <c r="HR63" s="1675"/>
      <c r="HS63" s="1675"/>
      <c r="HT63" s="1675"/>
      <c r="HU63" s="1675"/>
      <c r="HV63" s="1675"/>
      <c r="HW63" s="1675"/>
      <c r="HX63" s="1675"/>
      <c r="HY63" s="1675"/>
      <c r="HZ63" s="1675"/>
      <c r="IA63" s="1675"/>
      <c r="IB63" s="1675"/>
      <c r="IC63" s="1675"/>
      <c r="ID63" s="1675"/>
      <c r="IE63" s="1675"/>
      <c r="IF63" s="1675"/>
      <c r="IG63" s="1675"/>
      <c r="IH63" s="1675"/>
      <c r="II63" s="1675"/>
      <c r="IJ63" s="1675"/>
      <c r="IK63" s="1675"/>
      <c r="IL63" s="1675"/>
      <c r="IM63" s="1675"/>
      <c r="IN63" s="1675"/>
      <c r="IO63" s="1675"/>
      <c r="IP63" s="1675"/>
      <c r="IQ63" s="1675"/>
      <c r="IR63" s="1675"/>
      <c r="IS63" s="1675"/>
      <c r="IT63" s="1675"/>
      <c r="IU63" s="1675"/>
      <c r="IV63" s="1675"/>
      <c r="IW63" s="1675"/>
      <c r="IX63" s="1675"/>
      <c r="IY63" s="1675"/>
      <c r="IZ63" s="1675"/>
      <c r="JA63" s="1675"/>
      <c r="JB63" s="1675"/>
      <c r="JC63" s="1675"/>
      <c r="JD63" s="1675"/>
      <c r="JE63" s="1675"/>
      <c r="JF63" s="1675"/>
      <c r="JG63" s="1675"/>
      <c r="JH63" s="1675"/>
      <c r="JI63" s="1675"/>
      <c r="JJ63" s="1675"/>
      <c r="JK63" s="1675"/>
      <c r="JL63" s="1675"/>
      <c r="JM63" s="1675"/>
      <c r="JN63" s="1675"/>
      <c r="JO63" s="1675"/>
      <c r="JP63" s="1675"/>
      <c r="JQ63" s="1675"/>
      <c r="JR63" s="1675"/>
      <c r="JS63" s="1675"/>
      <c r="JT63" s="1675"/>
      <c r="JU63" s="1675"/>
      <c r="JV63" s="1675"/>
      <c r="JW63" s="1675"/>
      <c r="JX63" s="1675"/>
      <c r="JY63" s="1675"/>
      <c r="JZ63" s="1675"/>
      <c r="KA63" s="1675"/>
      <c r="KB63" s="1675"/>
      <c r="KC63" s="1675"/>
      <c r="KD63" s="1675"/>
      <c r="KE63" s="1675"/>
      <c r="KF63" s="1675"/>
      <c r="KG63" s="1675"/>
      <c r="KH63" s="1675"/>
      <c r="KI63" s="1675"/>
      <c r="KJ63" s="1675"/>
      <c r="KK63" s="1675"/>
      <c r="KL63" s="1675"/>
      <c r="KM63" s="1675"/>
      <c r="KN63" s="1675"/>
      <c r="KO63" s="1675"/>
      <c r="KP63" s="1675"/>
      <c r="KQ63" s="1675"/>
      <c r="KR63" s="1675"/>
      <c r="KS63" s="1675"/>
      <c r="KT63" s="1675"/>
      <c r="KU63" s="1675"/>
      <c r="KV63" s="1675"/>
      <c r="KW63" s="1675"/>
      <c r="KX63" s="1675"/>
      <c r="KY63" s="1675"/>
      <c r="KZ63" s="1675"/>
      <c r="LA63" s="1675"/>
      <c r="LB63" s="1675"/>
      <c r="LC63" s="1675"/>
      <c r="LD63" s="1675"/>
      <c r="LE63" s="1675"/>
      <c r="LF63" s="1675"/>
      <c r="LG63" s="1675"/>
      <c r="LH63" s="1675"/>
      <c r="LI63" s="1675"/>
      <c r="LJ63" s="1675"/>
      <c r="LK63" s="1675"/>
      <c r="LL63" s="1675"/>
      <c r="LM63" s="1675"/>
      <c r="LN63" s="1675"/>
      <c r="LO63" s="1675"/>
      <c r="LP63" s="1675"/>
      <c r="LQ63" s="1675"/>
      <c r="LR63" s="1675"/>
      <c r="LS63" s="1675"/>
      <c r="LT63" s="1675"/>
      <c r="LU63" s="1675"/>
      <c r="LV63" s="1675"/>
      <c r="LW63" s="1675"/>
      <c r="LX63" s="1675"/>
      <c r="LY63" s="1675"/>
      <c r="LZ63" s="1675"/>
      <c r="MA63" s="1675"/>
      <c r="MB63" s="1675"/>
    </row>
    <row r="64" spans="1:340" ht="18.95" customHeight="1">
      <c r="A64" s="334"/>
      <c r="B64" s="2275"/>
      <c r="C64" s="1126"/>
      <c r="D64" s="1145"/>
      <c r="E64" s="465"/>
      <c r="F64" s="435"/>
      <c r="G64" s="435"/>
      <c r="H64" s="391"/>
      <c r="I64" s="473"/>
      <c r="J64" s="1670" t="s">
        <v>6068</v>
      </c>
      <c r="K64" s="1671"/>
      <c r="L64" s="1671"/>
      <c r="M64" s="1671"/>
      <c r="N64" s="1672"/>
      <c r="O64" s="1671"/>
      <c r="P64" s="1671"/>
      <c r="Q64" s="1673">
        <v>9</v>
      </c>
      <c r="R64" s="1671" t="s">
        <v>27</v>
      </c>
      <c r="S64" s="1672">
        <v>1000000</v>
      </c>
      <c r="T64" s="1671" t="s">
        <v>0</v>
      </c>
      <c r="U64" s="1671"/>
      <c r="V64" s="1887">
        <v>0.5</v>
      </c>
      <c r="W64" s="1671" t="s">
        <v>3</v>
      </c>
      <c r="X64" s="1671" t="s">
        <v>1</v>
      </c>
      <c r="Y64" s="1802">
        <f t="shared" ref="Y64:Y71" si="5">Q64*S64*V64/1000</f>
        <v>4500</v>
      </c>
      <c r="Z64" s="1670">
        <f t="shared" si="4"/>
        <v>4500000</v>
      </c>
      <c r="AA64" s="907">
        <f t="shared" si="1"/>
        <v>0</v>
      </c>
      <c r="AB64" s="357"/>
      <c r="AC64" s="347"/>
      <c r="AD64" s="1675"/>
      <c r="AE64" s="1675"/>
      <c r="AF64" s="1675"/>
      <c r="AG64" s="1675"/>
      <c r="AH64" s="1675"/>
      <c r="AI64" s="1675"/>
      <c r="AJ64" s="1675"/>
      <c r="AK64" s="1675"/>
      <c r="AL64" s="1675"/>
      <c r="AM64" s="1675"/>
      <c r="AN64" s="1675"/>
      <c r="AO64" s="1675"/>
      <c r="AP64" s="1675"/>
      <c r="AQ64" s="1675"/>
      <c r="AR64" s="1675"/>
      <c r="AS64" s="1675"/>
      <c r="AT64" s="1675"/>
      <c r="AU64" s="1675"/>
      <c r="AV64" s="1675"/>
      <c r="AW64" s="1675"/>
      <c r="AX64" s="1675"/>
      <c r="AY64" s="1675"/>
      <c r="AZ64" s="1675"/>
      <c r="BA64" s="1675"/>
      <c r="BB64" s="1675"/>
      <c r="BC64" s="1675"/>
      <c r="BD64" s="1675"/>
      <c r="BE64" s="1675"/>
      <c r="BF64" s="1675"/>
      <c r="BG64" s="1675"/>
      <c r="BH64" s="1675"/>
      <c r="BI64" s="1675"/>
      <c r="BJ64" s="1675"/>
      <c r="BK64" s="1675"/>
      <c r="BL64" s="1675"/>
      <c r="BM64" s="1675"/>
      <c r="BN64" s="1675"/>
      <c r="BO64" s="1675"/>
      <c r="BP64" s="1675"/>
      <c r="BQ64" s="1675"/>
      <c r="BR64" s="1675"/>
      <c r="BS64" s="1675"/>
      <c r="BT64" s="1675"/>
      <c r="BU64" s="1675"/>
      <c r="BV64" s="1675"/>
      <c r="BW64" s="1675"/>
      <c r="BX64" s="1675"/>
      <c r="BY64" s="1675"/>
      <c r="BZ64" s="1675"/>
      <c r="CA64" s="1675"/>
      <c r="CB64" s="1675"/>
      <c r="CC64" s="1675"/>
      <c r="CD64" s="1675"/>
      <c r="CE64" s="1675"/>
      <c r="CF64" s="1675"/>
      <c r="CG64" s="1675"/>
      <c r="CH64" s="1675"/>
      <c r="CI64" s="1675"/>
      <c r="CJ64" s="1675"/>
      <c r="CK64" s="1675"/>
      <c r="CL64" s="1675"/>
      <c r="CM64" s="1675"/>
      <c r="CN64" s="1675"/>
      <c r="CO64" s="1675"/>
      <c r="CP64" s="1675"/>
      <c r="CQ64" s="1675"/>
      <c r="CR64" s="1675"/>
      <c r="CS64" s="1675"/>
      <c r="CT64" s="1675"/>
      <c r="CU64" s="1675"/>
      <c r="CV64" s="1675"/>
      <c r="CW64" s="1675"/>
      <c r="CX64" s="1675"/>
      <c r="CY64" s="1675"/>
      <c r="CZ64" s="1675"/>
      <c r="DA64" s="1675"/>
      <c r="DB64" s="1675"/>
      <c r="DC64" s="1675"/>
      <c r="DD64" s="1675"/>
      <c r="DE64" s="1675"/>
      <c r="DF64" s="1675"/>
      <c r="DG64" s="1675"/>
      <c r="DH64" s="1675"/>
      <c r="DI64" s="1675"/>
      <c r="DJ64" s="1675"/>
      <c r="DK64" s="1675"/>
      <c r="DL64" s="1675"/>
      <c r="DM64" s="1675"/>
      <c r="DN64" s="1675"/>
      <c r="DO64" s="1675"/>
      <c r="DP64" s="1675"/>
      <c r="DQ64" s="1675"/>
      <c r="DR64" s="1675"/>
      <c r="DS64" s="1675"/>
      <c r="DT64" s="1675"/>
      <c r="DU64" s="1675"/>
      <c r="DV64" s="1675"/>
      <c r="DW64" s="1675"/>
      <c r="DX64" s="1675"/>
      <c r="DY64" s="1675"/>
      <c r="DZ64" s="1675"/>
      <c r="EA64" s="1675"/>
      <c r="EB64" s="1675"/>
      <c r="EC64" s="1675"/>
      <c r="ED64" s="1675"/>
      <c r="EE64" s="1675"/>
      <c r="EF64" s="1675"/>
      <c r="EG64" s="1675"/>
      <c r="EH64" s="1675"/>
      <c r="EI64" s="1675"/>
      <c r="EJ64" s="1675"/>
      <c r="EK64" s="1675"/>
      <c r="EL64" s="1675"/>
      <c r="EM64" s="1675"/>
      <c r="EN64" s="1675"/>
      <c r="EO64" s="1675"/>
      <c r="EP64" s="1675"/>
      <c r="EQ64" s="1675"/>
      <c r="ER64" s="1675"/>
      <c r="ES64" s="1675"/>
      <c r="ET64" s="1675"/>
      <c r="EU64" s="1675"/>
      <c r="EV64" s="1675"/>
      <c r="EW64" s="1675"/>
      <c r="EX64" s="1675"/>
      <c r="EY64" s="1675"/>
      <c r="EZ64" s="1675"/>
      <c r="FA64" s="1675"/>
      <c r="FB64" s="1675"/>
      <c r="FC64" s="1675"/>
      <c r="FD64" s="1675"/>
      <c r="FE64" s="1675"/>
      <c r="FF64" s="1675"/>
      <c r="FG64" s="1675"/>
      <c r="FH64" s="1675"/>
      <c r="FI64" s="1675"/>
      <c r="FJ64" s="1675"/>
      <c r="FK64" s="1675"/>
      <c r="FL64" s="1675"/>
      <c r="FM64" s="1675"/>
      <c r="FN64" s="1675"/>
      <c r="FO64" s="1675"/>
      <c r="FP64" s="1675"/>
      <c r="FQ64" s="1675"/>
      <c r="FR64" s="1675"/>
      <c r="FS64" s="1675"/>
      <c r="FT64" s="1675"/>
      <c r="FU64" s="1675"/>
      <c r="FV64" s="1675"/>
      <c r="FW64" s="1675"/>
      <c r="FX64" s="1675"/>
      <c r="FY64" s="1675"/>
      <c r="FZ64" s="1675"/>
      <c r="GA64" s="1675"/>
      <c r="GB64" s="1675"/>
      <c r="GC64" s="1675"/>
      <c r="GD64" s="1675"/>
      <c r="GE64" s="1675"/>
      <c r="GF64" s="1675"/>
      <c r="GG64" s="1675"/>
      <c r="GH64" s="1675"/>
      <c r="GI64" s="1675"/>
      <c r="GJ64" s="1675"/>
      <c r="GK64" s="1675"/>
      <c r="GL64" s="1675"/>
      <c r="GM64" s="1675"/>
      <c r="GN64" s="1675"/>
      <c r="GO64" s="1675"/>
      <c r="GP64" s="1675"/>
      <c r="GQ64" s="1675"/>
      <c r="GR64" s="1675"/>
      <c r="GS64" s="1675"/>
      <c r="GT64" s="1675"/>
      <c r="GU64" s="1675"/>
      <c r="GV64" s="1675"/>
      <c r="GW64" s="1675"/>
      <c r="GX64" s="1675"/>
      <c r="GY64" s="1675"/>
      <c r="GZ64" s="1675"/>
      <c r="HA64" s="1675"/>
      <c r="HB64" s="1675"/>
      <c r="HC64" s="1675"/>
      <c r="HD64" s="1675"/>
      <c r="HE64" s="1675"/>
      <c r="HF64" s="1675"/>
      <c r="HG64" s="1675"/>
      <c r="HH64" s="1675"/>
      <c r="HI64" s="1675"/>
      <c r="HJ64" s="1675"/>
      <c r="HK64" s="1675"/>
      <c r="HL64" s="1675"/>
      <c r="HM64" s="1675"/>
      <c r="HN64" s="1675"/>
      <c r="HO64" s="1675"/>
      <c r="HP64" s="1675"/>
      <c r="HQ64" s="1675"/>
      <c r="HR64" s="1675"/>
      <c r="HS64" s="1675"/>
      <c r="HT64" s="1675"/>
      <c r="HU64" s="1675"/>
      <c r="HV64" s="1675"/>
      <c r="HW64" s="1675"/>
      <c r="HX64" s="1675"/>
      <c r="HY64" s="1675"/>
      <c r="HZ64" s="1675"/>
      <c r="IA64" s="1675"/>
      <c r="IB64" s="1675"/>
      <c r="IC64" s="1675"/>
      <c r="ID64" s="1675"/>
      <c r="IE64" s="1675"/>
      <c r="IF64" s="1675"/>
      <c r="IG64" s="1675"/>
      <c r="IH64" s="1675"/>
      <c r="II64" s="1675"/>
      <c r="IJ64" s="1675"/>
      <c r="IK64" s="1675"/>
      <c r="IL64" s="1675"/>
      <c r="IM64" s="1675"/>
      <c r="IN64" s="1675"/>
      <c r="IO64" s="1675"/>
      <c r="IP64" s="1675"/>
      <c r="IQ64" s="1675"/>
      <c r="IR64" s="1675"/>
      <c r="IS64" s="1675"/>
      <c r="IT64" s="1675"/>
      <c r="IU64" s="1675"/>
      <c r="IV64" s="1675"/>
      <c r="IW64" s="1675"/>
      <c r="IX64" s="1675"/>
      <c r="IY64" s="1675"/>
      <c r="IZ64" s="1675"/>
      <c r="JA64" s="1675"/>
      <c r="JB64" s="1675"/>
      <c r="JC64" s="1675"/>
      <c r="JD64" s="1675"/>
      <c r="JE64" s="1675"/>
      <c r="JF64" s="1675"/>
      <c r="JG64" s="1675"/>
      <c r="JH64" s="1675"/>
      <c r="JI64" s="1675"/>
      <c r="JJ64" s="1675"/>
      <c r="JK64" s="1675"/>
      <c r="JL64" s="1675"/>
      <c r="JM64" s="1675"/>
      <c r="JN64" s="1675"/>
      <c r="JO64" s="1675"/>
      <c r="JP64" s="1675"/>
      <c r="JQ64" s="1675"/>
      <c r="JR64" s="1675"/>
      <c r="JS64" s="1675"/>
      <c r="JT64" s="1675"/>
      <c r="JU64" s="1675"/>
      <c r="JV64" s="1675"/>
      <c r="JW64" s="1675"/>
      <c r="JX64" s="1675"/>
      <c r="JY64" s="1675"/>
      <c r="JZ64" s="1675"/>
      <c r="KA64" s="1675"/>
      <c r="KB64" s="1675"/>
      <c r="KC64" s="1675"/>
      <c r="KD64" s="1675"/>
      <c r="KE64" s="1675"/>
      <c r="KF64" s="1675"/>
      <c r="KG64" s="1675"/>
      <c r="KH64" s="1675"/>
      <c r="KI64" s="1675"/>
      <c r="KJ64" s="1675"/>
      <c r="KK64" s="1675"/>
      <c r="KL64" s="1675"/>
      <c r="KM64" s="1675"/>
      <c r="KN64" s="1675"/>
      <c r="KO64" s="1675"/>
      <c r="KP64" s="1675"/>
      <c r="KQ64" s="1675"/>
      <c r="KR64" s="1675"/>
      <c r="KS64" s="1675"/>
      <c r="KT64" s="1675"/>
      <c r="KU64" s="1675"/>
      <c r="KV64" s="1675"/>
      <c r="KW64" s="1675"/>
      <c r="KX64" s="1675"/>
      <c r="KY64" s="1675"/>
      <c r="KZ64" s="1675"/>
      <c r="LA64" s="1675"/>
      <c r="LB64" s="1675"/>
      <c r="LC64" s="1675"/>
      <c r="LD64" s="1675"/>
      <c r="LE64" s="1675"/>
      <c r="LF64" s="1675"/>
      <c r="LG64" s="1675"/>
      <c r="LH64" s="1675"/>
      <c r="LI64" s="1675"/>
      <c r="LJ64" s="1675"/>
      <c r="LK64" s="1675"/>
      <c r="LL64" s="1675"/>
      <c r="LM64" s="1675"/>
      <c r="LN64" s="1675"/>
      <c r="LO64" s="1675"/>
      <c r="LP64" s="1675"/>
      <c r="LQ64" s="1675"/>
      <c r="LR64" s="1675"/>
      <c r="LS64" s="1675"/>
      <c r="LT64" s="1675"/>
      <c r="LU64" s="1675"/>
      <c r="LV64" s="1675"/>
      <c r="LW64" s="1675"/>
      <c r="LX64" s="1675"/>
      <c r="LY64" s="1675"/>
      <c r="LZ64" s="1675"/>
      <c r="MA64" s="1675"/>
      <c r="MB64" s="1675"/>
    </row>
    <row r="65" spans="1:340" ht="18.95" customHeight="1">
      <c r="A65" s="334"/>
      <c r="B65" s="2275"/>
      <c r="C65" s="1126"/>
      <c r="D65" s="1145"/>
      <c r="E65" s="465"/>
      <c r="F65" s="435"/>
      <c r="G65" s="435"/>
      <c r="H65" s="391"/>
      <c r="I65" s="473"/>
      <c r="J65" s="1670" t="s">
        <v>6069</v>
      </c>
      <c r="K65" s="1671"/>
      <c r="L65" s="1671"/>
      <c r="M65" s="1671"/>
      <c r="N65" s="1672"/>
      <c r="O65" s="1671"/>
      <c r="P65" s="1671"/>
      <c r="Q65" s="1673">
        <v>7</v>
      </c>
      <c r="R65" s="1671" t="s">
        <v>27</v>
      </c>
      <c r="S65" s="1672">
        <v>500000</v>
      </c>
      <c r="T65" s="1671" t="s">
        <v>0</v>
      </c>
      <c r="U65" s="1671"/>
      <c r="V65" s="1887">
        <v>1</v>
      </c>
      <c r="W65" s="1671" t="s">
        <v>3</v>
      </c>
      <c r="X65" s="1671" t="s">
        <v>1</v>
      </c>
      <c r="Y65" s="1802">
        <f t="shared" si="5"/>
        <v>3500</v>
      </c>
      <c r="Z65" s="1670">
        <f t="shared" si="4"/>
        <v>3500000</v>
      </c>
      <c r="AA65" s="907">
        <f t="shared" si="1"/>
        <v>0</v>
      </c>
      <c r="AB65" s="357"/>
      <c r="AC65" s="347"/>
      <c r="AD65" s="1675"/>
      <c r="AE65" s="1675"/>
      <c r="AF65" s="1675"/>
      <c r="AG65" s="1675"/>
      <c r="AH65" s="1675"/>
      <c r="AI65" s="1675"/>
      <c r="AJ65" s="1675"/>
      <c r="AK65" s="1675"/>
      <c r="AL65" s="1675"/>
      <c r="AM65" s="1675"/>
      <c r="AN65" s="1675"/>
      <c r="AO65" s="1675"/>
      <c r="AP65" s="1675"/>
      <c r="AQ65" s="1675"/>
      <c r="AR65" s="1675"/>
      <c r="AS65" s="1675"/>
      <c r="AT65" s="1675"/>
      <c r="AU65" s="1675"/>
      <c r="AV65" s="1675"/>
      <c r="AW65" s="1675"/>
      <c r="AX65" s="1675"/>
      <c r="AY65" s="1675"/>
      <c r="AZ65" s="1675"/>
      <c r="BA65" s="1675"/>
      <c r="BB65" s="1675"/>
      <c r="BC65" s="1675"/>
      <c r="BD65" s="1675"/>
      <c r="BE65" s="1675"/>
      <c r="BF65" s="1675"/>
      <c r="BG65" s="1675"/>
      <c r="BH65" s="1675"/>
      <c r="BI65" s="1675"/>
      <c r="BJ65" s="1675"/>
      <c r="BK65" s="1675"/>
      <c r="BL65" s="1675"/>
      <c r="BM65" s="1675"/>
      <c r="BN65" s="1675"/>
      <c r="BO65" s="1675"/>
      <c r="BP65" s="1675"/>
      <c r="BQ65" s="1675"/>
      <c r="BR65" s="1675"/>
      <c r="BS65" s="1675"/>
      <c r="BT65" s="1675"/>
      <c r="BU65" s="1675"/>
      <c r="BV65" s="1675"/>
      <c r="BW65" s="1675"/>
      <c r="BX65" s="1675"/>
      <c r="BY65" s="1675"/>
      <c r="BZ65" s="1675"/>
      <c r="CA65" s="1675"/>
      <c r="CB65" s="1675"/>
      <c r="CC65" s="1675"/>
      <c r="CD65" s="1675"/>
      <c r="CE65" s="1675"/>
      <c r="CF65" s="1675"/>
      <c r="CG65" s="1675"/>
      <c r="CH65" s="1675"/>
      <c r="CI65" s="1675"/>
      <c r="CJ65" s="1675"/>
      <c r="CK65" s="1675"/>
      <c r="CL65" s="1675"/>
      <c r="CM65" s="1675"/>
      <c r="CN65" s="1675"/>
      <c r="CO65" s="1675"/>
      <c r="CP65" s="1675"/>
      <c r="CQ65" s="1675"/>
      <c r="CR65" s="1675"/>
      <c r="CS65" s="1675"/>
      <c r="CT65" s="1675"/>
      <c r="CU65" s="1675"/>
      <c r="CV65" s="1675"/>
      <c r="CW65" s="1675"/>
      <c r="CX65" s="1675"/>
      <c r="CY65" s="1675"/>
      <c r="CZ65" s="1675"/>
      <c r="DA65" s="1675"/>
      <c r="DB65" s="1675"/>
      <c r="DC65" s="1675"/>
      <c r="DD65" s="1675"/>
      <c r="DE65" s="1675"/>
      <c r="DF65" s="1675"/>
      <c r="DG65" s="1675"/>
      <c r="DH65" s="1675"/>
      <c r="DI65" s="1675"/>
      <c r="DJ65" s="1675"/>
      <c r="DK65" s="1675"/>
      <c r="DL65" s="1675"/>
      <c r="DM65" s="1675"/>
      <c r="DN65" s="1675"/>
      <c r="DO65" s="1675"/>
      <c r="DP65" s="1675"/>
      <c r="DQ65" s="1675"/>
      <c r="DR65" s="1675"/>
      <c r="DS65" s="1675"/>
      <c r="DT65" s="1675"/>
      <c r="DU65" s="1675"/>
      <c r="DV65" s="1675"/>
      <c r="DW65" s="1675"/>
      <c r="DX65" s="1675"/>
      <c r="DY65" s="1675"/>
      <c r="DZ65" s="1675"/>
      <c r="EA65" s="1675"/>
      <c r="EB65" s="1675"/>
      <c r="EC65" s="1675"/>
      <c r="ED65" s="1675"/>
      <c r="EE65" s="1675"/>
      <c r="EF65" s="1675"/>
      <c r="EG65" s="1675"/>
      <c r="EH65" s="1675"/>
      <c r="EI65" s="1675"/>
      <c r="EJ65" s="1675"/>
      <c r="EK65" s="1675"/>
      <c r="EL65" s="1675"/>
      <c r="EM65" s="1675"/>
      <c r="EN65" s="1675"/>
      <c r="EO65" s="1675"/>
      <c r="EP65" s="1675"/>
      <c r="EQ65" s="1675"/>
      <c r="ER65" s="1675"/>
      <c r="ES65" s="1675"/>
      <c r="ET65" s="1675"/>
      <c r="EU65" s="1675"/>
      <c r="EV65" s="1675"/>
      <c r="EW65" s="1675"/>
      <c r="EX65" s="1675"/>
      <c r="EY65" s="1675"/>
      <c r="EZ65" s="1675"/>
      <c r="FA65" s="1675"/>
      <c r="FB65" s="1675"/>
      <c r="FC65" s="1675"/>
      <c r="FD65" s="1675"/>
      <c r="FE65" s="1675"/>
      <c r="FF65" s="1675"/>
      <c r="FG65" s="1675"/>
      <c r="FH65" s="1675"/>
      <c r="FI65" s="1675"/>
      <c r="FJ65" s="1675"/>
      <c r="FK65" s="1675"/>
      <c r="FL65" s="1675"/>
      <c r="FM65" s="1675"/>
      <c r="FN65" s="1675"/>
      <c r="FO65" s="1675"/>
      <c r="FP65" s="1675"/>
      <c r="FQ65" s="1675"/>
      <c r="FR65" s="1675"/>
      <c r="FS65" s="1675"/>
      <c r="FT65" s="1675"/>
      <c r="FU65" s="1675"/>
      <c r="FV65" s="1675"/>
      <c r="FW65" s="1675"/>
      <c r="FX65" s="1675"/>
      <c r="FY65" s="1675"/>
      <c r="FZ65" s="1675"/>
      <c r="GA65" s="1675"/>
      <c r="GB65" s="1675"/>
      <c r="GC65" s="1675"/>
      <c r="GD65" s="1675"/>
      <c r="GE65" s="1675"/>
      <c r="GF65" s="1675"/>
      <c r="GG65" s="1675"/>
      <c r="GH65" s="1675"/>
      <c r="GI65" s="1675"/>
      <c r="GJ65" s="1675"/>
      <c r="GK65" s="1675"/>
      <c r="GL65" s="1675"/>
      <c r="GM65" s="1675"/>
      <c r="GN65" s="1675"/>
      <c r="GO65" s="1675"/>
      <c r="GP65" s="1675"/>
      <c r="GQ65" s="1675"/>
      <c r="GR65" s="1675"/>
      <c r="GS65" s="1675"/>
      <c r="GT65" s="1675"/>
      <c r="GU65" s="1675"/>
      <c r="GV65" s="1675"/>
      <c r="GW65" s="1675"/>
      <c r="GX65" s="1675"/>
      <c r="GY65" s="1675"/>
      <c r="GZ65" s="1675"/>
      <c r="HA65" s="1675"/>
      <c r="HB65" s="1675"/>
      <c r="HC65" s="1675"/>
      <c r="HD65" s="1675"/>
      <c r="HE65" s="1675"/>
      <c r="HF65" s="1675"/>
      <c r="HG65" s="1675"/>
      <c r="HH65" s="1675"/>
      <c r="HI65" s="1675"/>
      <c r="HJ65" s="1675"/>
      <c r="HK65" s="1675"/>
      <c r="HL65" s="1675"/>
      <c r="HM65" s="1675"/>
      <c r="HN65" s="1675"/>
      <c r="HO65" s="1675"/>
      <c r="HP65" s="1675"/>
      <c r="HQ65" s="1675"/>
      <c r="HR65" s="1675"/>
      <c r="HS65" s="1675"/>
      <c r="HT65" s="1675"/>
      <c r="HU65" s="1675"/>
      <c r="HV65" s="1675"/>
      <c r="HW65" s="1675"/>
      <c r="HX65" s="1675"/>
      <c r="HY65" s="1675"/>
      <c r="HZ65" s="1675"/>
      <c r="IA65" s="1675"/>
      <c r="IB65" s="1675"/>
      <c r="IC65" s="1675"/>
      <c r="ID65" s="1675"/>
      <c r="IE65" s="1675"/>
      <c r="IF65" s="1675"/>
      <c r="IG65" s="1675"/>
      <c r="IH65" s="1675"/>
      <c r="II65" s="1675"/>
      <c r="IJ65" s="1675"/>
      <c r="IK65" s="1675"/>
      <c r="IL65" s="1675"/>
      <c r="IM65" s="1675"/>
      <c r="IN65" s="1675"/>
      <c r="IO65" s="1675"/>
      <c r="IP65" s="1675"/>
      <c r="IQ65" s="1675"/>
      <c r="IR65" s="1675"/>
      <c r="IS65" s="1675"/>
      <c r="IT65" s="1675"/>
      <c r="IU65" s="1675"/>
      <c r="IV65" s="1675"/>
      <c r="IW65" s="1675"/>
      <c r="IX65" s="1675"/>
      <c r="IY65" s="1675"/>
      <c r="IZ65" s="1675"/>
      <c r="JA65" s="1675"/>
      <c r="JB65" s="1675"/>
      <c r="JC65" s="1675"/>
      <c r="JD65" s="1675"/>
      <c r="JE65" s="1675"/>
      <c r="JF65" s="1675"/>
      <c r="JG65" s="1675"/>
      <c r="JH65" s="1675"/>
      <c r="JI65" s="1675"/>
      <c r="JJ65" s="1675"/>
      <c r="JK65" s="1675"/>
      <c r="JL65" s="1675"/>
      <c r="JM65" s="1675"/>
      <c r="JN65" s="1675"/>
      <c r="JO65" s="1675"/>
      <c r="JP65" s="1675"/>
      <c r="JQ65" s="1675"/>
      <c r="JR65" s="1675"/>
      <c r="JS65" s="1675"/>
      <c r="JT65" s="1675"/>
      <c r="JU65" s="1675"/>
      <c r="JV65" s="1675"/>
      <c r="JW65" s="1675"/>
      <c r="JX65" s="1675"/>
      <c r="JY65" s="1675"/>
      <c r="JZ65" s="1675"/>
      <c r="KA65" s="1675"/>
      <c r="KB65" s="1675"/>
      <c r="KC65" s="1675"/>
      <c r="KD65" s="1675"/>
      <c r="KE65" s="1675"/>
      <c r="KF65" s="1675"/>
      <c r="KG65" s="1675"/>
      <c r="KH65" s="1675"/>
      <c r="KI65" s="1675"/>
      <c r="KJ65" s="1675"/>
      <c r="KK65" s="1675"/>
      <c r="KL65" s="1675"/>
      <c r="KM65" s="1675"/>
      <c r="KN65" s="1675"/>
      <c r="KO65" s="1675"/>
      <c r="KP65" s="1675"/>
      <c r="KQ65" s="1675"/>
      <c r="KR65" s="1675"/>
      <c r="KS65" s="1675"/>
      <c r="KT65" s="1675"/>
      <c r="KU65" s="1675"/>
      <c r="KV65" s="1675"/>
      <c r="KW65" s="1675"/>
      <c r="KX65" s="1675"/>
      <c r="KY65" s="1675"/>
      <c r="KZ65" s="1675"/>
      <c r="LA65" s="1675"/>
      <c r="LB65" s="1675"/>
      <c r="LC65" s="1675"/>
      <c r="LD65" s="1675"/>
      <c r="LE65" s="1675"/>
      <c r="LF65" s="1675"/>
      <c r="LG65" s="1675"/>
      <c r="LH65" s="1675"/>
      <c r="LI65" s="1675"/>
      <c r="LJ65" s="1675"/>
      <c r="LK65" s="1675"/>
      <c r="LL65" s="1675"/>
      <c r="LM65" s="1675"/>
      <c r="LN65" s="1675"/>
      <c r="LO65" s="1675"/>
      <c r="LP65" s="1675"/>
      <c r="LQ65" s="1675"/>
      <c r="LR65" s="1675"/>
      <c r="LS65" s="1675"/>
      <c r="LT65" s="1675"/>
      <c r="LU65" s="1675"/>
      <c r="LV65" s="1675"/>
      <c r="LW65" s="1675"/>
      <c r="LX65" s="1675"/>
      <c r="LY65" s="1675"/>
      <c r="LZ65" s="1675"/>
      <c r="MA65" s="1675"/>
      <c r="MB65" s="1675"/>
    </row>
    <row r="66" spans="1:340" ht="18.95" customHeight="1">
      <c r="A66" s="334"/>
      <c r="B66" s="2275"/>
      <c r="C66" s="1126"/>
      <c r="D66" s="1145"/>
      <c r="E66" s="465"/>
      <c r="F66" s="435"/>
      <c r="G66" s="435"/>
      <c r="H66" s="391"/>
      <c r="I66" s="473"/>
      <c r="J66" s="1670" t="s">
        <v>6070</v>
      </c>
      <c r="K66" s="1671"/>
      <c r="L66" s="1671"/>
      <c r="M66" s="1671"/>
      <c r="N66" s="1672"/>
      <c r="O66" s="1671"/>
      <c r="P66" s="1671"/>
      <c r="Q66" s="1673">
        <v>1</v>
      </c>
      <c r="R66" s="1671" t="s">
        <v>27</v>
      </c>
      <c r="S66" s="1672">
        <v>500000</v>
      </c>
      <c r="T66" s="1671" t="s">
        <v>0</v>
      </c>
      <c r="U66" s="1671"/>
      <c r="V66" s="1887">
        <v>2</v>
      </c>
      <c r="W66" s="1671" t="s">
        <v>3</v>
      </c>
      <c r="X66" s="1671" t="s">
        <v>1</v>
      </c>
      <c r="Y66" s="1802">
        <f t="shared" si="5"/>
        <v>1000</v>
      </c>
      <c r="Z66" s="1670">
        <f t="shared" si="4"/>
        <v>1000000</v>
      </c>
      <c r="AA66" s="907">
        <f t="shared" si="1"/>
        <v>0</v>
      </c>
      <c r="AB66" s="357"/>
      <c r="AC66" s="347"/>
      <c r="AD66" s="1675"/>
      <c r="AE66" s="1675"/>
      <c r="AF66" s="1675"/>
      <c r="AG66" s="1675"/>
      <c r="AH66" s="1675"/>
      <c r="AI66" s="1675"/>
      <c r="AJ66" s="1675"/>
      <c r="AK66" s="1675"/>
      <c r="AL66" s="1675"/>
      <c r="AM66" s="1675"/>
      <c r="AN66" s="1675"/>
      <c r="AO66" s="1675"/>
      <c r="AP66" s="1675"/>
      <c r="AQ66" s="1675"/>
      <c r="AR66" s="1675"/>
      <c r="AS66" s="1675"/>
      <c r="AT66" s="1675"/>
      <c r="AU66" s="1675"/>
      <c r="AV66" s="1675"/>
      <c r="AW66" s="1675"/>
      <c r="AX66" s="1675"/>
      <c r="AY66" s="1675"/>
      <c r="AZ66" s="1675"/>
      <c r="BA66" s="1675"/>
      <c r="BB66" s="1675"/>
      <c r="BC66" s="1675"/>
      <c r="BD66" s="1675"/>
      <c r="BE66" s="1675"/>
      <c r="BF66" s="1675"/>
      <c r="BG66" s="1675"/>
      <c r="BH66" s="1675"/>
      <c r="BI66" s="1675"/>
      <c r="BJ66" s="1675"/>
      <c r="BK66" s="1675"/>
      <c r="BL66" s="1675"/>
      <c r="BM66" s="1675"/>
      <c r="BN66" s="1675"/>
      <c r="BO66" s="1675"/>
      <c r="BP66" s="1675"/>
      <c r="BQ66" s="1675"/>
      <c r="BR66" s="1675"/>
      <c r="BS66" s="1675"/>
      <c r="BT66" s="1675"/>
      <c r="BU66" s="1675"/>
      <c r="BV66" s="1675"/>
      <c r="BW66" s="1675"/>
      <c r="BX66" s="1675"/>
      <c r="BY66" s="1675"/>
      <c r="BZ66" s="1675"/>
      <c r="CA66" s="1675"/>
      <c r="CB66" s="1675"/>
      <c r="CC66" s="1675"/>
      <c r="CD66" s="1675"/>
      <c r="CE66" s="1675"/>
      <c r="CF66" s="1675"/>
      <c r="CG66" s="1675"/>
      <c r="CH66" s="1675"/>
      <c r="CI66" s="1675"/>
      <c r="CJ66" s="1675"/>
      <c r="CK66" s="1675"/>
      <c r="CL66" s="1675"/>
      <c r="CM66" s="1675"/>
      <c r="CN66" s="1675"/>
      <c r="CO66" s="1675"/>
      <c r="CP66" s="1675"/>
      <c r="CQ66" s="1675"/>
      <c r="CR66" s="1675"/>
      <c r="CS66" s="1675"/>
      <c r="CT66" s="1675"/>
      <c r="CU66" s="1675"/>
      <c r="CV66" s="1675"/>
      <c r="CW66" s="1675"/>
      <c r="CX66" s="1675"/>
      <c r="CY66" s="1675"/>
      <c r="CZ66" s="1675"/>
      <c r="DA66" s="1675"/>
      <c r="DB66" s="1675"/>
      <c r="DC66" s="1675"/>
      <c r="DD66" s="1675"/>
      <c r="DE66" s="1675"/>
      <c r="DF66" s="1675"/>
      <c r="DG66" s="1675"/>
      <c r="DH66" s="1675"/>
      <c r="DI66" s="1675"/>
      <c r="DJ66" s="1675"/>
      <c r="DK66" s="1675"/>
      <c r="DL66" s="1675"/>
      <c r="DM66" s="1675"/>
      <c r="DN66" s="1675"/>
      <c r="DO66" s="1675"/>
      <c r="DP66" s="1675"/>
      <c r="DQ66" s="1675"/>
      <c r="DR66" s="1675"/>
      <c r="DS66" s="1675"/>
      <c r="DT66" s="1675"/>
      <c r="DU66" s="1675"/>
      <c r="DV66" s="1675"/>
      <c r="DW66" s="1675"/>
      <c r="DX66" s="1675"/>
      <c r="DY66" s="1675"/>
      <c r="DZ66" s="1675"/>
      <c r="EA66" s="1675"/>
      <c r="EB66" s="1675"/>
      <c r="EC66" s="1675"/>
      <c r="ED66" s="1675"/>
      <c r="EE66" s="1675"/>
      <c r="EF66" s="1675"/>
      <c r="EG66" s="1675"/>
      <c r="EH66" s="1675"/>
      <c r="EI66" s="1675"/>
      <c r="EJ66" s="1675"/>
      <c r="EK66" s="1675"/>
      <c r="EL66" s="1675"/>
      <c r="EM66" s="1675"/>
      <c r="EN66" s="1675"/>
      <c r="EO66" s="1675"/>
      <c r="EP66" s="1675"/>
      <c r="EQ66" s="1675"/>
      <c r="ER66" s="1675"/>
      <c r="ES66" s="1675"/>
      <c r="ET66" s="1675"/>
      <c r="EU66" s="1675"/>
      <c r="EV66" s="1675"/>
      <c r="EW66" s="1675"/>
      <c r="EX66" s="1675"/>
      <c r="EY66" s="1675"/>
      <c r="EZ66" s="1675"/>
      <c r="FA66" s="1675"/>
      <c r="FB66" s="1675"/>
      <c r="FC66" s="1675"/>
      <c r="FD66" s="1675"/>
      <c r="FE66" s="1675"/>
      <c r="FF66" s="1675"/>
      <c r="FG66" s="1675"/>
      <c r="FH66" s="1675"/>
      <c r="FI66" s="1675"/>
      <c r="FJ66" s="1675"/>
      <c r="FK66" s="1675"/>
      <c r="FL66" s="1675"/>
      <c r="FM66" s="1675"/>
      <c r="FN66" s="1675"/>
      <c r="FO66" s="1675"/>
      <c r="FP66" s="1675"/>
      <c r="FQ66" s="1675"/>
      <c r="FR66" s="1675"/>
      <c r="FS66" s="1675"/>
      <c r="FT66" s="1675"/>
      <c r="FU66" s="1675"/>
      <c r="FV66" s="1675"/>
      <c r="FW66" s="1675"/>
      <c r="FX66" s="1675"/>
      <c r="FY66" s="1675"/>
      <c r="FZ66" s="1675"/>
      <c r="GA66" s="1675"/>
      <c r="GB66" s="1675"/>
      <c r="GC66" s="1675"/>
      <c r="GD66" s="1675"/>
      <c r="GE66" s="1675"/>
      <c r="GF66" s="1675"/>
      <c r="GG66" s="1675"/>
      <c r="GH66" s="1675"/>
      <c r="GI66" s="1675"/>
      <c r="GJ66" s="1675"/>
      <c r="GK66" s="1675"/>
      <c r="GL66" s="1675"/>
      <c r="GM66" s="1675"/>
      <c r="GN66" s="1675"/>
      <c r="GO66" s="1675"/>
      <c r="GP66" s="1675"/>
      <c r="GQ66" s="1675"/>
      <c r="GR66" s="1675"/>
      <c r="GS66" s="1675"/>
      <c r="GT66" s="1675"/>
      <c r="GU66" s="1675"/>
      <c r="GV66" s="1675"/>
      <c r="GW66" s="1675"/>
      <c r="GX66" s="1675"/>
      <c r="GY66" s="1675"/>
      <c r="GZ66" s="1675"/>
      <c r="HA66" s="1675"/>
      <c r="HB66" s="1675"/>
      <c r="HC66" s="1675"/>
      <c r="HD66" s="1675"/>
      <c r="HE66" s="1675"/>
      <c r="HF66" s="1675"/>
      <c r="HG66" s="1675"/>
      <c r="HH66" s="1675"/>
      <c r="HI66" s="1675"/>
      <c r="HJ66" s="1675"/>
      <c r="HK66" s="1675"/>
      <c r="HL66" s="1675"/>
      <c r="HM66" s="1675"/>
      <c r="HN66" s="1675"/>
      <c r="HO66" s="1675"/>
      <c r="HP66" s="1675"/>
      <c r="HQ66" s="1675"/>
      <c r="HR66" s="1675"/>
      <c r="HS66" s="1675"/>
      <c r="HT66" s="1675"/>
      <c r="HU66" s="1675"/>
      <c r="HV66" s="1675"/>
      <c r="HW66" s="1675"/>
      <c r="HX66" s="1675"/>
      <c r="HY66" s="1675"/>
      <c r="HZ66" s="1675"/>
      <c r="IA66" s="1675"/>
      <c r="IB66" s="1675"/>
      <c r="IC66" s="1675"/>
      <c r="ID66" s="1675"/>
      <c r="IE66" s="1675"/>
      <c r="IF66" s="1675"/>
      <c r="IG66" s="1675"/>
      <c r="IH66" s="1675"/>
      <c r="II66" s="1675"/>
      <c r="IJ66" s="1675"/>
      <c r="IK66" s="1675"/>
      <c r="IL66" s="1675"/>
      <c r="IM66" s="1675"/>
      <c r="IN66" s="1675"/>
      <c r="IO66" s="1675"/>
      <c r="IP66" s="1675"/>
      <c r="IQ66" s="1675"/>
      <c r="IR66" s="1675"/>
      <c r="IS66" s="1675"/>
      <c r="IT66" s="1675"/>
      <c r="IU66" s="1675"/>
      <c r="IV66" s="1675"/>
      <c r="IW66" s="1675"/>
      <c r="IX66" s="1675"/>
      <c r="IY66" s="1675"/>
      <c r="IZ66" s="1675"/>
      <c r="JA66" s="1675"/>
      <c r="JB66" s="1675"/>
      <c r="JC66" s="1675"/>
      <c r="JD66" s="1675"/>
      <c r="JE66" s="1675"/>
      <c r="JF66" s="1675"/>
      <c r="JG66" s="1675"/>
      <c r="JH66" s="1675"/>
      <c r="JI66" s="1675"/>
      <c r="JJ66" s="1675"/>
      <c r="JK66" s="1675"/>
      <c r="JL66" s="1675"/>
      <c r="JM66" s="1675"/>
      <c r="JN66" s="1675"/>
      <c r="JO66" s="1675"/>
      <c r="JP66" s="1675"/>
      <c r="JQ66" s="1675"/>
      <c r="JR66" s="1675"/>
      <c r="JS66" s="1675"/>
      <c r="JT66" s="1675"/>
      <c r="JU66" s="1675"/>
      <c r="JV66" s="1675"/>
      <c r="JW66" s="1675"/>
      <c r="JX66" s="1675"/>
      <c r="JY66" s="1675"/>
      <c r="JZ66" s="1675"/>
      <c r="KA66" s="1675"/>
      <c r="KB66" s="1675"/>
      <c r="KC66" s="1675"/>
      <c r="KD66" s="1675"/>
      <c r="KE66" s="1675"/>
      <c r="KF66" s="1675"/>
      <c r="KG66" s="1675"/>
      <c r="KH66" s="1675"/>
      <c r="KI66" s="1675"/>
      <c r="KJ66" s="1675"/>
      <c r="KK66" s="1675"/>
      <c r="KL66" s="1675"/>
      <c r="KM66" s="1675"/>
      <c r="KN66" s="1675"/>
      <c r="KO66" s="1675"/>
      <c r="KP66" s="1675"/>
      <c r="KQ66" s="1675"/>
      <c r="KR66" s="1675"/>
      <c r="KS66" s="1675"/>
      <c r="KT66" s="1675"/>
      <c r="KU66" s="1675"/>
      <c r="KV66" s="1675"/>
      <c r="KW66" s="1675"/>
      <c r="KX66" s="1675"/>
      <c r="KY66" s="1675"/>
      <c r="KZ66" s="1675"/>
      <c r="LA66" s="1675"/>
      <c r="LB66" s="1675"/>
      <c r="LC66" s="1675"/>
      <c r="LD66" s="1675"/>
      <c r="LE66" s="1675"/>
      <c r="LF66" s="1675"/>
      <c r="LG66" s="1675"/>
      <c r="LH66" s="1675"/>
      <c r="LI66" s="1675"/>
      <c r="LJ66" s="1675"/>
      <c r="LK66" s="1675"/>
      <c r="LL66" s="1675"/>
      <c r="LM66" s="1675"/>
      <c r="LN66" s="1675"/>
      <c r="LO66" s="1675"/>
      <c r="LP66" s="1675"/>
      <c r="LQ66" s="1675"/>
      <c r="LR66" s="1675"/>
      <c r="LS66" s="1675"/>
      <c r="LT66" s="1675"/>
      <c r="LU66" s="1675"/>
      <c r="LV66" s="1675"/>
      <c r="LW66" s="1675"/>
      <c r="LX66" s="1675"/>
      <c r="LY66" s="1675"/>
      <c r="LZ66" s="1675"/>
      <c r="MA66" s="1675"/>
      <c r="MB66" s="1675"/>
    </row>
    <row r="67" spans="1:340" ht="18.95" customHeight="1">
      <c r="A67" s="334"/>
      <c r="B67" s="2275"/>
      <c r="C67" s="1126"/>
      <c r="D67" s="1145"/>
      <c r="E67" s="465"/>
      <c r="F67" s="435"/>
      <c r="G67" s="435"/>
      <c r="H67" s="391"/>
      <c r="I67" s="473"/>
      <c r="J67" s="1670" t="s">
        <v>6071</v>
      </c>
      <c r="K67" s="1671"/>
      <c r="L67" s="1671"/>
      <c r="M67" s="1671"/>
      <c r="N67" s="1672"/>
      <c r="O67" s="1671"/>
      <c r="P67" s="1671"/>
      <c r="Q67" s="1673">
        <v>46</v>
      </c>
      <c r="R67" s="1671" t="s">
        <v>27</v>
      </c>
      <c r="S67" s="1672">
        <v>20000</v>
      </c>
      <c r="T67" s="1671" t="s">
        <v>0</v>
      </c>
      <c r="U67" s="1671"/>
      <c r="V67" s="1887">
        <v>1</v>
      </c>
      <c r="W67" s="1671" t="s">
        <v>3</v>
      </c>
      <c r="X67" s="1671" t="s">
        <v>1</v>
      </c>
      <c r="Y67" s="1802">
        <f t="shared" si="5"/>
        <v>920</v>
      </c>
      <c r="Z67" s="1670">
        <f t="shared" si="4"/>
        <v>920000</v>
      </c>
      <c r="AA67" s="907">
        <f t="shared" si="1"/>
        <v>0</v>
      </c>
      <c r="AB67" s="357"/>
      <c r="AC67" s="347"/>
      <c r="AD67" s="1675"/>
      <c r="AE67" s="1675"/>
      <c r="AF67" s="1675"/>
      <c r="AG67" s="1675"/>
      <c r="AH67" s="1675"/>
      <c r="AI67" s="1675"/>
      <c r="AJ67" s="1675"/>
      <c r="AK67" s="1675"/>
      <c r="AL67" s="1675"/>
      <c r="AM67" s="1675"/>
      <c r="AN67" s="1675"/>
      <c r="AO67" s="1675"/>
      <c r="AP67" s="1675"/>
      <c r="AQ67" s="1675"/>
      <c r="AR67" s="1675"/>
      <c r="AS67" s="1675"/>
      <c r="AT67" s="1675"/>
      <c r="AU67" s="1675"/>
      <c r="AV67" s="1675"/>
      <c r="AW67" s="1675"/>
      <c r="AX67" s="1675"/>
      <c r="AY67" s="1675"/>
      <c r="AZ67" s="1675"/>
      <c r="BA67" s="1675"/>
      <c r="BB67" s="1675"/>
      <c r="BC67" s="1675"/>
      <c r="BD67" s="1675"/>
      <c r="BE67" s="1675"/>
      <c r="BF67" s="1675"/>
      <c r="BG67" s="1675"/>
      <c r="BH67" s="1675"/>
      <c r="BI67" s="1675"/>
      <c r="BJ67" s="1675"/>
      <c r="BK67" s="1675"/>
      <c r="BL67" s="1675"/>
      <c r="BM67" s="1675"/>
      <c r="BN67" s="1675"/>
      <c r="BO67" s="1675"/>
      <c r="BP67" s="1675"/>
      <c r="BQ67" s="1675"/>
      <c r="BR67" s="1675"/>
      <c r="BS67" s="1675"/>
      <c r="BT67" s="1675"/>
      <c r="BU67" s="1675"/>
      <c r="BV67" s="1675"/>
      <c r="BW67" s="1675"/>
      <c r="BX67" s="1675"/>
      <c r="BY67" s="1675"/>
      <c r="BZ67" s="1675"/>
      <c r="CA67" s="1675"/>
      <c r="CB67" s="1675"/>
      <c r="CC67" s="1675"/>
      <c r="CD67" s="1675"/>
      <c r="CE67" s="1675"/>
      <c r="CF67" s="1675"/>
      <c r="CG67" s="1675"/>
      <c r="CH67" s="1675"/>
      <c r="CI67" s="1675"/>
      <c r="CJ67" s="1675"/>
      <c r="CK67" s="1675"/>
      <c r="CL67" s="1675"/>
      <c r="CM67" s="1675"/>
      <c r="CN67" s="1675"/>
      <c r="CO67" s="1675"/>
      <c r="CP67" s="1675"/>
      <c r="CQ67" s="1675"/>
      <c r="CR67" s="1675"/>
      <c r="CS67" s="1675"/>
      <c r="CT67" s="1675"/>
      <c r="CU67" s="1675"/>
      <c r="CV67" s="1675"/>
      <c r="CW67" s="1675"/>
      <c r="CX67" s="1675"/>
      <c r="CY67" s="1675"/>
      <c r="CZ67" s="1675"/>
      <c r="DA67" s="1675"/>
      <c r="DB67" s="1675"/>
      <c r="DC67" s="1675"/>
      <c r="DD67" s="1675"/>
      <c r="DE67" s="1675"/>
      <c r="DF67" s="1675"/>
      <c r="DG67" s="1675"/>
      <c r="DH67" s="1675"/>
      <c r="DI67" s="1675"/>
      <c r="DJ67" s="1675"/>
      <c r="DK67" s="1675"/>
      <c r="DL67" s="1675"/>
      <c r="DM67" s="1675"/>
      <c r="DN67" s="1675"/>
      <c r="DO67" s="1675"/>
      <c r="DP67" s="1675"/>
      <c r="DQ67" s="1675"/>
      <c r="DR67" s="1675"/>
      <c r="DS67" s="1675"/>
      <c r="DT67" s="1675"/>
      <c r="DU67" s="1675"/>
      <c r="DV67" s="1675"/>
      <c r="DW67" s="1675"/>
      <c r="DX67" s="1675"/>
      <c r="DY67" s="1675"/>
      <c r="DZ67" s="1675"/>
      <c r="EA67" s="1675"/>
      <c r="EB67" s="1675"/>
      <c r="EC67" s="1675"/>
      <c r="ED67" s="1675"/>
      <c r="EE67" s="1675"/>
      <c r="EF67" s="1675"/>
      <c r="EG67" s="1675"/>
      <c r="EH67" s="1675"/>
      <c r="EI67" s="1675"/>
      <c r="EJ67" s="1675"/>
      <c r="EK67" s="1675"/>
      <c r="EL67" s="1675"/>
      <c r="EM67" s="1675"/>
      <c r="EN67" s="1675"/>
      <c r="EO67" s="1675"/>
      <c r="EP67" s="1675"/>
      <c r="EQ67" s="1675"/>
      <c r="ER67" s="1675"/>
      <c r="ES67" s="1675"/>
      <c r="ET67" s="1675"/>
      <c r="EU67" s="1675"/>
      <c r="EV67" s="1675"/>
      <c r="EW67" s="1675"/>
      <c r="EX67" s="1675"/>
      <c r="EY67" s="1675"/>
      <c r="EZ67" s="1675"/>
      <c r="FA67" s="1675"/>
      <c r="FB67" s="1675"/>
      <c r="FC67" s="1675"/>
      <c r="FD67" s="1675"/>
      <c r="FE67" s="1675"/>
      <c r="FF67" s="1675"/>
      <c r="FG67" s="1675"/>
      <c r="FH67" s="1675"/>
      <c r="FI67" s="1675"/>
      <c r="FJ67" s="1675"/>
      <c r="FK67" s="1675"/>
      <c r="FL67" s="1675"/>
      <c r="FM67" s="1675"/>
      <c r="FN67" s="1675"/>
      <c r="FO67" s="1675"/>
      <c r="FP67" s="1675"/>
      <c r="FQ67" s="1675"/>
      <c r="FR67" s="1675"/>
      <c r="FS67" s="1675"/>
      <c r="FT67" s="1675"/>
      <c r="FU67" s="1675"/>
      <c r="FV67" s="1675"/>
      <c r="FW67" s="1675"/>
      <c r="FX67" s="1675"/>
      <c r="FY67" s="1675"/>
      <c r="FZ67" s="1675"/>
      <c r="GA67" s="1675"/>
      <c r="GB67" s="1675"/>
      <c r="GC67" s="1675"/>
      <c r="GD67" s="1675"/>
      <c r="GE67" s="1675"/>
      <c r="GF67" s="1675"/>
      <c r="GG67" s="1675"/>
      <c r="GH67" s="1675"/>
      <c r="GI67" s="1675"/>
      <c r="GJ67" s="1675"/>
      <c r="GK67" s="1675"/>
      <c r="GL67" s="1675"/>
      <c r="GM67" s="1675"/>
      <c r="GN67" s="1675"/>
      <c r="GO67" s="1675"/>
      <c r="GP67" s="1675"/>
      <c r="GQ67" s="1675"/>
      <c r="GR67" s="1675"/>
      <c r="GS67" s="1675"/>
      <c r="GT67" s="1675"/>
      <c r="GU67" s="1675"/>
      <c r="GV67" s="1675"/>
      <c r="GW67" s="1675"/>
      <c r="GX67" s="1675"/>
      <c r="GY67" s="1675"/>
      <c r="GZ67" s="1675"/>
      <c r="HA67" s="1675"/>
      <c r="HB67" s="1675"/>
      <c r="HC67" s="1675"/>
      <c r="HD67" s="1675"/>
      <c r="HE67" s="1675"/>
      <c r="HF67" s="1675"/>
      <c r="HG67" s="1675"/>
      <c r="HH67" s="1675"/>
      <c r="HI67" s="1675"/>
      <c r="HJ67" s="1675"/>
      <c r="HK67" s="1675"/>
      <c r="HL67" s="1675"/>
      <c r="HM67" s="1675"/>
      <c r="HN67" s="1675"/>
      <c r="HO67" s="1675"/>
      <c r="HP67" s="1675"/>
      <c r="HQ67" s="1675"/>
      <c r="HR67" s="1675"/>
      <c r="HS67" s="1675"/>
      <c r="HT67" s="1675"/>
      <c r="HU67" s="1675"/>
      <c r="HV67" s="1675"/>
      <c r="HW67" s="1675"/>
      <c r="HX67" s="1675"/>
      <c r="HY67" s="1675"/>
      <c r="HZ67" s="1675"/>
      <c r="IA67" s="1675"/>
      <c r="IB67" s="1675"/>
      <c r="IC67" s="1675"/>
      <c r="ID67" s="1675"/>
      <c r="IE67" s="1675"/>
      <c r="IF67" s="1675"/>
      <c r="IG67" s="1675"/>
      <c r="IH67" s="1675"/>
      <c r="II67" s="1675"/>
      <c r="IJ67" s="1675"/>
      <c r="IK67" s="1675"/>
      <c r="IL67" s="1675"/>
      <c r="IM67" s="1675"/>
      <c r="IN67" s="1675"/>
      <c r="IO67" s="1675"/>
      <c r="IP67" s="1675"/>
      <c r="IQ67" s="1675"/>
      <c r="IR67" s="1675"/>
      <c r="IS67" s="1675"/>
      <c r="IT67" s="1675"/>
      <c r="IU67" s="1675"/>
      <c r="IV67" s="1675"/>
      <c r="IW67" s="1675"/>
      <c r="IX67" s="1675"/>
      <c r="IY67" s="1675"/>
      <c r="IZ67" s="1675"/>
      <c r="JA67" s="1675"/>
      <c r="JB67" s="1675"/>
      <c r="JC67" s="1675"/>
      <c r="JD67" s="1675"/>
      <c r="JE67" s="1675"/>
      <c r="JF67" s="1675"/>
      <c r="JG67" s="1675"/>
      <c r="JH67" s="1675"/>
      <c r="JI67" s="1675"/>
      <c r="JJ67" s="1675"/>
      <c r="JK67" s="1675"/>
      <c r="JL67" s="1675"/>
      <c r="JM67" s="1675"/>
      <c r="JN67" s="1675"/>
      <c r="JO67" s="1675"/>
      <c r="JP67" s="1675"/>
      <c r="JQ67" s="1675"/>
      <c r="JR67" s="1675"/>
      <c r="JS67" s="1675"/>
      <c r="JT67" s="1675"/>
      <c r="JU67" s="1675"/>
      <c r="JV67" s="1675"/>
      <c r="JW67" s="1675"/>
      <c r="JX67" s="1675"/>
      <c r="JY67" s="1675"/>
      <c r="JZ67" s="1675"/>
      <c r="KA67" s="1675"/>
      <c r="KB67" s="1675"/>
      <c r="KC67" s="1675"/>
      <c r="KD67" s="1675"/>
      <c r="KE67" s="1675"/>
      <c r="KF67" s="1675"/>
      <c r="KG67" s="1675"/>
      <c r="KH67" s="1675"/>
      <c r="KI67" s="1675"/>
      <c r="KJ67" s="1675"/>
      <c r="KK67" s="1675"/>
      <c r="KL67" s="1675"/>
      <c r="KM67" s="1675"/>
      <c r="KN67" s="1675"/>
      <c r="KO67" s="1675"/>
      <c r="KP67" s="1675"/>
      <c r="KQ67" s="1675"/>
      <c r="KR67" s="1675"/>
      <c r="KS67" s="1675"/>
      <c r="KT67" s="1675"/>
      <c r="KU67" s="1675"/>
      <c r="KV67" s="1675"/>
      <c r="KW67" s="1675"/>
      <c r="KX67" s="1675"/>
      <c r="KY67" s="1675"/>
      <c r="KZ67" s="1675"/>
      <c r="LA67" s="1675"/>
      <c r="LB67" s="1675"/>
      <c r="LC67" s="1675"/>
      <c r="LD67" s="1675"/>
      <c r="LE67" s="1675"/>
      <c r="LF67" s="1675"/>
      <c r="LG67" s="1675"/>
      <c r="LH67" s="1675"/>
      <c r="LI67" s="1675"/>
      <c r="LJ67" s="1675"/>
      <c r="LK67" s="1675"/>
      <c r="LL67" s="1675"/>
      <c r="LM67" s="1675"/>
      <c r="LN67" s="1675"/>
      <c r="LO67" s="1675"/>
      <c r="LP67" s="1675"/>
      <c r="LQ67" s="1675"/>
      <c r="LR67" s="1675"/>
      <c r="LS67" s="1675"/>
      <c r="LT67" s="1675"/>
      <c r="LU67" s="1675"/>
      <c r="LV67" s="1675"/>
      <c r="LW67" s="1675"/>
      <c r="LX67" s="1675"/>
      <c r="LY67" s="1675"/>
      <c r="LZ67" s="1675"/>
      <c r="MA67" s="1675"/>
      <c r="MB67" s="1675"/>
    </row>
    <row r="68" spans="1:340" ht="18.95" customHeight="1">
      <c r="A68" s="334"/>
      <c r="B68" s="2275"/>
      <c r="C68" s="1126"/>
      <c r="D68" s="1145"/>
      <c r="E68" s="465"/>
      <c r="F68" s="435"/>
      <c r="G68" s="435"/>
      <c r="H68" s="391"/>
      <c r="I68" s="473"/>
      <c r="J68" s="1670" t="s">
        <v>6072</v>
      </c>
      <c r="K68" s="1671"/>
      <c r="L68" s="1671"/>
      <c r="M68" s="1671"/>
      <c r="N68" s="1672"/>
      <c r="O68" s="1671"/>
      <c r="P68" s="1671"/>
      <c r="Q68" s="1673">
        <v>18</v>
      </c>
      <c r="R68" s="1671" t="s">
        <v>27</v>
      </c>
      <c r="S68" s="1672">
        <v>100000</v>
      </c>
      <c r="T68" s="1671" t="s">
        <v>0</v>
      </c>
      <c r="U68" s="1671"/>
      <c r="V68" s="1887">
        <v>1</v>
      </c>
      <c r="W68" s="1671" t="s">
        <v>3</v>
      </c>
      <c r="X68" s="1671" t="s">
        <v>1</v>
      </c>
      <c r="Y68" s="1802">
        <f t="shared" si="5"/>
        <v>1800</v>
      </c>
      <c r="Z68" s="1670">
        <f t="shared" si="4"/>
        <v>1800000</v>
      </c>
      <c r="AA68" s="907">
        <f t="shared" si="1"/>
        <v>0</v>
      </c>
      <c r="AB68" s="357"/>
      <c r="AC68" s="347"/>
      <c r="AD68" s="1675"/>
      <c r="AE68" s="1675"/>
      <c r="AF68" s="1675"/>
      <c r="AG68" s="1675"/>
      <c r="AH68" s="1675"/>
      <c r="AI68" s="1675"/>
      <c r="AJ68" s="1675"/>
      <c r="AK68" s="1675"/>
      <c r="AL68" s="1675"/>
      <c r="AM68" s="1675"/>
      <c r="AN68" s="1675"/>
      <c r="AO68" s="1675"/>
      <c r="AP68" s="1675"/>
      <c r="AQ68" s="1675"/>
      <c r="AR68" s="1675"/>
      <c r="AS68" s="1675"/>
      <c r="AT68" s="1675"/>
      <c r="AU68" s="1675"/>
      <c r="AV68" s="1675"/>
      <c r="AW68" s="1675"/>
      <c r="AX68" s="1675"/>
      <c r="AY68" s="1675"/>
      <c r="AZ68" s="1675"/>
      <c r="BA68" s="1675"/>
      <c r="BB68" s="1675"/>
      <c r="BC68" s="1675"/>
      <c r="BD68" s="1675"/>
      <c r="BE68" s="1675"/>
      <c r="BF68" s="1675"/>
      <c r="BG68" s="1675"/>
      <c r="BH68" s="1675"/>
      <c r="BI68" s="1675"/>
      <c r="BJ68" s="1675"/>
      <c r="BK68" s="1675"/>
      <c r="BL68" s="1675"/>
      <c r="BM68" s="1675"/>
      <c r="BN68" s="1675"/>
      <c r="BO68" s="1675"/>
      <c r="BP68" s="1675"/>
      <c r="BQ68" s="1675"/>
      <c r="BR68" s="1675"/>
      <c r="BS68" s="1675"/>
      <c r="BT68" s="1675"/>
      <c r="BU68" s="1675"/>
      <c r="BV68" s="1675"/>
      <c r="BW68" s="1675"/>
      <c r="BX68" s="1675"/>
      <c r="BY68" s="1675"/>
      <c r="BZ68" s="1675"/>
      <c r="CA68" s="1675"/>
      <c r="CB68" s="1675"/>
      <c r="CC68" s="1675"/>
      <c r="CD68" s="1675"/>
      <c r="CE68" s="1675"/>
      <c r="CF68" s="1675"/>
      <c r="CG68" s="1675"/>
      <c r="CH68" s="1675"/>
      <c r="CI68" s="1675"/>
      <c r="CJ68" s="1675"/>
      <c r="CK68" s="1675"/>
      <c r="CL68" s="1675"/>
      <c r="CM68" s="1675"/>
      <c r="CN68" s="1675"/>
      <c r="CO68" s="1675"/>
      <c r="CP68" s="1675"/>
      <c r="CQ68" s="1675"/>
      <c r="CR68" s="1675"/>
      <c r="CS68" s="1675"/>
      <c r="CT68" s="1675"/>
      <c r="CU68" s="1675"/>
      <c r="CV68" s="1675"/>
      <c r="CW68" s="1675"/>
      <c r="CX68" s="1675"/>
      <c r="CY68" s="1675"/>
      <c r="CZ68" s="1675"/>
      <c r="DA68" s="1675"/>
      <c r="DB68" s="1675"/>
      <c r="DC68" s="1675"/>
      <c r="DD68" s="1675"/>
      <c r="DE68" s="1675"/>
      <c r="DF68" s="1675"/>
      <c r="DG68" s="1675"/>
      <c r="DH68" s="1675"/>
      <c r="DI68" s="1675"/>
      <c r="DJ68" s="1675"/>
      <c r="DK68" s="1675"/>
      <c r="DL68" s="1675"/>
      <c r="DM68" s="1675"/>
      <c r="DN68" s="1675"/>
      <c r="DO68" s="1675"/>
      <c r="DP68" s="1675"/>
      <c r="DQ68" s="1675"/>
      <c r="DR68" s="1675"/>
      <c r="DS68" s="1675"/>
      <c r="DT68" s="1675"/>
      <c r="DU68" s="1675"/>
      <c r="DV68" s="1675"/>
      <c r="DW68" s="1675"/>
      <c r="DX68" s="1675"/>
      <c r="DY68" s="1675"/>
      <c r="DZ68" s="1675"/>
      <c r="EA68" s="1675"/>
      <c r="EB68" s="1675"/>
      <c r="EC68" s="1675"/>
      <c r="ED68" s="1675"/>
      <c r="EE68" s="1675"/>
      <c r="EF68" s="1675"/>
      <c r="EG68" s="1675"/>
      <c r="EH68" s="1675"/>
      <c r="EI68" s="1675"/>
      <c r="EJ68" s="1675"/>
      <c r="EK68" s="1675"/>
      <c r="EL68" s="1675"/>
      <c r="EM68" s="1675"/>
      <c r="EN68" s="1675"/>
      <c r="EO68" s="1675"/>
      <c r="EP68" s="1675"/>
      <c r="EQ68" s="1675"/>
      <c r="ER68" s="1675"/>
      <c r="ES68" s="1675"/>
      <c r="ET68" s="1675"/>
      <c r="EU68" s="1675"/>
      <c r="EV68" s="1675"/>
      <c r="EW68" s="1675"/>
      <c r="EX68" s="1675"/>
      <c r="EY68" s="1675"/>
      <c r="EZ68" s="1675"/>
      <c r="FA68" s="1675"/>
      <c r="FB68" s="1675"/>
      <c r="FC68" s="1675"/>
      <c r="FD68" s="1675"/>
      <c r="FE68" s="1675"/>
      <c r="FF68" s="1675"/>
      <c r="FG68" s="1675"/>
      <c r="FH68" s="1675"/>
      <c r="FI68" s="1675"/>
      <c r="FJ68" s="1675"/>
      <c r="FK68" s="1675"/>
      <c r="FL68" s="1675"/>
      <c r="FM68" s="1675"/>
      <c r="FN68" s="1675"/>
      <c r="FO68" s="1675"/>
      <c r="FP68" s="1675"/>
      <c r="FQ68" s="1675"/>
      <c r="FR68" s="1675"/>
      <c r="FS68" s="1675"/>
      <c r="FT68" s="1675"/>
      <c r="FU68" s="1675"/>
      <c r="FV68" s="1675"/>
      <c r="FW68" s="1675"/>
      <c r="FX68" s="1675"/>
      <c r="FY68" s="1675"/>
      <c r="FZ68" s="1675"/>
      <c r="GA68" s="1675"/>
      <c r="GB68" s="1675"/>
      <c r="GC68" s="1675"/>
      <c r="GD68" s="1675"/>
      <c r="GE68" s="1675"/>
      <c r="GF68" s="1675"/>
      <c r="GG68" s="1675"/>
      <c r="GH68" s="1675"/>
      <c r="GI68" s="1675"/>
      <c r="GJ68" s="1675"/>
      <c r="GK68" s="1675"/>
      <c r="GL68" s="1675"/>
      <c r="GM68" s="1675"/>
      <c r="GN68" s="1675"/>
      <c r="GO68" s="1675"/>
      <c r="GP68" s="1675"/>
      <c r="GQ68" s="1675"/>
      <c r="GR68" s="1675"/>
      <c r="GS68" s="1675"/>
      <c r="GT68" s="1675"/>
      <c r="GU68" s="1675"/>
      <c r="GV68" s="1675"/>
      <c r="GW68" s="1675"/>
      <c r="GX68" s="1675"/>
      <c r="GY68" s="1675"/>
      <c r="GZ68" s="1675"/>
      <c r="HA68" s="1675"/>
      <c r="HB68" s="1675"/>
      <c r="HC68" s="1675"/>
      <c r="HD68" s="1675"/>
      <c r="HE68" s="1675"/>
      <c r="HF68" s="1675"/>
      <c r="HG68" s="1675"/>
      <c r="HH68" s="1675"/>
      <c r="HI68" s="1675"/>
      <c r="HJ68" s="1675"/>
      <c r="HK68" s="1675"/>
      <c r="HL68" s="1675"/>
      <c r="HM68" s="1675"/>
      <c r="HN68" s="1675"/>
      <c r="HO68" s="1675"/>
      <c r="HP68" s="1675"/>
      <c r="HQ68" s="1675"/>
      <c r="HR68" s="1675"/>
      <c r="HS68" s="1675"/>
      <c r="HT68" s="1675"/>
      <c r="HU68" s="1675"/>
      <c r="HV68" s="1675"/>
      <c r="HW68" s="1675"/>
      <c r="HX68" s="1675"/>
      <c r="HY68" s="1675"/>
      <c r="HZ68" s="1675"/>
      <c r="IA68" s="1675"/>
      <c r="IB68" s="1675"/>
      <c r="IC68" s="1675"/>
      <c r="ID68" s="1675"/>
      <c r="IE68" s="1675"/>
      <c r="IF68" s="1675"/>
      <c r="IG68" s="1675"/>
      <c r="IH68" s="1675"/>
      <c r="II68" s="1675"/>
      <c r="IJ68" s="1675"/>
      <c r="IK68" s="1675"/>
      <c r="IL68" s="1675"/>
      <c r="IM68" s="1675"/>
      <c r="IN68" s="1675"/>
      <c r="IO68" s="1675"/>
      <c r="IP68" s="1675"/>
      <c r="IQ68" s="1675"/>
      <c r="IR68" s="1675"/>
      <c r="IS68" s="1675"/>
      <c r="IT68" s="1675"/>
      <c r="IU68" s="1675"/>
      <c r="IV68" s="1675"/>
      <c r="IW68" s="1675"/>
      <c r="IX68" s="1675"/>
      <c r="IY68" s="1675"/>
      <c r="IZ68" s="1675"/>
      <c r="JA68" s="1675"/>
      <c r="JB68" s="1675"/>
      <c r="JC68" s="1675"/>
      <c r="JD68" s="1675"/>
      <c r="JE68" s="1675"/>
      <c r="JF68" s="1675"/>
      <c r="JG68" s="1675"/>
      <c r="JH68" s="1675"/>
      <c r="JI68" s="1675"/>
      <c r="JJ68" s="1675"/>
      <c r="JK68" s="1675"/>
      <c r="JL68" s="1675"/>
      <c r="JM68" s="1675"/>
      <c r="JN68" s="1675"/>
      <c r="JO68" s="1675"/>
      <c r="JP68" s="1675"/>
      <c r="JQ68" s="1675"/>
      <c r="JR68" s="1675"/>
      <c r="JS68" s="1675"/>
      <c r="JT68" s="1675"/>
      <c r="JU68" s="1675"/>
      <c r="JV68" s="1675"/>
      <c r="JW68" s="1675"/>
      <c r="JX68" s="1675"/>
      <c r="JY68" s="1675"/>
      <c r="JZ68" s="1675"/>
      <c r="KA68" s="1675"/>
      <c r="KB68" s="1675"/>
      <c r="KC68" s="1675"/>
      <c r="KD68" s="1675"/>
      <c r="KE68" s="1675"/>
      <c r="KF68" s="1675"/>
      <c r="KG68" s="1675"/>
      <c r="KH68" s="1675"/>
      <c r="KI68" s="1675"/>
      <c r="KJ68" s="1675"/>
      <c r="KK68" s="1675"/>
      <c r="KL68" s="1675"/>
      <c r="KM68" s="1675"/>
      <c r="KN68" s="1675"/>
      <c r="KO68" s="1675"/>
      <c r="KP68" s="1675"/>
      <c r="KQ68" s="1675"/>
      <c r="KR68" s="1675"/>
      <c r="KS68" s="1675"/>
      <c r="KT68" s="1675"/>
      <c r="KU68" s="1675"/>
      <c r="KV68" s="1675"/>
      <c r="KW68" s="1675"/>
      <c r="KX68" s="1675"/>
      <c r="KY68" s="1675"/>
      <c r="KZ68" s="1675"/>
      <c r="LA68" s="1675"/>
      <c r="LB68" s="1675"/>
      <c r="LC68" s="1675"/>
      <c r="LD68" s="1675"/>
      <c r="LE68" s="1675"/>
      <c r="LF68" s="1675"/>
      <c r="LG68" s="1675"/>
      <c r="LH68" s="1675"/>
      <c r="LI68" s="1675"/>
      <c r="LJ68" s="1675"/>
      <c r="LK68" s="1675"/>
      <c r="LL68" s="1675"/>
      <c r="LM68" s="1675"/>
      <c r="LN68" s="1675"/>
      <c r="LO68" s="1675"/>
      <c r="LP68" s="1675"/>
      <c r="LQ68" s="1675"/>
      <c r="LR68" s="1675"/>
      <c r="LS68" s="1675"/>
      <c r="LT68" s="1675"/>
      <c r="LU68" s="1675"/>
      <c r="LV68" s="1675"/>
      <c r="LW68" s="1675"/>
      <c r="LX68" s="1675"/>
      <c r="LY68" s="1675"/>
      <c r="LZ68" s="1675"/>
      <c r="MA68" s="1675"/>
      <c r="MB68" s="1675"/>
    </row>
    <row r="69" spans="1:340" ht="18.95" customHeight="1">
      <c r="A69" s="334"/>
      <c r="B69" s="2275"/>
      <c r="C69" s="1126"/>
      <c r="D69" s="1145"/>
      <c r="E69" s="465"/>
      <c r="F69" s="435"/>
      <c r="G69" s="435"/>
      <c r="H69" s="391"/>
      <c r="I69" s="473"/>
      <c r="J69" s="1670" t="s">
        <v>6073</v>
      </c>
      <c r="K69" s="1671"/>
      <c r="L69" s="1671"/>
      <c r="M69" s="1671"/>
      <c r="N69" s="1672"/>
      <c r="O69" s="1671"/>
      <c r="P69" s="1671"/>
      <c r="Q69" s="1673">
        <v>32</v>
      </c>
      <c r="R69" s="1671" t="s">
        <v>27</v>
      </c>
      <c r="S69" s="1672">
        <v>100000</v>
      </c>
      <c r="T69" s="1671" t="s">
        <v>0</v>
      </c>
      <c r="U69" s="1671"/>
      <c r="V69" s="1887">
        <v>1</v>
      </c>
      <c r="W69" s="1671" t="s">
        <v>3</v>
      </c>
      <c r="X69" s="1671" t="s">
        <v>1</v>
      </c>
      <c r="Y69" s="1802">
        <f t="shared" si="5"/>
        <v>3200</v>
      </c>
      <c r="Z69" s="1670">
        <f t="shared" si="4"/>
        <v>3200000</v>
      </c>
      <c r="AA69" s="907">
        <f t="shared" si="1"/>
        <v>0</v>
      </c>
      <c r="AB69" s="357"/>
      <c r="AC69" s="347"/>
      <c r="AD69" s="1675"/>
      <c r="AE69" s="1675"/>
      <c r="AF69" s="1675"/>
      <c r="AG69" s="1675"/>
      <c r="AH69" s="1675"/>
      <c r="AI69" s="1675"/>
      <c r="AJ69" s="1675"/>
      <c r="AK69" s="1675"/>
      <c r="AL69" s="1675"/>
      <c r="AM69" s="1675"/>
      <c r="AN69" s="1675"/>
      <c r="AO69" s="1675"/>
      <c r="AP69" s="1675"/>
      <c r="AQ69" s="1675"/>
      <c r="AR69" s="1675"/>
      <c r="AS69" s="1675"/>
      <c r="AT69" s="1675"/>
      <c r="AU69" s="1675"/>
      <c r="AV69" s="1675"/>
      <c r="AW69" s="1675"/>
      <c r="AX69" s="1675"/>
      <c r="AY69" s="1675"/>
      <c r="AZ69" s="1675"/>
      <c r="BA69" s="1675"/>
      <c r="BB69" s="1675"/>
      <c r="BC69" s="1675"/>
      <c r="BD69" s="1675"/>
      <c r="BE69" s="1675"/>
      <c r="BF69" s="1675"/>
      <c r="BG69" s="1675"/>
      <c r="BH69" s="1675"/>
      <c r="BI69" s="1675"/>
      <c r="BJ69" s="1675"/>
      <c r="BK69" s="1675"/>
      <c r="BL69" s="1675"/>
      <c r="BM69" s="1675"/>
      <c r="BN69" s="1675"/>
      <c r="BO69" s="1675"/>
      <c r="BP69" s="1675"/>
      <c r="BQ69" s="1675"/>
      <c r="BR69" s="1675"/>
      <c r="BS69" s="1675"/>
      <c r="BT69" s="1675"/>
      <c r="BU69" s="1675"/>
      <c r="BV69" s="1675"/>
      <c r="BW69" s="1675"/>
      <c r="BX69" s="1675"/>
      <c r="BY69" s="1675"/>
      <c r="BZ69" s="1675"/>
      <c r="CA69" s="1675"/>
      <c r="CB69" s="1675"/>
      <c r="CC69" s="1675"/>
      <c r="CD69" s="1675"/>
      <c r="CE69" s="1675"/>
      <c r="CF69" s="1675"/>
      <c r="CG69" s="1675"/>
      <c r="CH69" s="1675"/>
      <c r="CI69" s="1675"/>
      <c r="CJ69" s="1675"/>
      <c r="CK69" s="1675"/>
      <c r="CL69" s="1675"/>
      <c r="CM69" s="1675"/>
      <c r="CN69" s="1675"/>
      <c r="CO69" s="1675"/>
      <c r="CP69" s="1675"/>
      <c r="CQ69" s="1675"/>
      <c r="CR69" s="1675"/>
      <c r="CS69" s="1675"/>
      <c r="CT69" s="1675"/>
      <c r="CU69" s="1675"/>
      <c r="CV69" s="1675"/>
      <c r="CW69" s="1675"/>
      <c r="CX69" s="1675"/>
      <c r="CY69" s="1675"/>
      <c r="CZ69" s="1675"/>
      <c r="DA69" s="1675"/>
      <c r="DB69" s="1675"/>
      <c r="DC69" s="1675"/>
      <c r="DD69" s="1675"/>
      <c r="DE69" s="1675"/>
      <c r="DF69" s="1675"/>
      <c r="DG69" s="1675"/>
      <c r="DH69" s="1675"/>
      <c r="DI69" s="1675"/>
      <c r="DJ69" s="1675"/>
      <c r="DK69" s="1675"/>
      <c r="DL69" s="1675"/>
      <c r="DM69" s="1675"/>
      <c r="DN69" s="1675"/>
      <c r="DO69" s="1675"/>
      <c r="DP69" s="1675"/>
      <c r="DQ69" s="1675"/>
      <c r="DR69" s="1675"/>
      <c r="DS69" s="1675"/>
      <c r="DT69" s="1675"/>
      <c r="DU69" s="1675"/>
      <c r="DV69" s="1675"/>
      <c r="DW69" s="1675"/>
      <c r="DX69" s="1675"/>
      <c r="DY69" s="1675"/>
      <c r="DZ69" s="1675"/>
      <c r="EA69" s="1675"/>
      <c r="EB69" s="1675"/>
      <c r="EC69" s="1675"/>
      <c r="ED69" s="1675"/>
      <c r="EE69" s="1675"/>
      <c r="EF69" s="1675"/>
      <c r="EG69" s="1675"/>
      <c r="EH69" s="1675"/>
      <c r="EI69" s="1675"/>
      <c r="EJ69" s="1675"/>
      <c r="EK69" s="1675"/>
      <c r="EL69" s="1675"/>
      <c r="EM69" s="1675"/>
      <c r="EN69" s="1675"/>
      <c r="EO69" s="1675"/>
      <c r="EP69" s="1675"/>
      <c r="EQ69" s="1675"/>
      <c r="ER69" s="1675"/>
      <c r="ES69" s="1675"/>
      <c r="ET69" s="1675"/>
      <c r="EU69" s="1675"/>
      <c r="EV69" s="1675"/>
      <c r="EW69" s="1675"/>
      <c r="EX69" s="1675"/>
      <c r="EY69" s="1675"/>
      <c r="EZ69" s="1675"/>
      <c r="FA69" s="1675"/>
      <c r="FB69" s="1675"/>
      <c r="FC69" s="1675"/>
      <c r="FD69" s="1675"/>
      <c r="FE69" s="1675"/>
      <c r="FF69" s="1675"/>
      <c r="FG69" s="1675"/>
      <c r="FH69" s="1675"/>
      <c r="FI69" s="1675"/>
      <c r="FJ69" s="1675"/>
      <c r="FK69" s="1675"/>
      <c r="FL69" s="1675"/>
      <c r="FM69" s="1675"/>
      <c r="FN69" s="1675"/>
      <c r="FO69" s="1675"/>
      <c r="FP69" s="1675"/>
      <c r="FQ69" s="1675"/>
      <c r="FR69" s="1675"/>
      <c r="FS69" s="1675"/>
      <c r="FT69" s="1675"/>
      <c r="FU69" s="1675"/>
      <c r="FV69" s="1675"/>
      <c r="FW69" s="1675"/>
      <c r="FX69" s="1675"/>
      <c r="FY69" s="1675"/>
      <c r="FZ69" s="1675"/>
      <c r="GA69" s="1675"/>
      <c r="GB69" s="1675"/>
      <c r="GC69" s="1675"/>
      <c r="GD69" s="1675"/>
      <c r="GE69" s="1675"/>
      <c r="GF69" s="1675"/>
      <c r="GG69" s="1675"/>
      <c r="GH69" s="1675"/>
      <c r="GI69" s="1675"/>
      <c r="GJ69" s="1675"/>
      <c r="GK69" s="1675"/>
      <c r="GL69" s="1675"/>
      <c r="GM69" s="1675"/>
      <c r="GN69" s="1675"/>
      <c r="GO69" s="1675"/>
      <c r="GP69" s="1675"/>
      <c r="GQ69" s="1675"/>
      <c r="GR69" s="1675"/>
      <c r="GS69" s="1675"/>
      <c r="GT69" s="1675"/>
      <c r="GU69" s="1675"/>
      <c r="GV69" s="1675"/>
      <c r="GW69" s="1675"/>
      <c r="GX69" s="1675"/>
      <c r="GY69" s="1675"/>
      <c r="GZ69" s="1675"/>
      <c r="HA69" s="1675"/>
      <c r="HB69" s="1675"/>
      <c r="HC69" s="1675"/>
      <c r="HD69" s="1675"/>
      <c r="HE69" s="1675"/>
      <c r="HF69" s="1675"/>
      <c r="HG69" s="1675"/>
      <c r="HH69" s="1675"/>
      <c r="HI69" s="1675"/>
      <c r="HJ69" s="1675"/>
      <c r="HK69" s="1675"/>
      <c r="HL69" s="1675"/>
      <c r="HM69" s="1675"/>
      <c r="HN69" s="1675"/>
      <c r="HO69" s="1675"/>
      <c r="HP69" s="1675"/>
      <c r="HQ69" s="1675"/>
      <c r="HR69" s="1675"/>
      <c r="HS69" s="1675"/>
      <c r="HT69" s="1675"/>
      <c r="HU69" s="1675"/>
      <c r="HV69" s="1675"/>
      <c r="HW69" s="1675"/>
      <c r="HX69" s="1675"/>
      <c r="HY69" s="1675"/>
      <c r="HZ69" s="1675"/>
      <c r="IA69" s="1675"/>
      <c r="IB69" s="1675"/>
      <c r="IC69" s="1675"/>
      <c r="ID69" s="1675"/>
      <c r="IE69" s="1675"/>
      <c r="IF69" s="1675"/>
      <c r="IG69" s="1675"/>
      <c r="IH69" s="1675"/>
      <c r="II69" s="1675"/>
      <c r="IJ69" s="1675"/>
      <c r="IK69" s="1675"/>
      <c r="IL69" s="1675"/>
      <c r="IM69" s="1675"/>
      <c r="IN69" s="1675"/>
      <c r="IO69" s="1675"/>
      <c r="IP69" s="1675"/>
      <c r="IQ69" s="1675"/>
      <c r="IR69" s="1675"/>
      <c r="IS69" s="1675"/>
      <c r="IT69" s="1675"/>
      <c r="IU69" s="1675"/>
      <c r="IV69" s="1675"/>
      <c r="IW69" s="1675"/>
      <c r="IX69" s="1675"/>
      <c r="IY69" s="1675"/>
      <c r="IZ69" s="1675"/>
      <c r="JA69" s="1675"/>
      <c r="JB69" s="1675"/>
      <c r="JC69" s="1675"/>
      <c r="JD69" s="1675"/>
      <c r="JE69" s="1675"/>
      <c r="JF69" s="1675"/>
      <c r="JG69" s="1675"/>
      <c r="JH69" s="1675"/>
      <c r="JI69" s="1675"/>
      <c r="JJ69" s="1675"/>
      <c r="JK69" s="1675"/>
      <c r="JL69" s="1675"/>
      <c r="JM69" s="1675"/>
      <c r="JN69" s="1675"/>
      <c r="JO69" s="1675"/>
      <c r="JP69" s="1675"/>
      <c r="JQ69" s="1675"/>
      <c r="JR69" s="1675"/>
      <c r="JS69" s="1675"/>
      <c r="JT69" s="1675"/>
      <c r="JU69" s="1675"/>
      <c r="JV69" s="1675"/>
      <c r="JW69" s="1675"/>
      <c r="JX69" s="1675"/>
      <c r="JY69" s="1675"/>
      <c r="JZ69" s="1675"/>
      <c r="KA69" s="1675"/>
      <c r="KB69" s="1675"/>
      <c r="KC69" s="1675"/>
      <c r="KD69" s="1675"/>
      <c r="KE69" s="1675"/>
      <c r="KF69" s="1675"/>
      <c r="KG69" s="1675"/>
      <c r="KH69" s="1675"/>
      <c r="KI69" s="1675"/>
      <c r="KJ69" s="1675"/>
      <c r="KK69" s="1675"/>
      <c r="KL69" s="1675"/>
      <c r="KM69" s="1675"/>
      <c r="KN69" s="1675"/>
      <c r="KO69" s="1675"/>
      <c r="KP69" s="1675"/>
      <c r="KQ69" s="1675"/>
      <c r="KR69" s="1675"/>
      <c r="KS69" s="1675"/>
      <c r="KT69" s="1675"/>
      <c r="KU69" s="1675"/>
      <c r="KV69" s="1675"/>
      <c r="KW69" s="1675"/>
      <c r="KX69" s="1675"/>
      <c r="KY69" s="1675"/>
      <c r="KZ69" s="1675"/>
      <c r="LA69" s="1675"/>
      <c r="LB69" s="1675"/>
      <c r="LC69" s="1675"/>
      <c r="LD69" s="1675"/>
      <c r="LE69" s="1675"/>
      <c r="LF69" s="1675"/>
      <c r="LG69" s="1675"/>
      <c r="LH69" s="1675"/>
      <c r="LI69" s="1675"/>
      <c r="LJ69" s="1675"/>
      <c r="LK69" s="1675"/>
      <c r="LL69" s="1675"/>
      <c r="LM69" s="1675"/>
      <c r="LN69" s="1675"/>
      <c r="LO69" s="1675"/>
      <c r="LP69" s="1675"/>
      <c r="LQ69" s="1675"/>
      <c r="LR69" s="1675"/>
      <c r="LS69" s="1675"/>
      <c r="LT69" s="1675"/>
      <c r="LU69" s="1675"/>
      <c r="LV69" s="1675"/>
      <c r="LW69" s="1675"/>
      <c r="LX69" s="1675"/>
      <c r="LY69" s="1675"/>
      <c r="LZ69" s="1675"/>
      <c r="MA69" s="1675"/>
      <c r="MB69" s="1675"/>
    </row>
    <row r="70" spans="1:340" ht="18.95" customHeight="1">
      <c r="A70" s="334"/>
      <c r="B70" s="2275"/>
      <c r="C70" s="1126"/>
      <c r="D70" s="1145"/>
      <c r="E70" s="465"/>
      <c r="F70" s="435"/>
      <c r="G70" s="435"/>
      <c r="H70" s="391"/>
      <c r="I70" s="473"/>
      <c r="J70" s="1670" t="s">
        <v>6074</v>
      </c>
      <c r="K70" s="1671"/>
      <c r="L70" s="1671"/>
      <c r="M70" s="1671"/>
      <c r="N70" s="1672"/>
      <c r="O70" s="1671">
        <v>280</v>
      </c>
      <c r="P70" s="1671" t="s">
        <v>751</v>
      </c>
      <c r="Q70" s="1673">
        <v>2</v>
      </c>
      <c r="R70" s="1671" t="s">
        <v>27</v>
      </c>
      <c r="S70" s="1672">
        <v>3500000</v>
      </c>
      <c r="T70" s="1671" t="s">
        <v>0</v>
      </c>
      <c r="U70" s="1671"/>
      <c r="V70" s="1887">
        <v>1</v>
      </c>
      <c r="W70" s="1671" t="s">
        <v>3</v>
      </c>
      <c r="X70" s="1671" t="s">
        <v>1</v>
      </c>
      <c r="Y70" s="1802">
        <f t="shared" si="5"/>
        <v>7000</v>
      </c>
      <c r="Z70" s="1670">
        <f t="shared" si="4"/>
        <v>7000000</v>
      </c>
      <c r="AA70" s="907">
        <f t="shared" si="1"/>
        <v>0</v>
      </c>
      <c r="AB70" s="357"/>
      <c r="AC70" s="347"/>
      <c r="AD70" s="1675"/>
      <c r="AE70" s="1675"/>
      <c r="AF70" s="1675"/>
      <c r="AG70" s="1675"/>
      <c r="AH70" s="1675"/>
      <c r="AI70" s="1675"/>
      <c r="AJ70" s="1675"/>
      <c r="AK70" s="1675"/>
      <c r="AL70" s="1675"/>
      <c r="AM70" s="1675"/>
      <c r="AN70" s="1675"/>
      <c r="AO70" s="1675"/>
      <c r="AP70" s="1675"/>
      <c r="AQ70" s="1675"/>
      <c r="AR70" s="1675"/>
      <c r="AS70" s="1675"/>
      <c r="AT70" s="1675"/>
      <c r="AU70" s="1675"/>
      <c r="AV70" s="1675"/>
      <c r="AW70" s="1675"/>
      <c r="AX70" s="1675"/>
      <c r="AY70" s="1675"/>
      <c r="AZ70" s="1675"/>
      <c r="BA70" s="1675"/>
      <c r="BB70" s="1675"/>
      <c r="BC70" s="1675"/>
      <c r="BD70" s="1675"/>
      <c r="BE70" s="1675"/>
      <c r="BF70" s="1675"/>
      <c r="BG70" s="1675"/>
      <c r="BH70" s="1675"/>
      <c r="BI70" s="1675"/>
      <c r="BJ70" s="1675"/>
      <c r="BK70" s="1675"/>
      <c r="BL70" s="1675"/>
      <c r="BM70" s="1675"/>
      <c r="BN70" s="1675"/>
      <c r="BO70" s="1675"/>
      <c r="BP70" s="1675"/>
      <c r="BQ70" s="1675"/>
      <c r="BR70" s="1675"/>
      <c r="BS70" s="1675"/>
      <c r="BT70" s="1675"/>
      <c r="BU70" s="1675"/>
      <c r="BV70" s="1675"/>
      <c r="BW70" s="1675"/>
      <c r="BX70" s="1675"/>
      <c r="BY70" s="1675"/>
      <c r="BZ70" s="1675"/>
      <c r="CA70" s="1675"/>
      <c r="CB70" s="1675"/>
      <c r="CC70" s="1675"/>
      <c r="CD70" s="1675"/>
      <c r="CE70" s="1675"/>
      <c r="CF70" s="1675"/>
      <c r="CG70" s="1675"/>
      <c r="CH70" s="1675"/>
      <c r="CI70" s="1675"/>
      <c r="CJ70" s="1675"/>
      <c r="CK70" s="1675"/>
      <c r="CL70" s="1675"/>
      <c r="CM70" s="1675"/>
      <c r="CN70" s="1675"/>
      <c r="CO70" s="1675"/>
      <c r="CP70" s="1675"/>
      <c r="CQ70" s="1675"/>
      <c r="CR70" s="1675"/>
      <c r="CS70" s="1675"/>
      <c r="CT70" s="1675"/>
      <c r="CU70" s="1675"/>
      <c r="CV70" s="1675"/>
      <c r="CW70" s="1675"/>
      <c r="CX70" s="1675"/>
      <c r="CY70" s="1675"/>
      <c r="CZ70" s="1675"/>
      <c r="DA70" s="1675"/>
      <c r="DB70" s="1675"/>
      <c r="DC70" s="1675"/>
      <c r="DD70" s="1675"/>
      <c r="DE70" s="1675"/>
      <c r="DF70" s="1675"/>
      <c r="DG70" s="1675"/>
      <c r="DH70" s="1675"/>
      <c r="DI70" s="1675"/>
      <c r="DJ70" s="1675"/>
      <c r="DK70" s="1675"/>
      <c r="DL70" s="1675"/>
      <c r="DM70" s="1675"/>
      <c r="DN70" s="1675"/>
      <c r="DO70" s="1675"/>
      <c r="DP70" s="1675"/>
      <c r="DQ70" s="1675"/>
      <c r="DR70" s="1675"/>
      <c r="DS70" s="1675"/>
      <c r="DT70" s="1675"/>
      <c r="DU70" s="1675"/>
      <c r="DV70" s="1675"/>
      <c r="DW70" s="1675"/>
      <c r="DX70" s="1675"/>
      <c r="DY70" s="1675"/>
      <c r="DZ70" s="1675"/>
      <c r="EA70" s="1675"/>
      <c r="EB70" s="1675"/>
      <c r="EC70" s="1675"/>
      <c r="ED70" s="1675"/>
      <c r="EE70" s="1675"/>
      <c r="EF70" s="1675"/>
      <c r="EG70" s="1675"/>
      <c r="EH70" s="1675"/>
      <c r="EI70" s="1675"/>
      <c r="EJ70" s="1675"/>
      <c r="EK70" s="1675"/>
      <c r="EL70" s="1675"/>
      <c r="EM70" s="1675"/>
      <c r="EN70" s="1675"/>
      <c r="EO70" s="1675"/>
      <c r="EP70" s="1675"/>
      <c r="EQ70" s="1675"/>
      <c r="ER70" s="1675"/>
      <c r="ES70" s="1675"/>
      <c r="ET70" s="1675"/>
      <c r="EU70" s="1675"/>
      <c r="EV70" s="1675"/>
      <c r="EW70" s="1675"/>
      <c r="EX70" s="1675"/>
      <c r="EY70" s="1675"/>
      <c r="EZ70" s="1675"/>
      <c r="FA70" s="1675"/>
      <c r="FB70" s="1675"/>
      <c r="FC70" s="1675"/>
      <c r="FD70" s="1675"/>
      <c r="FE70" s="1675"/>
      <c r="FF70" s="1675"/>
      <c r="FG70" s="1675"/>
      <c r="FH70" s="1675"/>
      <c r="FI70" s="1675"/>
      <c r="FJ70" s="1675"/>
      <c r="FK70" s="1675"/>
      <c r="FL70" s="1675"/>
      <c r="FM70" s="1675"/>
      <c r="FN70" s="1675"/>
      <c r="FO70" s="1675"/>
      <c r="FP70" s="1675"/>
      <c r="FQ70" s="1675"/>
      <c r="FR70" s="1675"/>
      <c r="FS70" s="1675"/>
      <c r="FT70" s="1675"/>
      <c r="FU70" s="1675"/>
      <c r="FV70" s="1675"/>
      <c r="FW70" s="1675"/>
      <c r="FX70" s="1675"/>
      <c r="FY70" s="1675"/>
      <c r="FZ70" s="1675"/>
      <c r="GA70" s="1675"/>
      <c r="GB70" s="1675"/>
      <c r="GC70" s="1675"/>
      <c r="GD70" s="1675"/>
      <c r="GE70" s="1675"/>
      <c r="GF70" s="1675"/>
      <c r="GG70" s="1675"/>
      <c r="GH70" s="1675"/>
      <c r="GI70" s="1675"/>
      <c r="GJ70" s="1675"/>
      <c r="GK70" s="1675"/>
      <c r="GL70" s="1675"/>
      <c r="GM70" s="1675"/>
      <c r="GN70" s="1675"/>
      <c r="GO70" s="1675"/>
      <c r="GP70" s="1675"/>
      <c r="GQ70" s="1675"/>
      <c r="GR70" s="1675"/>
      <c r="GS70" s="1675"/>
      <c r="GT70" s="1675"/>
      <c r="GU70" s="1675"/>
      <c r="GV70" s="1675"/>
      <c r="GW70" s="1675"/>
      <c r="GX70" s="1675"/>
      <c r="GY70" s="1675"/>
      <c r="GZ70" s="1675"/>
      <c r="HA70" s="1675"/>
      <c r="HB70" s="1675"/>
      <c r="HC70" s="1675"/>
      <c r="HD70" s="1675"/>
      <c r="HE70" s="1675"/>
      <c r="HF70" s="1675"/>
      <c r="HG70" s="1675"/>
      <c r="HH70" s="1675"/>
      <c r="HI70" s="1675"/>
      <c r="HJ70" s="1675"/>
      <c r="HK70" s="1675"/>
      <c r="HL70" s="1675"/>
      <c r="HM70" s="1675"/>
      <c r="HN70" s="1675"/>
      <c r="HO70" s="1675"/>
      <c r="HP70" s="1675"/>
      <c r="HQ70" s="1675"/>
      <c r="HR70" s="1675"/>
      <c r="HS70" s="1675"/>
      <c r="HT70" s="1675"/>
      <c r="HU70" s="1675"/>
      <c r="HV70" s="1675"/>
      <c r="HW70" s="1675"/>
      <c r="HX70" s="1675"/>
      <c r="HY70" s="1675"/>
      <c r="HZ70" s="1675"/>
      <c r="IA70" s="1675"/>
      <c r="IB70" s="1675"/>
      <c r="IC70" s="1675"/>
      <c r="ID70" s="1675"/>
      <c r="IE70" s="1675"/>
      <c r="IF70" s="1675"/>
      <c r="IG70" s="1675"/>
      <c r="IH70" s="1675"/>
      <c r="II70" s="1675"/>
      <c r="IJ70" s="1675"/>
      <c r="IK70" s="1675"/>
      <c r="IL70" s="1675"/>
      <c r="IM70" s="1675"/>
      <c r="IN70" s="1675"/>
      <c r="IO70" s="1675"/>
      <c r="IP70" s="1675"/>
      <c r="IQ70" s="1675"/>
      <c r="IR70" s="1675"/>
      <c r="IS70" s="1675"/>
      <c r="IT70" s="1675"/>
      <c r="IU70" s="1675"/>
      <c r="IV70" s="1675"/>
      <c r="IW70" s="1675"/>
      <c r="IX70" s="1675"/>
      <c r="IY70" s="1675"/>
      <c r="IZ70" s="1675"/>
      <c r="JA70" s="1675"/>
      <c r="JB70" s="1675"/>
      <c r="JC70" s="1675"/>
      <c r="JD70" s="1675"/>
      <c r="JE70" s="1675"/>
      <c r="JF70" s="1675"/>
      <c r="JG70" s="1675"/>
      <c r="JH70" s="1675"/>
      <c r="JI70" s="1675"/>
      <c r="JJ70" s="1675"/>
      <c r="JK70" s="1675"/>
      <c r="JL70" s="1675"/>
      <c r="JM70" s="1675"/>
      <c r="JN70" s="1675"/>
      <c r="JO70" s="1675"/>
      <c r="JP70" s="1675"/>
      <c r="JQ70" s="1675"/>
      <c r="JR70" s="1675"/>
      <c r="JS70" s="1675"/>
      <c r="JT70" s="1675"/>
      <c r="JU70" s="1675"/>
      <c r="JV70" s="1675"/>
      <c r="JW70" s="1675"/>
      <c r="JX70" s="1675"/>
      <c r="JY70" s="1675"/>
      <c r="JZ70" s="1675"/>
      <c r="KA70" s="1675"/>
      <c r="KB70" s="1675"/>
      <c r="KC70" s="1675"/>
      <c r="KD70" s="1675"/>
      <c r="KE70" s="1675"/>
      <c r="KF70" s="1675"/>
      <c r="KG70" s="1675"/>
      <c r="KH70" s="1675"/>
      <c r="KI70" s="1675"/>
      <c r="KJ70" s="1675"/>
      <c r="KK70" s="1675"/>
      <c r="KL70" s="1675"/>
      <c r="KM70" s="1675"/>
      <c r="KN70" s="1675"/>
      <c r="KO70" s="1675"/>
      <c r="KP70" s="1675"/>
      <c r="KQ70" s="1675"/>
      <c r="KR70" s="1675"/>
      <c r="KS70" s="1675"/>
      <c r="KT70" s="1675"/>
      <c r="KU70" s="1675"/>
      <c r="KV70" s="1675"/>
      <c r="KW70" s="1675"/>
      <c r="KX70" s="1675"/>
      <c r="KY70" s="1675"/>
      <c r="KZ70" s="1675"/>
      <c r="LA70" s="1675"/>
      <c r="LB70" s="1675"/>
      <c r="LC70" s="1675"/>
      <c r="LD70" s="1675"/>
      <c r="LE70" s="1675"/>
      <c r="LF70" s="1675"/>
      <c r="LG70" s="1675"/>
      <c r="LH70" s="1675"/>
      <c r="LI70" s="1675"/>
      <c r="LJ70" s="1675"/>
      <c r="LK70" s="1675"/>
      <c r="LL70" s="1675"/>
      <c r="LM70" s="1675"/>
      <c r="LN70" s="1675"/>
      <c r="LO70" s="1675"/>
      <c r="LP70" s="1675"/>
      <c r="LQ70" s="1675"/>
      <c r="LR70" s="1675"/>
      <c r="LS70" s="1675"/>
      <c r="LT70" s="1675"/>
      <c r="LU70" s="1675"/>
      <c r="LV70" s="1675"/>
      <c r="LW70" s="1675"/>
      <c r="LX70" s="1675"/>
      <c r="LY70" s="1675"/>
      <c r="LZ70" s="1675"/>
      <c r="MA70" s="1675"/>
      <c r="MB70" s="1675"/>
    </row>
    <row r="71" spans="1:340" ht="18.95" customHeight="1">
      <c r="A71" s="334"/>
      <c r="B71" s="2275"/>
      <c r="C71" s="1126"/>
      <c r="D71" s="1145"/>
      <c r="E71" s="465"/>
      <c r="F71" s="435"/>
      <c r="G71" s="435"/>
      <c r="H71" s="391"/>
      <c r="I71" s="473"/>
      <c r="J71" s="1670" t="s">
        <v>6075</v>
      </c>
      <c r="K71" s="1671"/>
      <c r="L71" s="1671"/>
      <c r="M71" s="1671"/>
      <c r="N71" s="1672"/>
      <c r="O71" s="1671"/>
      <c r="P71" s="1671"/>
      <c r="Q71" s="1673">
        <v>2</v>
      </c>
      <c r="R71" s="1671" t="s">
        <v>27</v>
      </c>
      <c r="S71" s="1672">
        <v>1500000</v>
      </c>
      <c r="T71" s="1671" t="s">
        <v>0</v>
      </c>
      <c r="U71" s="1671"/>
      <c r="V71" s="1887">
        <v>1</v>
      </c>
      <c r="W71" s="1671" t="s">
        <v>3</v>
      </c>
      <c r="X71" s="1671" t="s">
        <v>1</v>
      </c>
      <c r="Y71" s="1802">
        <f t="shared" si="5"/>
        <v>3000</v>
      </c>
      <c r="Z71" s="1670">
        <f t="shared" si="4"/>
        <v>3000000</v>
      </c>
      <c r="AA71" s="907">
        <f t="shared" si="1"/>
        <v>0</v>
      </c>
      <c r="AB71" s="357"/>
      <c r="AC71" s="347"/>
      <c r="AD71" s="1675"/>
      <c r="AE71" s="1675"/>
      <c r="AF71" s="1675"/>
      <c r="AG71" s="1675"/>
      <c r="AH71" s="1675"/>
      <c r="AI71" s="1675"/>
      <c r="AJ71" s="1675"/>
      <c r="AK71" s="1675"/>
      <c r="AL71" s="1675"/>
      <c r="AM71" s="1675"/>
      <c r="AN71" s="1675"/>
      <c r="AO71" s="1675"/>
      <c r="AP71" s="1675"/>
      <c r="AQ71" s="1675"/>
      <c r="AR71" s="1675"/>
      <c r="AS71" s="1675"/>
      <c r="AT71" s="1675"/>
      <c r="AU71" s="1675"/>
      <c r="AV71" s="1675"/>
      <c r="AW71" s="1675"/>
      <c r="AX71" s="1675"/>
      <c r="AY71" s="1675"/>
      <c r="AZ71" s="1675"/>
      <c r="BA71" s="1675"/>
      <c r="BB71" s="1675"/>
      <c r="BC71" s="1675"/>
      <c r="BD71" s="1675"/>
      <c r="BE71" s="1675"/>
      <c r="BF71" s="1675"/>
      <c r="BG71" s="1675"/>
      <c r="BH71" s="1675"/>
      <c r="BI71" s="1675"/>
      <c r="BJ71" s="1675"/>
      <c r="BK71" s="1675"/>
      <c r="BL71" s="1675"/>
      <c r="BM71" s="1675"/>
      <c r="BN71" s="1675"/>
      <c r="BO71" s="1675"/>
      <c r="BP71" s="1675"/>
      <c r="BQ71" s="1675"/>
      <c r="BR71" s="1675"/>
      <c r="BS71" s="1675"/>
      <c r="BT71" s="1675"/>
      <c r="BU71" s="1675"/>
      <c r="BV71" s="1675"/>
      <c r="BW71" s="1675"/>
      <c r="BX71" s="1675"/>
      <c r="BY71" s="1675"/>
      <c r="BZ71" s="1675"/>
      <c r="CA71" s="1675"/>
      <c r="CB71" s="1675"/>
      <c r="CC71" s="1675"/>
      <c r="CD71" s="1675"/>
      <c r="CE71" s="1675"/>
      <c r="CF71" s="1675"/>
      <c r="CG71" s="1675"/>
      <c r="CH71" s="1675"/>
      <c r="CI71" s="1675"/>
      <c r="CJ71" s="1675"/>
      <c r="CK71" s="1675"/>
      <c r="CL71" s="1675"/>
      <c r="CM71" s="1675"/>
      <c r="CN71" s="1675"/>
      <c r="CO71" s="1675"/>
      <c r="CP71" s="1675"/>
      <c r="CQ71" s="1675"/>
      <c r="CR71" s="1675"/>
      <c r="CS71" s="1675"/>
      <c r="CT71" s="1675"/>
      <c r="CU71" s="1675"/>
      <c r="CV71" s="1675"/>
      <c r="CW71" s="1675"/>
      <c r="CX71" s="1675"/>
      <c r="CY71" s="1675"/>
      <c r="CZ71" s="1675"/>
      <c r="DA71" s="1675"/>
      <c r="DB71" s="1675"/>
      <c r="DC71" s="1675"/>
      <c r="DD71" s="1675"/>
      <c r="DE71" s="1675"/>
      <c r="DF71" s="1675"/>
      <c r="DG71" s="1675"/>
      <c r="DH71" s="1675"/>
      <c r="DI71" s="1675"/>
      <c r="DJ71" s="1675"/>
      <c r="DK71" s="1675"/>
      <c r="DL71" s="1675"/>
      <c r="DM71" s="1675"/>
      <c r="DN71" s="1675"/>
      <c r="DO71" s="1675"/>
      <c r="DP71" s="1675"/>
      <c r="DQ71" s="1675"/>
      <c r="DR71" s="1675"/>
      <c r="DS71" s="1675"/>
      <c r="DT71" s="1675"/>
      <c r="DU71" s="1675"/>
      <c r="DV71" s="1675"/>
      <c r="DW71" s="1675"/>
      <c r="DX71" s="1675"/>
      <c r="DY71" s="1675"/>
      <c r="DZ71" s="1675"/>
      <c r="EA71" s="1675"/>
      <c r="EB71" s="1675"/>
      <c r="EC71" s="1675"/>
      <c r="ED71" s="1675"/>
      <c r="EE71" s="1675"/>
      <c r="EF71" s="1675"/>
      <c r="EG71" s="1675"/>
      <c r="EH71" s="1675"/>
      <c r="EI71" s="1675"/>
      <c r="EJ71" s="1675"/>
      <c r="EK71" s="1675"/>
      <c r="EL71" s="1675"/>
      <c r="EM71" s="1675"/>
      <c r="EN71" s="1675"/>
      <c r="EO71" s="1675"/>
      <c r="EP71" s="1675"/>
      <c r="EQ71" s="1675"/>
      <c r="ER71" s="1675"/>
      <c r="ES71" s="1675"/>
      <c r="ET71" s="1675"/>
      <c r="EU71" s="1675"/>
      <c r="EV71" s="1675"/>
      <c r="EW71" s="1675"/>
      <c r="EX71" s="1675"/>
      <c r="EY71" s="1675"/>
      <c r="EZ71" s="1675"/>
      <c r="FA71" s="1675"/>
      <c r="FB71" s="1675"/>
      <c r="FC71" s="1675"/>
      <c r="FD71" s="1675"/>
      <c r="FE71" s="1675"/>
      <c r="FF71" s="1675"/>
      <c r="FG71" s="1675"/>
      <c r="FH71" s="1675"/>
      <c r="FI71" s="1675"/>
      <c r="FJ71" s="1675"/>
      <c r="FK71" s="1675"/>
      <c r="FL71" s="1675"/>
      <c r="FM71" s="1675"/>
      <c r="FN71" s="1675"/>
      <c r="FO71" s="1675"/>
      <c r="FP71" s="1675"/>
      <c r="FQ71" s="1675"/>
      <c r="FR71" s="1675"/>
      <c r="FS71" s="1675"/>
      <c r="FT71" s="1675"/>
      <c r="FU71" s="1675"/>
      <c r="FV71" s="1675"/>
      <c r="FW71" s="1675"/>
      <c r="FX71" s="1675"/>
      <c r="FY71" s="1675"/>
      <c r="FZ71" s="1675"/>
      <c r="GA71" s="1675"/>
      <c r="GB71" s="1675"/>
      <c r="GC71" s="1675"/>
      <c r="GD71" s="1675"/>
      <c r="GE71" s="1675"/>
      <c r="GF71" s="1675"/>
      <c r="GG71" s="1675"/>
      <c r="GH71" s="1675"/>
      <c r="GI71" s="1675"/>
      <c r="GJ71" s="1675"/>
      <c r="GK71" s="1675"/>
      <c r="GL71" s="1675"/>
      <c r="GM71" s="1675"/>
      <c r="GN71" s="1675"/>
      <c r="GO71" s="1675"/>
      <c r="GP71" s="1675"/>
      <c r="GQ71" s="1675"/>
      <c r="GR71" s="1675"/>
      <c r="GS71" s="1675"/>
      <c r="GT71" s="1675"/>
      <c r="GU71" s="1675"/>
      <c r="GV71" s="1675"/>
      <c r="GW71" s="1675"/>
      <c r="GX71" s="1675"/>
      <c r="GY71" s="1675"/>
      <c r="GZ71" s="1675"/>
      <c r="HA71" s="1675"/>
      <c r="HB71" s="1675"/>
      <c r="HC71" s="1675"/>
      <c r="HD71" s="1675"/>
      <c r="HE71" s="1675"/>
      <c r="HF71" s="1675"/>
      <c r="HG71" s="1675"/>
      <c r="HH71" s="1675"/>
      <c r="HI71" s="1675"/>
      <c r="HJ71" s="1675"/>
      <c r="HK71" s="1675"/>
      <c r="HL71" s="1675"/>
      <c r="HM71" s="1675"/>
      <c r="HN71" s="1675"/>
      <c r="HO71" s="1675"/>
      <c r="HP71" s="1675"/>
      <c r="HQ71" s="1675"/>
      <c r="HR71" s="1675"/>
      <c r="HS71" s="1675"/>
      <c r="HT71" s="1675"/>
      <c r="HU71" s="1675"/>
      <c r="HV71" s="1675"/>
      <c r="HW71" s="1675"/>
      <c r="HX71" s="1675"/>
      <c r="HY71" s="1675"/>
      <c r="HZ71" s="1675"/>
      <c r="IA71" s="1675"/>
      <c r="IB71" s="1675"/>
      <c r="IC71" s="1675"/>
      <c r="ID71" s="1675"/>
      <c r="IE71" s="1675"/>
      <c r="IF71" s="1675"/>
      <c r="IG71" s="1675"/>
      <c r="IH71" s="1675"/>
      <c r="II71" s="1675"/>
      <c r="IJ71" s="1675"/>
      <c r="IK71" s="1675"/>
      <c r="IL71" s="1675"/>
      <c r="IM71" s="1675"/>
      <c r="IN71" s="1675"/>
      <c r="IO71" s="1675"/>
      <c r="IP71" s="1675"/>
      <c r="IQ71" s="1675"/>
      <c r="IR71" s="1675"/>
      <c r="IS71" s="1675"/>
      <c r="IT71" s="1675"/>
      <c r="IU71" s="1675"/>
      <c r="IV71" s="1675"/>
      <c r="IW71" s="1675"/>
      <c r="IX71" s="1675"/>
      <c r="IY71" s="1675"/>
      <c r="IZ71" s="1675"/>
      <c r="JA71" s="1675"/>
      <c r="JB71" s="1675"/>
      <c r="JC71" s="1675"/>
      <c r="JD71" s="1675"/>
      <c r="JE71" s="1675"/>
      <c r="JF71" s="1675"/>
      <c r="JG71" s="1675"/>
      <c r="JH71" s="1675"/>
      <c r="JI71" s="1675"/>
      <c r="JJ71" s="1675"/>
      <c r="JK71" s="1675"/>
      <c r="JL71" s="1675"/>
      <c r="JM71" s="1675"/>
      <c r="JN71" s="1675"/>
      <c r="JO71" s="1675"/>
      <c r="JP71" s="1675"/>
      <c r="JQ71" s="1675"/>
      <c r="JR71" s="1675"/>
      <c r="JS71" s="1675"/>
      <c r="JT71" s="1675"/>
      <c r="JU71" s="1675"/>
      <c r="JV71" s="1675"/>
      <c r="JW71" s="1675"/>
      <c r="JX71" s="1675"/>
      <c r="JY71" s="1675"/>
      <c r="JZ71" s="1675"/>
      <c r="KA71" s="1675"/>
      <c r="KB71" s="1675"/>
      <c r="KC71" s="1675"/>
      <c r="KD71" s="1675"/>
      <c r="KE71" s="1675"/>
      <c r="KF71" s="1675"/>
      <c r="KG71" s="1675"/>
      <c r="KH71" s="1675"/>
      <c r="KI71" s="1675"/>
      <c r="KJ71" s="1675"/>
      <c r="KK71" s="1675"/>
      <c r="KL71" s="1675"/>
      <c r="KM71" s="1675"/>
      <c r="KN71" s="1675"/>
      <c r="KO71" s="1675"/>
      <c r="KP71" s="1675"/>
      <c r="KQ71" s="1675"/>
      <c r="KR71" s="1675"/>
      <c r="KS71" s="1675"/>
      <c r="KT71" s="1675"/>
      <c r="KU71" s="1675"/>
      <c r="KV71" s="1675"/>
      <c r="KW71" s="1675"/>
      <c r="KX71" s="1675"/>
      <c r="KY71" s="1675"/>
      <c r="KZ71" s="1675"/>
      <c r="LA71" s="1675"/>
      <c r="LB71" s="1675"/>
      <c r="LC71" s="1675"/>
      <c r="LD71" s="1675"/>
      <c r="LE71" s="1675"/>
      <c r="LF71" s="1675"/>
      <c r="LG71" s="1675"/>
      <c r="LH71" s="1675"/>
      <c r="LI71" s="1675"/>
      <c r="LJ71" s="1675"/>
      <c r="LK71" s="1675"/>
      <c r="LL71" s="1675"/>
      <c r="LM71" s="1675"/>
      <c r="LN71" s="1675"/>
      <c r="LO71" s="1675"/>
      <c r="LP71" s="1675"/>
      <c r="LQ71" s="1675"/>
      <c r="LR71" s="1675"/>
      <c r="LS71" s="1675"/>
      <c r="LT71" s="1675"/>
      <c r="LU71" s="1675"/>
      <c r="LV71" s="1675"/>
      <c r="LW71" s="1675"/>
      <c r="LX71" s="1675"/>
      <c r="LY71" s="1675"/>
      <c r="LZ71" s="1675"/>
      <c r="MA71" s="1675"/>
      <c r="MB71" s="1675"/>
    </row>
    <row r="72" spans="1:340" ht="18.95" customHeight="1">
      <c r="A72" s="334"/>
      <c r="B72" s="2275"/>
      <c r="C72" s="1126"/>
      <c r="D72" s="1145"/>
      <c r="E72" s="465"/>
      <c r="F72" s="435"/>
      <c r="G72" s="435"/>
      <c r="H72" s="391"/>
      <c r="I72" s="473"/>
      <c r="J72" s="1670" t="s">
        <v>752</v>
      </c>
      <c r="K72" s="1671"/>
      <c r="L72" s="1671"/>
      <c r="M72" s="1671"/>
      <c r="N72" s="1672"/>
      <c r="O72" s="1671"/>
      <c r="P72" s="1671"/>
      <c r="Q72" s="1673"/>
      <c r="R72" s="1671"/>
      <c r="S72" s="1672"/>
      <c r="T72" s="1671"/>
      <c r="U72" s="1671"/>
      <c r="V72" s="1887"/>
      <c r="W72" s="1671"/>
      <c r="X72" s="1671"/>
      <c r="Y72" s="1802"/>
      <c r="Z72" s="1670">
        <f t="shared" si="4"/>
        <v>0</v>
      </c>
      <c r="AA72" s="907">
        <f t="shared" si="1"/>
        <v>0</v>
      </c>
      <c r="AB72" s="357"/>
      <c r="AC72" s="347"/>
      <c r="AD72" s="1675"/>
      <c r="AE72" s="1675"/>
      <c r="AF72" s="1675"/>
      <c r="AG72" s="1675"/>
      <c r="AH72" s="1675"/>
      <c r="AI72" s="1675"/>
      <c r="AJ72" s="1675"/>
      <c r="AK72" s="1675"/>
      <c r="AL72" s="1675"/>
      <c r="AM72" s="1675"/>
      <c r="AN72" s="1675"/>
      <c r="AO72" s="1675"/>
      <c r="AP72" s="1675"/>
      <c r="AQ72" s="1675"/>
      <c r="AR72" s="1675"/>
      <c r="AS72" s="1675"/>
      <c r="AT72" s="1675"/>
      <c r="AU72" s="1675"/>
      <c r="AV72" s="1675"/>
      <c r="AW72" s="1675"/>
      <c r="AX72" s="1675"/>
      <c r="AY72" s="1675"/>
      <c r="AZ72" s="1675"/>
      <c r="BA72" s="1675"/>
      <c r="BB72" s="1675"/>
      <c r="BC72" s="1675"/>
      <c r="BD72" s="1675"/>
      <c r="BE72" s="1675"/>
      <c r="BF72" s="1675"/>
      <c r="BG72" s="1675"/>
      <c r="BH72" s="1675"/>
      <c r="BI72" s="1675"/>
      <c r="BJ72" s="1675"/>
      <c r="BK72" s="1675"/>
      <c r="BL72" s="1675"/>
      <c r="BM72" s="1675"/>
      <c r="BN72" s="1675"/>
      <c r="BO72" s="1675"/>
      <c r="BP72" s="1675"/>
      <c r="BQ72" s="1675"/>
      <c r="BR72" s="1675"/>
      <c r="BS72" s="1675"/>
      <c r="BT72" s="1675"/>
      <c r="BU72" s="1675"/>
      <c r="BV72" s="1675"/>
      <c r="BW72" s="1675"/>
      <c r="BX72" s="1675"/>
      <c r="BY72" s="1675"/>
      <c r="BZ72" s="1675"/>
      <c r="CA72" s="1675"/>
      <c r="CB72" s="1675"/>
      <c r="CC72" s="1675"/>
      <c r="CD72" s="1675"/>
      <c r="CE72" s="1675"/>
      <c r="CF72" s="1675"/>
      <c r="CG72" s="1675"/>
      <c r="CH72" s="1675"/>
      <c r="CI72" s="1675"/>
      <c r="CJ72" s="1675"/>
      <c r="CK72" s="1675"/>
      <c r="CL72" s="1675"/>
      <c r="CM72" s="1675"/>
      <c r="CN72" s="1675"/>
      <c r="CO72" s="1675"/>
      <c r="CP72" s="1675"/>
      <c r="CQ72" s="1675"/>
      <c r="CR72" s="1675"/>
      <c r="CS72" s="1675"/>
      <c r="CT72" s="1675"/>
      <c r="CU72" s="1675"/>
      <c r="CV72" s="1675"/>
      <c r="CW72" s="1675"/>
      <c r="CX72" s="1675"/>
      <c r="CY72" s="1675"/>
      <c r="CZ72" s="1675"/>
      <c r="DA72" s="1675"/>
      <c r="DB72" s="1675"/>
      <c r="DC72" s="1675"/>
      <c r="DD72" s="1675"/>
      <c r="DE72" s="1675"/>
      <c r="DF72" s="1675"/>
      <c r="DG72" s="1675"/>
      <c r="DH72" s="1675"/>
      <c r="DI72" s="1675"/>
      <c r="DJ72" s="1675"/>
      <c r="DK72" s="1675"/>
      <c r="DL72" s="1675"/>
      <c r="DM72" s="1675"/>
      <c r="DN72" s="1675"/>
      <c r="DO72" s="1675"/>
      <c r="DP72" s="1675"/>
      <c r="DQ72" s="1675"/>
      <c r="DR72" s="1675"/>
      <c r="DS72" s="1675"/>
      <c r="DT72" s="1675"/>
      <c r="DU72" s="1675"/>
      <c r="DV72" s="1675"/>
      <c r="DW72" s="1675"/>
      <c r="DX72" s="1675"/>
      <c r="DY72" s="1675"/>
      <c r="DZ72" s="1675"/>
      <c r="EA72" s="1675"/>
      <c r="EB72" s="1675"/>
      <c r="EC72" s="1675"/>
      <c r="ED72" s="1675"/>
      <c r="EE72" s="1675"/>
      <c r="EF72" s="1675"/>
      <c r="EG72" s="1675"/>
      <c r="EH72" s="1675"/>
      <c r="EI72" s="1675"/>
      <c r="EJ72" s="1675"/>
      <c r="EK72" s="1675"/>
      <c r="EL72" s="1675"/>
      <c r="EM72" s="1675"/>
      <c r="EN72" s="1675"/>
      <c r="EO72" s="1675"/>
      <c r="EP72" s="1675"/>
      <c r="EQ72" s="1675"/>
      <c r="ER72" s="1675"/>
      <c r="ES72" s="1675"/>
      <c r="ET72" s="1675"/>
      <c r="EU72" s="1675"/>
      <c r="EV72" s="1675"/>
      <c r="EW72" s="1675"/>
      <c r="EX72" s="1675"/>
      <c r="EY72" s="1675"/>
      <c r="EZ72" s="1675"/>
      <c r="FA72" s="1675"/>
      <c r="FB72" s="1675"/>
      <c r="FC72" s="1675"/>
      <c r="FD72" s="1675"/>
      <c r="FE72" s="1675"/>
      <c r="FF72" s="1675"/>
      <c r="FG72" s="1675"/>
      <c r="FH72" s="1675"/>
      <c r="FI72" s="1675"/>
      <c r="FJ72" s="1675"/>
      <c r="FK72" s="1675"/>
      <c r="FL72" s="1675"/>
      <c r="FM72" s="1675"/>
      <c r="FN72" s="1675"/>
      <c r="FO72" s="1675"/>
      <c r="FP72" s="1675"/>
      <c r="FQ72" s="1675"/>
      <c r="FR72" s="1675"/>
      <c r="FS72" s="1675"/>
      <c r="FT72" s="1675"/>
      <c r="FU72" s="1675"/>
      <c r="FV72" s="1675"/>
      <c r="FW72" s="1675"/>
      <c r="FX72" s="1675"/>
      <c r="FY72" s="1675"/>
      <c r="FZ72" s="1675"/>
      <c r="GA72" s="1675"/>
      <c r="GB72" s="1675"/>
      <c r="GC72" s="1675"/>
      <c r="GD72" s="1675"/>
      <c r="GE72" s="1675"/>
      <c r="GF72" s="1675"/>
      <c r="GG72" s="1675"/>
      <c r="GH72" s="1675"/>
      <c r="GI72" s="1675"/>
      <c r="GJ72" s="1675"/>
      <c r="GK72" s="1675"/>
      <c r="GL72" s="1675"/>
      <c r="GM72" s="1675"/>
      <c r="GN72" s="1675"/>
      <c r="GO72" s="1675"/>
      <c r="GP72" s="1675"/>
      <c r="GQ72" s="1675"/>
      <c r="GR72" s="1675"/>
      <c r="GS72" s="1675"/>
      <c r="GT72" s="1675"/>
      <c r="GU72" s="1675"/>
      <c r="GV72" s="1675"/>
      <c r="GW72" s="1675"/>
      <c r="GX72" s="1675"/>
      <c r="GY72" s="1675"/>
      <c r="GZ72" s="1675"/>
      <c r="HA72" s="1675"/>
      <c r="HB72" s="1675"/>
      <c r="HC72" s="1675"/>
      <c r="HD72" s="1675"/>
      <c r="HE72" s="1675"/>
      <c r="HF72" s="1675"/>
      <c r="HG72" s="1675"/>
      <c r="HH72" s="1675"/>
      <c r="HI72" s="1675"/>
      <c r="HJ72" s="1675"/>
      <c r="HK72" s="1675"/>
      <c r="HL72" s="1675"/>
      <c r="HM72" s="1675"/>
      <c r="HN72" s="1675"/>
      <c r="HO72" s="1675"/>
      <c r="HP72" s="1675"/>
      <c r="HQ72" s="1675"/>
      <c r="HR72" s="1675"/>
      <c r="HS72" s="1675"/>
      <c r="HT72" s="1675"/>
      <c r="HU72" s="1675"/>
      <c r="HV72" s="1675"/>
      <c r="HW72" s="1675"/>
      <c r="HX72" s="1675"/>
      <c r="HY72" s="1675"/>
      <c r="HZ72" s="1675"/>
      <c r="IA72" s="1675"/>
      <c r="IB72" s="1675"/>
      <c r="IC72" s="1675"/>
      <c r="ID72" s="1675"/>
      <c r="IE72" s="1675"/>
      <c r="IF72" s="1675"/>
      <c r="IG72" s="1675"/>
      <c r="IH72" s="1675"/>
      <c r="II72" s="1675"/>
      <c r="IJ72" s="1675"/>
      <c r="IK72" s="1675"/>
      <c r="IL72" s="1675"/>
      <c r="IM72" s="1675"/>
      <c r="IN72" s="1675"/>
      <c r="IO72" s="1675"/>
      <c r="IP72" s="1675"/>
      <c r="IQ72" s="1675"/>
      <c r="IR72" s="1675"/>
      <c r="IS72" s="1675"/>
      <c r="IT72" s="1675"/>
      <c r="IU72" s="1675"/>
      <c r="IV72" s="1675"/>
      <c r="IW72" s="1675"/>
      <c r="IX72" s="1675"/>
      <c r="IY72" s="1675"/>
      <c r="IZ72" s="1675"/>
      <c r="JA72" s="1675"/>
      <c r="JB72" s="1675"/>
      <c r="JC72" s="1675"/>
      <c r="JD72" s="1675"/>
      <c r="JE72" s="1675"/>
      <c r="JF72" s="1675"/>
      <c r="JG72" s="1675"/>
      <c r="JH72" s="1675"/>
      <c r="JI72" s="1675"/>
      <c r="JJ72" s="1675"/>
      <c r="JK72" s="1675"/>
      <c r="JL72" s="1675"/>
      <c r="JM72" s="1675"/>
      <c r="JN72" s="1675"/>
      <c r="JO72" s="1675"/>
      <c r="JP72" s="1675"/>
      <c r="JQ72" s="1675"/>
      <c r="JR72" s="1675"/>
      <c r="JS72" s="1675"/>
      <c r="JT72" s="1675"/>
      <c r="JU72" s="1675"/>
      <c r="JV72" s="1675"/>
      <c r="JW72" s="1675"/>
      <c r="JX72" s="1675"/>
      <c r="JY72" s="1675"/>
      <c r="JZ72" s="1675"/>
      <c r="KA72" s="1675"/>
      <c r="KB72" s="1675"/>
      <c r="KC72" s="1675"/>
      <c r="KD72" s="1675"/>
      <c r="KE72" s="1675"/>
      <c r="KF72" s="1675"/>
      <c r="KG72" s="1675"/>
      <c r="KH72" s="1675"/>
      <c r="KI72" s="1675"/>
      <c r="KJ72" s="1675"/>
      <c r="KK72" s="1675"/>
      <c r="KL72" s="1675"/>
      <c r="KM72" s="1675"/>
      <c r="KN72" s="1675"/>
      <c r="KO72" s="1675"/>
      <c r="KP72" s="1675"/>
      <c r="KQ72" s="1675"/>
      <c r="KR72" s="1675"/>
      <c r="KS72" s="1675"/>
      <c r="KT72" s="1675"/>
      <c r="KU72" s="1675"/>
      <c r="KV72" s="1675"/>
      <c r="KW72" s="1675"/>
      <c r="KX72" s="1675"/>
      <c r="KY72" s="1675"/>
      <c r="KZ72" s="1675"/>
      <c r="LA72" s="1675"/>
      <c r="LB72" s="1675"/>
      <c r="LC72" s="1675"/>
      <c r="LD72" s="1675"/>
      <c r="LE72" s="1675"/>
      <c r="LF72" s="1675"/>
      <c r="LG72" s="1675"/>
      <c r="LH72" s="1675"/>
      <c r="LI72" s="1675"/>
      <c r="LJ72" s="1675"/>
      <c r="LK72" s="1675"/>
      <c r="LL72" s="1675"/>
      <c r="LM72" s="1675"/>
      <c r="LN72" s="1675"/>
      <c r="LO72" s="1675"/>
      <c r="LP72" s="1675"/>
      <c r="LQ72" s="1675"/>
      <c r="LR72" s="1675"/>
      <c r="LS72" s="1675"/>
      <c r="LT72" s="1675"/>
      <c r="LU72" s="1675"/>
      <c r="LV72" s="1675"/>
      <c r="LW72" s="1675"/>
      <c r="LX72" s="1675"/>
      <c r="LY72" s="1675"/>
      <c r="LZ72" s="1675"/>
      <c r="MA72" s="1675"/>
      <c r="MB72" s="1675"/>
    </row>
    <row r="73" spans="1:340" ht="18.95" customHeight="1">
      <c r="A73" s="334"/>
      <c r="B73" s="2275"/>
      <c r="C73" s="1126"/>
      <c r="D73" s="1145"/>
      <c r="E73" s="465"/>
      <c r="F73" s="435"/>
      <c r="G73" s="435"/>
      <c r="H73" s="391"/>
      <c r="I73" s="473"/>
      <c r="J73" s="1670" t="s">
        <v>6076</v>
      </c>
      <c r="K73" s="1671"/>
      <c r="L73" s="1671"/>
      <c r="M73" s="1671"/>
      <c r="N73" s="1672"/>
      <c r="O73" s="1671"/>
      <c r="P73" s="1671"/>
      <c r="Q73" s="1673">
        <v>1</v>
      </c>
      <c r="R73" s="1671" t="s">
        <v>1800</v>
      </c>
      <c r="S73" s="1672">
        <v>1000000</v>
      </c>
      <c r="T73" s="1671" t="s">
        <v>0</v>
      </c>
      <c r="U73" s="1671"/>
      <c r="V73" s="1887">
        <v>1</v>
      </c>
      <c r="W73" s="1671" t="s">
        <v>1806</v>
      </c>
      <c r="X73" s="806" t="s">
        <v>1</v>
      </c>
      <c r="Y73" s="1802">
        <f>S73*V73/1000</f>
        <v>1000</v>
      </c>
      <c r="Z73" s="1670">
        <f t="shared" si="4"/>
        <v>1000000</v>
      </c>
      <c r="AA73" s="907">
        <f t="shared" ref="AA73:AA140" si="6">F73*1000000</f>
        <v>0</v>
      </c>
      <c r="AB73" s="357"/>
      <c r="AC73" s="347"/>
      <c r="AD73" s="1675"/>
      <c r="AE73" s="1675"/>
      <c r="AF73" s="1675"/>
      <c r="AG73" s="1675"/>
      <c r="AH73" s="1675"/>
      <c r="AI73" s="1675"/>
      <c r="AJ73" s="1675"/>
      <c r="AK73" s="1675"/>
      <c r="AL73" s="1675"/>
      <c r="AM73" s="1675"/>
      <c r="AN73" s="1675"/>
      <c r="AO73" s="1675"/>
      <c r="AP73" s="1675"/>
      <c r="AQ73" s="1675"/>
      <c r="AR73" s="1675"/>
      <c r="AS73" s="1675"/>
      <c r="AT73" s="1675"/>
      <c r="AU73" s="1675"/>
      <c r="AV73" s="1675"/>
      <c r="AW73" s="1675"/>
      <c r="AX73" s="1675"/>
      <c r="AY73" s="1675"/>
      <c r="AZ73" s="1675"/>
      <c r="BA73" s="1675"/>
      <c r="BB73" s="1675"/>
      <c r="BC73" s="1675"/>
      <c r="BD73" s="1675"/>
      <c r="BE73" s="1675"/>
      <c r="BF73" s="1675"/>
      <c r="BG73" s="1675"/>
      <c r="BH73" s="1675"/>
      <c r="BI73" s="1675"/>
      <c r="BJ73" s="1675"/>
      <c r="BK73" s="1675"/>
      <c r="BL73" s="1675"/>
      <c r="BM73" s="1675"/>
      <c r="BN73" s="1675"/>
      <c r="BO73" s="1675"/>
      <c r="BP73" s="1675"/>
      <c r="BQ73" s="1675"/>
      <c r="BR73" s="1675"/>
      <c r="BS73" s="1675"/>
      <c r="BT73" s="1675"/>
      <c r="BU73" s="1675"/>
      <c r="BV73" s="1675"/>
      <c r="BW73" s="1675"/>
      <c r="BX73" s="1675"/>
      <c r="BY73" s="1675"/>
      <c r="BZ73" s="1675"/>
      <c r="CA73" s="1675"/>
      <c r="CB73" s="1675"/>
      <c r="CC73" s="1675"/>
      <c r="CD73" s="1675"/>
      <c r="CE73" s="1675"/>
      <c r="CF73" s="1675"/>
      <c r="CG73" s="1675"/>
      <c r="CH73" s="1675"/>
      <c r="CI73" s="1675"/>
      <c r="CJ73" s="1675"/>
      <c r="CK73" s="1675"/>
      <c r="CL73" s="1675"/>
      <c r="CM73" s="1675"/>
      <c r="CN73" s="1675"/>
      <c r="CO73" s="1675"/>
      <c r="CP73" s="1675"/>
      <c r="CQ73" s="1675"/>
      <c r="CR73" s="1675"/>
      <c r="CS73" s="1675"/>
      <c r="CT73" s="1675"/>
      <c r="CU73" s="1675"/>
      <c r="CV73" s="1675"/>
      <c r="CW73" s="1675"/>
      <c r="CX73" s="1675"/>
      <c r="CY73" s="1675"/>
      <c r="CZ73" s="1675"/>
      <c r="DA73" s="1675"/>
      <c r="DB73" s="1675"/>
      <c r="DC73" s="1675"/>
      <c r="DD73" s="1675"/>
      <c r="DE73" s="1675"/>
      <c r="DF73" s="1675"/>
      <c r="DG73" s="1675"/>
      <c r="DH73" s="1675"/>
      <c r="DI73" s="1675"/>
      <c r="DJ73" s="1675"/>
      <c r="DK73" s="1675"/>
      <c r="DL73" s="1675"/>
      <c r="DM73" s="1675"/>
      <c r="DN73" s="1675"/>
      <c r="DO73" s="1675"/>
      <c r="DP73" s="1675"/>
      <c r="DQ73" s="1675"/>
      <c r="DR73" s="1675"/>
      <c r="DS73" s="1675"/>
      <c r="DT73" s="1675"/>
      <c r="DU73" s="1675"/>
      <c r="DV73" s="1675"/>
      <c r="DW73" s="1675"/>
      <c r="DX73" s="1675"/>
      <c r="DY73" s="1675"/>
      <c r="DZ73" s="1675"/>
      <c r="EA73" s="1675"/>
      <c r="EB73" s="1675"/>
      <c r="EC73" s="1675"/>
      <c r="ED73" s="1675"/>
      <c r="EE73" s="1675"/>
      <c r="EF73" s="1675"/>
      <c r="EG73" s="1675"/>
      <c r="EH73" s="1675"/>
      <c r="EI73" s="1675"/>
      <c r="EJ73" s="1675"/>
      <c r="EK73" s="1675"/>
      <c r="EL73" s="1675"/>
      <c r="EM73" s="1675"/>
      <c r="EN73" s="1675"/>
      <c r="EO73" s="1675"/>
      <c r="EP73" s="1675"/>
      <c r="EQ73" s="1675"/>
      <c r="ER73" s="1675"/>
      <c r="ES73" s="1675"/>
      <c r="ET73" s="1675"/>
      <c r="EU73" s="1675"/>
      <c r="EV73" s="1675"/>
      <c r="EW73" s="1675"/>
      <c r="EX73" s="1675"/>
      <c r="EY73" s="1675"/>
      <c r="EZ73" s="1675"/>
      <c r="FA73" s="1675"/>
      <c r="FB73" s="1675"/>
      <c r="FC73" s="1675"/>
      <c r="FD73" s="1675"/>
      <c r="FE73" s="1675"/>
      <c r="FF73" s="1675"/>
      <c r="FG73" s="1675"/>
      <c r="FH73" s="1675"/>
      <c r="FI73" s="1675"/>
      <c r="FJ73" s="1675"/>
      <c r="FK73" s="1675"/>
      <c r="FL73" s="1675"/>
      <c r="FM73" s="1675"/>
      <c r="FN73" s="1675"/>
      <c r="FO73" s="1675"/>
      <c r="FP73" s="1675"/>
      <c r="FQ73" s="1675"/>
      <c r="FR73" s="1675"/>
      <c r="FS73" s="1675"/>
      <c r="FT73" s="1675"/>
      <c r="FU73" s="1675"/>
      <c r="FV73" s="1675"/>
      <c r="FW73" s="1675"/>
      <c r="FX73" s="1675"/>
      <c r="FY73" s="1675"/>
      <c r="FZ73" s="1675"/>
      <c r="GA73" s="1675"/>
      <c r="GB73" s="1675"/>
      <c r="GC73" s="1675"/>
      <c r="GD73" s="1675"/>
      <c r="GE73" s="1675"/>
      <c r="GF73" s="1675"/>
      <c r="GG73" s="1675"/>
      <c r="GH73" s="1675"/>
      <c r="GI73" s="1675"/>
      <c r="GJ73" s="1675"/>
      <c r="GK73" s="1675"/>
      <c r="GL73" s="1675"/>
      <c r="GM73" s="1675"/>
      <c r="GN73" s="1675"/>
      <c r="GO73" s="1675"/>
      <c r="GP73" s="1675"/>
      <c r="GQ73" s="1675"/>
      <c r="GR73" s="1675"/>
      <c r="GS73" s="1675"/>
      <c r="GT73" s="1675"/>
      <c r="GU73" s="1675"/>
      <c r="GV73" s="1675"/>
      <c r="GW73" s="1675"/>
      <c r="GX73" s="1675"/>
      <c r="GY73" s="1675"/>
      <c r="GZ73" s="1675"/>
      <c r="HA73" s="1675"/>
      <c r="HB73" s="1675"/>
      <c r="HC73" s="1675"/>
      <c r="HD73" s="1675"/>
      <c r="HE73" s="1675"/>
      <c r="HF73" s="1675"/>
      <c r="HG73" s="1675"/>
      <c r="HH73" s="1675"/>
      <c r="HI73" s="1675"/>
      <c r="HJ73" s="1675"/>
      <c r="HK73" s="1675"/>
      <c r="HL73" s="1675"/>
      <c r="HM73" s="1675"/>
      <c r="HN73" s="1675"/>
      <c r="HO73" s="1675"/>
      <c r="HP73" s="1675"/>
      <c r="HQ73" s="1675"/>
      <c r="HR73" s="1675"/>
      <c r="HS73" s="1675"/>
      <c r="HT73" s="1675"/>
      <c r="HU73" s="1675"/>
      <c r="HV73" s="1675"/>
      <c r="HW73" s="1675"/>
      <c r="HX73" s="1675"/>
      <c r="HY73" s="1675"/>
      <c r="HZ73" s="1675"/>
      <c r="IA73" s="1675"/>
      <c r="IB73" s="1675"/>
      <c r="IC73" s="1675"/>
      <c r="ID73" s="1675"/>
      <c r="IE73" s="1675"/>
      <c r="IF73" s="1675"/>
      <c r="IG73" s="1675"/>
      <c r="IH73" s="1675"/>
      <c r="II73" s="1675"/>
      <c r="IJ73" s="1675"/>
      <c r="IK73" s="1675"/>
      <c r="IL73" s="1675"/>
      <c r="IM73" s="1675"/>
      <c r="IN73" s="1675"/>
      <c r="IO73" s="1675"/>
      <c r="IP73" s="1675"/>
      <c r="IQ73" s="1675"/>
      <c r="IR73" s="1675"/>
      <c r="IS73" s="1675"/>
      <c r="IT73" s="1675"/>
      <c r="IU73" s="1675"/>
      <c r="IV73" s="1675"/>
      <c r="IW73" s="1675"/>
      <c r="IX73" s="1675"/>
      <c r="IY73" s="1675"/>
      <c r="IZ73" s="1675"/>
      <c r="JA73" s="1675"/>
      <c r="JB73" s="1675"/>
      <c r="JC73" s="1675"/>
      <c r="JD73" s="1675"/>
      <c r="JE73" s="1675"/>
      <c r="JF73" s="1675"/>
      <c r="JG73" s="1675"/>
      <c r="JH73" s="1675"/>
      <c r="JI73" s="1675"/>
      <c r="JJ73" s="1675"/>
      <c r="JK73" s="1675"/>
      <c r="JL73" s="1675"/>
      <c r="JM73" s="1675"/>
      <c r="JN73" s="1675"/>
      <c r="JO73" s="1675"/>
      <c r="JP73" s="1675"/>
      <c r="JQ73" s="1675"/>
      <c r="JR73" s="1675"/>
      <c r="JS73" s="1675"/>
      <c r="JT73" s="1675"/>
      <c r="JU73" s="1675"/>
      <c r="JV73" s="1675"/>
      <c r="JW73" s="1675"/>
      <c r="JX73" s="1675"/>
      <c r="JY73" s="1675"/>
      <c r="JZ73" s="1675"/>
      <c r="KA73" s="1675"/>
      <c r="KB73" s="1675"/>
      <c r="KC73" s="1675"/>
      <c r="KD73" s="1675"/>
      <c r="KE73" s="1675"/>
      <c r="KF73" s="1675"/>
      <c r="KG73" s="1675"/>
      <c r="KH73" s="1675"/>
      <c r="KI73" s="1675"/>
      <c r="KJ73" s="1675"/>
      <c r="KK73" s="1675"/>
      <c r="KL73" s="1675"/>
      <c r="KM73" s="1675"/>
      <c r="KN73" s="1675"/>
      <c r="KO73" s="1675"/>
      <c r="KP73" s="1675"/>
      <c r="KQ73" s="1675"/>
      <c r="KR73" s="1675"/>
      <c r="KS73" s="1675"/>
      <c r="KT73" s="1675"/>
      <c r="KU73" s="1675"/>
      <c r="KV73" s="1675"/>
      <c r="KW73" s="1675"/>
      <c r="KX73" s="1675"/>
      <c r="KY73" s="1675"/>
      <c r="KZ73" s="1675"/>
      <c r="LA73" s="1675"/>
      <c r="LB73" s="1675"/>
      <c r="LC73" s="1675"/>
      <c r="LD73" s="1675"/>
      <c r="LE73" s="1675"/>
      <c r="LF73" s="1675"/>
      <c r="LG73" s="1675"/>
      <c r="LH73" s="1675"/>
      <c r="LI73" s="1675"/>
      <c r="LJ73" s="1675"/>
      <c r="LK73" s="1675"/>
      <c r="LL73" s="1675"/>
      <c r="LM73" s="1675"/>
      <c r="LN73" s="1675"/>
      <c r="LO73" s="1675"/>
      <c r="LP73" s="1675"/>
      <c r="LQ73" s="1675"/>
      <c r="LR73" s="1675"/>
      <c r="LS73" s="1675"/>
      <c r="LT73" s="1675"/>
      <c r="LU73" s="1675"/>
      <c r="LV73" s="1675"/>
      <c r="LW73" s="1675"/>
      <c r="LX73" s="1675"/>
      <c r="LY73" s="1675"/>
      <c r="LZ73" s="1675"/>
      <c r="MA73" s="1675"/>
      <c r="MB73" s="1675"/>
    </row>
    <row r="74" spans="1:340" ht="18.95" customHeight="1">
      <c r="A74" s="334"/>
      <c r="B74" s="2275"/>
      <c r="C74" s="1126"/>
      <c r="D74" s="1145"/>
      <c r="E74" s="465"/>
      <c r="F74" s="435"/>
      <c r="G74" s="435"/>
      <c r="H74" s="391"/>
      <c r="I74" s="473"/>
      <c r="J74" s="1670" t="s">
        <v>6077</v>
      </c>
      <c r="K74" s="1671"/>
      <c r="L74" s="1671"/>
      <c r="M74" s="1671"/>
      <c r="N74" s="1672"/>
      <c r="O74" s="1671"/>
      <c r="P74" s="1671"/>
      <c r="Q74" s="1673">
        <v>400</v>
      </c>
      <c r="R74" s="1671" t="s">
        <v>753</v>
      </c>
      <c r="S74" s="1672">
        <v>1697.5</v>
      </c>
      <c r="T74" s="1671" t="s">
        <v>0</v>
      </c>
      <c r="U74" s="1671"/>
      <c r="V74" s="1887">
        <v>1</v>
      </c>
      <c r="W74" s="1671" t="s">
        <v>3</v>
      </c>
      <c r="X74" s="806" t="s">
        <v>1</v>
      </c>
      <c r="Y74" s="1802">
        <f>Q74*S74*V74/1000</f>
        <v>679</v>
      </c>
      <c r="Z74" s="1670">
        <f t="shared" si="4"/>
        <v>679000</v>
      </c>
      <c r="AA74" s="907">
        <f t="shared" si="6"/>
        <v>0</v>
      </c>
      <c r="AB74" s="357"/>
      <c r="AC74" s="347"/>
      <c r="AD74" s="1675"/>
      <c r="AE74" s="1675"/>
      <c r="AF74" s="1675"/>
      <c r="AG74" s="1675"/>
      <c r="AH74" s="1675"/>
      <c r="AI74" s="1675"/>
      <c r="AJ74" s="1675"/>
      <c r="AK74" s="1675"/>
      <c r="AL74" s="1675"/>
      <c r="AM74" s="1675"/>
      <c r="AN74" s="1675"/>
      <c r="AO74" s="1675"/>
      <c r="AP74" s="1675"/>
      <c r="AQ74" s="1675"/>
      <c r="AR74" s="1675"/>
      <c r="AS74" s="1675"/>
      <c r="AT74" s="1675"/>
      <c r="AU74" s="1675"/>
      <c r="AV74" s="1675"/>
      <c r="AW74" s="1675"/>
      <c r="AX74" s="1675"/>
      <c r="AY74" s="1675"/>
      <c r="AZ74" s="1675"/>
      <c r="BA74" s="1675"/>
      <c r="BB74" s="1675"/>
      <c r="BC74" s="1675"/>
      <c r="BD74" s="1675"/>
      <c r="BE74" s="1675"/>
      <c r="BF74" s="1675"/>
      <c r="BG74" s="1675"/>
      <c r="BH74" s="1675"/>
      <c r="BI74" s="1675"/>
      <c r="BJ74" s="1675"/>
      <c r="BK74" s="1675"/>
      <c r="BL74" s="1675"/>
      <c r="BM74" s="1675"/>
      <c r="BN74" s="1675"/>
      <c r="BO74" s="1675"/>
      <c r="BP74" s="1675"/>
      <c r="BQ74" s="1675"/>
      <c r="BR74" s="1675"/>
      <c r="BS74" s="1675"/>
      <c r="BT74" s="1675"/>
      <c r="BU74" s="1675"/>
      <c r="BV74" s="1675"/>
      <c r="BW74" s="1675"/>
      <c r="BX74" s="1675"/>
      <c r="BY74" s="1675"/>
      <c r="BZ74" s="1675"/>
      <c r="CA74" s="1675"/>
      <c r="CB74" s="1675"/>
      <c r="CC74" s="1675"/>
      <c r="CD74" s="1675"/>
      <c r="CE74" s="1675"/>
      <c r="CF74" s="1675"/>
      <c r="CG74" s="1675"/>
      <c r="CH74" s="1675"/>
      <c r="CI74" s="1675"/>
      <c r="CJ74" s="1675"/>
      <c r="CK74" s="1675"/>
      <c r="CL74" s="1675"/>
      <c r="CM74" s="1675"/>
      <c r="CN74" s="1675"/>
      <c r="CO74" s="1675"/>
      <c r="CP74" s="1675"/>
      <c r="CQ74" s="1675"/>
      <c r="CR74" s="1675"/>
      <c r="CS74" s="1675"/>
      <c r="CT74" s="1675"/>
      <c r="CU74" s="1675"/>
      <c r="CV74" s="1675"/>
      <c r="CW74" s="1675"/>
      <c r="CX74" s="1675"/>
      <c r="CY74" s="1675"/>
      <c r="CZ74" s="1675"/>
      <c r="DA74" s="1675"/>
      <c r="DB74" s="1675"/>
      <c r="DC74" s="1675"/>
      <c r="DD74" s="1675"/>
      <c r="DE74" s="1675"/>
      <c r="DF74" s="1675"/>
      <c r="DG74" s="1675"/>
      <c r="DH74" s="1675"/>
      <c r="DI74" s="1675"/>
      <c r="DJ74" s="1675"/>
      <c r="DK74" s="1675"/>
      <c r="DL74" s="1675"/>
      <c r="DM74" s="1675"/>
      <c r="DN74" s="1675"/>
      <c r="DO74" s="1675"/>
      <c r="DP74" s="1675"/>
      <c r="DQ74" s="1675"/>
      <c r="DR74" s="1675"/>
      <c r="DS74" s="1675"/>
      <c r="DT74" s="1675"/>
      <c r="DU74" s="1675"/>
      <c r="DV74" s="1675"/>
      <c r="DW74" s="1675"/>
      <c r="DX74" s="1675"/>
      <c r="DY74" s="1675"/>
      <c r="DZ74" s="1675"/>
      <c r="EA74" s="1675"/>
      <c r="EB74" s="1675"/>
      <c r="EC74" s="1675"/>
      <c r="ED74" s="1675"/>
      <c r="EE74" s="1675"/>
      <c r="EF74" s="1675"/>
      <c r="EG74" s="1675"/>
      <c r="EH74" s="1675"/>
      <c r="EI74" s="1675"/>
      <c r="EJ74" s="1675"/>
      <c r="EK74" s="1675"/>
      <c r="EL74" s="1675"/>
      <c r="EM74" s="1675"/>
      <c r="EN74" s="1675"/>
      <c r="EO74" s="1675"/>
      <c r="EP74" s="1675"/>
      <c r="EQ74" s="1675"/>
      <c r="ER74" s="1675"/>
      <c r="ES74" s="1675"/>
      <c r="ET74" s="1675"/>
      <c r="EU74" s="1675"/>
      <c r="EV74" s="1675"/>
      <c r="EW74" s="1675"/>
      <c r="EX74" s="1675"/>
      <c r="EY74" s="1675"/>
      <c r="EZ74" s="1675"/>
      <c r="FA74" s="1675"/>
      <c r="FB74" s="1675"/>
      <c r="FC74" s="1675"/>
      <c r="FD74" s="1675"/>
      <c r="FE74" s="1675"/>
      <c r="FF74" s="1675"/>
      <c r="FG74" s="1675"/>
      <c r="FH74" s="1675"/>
      <c r="FI74" s="1675"/>
      <c r="FJ74" s="1675"/>
      <c r="FK74" s="1675"/>
      <c r="FL74" s="1675"/>
      <c r="FM74" s="1675"/>
      <c r="FN74" s="1675"/>
      <c r="FO74" s="1675"/>
      <c r="FP74" s="1675"/>
      <c r="FQ74" s="1675"/>
      <c r="FR74" s="1675"/>
      <c r="FS74" s="1675"/>
      <c r="FT74" s="1675"/>
      <c r="FU74" s="1675"/>
      <c r="FV74" s="1675"/>
      <c r="FW74" s="1675"/>
      <c r="FX74" s="1675"/>
      <c r="FY74" s="1675"/>
      <c r="FZ74" s="1675"/>
      <c r="GA74" s="1675"/>
      <c r="GB74" s="1675"/>
      <c r="GC74" s="1675"/>
      <c r="GD74" s="1675"/>
      <c r="GE74" s="1675"/>
      <c r="GF74" s="1675"/>
      <c r="GG74" s="1675"/>
      <c r="GH74" s="1675"/>
      <c r="GI74" s="1675"/>
      <c r="GJ74" s="1675"/>
      <c r="GK74" s="1675"/>
      <c r="GL74" s="1675"/>
      <c r="GM74" s="1675"/>
      <c r="GN74" s="1675"/>
      <c r="GO74" s="1675"/>
      <c r="GP74" s="1675"/>
      <c r="GQ74" s="1675"/>
      <c r="GR74" s="1675"/>
      <c r="GS74" s="1675"/>
      <c r="GT74" s="1675"/>
      <c r="GU74" s="1675"/>
      <c r="GV74" s="1675"/>
      <c r="GW74" s="1675"/>
      <c r="GX74" s="1675"/>
      <c r="GY74" s="1675"/>
      <c r="GZ74" s="1675"/>
      <c r="HA74" s="1675"/>
      <c r="HB74" s="1675"/>
      <c r="HC74" s="1675"/>
      <c r="HD74" s="1675"/>
      <c r="HE74" s="1675"/>
      <c r="HF74" s="1675"/>
      <c r="HG74" s="1675"/>
      <c r="HH74" s="1675"/>
      <c r="HI74" s="1675"/>
      <c r="HJ74" s="1675"/>
      <c r="HK74" s="1675"/>
      <c r="HL74" s="1675"/>
      <c r="HM74" s="1675"/>
      <c r="HN74" s="1675"/>
      <c r="HO74" s="1675"/>
      <c r="HP74" s="1675"/>
      <c r="HQ74" s="1675"/>
      <c r="HR74" s="1675"/>
      <c r="HS74" s="1675"/>
      <c r="HT74" s="1675"/>
      <c r="HU74" s="1675"/>
      <c r="HV74" s="1675"/>
      <c r="HW74" s="1675"/>
      <c r="HX74" s="1675"/>
      <c r="HY74" s="1675"/>
      <c r="HZ74" s="1675"/>
      <c r="IA74" s="1675"/>
      <c r="IB74" s="1675"/>
      <c r="IC74" s="1675"/>
      <c r="ID74" s="1675"/>
      <c r="IE74" s="1675"/>
      <c r="IF74" s="1675"/>
      <c r="IG74" s="1675"/>
      <c r="IH74" s="1675"/>
      <c r="II74" s="1675"/>
      <c r="IJ74" s="1675"/>
      <c r="IK74" s="1675"/>
      <c r="IL74" s="1675"/>
      <c r="IM74" s="1675"/>
      <c r="IN74" s="1675"/>
      <c r="IO74" s="1675"/>
      <c r="IP74" s="1675"/>
      <c r="IQ74" s="1675"/>
      <c r="IR74" s="1675"/>
      <c r="IS74" s="1675"/>
      <c r="IT74" s="1675"/>
      <c r="IU74" s="1675"/>
      <c r="IV74" s="1675"/>
      <c r="IW74" s="1675"/>
      <c r="IX74" s="1675"/>
      <c r="IY74" s="1675"/>
      <c r="IZ74" s="1675"/>
      <c r="JA74" s="1675"/>
      <c r="JB74" s="1675"/>
      <c r="JC74" s="1675"/>
      <c r="JD74" s="1675"/>
      <c r="JE74" s="1675"/>
      <c r="JF74" s="1675"/>
      <c r="JG74" s="1675"/>
      <c r="JH74" s="1675"/>
      <c r="JI74" s="1675"/>
      <c r="JJ74" s="1675"/>
      <c r="JK74" s="1675"/>
      <c r="JL74" s="1675"/>
      <c r="JM74" s="1675"/>
      <c r="JN74" s="1675"/>
      <c r="JO74" s="1675"/>
      <c r="JP74" s="1675"/>
      <c r="JQ74" s="1675"/>
      <c r="JR74" s="1675"/>
      <c r="JS74" s="1675"/>
      <c r="JT74" s="1675"/>
      <c r="JU74" s="1675"/>
      <c r="JV74" s="1675"/>
      <c r="JW74" s="1675"/>
      <c r="JX74" s="1675"/>
      <c r="JY74" s="1675"/>
      <c r="JZ74" s="1675"/>
      <c r="KA74" s="1675"/>
      <c r="KB74" s="1675"/>
      <c r="KC74" s="1675"/>
      <c r="KD74" s="1675"/>
      <c r="KE74" s="1675"/>
      <c r="KF74" s="1675"/>
      <c r="KG74" s="1675"/>
      <c r="KH74" s="1675"/>
      <c r="KI74" s="1675"/>
      <c r="KJ74" s="1675"/>
      <c r="KK74" s="1675"/>
      <c r="KL74" s="1675"/>
      <c r="KM74" s="1675"/>
      <c r="KN74" s="1675"/>
      <c r="KO74" s="1675"/>
      <c r="KP74" s="1675"/>
      <c r="KQ74" s="1675"/>
      <c r="KR74" s="1675"/>
      <c r="KS74" s="1675"/>
      <c r="KT74" s="1675"/>
      <c r="KU74" s="1675"/>
      <c r="KV74" s="1675"/>
      <c r="KW74" s="1675"/>
      <c r="KX74" s="1675"/>
      <c r="KY74" s="1675"/>
      <c r="KZ74" s="1675"/>
      <c r="LA74" s="1675"/>
      <c r="LB74" s="1675"/>
      <c r="LC74" s="1675"/>
      <c r="LD74" s="1675"/>
      <c r="LE74" s="1675"/>
      <c r="LF74" s="1675"/>
      <c r="LG74" s="1675"/>
      <c r="LH74" s="1675"/>
      <c r="LI74" s="1675"/>
      <c r="LJ74" s="1675"/>
      <c r="LK74" s="1675"/>
      <c r="LL74" s="1675"/>
      <c r="LM74" s="1675"/>
      <c r="LN74" s="1675"/>
      <c r="LO74" s="1675"/>
      <c r="LP74" s="1675"/>
      <c r="LQ74" s="1675"/>
      <c r="LR74" s="1675"/>
      <c r="LS74" s="1675"/>
      <c r="LT74" s="1675"/>
      <c r="LU74" s="1675"/>
      <c r="LV74" s="1675"/>
      <c r="LW74" s="1675"/>
      <c r="LX74" s="1675"/>
      <c r="LY74" s="1675"/>
      <c r="LZ74" s="1675"/>
      <c r="MA74" s="1675"/>
      <c r="MB74" s="1675"/>
    </row>
    <row r="75" spans="1:340" ht="18.95" customHeight="1">
      <c r="A75" s="334"/>
      <c r="B75" s="2275"/>
      <c r="C75" s="1126"/>
      <c r="D75" s="1145"/>
      <c r="E75" s="465"/>
      <c r="F75" s="435"/>
      <c r="G75" s="435"/>
      <c r="H75" s="391"/>
      <c r="I75" s="473"/>
      <c r="J75" s="1670" t="s">
        <v>6078</v>
      </c>
      <c r="K75" s="1671"/>
      <c r="L75" s="1671"/>
      <c r="M75" s="1671"/>
      <c r="N75" s="1672"/>
      <c r="O75" s="1671"/>
      <c r="P75" s="1671"/>
      <c r="Q75" s="1673">
        <v>30</v>
      </c>
      <c r="R75" s="1671" t="s">
        <v>754</v>
      </c>
      <c r="S75" s="1672">
        <v>400000</v>
      </c>
      <c r="T75" s="1671" t="s">
        <v>0</v>
      </c>
      <c r="U75" s="1671"/>
      <c r="V75" s="1887">
        <v>0.2</v>
      </c>
      <c r="W75" s="1671" t="s">
        <v>3</v>
      </c>
      <c r="X75" s="806" t="s">
        <v>1</v>
      </c>
      <c r="Y75" s="1802">
        <f>Q75*S75*V75/1000</f>
        <v>2400</v>
      </c>
      <c r="Z75" s="1670">
        <f t="shared" si="4"/>
        <v>2400000</v>
      </c>
      <c r="AA75" s="907">
        <f t="shared" si="6"/>
        <v>0</v>
      </c>
      <c r="AB75" s="357"/>
      <c r="AC75" s="347"/>
      <c r="AD75" s="1675"/>
      <c r="AE75" s="1675"/>
      <c r="AF75" s="1675"/>
      <c r="AG75" s="1675"/>
      <c r="AH75" s="1675"/>
      <c r="AI75" s="1675"/>
      <c r="AJ75" s="1675"/>
      <c r="AK75" s="1675"/>
      <c r="AL75" s="1675"/>
      <c r="AM75" s="1675"/>
      <c r="AN75" s="1675"/>
      <c r="AO75" s="1675"/>
      <c r="AP75" s="1675"/>
      <c r="AQ75" s="1675"/>
      <c r="AR75" s="1675"/>
      <c r="AS75" s="1675"/>
      <c r="AT75" s="1675"/>
      <c r="AU75" s="1675"/>
      <c r="AV75" s="1675"/>
      <c r="AW75" s="1675"/>
      <c r="AX75" s="1675"/>
      <c r="AY75" s="1675"/>
      <c r="AZ75" s="1675"/>
      <c r="BA75" s="1675"/>
      <c r="BB75" s="1675"/>
      <c r="BC75" s="1675"/>
      <c r="BD75" s="1675"/>
      <c r="BE75" s="1675"/>
      <c r="BF75" s="1675"/>
      <c r="BG75" s="1675"/>
      <c r="BH75" s="1675"/>
      <c r="BI75" s="1675"/>
      <c r="BJ75" s="1675"/>
      <c r="BK75" s="1675"/>
      <c r="BL75" s="1675"/>
      <c r="BM75" s="1675"/>
      <c r="BN75" s="1675"/>
      <c r="BO75" s="1675"/>
      <c r="BP75" s="1675"/>
      <c r="BQ75" s="1675"/>
      <c r="BR75" s="1675"/>
      <c r="BS75" s="1675"/>
      <c r="BT75" s="1675"/>
      <c r="BU75" s="1675"/>
      <c r="BV75" s="1675"/>
      <c r="BW75" s="1675"/>
      <c r="BX75" s="1675"/>
      <c r="BY75" s="1675"/>
      <c r="BZ75" s="1675"/>
      <c r="CA75" s="1675"/>
      <c r="CB75" s="1675"/>
      <c r="CC75" s="1675"/>
      <c r="CD75" s="1675"/>
      <c r="CE75" s="1675"/>
      <c r="CF75" s="1675"/>
      <c r="CG75" s="1675"/>
      <c r="CH75" s="1675"/>
      <c r="CI75" s="1675"/>
      <c r="CJ75" s="1675"/>
      <c r="CK75" s="1675"/>
      <c r="CL75" s="1675"/>
      <c r="CM75" s="1675"/>
      <c r="CN75" s="1675"/>
      <c r="CO75" s="1675"/>
      <c r="CP75" s="1675"/>
      <c r="CQ75" s="1675"/>
      <c r="CR75" s="1675"/>
      <c r="CS75" s="1675"/>
      <c r="CT75" s="1675"/>
      <c r="CU75" s="1675"/>
      <c r="CV75" s="1675"/>
      <c r="CW75" s="1675"/>
      <c r="CX75" s="1675"/>
      <c r="CY75" s="1675"/>
      <c r="CZ75" s="1675"/>
      <c r="DA75" s="1675"/>
      <c r="DB75" s="1675"/>
      <c r="DC75" s="1675"/>
      <c r="DD75" s="1675"/>
      <c r="DE75" s="1675"/>
      <c r="DF75" s="1675"/>
      <c r="DG75" s="1675"/>
      <c r="DH75" s="1675"/>
      <c r="DI75" s="1675"/>
      <c r="DJ75" s="1675"/>
      <c r="DK75" s="1675"/>
      <c r="DL75" s="1675"/>
      <c r="DM75" s="1675"/>
      <c r="DN75" s="1675"/>
      <c r="DO75" s="1675"/>
      <c r="DP75" s="1675"/>
      <c r="DQ75" s="1675"/>
      <c r="DR75" s="1675"/>
      <c r="DS75" s="1675"/>
      <c r="DT75" s="1675"/>
      <c r="DU75" s="1675"/>
      <c r="DV75" s="1675"/>
      <c r="DW75" s="1675"/>
      <c r="DX75" s="1675"/>
      <c r="DY75" s="1675"/>
      <c r="DZ75" s="1675"/>
      <c r="EA75" s="1675"/>
      <c r="EB75" s="1675"/>
      <c r="EC75" s="1675"/>
      <c r="ED75" s="1675"/>
      <c r="EE75" s="1675"/>
      <c r="EF75" s="1675"/>
      <c r="EG75" s="1675"/>
      <c r="EH75" s="1675"/>
      <c r="EI75" s="1675"/>
      <c r="EJ75" s="1675"/>
      <c r="EK75" s="1675"/>
      <c r="EL75" s="1675"/>
      <c r="EM75" s="1675"/>
      <c r="EN75" s="1675"/>
      <c r="EO75" s="1675"/>
      <c r="EP75" s="1675"/>
      <c r="EQ75" s="1675"/>
      <c r="ER75" s="1675"/>
      <c r="ES75" s="1675"/>
      <c r="ET75" s="1675"/>
      <c r="EU75" s="1675"/>
      <c r="EV75" s="1675"/>
      <c r="EW75" s="1675"/>
      <c r="EX75" s="1675"/>
      <c r="EY75" s="1675"/>
      <c r="EZ75" s="1675"/>
      <c r="FA75" s="1675"/>
      <c r="FB75" s="1675"/>
      <c r="FC75" s="1675"/>
      <c r="FD75" s="1675"/>
      <c r="FE75" s="1675"/>
      <c r="FF75" s="1675"/>
      <c r="FG75" s="1675"/>
      <c r="FH75" s="1675"/>
      <c r="FI75" s="1675"/>
      <c r="FJ75" s="1675"/>
      <c r="FK75" s="1675"/>
      <c r="FL75" s="1675"/>
      <c r="FM75" s="1675"/>
      <c r="FN75" s="1675"/>
      <c r="FO75" s="1675"/>
      <c r="FP75" s="1675"/>
      <c r="FQ75" s="1675"/>
      <c r="FR75" s="1675"/>
      <c r="FS75" s="1675"/>
      <c r="FT75" s="1675"/>
      <c r="FU75" s="1675"/>
      <c r="FV75" s="1675"/>
      <c r="FW75" s="1675"/>
      <c r="FX75" s="1675"/>
      <c r="FY75" s="1675"/>
      <c r="FZ75" s="1675"/>
      <c r="GA75" s="1675"/>
      <c r="GB75" s="1675"/>
      <c r="GC75" s="1675"/>
      <c r="GD75" s="1675"/>
      <c r="GE75" s="1675"/>
      <c r="GF75" s="1675"/>
      <c r="GG75" s="1675"/>
      <c r="GH75" s="1675"/>
      <c r="GI75" s="1675"/>
      <c r="GJ75" s="1675"/>
      <c r="GK75" s="1675"/>
      <c r="GL75" s="1675"/>
      <c r="GM75" s="1675"/>
      <c r="GN75" s="1675"/>
      <c r="GO75" s="1675"/>
      <c r="GP75" s="1675"/>
      <c r="GQ75" s="1675"/>
      <c r="GR75" s="1675"/>
      <c r="GS75" s="1675"/>
      <c r="GT75" s="1675"/>
      <c r="GU75" s="1675"/>
      <c r="GV75" s="1675"/>
      <c r="GW75" s="1675"/>
      <c r="GX75" s="1675"/>
      <c r="GY75" s="1675"/>
      <c r="GZ75" s="1675"/>
      <c r="HA75" s="1675"/>
      <c r="HB75" s="1675"/>
      <c r="HC75" s="1675"/>
      <c r="HD75" s="1675"/>
      <c r="HE75" s="1675"/>
      <c r="HF75" s="1675"/>
      <c r="HG75" s="1675"/>
      <c r="HH75" s="1675"/>
      <c r="HI75" s="1675"/>
      <c r="HJ75" s="1675"/>
      <c r="HK75" s="1675"/>
      <c r="HL75" s="1675"/>
      <c r="HM75" s="1675"/>
      <c r="HN75" s="1675"/>
      <c r="HO75" s="1675"/>
      <c r="HP75" s="1675"/>
      <c r="HQ75" s="1675"/>
      <c r="HR75" s="1675"/>
      <c r="HS75" s="1675"/>
      <c r="HT75" s="1675"/>
      <c r="HU75" s="1675"/>
      <c r="HV75" s="1675"/>
      <c r="HW75" s="1675"/>
      <c r="HX75" s="1675"/>
      <c r="HY75" s="1675"/>
      <c r="HZ75" s="1675"/>
      <c r="IA75" s="1675"/>
      <c r="IB75" s="1675"/>
      <c r="IC75" s="1675"/>
      <c r="ID75" s="1675"/>
      <c r="IE75" s="1675"/>
      <c r="IF75" s="1675"/>
      <c r="IG75" s="1675"/>
      <c r="IH75" s="1675"/>
      <c r="II75" s="1675"/>
      <c r="IJ75" s="1675"/>
      <c r="IK75" s="1675"/>
      <c r="IL75" s="1675"/>
      <c r="IM75" s="1675"/>
      <c r="IN75" s="1675"/>
      <c r="IO75" s="1675"/>
      <c r="IP75" s="1675"/>
      <c r="IQ75" s="1675"/>
      <c r="IR75" s="1675"/>
      <c r="IS75" s="1675"/>
      <c r="IT75" s="1675"/>
      <c r="IU75" s="1675"/>
      <c r="IV75" s="1675"/>
      <c r="IW75" s="1675"/>
      <c r="IX75" s="1675"/>
      <c r="IY75" s="1675"/>
      <c r="IZ75" s="1675"/>
      <c r="JA75" s="1675"/>
      <c r="JB75" s="1675"/>
      <c r="JC75" s="1675"/>
      <c r="JD75" s="1675"/>
      <c r="JE75" s="1675"/>
      <c r="JF75" s="1675"/>
      <c r="JG75" s="1675"/>
      <c r="JH75" s="1675"/>
      <c r="JI75" s="1675"/>
      <c r="JJ75" s="1675"/>
      <c r="JK75" s="1675"/>
      <c r="JL75" s="1675"/>
      <c r="JM75" s="1675"/>
      <c r="JN75" s="1675"/>
      <c r="JO75" s="1675"/>
      <c r="JP75" s="1675"/>
      <c r="JQ75" s="1675"/>
      <c r="JR75" s="1675"/>
      <c r="JS75" s="1675"/>
      <c r="JT75" s="1675"/>
      <c r="JU75" s="1675"/>
      <c r="JV75" s="1675"/>
      <c r="JW75" s="1675"/>
      <c r="JX75" s="1675"/>
      <c r="JY75" s="1675"/>
      <c r="JZ75" s="1675"/>
      <c r="KA75" s="1675"/>
      <c r="KB75" s="1675"/>
      <c r="KC75" s="1675"/>
      <c r="KD75" s="1675"/>
      <c r="KE75" s="1675"/>
      <c r="KF75" s="1675"/>
      <c r="KG75" s="1675"/>
      <c r="KH75" s="1675"/>
      <c r="KI75" s="1675"/>
      <c r="KJ75" s="1675"/>
      <c r="KK75" s="1675"/>
      <c r="KL75" s="1675"/>
      <c r="KM75" s="1675"/>
      <c r="KN75" s="1675"/>
      <c r="KO75" s="1675"/>
      <c r="KP75" s="1675"/>
      <c r="KQ75" s="1675"/>
      <c r="KR75" s="1675"/>
      <c r="KS75" s="1675"/>
      <c r="KT75" s="1675"/>
      <c r="KU75" s="1675"/>
      <c r="KV75" s="1675"/>
      <c r="KW75" s="1675"/>
      <c r="KX75" s="1675"/>
      <c r="KY75" s="1675"/>
      <c r="KZ75" s="1675"/>
      <c r="LA75" s="1675"/>
      <c r="LB75" s="1675"/>
      <c r="LC75" s="1675"/>
      <c r="LD75" s="1675"/>
      <c r="LE75" s="1675"/>
      <c r="LF75" s="1675"/>
      <c r="LG75" s="1675"/>
      <c r="LH75" s="1675"/>
      <c r="LI75" s="1675"/>
      <c r="LJ75" s="1675"/>
      <c r="LK75" s="1675"/>
      <c r="LL75" s="1675"/>
      <c r="LM75" s="1675"/>
      <c r="LN75" s="1675"/>
      <c r="LO75" s="1675"/>
      <c r="LP75" s="1675"/>
      <c r="LQ75" s="1675"/>
      <c r="LR75" s="1675"/>
      <c r="LS75" s="1675"/>
      <c r="LT75" s="1675"/>
      <c r="LU75" s="1675"/>
      <c r="LV75" s="1675"/>
      <c r="LW75" s="1675"/>
      <c r="LX75" s="1675"/>
      <c r="LY75" s="1675"/>
      <c r="LZ75" s="1675"/>
      <c r="MA75" s="1675"/>
      <c r="MB75" s="1675"/>
    </row>
    <row r="76" spans="1:340" ht="18.95" customHeight="1">
      <c r="A76" s="334"/>
      <c r="B76" s="2275"/>
      <c r="C76" s="1126"/>
      <c r="D76" s="1145"/>
      <c r="E76" s="465"/>
      <c r="F76" s="435"/>
      <c r="G76" s="435"/>
      <c r="H76" s="391"/>
      <c r="I76" s="473"/>
      <c r="J76" s="1670" t="s">
        <v>6079</v>
      </c>
      <c r="K76" s="1671"/>
      <c r="L76" s="1671"/>
      <c r="M76" s="1671"/>
      <c r="N76" s="1672"/>
      <c r="O76" s="1671"/>
      <c r="P76" s="1671"/>
      <c r="Q76" s="1673">
        <v>375</v>
      </c>
      <c r="R76" s="1671" t="s">
        <v>58</v>
      </c>
      <c r="S76" s="1672">
        <v>10000</v>
      </c>
      <c r="T76" s="1671" t="s">
        <v>0</v>
      </c>
      <c r="U76" s="1671"/>
      <c r="V76" s="1887">
        <v>1</v>
      </c>
      <c r="W76" s="1671" t="s">
        <v>3</v>
      </c>
      <c r="X76" s="806" t="s">
        <v>1</v>
      </c>
      <c r="Y76" s="1802">
        <f>Q76*S76*V76/1000</f>
        <v>3750</v>
      </c>
      <c r="Z76" s="1670">
        <f t="shared" si="4"/>
        <v>3750000</v>
      </c>
      <c r="AA76" s="907">
        <f t="shared" si="6"/>
        <v>0</v>
      </c>
      <c r="AB76" s="357"/>
      <c r="AC76" s="347"/>
      <c r="AD76" s="1675"/>
      <c r="AE76" s="1675"/>
      <c r="AF76" s="1675"/>
      <c r="AG76" s="1675"/>
      <c r="AH76" s="1675"/>
      <c r="AI76" s="1675"/>
      <c r="AJ76" s="1675"/>
      <c r="AK76" s="1675"/>
      <c r="AL76" s="1675"/>
      <c r="AM76" s="1675"/>
      <c r="AN76" s="1675"/>
      <c r="AO76" s="1675"/>
      <c r="AP76" s="1675"/>
      <c r="AQ76" s="1675"/>
      <c r="AR76" s="1675"/>
      <c r="AS76" s="1675"/>
      <c r="AT76" s="1675"/>
      <c r="AU76" s="1675"/>
      <c r="AV76" s="1675"/>
      <c r="AW76" s="1675"/>
      <c r="AX76" s="1675"/>
      <c r="AY76" s="1675"/>
      <c r="AZ76" s="1675"/>
      <c r="BA76" s="1675"/>
      <c r="BB76" s="1675"/>
      <c r="BC76" s="1675"/>
      <c r="BD76" s="1675"/>
      <c r="BE76" s="1675"/>
      <c r="BF76" s="1675"/>
      <c r="BG76" s="1675"/>
      <c r="BH76" s="1675"/>
      <c r="BI76" s="1675"/>
      <c r="BJ76" s="1675"/>
      <c r="BK76" s="1675"/>
      <c r="BL76" s="1675"/>
      <c r="BM76" s="1675"/>
      <c r="BN76" s="1675"/>
      <c r="BO76" s="1675"/>
      <c r="BP76" s="1675"/>
      <c r="BQ76" s="1675"/>
      <c r="BR76" s="1675"/>
      <c r="BS76" s="1675"/>
      <c r="BT76" s="1675"/>
      <c r="BU76" s="1675"/>
      <c r="BV76" s="1675"/>
      <c r="BW76" s="1675"/>
      <c r="BX76" s="1675"/>
      <c r="BY76" s="1675"/>
      <c r="BZ76" s="1675"/>
      <c r="CA76" s="1675"/>
      <c r="CB76" s="1675"/>
      <c r="CC76" s="1675"/>
      <c r="CD76" s="1675"/>
      <c r="CE76" s="1675"/>
      <c r="CF76" s="1675"/>
      <c r="CG76" s="1675"/>
      <c r="CH76" s="1675"/>
      <c r="CI76" s="1675"/>
      <c r="CJ76" s="1675"/>
      <c r="CK76" s="1675"/>
      <c r="CL76" s="1675"/>
      <c r="CM76" s="1675"/>
      <c r="CN76" s="1675"/>
      <c r="CO76" s="1675"/>
      <c r="CP76" s="1675"/>
      <c r="CQ76" s="1675"/>
      <c r="CR76" s="1675"/>
      <c r="CS76" s="1675"/>
      <c r="CT76" s="1675"/>
      <c r="CU76" s="1675"/>
      <c r="CV76" s="1675"/>
      <c r="CW76" s="1675"/>
      <c r="CX76" s="1675"/>
      <c r="CY76" s="1675"/>
      <c r="CZ76" s="1675"/>
      <c r="DA76" s="1675"/>
      <c r="DB76" s="1675"/>
      <c r="DC76" s="1675"/>
      <c r="DD76" s="1675"/>
      <c r="DE76" s="1675"/>
      <c r="DF76" s="1675"/>
      <c r="DG76" s="1675"/>
      <c r="DH76" s="1675"/>
      <c r="DI76" s="1675"/>
      <c r="DJ76" s="1675"/>
      <c r="DK76" s="1675"/>
      <c r="DL76" s="1675"/>
      <c r="DM76" s="1675"/>
      <c r="DN76" s="1675"/>
      <c r="DO76" s="1675"/>
      <c r="DP76" s="1675"/>
      <c r="DQ76" s="1675"/>
      <c r="DR76" s="1675"/>
      <c r="DS76" s="1675"/>
      <c r="DT76" s="1675"/>
      <c r="DU76" s="1675"/>
      <c r="DV76" s="1675"/>
      <c r="DW76" s="1675"/>
      <c r="DX76" s="1675"/>
      <c r="DY76" s="1675"/>
      <c r="DZ76" s="1675"/>
      <c r="EA76" s="1675"/>
      <c r="EB76" s="1675"/>
      <c r="EC76" s="1675"/>
      <c r="ED76" s="1675"/>
      <c r="EE76" s="1675"/>
      <c r="EF76" s="1675"/>
      <c r="EG76" s="1675"/>
      <c r="EH76" s="1675"/>
      <c r="EI76" s="1675"/>
      <c r="EJ76" s="1675"/>
      <c r="EK76" s="1675"/>
      <c r="EL76" s="1675"/>
      <c r="EM76" s="1675"/>
      <c r="EN76" s="1675"/>
      <c r="EO76" s="1675"/>
      <c r="EP76" s="1675"/>
      <c r="EQ76" s="1675"/>
      <c r="ER76" s="1675"/>
      <c r="ES76" s="1675"/>
      <c r="ET76" s="1675"/>
      <c r="EU76" s="1675"/>
      <c r="EV76" s="1675"/>
      <c r="EW76" s="1675"/>
      <c r="EX76" s="1675"/>
      <c r="EY76" s="1675"/>
      <c r="EZ76" s="1675"/>
      <c r="FA76" s="1675"/>
      <c r="FB76" s="1675"/>
      <c r="FC76" s="1675"/>
      <c r="FD76" s="1675"/>
      <c r="FE76" s="1675"/>
      <c r="FF76" s="1675"/>
      <c r="FG76" s="1675"/>
      <c r="FH76" s="1675"/>
      <c r="FI76" s="1675"/>
      <c r="FJ76" s="1675"/>
      <c r="FK76" s="1675"/>
      <c r="FL76" s="1675"/>
      <c r="FM76" s="1675"/>
      <c r="FN76" s="1675"/>
      <c r="FO76" s="1675"/>
      <c r="FP76" s="1675"/>
      <c r="FQ76" s="1675"/>
      <c r="FR76" s="1675"/>
      <c r="FS76" s="1675"/>
      <c r="FT76" s="1675"/>
      <c r="FU76" s="1675"/>
      <c r="FV76" s="1675"/>
      <c r="FW76" s="1675"/>
      <c r="FX76" s="1675"/>
      <c r="FY76" s="1675"/>
      <c r="FZ76" s="1675"/>
      <c r="GA76" s="1675"/>
      <c r="GB76" s="1675"/>
      <c r="GC76" s="1675"/>
      <c r="GD76" s="1675"/>
      <c r="GE76" s="1675"/>
      <c r="GF76" s="1675"/>
      <c r="GG76" s="1675"/>
      <c r="GH76" s="1675"/>
      <c r="GI76" s="1675"/>
      <c r="GJ76" s="1675"/>
      <c r="GK76" s="1675"/>
      <c r="GL76" s="1675"/>
      <c r="GM76" s="1675"/>
      <c r="GN76" s="1675"/>
      <c r="GO76" s="1675"/>
      <c r="GP76" s="1675"/>
      <c r="GQ76" s="1675"/>
      <c r="GR76" s="1675"/>
      <c r="GS76" s="1675"/>
      <c r="GT76" s="1675"/>
      <c r="GU76" s="1675"/>
      <c r="GV76" s="1675"/>
      <c r="GW76" s="1675"/>
      <c r="GX76" s="1675"/>
      <c r="GY76" s="1675"/>
      <c r="GZ76" s="1675"/>
      <c r="HA76" s="1675"/>
      <c r="HB76" s="1675"/>
      <c r="HC76" s="1675"/>
      <c r="HD76" s="1675"/>
      <c r="HE76" s="1675"/>
      <c r="HF76" s="1675"/>
      <c r="HG76" s="1675"/>
      <c r="HH76" s="1675"/>
      <c r="HI76" s="1675"/>
      <c r="HJ76" s="1675"/>
      <c r="HK76" s="1675"/>
      <c r="HL76" s="1675"/>
      <c r="HM76" s="1675"/>
      <c r="HN76" s="1675"/>
      <c r="HO76" s="1675"/>
      <c r="HP76" s="1675"/>
      <c r="HQ76" s="1675"/>
      <c r="HR76" s="1675"/>
      <c r="HS76" s="1675"/>
      <c r="HT76" s="1675"/>
      <c r="HU76" s="1675"/>
      <c r="HV76" s="1675"/>
      <c r="HW76" s="1675"/>
      <c r="HX76" s="1675"/>
      <c r="HY76" s="1675"/>
      <c r="HZ76" s="1675"/>
      <c r="IA76" s="1675"/>
      <c r="IB76" s="1675"/>
      <c r="IC76" s="1675"/>
      <c r="ID76" s="1675"/>
      <c r="IE76" s="1675"/>
      <c r="IF76" s="1675"/>
      <c r="IG76" s="1675"/>
      <c r="IH76" s="1675"/>
      <c r="II76" s="1675"/>
      <c r="IJ76" s="1675"/>
      <c r="IK76" s="1675"/>
      <c r="IL76" s="1675"/>
      <c r="IM76" s="1675"/>
      <c r="IN76" s="1675"/>
      <c r="IO76" s="1675"/>
      <c r="IP76" s="1675"/>
      <c r="IQ76" s="1675"/>
      <c r="IR76" s="1675"/>
      <c r="IS76" s="1675"/>
      <c r="IT76" s="1675"/>
      <c r="IU76" s="1675"/>
      <c r="IV76" s="1675"/>
      <c r="IW76" s="1675"/>
      <c r="IX76" s="1675"/>
      <c r="IY76" s="1675"/>
      <c r="IZ76" s="1675"/>
      <c r="JA76" s="1675"/>
      <c r="JB76" s="1675"/>
      <c r="JC76" s="1675"/>
      <c r="JD76" s="1675"/>
      <c r="JE76" s="1675"/>
      <c r="JF76" s="1675"/>
      <c r="JG76" s="1675"/>
      <c r="JH76" s="1675"/>
      <c r="JI76" s="1675"/>
      <c r="JJ76" s="1675"/>
      <c r="JK76" s="1675"/>
      <c r="JL76" s="1675"/>
      <c r="JM76" s="1675"/>
      <c r="JN76" s="1675"/>
      <c r="JO76" s="1675"/>
      <c r="JP76" s="1675"/>
      <c r="JQ76" s="1675"/>
      <c r="JR76" s="1675"/>
      <c r="JS76" s="1675"/>
      <c r="JT76" s="1675"/>
      <c r="JU76" s="1675"/>
      <c r="JV76" s="1675"/>
      <c r="JW76" s="1675"/>
      <c r="JX76" s="1675"/>
      <c r="JY76" s="1675"/>
      <c r="JZ76" s="1675"/>
      <c r="KA76" s="1675"/>
      <c r="KB76" s="1675"/>
      <c r="KC76" s="1675"/>
      <c r="KD76" s="1675"/>
      <c r="KE76" s="1675"/>
      <c r="KF76" s="1675"/>
      <c r="KG76" s="1675"/>
      <c r="KH76" s="1675"/>
      <c r="KI76" s="1675"/>
      <c r="KJ76" s="1675"/>
      <c r="KK76" s="1675"/>
      <c r="KL76" s="1675"/>
      <c r="KM76" s="1675"/>
      <c r="KN76" s="1675"/>
      <c r="KO76" s="1675"/>
      <c r="KP76" s="1675"/>
      <c r="KQ76" s="1675"/>
      <c r="KR76" s="1675"/>
      <c r="KS76" s="1675"/>
      <c r="KT76" s="1675"/>
      <c r="KU76" s="1675"/>
      <c r="KV76" s="1675"/>
      <c r="KW76" s="1675"/>
      <c r="KX76" s="1675"/>
      <c r="KY76" s="1675"/>
      <c r="KZ76" s="1675"/>
      <c r="LA76" s="1675"/>
      <c r="LB76" s="1675"/>
      <c r="LC76" s="1675"/>
      <c r="LD76" s="1675"/>
      <c r="LE76" s="1675"/>
      <c r="LF76" s="1675"/>
      <c r="LG76" s="1675"/>
      <c r="LH76" s="1675"/>
      <c r="LI76" s="1675"/>
      <c r="LJ76" s="1675"/>
      <c r="LK76" s="1675"/>
      <c r="LL76" s="1675"/>
      <c r="LM76" s="1675"/>
      <c r="LN76" s="1675"/>
      <c r="LO76" s="1675"/>
      <c r="LP76" s="1675"/>
      <c r="LQ76" s="1675"/>
      <c r="LR76" s="1675"/>
      <c r="LS76" s="1675"/>
      <c r="LT76" s="1675"/>
      <c r="LU76" s="1675"/>
      <c r="LV76" s="1675"/>
      <c r="LW76" s="1675"/>
      <c r="LX76" s="1675"/>
      <c r="LY76" s="1675"/>
      <c r="LZ76" s="1675"/>
      <c r="MA76" s="1675"/>
      <c r="MB76" s="1675"/>
    </row>
    <row r="77" spans="1:340" ht="18.95" customHeight="1">
      <c r="A77" s="334"/>
      <c r="B77" s="2275"/>
      <c r="C77" s="1126"/>
      <c r="D77" s="1145"/>
      <c r="E77" s="465"/>
      <c r="F77" s="435"/>
      <c r="G77" s="435"/>
      <c r="H77" s="391"/>
      <c r="I77" s="473"/>
      <c r="J77" s="1670" t="s">
        <v>6080</v>
      </c>
      <c r="K77" s="1671"/>
      <c r="L77" s="1671"/>
      <c r="M77" s="1671"/>
      <c r="N77" s="1672"/>
      <c r="O77" s="1671"/>
      <c r="P77" s="1671"/>
      <c r="Q77" s="1673">
        <v>1</v>
      </c>
      <c r="R77" s="1671" t="s">
        <v>1788</v>
      </c>
      <c r="S77" s="1672">
        <v>100000</v>
      </c>
      <c r="T77" s="1671" t="s">
        <v>0</v>
      </c>
      <c r="U77" s="1671"/>
      <c r="V77" s="1887">
        <v>12</v>
      </c>
      <c r="W77" s="1671" t="s">
        <v>2</v>
      </c>
      <c r="X77" s="806" t="s">
        <v>1</v>
      </c>
      <c r="Y77" s="1802">
        <f>S77*V77/1000</f>
        <v>1200</v>
      </c>
      <c r="Z77" s="1670">
        <f t="shared" si="4"/>
        <v>1200000</v>
      </c>
      <c r="AA77" s="907">
        <f t="shared" si="6"/>
        <v>0</v>
      </c>
      <c r="AB77" s="357"/>
      <c r="AC77" s="347"/>
      <c r="AD77" s="1675"/>
      <c r="AE77" s="1675"/>
      <c r="AF77" s="1675"/>
      <c r="AG77" s="1675"/>
      <c r="AH77" s="1675"/>
      <c r="AI77" s="1675"/>
      <c r="AJ77" s="1675"/>
      <c r="AK77" s="1675"/>
      <c r="AL77" s="1675"/>
      <c r="AM77" s="1675"/>
      <c r="AN77" s="1675"/>
      <c r="AO77" s="1675"/>
      <c r="AP77" s="1675"/>
      <c r="AQ77" s="1675"/>
      <c r="AR77" s="1675"/>
      <c r="AS77" s="1675"/>
      <c r="AT77" s="1675"/>
      <c r="AU77" s="1675"/>
      <c r="AV77" s="1675"/>
      <c r="AW77" s="1675"/>
      <c r="AX77" s="1675"/>
      <c r="AY77" s="1675"/>
      <c r="AZ77" s="1675"/>
      <c r="BA77" s="1675"/>
      <c r="BB77" s="1675"/>
      <c r="BC77" s="1675"/>
      <c r="BD77" s="1675"/>
      <c r="BE77" s="1675"/>
      <c r="BF77" s="1675"/>
      <c r="BG77" s="1675"/>
      <c r="BH77" s="1675"/>
      <c r="BI77" s="1675"/>
      <c r="BJ77" s="1675"/>
      <c r="BK77" s="1675"/>
      <c r="BL77" s="1675"/>
      <c r="BM77" s="1675"/>
      <c r="BN77" s="1675"/>
      <c r="BO77" s="1675"/>
      <c r="BP77" s="1675"/>
      <c r="BQ77" s="1675"/>
      <c r="BR77" s="1675"/>
      <c r="BS77" s="1675"/>
      <c r="BT77" s="1675"/>
      <c r="BU77" s="1675"/>
      <c r="BV77" s="1675"/>
      <c r="BW77" s="1675"/>
      <c r="BX77" s="1675"/>
      <c r="BY77" s="1675"/>
      <c r="BZ77" s="1675"/>
      <c r="CA77" s="1675"/>
      <c r="CB77" s="1675"/>
      <c r="CC77" s="1675"/>
      <c r="CD77" s="1675"/>
      <c r="CE77" s="1675"/>
      <c r="CF77" s="1675"/>
      <c r="CG77" s="1675"/>
      <c r="CH77" s="1675"/>
      <c r="CI77" s="1675"/>
      <c r="CJ77" s="1675"/>
      <c r="CK77" s="1675"/>
      <c r="CL77" s="1675"/>
      <c r="CM77" s="1675"/>
      <c r="CN77" s="1675"/>
      <c r="CO77" s="1675"/>
      <c r="CP77" s="1675"/>
      <c r="CQ77" s="1675"/>
      <c r="CR77" s="1675"/>
      <c r="CS77" s="1675"/>
      <c r="CT77" s="1675"/>
      <c r="CU77" s="1675"/>
      <c r="CV77" s="1675"/>
      <c r="CW77" s="1675"/>
      <c r="CX77" s="1675"/>
      <c r="CY77" s="1675"/>
      <c r="CZ77" s="1675"/>
      <c r="DA77" s="1675"/>
      <c r="DB77" s="1675"/>
      <c r="DC77" s="1675"/>
      <c r="DD77" s="1675"/>
      <c r="DE77" s="1675"/>
      <c r="DF77" s="1675"/>
      <c r="DG77" s="1675"/>
      <c r="DH77" s="1675"/>
      <c r="DI77" s="1675"/>
      <c r="DJ77" s="1675"/>
      <c r="DK77" s="1675"/>
      <c r="DL77" s="1675"/>
      <c r="DM77" s="1675"/>
      <c r="DN77" s="1675"/>
      <c r="DO77" s="1675"/>
      <c r="DP77" s="1675"/>
      <c r="DQ77" s="1675"/>
      <c r="DR77" s="1675"/>
      <c r="DS77" s="1675"/>
      <c r="DT77" s="1675"/>
      <c r="DU77" s="1675"/>
      <c r="DV77" s="1675"/>
      <c r="DW77" s="1675"/>
      <c r="DX77" s="1675"/>
      <c r="DY77" s="1675"/>
      <c r="DZ77" s="1675"/>
      <c r="EA77" s="1675"/>
      <c r="EB77" s="1675"/>
      <c r="EC77" s="1675"/>
      <c r="ED77" s="1675"/>
      <c r="EE77" s="1675"/>
      <c r="EF77" s="1675"/>
      <c r="EG77" s="1675"/>
      <c r="EH77" s="1675"/>
      <c r="EI77" s="1675"/>
      <c r="EJ77" s="1675"/>
      <c r="EK77" s="1675"/>
      <c r="EL77" s="1675"/>
      <c r="EM77" s="1675"/>
      <c r="EN77" s="1675"/>
      <c r="EO77" s="1675"/>
      <c r="EP77" s="1675"/>
      <c r="EQ77" s="1675"/>
      <c r="ER77" s="1675"/>
      <c r="ES77" s="1675"/>
      <c r="ET77" s="1675"/>
      <c r="EU77" s="1675"/>
      <c r="EV77" s="1675"/>
      <c r="EW77" s="1675"/>
      <c r="EX77" s="1675"/>
      <c r="EY77" s="1675"/>
      <c r="EZ77" s="1675"/>
      <c r="FA77" s="1675"/>
      <c r="FB77" s="1675"/>
      <c r="FC77" s="1675"/>
      <c r="FD77" s="1675"/>
      <c r="FE77" s="1675"/>
      <c r="FF77" s="1675"/>
      <c r="FG77" s="1675"/>
      <c r="FH77" s="1675"/>
      <c r="FI77" s="1675"/>
      <c r="FJ77" s="1675"/>
      <c r="FK77" s="1675"/>
      <c r="FL77" s="1675"/>
      <c r="FM77" s="1675"/>
      <c r="FN77" s="1675"/>
      <c r="FO77" s="1675"/>
      <c r="FP77" s="1675"/>
      <c r="FQ77" s="1675"/>
      <c r="FR77" s="1675"/>
      <c r="FS77" s="1675"/>
      <c r="FT77" s="1675"/>
      <c r="FU77" s="1675"/>
      <c r="FV77" s="1675"/>
      <c r="FW77" s="1675"/>
      <c r="FX77" s="1675"/>
      <c r="FY77" s="1675"/>
      <c r="FZ77" s="1675"/>
      <c r="GA77" s="1675"/>
      <c r="GB77" s="1675"/>
      <c r="GC77" s="1675"/>
      <c r="GD77" s="1675"/>
      <c r="GE77" s="1675"/>
      <c r="GF77" s="1675"/>
      <c r="GG77" s="1675"/>
      <c r="GH77" s="1675"/>
      <c r="GI77" s="1675"/>
      <c r="GJ77" s="1675"/>
      <c r="GK77" s="1675"/>
      <c r="GL77" s="1675"/>
      <c r="GM77" s="1675"/>
      <c r="GN77" s="1675"/>
      <c r="GO77" s="1675"/>
      <c r="GP77" s="1675"/>
      <c r="GQ77" s="1675"/>
      <c r="GR77" s="1675"/>
      <c r="GS77" s="1675"/>
      <c r="GT77" s="1675"/>
      <c r="GU77" s="1675"/>
      <c r="GV77" s="1675"/>
      <c r="GW77" s="1675"/>
      <c r="GX77" s="1675"/>
      <c r="GY77" s="1675"/>
      <c r="GZ77" s="1675"/>
      <c r="HA77" s="1675"/>
      <c r="HB77" s="1675"/>
      <c r="HC77" s="1675"/>
      <c r="HD77" s="1675"/>
      <c r="HE77" s="1675"/>
      <c r="HF77" s="1675"/>
      <c r="HG77" s="1675"/>
      <c r="HH77" s="1675"/>
      <c r="HI77" s="1675"/>
      <c r="HJ77" s="1675"/>
      <c r="HK77" s="1675"/>
      <c r="HL77" s="1675"/>
      <c r="HM77" s="1675"/>
      <c r="HN77" s="1675"/>
      <c r="HO77" s="1675"/>
      <c r="HP77" s="1675"/>
      <c r="HQ77" s="1675"/>
      <c r="HR77" s="1675"/>
      <c r="HS77" s="1675"/>
      <c r="HT77" s="1675"/>
      <c r="HU77" s="1675"/>
      <c r="HV77" s="1675"/>
      <c r="HW77" s="1675"/>
      <c r="HX77" s="1675"/>
      <c r="HY77" s="1675"/>
      <c r="HZ77" s="1675"/>
      <c r="IA77" s="1675"/>
      <c r="IB77" s="1675"/>
      <c r="IC77" s="1675"/>
      <c r="ID77" s="1675"/>
      <c r="IE77" s="1675"/>
      <c r="IF77" s="1675"/>
      <c r="IG77" s="1675"/>
      <c r="IH77" s="1675"/>
      <c r="II77" s="1675"/>
      <c r="IJ77" s="1675"/>
      <c r="IK77" s="1675"/>
      <c r="IL77" s="1675"/>
      <c r="IM77" s="1675"/>
      <c r="IN77" s="1675"/>
      <c r="IO77" s="1675"/>
      <c r="IP77" s="1675"/>
      <c r="IQ77" s="1675"/>
      <c r="IR77" s="1675"/>
      <c r="IS77" s="1675"/>
      <c r="IT77" s="1675"/>
      <c r="IU77" s="1675"/>
      <c r="IV77" s="1675"/>
      <c r="IW77" s="1675"/>
      <c r="IX77" s="1675"/>
      <c r="IY77" s="1675"/>
      <c r="IZ77" s="1675"/>
      <c r="JA77" s="1675"/>
      <c r="JB77" s="1675"/>
      <c r="JC77" s="1675"/>
      <c r="JD77" s="1675"/>
      <c r="JE77" s="1675"/>
      <c r="JF77" s="1675"/>
      <c r="JG77" s="1675"/>
      <c r="JH77" s="1675"/>
      <c r="JI77" s="1675"/>
      <c r="JJ77" s="1675"/>
      <c r="JK77" s="1675"/>
      <c r="JL77" s="1675"/>
      <c r="JM77" s="1675"/>
      <c r="JN77" s="1675"/>
      <c r="JO77" s="1675"/>
      <c r="JP77" s="1675"/>
      <c r="JQ77" s="1675"/>
      <c r="JR77" s="1675"/>
      <c r="JS77" s="1675"/>
      <c r="JT77" s="1675"/>
      <c r="JU77" s="1675"/>
      <c r="JV77" s="1675"/>
      <c r="JW77" s="1675"/>
      <c r="JX77" s="1675"/>
      <c r="JY77" s="1675"/>
      <c r="JZ77" s="1675"/>
      <c r="KA77" s="1675"/>
      <c r="KB77" s="1675"/>
      <c r="KC77" s="1675"/>
      <c r="KD77" s="1675"/>
      <c r="KE77" s="1675"/>
      <c r="KF77" s="1675"/>
      <c r="KG77" s="1675"/>
      <c r="KH77" s="1675"/>
      <c r="KI77" s="1675"/>
      <c r="KJ77" s="1675"/>
      <c r="KK77" s="1675"/>
      <c r="KL77" s="1675"/>
      <c r="KM77" s="1675"/>
      <c r="KN77" s="1675"/>
      <c r="KO77" s="1675"/>
      <c r="KP77" s="1675"/>
      <c r="KQ77" s="1675"/>
      <c r="KR77" s="1675"/>
      <c r="KS77" s="1675"/>
      <c r="KT77" s="1675"/>
      <c r="KU77" s="1675"/>
      <c r="KV77" s="1675"/>
      <c r="KW77" s="1675"/>
      <c r="KX77" s="1675"/>
      <c r="KY77" s="1675"/>
      <c r="KZ77" s="1675"/>
      <c r="LA77" s="1675"/>
      <c r="LB77" s="1675"/>
      <c r="LC77" s="1675"/>
      <c r="LD77" s="1675"/>
      <c r="LE77" s="1675"/>
      <c r="LF77" s="1675"/>
      <c r="LG77" s="1675"/>
      <c r="LH77" s="1675"/>
      <c r="LI77" s="1675"/>
      <c r="LJ77" s="1675"/>
      <c r="LK77" s="1675"/>
      <c r="LL77" s="1675"/>
      <c r="LM77" s="1675"/>
      <c r="LN77" s="1675"/>
      <c r="LO77" s="1675"/>
      <c r="LP77" s="1675"/>
      <c r="LQ77" s="1675"/>
      <c r="LR77" s="1675"/>
      <c r="LS77" s="1675"/>
      <c r="LT77" s="1675"/>
      <c r="LU77" s="1675"/>
      <c r="LV77" s="1675"/>
      <c r="LW77" s="1675"/>
      <c r="LX77" s="1675"/>
      <c r="LY77" s="1675"/>
      <c r="LZ77" s="1675"/>
      <c r="MA77" s="1675"/>
      <c r="MB77" s="1675"/>
    </row>
    <row r="78" spans="1:340" ht="18.95" customHeight="1">
      <c r="A78" s="334"/>
      <c r="B78" s="2275"/>
      <c r="C78" s="1126"/>
      <c r="D78" s="1145"/>
      <c r="E78" s="465"/>
      <c r="F78" s="435"/>
      <c r="G78" s="435"/>
      <c r="H78" s="391"/>
      <c r="I78" s="473"/>
      <c r="J78" s="1670" t="s">
        <v>6081</v>
      </c>
      <c r="K78" s="1671"/>
      <c r="L78" s="1671"/>
      <c r="M78" s="1671"/>
      <c r="N78" s="1672"/>
      <c r="O78" s="1671"/>
      <c r="P78" s="1671"/>
      <c r="Q78" s="1673"/>
      <c r="R78" s="1671"/>
      <c r="S78" s="1672"/>
      <c r="T78" s="1671"/>
      <c r="U78" s="1671"/>
      <c r="V78" s="1887"/>
      <c r="W78" s="1671"/>
      <c r="X78" s="1671"/>
      <c r="Y78" s="1802"/>
      <c r="Z78" s="1670">
        <f>S78*V78</f>
        <v>0</v>
      </c>
      <c r="AA78" s="907">
        <f t="shared" si="6"/>
        <v>0</v>
      </c>
      <c r="AB78" s="357"/>
      <c r="AC78" s="347"/>
      <c r="AD78" s="1675"/>
      <c r="AE78" s="1675"/>
      <c r="AF78" s="1675"/>
      <c r="AG78" s="1675"/>
      <c r="AH78" s="1675"/>
      <c r="AI78" s="1675"/>
      <c r="AJ78" s="1675"/>
      <c r="AK78" s="1675"/>
      <c r="AL78" s="1675"/>
      <c r="AM78" s="1675"/>
      <c r="AN78" s="1675"/>
      <c r="AO78" s="1675"/>
      <c r="AP78" s="1675"/>
      <c r="AQ78" s="1675"/>
      <c r="AR78" s="1675"/>
      <c r="AS78" s="1675"/>
      <c r="AT78" s="1675"/>
      <c r="AU78" s="1675"/>
      <c r="AV78" s="1675"/>
      <c r="AW78" s="1675"/>
      <c r="AX78" s="1675"/>
      <c r="AY78" s="1675"/>
      <c r="AZ78" s="1675"/>
      <c r="BA78" s="1675"/>
      <c r="BB78" s="1675"/>
      <c r="BC78" s="1675"/>
      <c r="BD78" s="1675"/>
      <c r="BE78" s="1675"/>
      <c r="BF78" s="1675"/>
      <c r="BG78" s="1675"/>
      <c r="BH78" s="1675"/>
      <c r="BI78" s="1675"/>
      <c r="BJ78" s="1675"/>
      <c r="BK78" s="1675"/>
      <c r="BL78" s="1675"/>
      <c r="BM78" s="1675"/>
      <c r="BN78" s="1675"/>
      <c r="BO78" s="1675"/>
      <c r="BP78" s="1675"/>
      <c r="BQ78" s="1675"/>
      <c r="BR78" s="1675"/>
      <c r="BS78" s="1675"/>
      <c r="BT78" s="1675"/>
      <c r="BU78" s="1675"/>
      <c r="BV78" s="1675"/>
      <c r="BW78" s="1675"/>
      <c r="BX78" s="1675"/>
      <c r="BY78" s="1675"/>
      <c r="BZ78" s="1675"/>
      <c r="CA78" s="1675"/>
      <c r="CB78" s="1675"/>
      <c r="CC78" s="1675"/>
      <c r="CD78" s="1675"/>
      <c r="CE78" s="1675"/>
      <c r="CF78" s="1675"/>
      <c r="CG78" s="1675"/>
      <c r="CH78" s="1675"/>
      <c r="CI78" s="1675"/>
      <c r="CJ78" s="1675"/>
      <c r="CK78" s="1675"/>
      <c r="CL78" s="1675"/>
      <c r="CM78" s="1675"/>
      <c r="CN78" s="1675"/>
      <c r="CO78" s="1675"/>
      <c r="CP78" s="1675"/>
      <c r="CQ78" s="1675"/>
      <c r="CR78" s="1675"/>
      <c r="CS78" s="1675"/>
      <c r="CT78" s="1675"/>
      <c r="CU78" s="1675"/>
      <c r="CV78" s="1675"/>
      <c r="CW78" s="1675"/>
      <c r="CX78" s="1675"/>
      <c r="CY78" s="1675"/>
      <c r="CZ78" s="1675"/>
      <c r="DA78" s="1675"/>
      <c r="DB78" s="1675"/>
      <c r="DC78" s="1675"/>
      <c r="DD78" s="1675"/>
      <c r="DE78" s="1675"/>
      <c r="DF78" s="1675"/>
      <c r="DG78" s="1675"/>
      <c r="DH78" s="1675"/>
      <c r="DI78" s="1675"/>
      <c r="DJ78" s="1675"/>
      <c r="DK78" s="1675"/>
      <c r="DL78" s="1675"/>
      <c r="DM78" s="1675"/>
      <c r="DN78" s="1675"/>
      <c r="DO78" s="1675"/>
      <c r="DP78" s="1675"/>
      <c r="DQ78" s="1675"/>
      <c r="DR78" s="1675"/>
      <c r="DS78" s="1675"/>
      <c r="DT78" s="1675"/>
      <c r="DU78" s="1675"/>
      <c r="DV78" s="1675"/>
      <c r="DW78" s="1675"/>
      <c r="DX78" s="1675"/>
      <c r="DY78" s="1675"/>
      <c r="DZ78" s="1675"/>
      <c r="EA78" s="1675"/>
      <c r="EB78" s="1675"/>
      <c r="EC78" s="1675"/>
      <c r="ED78" s="1675"/>
      <c r="EE78" s="1675"/>
      <c r="EF78" s="1675"/>
      <c r="EG78" s="1675"/>
      <c r="EH78" s="1675"/>
      <c r="EI78" s="1675"/>
      <c r="EJ78" s="1675"/>
      <c r="EK78" s="1675"/>
      <c r="EL78" s="1675"/>
      <c r="EM78" s="1675"/>
      <c r="EN78" s="1675"/>
      <c r="EO78" s="1675"/>
      <c r="EP78" s="1675"/>
      <c r="EQ78" s="1675"/>
      <c r="ER78" s="1675"/>
      <c r="ES78" s="1675"/>
      <c r="ET78" s="1675"/>
      <c r="EU78" s="1675"/>
      <c r="EV78" s="1675"/>
      <c r="EW78" s="1675"/>
      <c r="EX78" s="1675"/>
      <c r="EY78" s="1675"/>
      <c r="EZ78" s="1675"/>
      <c r="FA78" s="1675"/>
      <c r="FB78" s="1675"/>
      <c r="FC78" s="1675"/>
      <c r="FD78" s="1675"/>
      <c r="FE78" s="1675"/>
      <c r="FF78" s="1675"/>
      <c r="FG78" s="1675"/>
      <c r="FH78" s="1675"/>
      <c r="FI78" s="1675"/>
      <c r="FJ78" s="1675"/>
      <c r="FK78" s="1675"/>
      <c r="FL78" s="1675"/>
      <c r="FM78" s="1675"/>
      <c r="FN78" s="1675"/>
      <c r="FO78" s="1675"/>
      <c r="FP78" s="1675"/>
      <c r="FQ78" s="1675"/>
      <c r="FR78" s="1675"/>
      <c r="FS78" s="1675"/>
      <c r="FT78" s="1675"/>
      <c r="FU78" s="1675"/>
      <c r="FV78" s="1675"/>
      <c r="FW78" s="1675"/>
      <c r="FX78" s="1675"/>
      <c r="FY78" s="1675"/>
      <c r="FZ78" s="1675"/>
      <c r="GA78" s="1675"/>
      <c r="GB78" s="1675"/>
      <c r="GC78" s="1675"/>
      <c r="GD78" s="1675"/>
      <c r="GE78" s="1675"/>
      <c r="GF78" s="1675"/>
      <c r="GG78" s="1675"/>
      <c r="GH78" s="1675"/>
      <c r="GI78" s="1675"/>
      <c r="GJ78" s="1675"/>
      <c r="GK78" s="1675"/>
      <c r="GL78" s="1675"/>
      <c r="GM78" s="1675"/>
      <c r="GN78" s="1675"/>
      <c r="GO78" s="1675"/>
      <c r="GP78" s="1675"/>
      <c r="GQ78" s="1675"/>
      <c r="GR78" s="1675"/>
      <c r="GS78" s="1675"/>
      <c r="GT78" s="1675"/>
      <c r="GU78" s="1675"/>
      <c r="GV78" s="1675"/>
      <c r="GW78" s="1675"/>
      <c r="GX78" s="1675"/>
      <c r="GY78" s="1675"/>
      <c r="GZ78" s="1675"/>
      <c r="HA78" s="1675"/>
      <c r="HB78" s="1675"/>
      <c r="HC78" s="1675"/>
      <c r="HD78" s="1675"/>
      <c r="HE78" s="1675"/>
      <c r="HF78" s="1675"/>
      <c r="HG78" s="1675"/>
      <c r="HH78" s="1675"/>
      <c r="HI78" s="1675"/>
      <c r="HJ78" s="1675"/>
      <c r="HK78" s="1675"/>
      <c r="HL78" s="1675"/>
      <c r="HM78" s="1675"/>
      <c r="HN78" s="1675"/>
      <c r="HO78" s="1675"/>
      <c r="HP78" s="1675"/>
      <c r="HQ78" s="1675"/>
      <c r="HR78" s="1675"/>
      <c r="HS78" s="1675"/>
      <c r="HT78" s="1675"/>
      <c r="HU78" s="1675"/>
      <c r="HV78" s="1675"/>
      <c r="HW78" s="1675"/>
      <c r="HX78" s="1675"/>
      <c r="HY78" s="1675"/>
      <c r="HZ78" s="1675"/>
      <c r="IA78" s="1675"/>
      <c r="IB78" s="1675"/>
      <c r="IC78" s="1675"/>
      <c r="ID78" s="1675"/>
      <c r="IE78" s="1675"/>
      <c r="IF78" s="1675"/>
      <c r="IG78" s="1675"/>
      <c r="IH78" s="1675"/>
      <c r="II78" s="1675"/>
      <c r="IJ78" s="1675"/>
      <c r="IK78" s="1675"/>
      <c r="IL78" s="1675"/>
      <c r="IM78" s="1675"/>
      <c r="IN78" s="1675"/>
      <c r="IO78" s="1675"/>
      <c r="IP78" s="1675"/>
      <c r="IQ78" s="1675"/>
      <c r="IR78" s="1675"/>
      <c r="IS78" s="1675"/>
      <c r="IT78" s="1675"/>
      <c r="IU78" s="1675"/>
      <c r="IV78" s="1675"/>
      <c r="IW78" s="1675"/>
      <c r="IX78" s="1675"/>
      <c r="IY78" s="1675"/>
      <c r="IZ78" s="1675"/>
      <c r="JA78" s="1675"/>
      <c r="JB78" s="1675"/>
      <c r="JC78" s="1675"/>
      <c r="JD78" s="1675"/>
      <c r="JE78" s="1675"/>
      <c r="JF78" s="1675"/>
      <c r="JG78" s="1675"/>
      <c r="JH78" s="1675"/>
      <c r="JI78" s="1675"/>
      <c r="JJ78" s="1675"/>
      <c r="JK78" s="1675"/>
      <c r="JL78" s="1675"/>
      <c r="JM78" s="1675"/>
      <c r="JN78" s="1675"/>
      <c r="JO78" s="1675"/>
      <c r="JP78" s="1675"/>
      <c r="JQ78" s="1675"/>
      <c r="JR78" s="1675"/>
      <c r="JS78" s="1675"/>
      <c r="JT78" s="1675"/>
      <c r="JU78" s="1675"/>
      <c r="JV78" s="1675"/>
      <c r="JW78" s="1675"/>
      <c r="JX78" s="1675"/>
      <c r="JY78" s="1675"/>
      <c r="JZ78" s="1675"/>
      <c r="KA78" s="1675"/>
      <c r="KB78" s="1675"/>
      <c r="KC78" s="1675"/>
      <c r="KD78" s="1675"/>
      <c r="KE78" s="1675"/>
      <c r="KF78" s="1675"/>
      <c r="KG78" s="1675"/>
      <c r="KH78" s="1675"/>
      <c r="KI78" s="1675"/>
      <c r="KJ78" s="1675"/>
      <c r="KK78" s="1675"/>
      <c r="KL78" s="1675"/>
      <c r="KM78" s="1675"/>
      <c r="KN78" s="1675"/>
      <c r="KO78" s="1675"/>
      <c r="KP78" s="1675"/>
      <c r="KQ78" s="1675"/>
      <c r="KR78" s="1675"/>
      <c r="KS78" s="1675"/>
      <c r="KT78" s="1675"/>
      <c r="KU78" s="1675"/>
      <c r="KV78" s="1675"/>
      <c r="KW78" s="1675"/>
      <c r="KX78" s="1675"/>
      <c r="KY78" s="1675"/>
      <c r="KZ78" s="1675"/>
      <c r="LA78" s="1675"/>
      <c r="LB78" s="1675"/>
      <c r="LC78" s="1675"/>
      <c r="LD78" s="1675"/>
      <c r="LE78" s="1675"/>
      <c r="LF78" s="1675"/>
      <c r="LG78" s="1675"/>
      <c r="LH78" s="1675"/>
      <c r="LI78" s="1675"/>
      <c r="LJ78" s="1675"/>
      <c r="LK78" s="1675"/>
      <c r="LL78" s="1675"/>
      <c r="LM78" s="1675"/>
      <c r="LN78" s="1675"/>
      <c r="LO78" s="1675"/>
      <c r="LP78" s="1675"/>
      <c r="LQ78" s="1675"/>
      <c r="LR78" s="1675"/>
      <c r="LS78" s="1675"/>
      <c r="LT78" s="1675"/>
      <c r="LU78" s="1675"/>
      <c r="LV78" s="1675"/>
      <c r="LW78" s="1675"/>
      <c r="LX78" s="1675"/>
      <c r="LY78" s="1675"/>
      <c r="LZ78" s="1675"/>
      <c r="MA78" s="1675"/>
      <c r="MB78" s="1675"/>
    </row>
    <row r="79" spans="1:340" ht="18.95" customHeight="1">
      <c r="A79" s="334"/>
      <c r="B79" s="2275"/>
      <c r="C79" s="1126"/>
      <c r="D79" s="1145"/>
      <c r="E79" s="465"/>
      <c r="F79" s="435"/>
      <c r="G79" s="435"/>
      <c r="H79" s="391"/>
      <c r="I79" s="473"/>
      <c r="J79" s="1670" t="s">
        <v>6082</v>
      </c>
      <c r="K79" s="1671"/>
      <c r="L79" s="1671"/>
      <c r="M79" s="1671"/>
      <c r="N79" s="1672"/>
      <c r="O79" s="1671"/>
      <c r="P79" s="1671"/>
      <c r="Q79" s="1673">
        <v>1</v>
      </c>
      <c r="R79" s="1671" t="s">
        <v>1788</v>
      </c>
      <c r="S79" s="1672">
        <v>9000000</v>
      </c>
      <c r="T79" s="1671" t="s">
        <v>0</v>
      </c>
      <c r="U79" s="1671"/>
      <c r="V79" s="1887">
        <v>2</v>
      </c>
      <c r="W79" s="1671" t="s">
        <v>3</v>
      </c>
      <c r="X79" s="1671" t="s">
        <v>1</v>
      </c>
      <c r="Y79" s="1802">
        <f>S79*V79/1000</f>
        <v>18000</v>
      </c>
      <c r="Z79" s="1670">
        <f>Q79*S79*V79</f>
        <v>18000000</v>
      </c>
      <c r="AA79" s="907">
        <f t="shared" si="6"/>
        <v>0</v>
      </c>
      <c r="AB79" s="357"/>
      <c r="AC79" s="347"/>
      <c r="AD79" s="1675"/>
      <c r="AE79" s="1675"/>
      <c r="AF79" s="1675"/>
      <c r="AG79" s="1675"/>
      <c r="AH79" s="1675"/>
      <c r="AI79" s="1675"/>
      <c r="AJ79" s="1675"/>
      <c r="AK79" s="1675"/>
      <c r="AL79" s="1675"/>
      <c r="AM79" s="1675"/>
      <c r="AN79" s="1675"/>
      <c r="AO79" s="1675"/>
      <c r="AP79" s="1675"/>
      <c r="AQ79" s="1675"/>
      <c r="AR79" s="1675"/>
      <c r="AS79" s="1675"/>
      <c r="AT79" s="1675"/>
      <c r="AU79" s="1675"/>
      <c r="AV79" s="1675"/>
      <c r="AW79" s="1675"/>
      <c r="AX79" s="1675"/>
      <c r="AY79" s="1675"/>
      <c r="AZ79" s="1675"/>
      <c r="BA79" s="1675"/>
      <c r="BB79" s="1675"/>
      <c r="BC79" s="1675"/>
      <c r="BD79" s="1675"/>
      <c r="BE79" s="1675"/>
      <c r="BF79" s="1675"/>
      <c r="BG79" s="1675"/>
      <c r="BH79" s="1675"/>
      <c r="BI79" s="1675"/>
      <c r="BJ79" s="1675"/>
      <c r="BK79" s="1675"/>
      <c r="BL79" s="1675"/>
      <c r="BM79" s="1675"/>
      <c r="BN79" s="1675"/>
      <c r="BO79" s="1675"/>
      <c r="BP79" s="1675"/>
      <c r="BQ79" s="1675"/>
      <c r="BR79" s="1675"/>
      <c r="BS79" s="1675"/>
      <c r="BT79" s="1675"/>
      <c r="BU79" s="1675"/>
      <c r="BV79" s="1675"/>
      <c r="BW79" s="1675"/>
      <c r="BX79" s="1675"/>
      <c r="BY79" s="1675"/>
      <c r="BZ79" s="1675"/>
      <c r="CA79" s="1675"/>
      <c r="CB79" s="1675"/>
      <c r="CC79" s="1675"/>
      <c r="CD79" s="1675"/>
      <c r="CE79" s="1675"/>
      <c r="CF79" s="1675"/>
      <c r="CG79" s="1675"/>
      <c r="CH79" s="1675"/>
      <c r="CI79" s="1675"/>
      <c r="CJ79" s="1675"/>
      <c r="CK79" s="1675"/>
      <c r="CL79" s="1675"/>
      <c r="CM79" s="1675"/>
      <c r="CN79" s="1675"/>
      <c r="CO79" s="1675"/>
      <c r="CP79" s="1675"/>
      <c r="CQ79" s="1675"/>
      <c r="CR79" s="1675"/>
      <c r="CS79" s="1675"/>
      <c r="CT79" s="1675"/>
      <c r="CU79" s="1675"/>
      <c r="CV79" s="1675"/>
      <c r="CW79" s="1675"/>
      <c r="CX79" s="1675"/>
      <c r="CY79" s="1675"/>
      <c r="CZ79" s="1675"/>
      <c r="DA79" s="1675"/>
      <c r="DB79" s="1675"/>
      <c r="DC79" s="1675"/>
      <c r="DD79" s="1675"/>
      <c r="DE79" s="1675"/>
      <c r="DF79" s="1675"/>
      <c r="DG79" s="1675"/>
      <c r="DH79" s="1675"/>
      <c r="DI79" s="1675"/>
      <c r="DJ79" s="1675"/>
      <c r="DK79" s="1675"/>
      <c r="DL79" s="1675"/>
      <c r="DM79" s="1675"/>
      <c r="DN79" s="1675"/>
      <c r="DO79" s="1675"/>
      <c r="DP79" s="1675"/>
      <c r="DQ79" s="1675"/>
      <c r="DR79" s="1675"/>
      <c r="DS79" s="1675"/>
      <c r="DT79" s="1675"/>
      <c r="DU79" s="1675"/>
      <c r="DV79" s="1675"/>
      <c r="DW79" s="1675"/>
      <c r="DX79" s="1675"/>
      <c r="DY79" s="1675"/>
      <c r="DZ79" s="1675"/>
      <c r="EA79" s="1675"/>
      <c r="EB79" s="1675"/>
      <c r="EC79" s="1675"/>
      <c r="ED79" s="1675"/>
      <c r="EE79" s="1675"/>
      <c r="EF79" s="1675"/>
      <c r="EG79" s="1675"/>
      <c r="EH79" s="1675"/>
      <c r="EI79" s="1675"/>
      <c r="EJ79" s="1675"/>
      <c r="EK79" s="1675"/>
      <c r="EL79" s="1675"/>
      <c r="EM79" s="1675"/>
      <c r="EN79" s="1675"/>
      <c r="EO79" s="1675"/>
      <c r="EP79" s="1675"/>
      <c r="EQ79" s="1675"/>
      <c r="ER79" s="1675"/>
      <c r="ES79" s="1675"/>
      <c r="ET79" s="1675"/>
      <c r="EU79" s="1675"/>
      <c r="EV79" s="1675"/>
      <c r="EW79" s="1675"/>
      <c r="EX79" s="1675"/>
      <c r="EY79" s="1675"/>
      <c r="EZ79" s="1675"/>
      <c r="FA79" s="1675"/>
      <c r="FB79" s="1675"/>
      <c r="FC79" s="1675"/>
      <c r="FD79" s="1675"/>
      <c r="FE79" s="1675"/>
      <c r="FF79" s="1675"/>
      <c r="FG79" s="1675"/>
      <c r="FH79" s="1675"/>
      <c r="FI79" s="1675"/>
      <c r="FJ79" s="1675"/>
      <c r="FK79" s="1675"/>
      <c r="FL79" s="1675"/>
      <c r="FM79" s="1675"/>
      <c r="FN79" s="1675"/>
      <c r="FO79" s="1675"/>
      <c r="FP79" s="1675"/>
      <c r="FQ79" s="1675"/>
      <c r="FR79" s="1675"/>
      <c r="FS79" s="1675"/>
      <c r="FT79" s="1675"/>
      <c r="FU79" s="1675"/>
      <c r="FV79" s="1675"/>
      <c r="FW79" s="1675"/>
      <c r="FX79" s="1675"/>
      <c r="FY79" s="1675"/>
      <c r="FZ79" s="1675"/>
      <c r="GA79" s="1675"/>
      <c r="GB79" s="1675"/>
      <c r="GC79" s="1675"/>
      <c r="GD79" s="1675"/>
      <c r="GE79" s="1675"/>
      <c r="GF79" s="1675"/>
      <c r="GG79" s="1675"/>
      <c r="GH79" s="1675"/>
      <c r="GI79" s="1675"/>
      <c r="GJ79" s="1675"/>
      <c r="GK79" s="1675"/>
      <c r="GL79" s="1675"/>
      <c r="GM79" s="1675"/>
      <c r="GN79" s="1675"/>
      <c r="GO79" s="1675"/>
      <c r="GP79" s="1675"/>
      <c r="GQ79" s="1675"/>
      <c r="GR79" s="1675"/>
      <c r="GS79" s="1675"/>
      <c r="GT79" s="1675"/>
      <c r="GU79" s="1675"/>
      <c r="GV79" s="1675"/>
      <c r="GW79" s="1675"/>
      <c r="GX79" s="1675"/>
      <c r="GY79" s="1675"/>
      <c r="GZ79" s="1675"/>
      <c r="HA79" s="1675"/>
      <c r="HB79" s="1675"/>
      <c r="HC79" s="1675"/>
      <c r="HD79" s="1675"/>
      <c r="HE79" s="1675"/>
      <c r="HF79" s="1675"/>
      <c r="HG79" s="1675"/>
      <c r="HH79" s="1675"/>
      <c r="HI79" s="1675"/>
      <c r="HJ79" s="1675"/>
      <c r="HK79" s="1675"/>
      <c r="HL79" s="1675"/>
      <c r="HM79" s="1675"/>
      <c r="HN79" s="1675"/>
      <c r="HO79" s="1675"/>
      <c r="HP79" s="1675"/>
      <c r="HQ79" s="1675"/>
      <c r="HR79" s="1675"/>
      <c r="HS79" s="1675"/>
      <c r="HT79" s="1675"/>
      <c r="HU79" s="1675"/>
      <c r="HV79" s="1675"/>
      <c r="HW79" s="1675"/>
      <c r="HX79" s="1675"/>
      <c r="HY79" s="1675"/>
      <c r="HZ79" s="1675"/>
      <c r="IA79" s="1675"/>
      <c r="IB79" s="1675"/>
      <c r="IC79" s="1675"/>
      <c r="ID79" s="1675"/>
      <c r="IE79" s="1675"/>
      <c r="IF79" s="1675"/>
      <c r="IG79" s="1675"/>
      <c r="IH79" s="1675"/>
      <c r="II79" s="1675"/>
      <c r="IJ79" s="1675"/>
      <c r="IK79" s="1675"/>
      <c r="IL79" s="1675"/>
      <c r="IM79" s="1675"/>
      <c r="IN79" s="1675"/>
      <c r="IO79" s="1675"/>
      <c r="IP79" s="1675"/>
      <c r="IQ79" s="1675"/>
      <c r="IR79" s="1675"/>
      <c r="IS79" s="1675"/>
      <c r="IT79" s="1675"/>
      <c r="IU79" s="1675"/>
      <c r="IV79" s="1675"/>
      <c r="IW79" s="1675"/>
      <c r="IX79" s="1675"/>
      <c r="IY79" s="1675"/>
      <c r="IZ79" s="1675"/>
      <c r="JA79" s="1675"/>
      <c r="JB79" s="1675"/>
      <c r="JC79" s="1675"/>
      <c r="JD79" s="1675"/>
      <c r="JE79" s="1675"/>
      <c r="JF79" s="1675"/>
      <c r="JG79" s="1675"/>
      <c r="JH79" s="1675"/>
      <c r="JI79" s="1675"/>
      <c r="JJ79" s="1675"/>
      <c r="JK79" s="1675"/>
      <c r="JL79" s="1675"/>
      <c r="JM79" s="1675"/>
      <c r="JN79" s="1675"/>
      <c r="JO79" s="1675"/>
      <c r="JP79" s="1675"/>
      <c r="JQ79" s="1675"/>
      <c r="JR79" s="1675"/>
      <c r="JS79" s="1675"/>
      <c r="JT79" s="1675"/>
      <c r="JU79" s="1675"/>
      <c r="JV79" s="1675"/>
      <c r="JW79" s="1675"/>
      <c r="JX79" s="1675"/>
      <c r="JY79" s="1675"/>
      <c r="JZ79" s="1675"/>
      <c r="KA79" s="1675"/>
      <c r="KB79" s="1675"/>
      <c r="KC79" s="1675"/>
      <c r="KD79" s="1675"/>
      <c r="KE79" s="1675"/>
      <c r="KF79" s="1675"/>
      <c r="KG79" s="1675"/>
      <c r="KH79" s="1675"/>
      <c r="KI79" s="1675"/>
      <c r="KJ79" s="1675"/>
      <c r="KK79" s="1675"/>
      <c r="KL79" s="1675"/>
      <c r="KM79" s="1675"/>
      <c r="KN79" s="1675"/>
      <c r="KO79" s="1675"/>
      <c r="KP79" s="1675"/>
      <c r="KQ79" s="1675"/>
      <c r="KR79" s="1675"/>
      <c r="KS79" s="1675"/>
      <c r="KT79" s="1675"/>
      <c r="KU79" s="1675"/>
      <c r="KV79" s="1675"/>
      <c r="KW79" s="1675"/>
      <c r="KX79" s="1675"/>
      <c r="KY79" s="1675"/>
      <c r="KZ79" s="1675"/>
      <c r="LA79" s="1675"/>
      <c r="LB79" s="1675"/>
      <c r="LC79" s="1675"/>
      <c r="LD79" s="1675"/>
      <c r="LE79" s="1675"/>
      <c r="LF79" s="1675"/>
      <c r="LG79" s="1675"/>
      <c r="LH79" s="1675"/>
      <c r="LI79" s="1675"/>
      <c r="LJ79" s="1675"/>
      <c r="LK79" s="1675"/>
      <c r="LL79" s="1675"/>
      <c r="LM79" s="1675"/>
      <c r="LN79" s="1675"/>
      <c r="LO79" s="1675"/>
      <c r="LP79" s="1675"/>
      <c r="LQ79" s="1675"/>
      <c r="LR79" s="1675"/>
      <c r="LS79" s="1675"/>
      <c r="LT79" s="1675"/>
      <c r="LU79" s="1675"/>
      <c r="LV79" s="1675"/>
      <c r="LW79" s="1675"/>
      <c r="LX79" s="1675"/>
      <c r="LY79" s="1675"/>
      <c r="LZ79" s="1675"/>
      <c r="MA79" s="1675"/>
      <c r="MB79" s="1675"/>
    </row>
    <row r="80" spans="1:340" ht="18.95" customHeight="1">
      <c r="A80" s="334"/>
      <c r="B80" s="2275"/>
      <c r="C80" s="1126"/>
      <c r="D80" s="1145"/>
      <c r="E80" s="465"/>
      <c r="F80" s="435"/>
      <c r="G80" s="435"/>
      <c r="H80" s="391"/>
      <c r="I80" s="473"/>
      <c r="J80" s="1670" t="s">
        <v>6083</v>
      </c>
      <c r="K80" s="1671"/>
      <c r="L80" s="1671"/>
      <c r="M80" s="1671"/>
      <c r="N80" s="1672"/>
      <c r="O80" s="1671"/>
      <c r="P80" s="1671"/>
      <c r="Q80" s="1673">
        <v>1</v>
      </c>
      <c r="R80" s="1671" t="s">
        <v>1788</v>
      </c>
      <c r="S80" s="1672">
        <v>1000000</v>
      </c>
      <c r="T80" s="1671" t="s">
        <v>0</v>
      </c>
      <c r="U80" s="1671"/>
      <c r="V80" s="1887">
        <v>2</v>
      </c>
      <c r="W80" s="1671" t="s">
        <v>3</v>
      </c>
      <c r="X80" s="1671" t="s">
        <v>1</v>
      </c>
      <c r="Y80" s="1802">
        <f>S80*V80/1000</f>
        <v>2000</v>
      </c>
      <c r="Z80" s="1670">
        <f>Q80*S80*V80</f>
        <v>2000000</v>
      </c>
      <c r="AA80" s="907">
        <f t="shared" si="6"/>
        <v>0</v>
      </c>
      <c r="AB80" s="357"/>
      <c r="AC80" s="347"/>
      <c r="AD80" s="1675"/>
      <c r="AE80" s="1675"/>
      <c r="AF80" s="1675"/>
      <c r="AG80" s="1675"/>
      <c r="AH80" s="1675"/>
      <c r="AI80" s="1675"/>
      <c r="AJ80" s="1675"/>
      <c r="AK80" s="1675"/>
      <c r="AL80" s="1675"/>
      <c r="AM80" s="1675"/>
      <c r="AN80" s="1675"/>
      <c r="AO80" s="1675"/>
      <c r="AP80" s="1675"/>
      <c r="AQ80" s="1675"/>
      <c r="AR80" s="1675"/>
      <c r="AS80" s="1675"/>
      <c r="AT80" s="1675"/>
      <c r="AU80" s="1675"/>
      <c r="AV80" s="1675"/>
      <c r="AW80" s="1675"/>
      <c r="AX80" s="1675"/>
      <c r="AY80" s="1675"/>
      <c r="AZ80" s="1675"/>
      <c r="BA80" s="1675"/>
      <c r="BB80" s="1675"/>
      <c r="BC80" s="1675"/>
      <c r="BD80" s="1675"/>
      <c r="BE80" s="1675"/>
      <c r="BF80" s="1675"/>
      <c r="BG80" s="1675"/>
      <c r="BH80" s="1675"/>
      <c r="BI80" s="1675"/>
      <c r="BJ80" s="1675"/>
      <c r="BK80" s="1675"/>
      <c r="BL80" s="1675"/>
      <c r="BM80" s="1675"/>
      <c r="BN80" s="1675"/>
      <c r="BO80" s="1675"/>
      <c r="BP80" s="1675"/>
      <c r="BQ80" s="1675"/>
      <c r="BR80" s="1675"/>
      <c r="BS80" s="1675"/>
      <c r="BT80" s="1675"/>
      <c r="BU80" s="1675"/>
      <c r="BV80" s="1675"/>
      <c r="BW80" s="1675"/>
      <c r="BX80" s="1675"/>
      <c r="BY80" s="1675"/>
      <c r="BZ80" s="1675"/>
      <c r="CA80" s="1675"/>
      <c r="CB80" s="1675"/>
      <c r="CC80" s="1675"/>
      <c r="CD80" s="1675"/>
      <c r="CE80" s="1675"/>
      <c r="CF80" s="1675"/>
      <c r="CG80" s="1675"/>
      <c r="CH80" s="1675"/>
      <c r="CI80" s="1675"/>
      <c r="CJ80" s="1675"/>
      <c r="CK80" s="1675"/>
      <c r="CL80" s="1675"/>
      <c r="CM80" s="1675"/>
      <c r="CN80" s="1675"/>
      <c r="CO80" s="1675"/>
      <c r="CP80" s="1675"/>
      <c r="CQ80" s="1675"/>
      <c r="CR80" s="1675"/>
      <c r="CS80" s="1675"/>
      <c r="CT80" s="1675"/>
      <c r="CU80" s="1675"/>
      <c r="CV80" s="1675"/>
      <c r="CW80" s="1675"/>
      <c r="CX80" s="1675"/>
      <c r="CY80" s="1675"/>
      <c r="CZ80" s="1675"/>
      <c r="DA80" s="1675"/>
      <c r="DB80" s="1675"/>
      <c r="DC80" s="1675"/>
      <c r="DD80" s="1675"/>
      <c r="DE80" s="1675"/>
      <c r="DF80" s="1675"/>
      <c r="DG80" s="1675"/>
      <c r="DH80" s="1675"/>
      <c r="DI80" s="1675"/>
      <c r="DJ80" s="1675"/>
      <c r="DK80" s="1675"/>
      <c r="DL80" s="1675"/>
      <c r="DM80" s="1675"/>
      <c r="DN80" s="1675"/>
      <c r="DO80" s="1675"/>
      <c r="DP80" s="1675"/>
      <c r="DQ80" s="1675"/>
      <c r="DR80" s="1675"/>
      <c r="DS80" s="1675"/>
      <c r="DT80" s="1675"/>
      <c r="DU80" s="1675"/>
      <c r="DV80" s="1675"/>
      <c r="DW80" s="1675"/>
      <c r="DX80" s="1675"/>
      <c r="DY80" s="1675"/>
      <c r="DZ80" s="1675"/>
      <c r="EA80" s="1675"/>
      <c r="EB80" s="1675"/>
      <c r="EC80" s="1675"/>
      <c r="ED80" s="1675"/>
      <c r="EE80" s="1675"/>
      <c r="EF80" s="1675"/>
      <c r="EG80" s="1675"/>
      <c r="EH80" s="1675"/>
      <c r="EI80" s="1675"/>
      <c r="EJ80" s="1675"/>
      <c r="EK80" s="1675"/>
      <c r="EL80" s="1675"/>
      <c r="EM80" s="1675"/>
      <c r="EN80" s="1675"/>
      <c r="EO80" s="1675"/>
      <c r="EP80" s="1675"/>
      <c r="EQ80" s="1675"/>
      <c r="ER80" s="1675"/>
      <c r="ES80" s="1675"/>
      <c r="ET80" s="1675"/>
      <c r="EU80" s="1675"/>
      <c r="EV80" s="1675"/>
      <c r="EW80" s="1675"/>
      <c r="EX80" s="1675"/>
      <c r="EY80" s="1675"/>
      <c r="EZ80" s="1675"/>
      <c r="FA80" s="1675"/>
      <c r="FB80" s="1675"/>
      <c r="FC80" s="1675"/>
      <c r="FD80" s="1675"/>
      <c r="FE80" s="1675"/>
      <c r="FF80" s="1675"/>
      <c r="FG80" s="1675"/>
      <c r="FH80" s="1675"/>
      <c r="FI80" s="1675"/>
      <c r="FJ80" s="1675"/>
      <c r="FK80" s="1675"/>
      <c r="FL80" s="1675"/>
      <c r="FM80" s="1675"/>
      <c r="FN80" s="1675"/>
      <c r="FO80" s="1675"/>
      <c r="FP80" s="1675"/>
      <c r="FQ80" s="1675"/>
      <c r="FR80" s="1675"/>
      <c r="FS80" s="1675"/>
      <c r="FT80" s="1675"/>
      <c r="FU80" s="1675"/>
      <c r="FV80" s="1675"/>
      <c r="FW80" s="1675"/>
      <c r="FX80" s="1675"/>
      <c r="FY80" s="1675"/>
      <c r="FZ80" s="1675"/>
      <c r="GA80" s="1675"/>
      <c r="GB80" s="1675"/>
      <c r="GC80" s="1675"/>
      <c r="GD80" s="1675"/>
      <c r="GE80" s="1675"/>
      <c r="GF80" s="1675"/>
      <c r="GG80" s="1675"/>
      <c r="GH80" s="1675"/>
      <c r="GI80" s="1675"/>
      <c r="GJ80" s="1675"/>
      <c r="GK80" s="1675"/>
      <c r="GL80" s="1675"/>
      <c r="GM80" s="1675"/>
      <c r="GN80" s="1675"/>
      <c r="GO80" s="1675"/>
      <c r="GP80" s="1675"/>
      <c r="GQ80" s="1675"/>
      <c r="GR80" s="1675"/>
      <c r="GS80" s="1675"/>
      <c r="GT80" s="1675"/>
      <c r="GU80" s="1675"/>
      <c r="GV80" s="1675"/>
      <c r="GW80" s="1675"/>
      <c r="GX80" s="1675"/>
      <c r="GY80" s="1675"/>
      <c r="GZ80" s="1675"/>
      <c r="HA80" s="1675"/>
      <c r="HB80" s="1675"/>
      <c r="HC80" s="1675"/>
      <c r="HD80" s="1675"/>
      <c r="HE80" s="1675"/>
      <c r="HF80" s="1675"/>
      <c r="HG80" s="1675"/>
      <c r="HH80" s="1675"/>
      <c r="HI80" s="1675"/>
      <c r="HJ80" s="1675"/>
      <c r="HK80" s="1675"/>
      <c r="HL80" s="1675"/>
      <c r="HM80" s="1675"/>
      <c r="HN80" s="1675"/>
      <c r="HO80" s="1675"/>
      <c r="HP80" s="1675"/>
      <c r="HQ80" s="1675"/>
      <c r="HR80" s="1675"/>
      <c r="HS80" s="1675"/>
      <c r="HT80" s="1675"/>
      <c r="HU80" s="1675"/>
      <c r="HV80" s="1675"/>
      <c r="HW80" s="1675"/>
      <c r="HX80" s="1675"/>
      <c r="HY80" s="1675"/>
      <c r="HZ80" s="1675"/>
      <c r="IA80" s="1675"/>
      <c r="IB80" s="1675"/>
      <c r="IC80" s="1675"/>
      <c r="ID80" s="1675"/>
      <c r="IE80" s="1675"/>
      <c r="IF80" s="1675"/>
      <c r="IG80" s="1675"/>
      <c r="IH80" s="1675"/>
      <c r="II80" s="1675"/>
      <c r="IJ80" s="1675"/>
      <c r="IK80" s="1675"/>
      <c r="IL80" s="1675"/>
      <c r="IM80" s="1675"/>
      <c r="IN80" s="1675"/>
      <c r="IO80" s="1675"/>
      <c r="IP80" s="1675"/>
      <c r="IQ80" s="1675"/>
      <c r="IR80" s="1675"/>
      <c r="IS80" s="1675"/>
      <c r="IT80" s="1675"/>
      <c r="IU80" s="1675"/>
      <c r="IV80" s="1675"/>
      <c r="IW80" s="1675"/>
      <c r="IX80" s="1675"/>
      <c r="IY80" s="1675"/>
      <c r="IZ80" s="1675"/>
      <c r="JA80" s="1675"/>
      <c r="JB80" s="1675"/>
      <c r="JC80" s="1675"/>
      <c r="JD80" s="1675"/>
      <c r="JE80" s="1675"/>
      <c r="JF80" s="1675"/>
      <c r="JG80" s="1675"/>
      <c r="JH80" s="1675"/>
      <c r="JI80" s="1675"/>
      <c r="JJ80" s="1675"/>
      <c r="JK80" s="1675"/>
      <c r="JL80" s="1675"/>
      <c r="JM80" s="1675"/>
      <c r="JN80" s="1675"/>
      <c r="JO80" s="1675"/>
      <c r="JP80" s="1675"/>
      <c r="JQ80" s="1675"/>
      <c r="JR80" s="1675"/>
      <c r="JS80" s="1675"/>
      <c r="JT80" s="1675"/>
      <c r="JU80" s="1675"/>
      <c r="JV80" s="1675"/>
      <c r="JW80" s="1675"/>
      <c r="JX80" s="1675"/>
      <c r="JY80" s="1675"/>
      <c r="JZ80" s="1675"/>
      <c r="KA80" s="1675"/>
      <c r="KB80" s="1675"/>
      <c r="KC80" s="1675"/>
      <c r="KD80" s="1675"/>
      <c r="KE80" s="1675"/>
      <c r="KF80" s="1675"/>
      <c r="KG80" s="1675"/>
      <c r="KH80" s="1675"/>
      <c r="KI80" s="1675"/>
      <c r="KJ80" s="1675"/>
      <c r="KK80" s="1675"/>
      <c r="KL80" s="1675"/>
      <c r="KM80" s="1675"/>
      <c r="KN80" s="1675"/>
      <c r="KO80" s="1675"/>
      <c r="KP80" s="1675"/>
      <c r="KQ80" s="1675"/>
      <c r="KR80" s="1675"/>
      <c r="KS80" s="1675"/>
      <c r="KT80" s="1675"/>
      <c r="KU80" s="1675"/>
      <c r="KV80" s="1675"/>
      <c r="KW80" s="1675"/>
      <c r="KX80" s="1675"/>
      <c r="KY80" s="1675"/>
      <c r="KZ80" s="1675"/>
      <c r="LA80" s="1675"/>
      <c r="LB80" s="1675"/>
      <c r="LC80" s="1675"/>
      <c r="LD80" s="1675"/>
      <c r="LE80" s="1675"/>
      <c r="LF80" s="1675"/>
      <c r="LG80" s="1675"/>
      <c r="LH80" s="1675"/>
      <c r="LI80" s="1675"/>
      <c r="LJ80" s="1675"/>
      <c r="LK80" s="1675"/>
      <c r="LL80" s="1675"/>
      <c r="LM80" s="1675"/>
      <c r="LN80" s="1675"/>
      <c r="LO80" s="1675"/>
      <c r="LP80" s="1675"/>
      <c r="LQ80" s="1675"/>
      <c r="LR80" s="1675"/>
      <c r="LS80" s="1675"/>
      <c r="LT80" s="1675"/>
      <c r="LU80" s="1675"/>
      <c r="LV80" s="1675"/>
      <c r="LW80" s="1675"/>
      <c r="LX80" s="1675"/>
      <c r="LY80" s="1675"/>
      <c r="LZ80" s="1675"/>
      <c r="MA80" s="1675"/>
      <c r="MB80" s="1675"/>
    </row>
    <row r="81" spans="1:340" ht="18.95" customHeight="1">
      <c r="A81" s="334"/>
      <c r="B81" s="2275"/>
      <c r="C81" s="1126"/>
      <c r="D81" s="1145"/>
      <c r="E81" s="465"/>
      <c r="F81" s="435"/>
      <c r="G81" s="435"/>
      <c r="H81" s="391"/>
      <c r="I81" s="473"/>
      <c r="J81" s="1670" t="s">
        <v>6084</v>
      </c>
      <c r="K81" s="1671"/>
      <c r="L81" s="1671"/>
      <c r="M81" s="1671"/>
      <c r="N81" s="1672"/>
      <c r="O81" s="1671"/>
      <c r="P81" s="1671"/>
      <c r="Q81" s="1673">
        <v>1</v>
      </c>
      <c r="R81" s="1671" t="s">
        <v>1788</v>
      </c>
      <c r="S81" s="1672">
        <v>500000</v>
      </c>
      <c r="T81" s="1671" t="s">
        <v>0</v>
      </c>
      <c r="U81" s="1671"/>
      <c r="V81" s="1887">
        <v>2</v>
      </c>
      <c r="W81" s="1671" t="s">
        <v>3</v>
      </c>
      <c r="X81" s="1671" t="s">
        <v>1</v>
      </c>
      <c r="Y81" s="1802">
        <f>S81*V81/1000</f>
        <v>1000</v>
      </c>
      <c r="Z81" s="1670">
        <f>Q81*S81*V81</f>
        <v>1000000</v>
      </c>
      <c r="AA81" s="907">
        <f t="shared" si="6"/>
        <v>0</v>
      </c>
      <c r="AB81" s="357"/>
      <c r="AC81" s="347"/>
      <c r="AD81" s="1675"/>
      <c r="AE81" s="1675"/>
      <c r="AF81" s="1675"/>
      <c r="AG81" s="1675"/>
      <c r="AH81" s="1675"/>
      <c r="AI81" s="1675"/>
      <c r="AJ81" s="1675"/>
      <c r="AK81" s="1675"/>
      <c r="AL81" s="1675"/>
      <c r="AM81" s="1675"/>
      <c r="AN81" s="1675"/>
      <c r="AO81" s="1675"/>
      <c r="AP81" s="1675"/>
      <c r="AQ81" s="1675"/>
      <c r="AR81" s="1675"/>
      <c r="AS81" s="1675"/>
      <c r="AT81" s="1675"/>
      <c r="AU81" s="1675"/>
      <c r="AV81" s="1675"/>
      <c r="AW81" s="1675"/>
      <c r="AX81" s="1675"/>
      <c r="AY81" s="1675"/>
      <c r="AZ81" s="1675"/>
      <c r="BA81" s="1675"/>
      <c r="BB81" s="1675"/>
      <c r="BC81" s="1675"/>
      <c r="BD81" s="1675"/>
      <c r="BE81" s="1675"/>
      <c r="BF81" s="1675"/>
      <c r="BG81" s="1675"/>
      <c r="BH81" s="1675"/>
      <c r="BI81" s="1675"/>
      <c r="BJ81" s="1675"/>
      <c r="BK81" s="1675"/>
      <c r="BL81" s="1675"/>
      <c r="BM81" s="1675"/>
      <c r="BN81" s="1675"/>
      <c r="BO81" s="1675"/>
      <c r="BP81" s="1675"/>
      <c r="BQ81" s="1675"/>
      <c r="BR81" s="1675"/>
      <c r="BS81" s="1675"/>
      <c r="BT81" s="1675"/>
      <c r="BU81" s="1675"/>
      <c r="BV81" s="1675"/>
      <c r="BW81" s="1675"/>
      <c r="BX81" s="1675"/>
      <c r="BY81" s="1675"/>
      <c r="BZ81" s="1675"/>
      <c r="CA81" s="1675"/>
      <c r="CB81" s="1675"/>
      <c r="CC81" s="1675"/>
      <c r="CD81" s="1675"/>
      <c r="CE81" s="1675"/>
      <c r="CF81" s="1675"/>
      <c r="CG81" s="1675"/>
      <c r="CH81" s="1675"/>
      <c r="CI81" s="1675"/>
      <c r="CJ81" s="1675"/>
      <c r="CK81" s="1675"/>
      <c r="CL81" s="1675"/>
      <c r="CM81" s="1675"/>
      <c r="CN81" s="1675"/>
      <c r="CO81" s="1675"/>
      <c r="CP81" s="1675"/>
      <c r="CQ81" s="1675"/>
      <c r="CR81" s="1675"/>
      <c r="CS81" s="1675"/>
      <c r="CT81" s="1675"/>
      <c r="CU81" s="1675"/>
      <c r="CV81" s="1675"/>
      <c r="CW81" s="1675"/>
      <c r="CX81" s="1675"/>
      <c r="CY81" s="1675"/>
      <c r="CZ81" s="1675"/>
      <c r="DA81" s="1675"/>
      <c r="DB81" s="1675"/>
      <c r="DC81" s="1675"/>
      <c r="DD81" s="1675"/>
      <c r="DE81" s="1675"/>
      <c r="DF81" s="1675"/>
      <c r="DG81" s="1675"/>
      <c r="DH81" s="1675"/>
      <c r="DI81" s="1675"/>
      <c r="DJ81" s="1675"/>
      <c r="DK81" s="1675"/>
      <c r="DL81" s="1675"/>
      <c r="DM81" s="1675"/>
      <c r="DN81" s="1675"/>
      <c r="DO81" s="1675"/>
      <c r="DP81" s="1675"/>
      <c r="DQ81" s="1675"/>
      <c r="DR81" s="1675"/>
      <c r="DS81" s="1675"/>
      <c r="DT81" s="1675"/>
      <c r="DU81" s="1675"/>
      <c r="DV81" s="1675"/>
      <c r="DW81" s="1675"/>
      <c r="DX81" s="1675"/>
      <c r="DY81" s="1675"/>
      <c r="DZ81" s="1675"/>
      <c r="EA81" s="1675"/>
      <c r="EB81" s="1675"/>
      <c r="EC81" s="1675"/>
      <c r="ED81" s="1675"/>
      <c r="EE81" s="1675"/>
      <c r="EF81" s="1675"/>
      <c r="EG81" s="1675"/>
      <c r="EH81" s="1675"/>
      <c r="EI81" s="1675"/>
      <c r="EJ81" s="1675"/>
      <c r="EK81" s="1675"/>
      <c r="EL81" s="1675"/>
      <c r="EM81" s="1675"/>
      <c r="EN81" s="1675"/>
      <c r="EO81" s="1675"/>
      <c r="EP81" s="1675"/>
      <c r="EQ81" s="1675"/>
      <c r="ER81" s="1675"/>
      <c r="ES81" s="1675"/>
      <c r="ET81" s="1675"/>
      <c r="EU81" s="1675"/>
      <c r="EV81" s="1675"/>
      <c r="EW81" s="1675"/>
      <c r="EX81" s="1675"/>
      <c r="EY81" s="1675"/>
      <c r="EZ81" s="1675"/>
      <c r="FA81" s="1675"/>
      <c r="FB81" s="1675"/>
      <c r="FC81" s="1675"/>
      <c r="FD81" s="1675"/>
      <c r="FE81" s="1675"/>
      <c r="FF81" s="1675"/>
      <c r="FG81" s="1675"/>
      <c r="FH81" s="1675"/>
      <c r="FI81" s="1675"/>
      <c r="FJ81" s="1675"/>
      <c r="FK81" s="1675"/>
      <c r="FL81" s="1675"/>
      <c r="FM81" s="1675"/>
      <c r="FN81" s="1675"/>
      <c r="FO81" s="1675"/>
      <c r="FP81" s="1675"/>
      <c r="FQ81" s="1675"/>
      <c r="FR81" s="1675"/>
      <c r="FS81" s="1675"/>
      <c r="FT81" s="1675"/>
      <c r="FU81" s="1675"/>
      <c r="FV81" s="1675"/>
      <c r="FW81" s="1675"/>
      <c r="FX81" s="1675"/>
      <c r="FY81" s="1675"/>
      <c r="FZ81" s="1675"/>
      <c r="GA81" s="1675"/>
      <c r="GB81" s="1675"/>
      <c r="GC81" s="1675"/>
      <c r="GD81" s="1675"/>
      <c r="GE81" s="1675"/>
      <c r="GF81" s="1675"/>
      <c r="GG81" s="1675"/>
      <c r="GH81" s="1675"/>
      <c r="GI81" s="1675"/>
      <c r="GJ81" s="1675"/>
      <c r="GK81" s="1675"/>
      <c r="GL81" s="1675"/>
      <c r="GM81" s="1675"/>
      <c r="GN81" s="1675"/>
      <c r="GO81" s="1675"/>
      <c r="GP81" s="1675"/>
      <c r="GQ81" s="1675"/>
      <c r="GR81" s="1675"/>
      <c r="GS81" s="1675"/>
      <c r="GT81" s="1675"/>
      <c r="GU81" s="1675"/>
      <c r="GV81" s="1675"/>
      <c r="GW81" s="1675"/>
      <c r="GX81" s="1675"/>
      <c r="GY81" s="1675"/>
      <c r="GZ81" s="1675"/>
      <c r="HA81" s="1675"/>
      <c r="HB81" s="1675"/>
      <c r="HC81" s="1675"/>
      <c r="HD81" s="1675"/>
      <c r="HE81" s="1675"/>
      <c r="HF81" s="1675"/>
      <c r="HG81" s="1675"/>
      <c r="HH81" s="1675"/>
      <c r="HI81" s="1675"/>
      <c r="HJ81" s="1675"/>
      <c r="HK81" s="1675"/>
      <c r="HL81" s="1675"/>
      <c r="HM81" s="1675"/>
      <c r="HN81" s="1675"/>
      <c r="HO81" s="1675"/>
      <c r="HP81" s="1675"/>
      <c r="HQ81" s="1675"/>
      <c r="HR81" s="1675"/>
      <c r="HS81" s="1675"/>
      <c r="HT81" s="1675"/>
      <c r="HU81" s="1675"/>
      <c r="HV81" s="1675"/>
      <c r="HW81" s="1675"/>
      <c r="HX81" s="1675"/>
      <c r="HY81" s="1675"/>
      <c r="HZ81" s="1675"/>
      <c r="IA81" s="1675"/>
      <c r="IB81" s="1675"/>
      <c r="IC81" s="1675"/>
      <c r="ID81" s="1675"/>
      <c r="IE81" s="1675"/>
      <c r="IF81" s="1675"/>
      <c r="IG81" s="1675"/>
      <c r="IH81" s="1675"/>
      <c r="II81" s="1675"/>
      <c r="IJ81" s="1675"/>
      <c r="IK81" s="1675"/>
      <c r="IL81" s="1675"/>
      <c r="IM81" s="1675"/>
      <c r="IN81" s="1675"/>
      <c r="IO81" s="1675"/>
      <c r="IP81" s="1675"/>
      <c r="IQ81" s="1675"/>
      <c r="IR81" s="1675"/>
      <c r="IS81" s="1675"/>
      <c r="IT81" s="1675"/>
      <c r="IU81" s="1675"/>
      <c r="IV81" s="1675"/>
      <c r="IW81" s="1675"/>
      <c r="IX81" s="1675"/>
      <c r="IY81" s="1675"/>
      <c r="IZ81" s="1675"/>
      <c r="JA81" s="1675"/>
      <c r="JB81" s="1675"/>
      <c r="JC81" s="1675"/>
      <c r="JD81" s="1675"/>
      <c r="JE81" s="1675"/>
      <c r="JF81" s="1675"/>
      <c r="JG81" s="1675"/>
      <c r="JH81" s="1675"/>
      <c r="JI81" s="1675"/>
      <c r="JJ81" s="1675"/>
      <c r="JK81" s="1675"/>
      <c r="JL81" s="1675"/>
      <c r="JM81" s="1675"/>
      <c r="JN81" s="1675"/>
      <c r="JO81" s="1675"/>
      <c r="JP81" s="1675"/>
      <c r="JQ81" s="1675"/>
      <c r="JR81" s="1675"/>
      <c r="JS81" s="1675"/>
      <c r="JT81" s="1675"/>
      <c r="JU81" s="1675"/>
      <c r="JV81" s="1675"/>
      <c r="JW81" s="1675"/>
      <c r="JX81" s="1675"/>
      <c r="JY81" s="1675"/>
      <c r="JZ81" s="1675"/>
      <c r="KA81" s="1675"/>
      <c r="KB81" s="1675"/>
      <c r="KC81" s="1675"/>
      <c r="KD81" s="1675"/>
      <c r="KE81" s="1675"/>
      <c r="KF81" s="1675"/>
      <c r="KG81" s="1675"/>
      <c r="KH81" s="1675"/>
      <c r="KI81" s="1675"/>
      <c r="KJ81" s="1675"/>
      <c r="KK81" s="1675"/>
      <c r="KL81" s="1675"/>
      <c r="KM81" s="1675"/>
      <c r="KN81" s="1675"/>
      <c r="KO81" s="1675"/>
      <c r="KP81" s="1675"/>
      <c r="KQ81" s="1675"/>
      <c r="KR81" s="1675"/>
      <c r="KS81" s="1675"/>
      <c r="KT81" s="1675"/>
      <c r="KU81" s="1675"/>
      <c r="KV81" s="1675"/>
      <c r="KW81" s="1675"/>
      <c r="KX81" s="1675"/>
      <c r="KY81" s="1675"/>
      <c r="KZ81" s="1675"/>
      <c r="LA81" s="1675"/>
      <c r="LB81" s="1675"/>
      <c r="LC81" s="1675"/>
      <c r="LD81" s="1675"/>
      <c r="LE81" s="1675"/>
      <c r="LF81" s="1675"/>
      <c r="LG81" s="1675"/>
      <c r="LH81" s="1675"/>
      <c r="LI81" s="1675"/>
      <c r="LJ81" s="1675"/>
      <c r="LK81" s="1675"/>
      <c r="LL81" s="1675"/>
      <c r="LM81" s="1675"/>
      <c r="LN81" s="1675"/>
      <c r="LO81" s="1675"/>
      <c r="LP81" s="1675"/>
      <c r="LQ81" s="1675"/>
      <c r="LR81" s="1675"/>
      <c r="LS81" s="1675"/>
      <c r="LT81" s="1675"/>
      <c r="LU81" s="1675"/>
      <c r="LV81" s="1675"/>
      <c r="LW81" s="1675"/>
      <c r="LX81" s="1675"/>
      <c r="LY81" s="1675"/>
      <c r="LZ81" s="1675"/>
      <c r="MA81" s="1675"/>
      <c r="MB81" s="1675"/>
    </row>
    <row r="82" spans="1:340" ht="18.95" customHeight="1">
      <c r="A82" s="334"/>
      <c r="B82" s="2275"/>
      <c r="C82" s="1126"/>
      <c r="D82" s="1145"/>
      <c r="E82" s="465"/>
      <c r="F82" s="435"/>
      <c r="G82" s="435"/>
      <c r="H82" s="391"/>
      <c r="I82" s="473"/>
      <c r="J82" s="1670" t="s">
        <v>3346</v>
      </c>
      <c r="K82" s="1671"/>
      <c r="L82" s="1671"/>
      <c r="M82" s="1671"/>
      <c r="N82" s="1672"/>
      <c r="O82" s="1671"/>
      <c r="P82" s="1671"/>
      <c r="Q82" s="1673"/>
      <c r="R82" s="1671"/>
      <c r="S82" s="1672"/>
      <c r="T82" s="1671"/>
      <c r="U82" s="1671"/>
      <c r="V82" s="1887"/>
      <c r="W82" s="1671"/>
      <c r="X82" s="1671"/>
      <c r="Y82" s="1802"/>
      <c r="Z82" s="1670"/>
      <c r="AA82" s="907">
        <f t="shared" si="6"/>
        <v>0</v>
      </c>
      <c r="AB82" s="357"/>
      <c r="AC82" s="347"/>
      <c r="AD82" s="1675"/>
      <c r="AE82" s="1675"/>
      <c r="AF82" s="1675"/>
      <c r="AG82" s="1675"/>
      <c r="AH82" s="1675"/>
      <c r="AI82" s="1675"/>
      <c r="AJ82" s="1675"/>
      <c r="AK82" s="1675"/>
      <c r="AL82" s="1675"/>
      <c r="AM82" s="1675"/>
      <c r="AN82" s="1675"/>
      <c r="AO82" s="1675"/>
      <c r="AP82" s="1675"/>
      <c r="AQ82" s="1675"/>
      <c r="AR82" s="1675"/>
      <c r="AS82" s="1675"/>
      <c r="AT82" s="1675"/>
      <c r="AU82" s="1675"/>
      <c r="AV82" s="1675"/>
      <c r="AW82" s="1675"/>
      <c r="AX82" s="1675"/>
      <c r="AY82" s="1675"/>
      <c r="AZ82" s="1675"/>
      <c r="BA82" s="1675"/>
      <c r="BB82" s="1675"/>
      <c r="BC82" s="1675"/>
      <c r="BD82" s="1675"/>
      <c r="BE82" s="1675"/>
      <c r="BF82" s="1675"/>
      <c r="BG82" s="1675"/>
      <c r="BH82" s="1675"/>
      <c r="BI82" s="1675"/>
      <c r="BJ82" s="1675"/>
      <c r="BK82" s="1675"/>
      <c r="BL82" s="1675"/>
      <c r="BM82" s="1675"/>
      <c r="BN82" s="1675"/>
      <c r="BO82" s="1675"/>
      <c r="BP82" s="1675"/>
      <c r="BQ82" s="1675"/>
      <c r="BR82" s="1675"/>
      <c r="BS82" s="1675"/>
      <c r="BT82" s="1675"/>
      <c r="BU82" s="1675"/>
      <c r="BV82" s="1675"/>
      <c r="BW82" s="1675"/>
      <c r="BX82" s="1675"/>
      <c r="BY82" s="1675"/>
      <c r="BZ82" s="1675"/>
      <c r="CA82" s="1675"/>
      <c r="CB82" s="1675"/>
      <c r="CC82" s="1675"/>
      <c r="CD82" s="1675"/>
      <c r="CE82" s="1675"/>
      <c r="CF82" s="1675"/>
      <c r="CG82" s="1675"/>
      <c r="CH82" s="1675"/>
      <c r="CI82" s="1675"/>
      <c r="CJ82" s="1675"/>
      <c r="CK82" s="1675"/>
      <c r="CL82" s="1675"/>
      <c r="CM82" s="1675"/>
      <c r="CN82" s="1675"/>
      <c r="CO82" s="1675"/>
      <c r="CP82" s="1675"/>
      <c r="CQ82" s="1675"/>
      <c r="CR82" s="1675"/>
      <c r="CS82" s="1675"/>
      <c r="CT82" s="1675"/>
      <c r="CU82" s="1675"/>
      <c r="CV82" s="1675"/>
      <c r="CW82" s="1675"/>
      <c r="CX82" s="1675"/>
      <c r="CY82" s="1675"/>
      <c r="CZ82" s="1675"/>
      <c r="DA82" s="1675"/>
      <c r="DB82" s="1675"/>
      <c r="DC82" s="1675"/>
      <c r="DD82" s="1675"/>
      <c r="DE82" s="1675"/>
      <c r="DF82" s="1675"/>
      <c r="DG82" s="1675"/>
      <c r="DH82" s="1675"/>
      <c r="DI82" s="1675"/>
      <c r="DJ82" s="1675"/>
      <c r="DK82" s="1675"/>
      <c r="DL82" s="1675"/>
      <c r="DM82" s="1675"/>
      <c r="DN82" s="1675"/>
      <c r="DO82" s="1675"/>
      <c r="DP82" s="1675"/>
      <c r="DQ82" s="1675"/>
      <c r="DR82" s="1675"/>
      <c r="DS82" s="1675"/>
      <c r="DT82" s="1675"/>
      <c r="DU82" s="1675"/>
      <c r="DV82" s="1675"/>
      <c r="DW82" s="1675"/>
      <c r="DX82" s="1675"/>
      <c r="DY82" s="1675"/>
      <c r="DZ82" s="1675"/>
      <c r="EA82" s="1675"/>
      <c r="EB82" s="1675"/>
      <c r="EC82" s="1675"/>
      <c r="ED82" s="1675"/>
      <c r="EE82" s="1675"/>
      <c r="EF82" s="1675"/>
      <c r="EG82" s="1675"/>
      <c r="EH82" s="1675"/>
      <c r="EI82" s="1675"/>
      <c r="EJ82" s="1675"/>
      <c r="EK82" s="1675"/>
      <c r="EL82" s="1675"/>
      <c r="EM82" s="1675"/>
      <c r="EN82" s="1675"/>
      <c r="EO82" s="1675"/>
      <c r="EP82" s="1675"/>
      <c r="EQ82" s="1675"/>
      <c r="ER82" s="1675"/>
      <c r="ES82" s="1675"/>
      <c r="ET82" s="1675"/>
      <c r="EU82" s="1675"/>
      <c r="EV82" s="1675"/>
      <c r="EW82" s="1675"/>
      <c r="EX82" s="1675"/>
      <c r="EY82" s="1675"/>
      <c r="EZ82" s="1675"/>
      <c r="FA82" s="1675"/>
      <c r="FB82" s="1675"/>
      <c r="FC82" s="1675"/>
      <c r="FD82" s="1675"/>
      <c r="FE82" s="1675"/>
      <c r="FF82" s="1675"/>
      <c r="FG82" s="1675"/>
      <c r="FH82" s="1675"/>
      <c r="FI82" s="1675"/>
      <c r="FJ82" s="1675"/>
      <c r="FK82" s="1675"/>
      <c r="FL82" s="1675"/>
      <c r="FM82" s="1675"/>
      <c r="FN82" s="1675"/>
      <c r="FO82" s="1675"/>
      <c r="FP82" s="1675"/>
      <c r="FQ82" s="1675"/>
      <c r="FR82" s="1675"/>
      <c r="FS82" s="1675"/>
      <c r="FT82" s="1675"/>
      <c r="FU82" s="1675"/>
      <c r="FV82" s="1675"/>
      <c r="FW82" s="1675"/>
      <c r="FX82" s="1675"/>
      <c r="FY82" s="1675"/>
      <c r="FZ82" s="1675"/>
      <c r="GA82" s="1675"/>
      <c r="GB82" s="1675"/>
      <c r="GC82" s="1675"/>
      <c r="GD82" s="1675"/>
      <c r="GE82" s="1675"/>
      <c r="GF82" s="1675"/>
      <c r="GG82" s="1675"/>
      <c r="GH82" s="1675"/>
      <c r="GI82" s="1675"/>
      <c r="GJ82" s="1675"/>
      <c r="GK82" s="1675"/>
      <c r="GL82" s="1675"/>
      <c r="GM82" s="1675"/>
      <c r="GN82" s="1675"/>
      <c r="GO82" s="1675"/>
      <c r="GP82" s="1675"/>
      <c r="GQ82" s="1675"/>
      <c r="GR82" s="1675"/>
      <c r="GS82" s="1675"/>
      <c r="GT82" s="1675"/>
      <c r="GU82" s="1675"/>
      <c r="GV82" s="1675"/>
      <c r="GW82" s="1675"/>
      <c r="GX82" s="1675"/>
      <c r="GY82" s="1675"/>
      <c r="GZ82" s="1675"/>
      <c r="HA82" s="1675"/>
      <c r="HB82" s="1675"/>
      <c r="HC82" s="1675"/>
      <c r="HD82" s="1675"/>
      <c r="HE82" s="1675"/>
      <c r="HF82" s="1675"/>
      <c r="HG82" s="1675"/>
      <c r="HH82" s="1675"/>
      <c r="HI82" s="1675"/>
      <c r="HJ82" s="1675"/>
      <c r="HK82" s="1675"/>
      <c r="HL82" s="1675"/>
      <c r="HM82" s="1675"/>
      <c r="HN82" s="1675"/>
      <c r="HO82" s="1675"/>
      <c r="HP82" s="1675"/>
      <c r="HQ82" s="1675"/>
      <c r="HR82" s="1675"/>
      <c r="HS82" s="1675"/>
      <c r="HT82" s="1675"/>
      <c r="HU82" s="1675"/>
      <c r="HV82" s="1675"/>
      <c r="HW82" s="1675"/>
      <c r="HX82" s="1675"/>
      <c r="HY82" s="1675"/>
      <c r="HZ82" s="1675"/>
      <c r="IA82" s="1675"/>
      <c r="IB82" s="1675"/>
      <c r="IC82" s="1675"/>
      <c r="ID82" s="1675"/>
      <c r="IE82" s="1675"/>
      <c r="IF82" s="1675"/>
      <c r="IG82" s="1675"/>
      <c r="IH82" s="1675"/>
      <c r="II82" s="1675"/>
      <c r="IJ82" s="1675"/>
      <c r="IK82" s="1675"/>
      <c r="IL82" s="1675"/>
      <c r="IM82" s="1675"/>
      <c r="IN82" s="1675"/>
      <c r="IO82" s="1675"/>
      <c r="IP82" s="1675"/>
      <c r="IQ82" s="1675"/>
      <c r="IR82" s="1675"/>
      <c r="IS82" s="1675"/>
      <c r="IT82" s="1675"/>
      <c r="IU82" s="1675"/>
      <c r="IV82" s="1675"/>
      <c r="IW82" s="1675"/>
      <c r="IX82" s="1675"/>
      <c r="IY82" s="1675"/>
      <c r="IZ82" s="1675"/>
      <c r="JA82" s="1675"/>
      <c r="JB82" s="1675"/>
      <c r="JC82" s="1675"/>
      <c r="JD82" s="1675"/>
      <c r="JE82" s="1675"/>
      <c r="JF82" s="1675"/>
      <c r="JG82" s="1675"/>
      <c r="JH82" s="1675"/>
      <c r="JI82" s="1675"/>
      <c r="JJ82" s="1675"/>
      <c r="JK82" s="1675"/>
      <c r="JL82" s="1675"/>
      <c r="JM82" s="1675"/>
      <c r="JN82" s="1675"/>
      <c r="JO82" s="1675"/>
      <c r="JP82" s="1675"/>
      <c r="JQ82" s="1675"/>
      <c r="JR82" s="1675"/>
      <c r="JS82" s="1675"/>
      <c r="JT82" s="1675"/>
      <c r="JU82" s="1675"/>
      <c r="JV82" s="1675"/>
      <c r="JW82" s="1675"/>
      <c r="JX82" s="1675"/>
      <c r="JY82" s="1675"/>
      <c r="JZ82" s="1675"/>
      <c r="KA82" s="1675"/>
      <c r="KB82" s="1675"/>
      <c r="KC82" s="1675"/>
      <c r="KD82" s="1675"/>
      <c r="KE82" s="1675"/>
      <c r="KF82" s="1675"/>
      <c r="KG82" s="1675"/>
      <c r="KH82" s="1675"/>
      <c r="KI82" s="1675"/>
      <c r="KJ82" s="1675"/>
      <c r="KK82" s="1675"/>
      <c r="KL82" s="1675"/>
      <c r="KM82" s="1675"/>
      <c r="KN82" s="1675"/>
      <c r="KO82" s="1675"/>
      <c r="KP82" s="1675"/>
      <c r="KQ82" s="1675"/>
      <c r="KR82" s="1675"/>
      <c r="KS82" s="1675"/>
      <c r="KT82" s="1675"/>
      <c r="KU82" s="1675"/>
      <c r="KV82" s="1675"/>
      <c r="KW82" s="1675"/>
      <c r="KX82" s="1675"/>
      <c r="KY82" s="1675"/>
      <c r="KZ82" s="1675"/>
      <c r="LA82" s="1675"/>
      <c r="LB82" s="1675"/>
      <c r="LC82" s="1675"/>
      <c r="LD82" s="1675"/>
      <c r="LE82" s="1675"/>
      <c r="LF82" s="1675"/>
      <c r="LG82" s="1675"/>
      <c r="LH82" s="1675"/>
      <c r="LI82" s="1675"/>
      <c r="LJ82" s="1675"/>
      <c r="LK82" s="1675"/>
      <c r="LL82" s="1675"/>
      <c r="LM82" s="1675"/>
      <c r="LN82" s="1675"/>
      <c r="LO82" s="1675"/>
      <c r="LP82" s="1675"/>
      <c r="LQ82" s="1675"/>
      <c r="LR82" s="1675"/>
      <c r="LS82" s="1675"/>
      <c r="LT82" s="1675"/>
      <c r="LU82" s="1675"/>
      <c r="LV82" s="1675"/>
      <c r="LW82" s="1675"/>
      <c r="LX82" s="1675"/>
      <c r="LY82" s="1675"/>
      <c r="LZ82" s="1675"/>
      <c r="MA82" s="1675"/>
      <c r="MB82" s="1675"/>
    </row>
    <row r="83" spans="1:340" ht="18.95" customHeight="1">
      <c r="A83" s="334"/>
      <c r="B83" s="2275"/>
      <c r="C83" s="1126"/>
      <c r="D83" s="1145"/>
      <c r="E83" s="465"/>
      <c r="F83" s="435"/>
      <c r="G83" s="435"/>
      <c r="H83" s="391"/>
      <c r="I83" s="473"/>
      <c r="J83" s="1670" t="s">
        <v>6085</v>
      </c>
      <c r="K83" s="1671"/>
      <c r="L83" s="1671"/>
      <c r="M83" s="1671"/>
      <c r="N83" s="1672"/>
      <c r="O83" s="1671"/>
      <c r="P83" s="1671"/>
      <c r="Q83" s="1673">
        <v>1</v>
      </c>
      <c r="R83" s="1671" t="s">
        <v>1788</v>
      </c>
      <c r="S83" s="1672">
        <v>5002000</v>
      </c>
      <c r="T83" s="1671" t="s">
        <v>0</v>
      </c>
      <c r="U83" s="1671"/>
      <c r="V83" s="1671">
        <v>2</v>
      </c>
      <c r="W83" s="1671" t="s">
        <v>1823</v>
      </c>
      <c r="X83" s="806" t="s">
        <v>1</v>
      </c>
      <c r="Y83" s="1802">
        <f>S83*V83/1000</f>
        <v>10004</v>
      </c>
      <c r="Z83" s="1670">
        <f>Q83*S83*V83</f>
        <v>10004000</v>
      </c>
      <c r="AA83" s="907">
        <f t="shared" si="6"/>
        <v>0</v>
      </c>
      <c r="AB83" s="357"/>
      <c r="AC83" s="347"/>
      <c r="AD83" s="1675"/>
      <c r="AE83" s="1675"/>
      <c r="AF83" s="1675"/>
      <c r="AG83" s="1675"/>
      <c r="AH83" s="1675"/>
      <c r="AI83" s="1675"/>
      <c r="AJ83" s="1675"/>
      <c r="AK83" s="1675"/>
      <c r="AL83" s="1675"/>
      <c r="AM83" s="1675"/>
      <c r="AN83" s="1675"/>
      <c r="AO83" s="1675"/>
      <c r="AP83" s="1675"/>
      <c r="AQ83" s="1675"/>
      <c r="AR83" s="1675"/>
      <c r="AS83" s="1675"/>
      <c r="AT83" s="1675"/>
      <c r="AU83" s="1675"/>
      <c r="AV83" s="1675"/>
      <c r="AW83" s="1675"/>
      <c r="AX83" s="1675"/>
      <c r="AY83" s="1675"/>
      <c r="AZ83" s="1675"/>
      <c r="BA83" s="1675"/>
      <c r="BB83" s="1675"/>
      <c r="BC83" s="1675"/>
      <c r="BD83" s="1675"/>
      <c r="BE83" s="1675"/>
      <c r="BF83" s="1675"/>
      <c r="BG83" s="1675"/>
      <c r="BH83" s="1675"/>
      <c r="BI83" s="1675"/>
      <c r="BJ83" s="1675"/>
      <c r="BK83" s="1675"/>
      <c r="BL83" s="1675"/>
      <c r="BM83" s="1675"/>
      <c r="BN83" s="1675"/>
      <c r="BO83" s="1675"/>
      <c r="BP83" s="1675"/>
      <c r="BQ83" s="1675"/>
      <c r="BR83" s="1675"/>
      <c r="BS83" s="1675"/>
      <c r="BT83" s="1675"/>
      <c r="BU83" s="1675"/>
      <c r="BV83" s="1675"/>
      <c r="BW83" s="1675"/>
      <c r="BX83" s="1675"/>
      <c r="BY83" s="1675"/>
      <c r="BZ83" s="1675"/>
      <c r="CA83" s="1675"/>
      <c r="CB83" s="1675"/>
      <c r="CC83" s="1675"/>
      <c r="CD83" s="1675"/>
      <c r="CE83" s="1675"/>
      <c r="CF83" s="1675"/>
      <c r="CG83" s="1675"/>
      <c r="CH83" s="1675"/>
      <c r="CI83" s="1675"/>
      <c r="CJ83" s="1675"/>
      <c r="CK83" s="1675"/>
      <c r="CL83" s="1675"/>
      <c r="CM83" s="1675"/>
      <c r="CN83" s="1675"/>
      <c r="CO83" s="1675"/>
      <c r="CP83" s="1675"/>
      <c r="CQ83" s="1675"/>
      <c r="CR83" s="1675"/>
      <c r="CS83" s="1675"/>
      <c r="CT83" s="1675"/>
      <c r="CU83" s="1675"/>
      <c r="CV83" s="1675"/>
      <c r="CW83" s="1675"/>
      <c r="CX83" s="1675"/>
      <c r="CY83" s="1675"/>
      <c r="CZ83" s="1675"/>
      <c r="DA83" s="1675"/>
      <c r="DB83" s="1675"/>
      <c r="DC83" s="1675"/>
      <c r="DD83" s="1675"/>
      <c r="DE83" s="1675"/>
      <c r="DF83" s="1675"/>
      <c r="DG83" s="1675"/>
      <c r="DH83" s="1675"/>
      <c r="DI83" s="1675"/>
      <c r="DJ83" s="1675"/>
      <c r="DK83" s="1675"/>
      <c r="DL83" s="1675"/>
      <c r="DM83" s="1675"/>
      <c r="DN83" s="1675"/>
      <c r="DO83" s="1675"/>
      <c r="DP83" s="1675"/>
      <c r="DQ83" s="1675"/>
      <c r="DR83" s="1675"/>
      <c r="DS83" s="1675"/>
      <c r="DT83" s="1675"/>
      <c r="DU83" s="1675"/>
      <c r="DV83" s="1675"/>
      <c r="DW83" s="1675"/>
      <c r="DX83" s="1675"/>
      <c r="DY83" s="1675"/>
      <c r="DZ83" s="1675"/>
      <c r="EA83" s="1675"/>
      <c r="EB83" s="1675"/>
      <c r="EC83" s="1675"/>
      <c r="ED83" s="1675"/>
      <c r="EE83" s="1675"/>
      <c r="EF83" s="1675"/>
      <c r="EG83" s="1675"/>
      <c r="EH83" s="1675"/>
      <c r="EI83" s="1675"/>
      <c r="EJ83" s="1675"/>
      <c r="EK83" s="1675"/>
      <c r="EL83" s="1675"/>
      <c r="EM83" s="1675"/>
      <c r="EN83" s="1675"/>
      <c r="EO83" s="1675"/>
      <c r="EP83" s="1675"/>
      <c r="EQ83" s="1675"/>
      <c r="ER83" s="1675"/>
      <c r="ES83" s="1675"/>
      <c r="ET83" s="1675"/>
      <c r="EU83" s="1675"/>
      <c r="EV83" s="1675"/>
      <c r="EW83" s="1675"/>
      <c r="EX83" s="1675"/>
      <c r="EY83" s="1675"/>
      <c r="EZ83" s="1675"/>
      <c r="FA83" s="1675"/>
      <c r="FB83" s="1675"/>
      <c r="FC83" s="1675"/>
      <c r="FD83" s="1675"/>
      <c r="FE83" s="1675"/>
      <c r="FF83" s="1675"/>
      <c r="FG83" s="1675"/>
      <c r="FH83" s="1675"/>
      <c r="FI83" s="1675"/>
      <c r="FJ83" s="1675"/>
      <c r="FK83" s="1675"/>
      <c r="FL83" s="1675"/>
      <c r="FM83" s="1675"/>
      <c r="FN83" s="1675"/>
      <c r="FO83" s="1675"/>
      <c r="FP83" s="1675"/>
      <c r="FQ83" s="1675"/>
      <c r="FR83" s="1675"/>
      <c r="FS83" s="1675"/>
      <c r="FT83" s="1675"/>
      <c r="FU83" s="1675"/>
      <c r="FV83" s="1675"/>
      <c r="FW83" s="1675"/>
      <c r="FX83" s="1675"/>
      <c r="FY83" s="1675"/>
      <c r="FZ83" s="1675"/>
      <c r="GA83" s="1675"/>
      <c r="GB83" s="1675"/>
      <c r="GC83" s="1675"/>
      <c r="GD83" s="1675"/>
      <c r="GE83" s="1675"/>
      <c r="GF83" s="1675"/>
      <c r="GG83" s="1675"/>
      <c r="GH83" s="1675"/>
      <c r="GI83" s="1675"/>
      <c r="GJ83" s="1675"/>
      <c r="GK83" s="1675"/>
      <c r="GL83" s="1675"/>
      <c r="GM83" s="1675"/>
      <c r="GN83" s="1675"/>
      <c r="GO83" s="1675"/>
      <c r="GP83" s="1675"/>
      <c r="GQ83" s="1675"/>
      <c r="GR83" s="1675"/>
      <c r="GS83" s="1675"/>
      <c r="GT83" s="1675"/>
      <c r="GU83" s="1675"/>
      <c r="GV83" s="1675"/>
      <c r="GW83" s="1675"/>
      <c r="GX83" s="1675"/>
      <c r="GY83" s="1675"/>
      <c r="GZ83" s="1675"/>
      <c r="HA83" s="1675"/>
      <c r="HB83" s="1675"/>
      <c r="HC83" s="1675"/>
      <c r="HD83" s="1675"/>
      <c r="HE83" s="1675"/>
      <c r="HF83" s="1675"/>
      <c r="HG83" s="1675"/>
      <c r="HH83" s="1675"/>
      <c r="HI83" s="1675"/>
      <c r="HJ83" s="1675"/>
      <c r="HK83" s="1675"/>
      <c r="HL83" s="1675"/>
      <c r="HM83" s="1675"/>
      <c r="HN83" s="1675"/>
      <c r="HO83" s="1675"/>
      <c r="HP83" s="1675"/>
      <c r="HQ83" s="1675"/>
      <c r="HR83" s="1675"/>
      <c r="HS83" s="1675"/>
      <c r="HT83" s="1675"/>
      <c r="HU83" s="1675"/>
      <c r="HV83" s="1675"/>
      <c r="HW83" s="1675"/>
      <c r="HX83" s="1675"/>
      <c r="HY83" s="1675"/>
      <c r="HZ83" s="1675"/>
      <c r="IA83" s="1675"/>
      <c r="IB83" s="1675"/>
      <c r="IC83" s="1675"/>
      <c r="ID83" s="1675"/>
      <c r="IE83" s="1675"/>
      <c r="IF83" s="1675"/>
      <c r="IG83" s="1675"/>
      <c r="IH83" s="1675"/>
      <c r="II83" s="1675"/>
      <c r="IJ83" s="1675"/>
      <c r="IK83" s="1675"/>
      <c r="IL83" s="1675"/>
      <c r="IM83" s="1675"/>
      <c r="IN83" s="1675"/>
      <c r="IO83" s="1675"/>
      <c r="IP83" s="1675"/>
      <c r="IQ83" s="1675"/>
      <c r="IR83" s="1675"/>
      <c r="IS83" s="1675"/>
      <c r="IT83" s="1675"/>
      <c r="IU83" s="1675"/>
      <c r="IV83" s="1675"/>
      <c r="IW83" s="1675"/>
      <c r="IX83" s="1675"/>
      <c r="IY83" s="1675"/>
      <c r="IZ83" s="1675"/>
      <c r="JA83" s="1675"/>
      <c r="JB83" s="1675"/>
      <c r="JC83" s="1675"/>
      <c r="JD83" s="1675"/>
      <c r="JE83" s="1675"/>
      <c r="JF83" s="1675"/>
      <c r="JG83" s="1675"/>
      <c r="JH83" s="1675"/>
      <c r="JI83" s="1675"/>
      <c r="JJ83" s="1675"/>
      <c r="JK83" s="1675"/>
      <c r="JL83" s="1675"/>
      <c r="JM83" s="1675"/>
      <c r="JN83" s="1675"/>
      <c r="JO83" s="1675"/>
      <c r="JP83" s="1675"/>
      <c r="JQ83" s="1675"/>
      <c r="JR83" s="1675"/>
      <c r="JS83" s="1675"/>
      <c r="JT83" s="1675"/>
      <c r="JU83" s="1675"/>
      <c r="JV83" s="1675"/>
      <c r="JW83" s="1675"/>
      <c r="JX83" s="1675"/>
      <c r="JY83" s="1675"/>
      <c r="JZ83" s="1675"/>
      <c r="KA83" s="1675"/>
      <c r="KB83" s="1675"/>
      <c r="KC83" s="1675"/>
      <c r="KD83" s="1675"/>
      <c r="KE83" s="1675"/>
      <c r="KF83" s="1675"/>
      <c r="KG83" s="1675"/>
      <c r="KH83" s="1675"/>
      <c r="KI83" s="1675"/>
      <c r="KJ83" s="1675"/>
      <c r="KK83" s="1675"/>
      <c r="KL83" s="1675"/>
      <c r="KM83" s="1675"/>
      <c r="KN83" s="1675"/>
      <c r="KO83" s="1675"/>
      <c r="KP83" s="1675"/>
      <c r="KQ83" s="1675"/>
      <c r="KR83" s="1675"/>
      <c r="KS83" s="1675"/>
      <c r="KT83" s="1675"/>
      <c r="KU83" s="1675"/>
      <c r="KV83" s="1675"/>
      <c r="KW83" s="1675"/>
      <c r="KX83" s="1675"/>
      <c r="KY83" s="1675"/>
      <c r="KZ83" s="1675"/>
      <c r="LA83" s="1675"/>
      <c r="LB83" s="1675"/>
      <c r="LC83" s="1675"/>
      <c r="LD83" s="1675"/>
      <c r="LE83" s="1675"/>
      <c r="LF83" s="1675"/>
      <c r="LG83" s="1675"/>
      <c r="LH83" s="1675"/>
      <c r="LI83" s="1675"/>
      <c r="LJ83" s="1675"/>
      <c r="LK83" s="1675"/>
      <c r="LL83" s="1675"/>
      <c r="LM83" s="1675"/>
      <c r="LN83" s="1675"/>
      <c r="LO83" s="1675"/>
      <c r="LP83" s="1675"/>
      <c r="LQ83" s="1675"/>
      <c r="LR83" s="1675"/>
      <c r="LS83" s="1675"/>
      <c r="LT83" s="1675"/>
      <c r="LU83" s="1675"/>
      <c r="LV83" s="1675"/>
      <c r="LW83" s="1675"/>
      <c r="LX83" s="1675"/>
      <c r="LY83" s="1675"/>
      <c r="LZ83" s="1675"/>
      <c r="MA83" s="1675"/>
      <c r="MB83" s="1675"/>
    </row>
    <row r="84" spans="1:340" ht="18.95" customHeight="1">
      <c r="A84" s="334"/>
      <c r="B84" s="2275"/>
      <c r="C84" s="1126"/>
      <c r="D84" s="1145"/>
      <c r="E84" s="465" t="s">
        <v>1793</v>
      </c>
      <c r="F84" s="435" t="s">
        <v>1793</v>
      </c>
      <c r="G84" s="435" t="s">
        <v>19</v>
      </c>
      <c r="H84" s="391"/>
      <c r="I84" s="473"/>
      <c r="J84" s="1670" t="s">
        <v>6086</v>
      </c>
      <c r="K84" s="1671"/>
      <c r="L84" s="1671"/>
      <c r="M84" s="1671"/>
      <c r="N84" s="1672"/>
      <c r="O84" s="1671"/>
      <c r="P84" s="1671"/>
      <c r="Q84" s="1673">
        <v>3</v>
      </c>
      <c r="R84" s="1671" t="s">
        <v>2289</v>
      </c>
      <c r="S84" s="1672">
        <v>400000</v>
      </c>
      <c r="T84" s="1671" t="s">
        <v>2290</v>
      </c>
      <c r="U84" s="1671"/>
      <c r="V84" s="1671">
        <v>12</v>
      </c>
      <c r="W84" s="1671" t="s">
        <v>2071</v>
      </c>
      <c r="X84" s="397" t="s">
        <v>2117</v>
      </c>
      <c r="Y84" s="1674">
        <f>+Z84/1000</f>
        <v>14400</v>
      </c>
      <c r="Z84" s="1670">
        <f>+Q84*S84*V84</f>
        <v>14400000</v>
      </c>
      <c r="AA84" s="907"/>
      <c r="AB84" s="947"/>
      <c r="AC84" s="347"/>
      <c r="AD84" s="1675"/>
      <c r="AE84" s="1675"/>
      <c r="AF84" s="1675"/>
      <c r="AG84" s="1675"/>
      <c r="AH84" s="1675"/>
      <c r="AI84" s="1675"/>
      <c r="AJ84" s="1675"/>
      <c r="AK84" s="1675"/>
      <c r="AL84" s="1675"/>
      <c r="AM84" s="1675"/>
      <c r="AN84" s="1675"/>
      <c r="AO84" s="1675"/>
      <c r="AP84" s="1675"/>
      <c r="AQ84" s="1675"/>
      <c r="AR84" s="1675"/>
      <c r="AS84" s="1675"/>
      <c r="AT84" s="1675"/>
      <c r="AU84" s="1675"/>
      <c r="AV84" s="1675"/>
      <c r="AW84" s="1675"/>
      <c r="AX84" s="1675"/>
      <c r="AY84" s="1675"/>
      <c r="AZ84" s="1675"/>
      <c r="BA84" s="1675"/>
      <c r="BB84" s="1675"/>
      <c r="BC84" s="1675"/>
      <c r="BD84" s="1675"/>
      <c r="BE84" s="1675"/>
      <c r="BF84" s="1675"/>
      <c r="BG84" s="1675"/>
      <c r="BH84" s="1675"/>
      <c r="BI84" s="1675"/>
      <c r="BJ84" s="1675"/>
      <c r="BK84" s="1675"/>
      <c r="BL84" s="1675"/>
      <c r="BM84" s="1675"/>
      <c r="BN84" s="1675"/>
      <c r="BO84" s="1675"/>
      <c r="BP84" s="1675"/>
      <c r="BQ84" s="1675"/>
      <c r="BR84" s="1675"/>
      <c r="BS84" s="1675"/>
      <c r="BT84" s="1675"/>
      <c r="BU84" s="1675"/>
      <c r="BV84" s="1675"/>
      <c r="BW84" s="1675"/>
      <c r="BX84" s="1675"/>
      <c r="BY84" s="1675"/>
      <c r="BZ84" s="1675"/>
      <c r="CA84" s="1675"/>
      <c r="CB84" s="1675"/>
      <c r="CC84" s="1675"/>
      <c r="CD84" s="1675"/>
      <c r="CE84" s="1675"/>
      <c r="CF84" s="1675"/>
      <c r="CG84" s="1675"/>
      <c r="CH84" s="1675"/>
      <c r="CI84" s="1675"/>
      <c r="CJ84" s="1675"/>
      <c r="CK84" s="1675"/>
      <c r="CL84" s="1675"/>
      <c r="CM84" s="1675"/>
      <c r="CN84" s="1675"/>
      <c r="CO84" s="1675"/>
      <c r="CP84" s="1675"/>
      <c r="CQ84" s="1675"/>
      <c r="CR84" s="1675"/>
      <c r="CS84" s="1675"/>
      <c r="CT84" s="1675"/>
      <c r="CU84" s="1675"/>
      <c r="CV84" s="1675"/>
      <c r="CW84" s="1675"/>
      <c r="CX84" s="1675"/>
      <c r="CY84" s="1675"/>
      <c r="CZ84" s="1675"/>
      <c r="DA84" s="1675"/>
      <c r="DB84" s="1675"/>
      <c r="DC84" s="1675"/>
      <c r="DD84" s="1675"/>
      <c r="DE84" s="1675"/>
      <c r="DF84" s="1675"/>
      <c r="DG84" s="1675"/>
      <c r="DH84" s="1675"/>
      <c r="DI84" s="1675"/>
      <c r="DJ84" s="1675"/>
      <c r="DK84" s="1675"/>
      <c r="DL84" s="1675"/>
      <c r="DM84" s="1675"/>
      <c r="DN84" s="1675"/>
      <c r="DO84" s="1675"/>
      <c r="DP84" s="1675"/>
      <c r="DQ84" s="1675"/>
      <c r="DR84" s="1675"/>
      <c r="DS84" s="1675"/>
      <c r="DT84" s="1675"/>
      <c r="DU84" s="1675"/>
      <c r="DV84" s="1675"/>
      <c r="DW84" s="1675"/>
      <c r="DX84" s="1675"/>
      <c r="DY84" s="1675"/>
      <c r="DZ84" s="1675"/>
      <c r="EA84" s="1675"/>
      <c r="EB84" s="1675"/>
      <c r="EC84" s="1675"/>
      <c r="ED84" s="1675"/>
      <c r="EE84" s="1675"/>
      <c r="EF84" s="1675"/>
      <c r="EG84" s="1675"/>
      <c r="EH84" s="1675"/>
      <c r="EI84" s="1675"/>
      <c r="EJ84" s="1675"/>
      <c r="EK84" s="1675"/>
      <c r="EL84" s="1675"/>
      <c r="EM84" s="1675"/>
      <c r="EN84" s="1675"/>
      <c r="EO84" s="1675"/>
      <c r="EP84" s="1675"/>
      <c r="EQ84" s="1675"/>
      <c r="ER84" s="1675"/>
      <c r="ES84" s="1675"/>
      <c r="ET84" s="1675"/>
      <c r="EU84" s="1675"/>
      <c r="EV84" s="1675"/>
      <c r="EW84" s="1675"/>
      <c r="EX84" s="1675"/>
      <c r="EY84" s="1675"/>
      <c r="EZ84" s="1675"/>
      <c r="FA84" s="1675"/>
      <c r="FB84" s="1675"/>
      <c r="FC84" s="1675"/>
      <c r="FD84" s="1675"/>
      <c r="FE84" s="1675"/>
      <c r="FF84" s="1675"/>
      <c r="FG84" s="1675"/>
      <c r="FH84" s="1675"/>
      <c r="FI84" s="1675"/>
      <c r="FJ84" s="1675"/>
      <c r="FK84" s="1675"/>
      <c r="FL84" s="1675"/>
      <c r="FM84" s="1675"/>
      <c r="FN84" s="1675"/>
      <c r="FO84" s="1675"/>
      <c r="FP84" s="1675"/>
      <c r="FQ84" s="1675"/>
      <c r="FR84" s="1675"/>
      <c r="FS84" s="1675"/>
      <c r="FT84" s="1675"/>
      <c r="FU84" s="1675"/>
      <c r="FV84" s="1675"/>
      <c r="FW84" s="1675"/>
      <c r="FX84" s="1675"/>
      <c r="FY84" s="1675"/>
      <c r="FZ84" s="1675"/>
      <c r="GA84" s="1675"/>
      <c r="GB84" s="1675"/>
      <c r="GC84" s="1675"/>
      <c r="GD84" s="1675"/>
      <c r="GE84" s="1675"/>
      <c r="GF84" s="1675"/>
      <c r="GG84" s="1675"/>
      <c r="GH84" s="1675"/>
      <c r="GI84" s="1675"/>
      <c r="GJ84" s="1675"/>
      <c r="GK84" s="1675"/>
      <c r="GL84" s="1675"/>
      <c r="GM84" s="1675"/>
      <c r="GN84" s="1675"/>
      <c r="GO84" s="1675"/>
      <c r="GP84" s="1675"/>
      <c r="GQ84" s="1675"/>
      <c r="GR84" s="1675"/>
      <c r="GS84" s="1675"/>
      <c r="GT84" s="1675"/>
      <c r="GU84" s="1675"/>
      <c r="GV84" s="1675"/>
      <c r="GW84" s="1675"/>
      <c r="GX84" s="1675"/>
      <c r="GY84" s="1675"/>
      <c r="GZ84" s="1675"/>
      <c r="HA84" s="1675"/>
      <c r="HB84" s="1675"/>
      <c r="HC84" s="1675"/>
      <c r="HD84" s="1675"/>
      <c r="HE84" s="1675"/>
      <c r="HF84" s="1675"/>
      <c r="HG84" s="1675"/>
      <c r="HH84" s="1675"/>
      <c r="HI84" s="1675"/>
      <c r="HJ84" s="1675"/>
      <c r="HK84" s="1675"/>
      <c r="HL84" s="1675"/>
      <c r="HM84" s="1675"/>
      <c r="HN84" s="1675"/>
      <c r="HO84" s="1675"/>
      <c r="HP84" s="1675"/>
      <c r="HQ84" s="1675"/>
      <c r="HR84" s="1675"/>
      <c r="HS84" s="1675"/>
      <c r="HT84" s="1675"/>
      <c r="HU84" s="1675"/>
      <c r="HV84" s="1675"/>
      <c r="HW84" s="1675"/>
      <c r="HX84" s="1675"/>
      <c r="HY84" s="1675"/>
      <c r="HZ84" s="1675"/>
      <c r="IA84" s="1675"/>
      <c r="IB84" s="1675"/>
      <c r="IC84" s="1675"/>
      <c r="ID84" s="1675"/>
      <c r="IE84" s="1675"/>
      <c r="IF84" s="1675"/>
      <c r="IG84" s="1675"/>
      <c r="IH84" s="1675"/>
      <c r="II84" s="1675"/>
      <c r="IJ84" s="1675"/>
      <c r="IK84" s="1675"/>
      <c r="IL84" s="1675"/>
      <c r="IM84" s="1675"/>
      <c r="IN84" s="1675"/>
      <c r="IO84" s="1675"/>
      <c r="IP84" s="1675"/>
      <c r="IQ84" s="1675"/>
      <c r="IR84" s="1675"/>
      <c r="IS84" s="1675"/>
      <c r="IT84" s="1675"/>
      <c r="IU84" s="1675"/>
      <c r="IV84" s="1675"/>
      <c r="IW84" s="1675"/>
      <c r="IX84" s="1675"/>
      <c r="IY84" s="1675"/>
      <c r="IZ84" s="1675"/>
      <c r="JA84" s="1675"/>
      <c r="JB84" s="1675"/>
      <c r="JC84" s="1675"/>
      <c r="JD84" s="1675"/>
      <c r="JE84" s="1675"/>
      <c r="JF84" s="1675"/>
      <c r="JG84" s="1675"/>
      <c r="JH84" s="1675"/>
      <c r="JI84" s="1675"/>
      <c r="JJ84" s="1675"/>
      <c r="JK84" s="1675"/>
      <c r="JL84" s="1675"/>
      <c r="JM84" s="1675"/>
      <c r="JN84" s="1675"/>
      <c r="JO84" s="1675"/>
      <c r="JP84" s="1675"/>
      <c r="JQ84" s="1675"/>
      <c r="JR84" s="1675"/>
      <c r="JS84" s="1675"/>
      <c r="JT84" s="1675"/>
      <c r="JU84" s="1675"/>
      <c r="JV84" s="1675"/>
      <c r="JW84" s="1675"/>
      <c r="JX84" s="1675"/>
      <c r="JY84" s="1675"/>
      <c r="JZ84" s="1675"/>
      <c r="KA84" s="1675"/>
      <c r="KB84" s="1675"/>
      <c r="KC84" s="1675"/>
      <c r="KD84" s="1675"/>
      <c r="KE84" s="1675"/>
      <c r="KF84" s="1675"/>
      <c r="KG84" s="1675"/>
      <c r="KH84" s="1675"/>
      <c r="KI84" s="1675"/>
      <c r="KJ84" s="1675"/>
      <c r="KK84" s="1675"/>
      <c r="KL84" s="1675"/>
      <c r="KM84" s="1675"/>
      <c r="KN84" s="1675"/>
      <c r="KO84" s="1675"/>
      <c r="KP84" s="1675"/>
      <c r="KQ84" s="1675"/>
      <c r="KR84" s="1675"/>
      <c r="KS84" s="1675"/>
      <c r="KT84" s="1675"/>
      <c r="KU84" s="1675"/>
      <c r="KV84" s="1675"/>
      <c r="KW84" s="1675"/>
      <c r="KX84" s="1675"/>
      <c r="KY84" s="1675"/>
      <c r="KZ84" s="1675"/>
      <c r="LA84" s="1675"/>
      <c r="LB84" s="1675"/>
      <c r="LC84" s="1675"/>
      <c r="LD84" s="1675"/>
      <c r="LE84" s="1675"/>
      <c r="LF84" s="1675"/>
      <c r="LG84" s="1675"/>
      <c r="LH84" s="1675"/>
      <c r="LI84" s="1675"/>
      <c r="LJ84" s="1675"/>
      <c r="LK84" s="1675"/>
      <c r="LL84" s="1675"/>
      <c r="LM84" s="1675"/>
      <c r="LN84" s="1675"/>
      <c r="LO84" s="1675"/>
      <c r="LP84" s="1675"/>
      <c r="LQ84" s="1675"/>
      <c r="LR84" s="1675"/>
      <c r="LS84" s="1675"/>
      <c r="LT84" s="1675"/>
      <c r="LU84" s="1675"/>
      <c r="LV84" s="1675"/>
      <c r="LW84" s="1675"/>
      <c r="LX84" s="1675"/>
      <c r="LY84" s="1675"/>
      <c r="LZ84" s="1675"/>
      <c r="MA84" s="1675"/>
      <c r="MB84" s="1675"/>
    </row>
    <row r="85" spans="1:340" ht="20.100000000000001" customHeight="1">
      <c r="A85" s="334"/>
      <c r="B85" s="2275"/>
      <c r="C85" s="1126"/>
      <c r="D85" s="1145"/>
      <c r="E85" s="809" t="s">
        <v>2291</v>
      </c>
      <c r="F85" s="913">
        <f>+Y85</f>
        <v>1920</v>
      </c>
      <c r="G85" s="913">
        <v>1920</v>
      </c>
      <c r="H85" s="908"/>
      <c r="I85" s="473"/>
      <c r="J85" s="835" t="s">
        <v>2292</v>
      </c>
      <c r="K85" s="462"/>
      <c r="L85" s="462"/>
      <c r="M85" s="462"/>
      <c r="N85" s="399"/>
      <c r="O85" s="462"/>
      <c r="P85" s="462"/>
      <c r="Q85" s="836">
        <v>8</v>
      </c>
      <c r="R85" s="462" t="s">
        <v>2293</v>
      </c>
      <c r="S85" s="399">
        <v>20000</v>
      </c>
      <c r="T85" s="462" t="s">
        <v>1782</v>
      </c>
      <c r="U85" s="462"/>
      <c r="V85" s="462">
        <v>12</v>
      </c>
      <c r="W85" s="462" t="s">
        <v>1795</v>
      </c>
      <c r="X85" s="430" t="s">
        <v>1783</v>
      </c>
      <c r="Y85" s="377">
        <f>+Z85/1000</f>
        <v>1920</v>
      </c>
      <c r="Z85" s="1671">
        <f>S85*Q85*V85</f>
        <v>1920000</v>
      </c>
      <c r="AA85" s="907">
        <f t="shared" si="6"/>
        <v>1920000000</v>
      </c>
      <c r="AB85" s="505"/>
      <c r="AC85" s="347"/>
      <c r="AD85" s="1675"/>
      <c r="AE85" s="1675"/>
      <c r="AF85" s="1675"/>
      <c r="AG85" s="1675"/>
      <c r="AH85" s="1675"/>
      <c r="AI85" s="1675"/>
      <c r="AJ85" s="1675"/>
      <c r="AK85" s="1675"/>
      <c r="AL85" s="1675"/>
      <c r="AM85" s="1675"/>
      <c r="AN85" s="1675"/>
      <c r="AO85" s="1675"/>
      <c r="AP85" s="1675"/>
      <c r="AQ85" s="1675"/>
      <c r="AR85" s="1675"/>
      <c r="AS85" s="1675"/>
      <c r="AT85" s="1675"/>
      <c r="AU85" s="1675"/>
      <c r="AV85" s="1675"/>
      <c r="AW85" s="1675"/>
      <c r="AX85" s="1675"/>
      <c r="AY85" s="1675"/>
      <c r="AZ85" s="1675"/>
      <c r="BA85" s="1675"/>
      <c r="BB85" s="1675"/>
      <c r="BC85" s="1675"/>
      <c r="BD85" s="1675"/>
      <c r="BE85" s="1675"/>
      <c r="BF85" s="1675"/>
      <c r="BG85" s="1675"/>
      <c r="BH85" s="1675"/>
      <c r="BI85" s="1675"/>
      <c r="BJ85" s="1675"/>
      <c r="BK85" s="1675"/>
      <c r="BL85" s="1675"/>
      <c r="BM85" s="1675"/>
      <c r="BN85" s="1675"/>
      <c r="BO85" s="1675"/>
      <c r="BP85" s="1675"/>
      <c r="BQ85" s="1675"/>
      <c r="BR85" s="1675"/>
      <c r="BS85" s="1675"/>
      <c r="BT85" s="1675"/>
      <c r="BU85" s="1675"/>
      <c r="BV85" s="1675"/>
      <c r="BW85" s="1675"/>
      <c r="BX85" s="1675"/>
      <c r="BY85" s="1675"/>
      <c r="BZ85" s="1675"/>
      <c r="CA85" s="1675"/>
      <c r="CB85" s="1675"/>
      <c r="CC85" s="1675"/>
      <c r="CD85" s="1675"/>
      <c r="CE85" s="1675"/>
      <c r="CF85" s="1675"/>
      <c r="CG85" s="1675"/>
      <c r="CH85" s="1675"/>
      <c r="CI85" s="1675"/>
      <c r="CJ85" s="1675"/>
      <c r="CK85" s="1675"/>
      <c r="CL85" s="1675"/>
      <c r="CM85" s="1675"/>
      <c r="CN85" s="1675"/>
      <c r="CO85" s="1675"/>
      <c r="CP85" s="1675"/>
      <c r="CQ85" s="1675"/>
      <c r="CR85" s="1675"/>
      <c r="CS85" s="1675"/>
      <c r="CT85" s="1675"/>
      <c r="CU85" s="1675"/>
      <c r="CV85" s="1675"/>
      <c r="CW85" s="1675"/>
      <c r="CX85" s="1675"/>
      <c r="CY85" s="1675"/>
      <c r="CZ85" s="1675"/>
      <c r="DA85" s="1675"/>
      <c r="DB85" s="1675"/>
      <c r="DC85" s="1675"/>
      <c r="DD85" s="1675"/>
      <c r="DE85" s="1675"/>
      <c r="DF85" s="1675"/>
      <c r="DG85" s="1675"/>
      <c r="DH85" s="1675"/>
      <c r="DI85" s="1675"/>
      <c r="DJ85" s="1675"/>
      <c r="DK85" s="1675"/>
      <c r="DL85" s="1675"/>
      <c r="DM85" s="1675"/>
      <c r="DN85" s="1675"/>
      <c r="DO85" s="1675"/>
      <c r="DP85" s="1675"/>
      <c r="DQ85" s="1675"/>
      <c r="DR85" s="1675"/>
      <c r="DS85" s="1675"/>
      <c r="DT85" s="1675"/>
      <c r="DU85" s="1675"/>
      <c r="DV85" s="1675"/>
      <c r="DW85" s="1675"/>
      <c r="DX85" s="1675"/>
      <c r="DY85" s="1675"/>
      <c r="DZ85" s="1675"/>
      <c r="EA85" s="1675"/>
      <c r="EB85" s="1675"/>
      <c r="EC85" s="1675"/>
      <c r="ED85" s="1675"/>
      <c r="EE85" s="1675"/>
      <c r="EF85" s="1675"/>
      <c r="EG85" s="1675"/>
      <c r="EH85" s="1675"/>
      <c r="EI85" s="1675"/>
      <c r="EJ85" s="1675"/>
      <c r="EK85" s="1675"/>
      <c r="EL85" s="1675"/>
      <c r="EM85" s="1675"/>
      <c r="EN85" s="1675"/>
      <c r="EO85" s="1675"/>
      <c r="EP85" s="1675"/>
      <c r="EQ85" s="1675"/>
      <c r="ER85" s="1675"/>
      <c r="ES85" s="1675"/>
      <c r="ET85" s="1675"/>
      <c r="EU85" s="1675"/>
      <c r="EV85" s="1675"/>
      <c r="EW85" s="1675"/>
      <c r="EX85" s="1675"/>
      <c r="EY85" s="1675"/>
      <c r="EZ85" s="1675"/>
      <c r="FA85" s="1675"/>
      <c r="FB85" s="1675"/>
      <c r="FC85" s="1675"/>
      <c r="FD85" s="1675"/>
      <c r="FE85" s="1675"/>
      <c r="FF85" s="1675"/>
      <c r="FG85" s="1675"/>
      <c r="FH85" s="1675"/>
      <c r="FI85" s="1675"/>
      <c r="FJ85" s="1675"/>
      <c r="FK85" s="1675"/>
      <c r="FL85" s="1675"/>
      <c r="FM85" s="1675"/>
      <c r="FN85" s="1675"/>
      <c r="FO85" s="1675"/>
      <c r="FP85" s="1675"/>
      <c r="FQ85" s="1675"/>
      <c r="FR85" s="1675"/>
      <c r="FS85" s="1675"/>
      <c r="FT85" s="1675"/>
      <c r="FU85" s="1675"/>
      <c r="FV85" s="1675"/>
      <c r="FW85" s="1675"/>
      <c r="FX85" s="1675"/>
      <c r="FY85" s="1675"/>
      <c r="FZ85" s="1675"/>
      <c r="GA85" s="1675"/>
      <c r="GB85" s="1675"/>
      <c r="GC85" s="1675"/>
      <c r="GD85" s="1675"/>
      <c r="GE85" s="1675"/>
      <c r="GF85" s="1675"/>
      <c r="GG85" s="1675"/>
      <c r="GH85" s="1675"/>
      <c r="GI85" s="1675"/>
      <c r="GJ85" s="1675"/>
      <c r="GK85" s="1675"/>
      <c r="GL85" s="1675"/>
      <c r="GM85" s="1675"/>
      <c r="GN85" s="1675"/>
      <c r="GO85" s="1675"/>
      <c r="GP85" s="1675"/>
      <c r="GQ85" s="1675"/>
      <c r="GR85" s="1675"/>
      <c r="GS85" s="1675"/>
      <c r="GT85" s="1675"/>
      <c r="GU85" s="1675"/>
      <c r="GV85" s="1675"/>
      <c r="GW85" s="1675"/>
      <c r="GX85" s="1675"/>
      <c r="GY85" s="1675"/>
      <c r="GZ85" s="1675"/>
      <c r="HA85" s="1675"/>
      <c r="HB85" s="1675"/>
      <c r="HC85" s="1675"/>
      <c r="HD85" s="1675"/>
      <c r="HE85" s="1675"/>
      <c r="HF85" s="1675"/>
      <c r="HG85" s="1675"/>
      <c r="HH85" s="1675"/>
      <c r="HI85" s="1675"/>
      <c r="HJ85" s="1675"/>
      <c r="HK85" s="1675"/>
      <c r="HL85" s="1675"/>
      <c r="HM85" s="1675"/>
      <c r="HN85" s="1675"/>
      <c r="HO85" s="1675"/>
      <c r="HP85" s="1675"/>
      <c r="HQ85" s="1675"/>
      <c r="HR85" s="1675"/>
      <c r="HS85" s="1675"/>
      <c r="HT85" s="1675"/>
      <c r="HU85" s="1675"/>
      <c r="HV85" s="1675"/>
      <c r="HW85" s="1675"/>
      <c r="HX85" s="1675"/>
      <c r="HY85" s="1675"/>
      <c r="HZ85" s="1675"/>
      <c r="IA85" s="1675"/>
      <c r="IB85" s="1675"/>
      <c r="IC85" s="1675"/>
      <c r="ID85" s="1675"/>
      <c r="IE85" s="1675"/>
      <c r="IF85" s="1675"/>
      <c r="IG85" s="1675"/>
      <c r="IH85" s="1675"/>
      <c r="II85" s="1675"/>
      <c r="IJ85" s="1675"/>
      <c r="IK85" s="1675"/>
      <c r="IL85" s="1675"/>
      <c r="IM85" s="1675"/>
      <c r="IN85" s="1675"/>
      <c r="IO85" s="1675"/>
      <c r="IP85" s="1675"/>
      <c r="IQ85" s="1675"/>
      <c r="IR85" s="1675"/>
      <c r="IS85" s="1675"/>
      <c r="IT85" s="1675"/>
      <c r="IU85" s="1675"/>
      <c r="IV85" s="1675"/>
      <c r="IW85" s="1675"/>
      <c r="IX85" s="1675"/>
      <c r="IY85" s="1675"/>
      <c r="IZ85" s="1675"/>
      <c r="JA85" s="1675"/>
      <c r="JB85" s="1675"/>
      <c r="JC85" s="1675"/>
      <c r="JD85" s="1675"/>
      <c r="JE85" s="1675"/>
      <c r="JF85" s="1675"/>
      <c r="JG85" s="1675"/>
      <c r="JH85" s="1675"/>
      <c r="JI85" s="1675"/>
      <c r="JJ85" s="1675"/>
      <c r="JK85" s="1675"/>
      <c r="JL85" s="1675"/>
      <c r="JM85" s="1675"/>
      <c r="JN85" s="1675"/>
      <c r="JO85" s="1675"/>
      <c r="JP85" s="1675"/>
      <c r="JQ85" s="1675"/>
      <c r="JR85" s="1675"/>
      <c r="JS85" s="1675"/>
      <c r="JT85" s="1675"/>
      <c r="JU85" s="1675"/>
      <c r="JV85" s="1675"/>
      <c r="JW85" s="1675"/>
      <c r="JX85" s="1675"/>
      <c r="JY85" s="1675"/>
      <c r="JZ85" s="1675"/>
      <c r="KA85" s="1675"/>
      <c r="KB85" s="1675"/>
      <c r="KC85" s="1675"/>
      <c r="KD85" s="1675"/>
      <c r="KE85" s="1675"/>
      <c r="KF85" s="1675"/>
      <c r="KG85" s="1675"/>
      <c r="KH85" s="1675"/>
      <c r="KI85" s="1675"/>
      <c r="KJ85" s="1675"/>
      <c r="KK85" s="1675"/>
      <c r="KL85" s="1675"/>
      <c r="KM85" s="1675"/>
      <c r="KN85" s="1675"/>
      <c r="KO85" s="1675"/>
      <c r="KP85" s="1675"/>
      <c r="KQ85" s="1675"/>
      <c r="KR85" s="1675"/>
      <c r="KS85" s="1675"/>
      <c r="KT85" s="1675"/>
      <c r="KU85" s="1675"/>
      <c r="KV85" s="1675"/>
      <c r="KW85" s="1675"/>
      <c r="KX85" s="1675"/>
      <c r="KY85" s="1675"/>
      <c r="KZ85" s="1675"/>
      <c r="LA85" s="1675"/>
      <c r="LB85" s="1675"/>
      <c r="LC85" s="1675"/>
      <c r="LD85" s="1675"/>
      <c r="LE85" s="1675"/>
      <c r="LF85" s="1675"/>
      <c r="LG85" s="1675"/>
      <c r="LH85" s="1675"/>
      <c r="LI85" s="1675"/>
      <c r="LJ85" s="1675"/>
      <c r="LK85" s="1675"/>
      <c r="LL85" s="1675"/>
      <c r="LM85" s="1675"/>
      <c r="LN85" s="1675"/>
      <c r="LO85" s="1675"/>
      <c r="LP85" s="1675"/>
      <c r="LQ85" s="1675"/>
      <c r="LR85" s="1675"/>
      <c r="LS85" s="1675"/>
      <c r="LT85" s="1675"/>
      <c r="LU85" s="1675"/>
      <c r="LV85" s="1675"/>
      <c r="LW85" s="1675"/>
      <c r="LX85" s="1675"/>
      <c r="LY85" s="1675"/>
      <c r="LZ85" s="1675"/>
      <c r="MA85" s="1675"/>
      <c r="MB85" s="1675"/>
    </row>
    <row r="86" spans="1:340" ht="20.100000000000001" customHeight="1">
      <c r="A86" s="334"/>
      <c r="B86" s="2275"/>
      <c r="C86" s="1126"/>
      <c r="D86" s="1145"/>
      <c r="E86" s="809" t="s">
        <v>1790</v>
      </c>
      <c r="F86" s="913">
        <f>Y86</f>
        <v>18240</v>
      </c>
      <c r="G86" s="913">
        <v>18240</v>
      </c>
      <c r="H86" s="908"/>
      <c r="I86" s="473"/>
      <c r="J86" s="911" t="s">
        <v>1794</v>
      </c>
      <c r="K86" s="815"/>
      <c r="L86" s="815"/>
      <c r="M86" s="815"/>
      <c r="N86" s="450"/>
      <c r="O86" s="450"/>
      <c r="P86" s="815"/>
      <c r="Q86" s="831"/>
      <c r="R86" s="815"/>
      <c r="S86" s="815"/>
      <c r="T86" s="815"/>
      <c r="U86" s="815"/>
      <c r="V86" s="815"/>
      <c r="W86" s="815"/>
      <c r="X86" s="906"/>
      <c r="Y86" s="356">
        <f>SUM(Y87:Y91)</f>
        <v>18240</v>
      </c>
      <c r="Z86" s="1671">
        <f>SUM(Z87:Z91)</f>
        <v>18240000</v>
      </c>
      <c r="AA86" s="907">
        <f t="shared" si="6"/>
        <v>18240000000</v>
      </c>
      <c r="AB86" s="505"/>
    </row>
    <row r="87" spans="1:340" ht="20.100000000000001" customHeight="1">
      <c r="A87" s="334"/>
      <c r="B87" s="2275"/>
      <c r="C87" s="1126"/>
      <c r="D87" s="1145"/>
      <c r="E87" s="465"/>
      <c r="F87" s="435"/>
      <c r="G87" s="435"/>
      <c r="H87" s="391"/>
      <c r="I87" s="473"/>
      <c r="J87" s="1670" t="s">
        <v>2294</v>
      </c>
      <c r="K87" s="1671"/>
      <c r="L87" s="1671"/>
      <c r="M87" s="1671"/>
      <c r="N87" s="1672"/>
      <c r="O87" s="1671"/>
      <c r="P87" s="1671"/>
      <c r="Q87" s="1673"/>
      <c r="R87" s="1671"/>
      <c r="S87" s="1672">
        <v>300000</v>
      </c>
      <c r="T87" s="1671" t="s">
        <v>1782</v>
      </c>
      <c r="U87" s="1671"/>
      <c r="V87" s="1671">
        <v>12</v>
      </c>
      <c r="W87" s="1671" t="s">
        <v>1795</v>
      </c>
      <c r="X87" s="397" t="s">
        <v>1783</v>
      </c>
      <c r="Y87" s="1674">
        <f t="shared" ref="Y87:Y97" si="7">+Z87/1000</f>
        <v>3600</v>
      </c>
      <c r="Z87" s="1671">
        <f>S87*V87</f>
        <v>3600000</v>
      </c>
      <c r="AA87" s="907">
        <f t="shared" si="6"/>
        <v>0</v>
      </c>
      <c r="AB87" s="505"/>
      <c r="AC87" s="347"/>
      <c r="AD87" s="1675"/>
      <c r="AE87" s="1675"/>
      <c r="AF87" s="1675"/>
      <c r="AG87" s="1675"/>
      <c r="AH87" s="1675"/>
      <c r="AI87" s="1675"/>
      <c r="AJ87" s="1675"/>
      <c r="AK87" s="1675"/>
      <c r="AL87" s="1675"/>
      <c r="AM87" s="1675"/>
      <c r="AN87" s="1675"/>
      <c r="AO87" s="1675"/>
      <c r="AP87" s="1675"/>
      <c r="AQ87" s="1675"/>
      <c r="AR87" s="1675"/>
      <c r="AS87" s="1675"/>
      <c r="AT87" s="1675"/>
      <c r="AU87" s="1675"/>
      <c r="AV87" s="1675"/>
      <c r="AW87" s="1675"/>
      <c r="AX87" s="1675"/>
      <c r="AY87" s="1675"/>
      <c r="AZ87" s="1675"/>
      <c r="BA87" s="1675"/>
      <c r="BB87" s="1675"/>
      <c r="BC87" s="1675"/>
      <c r="BD87" s="1675"/>
      <c r="BE87" s="1675"/>
      <c r="BF87" s="1675"/>
      <c r="BG87" s="1675"/>
      <c r="BH87" s="1675"/>
      <c r="BI87" s="1675"/>
      <c r="BJ87" s="1675"/>
      <c r="BK87" s="1675"/>
      <c r="BL87" s="1675"/>
      <c r="BM87" s="1675"/>
      <c r="BN87" s="1675"/>
      <c r="BO87" s="1675"/>
      <c r="BP87" s="1675"/>
      <c r="BQ87" s="1675"/>
      <c r="BR87" s="1675"/>
      <c r="BS87" s="1675"/>
      <c r="BT87" s="1675"/>
      <c r="BU87" s="1675"/>
      <c r="BV87" s="1675"/>
      <c r="BW87" s="1675"/>
      <c r="BX87" s="1675"/>
      <c r="BY87" s="1675"/>
      <c r="BZ87" s="1675"/>
      <c r="CA87" s="1675"/>
      <c r="CB87" s="1675"/>
      <c r="CC87" s="1675"/>
      <c r="CD87" s="1675"/>
      <c r="CE87" s="1675"/>
      <c r="CF87" s="1675"/>
      <c r="CG87" s="1675"/>
      <c r="CH87" s="1675"/>
      <c r="CI87" s="1675"/>
      <c r="CJ87" s="1675"/>
      <c r="CK87" s="1675"/>
      <c r="CL87" s="1675"/>
      <c r="CM87" s="1675"/>
      <c r="CN87" s="1675"/>
      <c r="CO87" s="1675"/>
      <c r="CP87" s="1675"/>
      <c r="CQ87" s="1675"/>
      <c r="CR87" s="1675"/>
      <c r="CS87" s="1675"/>
      <c r="CT87" s="1675"/>
      <c r="CU87" s="1675"/>
      <c r="CV87" s="1675"/>
      <c r="CW87" s="1675"/>
      <c r="CX87" s="1675"/>
      <c r="CY87" s="1675"/>
      <c r="CZ87" s="1675"/>
      <c r="DA87" s="1675"/>
      <c r="DB87" s="1675"/>
      <c r="DC87" s="1675"/>
      <c r="DD87" s="1675"/>
      <c r="DE87" s="1675"/>
      <c r="DF87" s="1675"/>
      <c r="DG87" s="1675"/>
      <c r="DH87" s="1675"/>
      <c r="DI87" s="1675"/>
      <c r="DJ87" s="1675"/>
      <c r="DK87" s="1675"/>
      <c r="DL87" s="1675"/>
      <c r="DM87" s="1675"/>
      <c r="DN87" s="1675"/>
      <c r="DO87" s="1675"/>
      <c r="DP87" s="1675"/>
      <c r="DQ87" s="1675"/>
      <c r="DR87" s="1675"/>
      <c r="DS87" s="1675"/>
      <c r="DT87" s="1675"/>
      <c r="DU87" s="1675"/>
      <c r="DV87" s="1675"/>
      <c r="DW87" s="1675"/>
      <c r="DX87" s="1675"/>
      <c r="DY87" s="1675"/>
      <c r="DZ87" s="1675"/>
      <c r="EA87" s="1675"/>
      <c r="EB87" s="1675"/>
      <c r="EC87" s="1675"/>
      <c r="ED87" s="1675"/>
      <c r="EE87" s="1675"/>
      <c r="EF87" s="1675"/>
      <c r="EG87" s="1675"/>
      <c r="EH87" s="1675"/>
      <c r="EI87" s="1675"/>
      <c r="EJ87" s="1675"/>
      <c r="EK87" s="1675"/>
      <c r="EL87" s="1675"/>
      <c r="EM87" s="1675"/>
      <c r="EN87" s="1675"/>
      <c r="EO87" s="1675"/>
      <c r="EP87" s="1675"/>
      <c r="EQ87" s="1675"/>
      <c r="ER87" s="1675"/>
      <c r="ES87" s="1675"/>
      <c r="ET87" s="1675"/>
      <c r="EU87" s="1675"/>
      <c r="EV87" s="1675"/>
      <c r="EW87" s="1675"/>
      <c r="EX87" s="1675"/>
      <c r="EY87" s="1675"/>
      <c r="EZ87" s="1675"/>
      <c r="FA87" s="1675"/>
      <c r="FB87" s="1675"/>
      <c r="FC87" s="1675"/>
      <c r="FD87" s="1675"/>
      <c r="FE87" s="1675"/>
      <c r="FF87" s="1675"/>
      <c r="FG87" s="1675"/>
      <c r="FH87" s="1675"/>
      <c r="FI87" s="1675"/>
      <c r="FJ87" s="1675"/>
      <c r="FK87" s="1675"/>
      <c r="FL87" s="1675"/>
      <c r="FM87" s="1675"/>
      <c r="FN87" s="1675"/>
      <c r="FO87" s="1675"/>
      <c r="FP87" s="1675"/>
      <c r="FQ87" s="1675"/>
      <c r="FR87" s="1675"/>
      <c r="FS87" s="1675"/>
      <c r="FT87" s="1675"/>
      <c r="FU87" s="1675"/>
      <c r="FV87" s="1675"/>
      <c r="FW87" s="1675"/>
      <c r="FX87" s="1675"/>
      <c r="FY87" s="1675"/>
      <c r="FZ87" s="1675"/>
      <c r="GA87" s="1675"/>
      <c r="GB87" s="1675"/>
      <c r="GC87" s="1675"/>
      <c r="GD87" s="1675"/>
      <c r="GE87" s="1675"/>
      <c r="GF87" s="1675"/>
      <c r="GG87" s="1675"/>
      <c r="GH87" s="1675"/>
      <c r="GI87" s="1675"/>
      <c r="GJ87" s="1675"/>
      <c r="GK87" s="1675"/>
      <c r="GL87" s="1675"/>
      <c r="GM87" s="1675"/>
      <c r="GN87" s="1675"/>
      <c r="GO87" s="1675"/>
      <c r="GP87" s="1675"/>
      <c r="GQ87" s="1675"/>
      <c r="GR87" s="1675"/>
      <c r="GS87" s="1675"/>
      <c r="GT87" s="1675"/>
      <c r="GU87" s="1675"/>
      <c r="GV87" s="1675"/>
      <c r="GW87" s="1675"/>
      <c r="GX87" s="1675"/>
      <c r="GY87" s="1675"/>
      <c r="GZ87" s="1675"/>
      <c r="HA87" s="1675"/>
      <c r="HB87" s="1675"/>
      <c r="HC87" s="1675"/>
      <c r="HD87" s="1675"/>
      <c r="HE87" s="1675"/>
      <c r="HF87" s="1675"/>
      <c r="HG87" s="1675"/>
      <c r="HH87" s="1675"/>
      <c r="HI87" s="1675"/>
      <c r="HJ87" s="1675"/>
      <c r="HK87" s="1675"/>
      <c r="HL87" s="1675"/>
      <c r="HM87" s="1675"/>
      <c r="HN87" s="1675"/>
      <c r="HO87" s="1675"/>
      <c r="HP87" s="1675"/>
      <c r="HQ87" s="1675"/>
      <c r="HR87" s="1675"/>
      <c r="HS87" s="1675"/>
      <c r="HT87" s="1675"/>
      <c r="HU87" s="1675"/>
      <c r="HV87" s="1675"/>
      <c r="HW87" s="1675"/>
      <c r="HX87" s="1675"/>
      <c r="HY87" s="1675"/>
      <c r="HZ87" s="1675"/>
      <c r="IA87" s="1675"/>
      <c r="IB87" s="1675"/>
      <c r="IC87" s="1675"/>
      <c r="ID87" s="1675"/>
      <c r="IE87" s="1675"/>
      <c r="IF87" s="1675"/>
      <c r="IG87" s="1675"/>
      <c r="IH87" s="1675"/>
      <c r="II87" s="1675"/>
      <c r="IJ87" s="1675"/>
      <c r="IK87" s="1675"/>
      <c r="IL87" s="1675"/>
      <c r="IM87" s="1675"/>
      <c r="IN87" s="1675"/>
      <c r="IO87" s="1675"/>
      <c r="IP87" s="1675"/>
      <c r="IQ87" s="1675"/>
      <c r="IR87" s="1675"/>
      <c r="IS87" s="1675"/>
      <c r="IT87" s="1675"/>
      <c r="IU87" s="1675"/>
      <c r="IV87" s="1675"/>
      <c r="IW87" s="1675"/>
      <c r="IX87" s="1675"/>
      <c r="IY87" s="1675"/>
      <c r="IZ87" s="1675"/>
      <c r="JA87" s="1675"/>
      <c r="JB87" s="1675"/>
      <c r="JC87" s="1675"/>
      <c r="JD87" s="1675"/>
      <c r="JE87" s="1675"/>
      <c r="JF87" s="1675"/>
      <c r="JG87" s="1675"/>
      <c r="JH87" s="1675"/>
      <c r="JI87" s="1675"/>
      <c r="JJ87" s="1675"/>
      <c r="JK87" s="1675"/>
      <c r="JL87" s="1675"/>
      <c r="JM87" s="1675"/>
      <c r="JN87" s="1675"/>
      <c r="JO87" s="1675"/>
      <c r="JP87" s="1675"/>
      <c r="JQ87" s="1675"/>
      <c r="JR87" s="1675"/>
      <c r="JS87" s="1675"/>
      <c r="JT87" s="1675"/>
      <c r="JU87" s="1675"/>
      <c r="JV87" s="1675"/>
      <c r="JW87" s="1675"/>
      <c r="JX87" s="1675"/>
      <c r="JY87" s="1675"/>
      <c r="JZ87" s="1675"/>
      <c r="KA87" s="1675"/>
      <c r="KB87" s="1675"/>
      <c r="KC87" s="1675"/>
      <c r="KD87" s="1675"/>
      <c r="KE87" s="1675"/>
      <c r="KF87" s="1675"/>
      <c r="KG87" s="1675"/>
      <c r="KH87" s="1675"/>
      <c r="KI87" s="1675"/>
      <c r="KJ87" s="1675"/>
      <c r="KK87" s="1675"/>
      <c r="KL87" s="1675"/>
      <c r="KM87" s="1675"/>
      <c r="KN87" s="1675"/>
      <c r="KO87" s="1675"/>
      <c r="KP87" s="1675"/>
      <c r="KQ87" s="1675"/>
      <c r="KR87" s="1675"/>
      <c r="KS87" s="1675"/>
      <c r="KT87" s="1675"/>
      <c r="KU87" s="1675"/>
      <c r="KV87" s="1675"/>
      <c r="KW87" s="1675"/>
      <c r="KX87" s="1675"/>
      <c r="KY87" s="1675"/>
      <c r="KZ87" s="1675"/>
      <c r="LA87" s="1675"/>
      <c r="LB87" s="1675"/>
      <c r="LC87" s="1675"/>
      <c r="LD87" s="1675"/>
      <c r="LE87" s="1675"/>
      <c r="LF87" s="1675"/>
      <c r="LG87" s="1675"/>
      <c r="LH87" s="1675"/>
      <c r="LI87" s="1675"/>
      <c r="LJ87" s="1675"/>
      <c r="LK87" s="1675"/>
      <c r="LL87" s="1675"/>
      <c r="LM87" s="1675"/>
      <c r="LN87" s="1675"/>
      <c r="LO87" s="1675"/>
      <c r="LP87" s="1675"/>
      <c r="LQ87" s="1675"/>
      <c r="LR87" s="1675"/>
      <c r="LS87" s="1675"/>
      <c r="LT87" s="1675"/>
      <c r="LU87" s="1675"/>
      <c r="LV87" s="1675"/>
      <c r="LW87" s="1675"/>
      <c r="LX87" s="1675"/>
      <c r="LY87" s="1675"/>
      <c r="LZ87" s="1675"/>
      <c r="MA87" s="1675"/>
      <c r="MB87" s="1675"/>
    </row>
    <row r="88" spans="1:340" s="380" customFormat="1" ht="20.100000000000001" customHeight="1" thickBot="1">
      <c r="A88" s="334"/>
      <c r="B88" s="2275"/>
      <c r="C88" s="1126"/>
      <c r="D88" s="1145"/>
      <c r="E88" s="465"/>
      <c r="F88" s="435"/>
      <c r="G88" s="435"/>
      <c r="H88" s="391"/>
      <c r="I88" s="473"/>
      <c r="J88" s="1670" t="s">
        <v>2295</v>
      </c>
      <c r="K88" s="1671"/>
      <c r="L88" s="1671"/>
      <c r="M88" s="1671"/>
      <c r="N88" s="1672"/>
      <c r="O88" s="1671"/>
      <c r="P88" s="1671"/>
      <c r="Q88" s="1673">
        <v>10</v>
      </c>
      <c r="R88" s="1671" t="s">
        <v>2296</v>
      </c>
      <c r="S88" s="1672">
        <v>800000</v>
      </c>
      <c r="T88" s="1671" t="s">
        <v>1782</v>
      </c>
      <c r="U88" s="1671"/>
      <c r="V88" s="1671">
        <v>1</v>
      </c>
      <c r="W88" s="1671" t="s">
        <v>1823</v>
      </c>
      <c r="X88" s="397" t="s">
        <v>1783</v>
      </c>
      <c r="Y88" s="1674">
        <f t="shared" si="7"/>
        <v>8000</v>
      </c>
      <c r="Z88" s="1671">
        <f>S88*Q88*V88</f>
        <v>8000000</v>
      </c>
      <c r="AA88" s="907">
        <f t="shared" si="6"/>
        <v>0</v>
      </c>
      <c r="AB88" s="505"/>
      <c r="AC88" s="347"/>
      <c r="AD88" s="1675"/>
      <c r="AE88" s="1675"/>
      <c r="AF88" s="1675"/>
      <c r="AG88" s="1675"/>
      <c r="AH88" s="1675"/>
      <c r="AI88" s="1675"/>
      <c r="AJ88" s="1675"/>
      <c r="AK88" s="1675"/>
      <c r="AL88" s="1675"/>
      <c r="AM88" s="1675"/>
      <c r="AN88" s="1675"/>
      <c r="AO88" s="1675"/>
      <c r="AP88" s="1675"/>
      <c r="AQ88" s="1675"/>
      <c r="AR88" s="1675"/>
      <c r="AS88" s="1675"/>
      <c r="AT88" s="1675"/>
      <c r="AU88" s="1675"/>
      <c r="AV88" s="1675"/>
      <c r="AW88" s="1675"/>
      <c r="AX88" s="1675"/>
      <c r="AY88" s="1675"/>
      <c r="AZ88" s="1675"/>
      <c r="BA88" s="1675"/>
      <c r="BB88" s="1675"/>
      <c r="BC88" s="1675"/>
      <c r="BD88" s="1675"/>
      <c r="BE88" s="1675"/>
      <c r="BF88" s="1675"/>
      <c r="BG88" s="1675"/>
      <c r="BH88" s="1675"/>
      <c r="BI88" s="1675"/>
      <c r="BJ88" s="1675"/>
      <c r="BK88" s="1675"/>
      <c r="BL88" s="1675"/>
      <c r="BM88" s="1675"/>
      <c r="BN88" s="1675"/>
      <c r="BO88" s="1675"/>
      <c r="BP88" s="1675"/>
      <c r="BQ88" s="1675"/>
      <c r="BR88" s="1675"/>
      <c r="BS88" s="1675"/>
      <c r="BT88" s="1675"/>
      <c r="BU88" s="1675"/>
      <c r="BV88" s="1675"/>
      <c r="BW88" s="1675"/>
      <c r="BX88" s="1675"/>
      <c r="BY88" s="1675"/>
      <c r="BZ88" s="1675"/>
      <c r="CA88" s="1675"/>
      <c r="CB88" s="1675"/>
      <c r="CC88" s="1675"/>
      <c r="CD88" s="1675"/>
      <c r="CE88" s="1675"/>
      <c r="CF88" s="1675"/>
      <c r="CG88" s="1675"/>
      <c r="CH88" s="1675"/>
      <c r="CI88" s="1675"/>
      <c r="CJ88" s="1675"/>
      <c r="CK88" s="1675"/>
      <c r="CL88" s="1675"/>
      <c r="CM88" s="1675"/>
      <c r="CN88" s="1675"/>
      <c r="CO88" s="1675"/>
      <c r="CP88" s="1675"/>
      <c r="CQ88" s="1675"/>
      <c r="CR88" s="1675"/>
      <c r="CS88" s="1675"/>
      <c r="CT88" s="1675"/>
      <c r="CU88" s="1675"/>
      <c r="CV88" s="1675"/>
      <c r="CW88" s="1675"/>
      <c r="CX88" s="1675"/>
      <c r="CY88" s="1675"/>
      <c r="CZ88" s="1675"/>
      <c r="DA88" s="1675"/>
      <c r="DB88" s="1675"/>
      <c r="DC88" s="1675"/>
      <c r="DD88" s="1675"/>
      <c r="DE88" s="1675"/>
      <c r="DF88" s="1675"/>
      <c r="DG88" s="1675"/>
      <c r="DH88" s="1675"/>
      <c r="DI88" s="1675"/>
      <c r="DJ88" s="1675"/>
      <c r="DK88" s="1675"/>
      <c r="DL88" s="1675"/>
      <c r="DM88" s="1675"/>
      <c r="DN88" s="1675"/>
      <c r="DO88" s="1675"/>
      <c r="DP88" s="1675"/>
      <c r="DQ88" s="1675"/>
      <c r="DR88" s="1675"/>
      <c r="DS88" s="1675"/>
      <c r="DT88" s="1675"/>
      <c r="DU88" s="1675"/>
      <c r="DV88" s="1675"/>
      <c r="DW88" s="1675"/>
      <c r="DX88" s="1675"/>
      <c r="DY88" s="1675"/>
      <c r="DZ88" s="1675"/>
      <c r="EA88" s="1675"/>
      <c r="EB88" s="1675"/>
      <c r="EC88" s="1675"/>
      <c r="ED88" s="1675"/>
      <c r="EE88" s="1675"/>
      <c r="EF88" s="1675"/>
      <c r="EG88" s="1675"/>
      <c r="EH88" s="1675"/>
      <c r="EI88" s="1675"/>
      <c r="EJ88" s="1675"/>
      <c r="EK88" s="1675"/>
      <c r="EL88" s="1675"/>
      <c r="EM88" s="1675"/>
      <c r="EN88" s="1675"/>
      <c r="EO88" s="1675"/>
      <c r="EP88" s="1675"/>
      <c r="EQ88" s="1675"/>
      <c r="ER88" s="1675"/>
      <c r="ES88" s="1675"/>
      <c r="ET88" s="1675"/>
      <c r="EU88" s="1675"/>
      <c r="EV88" s="1675"/>
      <c r="EW88" s="1675"/>
      <c r="EX88" s="1675"/>
      <c r="EY88" s="1675"/>
      <c r="EZ88" s="1675"/>
      <c r="FA88" s="1675"/>
      <c r="FB88" s="1675"/>
      <c r="FC88" s="1675"/>
      <c r="FD88" s="1675"/>
      <c r="FE88" s="1675"/>
      <c r="FF88" s="1675"/>
      <c r="FG88" s="1675"/>
      <c r="FH88" s="1675"/>
      <c r="FI88" s="1675"/>
      <c r="FJ88" s="1675"/>
      <c r="FK88" s="1675"/>
      <c r="FL88" s="1675"/>
      <c r="FM88" s="1675"/>
      <c r="FN88" s="1675"/>
      <c r="FO88" s="1675"/>
      <c r="FP88" s="1675"/>
      <c r="FQ88" s="1675"/>
      <c r="FR88" s="1675"/>
      <c r="FS88" s="1675"/>
      <c r="FT88" s="1675"/>
      <c r="FU88" s="1675"/>
      <c r="FV88" s="1675"/>
      <c r="FW88" s="1675"/>
      <c r="FX88" s="1675"/>
      <c r="FY88" s="1675"/>
      <c r="FZ88" s="1675"/>
      <c r="GA88" s="1675"/>
      <c r="GB88" s="1675"/>
      <c r="GC88" s="1675"/>
      <c r="GD88" s="1675"/>
      <c r="GE88" s="1675"/>
      <c r="GF88" s="1675"/>
      <c r="GG88" s="1675"/>
      <c r="GH88" s="1675"/>
      <c r="GI88" s="1675"/>
      <c r="GJ88" s="1675"/>
      <c r="GK88" s="1675"/>
      <c r="GL88" s="1675"/>
      <c r="GM88" s="1675"/>
      <c r="GN88" s="1675"/>
      <c r="GO88" s="1675"/>
      <c r="GP88" s="1675"/>
      <c r="GQ88" s="1675"/>
      <c r="GR88" s="1675"/>
      <c r="GS88" s="1675"/>
      <c r="GT88" s="1675"/>
      <c r="GU88" s="1675"/>
      <c r="GV88" s="1675"/>
      <c r="GW88" s="1675"/>
      <c r="GX88" s="1675"/>
      <c r="GY88" s="1675"/>
      <c r="GZ88" s="1675"/>
      <c r="HA88" s="1675"/>
      <c r="HB88" s="1675"/>
      <c r="HC88" s="1675"/>
      <c r="HD88" s="1675"/>
      <c r="HE88" s="1675"/>
      <c r="HF88" s="1675"/>
      <c r="HG88" s="1675"/>
      <c r="HH88" s="1675"/>
      <c r="HI88" s="1675"/>
      <c r="HJ88" s="1675"/>
      <c r="HK88" s="1675"/>
      <c r="HL88" s="1675"/>
      <c r="HM88" s="1675"/>
      <c r="HN88" s="1675"/>
      <c r="HO88" s="1675"/>
      <c r="HP88" s="1675"/>
      <c r="HQ88" s="1675"/>
      <c r="HR88" s="1675"/>
      <c r="HS88" s="1675"/>
      <c r="HT88" s="1675"/>
      <c r="HU88" s="1675"/>
      <c r="HV88" s="1675"/>
      <c r="HW88" s="1675"/>
      <c r="HX88" s="1675"/>
      <c r="HY88" s="1675"/>
      <c r="HZ88" s="1675"/>
      <c r="IA88" s="1675"/>
      <c r="IB88" s="1675"/>
      <c r="IC88" s="1675"/>
      <c r="ID88" s="1675"/>
      <c r="IE88" s="1675"/>
      <c r="IF88" s="1675"/>
      <c r="IG88" s="1675"/>
      <c r="IH88" s="1675"/>
      <c r="II88" s="1675"/>
      <c r="IJ88" s="1675"/>
      <c r="IK88" s="1675"/>
      <c r="IL88" s="1675"/>
      <c r="IM88" s="1675"/>
      <c r="IN88" s="1675"/>
      <c r="IO88" s="1675"/>
      <c r="IP88" s="1675"/>
      <c r="IQ88" s="1675"/>
      <c r="IR88" s="1675"/>
      <c r="IS88" s="1675"/>
      <c r="IT88" s="1675"/>
      <c r="IU88" s="1675"/>
      <c r="IV88" s="1675"/>
      <c r="IW88" s="1675"/>
      <c r="IX88" s="1675"/>
      <c r="IY88" s="1675"/>
      <c r="IZ88" s="1675"/>
      <c r="JA88" s="1675"/>
      <c r="JB88" s="1675"/>
      <c r="JC88" s="1675"/>
      <c r="JD88" s="1675"/>
      <c r="JE88" s="1675"/>
      <c r="JF88" s="1675"/>
      <c r="JG88" s="1675"/>
      <c r="JH88" s="1675"/>
      <c r="JI88" s="1675"/>
      <c r="JJ88" s="1675"/>
      <c r="JK88" s="1675"/>
      <c r="JL88" s="1675"/>
      <c r="JM88" s="1675"/>
      <c r="JN88" s="1675"/>
      <c r="JO88" s="1675"/>
      <c r="JP88" s="1675"/>
      <c r="JQ88" s="1675"/>
      <c r="JR88" s="1675"/>
      <c r="JS88" s="1675"/>
      <c r="JT88" s="1675"/>
      <c r="JU88" s="1675"/>
      <c r="JV88" s="1675"/>
      <c r="JW88" s="1675"/>
      <c r="JX88" s="1675"/>
      <c r="JY88" s="1675"/>
      <c r="JZ88" s="1675"/>
      <c r="KA88" s="1675"/>
      <c r="KB88" s="1675"/>
      <c r="KC88" s="1675"/>
      <c r="KD88" s="1675"/>
      <c r="KE88" s="1675"/>
      <c r="KF88" s="1675"/>
      <c r="KG88" s="1675"/>
      <c r="KH88" s="1675"/>
      <c r="KI88" s="1675"/>
      <c r="KJ88" s="1675"/>
      <c r="KK88" s="1675"/>
      <c r="KL88" s="1675"/>
      <c r="KM88" s="1675"/>
      <c r="KN88" s="1675"/>
      <c r="KO88" s="1675"/>
      <c r="KP88" s="1675"/>
      <c r="KQ88" s="1675"/>
      <c r="KR88" s="1675"/>
      <c r="KS88" s="1675"/>
      <c r="KT88" s="1675"/>
      <c r="KU88" s="1675"/>
      <c r="KV88" s="1675"/>
      <c r="KW88" s="1675"/>
      <c r="KX88" s="1675"/>
      <c r="KY88" s="1675"/>
      <c r="KZ88" s="1675"/>
      <c r="LA88" s="1675"/>
      <c r="LB88" s="1675"/>
      <c r="LC88" s="1675"/>
      <c r="LD88" s="1675"/>
      <c r="LE88" s="1675"/>
      <c r="LF88" s="1675"/>
      <c r="LG88" s="1675"/>
      <c r="LH88" s="1675"/>
      <c r="LI88" s="1675"/>
      <c r="LJ88" s="1675"/>
      <c r="LK88" s="1675"/>
      <c r="LL88" s="1675"/>
      <c r="LM88" s="1675"/>
      <c r="LN88" s="1675"/>
      <c r="LO88" s="1675"/>
      <c r="LP88" s="1675"/>
      <c r="LQ88" s="1675"/>
      <c r="LR88" s="1675"/>
      <c r="LS88" s="1675"/>
      <c r="LT88" s="1675"/>
      <c r="LU88" s="1675"/>
      <c r="LV88" s="1675"/>
      <c r="LW88" s="1675"/>
      <c r="LX88" s="1675"/>
      <c r="LY88" s="1675"/>
      <c r="LZ88" s="1675"/>
      <c r="MA88" s="1675"/>
      <c r="MB88" s="1675"/>
    </row>
    <row r="89" spans="1:340" s="380" customFormat="1" ht="20.100000000000001" customHeight="1" thickBot="1">
      <c r="A89" s="334"/>
      <c r="B89" s="2275"/>
      <c r="C89" s="1126"/>
      <c r="D89" s="1145"/>
      <c r="E89" s="465"/>
      <c r="F89" s="435"/>
      <c r="G89" s="435"/>
      <c r="H89" s="391"/>
      <c r="I89" s="473"/>
      <c r="J89" s="1670" t="s">
        <v>2297</v>
      </c>
      <c r="K89" s="1671"/>
      <c r="L89" s="1671"/>
      <c r="M89" s="1671"/>
      <c r="N89" s="1672"/>
      <c r="O89" s="1671"/>
      <c r="P89" s="1671"/>
      <c r="Q89" s="1673">
        <v>4</v>
      </c>
      <c r="R89" s="1671" t="s">
        <v>2298</v>
      </c>
      <c r="S89" s="1672">
        <v>5000</v>
      </c>
      <c r="T89" s="1671" t="s">
        <v>1782</v>
      </c>
      <c r="U89" s="1671"/>
      <c r="V89" s="1671">
        <v>12</v>
      </c>
      <c r="W89" s="1671" t="s">
        <v>1795</v>
      </c>
      <c r="X89" s="397" t="s">
        <v>1783</v>
      </c>
      <c r="Y89" s="1674">
        <f t="shared" si="7"/>
        <v>240</v>
      </c>
      <c r="Z89" s="1671">
        <f>S89*Q89*V89</f>
        <v>240000</v>
      </c>
      <c r="AA89" s="907">
        <f t="shared" si="6"/>
        <v>0</v>
      </c>
      <c r="AB89" s="505"/>
      <c r="AC89" s="347"/>
      <c r="AD89" s="1675"/>
      <c r="AE89" s="1675"/>
      <c r="AF89" s="1675"/>
      <c r="AG89" s="1675"/>
      <c r="AH89" s="1675"/>
      <c r="AI89" s="1675"/>
      <c r="AJ89" s="1675"/>
      <c r="AK89" s="1675"/>
      <c r="AL89" s="1675"/>
      <c r="AM89" s="1675"/>
      <c r="AN89" s="1675"/>
      <c r="AO89" s="1675"/>
      <c r="AP89" s="1675"/>
      <c r="AQ89" s="1675"/>
      <c r="AR89" s="1675"/>
      <c r="AS89" s="1675"/>
      <c r="AT89" s="1675"/>
      <c r="AU89" s="1675"/>
      <c r="AV89" s="1675"/>
      <c r="AW89" s="1675"/>
      <c r="AX89" s="1675"/>
      <c r="AY89" s="1675"/>
      <c r="AZ89" s="1675"/>
      <c r="BA89" s="1675"/>
      <c r="BB89" s="1675"/>
      <c r="BC89" s="1675"/>
      <c r="BD89" s="1675"/>
      <c r="BE89" s="1675"/>
      <c r="BF89" s="1675"/>
      <c r="BG89" s="1675"/>
      <c r="BH89" s="1675"/>
      <c r="BI89" s="1675"/>
      <c r="BJ89" s="1675"/>
      <c r="BK89" s="1675"/>
      <c r="BL89" s="1675"/>
      <c r="BM89" s="1675"/>
      <c r="BN89" s="1675"/>
      <c r="BO89" s="1675"/>
      <c r="BP89" s="1675"/>
      <c r="BQ89" s="1675"/>
      <c r="BR89" s="1675"/>
      <c r="BS89" s="1675"/>
      <c r="BT89" s="1675"/>
      <c r="BU89" s="1675"/>
      <c r="BV89" s="1675"/>
      <c r="BW89" s="1675"/>
      <c r="BX89" s="1675"/>
      <c r="BY89" s="1675"/>
      <c r="BZ89" s="1675"/>
      <c r="CA89" s="1675"/>
      <c r="CB89" s="1675"/>
      <c r="CC89" s="1675"/>
      <c r="CD89" s="1675"/>
      <c r="CE89" s="1675"/>
      <c r="CF89" s="1675"/>
      <c r="CG89" s="1675"/>
      <c r="CH89" s="1675"/>
      <c r="CI89" s="1675"/>
      <c r="CJ89" s="1675"/>
      <c r="CK89" s="1675"/>
      <c r="CL89" s="1675"/>
      <c r="CM89" s="1675"/>
      <c r="CN89" s="1675"/>
      <c r="CO89" s="1675"/>
      <c r="CP89" s="1675"/>
      <c r="CQ89" s="1675"/>
      <c r="CR89" s="1675"/>
      <c r="CS89" s="1675"/>
      <c r="CT89" s="1675"/>
      <c r="CU89" s="1675"/>
      <c r="CV89" s="1675"/>
      <c r="CW89" s="1675"/>
      <c r="CX89" s="1675"/>
      <c r="CY89" s="1675"/>
      <c r="CZ89" s="1675"/>
      <c r="DA89" s="1675"/>
      <c r="DB89" s="1675"/>
      <c r="DC89" s="1675"/>
      <c r="DD89" s="1675"/>
      <c r="DE89" s="1675"/>
      <c r="DF89" s="1675"/>
      <c r="DG89" s="1675"/>
      <c r="DH89" s="1675"/>
      <c r="DI89" s="1675"/>
      <c r="DJ89" s="1675"/>
      <c r="DK89" s="1675"/>
      <c r="DL89" s="1675"/>
      <c r="DM89" s="1675"/>
      <c r="DN89" s="1675"/>
      <c r="DO89" s="1675"/>
      <c r="DP89" s="1675"/>
      <c r="DQ89" s="1675"/>
      <c r="DR89" s="1675"/>
      <c r="DS89" s="1675"/>
      <c r="DT89" s="1675"/>
      <c r="DU89" s="1675"/>
      <c r="DV89" s="1675"/>
      <c r="DW89" s="1675"/>
      <c r="DX89" s="1675"/>
      <c r="DY89" s="1675"/>
      <c r="DZ89" s="1675"/>
      <c r="EA89" s="1675"/>
      <c r="EB89" s="1675"/>
      <c r="EC89" s="1675"/>
      <c r="ED89" s="1675"/>
      <c r="EE89" s="1675"/>
      <c r="EF89" s="1675"/>
      <c r="EG89" s="1675"/>
      <c r="EH89" s="1675"/>
      <c r="EI89" s="1675"/>
      <c r="EJ89" s="1675"/>
      <c r="EK89" s="1675"/>
      <c r="EL89" s="1675"/>
      <c r="EM89" s="1675"/>
      <c r="EN89" s="1675"/>
      <c r="EO89" s="1675"/>
      <c r="EP89" s="1675"/>
      <c r="EQ89" s="1675"/>
      <c r="ER89" s="1675"/>
      <c r="ES89" s="1675"/>
      <c r="ET89" s="1675"/>
      <c r="EU89" s="1675"/>
      <c r="EV89" s="1675"/>
      <c r="EW89" s="1675"/>
      <c r="EX89" s="1675"/>
      <c r="EY89" s="1675"/>
      <c r="EZ89" s="1675"/>
      <c r="FA89" s="1675"/>
      <c r="FB89" s="1675"/>
      <c r="FC89" s="1675"/>
      <c r="FD89" s="1675"/>
      <c r="FE89" s="1675"/>
      <c r="FF89" s="1675"/>
      <c r="FG89" s="1675"/>
      <c r="FH89" s="1675"/>
      <c r="FI89" s="1675"/>
      <c r="FJ89" s="1675"/>
      <c r="FK89" s="1675"/>
      <c r="FL89" s="1675"/>
      <c r="FM89" s="1675"/>
      <c r="FN89" s="1675"/>
      <c r="FO89" s="1675"/>
      <c r="FP89" s="1675"/>
      <c r="FQ89" s="1675"/>
      <c r="FR89" s="1675"/>
      <c r="FS89" s="1675"/>
      <c r="FT89" s="1675"/>
      <c r="FU89" s="1675"/>
      <c r="FV89" s="1675"/>
      <c r="FW89" s="1675"/>
      <c r="FX89" s="1675"/>
      <c r="FY89" s="1675"/>
      <c r="FZ89" s="1675"/>
      <c r="GA89" s="1675"/>
      <c r="GB89" s="1675"/>
      <c r="GC89" s="1675"/>
      <c r="GD89" s="1675"/>
      <c r="GE89" s="1675"/>
      <c r="GF89" s="1675"/>
      <c r="GG89" s="1675"/>
      <c r="GH89" s="1675"/>
      <c r="GI89" s="1675"/>
      <c r="GJ89" s="1675"/>
      <c r="GK89" s="1675"/>
      <c r="GL89" s="1675"/>
      <c r="GM89" s="1675"/>
      <c r="GN89" s="1675"/>
      <c r="GO89" s="1675"/>
      <c r="GP89" s="1675"/>
      <c r="GQ89" s="1675"/>
      <c r="GR89" s="1675"/>
      <c r="GS89" s="1675"/>
      <c r="GT89" s="1675"/>
      <c r="GU89" s="1675"/>
      <c r="GV89" s="1675"/>
      <c r="GW89" s="1675"/>
      <c r="GX89" s="1675"/>
      <c r="GY89" s="1675"/>
      <c r="GZ89" s="1675"/>
      <c r="HA89" s="1675"/>
      <c r="HB89" s="1675"/>
      <c r="HC89" s="1675"/>
      <c r="HD89" s="1675"/>
      <c r="HE89" s="1675"/>
      <c r="HF89" s="1675"/>
      <c r="HG89" s="1675"/>
      <c r="HH89" s="1675"/>
      <c r="HI89" s="1675"/>
      <c r="HJ89" s="1675"/>
      <c r="HK89" s="1675"/>
      <c r="HL89" s="1675"/>
      <c r="HM89" s="1675"/>
      <c r="HN89" s="1675"/>
      <c r="HO89" s="1675"/>
      <c r="HP89" s="1675"/>
      <c r="HQ89" s="1675"/>
      <c r="HR89" s="1675"/>
      <c r="HS89" s="1675"/>
      <c r="HT89" s="1675"/>
      <c r="HU89" s="1675"/>
      <c r="HV89" s="1675"/>
      <c r="HW89" s="1675"/>
      <c r="HX89" s="1675"/>
      <c r="HY89" s="1675"/>
      <c r="HZ89" s="1675"/>
      <c r="IA89" s="1675"/>
      <c r="IB89" s="1675"/>
      <c r="IC89" s="1675"/>
      <c r="ID89" s="1675"/>
      <c r="IE89" s="1675"/>
      <c r="IF89" s="1675"/>
      <c r="IG89" s="1675"/>
      <c r="IH89" s="1675"/>
      <c r="II89" s="1675"/>
      <c r="IJ89" s="1675"/>
      <c r="IK89" s="1675"/>
      <c r="IL89" s="1675"/>
      <c r="IM89" s="1675"/>
      <c r="IN89" s="1675"/>
      <c r="IO89" s="1675"/>
      <c r="IP89" s="1675"/>
      <c r="IQ89" s="1675"/>
      <c r="IR89" s="1675"/>
      <c r="IS89" s="1675"/>
      <c r="IT89" s="1675"/>
      <c r="IU89" s="1675"/>
      <c r="IV89" s="1675"/>
      <c r="IW89" s="1675"/>
      <c r="IX89" s="1675"/>
      <c r="IY89" s="1675"/>
      <c r="IZ89" s="1675"/>
      <c r="JA89" s="1675"/>
      <c r="JB89" s="1675"/>
      <c r="JC89" s="1675"/>
      <c r="JD89" s="1675"/>
      <c r="JE89" s="1675"/>
      <c r="JF89" s="1675"/>
      <c r="JG89" s="1675"/>
      <c r="JH89" s="1675"/>
      <c r="JI89" s="1675"/>
      <c r="JJ89" s="1675"/>
      <c r="JK89" s="1675"/>
      <c r="JL89" s="1675"/>
      <c r="JM89" s="1675"/>
      <c r="JN89" s="1675"/>
      <c r="JO89" s="1675"/>
      <c r="JP89" s="1675"/>
      <c r="JQ89" s="1675"/>
      <c r="JR89" s="1675"/>
      <c r="JS89" s="1675"/>
      <c r="JT89" s="1675"/>
      <c r="JU89" s="1675"/>
      <c r="JV89" s="1675"/>
      <c r="JW89" s="1675"/>
      <c r="JX89" s="1675"/>
      <c r="JY89" s="1675"/>
      <c r="JZ89" s="1675"/>
      <c r="KA89" s="1675"/>
      <c r="KB89" s="1675"/>
      <c r="KC89" s="1675"/>
      <c r="KD89" s="1675"/>
      <c r="KE89" s="1675"/>
      <c r="KF89" s="1675"/>
      <c r="KG89" s="1675"/>
      <c r="KH89" s="1675"/>
      <c r="KI89" s="1675"/>
      <c r="KJ89" s="1675"/>
      <c r="KK89" s="1675"/>
      <c r="KL89" s="1675"/>
      <c r="KM89" s="1675"/>
      <c r="KN89" s="1675"/>
      <c r="KO89" s="1675"/>
      <c r="KP89" s="1675"/>
      <c r="KQ89" s="1675"/>
      <c r="KR89" s="1675"/>
      <c r="KS89" s="1675"/>
      <c r="KT89" s="1675"/>
      <c r="KU89" s="1675"/>
      <c r="KV89" s="1675"/>
      <c r="KW89" s="1675"/>
      <c r="KX89" s="1675"/>
      <c r="KY89" s="1675"/>
      <c r="KZ89" s="1675"/>
      <c r="LA89" s="1675"/>
      <c r="LB89" s="1675"/>
      <c r="LC89" s="1675"/>
      <c r="LD89" s="1675"/>
      <c r="LE89" s="1675"/>
      <c r="LF89" s="1675"/>
      <c r="LG89" s="1675"/>
      <c r="LH89" s="1675"/>
      <c r="LI89" s="1675"/>
      <c r="LJ89" s="1675"/>
      <c r="LK89" s="1675"/>
      <c r="LL89" s="1675"/>
      <c r="LM89" s="1675"/>
      <c r="LN89" s="1675"/>
      <c r="LO89" s="1675"/>
      <c r="LP89" s="1675"/>
      <c r="LQ89" s="1675"/>
      <c r="LR89" s="1675"/>
      <c r="LS89" s="1675"/>
      <c r="LT89" s="1675"/>
      <c r="LU89" s="1675"/>
      <c r="LV89" s="1675"/>
      <c r="LW89" s="1675"/>
      <c r="LX89" s="1675"/>
      <c r="LY89" s="1675"/>
      <c r="LZ89" s="1675"/>
      <c r="MA89" s="1675"/>
      <c r="MB89" s="1675"/>
    </row>
    <row r="90" spans="1:340" s="380" customFormat="1" ht="20.100000000000001" customHeight="1" thickBot="1">
      <c r="A90" s="334"/>
      <c r="B90" s="2275"/>
      <c r="C90" s="1126"/>
      <c r="D90" s="1145"/>
      <c r="E90" s="465"/>
      <c r="F90" s="435"/>
      <c r="G90" s="435"/>
      <c r="H90" s="391"/>
      <c r="I90" s="473"/>
      <c r="J90" s="1670" t="s">
        <v>2299</v>
      </c>
      <c r="K90" s="1671"/>
      <c r="L90" s="1671"/>
      <c r="M90" s="1671"/>
      <c r="N90" s="1672"/>
      <c r="O90" s="1671"/>
      <c r="P90" s="1671"/>
      <c r="Q90" s="1673">
        <v>8</v>
      </c>
      <c r="R90" s="1671" t="s">
        <v>1789</v>
      </c>
      <c r="S90" s="1672">
        <v>200000</v>
      </c>
      <c r="T90" s="1671" t="s">
        <v>1782</v>
      </c>
      <c r="U90" s="1671"/>
      <c r="V90" s="1671">
        <v>2</v>
      </c>
      <c r="W90" s="1671" t="s">
        <v>1823</v>
      </c>
      <c r="X90" s="397" t="s">
        <v>1783</v>
      </c>
      <c r="Y90" s="1674">
        <f t="shared" si="7"/>
        <v>3200</v>
      </c>
      <c r="Z90" s="1671">
        <f>S90*Q90*V90</f>
        <v>3200000</v>
      </c>
      <c r="AA90" s="907">
        <f t="shared" si="6"/>
        <v>0</v>
      </c>
      <c r="AB90" s="505"/>
      <c r="AC90" s="347"/>
      <c r="AD90" s="1675"/>
      <c r="AE90" s="1675"/>
      <c r="AF90" s="1675"/>
      <c r="AG90" s="1675"/>
      <c r="AH90" s="1675"/>
      <c r="AI90" s="1675"/>
      <c r="AJ90" s="1675"/>
      <c r="AK90" s="1675"/>
      <c r="AL90" s="1675"/>
      <c r="AM90" s="1675"/>
      <c r="AN90" s="1675"/>
      <c r="AO90" s="1675"/>
      <c r="AP90" s="1675"/>
      <c r="AQ90" s="1675"/>
      <c r="AR90" s="1675"/>
      <c r="AS90" s="1675"/>
      <c r="AT90" s="1675"/>
      <c r="AU90" s="1675"/>
      <c r="AV90" s="1675"/>
      <c r="AW90" s="1675"/>
      <c r="AX90" s="1675"/>
      <c r="AY90" s="1675"/>
      <c r="AZ90" s="1675"/>
      <c r="BA90" s="1675"/>
      <c r="BB90" s="1675"/>
      <c r="BC90" s="1675"/>
      <c r="BD90" s="1675"/>
      <c r="BE90" s="1675"/>
      <c r="BF90" s="1675"/>
      <c r="BG90" s="1675"/>
      <c r="BH90" s="1675"/>
      <c r="BI90" s="1675"/>
      <c r="BJ90" s="1675"/>
      <c r="BK90" s="1675"/>
      <c r="BL90" s="1675"/>
      <c r="BM90" s="1675"/>
      <c r="BN90" s="1675"/>
      <c r="BO90" s="1675"/>
      <c r="BP90" s="1675"/>
      <c r="BQ90" s="1675"/>
      <c r="BR90" s="1675"/>
      <c r="BS90" s="1675"/>
      <c r="BT90" s="1675"/>
      <c r="BU90" s="1675"/>
      <c r="BV90" s="1675"/>
      <c r="BW90" s="1675"/>
      <c r="BX90" s="1675"/>
      <c r="BY90" s="1675"/>
      <c r="BZ90" s="1675"/>
      <c r="CA90" s="1675"/>
      <c r="CB90" s="1675"/>
      <c r="CC90" s="1675"/>
      <c r="CD90" s="1675"/>
      <c r="CE90" s="1675"/>
      <c r="CF90" s="1675"/>
      <c r="CG90" s="1675"/>
      <c r="CH90" s="1675"/>
      <c r="CI90" s="1675"/>
      <c r="CJ90" s="1675"/>
      <c r="CK90" s="1675"/>
      <c r="CL90" s="1675"/>
      <c r="CM90" s="1675"/>
      <c r="CN90" s="1675"/>
      <c r="CO90" s="1675"/>
      <c r="CP90" s="1675"/>
      <c r="CQ90" s="1675"/>
      <c r="CR90" s="1675"/>
      <c r="CS90" s="1675"/>
      <c r="CT90" s="1675"/>
      <c r="CU90" s="1675"/>
      <c r="CV90" s="1675"/>
      <c r="CW90" s="1675"/>
      <c r="CX90" s="1675"/>
      <c r="CY90" s="1675"/>
      <c r="CZ90" s="1675"/>
      <c r="DA90" s="1675"/>
      <c r="DB90" s="1675"/>
      <c r="DC90" s="1675"/>
      <c r="DD90" s="1675"/>
      <c r="DE90" s="1675"/>
      <c r="DF90" s="1675"/>
      <c r="DG90" s="1675"/>
      <c r="DH90" s="1675"/>
      <c r="DI90" s="1675"/>
      <c r="DJ90" s="1675"/>
      <c r="DK90" s="1675"/>
      <c r="DL90" s="1675"/>
      <c r="DM90" s="1675"/>
      <c r="DN90" s="1675"/>
      <c r="DO90" s="1675"/>
      <c r="DP90" s="1675"/>
      <c r="DQ90" s="1675"/>
      <c r="DR90" s="1675"/>
      <c r="DS90" s="1675"/>
      <c r="DT90" s="1675"/>
      <c r="DU90" s="1675"/>
      <c r="DV90" s="1675"/>
      <c r="DW90" s="1675"/>
      <c r="DX90" s="1675"/>
      <c r="DY90" s="1675"/>
      <c r="DZ90" s="1675"/>
      <c r="EA90" s="1675"/>
      <c r="EB90" s="1675"/>
      <c r="EC90" s="1675"/>
      <c r="ED90" s="1675"/>
      <c r="EE90" s="1675"/>
      <c r="EF90" s="1675"/>
      <c r="EG90" s="1675"/>
      <c r="EH90" s="1675"/>
      <c r="EI90" s="1675"/>
      <c r="EJ90" s="1675"/>
      <c r="EK90" s="1675"/>
      <c r="EL90" s="1675"/>
      <c r="EM90" s="1675"/>
      <c r="EN90" s="1675"/>
      <c r="EO90" s="1675"/>
      <c r="EP90" s="1675"/>
      <c r="EQ90" s="1675"/>
      <c r="ER90" s="1675"/>
      <c r="ES90" s="1675"/>
      <c r="ET90" s="1675"/>
      <c r="EU90" s="1675"/>
      <c r="EV90" s="1675"/>
      <c r="EW90" s="1675"/>
      <c r="EX90" s="1675"/>
      <c r="EY90" s="1675"/>
      <c r="EZ90" s="1675"/>
      <c r="FA90" s="1675"/>
      <c r="FB90" s="1675"/>
      <c r="FC90" s="1675"/>
      <c r="FD90" s="1675"/>
      <c r="FE90" s="1675"/>
      <c r="FF90" s="1675"/>
      <c r="FG90" s="1675"/>
      <c r="FH90" s="1675"/>
      <c r="FI90" s="1675"/>
      <c r="FJ90" s="1675"/>
      <c r="FK90" s="1675"/>
      <c r="FL90" s="1675"/>
      <c r="FM90" s="1675"/>
      <c r="FN90" s="1675"/>
      <c r="FO90" s="1675"/>
      <c r="FP90" s="1675"/>
      <c r="FQ90" s="1675"/>
      <c r="FR90" s="1675"/>
      <c r="FS90" s="1675"/>
      <c r="FT90" s="1675"/>
      <c r="FU90" s="1675"/>
      <c r="FV90" s="1675"/>
      <c r="FW90" s="1675"/>
      <c r="FX90" s="1675"/>
      <c r="FY90" s="1675"/>
      <c r="FZ90" s="1675"/>
      <c r="GA90" s="1675"/>
      <c r="GB90" s="1675"/>
      <c r="GC90" s="1675"/>
      <c r="GD90" s="1675"/>
      <c r="GE90" s="1675"/>
      <c r="GF90" s="1675"/>
      <c r="GG90" s="1675"/>
      <c r="GH90" s="1675"/>
      <c r="GI90" s="1675"/>
      <c r="GJ90" s="1675"/>
      <c r="GK90" s="1675"/>
      <c r="GL90" s="1675"/>
      <c r="GM90" s="1675"/>
      <c r="GN90" s="1675"/>
      <c r="GO90" s="1675"/>
      <c r="GP90" s="1675"/>
      <c r="GQ90" s="1675"/>
      <c r="GR90" s="1675"/>
      <c r="GS90" s="1675"/>
      <c r="GT90" s="1675"/>
      <c r="GU90" s="1675"/>
      <c r="GV90" s="1675"/>
      <c r="GW90" s="1675"/>
      <c r="GX90" s="1675"/>
      <c r="GY90" s="1675"/>
      <c r="GZ90" s="1675"/>
      <c r="HA90" s="1675"/>
      <c r="HB90" s="1675"/>
      <c r="HC90" s="1675"/>
      <c r="HD90" s="1675"/>
      <c r="HE90" s="1675"/>
      <c r="HF90" s="1675"/>
      <c r="HG90" s="1675"/>
      <c r="HH90" s="1675"/>
      <c r="HI90" s="1675"/>
      <c r="HJ90" s="1675"/>
      <c r="HK90" s="1675"/>
      <c r="HL90" s="1675"/>
      <c r="HM90" s="1675"/>
      <c r="HN90" s="1675"/>
      <c r="HO90" s="1675"/>
      <c r="HP90" s="1675"/>
      <c r="HQ90" s="1675"/>
      <c r="HR90" s="1675"/>
      <c r="HS90" s="1675"/>
      <c r="HT90" s="1675"/>
      <c r="HU90" s="1675"/>
      <c r="HV90" s="1675"/>
      <c r="HW90" s="1675"/>
      <c r="HX90" s="1675"/>
      <c r="HY90" s="1675"/>
      <c r="HZ90" s="1675"/>
      <c r="IA90" s="1675"/>
      <c r="IB90" s="1675"/>
      <c r="IC90" s="1675"/>
      <c r="ID90" s="1675"/>
      <c r="IE90" s="1675"/>
      <c r="IF90" s="1675"/>
      <c r="IG90" s="1675"/>
      <c r="IH90" s="1675"/>
      <c r="II90" s="1675"/>
      <c r="IJ90" s="1675"/>
      <c r="IK90" s="1675"/>
      <c r="IL90" s="1675"/>
      <c r="IM90" s="1675"/>
      <c r="IN90" s="1675"/>
      <c r="IO90" s="1675"/>
      <c r="IP90" s="1675"/>
      <c r="IQ90" s="1675"/>
      <c r="IR90" s="1675"/>
      <c r="IS90" s="1675"/>
      <c r="IT90" s="1675"/>
      <c r="IU90" s="1675"/>
      <c r="IV90" s="1675"/>
      <c r="IW90" s="1675"/>
      <c r="IX90" s="1675"/>
      <c r="IY90" s="1675"/>
      <c r="IZ90" s="1675"/>
      <c r="JA90" s="1675"/>
      <c r="JB90" s="1675"/>
      <c r="JC90" s="1675"/>
      <c r="JD90" s="1675"/>
      <c r="JE90" s="1675"/>
      <c r="JF90" s="1675"/>
      <c r="JG90" s="1675"/>
      <c r="JH90" s="1675"/>
      <c r="JI90" s="1675"/>
      <c r="JJ90" s="1675"/>
      <c r="JK90" s="1675"/>
      <c r="JL90" s="1675"/>
      <c r="JM90" s="1675"/>
      <c r="JN90" s="1675"/>
      <c r="JO90" s="1675"/>
      <c r="JP90" s="1675"/>
      <c r="JQ90" s="1675"/>
      <c r="JR90" s="1675"/>
      <c r="JS90" s="1675"/>
      <c r="JT90" s="1675"/>
      <c r="JU90" s="1675"/>
      <c r="JV90" s="1675"/>
      <c r="JW90" s="1675"/>
      <c r="JX90" s="1675"/>
      <c r="JY90" s="1675"/>
      <c r="JZ90" s="1675"/>
      <c r="KA90" s="1675"/>
      <c r="KB90" s="1675"/>
      <c r="KC90" s="1675"/>
      <c r="KD90" s="1675"/>
      <c r="KE90" s="1675"/>
      <c r="KF90" s="1675"/>
      <c r="KG90" s="1675"/>
      <c r="KH90" s="1675"/>
      <c r="KI90" s="1675"/>
      <c r="KJ90" s="1675"/>
      <c r="KK90" s="1675"/>
      <c r="KL90" s="1675"/>
      <c r="KM90" s="1675"/>
      <c r="KN90" s="1675"/>
      <c r="KO90" s="1675"/>
      <c r="KP90" s="1675"/>
      <c r="KQ90" s="1675"/>
      <c r="KR90" s="1675"/>
      <c r="KS90" s="1675"/>
      <c r="KT90" s="1675"/>
      <c r="KU90" s="1675"/>
      <c r="KV90" s="1675"/>
      <c r="KW90" s="1675"/>
      <c r="KX90" s="1675"/>
      <c r="KY90" s="1675"/>
      <c r="KZ90" s="1675"/>
      <c r="LA90" s="1675"/>
      <c r="LB90" s="1675"/>
      <c r="LC90" s="1675"/>
      <c r="LD90" s="1675"/>
      <c r="LE90" s="1675"/>
      <c r="LF90" s="1675"/>
      <c r="LG90" s="1675"/>
      <c r="LH90" s="1675"/>
      <c r="LI90" s="1675"/>
      <c r="LJ90" s="1675"/>
      <c r="LK90" s="1675"/>
      <c r="LL90" s="1675"/>
      <c r="LM90" s="1675"/>
      <c r="LN90" s="1675"/>
      <c r="LO90" s="1675"/>
      <c r="LP90" s="1675"/>
      <c r="LQ90" s="1675"/>
      <c r="LR90" s="1675"/>
      <c r="LS90" s="1675"/>
      <c r="LT90" s="1675"/>
      <c r="LU90" s="1675"/>
      <c r="LV90" s="1675"/>
      <c r="LW90" s="1675"/>
      <c r="LX90" s="1675"/>
      <c r="LY90" s="1675"/>
      <c r="LZ90" s="1675"/>
      <c r="MA90" s="1675"/>
      <c r="MB90" s="1675"/>
    </row>
    <row r="91" spans="1:340" s="380" customFormat="1" ht="20.100000000000001" customHeight="1" thickBot="1">
      <c r="A91" s="334"/>
      <c r="B91" s="2275"/>
      <c r="C91" s="1126"/>
      <c r="D91" s="1145"/>
      <c r="E91" s="465"/>
      <c r="F91" s="435"/>
      <c r="G91" s="435"/>
      <c r="H91" s="391"/>
      <c r="I91" s="473"/>
      <c r="J91" s="1670" t="s">
        <v>2300</v>
      </c>
      <c r="K91" s="1671"/>
      <c r="L91" s="1671"/>
      <c r="M91" s="1671"/>
      <c r="N91" s="1672"/>
      <c r="O91" s="1671"/>
      <c r="P91" s="1671"/>
      <c r="Q91" s="1673">
        <v>4</v>
      </c>
      <c r="R91" s="1671" t="s">
        <v>2296</v>
      </c>
      <c r="S91" s="1672">
        <v>800000</v>
      </c>
      <c r="T91" s="1671" t="s">
        <v>1782</v>
      </c>
      <c r="U91" s="1671"/>
      <c r="V91" s="1671">
        <v>1</v>
      </c>
      <c r="W91" s="1671" t="s">
        <v>2301</v>
      </c>
      <c r="X91" s="397" t="s">
        <v>2117</v>
      </c>
      <c r="Y91" s="1674">
        <f t="shared" si="7"/>
        <v>3200</v>
      </c>
      <c r="Z91" s="1671">
        <f>S91*Q91*V91</f>
        <v>3200000</v>
      </c>
      <c r="AA91" s="907">
        <f t="shared" si="6"/>
        <v>0</v>
      </c>
      <c r="AB91" s="505"/>
      <c r="AC91" s="347"/>
      <c r="AD91" s="1675"/>
      <c r="AE91" s="1675"/>
      <c r="AF91" s="1675"/>
      <c r="AG91" s="1675"/>
      <c r="AH91" s="1675"/>
      <c r="AI91" s="1675"/>
      <c r="AJ91" s="1675"/>
      <c r="AK91" s="1675"/>
      <c r="AL91" s="1675"/>
      <c r="AM91" s="1675"/>
      <c r="AN91" s="1675"/>
      <c r="AO91" s="1675"/>
      <c r="AP91" s="1675"/>
      <c r="AQ91" s="1675"/>
      <c r="AR91" s="1675"/>
      <c r="AS91" s="1675"/>
      <c r="AT91" s="1675"/>
      <c r="AU91" s="1675"/>
      <c r="AV91" s="1675"/>
      <c r="AW91" s="1675"/>
      <c r="AX91" s="1675"/>
      <c r="AY91" s="1675"/>
      <c r="AZ91" s="1675"/>
      <c r="BA91" s="1675"/>
      <c r="BB91" s="1675"/>
      <c r="BC91" s="1675"/>
      <c r="BD91" s="1675"/>
      <c r="BE91" s="1675"/>
      <c r="BF91" s="1675"/>
      <c r="BG91" s="1675"/>
      <c r="BH91" s="1675"/>
      <c r="BI91" s="1675"/>
      <c r="BJ91" s="1675"/>
      <c r="BK91" s="1675"/>
      <c r="BL91" s="1675"/>
      <c r="BM91" s="1675"/>
      <c r="BN91" s="1675"/>
      <c r="BO91" s="1675"/>
      <c r="BP91" s="1675"/>
      <c r="BQ91" s="1675"/>
      <c r="BR91" s="1675"/>
      <c r="BS91" s="1675"/>
      <c r="BT91" s="1675"/>
      <c r="BU91" s="1675"/>
      <c r="BV91" s="1675"/>
      <c r="BW91" s="1675"/>
      <c r="BX91" s="1675"/>
      <c r="BY91" s="1675"/>
      <c r="BZ91" s="1675"/>
      <c r="CA91" s="1675"/>
      <c r="CB91" s="1675"/>
      <c r="CC91" s="1675"/>
      <c r="CD91" s="1675"/>
      <c r="CE91" s="1675"/>
      <c r="CF91" s="1675"/>
      <c r="CG91" s="1675"/>
      <c r="CH91" s="1675"/>
      <c r="CI91" s="1675"/>
      <c r="CJ91" s="1675"/>
      <c r="CK91" s="1675"/>
      <c r="CL91" s="1675"/>
      <c r="CM91" s="1675"/>
      <c r="CN91" s="1675"/>
      <c r="CO91" s="1675"/>
      <c r="CP91" s="1675"/>
      <c r="CQ91" s="1675"/>
      <c r="CR91" s="1675"/>
      <c r="CS91" s="1675"/>
      <c r="CT91" s="1675"/>
      <c r="CU91" s="1675"/>
      <c r="CV91" s="1675"/>
      <c r="CW91" s="1675"/>
      <c r="CX91" s="1675"/>
      <c r="CY91" s="1675"/>
      <c r="CZ91" s="1675"/>
      <c r="DA91" s="1675"/>
      <c r="DB91" s="1675"/>
      <c r="DC91" s="1675"/>
      <c r="DD91" s="1675"/>
      <c r="DE91" s="1675"/>
      <c r="DF91" s="1675"/>
      <c r="DG91" s="1675"/>
      <c r="DH91" s="1675"/>
      <c r="DI91" s="1675"/>
      <c r="DJ91" s="1675"/>
      <c r="DK91" s="1675"/>
      <c r="DL91" s="1675"/>
      <c r="DM91" s="1675"/>
      <c r="DN91" s="1675"/>
      <c r="DO91" s="1675"/>
      <c r="DP91" s="1675"/>
      <c r="DQ91" s="1675"/>
      <c r="DR91" s="1675"/>
      <c r="DS91" s="1675"/>
      <c r="DT91" s="1675"/>
      <c r="DU91" s="1675"/>
      <c r="DV91" s="1675"/>
      <c r="DW91" s="1675"/>
      <c r="DX91" s="1675"/>
      <c r="DY91" s="1675"/>
      <c r="DZ91" s="1675"/>
      <c r="EA91" s="1675"/>
      <c r="EB91" s="1675"/>
      <c r="EC91" s="1675"/>
      <c r="ED91" s="1675"/>
      <c r="EE91" s="1675"/>
      <c r="EF91" s="1675"/>
      <c r="EG91" s="1675"/>
      <c r="EH91" s="1675"/>
      <c r="EI91" s="1675"/>
      <c r="EJ91" s="1675"/>
      <c r="EK91" s="1675"/>
      <c r="EL91" s="1675"/>
      <c r="EM91" s="1675"/>
      <c r="EN91" s="1675"/>
      <c r="EO91" s="1675"/>
      <c r="EP91" s="1675"/>
      <c r="EQ91" s="1675"/>
      <c r="ER91" s="1675"/>
      <c r="ES91" s="1675"/>
      <c r="ET91" s="1675"/>
      <c r="EU91" s="1675"/>
      <c r="EV91" s="1675"/>
      <c r="EW91" s="1675"/>
      <c r="EX91" s="1675"/>
      <c r="EY91" s="1675"/>
      <c r="EZ91" s="1675"/>
      <c r="FA91" s="1675"/>
      <c r="FB91" s="1675"/>
      <c r="FC91" s="1675"/>
      <c r="FD91" s="1675"/>
      <c r="FE91" s="1675"/>
      <c r="FF91" s="1675"/>
      <c r="FG91" s="1675"/>
      <c r="FH91" s="1675"/>
      <c r="FI91" s="1675"/>
      <c r="FJ91" s="1675"/>
      <c r="FK91" s="1675"/>
      <c r="FL91" s="1675"/>
      <c r="FM91" s="1675"/>
      <c r="FN91" s="1675"/>
      <c r="FO91" s="1675"/>
      <c r="FP91" s="1675"/>
      <c r="FQ91" s="1675"/>
      <c r="FR91" s="1675"/>
      <c r="FS91" s="1675"/>
      <c r="FT91" s="1675"/>
      <c r="FU91" s="1675"/>
      <c r="FV91" s="1675"/>
      <c r="FW91" s="1675"/>
      <c r="FX91" s="1675"/>
      <c r="FY91" s="1675"/>
      <c r="FZ91" s="1675"/>
      <c r="GA91" s="1675"/>
      <c r="GB91" s="1675"/>
      <c r="GC91" s="1675"/>
      <c r="GD91" s="1675"/>
      <c r="GE91" s="1675"/>
      <c r="GF91" s="1675"/>
      <c r="GG91" s="1675"/>
      <c r="GH91" s="1675"/>
      <c r="GI91" s="1675"/>
      <c r="GJ91" s="1675"/>
      <c r="GK91" s="1675"/>
      <c r="GL91" s="1675"/>
      <c r="GM91" s="1675"/>
      <c r="GN91" s="1675"/>
      <c r="GO91" s="1675"/>
      <c r="GP91" s="1675"/>
      <c r="GQ91" s="1675"/>
      <c r="GR91" s="1675"/>
      <c r="GS91" s="1675"/>
      <c r="GT91" s="1675"/>
      <c r="GU91" s="1675"/>
      <c r="GV91" s="1675"/>
      <c r="GW91" s="1675"/>
      <c r="GX91" s="1675"/>
      <c r="GY91" s="1675"/>
      <c r="GZ91" s="1675"/>
      <c r="HA91" s="1675"/>
      <c r="HB91" s="1675"/>
      <c r="HC91" s="1675"/>
      <c r="HD91" s="1675"/>
      <c r="HE91" s="1675"/>
      <c r="HF91" s="1675"/>
      <c r="HG91" s="1675"/>
      <c r="HH91" s="1675"/>
      <c r="HI91" s="1675"/>
      <c r="HJ91" s="1675"/>
      <c r="HK91" s="1675"/>
      <c r="HL91" s="1675"/>
      <c r="HM91" s="1675"/>
      <c r="HN91" s="1675"/>
      <c r="HO91" s="1675"/>
      <c r="HP91" s="1675"/>
      <c r="HQ91" s="1675"/>
      <c r="HR91" s="1675"/>
      <c r="HS91" s="1675"/>
      <c r="HT91" s="1675"/>
      <c r="HU91" s="1675"/>
      <c r="HV91" s="1675"/>
      <c r="HW91" s="1675"/>
      <c r="HX91" s="1675"/>
      <c r="HY91" s="1675"/>
      <c r="HZ91" s="1675"/>
      <c r="IA91" s="1675"/>
      <c r="IB91" s="1675"/>
      <c r="IC91" s="1675"/>
      <c r="ID91" s="1675"/>
      <c r="IE91" s="1675"/>
      <c r="IF91" s="1675"/>
      <c r="IG91" s="1675"/>
      <c r="IH91" s="1675"/>
      <c r="II91" s="1675"/>
      <c r="IJ91" s="1675"/>
      <c r="IK91" s="1675"/>
      <c r="IL91" s="1675"/>
      <c r="IM91" s="1675"/>
      <c r="IN91" s="1675"/>
      <c r="IO91" s="1675"/>
      <c r="IP91" s="1675"/>
      <c r="IQ91" s="1675"/>
      <c r="IR91" s="1675"/>
      <c r="IS91" s="1675"/>
      <c r="IT91" s="1675"/>
      <c r="IU91" s="1675"/>
      <c r="IV91" s="1675"/>
      <c r="IW91" s="1675"/>
      <c r="IX91" s="1675"/>
      <c r="IY91" s="1675"/>
      <c r="IZ91" s="1675"/>
      <c r="JA91" s="1675"/>
      <c r="JB91" s="1675"/>
      <c r="JC91" s="1675"/>
      <c r="JD91" s="1675"/>
      <c r="JE91" s="1675"/>
      <c r="JF91" s="1675"/>
      <c r="JG91" s="1675"/>
      <c r="JH91" s="1675"/>
      <c r="JI91" s="1675"/>
      <c r="JJ91" s="1675"/>
      <c r="JK91" s="1675"/>
      <c r="JL91" s="1675"/>
      <c r="JM91" s="1675"/>
      <c r="JN91" s="1675"/>
      <c r="JO91" s="1675"/>
      <c r="JP91" s="1675"/>
      <c r="JQ91" s="1675"/>
      <c r="JR91" s="1675"/>
      <c r="JS91" s="1675"/>
      <c r="JT91" s="1675"/>
      <c r="JU91" s="1675"/>
      <c r="JV91" s="1675"/>
      <c r="JW91" s="1675"/>
      <c r="JX91" s="1675"/>
      <c r="JY91" s="1675"/>
      <c r="JZ91" s="1675"/>
      <c r="KA91" s="1675"/>
      <c r="KB91" s="1675"/>
      <c r="KC91" s="1675"/>
      <c r="KD91" s="1675"/>
      <c r="KE91" s="1675"/>
      <c r="KF91" s="1675"/>
      <c r="KG91" s="1675"/>
      <c r="KH91" s="1675"/>
      <c r="KI91" s="1675"/>
      <c r="KJ91" s="1675"/>
      <c r="KK91" s="1675"/>
      <c r="KL91" s="1675"/>
      <c r="KM91" s="1675"/>
      <c r="KN91" s="1675"/>
      <c r="KO91" s="1675"/>
      <c r="KP91" s="1675"/>
      <c r="KQ91" s="1675"/>
      <c r="KR91" s="1675"/>
      <c r="KS91" s="1675"/>
      <c r="KT91" s="1675"/>
      <c r="KU91" s="1675"/>
      <c r="KV91" s="1675"/>
      <c r="KW91" s="1675"/>
      <c r="KX91" s="1675"/>
      <c r="KY91" s="1675"/>
      <c r="KZ91" s="1675"/>
      <c r="LA91" s="1675"/>
      <c r="LB91" s="1675"/>
      <c r="LC91" s="1675"/>
      <c r="LD91" s="1675"/>
      <c r="LE91" s="1675"/>
      <c r="LF91" s="1675"/>
      <c r="LG91" s="1675"/>
      <c r="LH91" s="1675"/>
      <c r="LI91" s="1675"/>
      <c r="LJ91" s="1675"/>
      <c r="LK91" s="1675"/>
      <c r="LL91" s="1675"/>
      <c r="LM91" s="1675"/>
      <c r="LN91" s="1675"/>
      <c r="LO91" s="1675"/>
      <c r="LP91" s="1675"/>
      <c r="LQ91" s="1675"/>
      <c r="LR91" s="1675"/>
      <c r="LS91" s="1675"/>
      <c r="LT91" s="1675"/>
      <c r="LU91" s="1675"/>
      <c r="LV91" s="1675"/>
      <c r="LW91" s="1675"/>
      <c r="LX91" s="1675"/>
      <c r="LY91" s="1675"/>
      <c r="LZ91" s="1675"/>
      <c r="MA91" s="1675"/>
      <c r="MB91" s="1675"/>
    </row>
    <row r="92" spans="1:340" s="380" customFormat="1" ht="20.100000000000001" customHeight="1" thickBot="1">
      <c r="A92" s="334"/>
      <c r="B92" s="2275"/>
      <c r="C92" s="1126"/>
      <c r="D92" s="1145"/>
      <c r="E92" s="809" t="s">
        <v>1791</v>
      </c>
      <c r="F92" s="913">
        <f>Y92</f>
        <v>829105</v>
      </c>
      <c r="G92" s="913">
        <v>829105</v>
      </c>
      <c r="H92" s="908"/>
      <c r="I92" s="473"/>
      <c r="J92" s="911" t="s">
        <v>1794</v>
      </c>
      <c r="K92" s="815"/>
      <c r="L92" s="815"/>
      <c r="M92" s="815"/>
      <c r="N92" s="450"/>
      <c r="O92" s="450"/>
      <c r="P92" s="815"/>
      <c r="Q92" s="831"/>
      <c r="R92" s="815"/>
      <c r="S92" s="815"/>
      <c r="T92" s="815"/>
      <c r="U92" s="815"/>
      <c r="V92" s="815"/>
      <c r="W92" s="815"/>
      <c r="X92" s="906"/>
      <c r="Y92" s="356">
        <f t="shared" si="7"/>
        <v>829105</v>
      </c>
      <c r="Z92" s="1671">
        <f>SUM(Z93:Z97)</f>
        <v>829105000</v>
      </c>
      <c r="AA92" s="907">
        <f t="shared" si="6"/>
        <v>829105000000</v>
      </c>
      <c r="AB92" s="505"/>
      <c r="AC92" s="347"/>
      <c r="AD92" s="1675"/>
      <c r="AE92" s="1675"/>
      <c r="AF92" s="1675"/>
      <c r="AG92" s="1675"/>
      <c r="AH92" s="1675"/>
      <c r="AI92" s="1675"/>
      <c r="AJ92" s="1675"/>
      <c r="AK92" s="1675"/>
      <c r="AL92" s="1675"/>
      <c r="AM92" s="1675"/>
      <c r="AN92" s="1675"/>
      <c r="AO92" s="1675"/>
      <c r="AP92" s="1675"/>
      <c r="AQ92" s="1675"/>
      <c r="AR92" s="1675"/>
      <c r="AS92" s="1675"/>
      <c r="AT92" s="1675"/>
      <c r="AU92" s="1675"/>
      <c r="AV92" s="1675"/>
      <c r="AW92" s="1675"/>
      <c r="AX92" s="1675"/>
      <c r="AY92" s="1675"/>
      <c r="AZ92" s="1675"/>
      <c r="BA92" s="1675"/>
      <c r="BB92" s="1675"/>
      <c r="BC92" s="1675"/>
      <c r="BD92" s="1675"/>
      <c r="BE92" s="1675"/>
      <c r="BF92" s="1675"/>
      <c r="BG92" s="1675"/>
      <c r="BH92" s="1675"/>
      <c r="BI92" s="1675"/>
      <c r="BJ92" s="1675"/>
      <c r="BK92" s="1675"/>
      <c r="BL92" s="1675"/>
      <c r="BM92" s="1675"/>
      <c r="BN92" s="1675"/>
      <c r="BO92" s="1675"/>
      <c r="BP92" s="1675"/>
      <c r="BQ92" s="1675"/>
      <c r="BR92" s="1675"/>
      <c r="BS92" s="1675"/>
      <c r="BT92" s="1675"/>
      <c r="BU92" s="1675"/>
      <c r="BV92" s="1675"/>
      <c r="BW92" s="1675"/>
      <c r="BX92" s="1675"/>
      <c r="BY92" s="1675"/>
      <c r="BZ92" s="1675"/>
      <c r="CA92" s="1675"/>
      <c r="CB92" s="1675"/>
      <c r="CC92" s="1675"/>
      <c r="CD92" s="1675"/>
      <c r="CE92" s="1675"/>
      <c r="CF92" s="1675"/>
      <c r="CG92" s="1675"/>
      <c r="CH92" s="1675"/>
      <c r="CI92" s="1675"/>
      <c r="CJ92" s="1675"/>
      <c r="CK92" s="1675"/>
      <c r="CL92" s="1675"/>
      <c r="CM92" s="1675"/>
      <c r="CN92" s="1675"/>
      <c r="CO92" s="1675"/>
      <c r="CP92" s="1675"/>
      <c r="CQ92" s="1675"/>
      <c r="CR92" s="1675"/>
      <c r="CS92" s="1675"/>
      <c r="CT92" s="1675"/>
      <c r="CU92" s="1675"/>
      <c r="CV92" s="1675"/>
      <c r="CW92" s="1675"/>
      <c r="CX92" s="1675"/>
      <c r="CY92" s="1675"/>
      <c r="CZ92" s="1675"/>
      <c r="DA92" s="1675"/>
      <c r="DB92" s="1675"/>
      <c r="DC92" s="1675"/>
      <c r="DD92" s="1675"/>
      <c r="DE92" s="1675"/>
      <c r="DF92" s="1675"/>
      <c r="DG92" s="1675"/>
      <c r="DH92" s="1675"/>
      <c r="DI92" s="1675"/>
      <c r="DJ92" s="1675"/>
      <c r="DK92" s="1675"/>
      <c r="DL92" s="1675"/>
      <c r="DM92" s="1675"/>
      <c r="DN92" s="1675"/>
      <c r="DO92" s="1675"/>
      <c r="DP92" s="1675"/>
      <c r="DQ92" s="1675"/>
      <c r="DR92" s="1675"/>
      <c r="DS92" s="1675"/>
      <c r="DT92" s="1675"/>
      <c r="DU92" s="1675"/>
      <c r="DV92" s="1675"/>
      <c r="DW92" s="1675"/>
      <c r="DX92" s="1675"/>
      <c r="DY92" s="1675"/>
      <c r="DZ92" s="1675"/>
      <c r="EA92" s="1675"/>
      <c r="EB92" s="1675"/>
      <c r="EC92" s="1675"/>
      <c r="ED92" s="1675"/>
      <c r="EE92" s="1675"/>
      <c r="EF92" s="1675"/>
      <c r="EG92" s="1675"/>
      <c r="EH92" s="1675"/>
      <c r="EI92" s="1675"/>
      <c r="EJ92" s="1675"/>
      <c r="EK92" s="1675"/>
      <c r="EL92" s="1675"/>
      <c r="EM92" s="1675"/>
      <c r="EN92" s="1675"/>
      <c r="EO92" s="1675"/>
      <c r="EP92" s="1675"/>
      <c r="EQ92" s="1675"/>
      <c r="ER92" s="1675"/>
      <c r="ES92" s="1675"/>
      <c r="ET92" s="1675"/>
      <c r="EU92" s="1675"/>
      <c r="EV92" s="1675"/>
      <c r="EW92" s="1675"/>
      <c r="EX92" s="1675"/>
      <c r="EY92" s="1675"/>
      <c r="EZ92" s="1675"/>
      <c r="FA92" s="1675"/>
      <c r="FB92" s="1675"/>
      <c r="FC92" s="1675"/>
      <c r="FD92" s="1675"/>
      <c r="FE92" s="1675"/>
      <c r="FF92" s="1675"/>
      <c r="FG92" s="1675"/>
      <c r="FH92" s="1675"/>
      <c r="FI92" s="1675"/>
      <c r="FJ92" s="1675"/>
      <c r="FK92" s="1675"/>
      <c r="FL92" s="1675"/>
      <c r="FM92" s="1675"/>
      <c r="FN92" s="1675"/>
      <c r="FO92" s="1675"/>
      <c r="FP92" s="1675"/>
      <c r="FQ92" s="1675"/>
      <c r="FR92" s="1675"/>
      <c r="FS92" s="1675"/>
      <c r="FT92" s="1675"/>
      <c r="FU92" s="1675"/>
      <c r="FV92" s="1675"/>
      <c r="FW92" s="1675"/>
      <c r="FX92" s="1675"/>
      <c r="FY92" s="1675"/>
      <c r="FZ92" s="1675"/>
      <c r="GA92" s="1675"/>
      <c r="GB92" s="1675"/>
      <c r="GC92" s="1675"/>
      <c r="GD92" s="1675"/>
      <c r="GE92" s="1675"/>
      <c r="GF92" s="1675"/>
      <c r="GG92" s="1675"/>
      <c r="GH92" s="1675"/>
      <c r="GI92" s="1675"/>
      <c r="GJ92" s="1675"/>
      <c r="GK92" s="1675"/>
      <c r="GL92" s="1675"/>
      <c r="GM92" s="1675"/>
      <c r="GN92" s="1675"/>
      <c r="GO92" s="1675"/>
      <c r="GP92" s="1675"/>
      <c r="GQ92" s="1675"/>
      <c r="GR92" s="1675"/>
      <c r="GS92" s="1675"/>
      <c r="GT92" s="1675"/>
      <c r="GU92" s="1675"/>
      <c r="GV92" s="1675"/>
      <c r="GW92" s="1675"/>
      <c r="GX92" s="1675"/>
      <c r="GY92" s="1675"/>
      <c r="GZ92" s="1675"/>
      <c r="HA92" s="1675"/>
      <c r="HB92" s="1675"/>
      <c r="HC92" s="1675"/>
      <c r="HD92" s="1675"/>
      <c r="HE92" s="1675"/>
      <c r="HF92" s="1675"/>
      <c r="HG92" s="1675"/>
      <c r="HH92" s="1675"/>
      <c r="HI92" s="1675"/>
      <c r="HJ92" s="1675"/>
      <c r="HK92" s="1675"/>
      <c r="HL92" s="1675"/>
      <c r="HM92" s="1675"/>
      <c r="HN92" s="1675"/>
      <c r="HO92" s="1675"/>
      <c r="HP92" s="1675"/>
      <c r="HQ92" s="1675"/>
      <c r="HR92" s="1675"/>
      <c r="HS92" s="1675"/>
      <c r="HT92" s="1675"/>
      <c r="HU92" s="1675"/>
      <c r="HV92" s="1675"/>
      <c r="HW92" s="1675"/>
      <c r="HX92" s="1675"/>
      <c r="HY92" s="1675"/>
      <c r="HZ92" s="1675"/>
      <c r="IA92" s="1675"/>
      <c r="IB92" s="1675"/>
      <c r="IC92" s="1675"/>
      <c r="ID92" s="1675"/>
      <c r="IE92" s="1675"/>
      <c r="IF92" s="1675"/>
      <c r="IG92" s="1675"/>
      <c r="IH92" s="1675"/>
      <c r="II92" s="1675"/>
      <c r="IJ92" s="1675"/>
      <c r="IK92" s="1675"/>
      <c r="IL92" s="1675"/>
      <c r="IM92" s="1675"/>
      <c r="IN92" s="1675"/>
      <c r="IO92" s="1675"/>
      <c r="IP92" s="1675"/>
      <c r="IQ92" s="1675"/>
      <c r="IR92" s="1675"/>
      <c r="IS92" s="1675"/>
      <c r="IT92" s="1675"/>
      <c r="IU92" s="1675"/>
      <c r="IV92" s="1675"/>
      <c r="IW92" s="1675"/>
      <c r="IX92" s="1675"/>
      <c r="IY92" s="1675"/>
      <c r="IZ92" s="1675"/>
      <c r="JA92" s="1675"/>
      <c r="JB92" s="1675"/>
      <c r="JC92" s="1675"/>
      <c r="JD92" s="1675"/>
      <c r="JE92" s="1675"/>
      <c r="JF92" s="1675"/>
      <c r="JG92" s="1675"/>
      <c r="JH92" s="1675"/>
      <c r="JI92" s="1675"/>
      <c r="JJ92" s="1675"/>
      <c r="JK92" s="1675"/>
      <c r="JL92" s="1675"/>
      <c r="JM92" s="1675"/>
      <c r="JN92" s="1675"/>
      <c r="JO92" s="1675"/>
      <c r="JP92" s="1675"/>
      <c r="JQ92" s="1675"/>
      <c r="JR92" s="1675"/>
      <c r="JS92" s="1675"/>
      <c r="JT92" s="1675"/>
      <c r="JU92" s="1675"/>
      <c r="JV92" s="1675"/>
      <c r="JW92" s="1675"/>
      <c r="JX92" s="1675"/>
      <c r="JY92" s="1675"/>
      <c r="JZ92" s="1675"/>
      <c r="KA92" s="1675"/>
      <c r="KB92" s="1675"/>
      <c r="KC92" s="1675"/>
      <c r="KD92" s="1675"/>
      <c r="KE92" s="1675"/>
      <c r="KF92" s="1675"/>
      <c r="KG92" s="1675"/>
      <c r="KH92" s="1675"/>
      <c r="KI92" s="1675"/>
      <c r="KJ92" s="1675"/>
      <c r="KK92" s="1675"/>
      <c r="KL92" s="1675"/>
      <c r="KM92" s="1675"/>
      <c r="KN92" s="1675"/>
      <c r="KO92" s="1675"/>
      <c r="KP92" s="1675"/>
      <c r="KQ92" s="1675"/>
      <c r="KR92" s="1675"/>
      <c r="KS92" s="1675"/>
      <c r="KT92" s="1675"/>
      <c r="KU92" s="1675"/>
      <c r="KV92" s="1675"/>
      <c r="KW92" s="1675"/>
      <c r="KX92" s="1675"/>
      <c r="KY92" s="1675"/>
      <c r="KZ92" s="1675"/>
      <c r="LA92" s="1675"/>
      <c r="LB92" s="1675"/>
      <c r="LC92" s="1675"/>
      <c r="LD92" s="1675"/>
      <c r="LE92" s="1675"/>
      <c r="LF92" s="1675"/>
      <c r="LG92" s="1675"/>
      <c r="LH92" s="1675"/>
      <c r="LI92" s="1675"/>
      <c r="LJ92" s="1675"/>
      <c r="LK92" s="1675"/>
      <c r="LL92" s="1675"/>
      <c r="LM92" s="1675"/>
      <c r="LN92" s="1675"/>
      <c r="LO92" s="1675"/>
      <c r="LP92" s="1675"/>
      <c r="LQ92" s="1675"/>
      <c r="LR92" s="1675"/>
      <c r="LS92" s="1675"/>
      <c r="LT92" s="1675"/>
      <c r="LU92" s="1675"/>
      <c r="LV92" s="1675"/>
      <c r="LW92" s="1675"/>
      <c r="LX92" s="1675"/>
      <c r="LY92" s="1675"/>
      <c r="LZ92" s="1675"/>
      <c r="MA92" s="1675"/>
      <c r="MB92" s="1675"/>
    </row>
    <row r="93" spans="1:340" ht="20.100000000000001" customHeight="1">
      <c r="A93" s="334"/>
      <c r="B93" s="2275"/>
      <c r="C93" s="1126"/>
      <c r="D93" s="1145"/>
      <c r="E93" s="465"/>
      <c r="F93" s="435"/>
      <c r="G93" s="435"/>
      <c r="H93" s="391"/>
      <c r="I93" s="473"/>
      <c r="J93" s="1670" t="s">
        <v>2302</v>
      </c>
      <c r="K93" s="1671"/>
      <c r="L93" s="1671"/>
      <c r="M93" s="1671"/>
      <c r="N93" s="1672"/>
      <c r="O93" s="1671"/>
      <c r="P93" s="1671"/>
      <c r="Q93" s="1673"/>
      <c r="R93" s="1671"/>
      <c r="S93" s="1672">
        <v>709142000</v>
      </c>
      <c r="T93" s="1671" t="s">
        <v>1782</v>
      </c>
      <c r="U93" s="1671"/>
      <c r="V93" s="1671">
        <v>1</v>
      </c>
      <c r="W93" s="1671" t="s">
        <v>1788</v>
      </c>
      <c r="X93" s="397" t="s">
        <v>1783</v>
      </c>
      <c r="Y93" s="1674">
        <f t="shared" si="7"/>
        <v>709142</v>
      </c>
      <c r="Z93" s="1671">
        <f>+S93*V93</f>
        <v>709142000</v>
      </c>
      <c r="AA93" s="907">
        <f t="shared" si="6"/>
        <v>0</v>
      </c>
      <c r="AB93" s="505"/>
      <c r="AC93" s="347"/>
      <c r="AD93" s="1675"/>
      <c r="AE93" s="1675"/>
      <c r="AF93" s="1675"/>
      <c r="AG93" s="1675"/>
      <c r="AH93" s="1675"/>
      <c r="AI93" s="1675"/>
      <c r="AJ93" s="1675"/>
      <c r="AK93" s="1675"/>
      <c r="AL93" s="1675"/>
      <c r="AM93" s="1675"/>
      <c r="AN93" s="1675"/>
      <c r="AO93" s="1675"/>
      <c r="AP93" s="1675"/>
      <c r="AQ93" s="1675"/>
      <c r="AR93" s="1675"/>
      <c r="AS93" s="1675"/>
      <c r="AT93" s="1675"/>
      <c r="AU93" s="1675"/>
      <c r="AV93" s="1675"/>
      <c r="AW93" s="1675"/>
      <c r="AX93" s="1675"/>
      <c r="AY93" s="1675"/>
      <c r="AZ93" s="1675"/>
      <c r="BA93" s="1675"/>
      <c r="BB93" s="1675"/>
      <c r="BC93" s="1675"/>
      <c r="BD93" s="1675"/>
      <c r="BE93" s="1675"/>
      <c r="BF93" s="1675"/>
      <c r="BG93" s="1675"/>
      <c r="BH93" s="1675"/>
      <c r="BI93" s="1675"/>
      <c r="BJ93" s="1675"/>
      <c r="BK93" s="1675"/>
      <c r="BL93" s="1675"/>
      <c r="BM93" s="1675"/>
      <c r="BN93" s="1675"/>
      <c r="BO93" s="1675"/>
      <c r="BP93" s="1675"/>
      <c r="BQ93" s="1675"/>
      <c r="BR93" s="1675"/>
      <c r="BS93" s="1675"/>
      <c r="BT93" s="1675"/>
      <c r="BU93" s="1675"/>
      <c r="BV93" s="1675"/>
      <c r="BW93" s="1675"/>
      <c r="BX93" s="1675"/>
      <c r="BY93" s="1675"/>
      <c r="BZ93" s="1675"/>
      <c r="CA93" s="1675"/>
      <c r="CB93" s="1675"/>
      <c r="CC93" s="1675"/>
      <c r="CD93" s="1675"/>
      <c r="CE93" s="1675"/>
      <c r="CF93" s="1675"/>
      <c r="CG93" s="1675"/>
      <c r="CH93" s="1675"/>
      <c r="CI93" s="1675"/>
      <c r="CJ93" s="1675"/>
      <c r="CK93" s="1675"/>
      <c r="CL93" s="1675"/>
      <c r="CM93" s="1675"/>
      <c r="CN93" s="1675"/>
      <c r="CO93" s="1675"/>
      <c r="CP93" s="1675"/>
      <c r="CQ93" s="1675"/>
      <c r="CR93" s="1675"/>
      <c r="CS93" s="1675"/>
      <c r="CT93" s="1675"/>
      <c r="CU93" s="1675"/>
      <c r="CV93" s="1675"/>
      <c r="CW93" s="1675"/>
      <c r="CX93" s="1675"/>
      <c r="CY93" s="1675"/>
      <c r="CZ93" s="1675"/>
      <c r="DA93" s="1675"/>
      <c r="DB93" s="1675"/>
      <c r="DC93" s="1675"/>
      <c r="DD93" s="1675"/>
      <c r="DE93" s="1675"/>
      <c r="DF93" s="1675"/>
      <c r="DG93" s="1675"/>
      <c r="DH93" s="1675"/>
      <c r="DI93" s="1675"/>
      <c r="DJ93" s="1675"/>
      <c r="DK93" s="1675"/>
      <c r="DL93" s="1675"/>
      <c r="DM93" s="1675"/>
      <c r="DN93" s="1675"/>
      <c r="DO93" s="1675"/>
      <c r="DP93" s="1675"/>
      <c r="DQ93" s="1675"/>
      <c r="DR93" s="1675"/>
      <c r="DS93" s="1675"/>
      <c r="DT93" s="1675"/>
      <c r="DU93" s="1675"/>
      <c r="DV93" s="1675"/>
      <c r="DW93" s="1675"/>
      <c r="DX93" s="1675"/>
      <c r="DY93" s="1675"/>
      <c r="DZ93" s="1675"/>
      <c r="EA93" s="1675"/>
      <c r="EB93" s="1675"/>
      <c r="EC93" s="1675"/>
      <c r="ED93" s="1675"/>
      <c r="EE93" s="1675"/>
      <c r="EF93" s="1675"/>
      <c r="EG93" s="1675"/>
      <c r="EH93" s="1675"/>
      <c r="EI93" s="1675"/>
      <c r="EJ93" s="1675"/>
      <c r="EK93" s="1675"/>
      <c r="EL93" s="1675"/>
      <c r="EM93" s="1675"/>
      <c r="EN93" s="1675"/>
      <c r="EO93" s="1675"/>
      <c r="EP93" s="1675"/>
      <c r="EQ93" s="1675"/>
      <c r="ER93" s="1675"/>
      <c r="ES93" s="1675"/>
      <c r="ET93" s="1675"/>
      <c r="EU93" s="1675"/>
      <c r="EV93" s="1675"/>
      <c r="EW93" s="1675"/>
      <c r="EX93" s="1675"/>
      <c r="EY93" s="1675"/>
      <c r="EZ93" s="1675"/>
      <c r="FA93" s="1675"/>
      <c r="FB93" s="1675"/>
      <c r="FC93" s="1675"/>
      <c r="FD93" s="1675"/>
      <c r="FE93" s="1675"/>
      <c r="FF93" s="1675"/>
      <c r="FG93" s="1675"/>
      <c r="FH93" s="1675"/>
      <c r="FI93" s="1675"/>
      <c r="FJ93" s="1675"/>
      <c r="FK93" s="1675"/>
      <c r="FL93" s="1675"/>
      <c r="FM93" s="1675"/>
      <c r="FN93" s="1675"/>
      <c r="FO93" s="1675"/>
      <c r="FP93" s="1675"/>
      <c r="FQ93" s="1675"/>
      <c r="FR93" s="1675"/>
      <c r="FS93" s="1675"/>
      <c r="FT93" s="1675"/>
      <c r="FU93" s="1675"/>
      <c r="FV93" s="1675"/>
      <c r="FW93" s="1675"/>
      <c r="FX93" s="1675"/>
      <c r="FY93" s="1675"/>
      <c r="FZ93" s="1675"/>
      <c r="GA93" s="1675"/>
      <c r="GB93" s="1675"/>
      <c r="GC93" s="1675"/>
      <c r="GD93" s="1675"/>
      <c r="GE93" s="1675"/>
      <c r="GF93" s="1675"/>
      <c r="GG93" s="1675"/>
      <c r="GH93" s="1675"/>
      <c r="GI93" s="1675"/>
      <c r="GJ93" s="1675"/>
      <c r="GK93" s="1675"/>
      <c r="GL93" s="1675"/>
      <c r="GM93" s="1675"/>
      <c r="GN93" s="1675"/>
      <c r="GO93" s="1675"/>
      <c r="GP93" s="1675"/>
      <c r="GQ93" s="1675"/>
      <c r="GR93" s="1675"/>
      <c r="GS93" s="1675"/>
      <c r="GT93" s="1675"/>
      <c r="GU93" s="1675"/>
      <c r="GV93" s="1675"/>
      <c r="GW93" s="1675"/>
      <c r="GX93" s="1675"/>
      <c r="GY93" s="1675"/>
      <c r="GZ93" s="1675"/>
      <c r="HA93" s="1675"/>
      <c r="HB93" s="1675"/>
      <c r="HC93" s="1675"/>
      <c r="HD93" s="1675"/>
      <c r="HE93" s="1675"/>
      <c r="HF93" s="1675"/>
      <c r="HG93" s="1675"/>
      <c r="HH93" s="1675"/>
      <c r="HI93" s="1675"/>
      <c r="HJ93" s="1675"/>
      <c r="HK93" s="1675"/>
      <c r="HL93" s="1675"/>
      <c r="HM93" s="1675"/>
      <c r="HN93" s="1675"/>
      <c r="HO93" s="1675"/>
      <c r="HP93" s="1675"/>
      <c r="HQ93" s="1675"/>
      <c r="HR93" s="1675"/>
      <c r="HS93" s="1675"/>
      <c r="HT93" s="1675"/>
      <c r="HU93" s="1675"/>
      <c r="HV93" s="1675"/>
      <c r="HW93" s="1675"/>
      <c r="HX93" s="1675"/>
      <c r="HY93" s="1675"/>
      <c r="HZ93" s="1675"/>
      <c r="IA93" s="1675"/>
      <c r="IB93" s="1675"/>
      <c r="IC93" s="1675"/>
      <c r="ID93" s="1675"/>
      <c r="IE93" s="1675"/>
      <c r="IF93" s="1675"/>
      <c r="IG93" s="1675"/>
      <c r="IH93" s="1675"/>
      <c r="II93" s="1675"/>
      <c r="IJ93" s="1675"/>
      <c r="IK93" s="1675"/>
      <c r="IL93" s="1675"/>
      <c r="IM93" s="1675"/>
      <c r="IN93" s="1675"/>
      <c r="IO93" s="1675"/>
      <c r="IP93" s="1675"/>
      <c r="IQ93" s="1675"/>
      <c r="IR93" s="1675"/>
      <c r="IS93" s="1675"/>
      <c r="IT93" s="1675"/>
      <c r="IU93" s="1675"/>
      <c r="IV93" s="1675"/>
      <c r="IW93" s="1675"/>
      <c r="IX93" s="1675"/>
      <c r="IY93" s="1675"/>
      <c r="IZ93" s="1675"/>
      <c r="JA93" s="1675"/>
      <c r="JB93" s="1675"/>
      <c r="JC93" s="1675"/>
      <c r="JD93" s="1675"/>
      <c r="JE93" s="1675"/>
      <c r="JF93" s="1675"/>
      <c r="JG93" s="1675"/>
      <c r="JH93" s="1675"/>
      <c r="JI93" s="1675"/>
      <c r="JJ93" s="1675"/>
      <c r="JK93" s="1675"/>
      <c r="JL93" s="1675"/>
      <c r="JM93" s="1675"/>
      <c r="JN93" s="1675"/>
      <c r="JO93" s="1675"/>
      <c r="JP93" s="1675"/>
      <c r="JQ93" s="1675"/>
      <c r="JR93" s="1675"/>
      <c r="JS93" s="1675"/>
      <c r="JT93" s="1675"/>
      <c r="JU93" s="1675"/>
      <c r="JV93" s="1675"/>
      <c r="JW93" s="1675"/>
      <c r="JX93" s="1675"/>
      <c r="JY93" s="1675"/>
      <c r="JZ93" s="1675"/>
      <c r="KA93" s="1675"/>
      <c r="KB93" s="1675"/>
      <c r="KC93" s="1675"/>
      <c r="KD93" s="1675"/>
      <c r="KE93" s="1675"/>
      <c r="KF93" s="1675"/>
      <c r="KG93" s="1675"/>
      <c r="KH93" s="1675"/>
      <c r="KI93" s="1675"/>
      <c r="KJ93" s="1675"/>
      <c r="KK93" s="1675"/>
      <c r="KL93" s="1675"/>
      <c r="KM93" s="1675"/>
      <c r="KN93" s="1675"/>
      <c r="KO93" s="1675"/>
      <c r="KP93" s="1675"/>
      <c r="KQ93" s="1675"/>
      <c r="KR93" s="1675"/>
      <c r="KS93" s="1675"/>
      <c r="KT93" s="1675"/>
      <c r="KU93" s="1675"/>
      <c r="KV93" s="1675"/>
      <c r="KW93" s="1675"/>
      <c r="KX93" s="1675"/>
      <c r="KY93" s="1675"/>
      <c r="KZ93" s="1675"/>
      <c r="LA93" s="1675"/>
      <c r="LB93" s="1675"/>
      <c r="LC93" s="1675"/>
      <c r="LD93" s="1675"/>
      <c r="LE93" s="1675"/>
      <c r="LF93" s="1675"/>
      <c r="LG93" s="1675"/>
      <c r="LH93" s="1675"/>
      <c r="LI93" s="1675"/>
      <c r="LJ93" s="1675"/>
      <c r="LK93" s="1675"/>
      <c r="LL93" s="1675"/>
      <c r="LM93" s="1675"/>
      <c r="LN93" s="1675"/>
      <c r="LO93" s="1675"/>
      <c r="LP93" s="1675"/>
      <c r="LQ93" s="1675"/>
      <c r="LR93" s="1675"/>
      <c r="LS93" s="1675"/>
      <c r="LT93" s="1675"/>
      <c r="LU93" s="1675"/>
      <c r="LV93" s="1675"/>
      <c r="LW93" s="1675"/>
      <c r="LX93" s="1675"/>
      <c r="LY93" s="1675"/>
      <c r="LZ93" s="1675"/>
      <c r="MA93" s="1675"/>
      <c r="MB93" s="1675"/>
    </row>
    <row r="94" spans="1:340" s="1675" customFormat="1" ht="20.100000000000001" customHeight="1">
      <c r="A94" s="334"/>
      <c r="B94" s="2275"/>
      <c r="C94" s="1126"/>
      <c r="D94" s="1145"/>
      <c r="E94" s="465"/>
      <c r="F94" s="435"/>
      <c r="G94" s="435"/>
      <c r="H94" s="391"/>
      <c r="I94" s="473"/>
      <c r="J94" s="1670" t="s">
        <v>2303</v>
      </c>
      <c r="K94" s="1671"/>
      <c r="L94" s="1671"/>
      <c r="M94" s="1671"/>
      <c r="N94" s="1672"/>
      <c r="O94" s="1671"/>
      <c r="P94" s="1671"/>
      <c r="Q94" s="1673"/>
      <c r="R94" s="1671"/>
      <c r="S94" s="1672">
        <v>42539000</v>
      </c>
      <c r="T94" s="1671" t="s">
        <v>1782</v>
      </c>
      <c r="U94" s="1671"/>
      <c r="V94" s="1671">
        <v>1</v>
      </c>
      <c r="W94" s="1671" t="s">
        <v>1788</v>
      </c>
      <c r="X94" s="397" t="s">
        <v>1783</v>
      </c>
      <c r="Y94" s="1674">
        <f t="shared" si="7"/>
        <v>42539</v>
      </c>
      <c r="Z94" s="1671">
        <f>S94*V94</f>
        <v>42539000</v>
      </c>
      <c r="AA94" s="907">
        <f t="shared" si="6"/>
        <v>0</v>
      </c>
      <c r="AB94" s="505"/>
      <c r="AC94" s="347"/>
    </row>
    <row r="95" spans="1:340" ht="20.100000000000001" customHeight="1">
      <c r="A95" s="334"/>
      <c r="B95" s="2275"/>
      <c r="C95" s="1126"/>
      <c r="D95" s="1145"/>
      <c r="E95" s="465"/>
      <c r="F95" s="435"/>
      <c r="G95" s="435"/>
      <c r="H95" s="391"/>
      <c r="I95" s="473"/>
      <c r="J95" s="1670" t="s">
        <v>2304</v>
      </c>
      <c r="K95" s="1671"/>
      <c r="L95" s="1671"/>
      <c r="M95" s="1671"/>
      <c r="N95" s="1672"/>
      <c r="O95" s="1671"/>
      <c r="P95" s="1671"/>
      <c r="Q95" s="1673">
        <v>20000</v>
      </c>
      <c r="R95" s="1671" t="s">
        <v>2305</v>
      </c>
      <c r="S95" s="1672">
        <v>1000</v>
      </c>
      <c r="T95" s="1671" t="s">
        <v>1782</v>
      </c>
      <c r="U95" s="1671"/>
      <c r="V95" s="1671">
        <v>2</v>
      </c>
      <c r="W95" s="1671" t="s">
        <v>1823</v>
      </c>
      <c r="X95" s="397" t="s">
        <v>1783</v>
      </c>
      <c r="Y95" s="1674">
        <f t="shared" si="7"/>
        <v>40000</v>
      </c>
      <c r="Z95" s="1671">
        <f>Q95*S95*V95</f>
        <v>40000000</v>
      </c>
      <c r="AA95" s="907">
        <f t="shared" si="6"/>
        <v>0</v>
      </c>
      <c r="AB95" s="505"/>
      <c r="AC95" s="347"/>
      <c r="AD95" s="1675"/>
      <c r="AE95" s="1675"/>
      <c r="AF95" s="1675"/>
      <c r="AG95" s="1675"/>
      <c r="AH95" s="1675"/>
      <c r="AI95" s="1675"/>
      <c r="AJ95" s="1675"/>
      <c r="AK95" s="1675"/>
      <c r="AL95" s="1675"/>
      <c r="AM95" s="1675"/>
      <c r="AN95" s="1675"/>
      <c r="AO95" s="1675"/>
      <c r="AP95" s="1675"/>
      <c r="AQ95" s="1675"/>
      <c r="AR95" s="1675"/>
      <c r="AS95" s="1675"/>
      <c r="AT95" s="1675"/>
      <c r="AU95" s="1675"/>
      <c r="AV95" s="1675"/>
      <c r="AW95" s="1675"/>
      <c r="AX95" s="1675"/>
      <c r="AY95" s="1675"/>
      <c r="AZ95" s="1675"/>
      <c r="BA95" s="1675"/>
      <c r="BB95" s="1675"/>
      <c r="BC95" s="1675"/>
      <c r="BD95" s="1675"/>
      <c r="BE95" s="1675"/>
      <c r="BF95" s="1675"/>
      <c r="BG95" s="1675"/>
      <c r="BH95" s="1675"/>
      <c r="BI95" s="1675"/>
      <c r="BJ95" s="1675"/>
      <c r="BK95" s="1675"/>
      <c r="BL95" s="1675"/>
      <c r="BM95" s="1675"/>
      <c r="BN95" s="1675"/>
      <c r="BO95" s="1675"/>
      <c r="BP95" s="1675"/>
      <c r="BQ95" s="1675"/>
      <c r="BR95" s="1675"/>
      <c r="BS95" s="1675"/>
      <c r="BT95" s="1675"/>
      <c r="BU95" s="1675"/>
      <c r="BV95" s="1675"/>
      <c r="BW95" s="1675"/>
      <c r="BX95" s="1675"/>
      <c r="BY95" s="1675"/>
      <c r="BZ95" s="1675"/>
      <c r="CA95" s="1675"/>
      <c r="CB95" s="1675"/>
      <c r="CC95" s="1675"/>
      <c r="CD95" s="1675"/>
      <c r="CE95" s="1675"/>
      <c r="CF95" s="1675"/>
      <c r="CG95" s="1675"/>
      <c r="CH95" s="1675"/>
      <c r="CI95" s="1675"/>
      <c r="CJ95" s="1675"/>
      <c r="CK95" s="1675"/>
      <c r="CL95" s="1675"/>
      <c r="CM95" s="1675"/>
      <c r="CN95" s="1675"/>
      <c r="CO95" s="1675"/>
      <c r="CP95" s="1675"/>
      <c r="CQ95" s="1675"/>
      <c r="CR95" s="1675"/>
      <c r="CS95" s="1675"/>
      <c r="CT95" s="1675"/>
      <c r="CU95" s="1675"/>
      <c r="CV95" s="1675"/>
      <c r="CW95" s="1675"/>
      <c r="CX95" s="1675"/>
      <c r="CY95" s="1675"/>
      <c r="CZ95" s="1675"/>
      <c r="DA95" s="1675"/>
      <c r="DB95" s="1675"/>
      <c r="DC95" s="1675"/>
      <c r="DD95" s="1675"/>
      <c r="DE95" s="1675"/>
      <c r="DF95" s="1675"/>
      <c r="DG95" s="1675"/>
      <c r="DH95" s="1675"/>
      <c r="DI95" s="1675"/>
      <c r="DJ95" s="1675"/>
      <c r="DK95" s="1675"/>
      <c r="DL95" s="1675"/>
      <c r="DM95" s="1675"/>
      <c r="DN95" s="1675"/>
      <c r="DO95" s="1675"/>
      <c r="DP95" s="1675"/>
      <c r="DQ95" s="1675"/>
      <c r="DR95" s="1675"/>
      <c r="DS95" s="1675"/>
      <c r="DT95" s="1675"/>
      <c r="DU95" s="1675"/>
      <c r="DV95" s="1675"/>
      <c r="DW95" s="1675"/>
      <c r="DX95" s="1675"/>
      <c r="DY95" s="1675"/>
      <c r="DZ95" s="1675"/>
      <c r="EA95" s="1675"/>
      <c r="EB95" s="1675"/>
      <c r="EC95" s="1675"/>
      <c r="ED95" s="1675"/>
      <c r="EE95" s="1675"/>
      <c r="EF95" s="1675"/>
      <c r="EG95" s="1675"/>
      <c r="EH95" s="1675"/>
      <c r="EI95" s="1675"/>
      <c r="EJ95" s="1675"/>
      <c r="EK95" s="1675"/>
      <c r="EL95" s="1675"/>
      <c r="EM95" s="1675"/>
      <c r="EN95" s="1675"/>
      <c r="EO95" s="1675"/>
      <c r="EP95" s="1675"/>
      <c r="EQ95" s="1675"/>
      <c r="ER95" s="1675"/>
      <c r="ES95" s="1675"/>
      <c r="ET95" s="1675"/>
      <c r="EU95" s="1675"/>
      <c r="EV95" s="1675"/>
      <c r="EW95" s="1675"/>
      <c r="EX95" s="1675"/>
      <c r="EY95" s="1675"/>
      <c r="EZ95" s="1675"/>
      <c r="FA95" s="1675"/>
      <c r="FB95" s="1675"/>
      <c r="FC95" s="1675"/>
      <c r="FD95" s="1675"/>
      <c r="FE95" s="1675"/>
      <c r="FF95" s="1675"/>
      <c r="FG95" s="1675"/>
      <c r="FH95" s="1675"/>
      <c r="FI95" s="1675"/>
      <c r="FJ95" s="1675"/>
      <c r="FK95" s="1675"/>
      <c r="FL95" s="1675"/>
      <c r="FM95" s="1675"/>
      <c r="FN95" s="1675"/>
      <c r="FO95" s="1675"/>
      <c r="FP95" s="1675"/>
      <c r="FQ95" s="1675"/>
      <c r="FR95" s="1675"/>
      <c r="FS95" s="1675"/>
      <c r="FT95" s="1675"/>
      <c r="FU95" s="1675"/>
      <c r="FV95" s="1675"/>
      <c r="FW95" s="1675"/>
      <c r="FX95" s="1675"/>
      <c r="FY95" s="1675"/>
      <c r="FZ95" s="1675"/>
      <c r="GA95" s="1675"/>
      <c r="GB95" s="1675"/>
      <c r="GC95" s="1675"/>
      <c r="GD95" s="1675"/>
      <c r="GE95" s="1675"/>
      <c r="GF95" s="1675"/>
      <c r="GG95" s="1675"/>
      <c r="GH95" s="1675"/>
      <c r="GI95" s="1675"/>
      <c r="GJ95" s="1675"/>
      <c r="GK95" s="1675"/>
      <c r="GL95" s="1675"/>
      <c r="GM95" s="1675"/>
      <c r="GN95" s="1675"/>
      <c r="GO95" s="1675"/>
      <c r="GP95" s="1675"/>
      <c r="GQ95" s="1675"/>
      <c r="GR95" s="1675"/>
      <c r="GS95" s="1675"/>
      <c r="GT95" s="1675"/>
      <c r="GU95" s="1675"/>
      <c r="GV95" s="1675"/>
      <c r="GW95" s="1675"/>
      <c r="GX95" s="1675"/>
      <c r="GY95" s="1675"/>
      <c r="GZ95" s="1675"/>
      <c r="HA95" s="1675"/>
      <c r="HB95" s="1675"/>
      <c r="HC95" s="1675"/>
      <c r="HD95" s="1675"/>
      <c r="HE95" s="1675"/>
      <c r="HF95" s="1675"/>
      <c r="HG95" s="1675"/>
      <c r="HH95" s="1675"/>
      <c r="HI95" s="1675"/>
      <c r="HJ95" s="1675"/>
      <c r="HK95" s="1675"/>
      <c r="HL95" s="1675"/>
      <c r="HM95" s="1675"/>
      <c r="HN95" s="1675"/>
      <c r="HO95" s="1675"/>
      <c r="HP95" s="1675"/>
      <c r="HQ95" s="1675"/>
      <c r="HR95" s="1675"/>
      <c r="HS95" s="1675"/>
      <c r="HT95" s="1675"/>
      <c r="HU95" s="1675"/>
      <c r="HV95" s="1675"/>
      <c r="HW95" s="1675"/>
      <c r="HX95" s="1675"/>
      <c r="HY95" s="1675"/>
      <c r="HZ95" s="1675"/>
      <c r="IA95" s="1675"/>
      <c r="IB95" s="1675"/>
      <c r="IC95" s="1675"/>
      <c r="ID95" s="1675"/>
      <c r="IE95" s="1675"/>
      <c r="IF95" s="1675"/>
      <c r="IG95" s="1675"/>
      <c r="IH95" s="1675"/>
      <c r="II95" s="1675"/>
      <c r="IJ95" s="1675"/>
      <c r="IK95" s="1675"/>
      <c r="IL95" s="1675"/>
      <c r="IM95" s="1675"/>
      <c r="IN95" s="1675"/>
      <c r="IO95" s="1675"/>
      <c r="IP95" s="1675"/>
      <c r="IQ95" s="1675"/>
      <c r="IR95" s="1675"/>
      <c r="IS95" s="1675"/>
      <c r="IT95" s="1675"/>
      <c r="IU95" s="1675"/>
      <c r="IV95" s="1675"/>
      <c r="IW95" s="1675"/>
      <c r="IX95" s="1675"/>
      <c r="IY95" s="1675"/>
      <c r="IZ95" s="1675"/>
      <c r="JA95" s="1675"/>
      <c r="JB95" s="1675"/>
      <c r="JC95" s="1675"/>
      <c r="JD95" s="1675"/>
      <c r="JE95" s="1675"/>
      <c r="JF95" s="1675"/>
      <c r="JG95" s="1675"/>
      <c r="JH95" s="1675"/>
      <c r="JI95" s="1675"/>
      <c r="JJ95" s="1675"/>
      <c r="JK95" s="1675"/>
      <c r="JL95" s="1675"/>
      <c r="JM95" s="1675"/>
      <c r="JN95" s="1675"/>
      <c r="JO95" s="1675"/>
      <c r="JP95" s="1675"/>
      <c r="JQ95" s="1675"/>
      <c r="JR95" s="1675"/>
      <c r="JS95" s="1675"/>
      <c r="JT95" s="1675"/>
      <c r="JU95" s="1675"/>
      <c r="JV95" s="1675"/>
      <c r="JW95" s="1675"/>
      <c r="JX95" s="1675"/>
      <c r="JY95" s="1675"/>
      <c r="JZ95" s="1675"/>
      <c r="KA95" s="1675"/>
      <c r="KB95" s="1675"/>
      <c r="KC95" s="1675"/>
      <c r="KD95" s="1675"/>
      <c r="KE95" s="1675"/>
      <c r="KF95" s="1675"/>
      <c r="KG95" s="1675"/>
      <c r="KH95" s="1675"/>
      <c r="KI95" s="1675"/>
      <c r="KJ95" s="1675"/>
      <c r="KK95" s="1675"/>
      <c r="KL95" s="1675"/>
      <c r="KM95" s="1675"/>
      <c r="KN95" s="1675"/>
      <c r="KO95" s="1675"/>
      <c r="KP95" s="1675"/>
      <c r="KQ95" s="1675"/>
      <c r="KR95" s="1675"/>
      <c r="KS95" s="1675"/>
      <c r="KT95" s="1675"/>
      <c r="KU95" s="1675"/>
      <c r="KV95" s="1675"/>
      <c r="KW95" s="1675"/>
      <c r="KX95" s="1675"/>
      <c r="KY95" s="1675"/>
      <c r="KZ95" s="1675"/>
      <c r="LA95" s="1675"/>
      <c r="LB95" s="1675"/>
      <c r="LC95" s="1675"/>
      <c r="LD95" s="1675"/>
      <c r="LE95" s="1675"/>
      <c r="LF95" s="1675"/>
      <c r="LG95" s="1675"/>
      <c r="LH95" s="1675"/>
      <c r="LI95" s="1675"/>
      <c r="LJ95" s="1675"/>
      <c r="LK95" s="1675"/>
      <c r="LL95" s="1675"/>
      <c r="LM95" s="1675"/>
      <c r="LN95" s="1675"/>
      <c r="LO95" s="1675"/>
      <c r="LP95" s="1675"/>
      <c r="LQ95" s="1675"/>
      <c r="LR95" s="1675"/>
      <c r="LS95" s="1675"/>
      <c r="LT95" s="1675"/>
      <c r="LU95" s="1675"/>
      <c r="LV95" s="1675"/>
      <c r="LW95" s="1675"/>
      <c r="LX95" s="1675"/>
      <c r="LY95" s="1675"/>
      <c r="LZ95" s="1675"/>
      <c r="MA95" s="1675"/>
      <c r="MB95" s="1675"/>
    </row>
    <row r="96" spans="1:340" ht="20.100000000000001" customHeight="1">
      <c r="A96" s="334"/>
      <c r="B96" s="2275"/>
      <c r="C96" s="1126"/>
      <c r="D96" s="1145"/>
      <c r="E96" s="465"/>
      <c r="F96" s="435"/>
      <c r="G96" s="435"/>
      <c r="H96" s="391"/>
      <c r="I96" s="473"/>
      <c r="J96" s="1670" t="s">
        <v>2306</v>
      </c>
      <c r="K96" s="1671"/>
      <c r="L96" s="1671"/>
      <c r="M96" s="1671"/>
      <c r="N96" s="1672"/>
      <c r="O96" s="1671"/>
      <c r="P96" s="1671"/>
      <c r="Q96" s="1673">
        <v>1</v>
      </c>
      <c r="R96" s="1671" t="s">
        <v>1788</v>
      </c>
      <c r="S96" s="1672">
        <v>2530000</v>
      </c>
      <c r="T96" s="1671" t="s">
        <v>1782</v>
      </c>
      <c r="U96" s="1671"/>
      <c r="V96" s="1671">
        <v>12</v>
      </c>
      <c r="W96" s="1671" t="s">
        <v>1795</v>
      </c>
      <c r="X96" s="397" t="s">
        <v>1783</v>
      </c>
      <c r="Y96" s="1674">
        <f t="shared" si="7"/>
        <v>30360</v>
      </c>
      <c r="Z96" s="1671">
        <f>Q96*S96*V96</f>
        <v>30360000</v>
      </c>
      <c r="AA96" s="907">
        <f t="shared" si="6"/>
        <v>0</v>
      </c>
      <c r="AB96" s="505"/>
      <c r="AC96" s="347"/>
      <c r="AD96" s="1675"/>
      <c r="AE96" s="1675"/>
      <c r="AF96" s="1675"/>
      <c r="AG96" s="1675"/>
      <c r="AH96" s="1675"/>
      <c r="AI96" s="1675"/>
      <c r="AJ96" s="1675"/>
      <c r="AK96" s="1675"/>
      <c r="AL96" s="1675"/>
      <c r="AM96" s="1675"/>
      <c r="AN96" s="1675"/>
      <c r="AO96" s="1675"/>
      <c r="AP96" s="1675"/>
      <c r="AQ96" s="1675"/>
      <c r="AR96" s="1675"/>
      <c r="AS96" s="1675"/>
      <c r="AT96" s="1675"/>
      <c r="AU96" s="1675"/>
      <c r="AV96" s="1675"/>
      <c r="AW96" s="1675"/>
      <c r="AX96" s="1675"/>
      <c r="AY96" s="1675"/>
      <c r="AZ96" s="1675"/>
      <c r="BA96" s="1675"/>
      <c r="BB96" s="1675"/>
      <c r="BC96" s="1675"/>
      <c r="BD96" s="1675"/>
      <c r="BE96" s="1675"/>
      <c r="BF96" s="1675"/>
      <c r="BG96" s="1675"/>
      <c r="BH96" s="1675"/>
      <c r="BI96" s="1675"/>
      <c r="BJ96" s="1675"/>
      <c r="BK96" s="1675"/>
      <c r="BL96" s="1675"/>
      <c r="BM96" s="1675"/>
      <c r="BN96" s="1675"/>
      <c r="BO96" s="1675"/>
      <c r="BP96" s="1675"/>
      <c r="BQ96" s="1675"/>
      <c r="BR96" s="1675"/>
      <c r="BS96" s="1675"/>
      <c r="BT96" s="1675"/>
      <c r="BU96" s="1675"/>
      <c r="BV96" s="1675"/>
      <c r="BW96" s="1675"/>
      <c r="BX96" s="1675"/>
      <c r="BY96" s="1675"/>
      <c r="BZ96" s="1675"/>
      <c r="CA96" s="1675"/>
      <c r="CB96" s="1675"/>
      <c r="CC96" s="1675"/>
      <c r="CD96" s="1675"/>
      <c r="CE96" s="1675"/>
      <c r="CF96" s="1675"/>
      <c r="CG96" s="1675"/>
      <c r="CH96" s="1675"/>
      <c r="CI96" s="1675"/>
      <c r="CJ96" s="1675"/>
      <c r="CK96" s="1675"/>
      <c r="CL96" s="1675"/>
      <c r="CM96" s="1675"/>
      <c r="CN96" s="1675"/>
      <c r="CO96" s="1675"/>
      <c r="CP96" s="1675"/>
      <c r="CQ96" s="1675"/>
      <c r="CR96" s="1675"/>
      <c r="CS96" s="1675"/>
      <c r="CT96" s="1675"/>
      <c r="CU96" s="1675"/>
      <c r="CV96" s="1675"/>
      <c r="CW96" s="1675"/>
      <c r="CX96" s="1675"/>
      <c r="CY96" s="1675"/>
      <c r="CZ96" s="1675"/>
      <c r="DA96" s="1675"/>
      <c r="DB96" s="1675"/>
      <c r="DC96" s="1675"/>
      <c r="DD96" s="1675"/>
      <c r="DE96" s="1675"/>
      <c r="DF96" s="1675"/>
      <c r="DG96" s="1675"/>
      <c r="DH96" s="1675"/>
      <c r="DI96" s="1675"/>
      <c r="DJ96" s="1675"/>
      <c r="DK96" s="1675"/>
      <c r="DL96" s="1675"/>
      <c r="DM96" s="1675"/>
      <c r="DN96" s="1675"/>
      <c r="DO96" s="1675"/>
      <c r="DP96" s="1675"/>
      <c r="DQ96" s="1675"/>
      <c r="DR96" s="1675"/>
      <c r="DS96" s="1675"/>
      <c r="DT96" s="1675"/>
      <c r="DU96" s="1675"/>
      <c r="DV96" s="1675"/>
      <c r="DW96" s="1675"/>
      <c r="DX96" s="1675"/>
      <c r="DY96" s="1675"/>
      <c r="DZ96" s="1675"/>
      <c r="EA96" s="1675"/>
      <c r="EB96" s="1675"/>
      <c r="EC96" s="1675"/>
      <c r="ED96" s="1675"/>
      <c r="EE96" s="1675"/>
      <c r="EF96" s="1675"/>
      <c r="EG96" s="1675"/>
      <c r="EH96" s="1675"/>
      <c r="EI96" s="1675"/>
      <c r="EJ96" s="1675"/>
      <c r="EK96" s="1675"/>
      <c r="EL96" s="1675"/>
      <c r="EM96" s="1675"/>
      <c r="EN96" s="1675"/>
      <c r="EO96" s="1675"/>
      <c r="EP96" s="1675"/>
      <c r="EQ96" s="1675"/>
      <c r="ER96" s="1675"/>
      <c r="ES96" s="1675"/>
      <c r="ET96" s="1675"/>
      <c r="EU96" s="1675"/>
      <c r="EV96" s="1675"/>
      <c r="EW96" s="1675"/>
      <c r="EX96" s="1675"/>
      <c r="EY96" s="1675"/>
      <c r="EZ96" s="1675"/>
      <c r="FA96" s="1675"/>
      <c r="FB96" s="1675"/>
      <c r="FC96" s="1675"/>
      <c r="FD96" s="1675"/>
      <c r="FE96" s="1675"/>
      <c r="FF96" s="1675"/>
      <c r="FG96" s="1675"/>
      <c r="FH96" s="1675"/>
      <c r="FI96" s="1675"/>
      <c r="FJ96" s="1675"/>
      <c r="FK96" s="1675"/>
      <c r="FL96" s="1675"/>
      <c r="FM96" s="1675"/>
      <c r="FN96" s="1675"/>
      <c r="FO96" s="1675"/>
      <c r="FP96" s="1675"/>
      <c r="FQ96" s="1675"/>
      <c r="FR96" s="1675"/>
      <c r="FS96" s="1675"/>
      <c r="FT96" s="1675"/>
      <c r="FU96" s="1675"/>
      <c r="FV96" s="1675"/>
      <c r="FW96" s="1675"/>
      <c r="FX96" s="1675"/>
      <c r="FY96" s="1675"/>
      <c r="FZ96" s="1675"/>
      <c r="GA96" s="1675"/>
      <c r="GB96" s="1675"/>
      <c r="GC96" s="1675"/>
      <c r="GD96" s="1675"/>
      <c r="GE96" s="1675"/>
      <c r="GF96" s="1675"/>
      <c r="GG96" s="1675"/>
      <c r="GH96" s="1675"/>
      <c r="GI96" s="1675"/>
      <c r="GJ96" s="1675"/>
      <c r="GK96" s="1675"/>
      <c r="GL96" s="1675"/>
      <c r="GM96" s="1675"/>
      <c r="GN96" s="1675"/>
      <c r="GO96" s="1675"/>
      <c r="GP96" s="1675"/>
      <c r="GQ96" s="1675"/>
      <c r="GR96" s="1675"/>
      <c r="GS96" s="1675"/>
      <c r="GT96" s="1675"/>
      <c r="GU96" s="1675"/>
      <c r="GV96" s="1675"/>
      <c r="GW96" s="1675"/>
      <c r="GX96" s="1675"/>
      <c r="GY96" s="1675"/>
      <c r="GZ96" s="1675"/>
      <c r="HA96" s="1675"/>
      <c r="HB96" s="1675"/>
      <c r="HC96" s="1675"/>
      <c r="HD96" s="1675"/>
      <c r="HE96" s="1675"/>
      <c r="HF96" s="1675"/>
      <c r="HG96" s="1675"/>
      <c r="HH96" s="1675"/>
      <c r="HI96" s="1675"/>
      <c r="HJ96" s="1675"/>
      <c r="HK96" s="1675"/>
      <c r="HL96" s="1675"/>
      <c r="HM96" s="1675"/>
      <c r="HN96" s="1675"/>
      <c r="HO96" s="1675"/>
      <c r="HP96" s="1675"/>
      <c r="HQ96" s="1675"/>
      <c r="HR96" s="1675"/>
      <c r="HS96" s="1675"/>
      <c r="HT96" s="1675"/>
      <c r="HU96" s="1675"/>
      <c r="HV96" s="1675"/>
      <c r="HW96" s="1675"/>
      <c r="HX96" s="1675"/>
      <c r="HY96" s="1675"/>
      <c r="HZ96" s="1675"/>
      <c r="IA96" s="1675"/>
      <c r="IB96" s="1675"/>
      <c r="IC96" s="1675"/>
      <c r="ID96" s="1675"/>
      <c r="IE96" s="1675"/>
      <c r="IF96" s="1675"/>
      <c r="IG96" s="1675"/>
      <c r="IH96" s="1675"/>
      <c r="II96" s="1675"/>
      <c r="IJ96" s="1675"/>
      <c r="IK96" s="1675"/>
      <c r="IL96" s="1675"/>
      <c r="IM96" s="1675"/>
      <c r="IN96" s="1675"/>
      <c r="IO96" s="1675"/>
      <c r="IP96" s="1675"/>
      <c r="IQ96" s="1675"/>
      <c r="IR96" s="1675"/>
      <c r="IS96" s="1675"/>
      <c r="IT96" s="1675"/>
      <c r="IU96" s="1675"/>
      <c r="IV96" s="1675"/>
      <c r="IW96" s="1675"/>
      <c r="IX96" s="1675"/>
      <c r="IY96" s="1675"/>
      <c r="IZ96" s="1675"/>
      <c r="JA96" s="1675"/>
      <c r="JB96" s="1675"/>
      <c r="JC96" s="1675"/>
      <c r="JD96" s="1675"/>
      <c r="JE96" s="1675"/>
      <c r="JF96" s="1675"/>
      <c r="JG96" s="1675"/>
      <c r="JH96" s="1675"/>
      <c r="JI96" s="1675"/>
      <c r="JJ96" s="1675"/>
      <c r="JK96" s="1675"/>
      <c r="JL96" s="1675"/>
      <c r="JM96" s="1675"/>
      <c r="JN96" s="1675"/>
      <c r="JO96" s="1675"/>
      <c r="JP96" s="1675"/>
      <c r="JQ96" s="1675"/>
      <c r="JR96" s="1675"/>
      <c r="JS96" s="1675"/>
      <c r="JT96" s="1675"/>
      <c r="JU96" s="1675"/>
      <c r="JV96" s="1675"/>
      <c r="JW96" s="1675"/>
      <c r="JX96" s="1675"/>
      <c r="JY96" s="1675"/>
      <c r="JZ96" s="1675"/>
      <c r="KA96" s="1675"/>
      <c r="KB96" s="1675"/>
      <c r="KC96" s="1675"/>
      <c r="KD96" s="1675"/>
      <c r="KE96" s="1675"/>
      <c r="KF96" s="1675"/>
      <c r="KG96" s="1675"/>
      <c r="KH96" s="1675"/>
      <c r="KI96" s="1675"/>
      <c r="KJ96" s="1675"/>
      <c r="KK96" s="1675"/>
      <c r="KL96" s="1675"/>
      <c r="KM96" s="1675"/>
      <c r="KN96" s="1675"/>
      <c r="KO96" s="1675"/>
      <c r="KP96" s="1675"/>
      <c r="KQ96" s="1675"/>
      <c r="KR96" s="1675"/>
      <c r="KS96" s="1675"/>
      <c r="KT96" s="1675"/>
      <c r="KU96" s="1675"/>
      <c r="KV96" s="1675"/>
      <c r="KW96" s="1675"/>
      <c r="KX96" s="1675"/>
      <c r="KY96" s="1675"/>
      <c r="KZ96" s="1675"/>
      <c r="LA96" s="1675"/>
      <c r="LB96" s="1675"/>
      <c r="LC96" s="1675"/>
      <c r="LD96" s="1675"/>
      <c r="LE96" s="1675"/>
      <c r="LF96" s="1675"/>
      <c r="LG96" s="1675"/>
      <c r="LH96" s="1675"/>
      <c r="LI96" s="1675"/>
      <c r="LJ96" s="1675"/>
      <c r="LK96" s="1675"/>
      <c r="LL96" s="1675"/>
      <c r="LM96" s="1675"/>
      <c r="LN96" s="1675"/>
      <c r="LO96" s="1675"/>
      <c r="LP96" s="1675"/>
      <c r="LQ96" s="1675"/>
      <c r="LR96" s="1675"/>
      <c r="LS96" s="1675"/>
      <c r="LT96" s="1675"/>
      <c r="LU96" s="1675"/>
      <c r="LV96" s="1675"/>
      <c r="LW96" s="1675"/>
      <c r="LX96" s="1675"/>
      <c r="LY96" s="1675"/>
      <c r="LZ96" s="1675"/>
      <c r="MA96" s="1675"/>
      <c r="MB96" s="1675"/>
    </row>
    <row r="97" spans="1:340" ht="20.100000000000001" customHeight="1">
      <c r="A97" s="334"/>
      <c r="B97" s="2275"/>
      <c r="C97" s="1126"/>
      <c r="D97" s="1145"/>
      <c r="E97" s="465"/>
      <c r="F97" s="435"/>
      <c r="G97" s="435"/>
      <c r="H97" s="391"/>
      <c r="I97" s="473"/>
      <c r="J97" s="1670" t="s">
        <v>2307</v>
      </c>
      <c r="K97" s="1671"/>
      <c r="L97" s="1671"/>
      <c r="M97" s="1671"/>
      <c r="N97" s="1672"/>
      <c r="O97" s="1671"/>
      <c r="P97" s="1671"/>
      <c r="Q97" s="1673"/>
      <c r="R97" s="1671"/>
      <c r="S97" s="1672">
        <v>3532000</v>
      </c>
      <c r="T97" s="1671" t="s">
        <v>1782</v>
      </c>
      <c r="U97" s="1671"/>
      <c r="V97" s="1671">
        <v>2</v>
      </c>
      <c r="W97" s="1671" t="s">
        <v>1823</v>
      </c>
      <c r="X97" s="397" t="s">
        <v>1783</v>
      </c>
      <c r="Y97" s="1674">
        <f t="shared" si="7"/>
        <v>7064</v>
      </c>
      <c r="Z97" s="1671">
        <f>S97*V97</f>
        <v>7064000</v>
      </c>
      <c r="AA97" s="907">
        <f t="shared" si="6"/>
        <v>0</v>
      </c>
      <c r="AB97" s="505"/>
      <c r="AC97" s="347"/>
      <c r="AD97" s="1675"/>
      <c r="AE97" s="1675"/>
      <c r="AF97" s="1675"/>
      <c r="AG97" s="1675"/>
      <c r="AH97" s="1675"/>
      <c r="AI97" s="1675"/>
      <c r="AJ97" s="1675"/>
      <c r="AK97" s="1675"/>
      <c r="AL97" s="1675"/>
      <c r="AM97" s="1675"/>
      <c r="AN97" s="1675"/>
      <c r="AO97" s="1675"/>
      <c r="AP97" s="1675"/>
      <c r="AQ97" s="1675"/>
      <c r="AR97" s="1675"/>
      <c r="AS97" s="1675"/>
      <c r="AT97" s="1675"/>
      <c r="AU97" s="1675"/>
      <c r="AV97" s="1675"/>
      <c r="AW97" s="1675"/>
      <c r="AX97" s="1675"/>
      <c r="AY97" s="1675"/>
      <c r="AZ97" s="1675"/>
      <c r="BA97" s="1675"/>
      <c r="BB97" s="1675"/>
      <c r="BC97" s="1675"/>
      <c r="BD97" s="1675"/>
      <c r="BE97" s="1675"/>
      <c r="BF97" s="1675"/>
      <c r="BG97" s="1675"/>
      <c r="BH97" s="1675"/>
      <c r="BI97" s="1675"/>
      <c r="BJ97" s="1675"/>
      <c r="BK97" s="1675"/>
      <c r="BL97" s="1675"/>
      <c r="BM97" s="1675"/>
      <c r="BN97" s="1675"/>
      <c r="BO97" s="1675"/>
      <c r="BP97" s="1675"/>
      <c r="BQ97" s="1675"/>
      <c r="BR97" s="1675"/>
      <c r="BS97" s="1675"/>
      <c r="BT97" s="1675"/>
      <c r="BU97" s="1675"/>
      <c r="BV97" s="1675"/>
      <c r="BW97" s="1675"/>
      <c r="BX97" s="1675"/>
      <c r="BY97" s="1675"/>
      <c r="BZ97" s="1675"/>
      <c r="CA97" s="1675"/>
      <c r="CB97" s="1675"/>
      <c r="CC97" s="1675"/>
      <c r="CD97" s="1675"/>
      <c r="CE97" s="1675"/>
      <c r="CF97" s="1675"/>
      <c r="CG97" s="1675"/>
      <c r="CH97" s="1675"/>
      <c r="CI97" s="1675"/>
      <c r="CJ97" s="1675"/>
      <c r="CK97" s="1675"/>
      <c r="CL97" s="1675"/>
      <c r="CM97" s="1675"/>
      <c r="CN97" s="1675"/>
      <c r="CO97" s="1675"/>
      <c r="CP97" s="1675"/>
      <c r="CQ97" s="1675"/>
      <c r="CR97" s="1675"/>
      <c r="CS97" s="1675"/>
      <c r="CT97" s="1675"/>
      <c r="CU97" s="1675"/>
      <c r="CV97" s="1675"/>
      <c r="CW97" s="1675"/>
      <c r="CX97" s="1675"/>
      <c r="CY97" s="1675"/>
      <c r="CZ97" s="1675"/>
      <c r="DA97" s="1675"/>
      <c r="DB97" s="1675"/>
      <c r="DC97" s="1675"/>
      <c r="DD97" s="1675"/>
      <c r="DE97" s="1675"/>
      <c r="DF97" s="1675"/>
      <c r="DG97" s="1675"/>
      <c r="DH97" s="1675"/>
      <c r="DI97" s="1675"/>
      <c r="DJ97" s="1675"/>
      <c r="DK97" s="1675"/>
      <c r="DL97" s="1675"/>
      <c r="DM97" s="1675"/>
      <c r="DN97" s="1675"/>
      <c r="DO97" s="1675"/>
      <c r="DP97" s="1675"/>
      <c r="DQ97" s="1675"/>
      <c r="DR97" s="1675"/>
      <c r="DS97" s="1675"/>
      <c r="DT97" s="1675"/>
      <c r="DU97" s="1675"/>
      <c r="DV97" s="1675"/>
      <c r="DW97" s="1675"/>
      <c r="DX97" s="1675"/>
      <c r="DY97" s="1675"/>
      <c r="DZ97" s="1675"/>
      <c r="EA97" s="1675"/>
      <c r="EB97" s="1675"/>
      <c r="EC97" s="1675"/>
      <c r="ED97" s="1675"/>
      <c r="EE97" s="1675"/>
      <c r="EF97" s="1675"/>
      <c r="EG97" s="1675"/>
      <c r="EH97" s="1675"/>
      <c r="EI97" s="1675"/>
      <c r="EJ97" s="1675"/>
      <c r="EK97" s="1675"/>
      <c r="EL97" s="1675"/>
      <c r="EM97" s="1675"/>
      <c r="EN97" s="1675"/>
      <c r="EO97" s="1675"/>
      <c r="EP97" s="1675"/>
      <c r="EQ97" s="1675"/>
      <c r="ER97" s="1675"/>
      <c r="ES97" s="1675"/>
      <c r="ET97" s="1675"/>
      <c r="EU97" s="1675"/>
      <c r="EV97" s="1675"/>
      <c r="EW97" s="1675"/>
      <c r="EX97" s="1675"/>
      <c r="EY97" s="1675"/>
      <c r="EZ97" s="1675"/>
      <c r="FA97" s="1675"/>
      <c r="FB97" s="1675"/>
      <c r="FC97" s="1675"/>
      <c r="FD97" s="1675"/>
      <c r="FE97" s="1675"/>
      <c r="FF97" s="1675"/>
      <c r="FG97" s="1675"/>
      <c r="FH97" s="1675"/>
      <c r="FI97" s="1675"/>
      <c r="FJ97" s="1675"/>
      <c r="FK97" s="1675"/>
      <c r="FL97" s="1675"/>
      <c r="FM97" s="1675"/>
      <c r="FN97" s="1675"/>
      <c r="FO97" s="1675"/>
      <c r="FP97" s="1675"/>
      <c r="FQ97" s="1675"/>
      <c r="FR97" s="1675"/>
      <c r="FS97" s="1675"/>
      <c r="FT97" s="1675"/>
      <c r="FU97" s="1675"/>
      <c r="FV97" s="1675"/>
      <c r="FW97" s="1675"/>
      <c r="FX97" s="1675"/>
      <c r="FY97" s="1675"/>
      <c r="FZ97" s="1675"/>
      <c r="GA97" s="1675"/>
      <c r="GB97" s="1675"/>
      <c r="GC97" s="1675"/>
      <c r="GD97" s="1675"/>
      <c r="GE97" s="1675"/>
      <c r="GF97" s="1675"/>
      <c r="GG97" s="1675"/>
      <c r="GH97" s="1675"/>
      <c r="GI97" s="1675"/>
      <c r="GJ97" s="1675"/>
      <c r="GK97" s="1675"/>
      <c r="GL97" s="1675"/>
      <c r="GM97" s="1675"/>
      <c r="GN97" s="1675"/>
      <c r="GO97" s="1675"/>
      <c r="GP97" s="1675"/>
      <c r="GQ97" s="1675"/>
      <c r="GR97" s="1675"/>
      <c r="GS97" s="1675"/>
      <c r="GT97" s="1675"/>
      <c r="GU97" s="1675"/>
      <c r="GV97" s="1675"/>
      <c r="GW97" s="1675"/>
      <c r="GX97" s="1675"/>
      <c r="GY97" s="1675"/>
      <c r="GZ97" s="1675"/>
      <c r="HA97" s="1675"/>
      <c r="HB97" s="1675"/>
      <c r="HC97" s="1675"/>
      <c r="HD97" s="1675"/>
      <c r="HE97" s="1675"/>
      <c r="HF97" s="1675"/>
      <c r="HG97" s="1675"/>
      <c r="HH97" s="1675"/>
      <c r="HI97" s="1675"/>
      <c r="HJ97" s="1675"/>
      <c r="HK97" s="1675"/>
      <c r="HL97" s="1675"/>
      <c r="HM97" s="1675"/>
      <c r="HN97" s="1675"/>
      <c r="HO97" s="1675"/>
      <c r="HP97" s="1675"/>
      <c r="HQ97" s="1675"/>
      <c r="HR97" s="1675"/>
      <c r="HS97" s="1675"/>
      <c r="HT97" s="1675"/>
      <c r="HU97" s="1675"/>
      <c r="HV97" s="1675"/>
      <c r="HW97" s="1675"/>
      <c r="HX97" s="1675"/>
      <c r="HY97" s="1675"/>
      <c r="HZ97" s="1675"/>
      <c r="IA97" s="1675"/>
      <c r="IB97" s="1675"/>
      <c r="IC97" s="1675"/>
      <c r="ID97" s="1675"/>
      <c r="IE97" s="1675"/>
      <c r="IF97" s="1675"/>
      <c r="IG97" s="1675"/>
      <c r="IH97" s="1675"/>
      <c r="II97" s="1675"/>
      <c r="IJ97" s="1675"/>
      <c r="IK97" s="1675"/>
      <c r="IL97" s="1675"/>
      <c r="IM97" s="1675"/>
      <c r="IN97" s="1675"/>
      <c r="IO97" s="1675"/>
      <c r="IP97" s="1675"/>
      <c r="IQ97" s="1675"/>
      <c r="IR97" s="1675"/>
      <c r="IS97" s="1675"/>
      <c r="IT97" s="1675"/>
      <c r="IU97" s="1675"/>
      <c r="IV97" s="1675"/>
      <c r="IW97" s="1675"/>
      <c r="IX97" s="1675"/>
      <c r="IY97" s="1675"/>
      <c r="IZ97" s="1675"/>
      <c r="JA97" s="1675"/>
      <c r="JB97" s="1675"/>
      <c r="JC97" s="1675"/>
      <c r="JD97" s="1675"/>
      <c r="JE97" s="1675"/>
      <c r="JF97" s="1675"/>
      <c r="JG97" s="1675"/>
      <c r="JH97" s="1675"/>
      <c r="JI97" s="1675"/>
      <c r="JJ97" s="1675"/>
      <c r="JK97" s="1675"/>
      <c r="JL97" s="1675"/>
      <c r="JM97" s="1675"/>
      <c r="JN97" s="1675"/>
      <c r="JO97" s="1675"/>
      <c r="JP97" s="1675"/>
      <c r="JQ97" s="1675"/>
      <c r="JR97" s="1675"/>
      <c r="JS97" s="1675"/>
      <c r="JT97" s="1675"/>
      <c r="JU97" s="1675"/>
      <c r="JV97" s="1675"/>
      <c r="JW97" s="1675"/>
      <c r="JX97" s="1675"/>
      <c r="JY97" s="1675"/>
      <c r="JZ97" s="1675"/>
      <c r="KA97" s="1675"/>
      <c r="KB97" s="1675"/>
      <c r="KC97" s="1675"/>
      <c r="KD97" s="1675"/>
      <c r="KE97" s="1675"/>
      <c r="KF97" s="1675"/>
      <c r="KG97" s="1675"/>
      <c r="KH97" s="1675"/>
      <c r="KI97" s="1675"/>
      <c r="KJ97" s="1675"/>
      <c r="KK97" s="1675"/>
      <c r="KL97" s="1675"/>
      <c r="KM97" s="1675"/>
      <c r="KN97" s="1675"/>
      <c r="KO97" s="1675"/>
      <c r="KP97" s="1675"/>
      <c r="KQ97" s="1675"/>
      <c r="KR97" s="1675"/>
      <c r="KS97" s="1675"/>
      <c r="KT97" s="1675"/>
      <c r="KU97" s="1675"/>
      <c r="KV97" s="1675"/>
      <c r="KW97" s="1675"/>
      <c r="KX97" s="1675"/>
      <c r="KY97" s="1675"/>
      <c r="KZ97" s="1675"/>
      <c r="LA97" s="1675"/>
      <c r="LB97" s="1675"/>
      <c r="LC97" s="1675"/>
      <c r="LD97" s="1675"/>
      <c r="LE97" s="1675"/>
      <c r="LF97" s="1675"/>
      <c r="LG97" s="1675"/>
      <c r="LH97" s="1675"/>
      <c r="LI97" s="1675"/>
      <c r="LJ97" s="1675"/>
      <c r="LK97" s="1675"/>
      <c r="LL97" s="1675"/>
      <c r="LM97" s="1675"/>
      <c r="LN97" s="1675"/>
      <c r="LO97" s="1675"/>
      <c r="LP97" s="1675"/>
      <c r="LQ97" s="1675"/>
      <c r="LR97" s="1675"/>
      <c r="LS97" s="1675"/>
      <c r="LT97" s="1675"/>
      <c r="LU97" s="1675"/>
      <c r="LV97" s="1675"/>
      <c r="LW97" s="1675"/>
      <c r="LX97" s="1675"/>
      <c r="LY97" s="1675"/>
      <c r="LZ97" s="1675"/>
      <c r="MA97" s="1675"/>
      <c r="MB97" s="1675"/>
    </row>
    <row r="98" spans="1:340" ht="20.100000000000001" customHeight="1">
      <c r="A98" s="334"/>
      <c r="B98" s="2275"/>
      <c r="C98" s="1126"/>
      <c r="D98" s="1145"/>
      <c r="E98" s="809" t="s">
        <v>2308</v>
      </c>
      <c r="F98" s="913">
        <f>Y98</f>
        <v>20520</v>
      </c>
      <c r="G98" s="913">
        <v>20520</v>
      </c>
      <c r="H98" s="908"/>
      <c r="I98" s="473"/>
      <c r="J98" s="911" t="s">
        <v>1794</v>
      </c>
      <c r="K98" s="815"/>
      <c r="L98" s="815"/>
      <c r="M98" s="815"/>
      <c r="N98" s="450"/>
      <c r="O98" s="450"/>
      <c r="P98" s="815"/>
      <c r="Q98" s="831"/>
      <c r="R98" s="815"/>
      <c r="S98" s="815"/>
      <c r="T98" s="815"/>
      <c r="U98" s="815"/>
      <c r="V98" s="815"/>
      <c r="W98" s="815"/>
      <c r="X98" s="906"/>
      <c r="Y98" s="356">
        <f>SUM(Y99:Y102)</f>
        <v>20520</v>
      </c>
      <c r="Z98" s="1671">
        <f>SUM(Z99:Z102)</f>
        <v>20520000</v>
      </c>
      <c r="AA98" s="907">
        <f t="shared" si="6"/>
        <v>20520000000</v>
      </c>
      <c r="AB98" s="505"/>
      <c r="AC98" s="347"/>
      <c r="AD98" s="1675"/>
      <c r="AE98" s="1675"/>
      <c r="AF98" s="1675"/>
      <c r="AG98" s="1675"/>
      <c r="AH98" s="1675"/>
      <c r="AI98" s="1675"/>
      <c r="AJ98" s="1675"/>
      <c r="AK98" s="1675"/>
      <c r="AL98" s="1675"/>
      <c r="AM98" s="1675"/>
      <c r="AN98" s="1675"/>
      <c r="AO98" s="1675"/>
      <c r="AP98" s="1675"/>
      <c r="AQ98" s="1675"/>
      <c r="AR98" s="1675"/>
      <c r="AS98" s="1675"/>
      <c r="AT98" s="1675"/>
      <c r="AU98" s="1675"/>
      <c r="AV98" s="1675"/>
      <c r="AW98" s="1675"/>
      <c r="AX98" s="1675"/>
      <c r="AY98" s="1675"/>
      <c r="AZ98" s="1675"/>
      <c r="BA98" s="1675"/>
      <c r="BB98" s="1675"/>
      <c r="BC98" s="1675"/>
      <c r="BD98" s="1675"/>
      <c r="BE98" s="1675"/>
      <c r="BF98" s="1675"/>
      <c r="BG98" s="1675"/>
      <c r="BH98" s="1675"/>
      <c r="BI98" s="1675"/>
      <c r="BJ98" s="1675"/>
      <c r="BK98" s="1675"/>
      <c r="BL98" s="1675"/>
      <c r="BM98" s="1675"/>
      <c r="BN98" s="1675"/>
      <c r="BO98" s="1675"/>
      <c r="BP98" s="1675"/>
      <c r="BQ98" s="1675"/>
      <c r="BR98" s="1675"/>
      <c r="BS98" s="1675"/>
      <c r="BT98" s="1675"/>
      <c r="BU98" s="1675"/>
      <c r="BV98" s="1675"/>
      <c r="BW98" s="1675"/>
      <c r="BX98" s="1675"/>
      <c r="BY98" s="1675"/>
      <c r="BZ98" s="1675"/>
      <c r="CA98" s="1675"/>
      <c r="CB98" s="1675"/>
      <c r="CC98" s="1675"/>
      <c r="CD98" s="1675"/>
      <c r="CE98" s="1675"/>
      <c r="CF98" s="1675"/>
      <c r="CG98" s="1675"/>
      <c r="CH98" s="1675"/>
      <c r="CI98" s="1675"/>
      <c r="CJ98" s="1675"/>
      <c r="CK98" s="1675"/>
      <c r="CL98" s="1675"/>
      <c r="CM98" s="1675"/>
      <c r="CN98" s="1675"/>
      <c r="CO98" s="1675"/>
      <c r="CP98" s="1675"/>
      <c r="CQ98" s="1675"/>
      <c r="CR98" s="1675"/>
      <c r="CS98" s="1675"/>
      <c r="CT98" s="1675"/>
      <c r="CU98" s="1675"/>
      <c r="CV98" s="1675"/>
      <c r="CW98" s="1675"/>
      <c r="CX98" s="1675"/>
      <c r="CY98" s="1675"/>
      <c r="CZ98" s="1675"/>
      <c r="DA98" s="1675"/>
      <c r="DB98" s="1675"/>
      <c r="DC98" s="1675"/>
      <c r="DD98" s="1675"/>
      <c r="DE98" s="1675"/>
      <c r="DF98" s="1675"/>
      <c r="DG98" s="1675"/>
      <c r="DH98" s="1675"/>
      <c r="DI98" s="1675"/>
      <c r="DJ98" s="1675"/>
      <c r="DK98" s="1675"/>
      <c r="DL98" s="1675"/>
      <c r="DM98" s="1675"/>
      <c r="DN98" s="1675"/>
      <c r="DO98" s="1675"/>
      <c r="DP98" s="1675"/>
      <c r="DQ98" s="1675"/>
      <c r="DR98" s="1675"/>
      <c r="DS98" s="1675"/>
      <c r="DT98" s="1675"/>
      <c r="DU98" s="1675"/>
      <c r="DV98" s="1675"/>
      <c r="DW98" s="1675"/>
      <c r="DX98" s="1675"/>
      <c r="DY98" s="1675"/>
      <c r="DZ98" s="1675"/>
      <c r="EA98" s="1675"/>
      <c r="EB98" s="1675"/>
      <c r="EC98" s="1675"/>
      <c r="ED98" s="1675"/>
      <c r="EE98" s="1675"/>
      <c r="EF98" s="1675"/>
      <c r="EG98" s="1675"/>
      <c r="EH98" s="1675"/>
      <c r="EI98" s="1675"/>
      <c r="EJ98" s="1675"/>
      <c r="EK98" s="1675"/>
      <c r="EL98" s="1675"/>
      <c r="EM98" s="1675"/>
      <c r="EN98" s="1675"/>
      <c r="EO98" s="1675"/>
      <c r="EP98" s="1675"/>
      <c r="EQ98" s="1675"/>
      <c r="ER98" s="1675"/>
      <c r="ES98" s="1675"/>
      <c r="ET98" s="1675"/>
      <c r="EU98" s="1675"/>
      <c r="EV98" s="1675"/>
      <c r="EW98" s="1675"/>
      <c r="EX98" s="1675"/>
      <c r="EY98" s="1675"/>
      <c r="EZ98" s="1675"/>
      <c r="FA98" s="1675"/>
      <c r="FB98" s="1675"/>
      <c r="FC98" s="1675"/>
      <c r="FD98" s="1675"/>
      <c r="FE98" s="1675"/>
      <c r="FF98" s="1675"/>
      <c r="FG98" s="1675"/>
      <c r="FH98" s="1675"/>
      <c r="FI98" s="1675"/>
      <c r="FJ98" s="1675"/>
      <c r="FK98" s="1675"/>
      <c r="FL98" s="1675"/>
      <c r="FM98" s="1675"/>
      <c r="FN98" s="1675"/>
      <c r="FO98" s="1675"/>
      <c r="FP98" s="1675"/>
      <c r="FQ98" s="1675"/>
      <c r="FR98" s="1675"/>
      <c r="FS98" s="1675"/>
      <c r="FT98" s="1675"/>
      <c r="FU98" s="1675"/>
      <c r="FV98" s="1675"/>
      <c r="FW98" s="1675"/>
      <c r="FX98" s="1675"/>
      <c r="FY98" s="1675"/>
      <c r="FZ98" s="1675"/>
      <c r="GA98" s="1675"/>
      <c r="GB98" s="1675"/>
      <c r="GC98" s="1675"/>
      <c r="GD98" s="1675"/>
      <c r="GE98" s="1675"/>
      <c r="GF98" s="1675"/>
      <c r="GG98" s="1675"/>
      <c r="GH98" s="1675"/>
      <c r="GI98" s="1675"/>
      <c r="GJ98" s="1675"/>
      <c r="GK98" s="1675"/>
      <c r="GL98" s="1675"/>
      <c r="GM98" s="1675"/>
      <c r="GN98" s="1675"/>
      <c r="GO98" s="1675"/>
      <c r="GP98" s="1675"/>
      <c r="GQ98" s="1675"/>
      <c r="GR98" s="1675"/>
      <c r="GS98" s="1675"/>
      <c r="GT98" s="1675"/>
      <c r="GU98" s="1675"/>
      <c r="GV98" s="1675"/>
      <c r="GW98" s="1675"/>
      <c r="GX98" s="1675"/>
      <c r="GY98" s="1675"/>
      <c r="GZ98" s="1675"/>
      <c r="HA98" s="1675"/>
      <c r="HB98" s="1675"/>
      <c r="HC98" s="1675"/>
      <c r="HD98" s="1675"/>
      <c r="HE98" s="1675"/>
      <c r="HF98" s="1675"/>
      <c r="HG98" s="1675"/>
      <c r="HH98" s="1675"/>
      <c r="HI98" s="1675"/>
      <c r="HJ98" s="1675"/>
      <c r="HK98" s="1675"/>
      <c r="HL98" s="1675"/>
      <c r="HM98" s="1675"/>
      <c r="HN98" s="1675"/>
      <c r="HO98" s="1675"/>
      <c r="HP98" s="1675"/>
      <c r="HQ98" s="1675"/>
      <c r="HR98" s="1675"/>
      <c r="HS98" s="1675"/>
      <c r="HT98" s="1675"/>
      <c r="HU98" s="1675"/>
      <c r="HV98" s="1675"/>
      <c r="HW98" s="1675"/>
      <c r="HX98" s="1675"/>
      <c r="HY98" s="1675"/>
      <c r="HZ98" s="1675"/>
      <c r="IA98" s="1675"/>
      <c r="IB98" s="1675"/>
      <c r="IC98" s="1675"/>
      <c r="ID98" s="1675"/>
      <c r="IE98" s="1675"/>
      <c r="IF98" s="1675"/>
      <c r="IG98" s="1675"/>
      <c r="IH98" s="1675"/>
      <c r="II98" s="1675"/>
      <c r="IJ98" s="1675"/>
      <c r="IK98" s="1675"/>
      <c r="IL98" s="1675"/>
      <c r="IM98" s="1675"/>
      <c r="IN98" s="1675"/>
      <c r="IO98" s="1675"/>
      <c r="IP98" s="1675"/>
      <c r="IQ98" s="1675"/>
      <c r="IR98" s="1675"/>
      <c r="IS98" s="1675"/>
      <c r="IT98" s="1675"/>
      <c r="IU98" s="1675"/>
      <c r="IV98" s="1675"/>
      <c r="IW98" s="1675"/>
      <c r="IX98" s="1675"/>
      <c r="IY98" s="1675"/>
      <c r="IZ98" s="1675"/>
      <c r="JA98" s="1675"/>
      <c r="JB98" s="1675"/>
      <c r="JC98" s="1675"/>
      <c r="JD98" s="1675"/>
      <c r="JE98" s="1675"/>
      <c r="JF98" s="1675"/>
      <c r="JG98" s="1675"/>
      <c r="JH98" s="1675"/>
      <c r="JI98" s="1675"/>
      <c r="JJ98" s="1675"/>
      <c r="JK98" s="1675"/>
      <c r="JL98" s="1675"/>
      <c r="JM98" s="1675"/>
      <c r="JN98" s="1675"/>
      <c r="JO98" s="1675"/>
      <c r="JP98" s="1675"/>
      <c r="JQ98" s="1675"/>
      <c r="JR98" s="1675"/>
      <c r="JS98" s="1675"/>
      <c r="JT98" s="1675"/>
      <c r="JU98" s="1675"/>
      <c r="JV98" s="1675"/>
      <c r="JW98" s="1675"/>
      <c r="JX98" s="1675"/>
      <c r="JY98" s="1675"/>
      <c r="JZ98" s="1675"/>
      <c r="KA98" s="1675"/>
      <c r="KB98" s="1675"/>
      <c r="KC98" s="1675"/>
      <c r="KD98" s="1675"/>
      <c r="KE98" s="1675"/>
      <c r="KF98" s="1675"/>
      <c r="KG98" s="1675"/>
      <c r="KH98" s="1675"/>
      <c r="KI98" s="1675"/>
      <c r="KJ98" s="1675"/>
      <c r="KK98" s="1675"/>
      <c r="KL98" s="1675"/>
      <c r="KM98" s="1675"/>
      <c r="KN98" s="1675"/>
      <c r="KO98" s="1675"/>
      <c r="KP98" s="1675"/>
      <c r="KQ98" s="1675"/>
      <c r="KR98" s="1675"/>
      <c r="KS98" s="1675"/>
      <c r="KT98" s="1675"/>
      <c r="KU98" s="1675"/>
      <c r="KV98" s="1675"/>
      <c r="KW98" s="1675"/>
      <c r="KX98" s="1675"/>
      <c r="KY98" s="1675"/>
      <c r="KZ98" s="1675"/>
      <c r="LA98" s="1675"/>
      <c r="LB98" s="1675"/>
      <c r="LC98" s="1675"/>
      <c r="LD98" s="1675"/>
      <c r="LE98" s="1675"/>
      <c r="LF98" s="1675"/>
      <c r="LG98" s="1675"/>
      <c r="LH98" s="1675"/>
      <c r="LI98" s="1675"/>
      <c r="LJ98" s="1675"/>
      <c r="LK98" s="1675"/>
      <c r="LL98" s="1675"/>
      <c r="LM98" s="1675"/>
      <c r="LN98" s="1675"/>
      <c r="LO98" s="1675"/>
      <c r="LP98" s="1675"/>
      <c r="LQ98" s="1675"/>
      <c r="LR98" s="1675"/>
      <c r="LS98" s="1675"/>
      <c r="LT98" s="1675"/>
      <c r="LU98" s="1675"/>
      <c r="LV98" s="1675"/>
      <c r="LW98" s="1675"/>
      <c r="LX98" s="1675"/>
      <c r="LY98" s="1675"/>
      <c r="LZ98" s="1675"/>
      <c r="MA98" s="1675"/>
      <c r="MB98" s="1675"/>
    </row>
    <row r="99" spans="1:340" ht="20.100000000000001" customHeight="1">
      <c r="A99" s="334"/>
      <c r="B99" s="335"/>
      <c r="C99" s="1126"/>
      <c r="D99" s="1145"/>
      <c r="E99" s="465"/>
      <c r="F99" s="435"/>
      <c r="G99" s="435"/>
      <c r="H99" s="391"/>
      <c r="I99" s="473"/>
      <c r="J99" s="1670" t="s">
        <v>2309</v>
      </c>
      <c r="K99" s="1671"/>
      <c r="L99" s="1671"/>
      <c r="M99" s="1671"/>
      <c r="N99" s="1672"/>
      <c r="O99" s="1672"/>
      <c r="P99" s="1671"/>
      <c r="Q99" s="1673">
        <v>1</v>
      </c>
      <c r="R99" s="1671" t="s">
        <v>2310</v>
      </c>
      <c r="S99" s="1672">
        <v>600000</v>
      </c>
      <c r="T99" s="1671" t="s">
        <v>1782</v>
      </c>
      <c r="U99" s="1671"/>
      <c r="V99" s="1671">
        <v>12</v>
      </c>
      <c r="W99" s="1671" t="s">
        <v>1823</v>
      </c>
      <c r="X99" s="397" t="s">
        <v>1783</v>
      </c>
      <c r="Y99" s="1674">
        <f>+Z99/1000</f>
        <v>7200</v>
      </c>
      <c r="Z99" s="1671">
        <f>Q99*S99*V99</f>
        <v>7200000</v>
      </c>
      <c r="AA99" s="907">
        <f t="shared" si="6"/>
        <v>0</v>
      </c>
      <c r="AB99" s="505"/>
    </row>
    <row r="100" spans="1:340" ht="20.100000000000001" customHeight="1">
      <c r="A100" s="334"/>
      <c r="B100" s="335"/>
      <c r="C100" s="1126"/>
      <c r="D100" s="1145"/>
      <c r="E100" s="465"/>
      <c r="F100" s="435"/>
      <c r="G100" s="435"/>
      <c r="H100" s="391"/>
      <c r="I100" s="473"/>
      <c r="J100" s="1670" t="s">
        <v>2311</v>
      </c>
      <c r="K100" s="1671"/>
      <c r="L100" s="1671"/>
      <c r="M100" s="1671"/>
      <c r="N100" s="1672"/>
      <c r="O100" s="1672"/>
      <c r="P100" s="1671"/>
      <c r="Q100" s="1673">
        <v>10</v>
      </c>
      <c r="R100" s="1671" t="s">
        <v>2312</v>
      </c>
      <c r="S100" s="1672">
        <v>28000</v>
      </c>
      <c r="T100" s="1671" t="s">
        <v>1782</v>
      </c>
      <c r="U100" s="1671"/>
      <c r="V100" s="1671">
        <v>12</v>
      </c>
      <c r="W100" s="1671" t="s">
        <v>1823</v>
      </c>
      <c r="X100" s="397" t="s">
        <v>1783</v>
      </c>
      <c r="Y100" s="1674">
        <f>+Z100/1000</f>
        <v>3360</v>
      </c>
      <c r="Z100" s="1671">
        <f>Q100*S100*V100</f>
        <v>3360000</v>
      </c>
      <c r="AA100" s="907">
        <f t="shared" si="6"/>
        <v>0</v>
      </c>
      <c r="AB100" s="505"/>
    </row>
    <row r="101" spans="1:340" ht="20.100000000000001" customHeight="1">
      <c r="A101" s="334"/>
      <c r="B101" s="1145"/>
      <c r="C101" s="1126"/>
      <c r="D101" s="1145"/>
      <c r="E101" s="465"/>
      <c r="F101" s="435"/>
      <c r="G101" s="435"/>
      <c r="H101" s="391"/>
      <c r="I101" s="473"/>
      <c r="J101" s="1670" t="s">
        <v>2313</v>
      </c>
      <c r="K101" s="1671"/>
      <c r="L101" s="1671"/>
      <c r="M101" s="1671"/>
      <c r="N101" s="1672"/>
      <c r="O101" s="1672"/>
      <c r="P101" s="1671"/>
      <c r="Q101" s="1673">
        <v>2</v>
      </c>
      <c r="R101" s="1671" t="s">
        <v>2312</v>
      </c>
      <c r="S101" s="1672">
        <v>15000</v>
      </c>
      <c r="T101" s="1671" t="s">
        <v>1782</v>
      </c>
      <c r="U101" s="1671"/>
      <c r="V101" s="1671">
        <v>12</v>
      </c>
      <c r="W101" s="1671" t="s">
        <v>1823</v>
      </c>
      <c r="X101" s="397" t="s">
        <v>1783</v>
      </c>
      <c r="Y101" s="1674">
        <f>+Z101/1000</f>
        <v>360</v>
      </c>
      <c r="Z101" s="1671">
        <f>Q101*S101*V101</f>
        <v>360000</v>
      </c>
      <c r="AA101" s="907">
        <f t="shared" si="6"/>
        <v>0</v>
      </c>
      <c r="AB101" s="505"/>
    </row>
    <row r="102" spans="1:340" ht="20.100000000000001" customHeight="1">
      <c r="A102" s="334"/>
      <c r="B102" s="1145"/>
      <c r="C102" s="1126"/>
      <c r="D102" s="1145"/>
      <c r="E102" s="465"/>
      <c r="F102" s="435"/>
      <c r="G102" s="435"/>
      <c r="H102" s="391"/>
      <c r="I102" s="473"/>
      <c r="J102" s="1670" t="s">
        <v>2314</v>
      </c>
      <c r="K102" s="1671"/>
      <c r="L102" s="1671"/>
      <c r="M102" s="1671"/>
      <c r="N102" s="1672"/>
      <c r="O102" s="1672"/>
      <c r="P102" s="1671"/>
      <c r="Q102" s="1673">
        <v>1</v>
      </c>
      <c r="R102" s="1671" t="s">
        <v>2312</v>
      </c>
      <c r="S102" s="1672">
        <v>800000</v>
      </c>
      <c r="T102" s="1671" t="s">
        <v>1782</v>
      </c>
      <c r="U102" s="1671"/>
      <c r="V102" s="1671">
        <v>12</v>
      </c>
      <c r="W102" s="1671" t="s">
        <v>1795</v>
      </c>
      <c r="X102" s="397" t="s">
        <v>1783</v>
      </c>
      <c r="Y102" s="1674">
        <f>+Z102/1000</f>
        <v>9600</v>
      </c>
      <c r="Z102" s="1671">
        <f>Q102*S102*V102</f>
        <v>9600000</v>
      </c>
      <c r="AA102" s="907">
        <f t="shared" si="6"/>
        <v>0</v>
      </c>
      <c r="AB102" s="505"/>
    </row>
    <row r="103" spans="1:340" ht="20.100000000000001" customHeight="1">
      <c r="A103" s="334"/>
      <c r="B103" s="335"/>
      <c r="C103" s="1126"/>
      <c r="D103" s="1145"/>
      <c r="E103" s="809" t="s">
        <v>2094</v>
      </c>
      <c r="F103" s="913">
        <f>Y103</f>
        <v>14400</v>
      </c>
      <c r="G103" s="913">
        <v>14400</v>
      </c>
      <c r="H103" s="908"/>
      <c r="I103" s="473"/>
      <c r="J103" s="911" t="s">
        <v>1794</v>
      </c>
      <c r="K103" s="815"/>
      <c r="L103" s="815"/>
      <c r="M103" s="815"/>
      <c r="N103" s="450"/>
      <c r="O103" s="450"/>
      <c r="P103" s="815"/>
      <c r="Q103" s="831"/>
      <c r="R103" s="815"/>
      <c r="S103" s="815"/>
      <c r="T103" s="815"/>
      <c r="U103" s="815"/>
      <c r="V103" s="815"/>
      <c r="W103" s="815"/>
      <c r="X103" s="906"/>
      <c r="Y103" s="356">
        <f>SUM(Y104:Y105)</f>
        <v>14400</v>
      </c>
      <c r="Z103" s="1671">
        <f>SUM(Z104:Z105)</f>
        <v>14400000</v>
      </c>
      <c r="AA103" s="907">
        <f t="shared" si="6"/>
        <v>14400000000</v>
      </c>
      <c r="AB103" s="505"/>
    </row>
    <row r="104" spans="1:340" ht="20.100000000000001" customHeight="1">
      <c r="A104" s="334"/>
      <c r="B104" s="335"/>
      <c r="C104" s="1126"/>
      <c r="D104" s="1145"/>
      <c r="E104" s="465"/>
      <c r="F104" s="435"/>
      <c r="G104" s="435"/>
      <c r="H104" s="391"/>
      <c r="I104" s="473"/>
      <c r="J104" s="1670" t="s">
        <v>2315</v>
      </c>
      <c r="K104" s="1671"/>
      <c r="L104" s="1671"/>
      <c r="M104" s="1671"/>
      <c r="N104" s="1672"/>
      <c r="O104" s="1671"/>
      <c r="P104" s="1671"/>
      <c r="Q104" s="1673">
        <v>1</v>
      </c>
      <c r="R104" s="1671" t="s">
        <v>1789</v>
      </c>
      <c r="S104" s="1672">
        <v>600000</v>
      </c>
      <c r="T104" s="1671" t="s">
        <v>1782</v>
      </c>
      <c r="U104" s="1671"/>
      <c r="V104" s="1671">
        <v>12</v>
      </c>
      <c r="W104" s="1671" t="s">
        <v>1795</v>
      </c>
      <c r="X104" s="397" t="s">
        <v>1783</v>
      </c>
      <c r="Y104" s="1674">
        <f t="shared" ref="Y104:Y109" si="8">+Z104/1000</f>
        <v>7200</v>
      </c>
      <c r="Z104" s="1671">
        <f>S104*Q104*V104</f>
        <v>7200000</v>
      </c>
      <c r="AA104" s="907">
        <f t="shared" si="6"/>
        <v>0</v>
      </c>
      <c r="AB104" s="505"/>
    </row>
    <row r="105" spans="1:340" ht="20.100000000000001" customHeight="1">
      <c r="A105" s="334"/>
      <c r="B105" s="335"/>
      <c r="C105" s="1126"/>
      <c r="D105" s="1145"/>
      <c r="E105" s="465"/>
      <c r="F105" s="435"/>
      <c r="G105" s="435"/>
      <c r="H105" s="391"/>
      <c r="I105" s="473"/>
      <c r="J105" s="1670" t="s">
        <v>2316</v>
      </c>
      <c r="K105" s="1671"/>
      <c r="L105" s="1671"/>
      <c r="M105" s="1671"/>
      <c r="N105" s="1672"/>
      <c r="O105" s="1671"/>
      <c r="P105" s="1671"/>
      <c r="Q105" s="1673">
        <v>2</v>
      </c>
      <c r="R105" s="1671" t="s">
        <v>1789</v>
      </c>
      <c r="S105" s="1672">
        <v>300000</v>
      </c>
      <c r="T105" s="1671" t="s">
        <v>1782</v>
      </c>
      <c r="U105" s="1671"/>
      <c r="V105" s="1671">
        <v>12</v>
      </c>
      <c r="W105" s="1671" t="s">
        <v>1795</v>
      </c>
      <c r="X105" s="397" t="s">
        <v>1783</v>
      </c>
      <c r="Y105" s="1674">
        <f t="shared" si="8"/>
        <v>7200</v>
      </c>
      <c r="Z105" s="1671">
        <f>S105*Q105*V105</f>
        <v>7200000</v>
      </c>
      <c r="AA105" s="907">
        <f t="shared" si="6"/>
        <v>0</v>
      </c>
      <c r="AB105" s="505"/>
    </row>
    <row r="106" spans="1:340" ht="20.100000000000001" customHeight="1">
      <c r="A106" s="334"/>
      <c r="B106" s="335"/>
      <c r="C106" s="1126"/>
      <c r="D106" s="1145"/>
      <c r="E106" s="809" t="s">
        <v>1825</v>
      </c>
      <c r="F106" s="913">
        <f>Y106</f>
        <v>19320</v>
      </c>
      <c r="G106" s="913">
        <v>19320</v>
      </c>
      <c r="H106" s="908"/>
      <c r="I106" s="473"/>
      <c r="J106" s="911" t="s">
        <v>1794</v>
      </c>
      <c r="K106" s="815"/>
      <c r="L106" s="815"/>
      <c r="M106" s="815"/>
      <c r="N106" s="450"/>
      <c r="O106" s="815"/>
      <c r="P106" s="815"/>
      <c r="Q106" s="831"/>
      <c r="R106" s="815"/>
      <c r="S106" s="450"/>
      <c r="T106" s="815"/>
      <c r="U106" s="815"/>
      <c r="V106" s="815"/>
      <c r="W106" s="815"/>
      <c r="X106" s="906"/>
      <c r="Y106" s="356">
        <f t="shared" si="8"/>
        <v>19320</v>
      </c>
      <c r="Z106" s="1671">
        <f>SUM(Z107:Z109)</f>
        <v>19320000</v>
      </c>
      <c r="AA106" s="907">
        <f t="shared" si="6"/>
        <v>19320000000</v>
      </c>
      <c r="AB106" s="505"/>
    </row>
    <row r="107" spans="1:340" ht="20.100000000000001" customHeight="1">
      <c r="A107" s="334"/>
      <c r="B107" s="335"/>
      <c r="C107" s="1126"/>
      <c r="D107" s="1145"/>
      <c r="E107" s="2293"/>
      <c r="F107" s="435"/>
      <c r="G107" s="435"/>
      <c r="H107" s="391"/>
      <c r="I107" s="473"/>
      <c r="J107" s="1670" t="s">
        <v>2317</v>
      </c>
      <c r="K107" s="1671"/>
      <c r="L107" s="1671"/>
      <c r="M107" s="1671"/>
      <c r="N107" s="1672"/>
      <c r="O107" s="1671"/>
      <c r="P107" s="1671"/>
      <c r="Q107" s="1673"/>
      <c r="R107" s="1671"/>
      <c r="S107" s="1672">
        <v>60000</v>
      </c>
      <c r="T107" s="1671" t="s">
        <v>1810</v>
      </c>
      <c r="U107" s="1671"/>
      <c r="V107" s="1671">
        <v>12</v>
      </c>
      <c r="W107" s="1671" t="s">
        <v>2053</v>
      </c>
      <c r="X107" s="397" t="s">
        <v>1812</v>
      </c>
      <c r="Y107" s="1674">
        <f t="shared" si="8"/>
        <v>720</v>
      </c>
      <c r="Z107" s="1671">
        <f>+V107*S107</f>
        <v>720000</v>
      </c>
      <c r="AA107" s="907">
        <f t="shared" si="6"/>
        <v>0</v>
      </c>
      <c r="AB107" s="505"/>
      <c r="AC107" s="347"/>
      <c r="AD107" s="1675"/>
      <c r="AE107" s="1675"/>
      <c r="AF107" s="1675"/>
      <c r="AG107" s="1675"/>
      <c r="AH107" s="1675"/>
      <c r="AI107" s="1675"/>
      <c r="AJ107" s="1675"/>
      <c r="AK107" s="1675"/>
      <c r="AL107" s="1675"/>
      <c r="AM107" s="1675"/>
      <c r="AN107" s="1675"/>
      <c r="AO107" s="1675"/>
      <c r="AP107" s="1675"/>
      <c r="AQ107" s="1675"/>
      <c r="AR107" s="1675"/>
      <c r="AS107" s="1675"/>
      <c r="AT107" s="1675"/>
      <c r="AU107" s="1675"/>
      <c r="AV107" s="1675"/>
      <c r="AW107" s="1675"/>
      <c r="AX107" s="1675"/>
      <c r="AY107" s="1675"/>
      <c r="AZ107" s="1675"/>
      <c r="BA107" s="1675"/>
      <c r="BB107" s="1675"/>
      <c r="BC107" s="1675"/>
      <c r="BD107" s="1675"/>
      <c r="BE107" s="1675"/>
      <c r="BF107" s="1675"/>
      <c r="BG107" s="1675"/>
      <c r="BH107" s="1675"/>
      <c r="BI107" s="1675"/>
      <c r="BJ107" s="1675"/>
      <c r="BK107" s="1675"/>
      <c r="BL107" s="1675"/>
      <c r="BM107" s="1675"/>
      <c r="BN107" s="1675"/>
      <c r="BO107" s="1675"/>
      <c r="BP107" s="1675"/>
      <c r="BQ107" s="1675"/>
      <c r="BR107" s="1675"/>
      <c r="BS107" s="1675"/>
      <c r="BT107" s="1675"/>
      <c r="BU107" s="1675"/>
      <c r="BV107" s="1675"/>
      <c r="BW107" s="1675"/>
      <c r="BX107" s="1675"/>
      <c r="BY107" s="1675"/>
      <c r="BZ107" s="1675"/>
      <c r="CA107" s="1675"/>
      <c r="CB107" s="1675"/>
      <c r="CC107" s="1675"/>
      <c r="CD107" s="1675"/>
      <c r="CE107" s="1675"/>
      <c r="CF107" s="1675"/>
      <c r="CG107" s="1675"/>
      <c r="CH107" s="1675"/>
      <c r="CI107" s="1675"/>
      <c r="CJ107" s="1675"/>
      <c r="CK107" s="1675"/>
      <c r="CL107" s="1675"/>
      <c r="CM107" s="1675"/>
      <c r="CN107" s="1675"/>
      <c r="CO107" s="1675"/>
      <c r="CP107" s="1675"/>
      <c r="CQ107" s="1675"/>
      <c r="CR107" s="1675"/>
      <c r="CS107" s="1675"/>
      <c r="CT107" s="1675"/>
      <c r="CU107" s="1675"/>
      <c r="CV107" s="1675"/>
      <c r="CW107" s="1675"/>
      <c r="CX107" s="1675"/>
      <c r="CY107" s="1675"/>
      <c r="CZ107" s="1675"/>
      <c r="DA107" s="1675"/>
      <c r="DB107" s="1675"/>
      <c r="DC107" s="1675"/>
      <c r="DD107" s="1675"/>
      <c r="DE107" s="1675"/>
      <c r="DF107" s="1675"/>
      <c r="DG107" s="1675"/>
      <c r="DH107" s="1675"/>
      <c r="DI107" s="1675"/>
      <c r="DJ107" s="1675"/>
      <c r="DK107" s="1675"/>
      <c r="DL107" s="1675"/>
      <c r="DM107" s="1675"/>
      <c r="DN107" s="1675"/>
      <c r="DO107" s="1675"/>
      <c r="DP107" s="1675"/>
      <c r="DQ107" s="1675"/>
      <c r="DR107" s="1675"/>
      <c r="DS107" s="1675"/>
      <c r="DT107" s="1675"/>
      <c r="DU107" s="1675"/>
      <c r="DV107" s="1675"/>
      <c r="DW107" s="1675"/>
      <c r="DX107" s="1675"/>
      <c r="DY107" s="1675"/>
      <c r="DZ107" s="1675"/>
      <c r="EA107" s="1675"/>
      <c r="EB107" s="1675"/>
      <c r="EC107" s="1675"/>
      <c r="ED107" s="1675"/>
      <c r="EE107" s="1675"/>
      <c r="EF107" s="1675"/>
      <c r="EG107" s="1675"/>
      <c r="EH107" s="1675"/>
      <c r="EI107" s="1675"/>
      <c r="EJ107" s="1675"/>
      <c r="EK107" s="1675"/>
      <c r="EL107" s="1675"/>
      <c r="EM107" s="1675"/>
      <c r="EN107" s="1675"/>
      <c r="EO107" s="1675"/>
      <c r="EP107" s="1675"/>
      <c r="EQ107" s="1675"/>
      <c r="ER107" s="1675"/>
      <c r="ES107" s="1675"/>
      <c r="ET107" s="1675"/>
      <c r="EU107" s="1675"/>
      <c r="EV107" s="1675"/>
      <c r="EW107" s="1675"/>
      <c r="EX107" s="1675"/>
      <c r="EY107" s="1675"/>
      <c r="EZ107" s="1675"/>
      <c r="FA107" s="1675"/>
      <c r="FB107" s="1675"/>
      <c r="FC107" s="1675"/>
      <c r="FD107" s="1675"/>
      <c r="FE107" s="1675"/>
      <c r="FF107" s="1675"/>
      <c r="FG107" s="1675"/>
      <c r="FH107" s="1675"/>
      <c r="FI107" s="1675"/>
      <c r="FJ107" s="1675"/>
      <c r="FK107" s="1675"/>
      <c r="FL107" s="1675"/>
      <c r="FM107" s="1675"/>
      <c r="FN107" s="1675"/>
      <c r="FO107" s="1675"/>
      <c r="FP107" s="1675"/>
      <c r="FQ107" s="1675"/>
      <c r="FR107" s="1675"/>
      <c r="FS107" s="1675"/>
      <c r="FT107" s="1675"/>
      <c r="FU107" s="1675"/>
      <c r="FV107" s="1675"/>
      <c r="FW107" s="1675"/>
      <c r="FX107" s="1675"/>
      <c r="FY107" s="1675"/>
      <c r="FZ107" s="1675"/>
      <c r="GA107" s="1675"/>
      <c r="GB107" s="1675"/>
      <c r="GC107" s="1675"/>
      <c r="GD107" s="1675"/>
      <c r="GE107" s="1675"/>
      <c r="GF107" s="1675"/>
      <c r="GG107" s="1675"/>
      <c r="GH107" s="1675"/>
      <c r="GI107" s="1675"/>
      <c r="GJ107" s="1675"/>
      <c r="GK107" s="1675"/>
      <c r="GL107" s="1675"/>
      <c r="GM107" s="1675"/>
      <c r="GN107" s="1675"/>
      <c r="GO107" s="1675"/>
      <c r="GP107" s="1675"/>
      <c r="GQ107" s="1675"/>
      <c r="GR107" s="1675"/>
      <c r="GS107" s="1675"/>
      <c r="GT107" s="1675"/>
      <c r="GU107" s="1675"/>
      <c r="GV107" s="1675"/>
      <c r="GW107" s="1675"/>
      <c r="GX107" s="1675"/>
      <c r="GY107" s="1675"/>
      <c r="GZ107" s="1675"/>
      <c r="HA107" s="1675"/>
      <c r="HB107" s="1675"/>
      <c r="HC107" s="1675"/>
      <c r="HD107" s="1675"/>
      <c r="HE107" s="1675"/>
      <c r="HF107" s="1675"/>
      <c r="HG107" s="1675"/>
      <c r="HH107" s="1675"/>
      <c r="HI107" s="1675"/>
      <c r="HJ107" s="1675"/>
      <c r="HK107" s="1675"/>
      <c r="HL107" s="1675"/>
      <c r="HM107" s="1675"/>
      <c r="HN107" s="1675"/>
      <c r="HO107" s="1675"/>
      <c r="HP107" s="1675"/>
      <c r="HQ107" s="1675"/>
      <c r="HR107" s="1675"/>
      <c r="HS107" s="1675"/>
      <c r="HT107" s="1675"/>
      <c r="HU107" s="1675"/>
      <c r="HV107" s="1675"/>
      <c r="HW107" s="1675"/>
      <c r="HX107" s="1675"/>
      <c r="HY107" s="1675"/>
      <c r="HZ107" s="1675"/>
      <c r="IA107" s="1675"/>
      <c r="IB107" s="1675"/>
      <c r="IC107" s="1675"/>
      <c r="ID107" s="1675"/>
      <c r="IE107" s="1675"/>
      <c r="IF107" s="1675"/>
      <c r="IG107" s="1675"/>
      <c r="IH107" s="1675"/>
      <c r="II107" s="1675"/>
      <c r="IJ107" s="1675"/>
      <c r="IK107" s="1675"/>
      <c r="IL107" s="1675"/>
      <c r="IM107" s="1675"/>
      <c r="IN107" s="1675"/>
      <c r="IO107" s="1675"/>
      <c r="IP107" s="1675"/>
      <c r="IQ107" s="1675"/>
      <c r="IR107" s="1675"/>
      <c r="IS107" s="1675"/>
      <c r="IT107" s="1675"/>
      <c r="IU107" s="1675"/>
      <c r="IV107" s="1675"/>
      <c r="IW107" s="1675"/>
      <c r="IX107" s="1675"/>
      <c r="IY107" s="1675"/>
      <c r="IZ107" s="1675"/>
      <c r="JA107" s="1675"/>
      <c r="JB107" s="1675"/>
      <c r="JC107" s="1675"/>
      <c r="JD107" s="1675"/>
      <c r="JE107" s="1675"/>
      <c r="JF107" s="1675"/>
      <c r="JG107" s="1675"/>
      <c r="JH107" s="1675"/>
      <c r="JI107" s="1675"/>
      <c r="JJ107" s="1675"/>
      <c r="JK107" s="1675"/>
      <c r="JL107" s="1675"/>
      <c r="JM107" s="1675"/>
      <c r="JN107" s="1675"/>
      <c r="JO107" s="1675"/>
      <c r="JP107" s="1675"/>
      <c r="JQ107" s="1675"/>
      <c r="JR107" s="1675"/>
      <c r="JS107" s="1675"/>
      <c r="JT107" s="1675"/>
      <c r="JU107" s="1675"/>
      <c r="JV107" s="1675"/>
      <c r="JW107" s="1675"/>
      <c r="JX107" s="1675"/>
      <c r="JY107" s="1675"/>
      <c r="JZ107" s="1675"/>
      <c r="KA107" s="1675"/>
      <c r="KB107" s="1675"/>
      <c r="KC107" s="1675"/>
      <c r="KD107" s="1675"/>
      <c r="KE107" s="1675"/>
      <c r="KF107" s="1675"/>
      <c r="KG107" s="1675"/>
      <c r="KH107" s="1675"/>
      <c r="KI107" s="1675"/>
      <c r="KJ107" s="1675"/>
      <c r="KK107" s="1675"/>
      <c r="KL107" s="1675"/>
      <c r="KM107" s="1675"/>
      <c r="KN107" s="1675"/>
      <c r="KO107" s="1675"/>
      <c r="KP107" s="1675"/>
      <c r="KQ107" s="1675"/>
      <c r="KR107" s="1675"/>
      <c r="KS107" s="1675"/>
      <c r="KT107" s="1675"/>
      <c r="KU107" s="1675"/>
      <c r="KV107" s="1675"/>
      <c r="KW107" s="1675"/>
      <c r="KX107" s="1675"/>
      <c r="KY107" s="1675"/>
      <c r="KZ107" s="1675"/>
      <c r="LA107" s="1675"/>
      <c r="LB107" s="1675"/>
      <c r="LC107" s="1675"/>
      <c r="LD107" s="1675"/>
      <c r="LE107" s="1675"/>
      <c r="LF107" s="1675"/>
      <c r="LG107" s="1675"/>
      <c r="LH107" s="1675"/>
      <c r="LI107" s="1675"/>
      <c r="LJ107" s="1675"/>
      <c r="LK107" s="1675"/>
      <c r="LL107" s="1675"/>
      <c r="LM107" s="1675"/>
      <c r="LN107" s="1675"/>
      <c r="LO107" s="1675"/>
      <c r="LP107" s="1675"/>
      <c r="LQ107" s="1675"/>
      <c r="LR107" s="1675"/>
      <c r="LS107" s="1675"/>
      <c r="LT107" s="1675"/>
      <c r="LU107" s="1675"/>
      <c r="LV107" s="1675"/>
      <c r="LW107" s="1675"/>
      <c r="LX107" s="1675"/>
      <c r="LY107" s="1675"/>
      <c r="LZ107" s="1675"/>
      <c r="MA107" s="1675"/>
      <c r="MB107" s="1675"/>
    </row>
    <row r="108" spans="1:340" ht="20.100000000000001" customHeight="1">
      <c r="A108" s="334"/>
      <c r="B108" s="335"/>
      <c r="C108" s="1126"/>
      <c r="D108" s="1145"/>
      <c r="E108" s="465"/>
      <c r="F108" s="435"/>
      <c r="G108" s="435"/>
      <c r="H108" s="391"/>
      <c r="I108" s="473"/>
      <c r="J108" s="1670" t="s">
        <v>2318</v>
      </c>
      <c r="K108" s="1671"/>
      <c r="L108" s="1671"/>
      <c r="M108" s="1671"/>
      <c r="N108" s="1672"/>
      <c r="O108" s="1671"/>
      <c r="P108" s="1671"/>
      <c r="Q108" s="1673"/>
      <c r="R108" s="1671"/>
      <c r="S108" s="1672">
        <v>1500000</v>
      </c>
      <c r="T108" s="1671" t="s">
        <v>1810</v>
      </c>
      <c r="U108" s="1671"/>
      <c r="V108" s="1671">
        <v>12</v>
      </c>
      <c r="W108" s="1671" t="s">
        <v>2053</v>
      </c>
      <c r="X108" s="397" t="s">
        <v>1812</v>
      </c>
      <c r="Y108" s="1674">
        <f t="shared" si="8"/>
        <v>18000</v>
      </c>
      <c r="Z108" s="1671">
        <f>+V108*S108</f>
        <v>18000000</v>
      </c>
      <c r="AA108" s="907">
        <f t="shared" si="6"/>
        <v>0</v>
      </c>
      <c r="AB108" s="505"/>
      <c r="AC108" s="347"/>
      <c r="AD108" s="1675"/>
      <c r="AE108" s="1675"/>
      <c r="AF108" s="1675"/>
      <c r="AG108" s="1675"/>
      <c r="AH108" s="1675"/>
      <c r="AI108" s="1675"/>
      <c r="AJ108" s="1675"/>
      <c r="AK108" s="1675"/>
      <c r="AL108" s="1675"/>
      <c r="AM108" s="1675"/>
      <c r="AN108" s="1675"/>
      <c r="AO108" s="1675"/>
      <c r="AP108" s="1675"/>
      <c r="AQ108" s="1675"/>
      <c r="AR108" s="1675"/>
      <c r="AS108" s="1675"/>
      <c r="AT108" s="1675"/>
      <c r="AU108" s="1675"/>
      <c r="AV108" s="1675"/>
      <c r="AW108" s="1675"/>
      <c r="AX108" s="1675"/>
      <c r="AY108" s="1675"/>
      <c r="AZ108" s="1675"/>
      <c r="BA108" s="1675"/>
      <c r="BB108" s="1675"/>
      <c r="BC108" s="1675"/>
      <c r="BD108" s="1675"/>
      <c r="BE108" s="1675"/>
      <c r="BF108" s="1675"/>
      <c r="BG108" s="1675"/>
      <c r="BH108" s="1675"/>
      <c r="BI108" s="1675"/>
      <c r="BJ108" s="1675"/>
      <c r="BK108" s="1675"/>
      <c r="BL108" s="1675"/>
      <c r="BM108" s="1675"/>
      <c r="BN108" s="1675"/>
      <c r="BO108" s="1675"/>
      <c r="BP108" s="1675"/>
      <c r="BQ108" s="1675"/>
      <c r="BR108" s="1675"/>
      <c r="BS108" s="1675"/>
      <c r="BT108" s="1675"/>
      <c r="BU108" s="1675"/>
      <c r="BV108" s="1675"/>
      <c r="BW108" s="1675"/>
      <c r="BX108" s="1675"/>
      <c r="BY108" s="1675"/>
      <c r="BZ108" s="1675"/>
      <c r="CA108" s="1675"/>
      <c r="CB108" s="1675"/>
      <c r="CC108" s="1675"/>
      <c r="CD108" s="1675"/>
      <c r="CE108" s="1675"/>
      <c r="CF108" s="1675"/>
      <c r="CG108" s="1675"/>
      <c r="CH108" s="1675"/>
      <c r="CI108" s="1675"/>
      <c r="CJ108" s="1675"/>
      <c r="CK108" s="1675"/>
      <c r="CL108" s="1675"/>
      <c r="CM108" s="1675"/>
      <c r="CN108" s="1675"/>
      <c r="CO108" s="1675"/>
      <c r="CP108" s="1675"/>
      <c r="CQ108" s="1675"/>
      <c r="CR108" s="1675"/>
      <c r="CS108" s="1675"/>
      <c r="CT108" s="1675"/>
      <c r="CU108" s="1675"/>
      <c r="CV108" s="1675"/>
      <c r="CW108" s="1675"/>
      <c r="CX108" s="1675"/>
      <c r="CY108" s="1675"/>
      <c r="CZ108" s="1675"/>
      <c r="DA108" s="1675"/>
      <c r="DB108" s="1675"/>
      <c r="DC108" s="1675"/>
      <c r="DD108" s="1675"/>
      <c r="DE108" s="1675"/>
      <c r="DF108" s="1675"/>
      <c r="DG108" s="1675"/>
      <c r="DH108" s="1675"/>
      <c r="DI108" s="1675"/>
      <c r="DJ108" s="1675"/>
      <c r="DK108" s="1675"/>
      <c r="DL108" s="1675"/>
      <c r="DM108" s="1675"/>
      <c r="DN108" s="1675"/>
      <c r="DO108" s="1675"/>
      <c r="DP108" s="1675"/>
      <c r="DQ108" s="1675"/>
      <c r="DR108" s="1675"/>
      <c r="DS108" s="1675"/>
      <c r="DT108" s="1675"/>
      <c r="DU108" s="1675"/>
      <c r="DV108" s="1675"/>
      <c r="DW108" s="1675"/>
      <c r="DX108" s="1675"/>
      <c r="DY108" s="1675"/>
      <c r="DZ108" s="1675"/>
      <c r="EA108" s="1675"/>
      <c r="EB108" s="1675"/>
      <c r="EC108" s="1675"/>
      <c r="ED108" s="1675"/>
      <c r="EE108" s="1675"/>
      <c r="EF108" s="1675"/>
      <c r="EG108" s="1675"/>
      <c r="EH108" s="1675"/>
      <c r="EI108" s="1675"/>
      <c r="EJ108" s="1675"/>
      <c r="EK108" s="1675"/>
      <c r="EL108" s="1675"/>
      <c r="EM108" s="1675"/>
      <c r="EN108" s="1675"/>
      <c r="EO108" s="1675"/>
      <c r="EP108" s="1675"/>
      <c r="EQ108" s="1675"/>
      <c r="ER108" s="1675"/>
      <c r="ES108" s="1675"/>
      <c r="ET108" s="1675"/>
      <c r="EU108" s="1675"/>
      <c r="EV108" s="1675"/>
      <c r="EW108" s="1675"/>
      <c r="EX108" s="1675"/>
      <c r="EY108" s="1675"/>
      <c r="EZ108" s="1675"/>
      <c r="FA108" s="1675"/>
      <c r="FB108" s="1675"/>
      <c r="FC108" s="1675"/>
      <c r="FD108" s="1675"/>
      <c r="FE108" s="1675"/>
      <c r="FF108" s="1675"/>
      <c r="FG108" s="1675"/>
      <c r="FH108" s="1675"/>
      <c r="FI108" s="1675"/>
      <c r="FJ108" s="1675"/>
      <c r="FK108" s="1675"/>
      <c r="FL108" s="1675"/>
      <c r="FM108" s="1675"/>
      <c r="FN108" s="1675"/>
      <c r="FO108" s="1675"/>
      <c r="FP108" s="1675"/>
      <c r="FQ108" s="1675"/>
      <c r="FR108" s="1675"/>
      <c r="FS108" s="1675"/>
      <c r="FT108" s="1675"/>
      <c r="FU108" s="1675"/>
      <c r="FV108" s="1675"/>
      <c r="FW108" s="1675"/>
      <c r="FX108" s="1675"/>
      <c r="FY108" s="1675"/>
      <c r="FZ108" s="1675"/>
      <c r="GA108" s="1675"/>
      <c r="GB108" s="1675"/>
      <c r="GC108" s="1675"/>
      <c r="GD108" s="1675"/>
      <c r="GE108" s="1675"/>
      <c r="GF108" s="1675"/>
      <c r="GG108" s="1675"/>
      <c r="GH108" s="1675"/>
      <c r="GI108" s="1675"/>
      <c r="GJ108" s="1675"/>
      <c r="GK108" s="1675"/>
      <c r="GL108" s="1675"/>
      <c r="GM108" s="1675"/>
      <c r="GN108" s="1675"/>
      <c r="GO108" s="1675"/>
      <c r="GP108" s="1675"/>
      <c r="GQ108" s="1675"/>
      <c r="GR108" s="1675"/>
      <c r="GS108" s="1675"/>
      <c r="GT108" s="1675"/>
      <c r="GU108" s="1675"/>
      <c r="GV108" s="1675"/>
      <c r="GW108" s="1675"/>
      <c r="GX108" s="1675"/>
      <c r="GY108" s="1675"/>
      <c r="GZ108" s="1675"/>
      <c r="HA108" s="1675"/>
      <c r="HB108" s="1675"/>
      <c r="HC108" s="1675"/>
      <c r="HD108" s="1675"/>
      <c r="HE108" s="1675"/>
      <c r="HF108" s="1675"/>
      <c r="HG108" s="1675"/>
      <c r="HH108" s="1675"/>
      <c r="HI108" s="1675"/>
      <c r="HJ108" s="1675"/>
      <c r="HK108" s="1675"/>
      <c r="HL108" s="1675"/>
      <c r="HM108" s="1675"/>
      <c r="HN108" s="1675"/>
      <c r="HO108" s="1675"/>
      <c r="HP108" s="1675"/>
      <c r="HQ108" s="1675"/>
      <c r="HR108" s="1675"/>
      <c r="HS108" s="1675"/>
      <c r="HT108" s="1675"/>
      <c r="HU108" s="1675"/>
      <c r="HV108" s="1675"/>
      <c r="HW108" s="1675"/>
      <c r="HX108" s="1675"/>
      <c r="HY108" s="1675"/>
      <c r="HZ108" s="1675"/>
      <c r="IA108" s="1675"/>
      <c r="IB108" s="1675"/>
      <c r="IC108" s="1675"/>
      <c r="ID108" s="1675"/>
      <c r="IE108" s="1675"/>
      <c r="IF108" s="1675"/>
      <c r="IG108" s="1675"/>
      <c r="IH108" s="1675"/>
      <c r="II108" s="1675"/>
      <c r="IJ108" s="1675"/>
      <c r="IK108" s="1675"/>
      <c r="IL108" s="1675"/>
      <c r="IM108" s="1675"/>
      <c r="IN108" s="1675"/>
      <c r="IO108" s="1675"/>
      <c r="IP108" s="1675"/>
      <c r="IQ108" s="1675"/>
      <c r="IR108" s="1675"/>
      <c r="IS108" s="1675"/>
      <c r="IT108" s="1675"/>
      <c r="IU108" s="1675"/>
      <c r="IV108" s="1675"/>
      <c r="IW108" s="1675"/>
      <c r="IX108" s="1675"/>
      <c r="IY108" s="1675"/>
      <c r="IZ108" s="1675"/>
      <c r="JA108" s="1675"/>
      <c r="JB108" s="1675"/>
      <c r="JC108" s="1675"/>
      <c r="JD108" s="1675"/>
      <c r="JE108" s="1675"/>
      <c r="JF108" s="1675"/>
      <c r="JG108" s="1675"/>
      <c r="JH108" s="1675"/>
      <c r="JI108" s="1675"/>
      <c r="JJ108" s="1675"/>
      <c r="JK108" s="1675"/>
      <c r="JL108" s="1675"/>
      <c r="JM108" s="1675"/>
      <c r="JN108" s="1675"/>
      <c r="JO108" s="1675"/>
      <c r="JP108" s="1675"/>
      <c r="JQ108" s="1675"/>
      <c r="JR108" s="1675"/>
      <c r="JS108" s="1675"/>
      <c r="JT108" s="1675"/>
      <c r="JU108" s="1675"/>
      <c r="JV108" s="1675"/>
      <c r="JW108" s="1675"/>
      <c r="JX108" s="1675"/>
      <c r="JY108" s="1675"/>
      <c r="JZ108" s="1675"/>
      <c r="KA108" s="1675"/>
      <c r="KB108" s="1675"/>
      <c r="KC108" s="1675"/>
      <c r="KD108" s="1675"/>
      <c r="KE108" s="1675"/>
      <c r="KF108" s="1675"/>
      <c r="KG108" s="1675"/>
      <c r="KH108" s="1675"/>
      <c r="KI108" s="1675"/>
      <c r="KJ108" s="1675"/>
      <c r="KK108" s="1675"/>
      <c r="KL108" s="1675"/>
      <c r="KM108" s="1675"/>
      <c r="KN108" s="1675"/>
      <c r="KO108" s="1675"/>
      <c r="KP108" s="1675"/>
      <c r="KQ108" s="1675"/>
      <c r="KR108" s="1675"/>
      <c r="KS108" s="1675"/>
      <c r="KT108" s="1675"/>
      <c r="KU108" s="1675"/>
      <c r="KV108" s="1675"/>
      <c r="KW108" s="1675"/>
      <c r="KX108" s="1675"/>
      <c r="KY108" s="1675"/>
      <c r="KZ108" s="1675"/>
      <c r="LA108" s="1675"/>
      <c r="LB108" s="1675"/>
      <c r="LC108" s="1675"/>
      <c r="LD108" s="1675"/>
      <c r="LE108" s="1675"/>
      <c r="LF108" s="1675"/>
      <c r="LG108" s="1675"/>
      <c r="LH108" s="1675"/>
      <c r="LI108" s="1675"/>
      <c r="LJ108" s="1675"/>
      <c r="LK108" s="1675"/>
      <c r="LL108" s="1675"/>
      <c r="LM108" s="1675"/>
      <c r="LN108" s="1675"/>
      <c r="LO108" s="1675"/>
      <c r="LP108" s="1675"/>
      <c r="LQ108" s="1675"/>
      <c r="LR108" s="1675"/>
      <c r="LS108" s="1675"/>
      <c r="LT108" s="1675"/>
      <c r="LU108" s="1675"/>
      <c r="LV108" s="1675"/>
      <c r="LW108" s="1675"/>
      <c r="LX108" s="1675"/>
      <c r="LY108" s="1675"/>
      <c r="LZ108" s="1675"/>
      <c r="MA108" s="1675"/>
      <c r="MB108" s="1675"/>
    </row>
    <row r="109" spans="1:340" ht="20.100000000000001" customHeight="1">
      <c r="A109" s="334"/>
      <c r="B109" s="2275"/>
      <c r="C109" s="1126"/>
      <c r="D109" s="1145"/>
      <c r="E109" s="819"/>
      <c r="F109" s="424"/>
      <c r="G109" s="424"/>
      <c r="H109" s="425"/>
      <c r="I109" s="473"/>
      <c r="J109" s="830" t="s">
        <v>2319</v>
      </c>
      <c r="K109" s="371"/>
      <c r="L109" s="371"/>
      <c r="M109" s="371"/>
      <c r="N109" s="458"/>
      <c r="O109" s="371"/>
      <c r="P109" s="371"/>
      <c r="Q109" s="368">
        <v>1</v>
      </c>
      <c r="R109" s="371" t="s">
        <v>2320</v>
      </c>
      <c r="S109" s="458">
        <v>50000</v>
      </c>
      <c r="T109" s="371" t="s">
        <v>1810</v>
      </c>
      <c r="U109" s="371"/>
      <c r="V109" s="371">
        <v>12</v>
      </c>
      <c r="W109" s="371" t="s">
        <v>2053</v>
      </c>
      <c r="X109" s="426" t="s">
        <v>1812</v>
      </c>
      <c r="Y109" s="345">
        <f t="shared" si="8"/>
        <v>600</v>
      </c>
      <c r="Z109" s="1671">
        <f>ROUNDUP(S109*Q109*V109,-3)</f>
        <v>600000</v>
      </c>
      <c r="AA109" s="907">
        <f t="shared" si="6"/>
        <v>0</v>
      </c>
      <c r="AB109" s="505"/>
      <c r="AC109" s="347"/>
      <c r="AD109" s="1675"/>
      <c r="AE109" s="1675"/>
      <c r="AF109" s="1675"/>
      <c r="AG109" s="1675"/>
      <c r="AH109" s="1675"/>
      <c r="AI109" s="1675"/>
      <c r="AJ109" s="1675"/>
      <c r="AK109" s="1675"/>
      <c r="AL109" s="1675"/>
      <c r="AM109" s="1675"/>
      <c r="AN109" s="1675"/>
      <c r="AO109" s="1675"/>
      <c r="AP109" s="1675"/>
      <c r="AQ109" s="1675"/>
      <c r="AR109" s="1675"/>
      <c r="AS109" s="1675"/>
      <c r="AT109" s="1675"/>
      <c r="AU109" s="1675"/>
      <c r="AV109" s="1675"/>
      <c r="AW109" s="1675"/>
      <c r="AX109" s="1675"/>
      <c r="AY109" s="1675"/>
      <c r="AZ109" s="1675"/>
      <c r="BA109" s="1675"/>
      <c r="BB109" s="1675"/>
      <c r="BC109" s="1675"/>
      <c r="BD109" s="1675"/>
      <c r="BE109" s="1675"/>
      <c r="BF109" s="1675"/>
      <c r="BG109" s="1675"/>
      <c r="BH109" s="1675"/>
      <c r="BI109" s="1675"/>
      <c r="BJ109" s="1675"/>
      <c r="BK109" s="1675"/>
      <c r="BL109" s="1675"/>
      <c r="BM109" s="1675"/>
      <c r="BN109" s="1675"/>
      <c r="BO109" s="1675"/>
      <c r="BP109" s="1675"/>
      <c r="BQ109" s="1675"/>
      <c r="BR109" s="1675"/>
      <c r="BS109" s="1675"/>
      <c r="BT109" s="1675"/>
      <c r="BU109" s="1675"/>
      <c r="BV109" s="1675"/>
      <c r="BW109" s="1675"/>
      <c r="BX109" s="1675"/>
      <c r="BY109" s="1675"/>
      <c r="BZ109" s="1675"/>
      <c r="CA109" s="1675"/>
      <c r="CB109" s="1675"/>
      <c r="CC109" s="1675"/>
      <c r="CD109" s="1675"/>
      <c r="CE109" s="1675"/>
      <c r="CF109" s="1675"/>
      <c r="CG109" s="1675"/>
      <c r="CH109" s="1675"/>
      <c r="CI109" s="1675"/>
      <c r="CJ109" s="1675"/>
      <c r="CK109" s="1675"/>
      <c r="CL109" s="1675"/>
      <c r="CM109" s="1675"/>
      <c r="CN109" s="1675"/>
      <c r="CO109" s="1675"/>
      <c r="CP109" s="1675"/>
      <c r="CQ109" s="1675"/>
      <c r="CR109" s="1675"/>
      <c r="CS109" s="1675"/>
      <c r="CT109" s="1675"/>
      <c r="CU109" s="1675"/>
      <c r="CV109" s="1675"/>
      <c r="CW109" s="1675"/>
      <c r="CX109" s="1675"/>
      <c r="CY109" s="1675"/>
      <c r="CZ109" s="1675"/>
      <c r="DA109" s="1675"/>
      <c r="DB109" s="1675"/>
      <c r="DC109" s="1675"/>
      <c r="DD109" s="1675"/>
      <c r="DE109" s="1675"/>
      <c r="DF109" s="1675"/>
      <c r="DG109" s="1675"/>
      <c r="DH109" s="1675"/>
      <c r="DI109" s="1675"/>
      <c r="DJ109" s="1675"/>
      <c r="DK109" s="1675"/>
      <c r="DL109" s="1675"/>
      <c r="DM109" s="1675"/>
      <c r="DN109" s="1675"/>
      <c r="DO109" s="1675"/>
      <c r="DP109" s="1675"/>
      <c r="DQ109" s="1675"/>
      <c r="DR109" s="1675"/>
      <c r="DS109" s="1675"/>
      <c r="DT109" s="1675"/>
      <c r="DU109" s="1675"/>
      <c r="DV109" s="1675"/>
      <c r="DW109" s="1675"/>
      <c r="DX109" s="1675"/>
      <c r="DY109" s="1675"/>
      <c r="DZ109" s="1675"/>
      <c r="EA109" s="1675"/>
      <c r="EB109" s="1675"/>
      <c r="EC109" s="1675"/>
      <c r="ED109" s="1675"/>
      <c r="EE109" s="1675"/>
      <c r="EF109" s="1675"/>
      <c r="EG109" s="1675"/>
      <c r="EH109" s="1675"/>
      <c r="EI109" s="1675"/>
      <c r="EJ109" s="1675"/>
      <c r="EK109" s="1675"/>
      <c r="EL109" s="1675"/>
      <c r="EM109" s="1675"/>
      <c r="EN109" s="1675"/>
      <c r="EO109" s="1675"/>
      <c r="EP109" s="1675"/>
      <c r="EQ109" s="1675"/>
      <c r="ER109" s="1675"/>
      <c r="ES109" s="1675"/>
      <c r="ET109" s="1675"/>
      <c r="EU109" s="1675"/>
      <c r="EV109" s="1675"/>
      <c r="EW109" s="1675"/>
      <c r="EX109" s="1675"/>
      <c r="EY109" s="1675"/>
      <c r="EZ109" s="1675"/>
      <c r="FA109" s="1675"/>
      <c r="FB109" s="1675"/>
      <c r="FC109" s="1675"/>
      <c r="FD109" s="1675"/>
      <c r="FE109" s="1675"/>
      <c r="FF109" s="1675"/>
      <c r="FG109" s="1675"/>
      <c r="FH109" s="1675"/>
      <c r="FI109" s="1675"/>
      <c r="FJ109" s="1675"/>
      <c r="FK109" s="1675"/>
      <c r="FL109" s="1675"/>
      <c r="FM109" s="1675"/>
      <c r="FN109" s="1675"/>
      <c r="FO109" s="1675"/>
      <c r="FP109" s="1675"/>
      <c r="FQ109" s="1675"/>
      <c r="FR109" s="1675"/>
      <c r="FS109" s="1675"/>
      <c r="FT109" s="1675"/>
      <c r="FU109" s="1675"/>
      <c r="FV109" s="1675"/>
      <c r="FW109" s="1675"/>
      <c r="FX109" s="1675"/>
      <c r="FY109" s="1675"/>
      <c r="FZ109" s="1675"/>
      <c r="GA109" s="1675"/>
      <c r="GB109" s="1675"/>
      <c r="GC109" s="1675"/>
      <c r="GD109" s="1675"/>
      <c r="GE109" s="1675"/>
      <c r="GF109" s="1675"/>
      <c r="GG109" s="1675"/>
      <c r="GH109" s="1675"/>
      <c r="GI109" s="1675"/>
      <c r="GJ109" s="1675"/>
      <c r="GK109" s="1675"/>
      <c r="GL109" s="1675"/>
      <c r="GM109" s="1675"/>
      <c r="GN109" s="1675"/>
      <c r="GO109" s="1675"/>
      <c r="GP109" s="1675"/>
      <c r="GQ109" s="1675"/>
      <c r="GR109" s="1675"/>
      <c r="GS109" s="1675"/>
      <c r="GT109" s="1675"/>
      <c r="GU109" s="1675"/>
      <c r="GV109" s="1675"/>
      <c r="GW109" s="1675"/>
      <c r="GX109" s="1675"/>
      <c r="GY109" s="1675"/>
      <c r="GZ109" s="1675"/>
      <c r="HA109" s="1675"/>
      <c r="HB109" s="1675"/>
      <c r="HC109" s="1675"/>
      <c r="HD109" s="1675"/>
      <c r="HE109" s="1675"/>
      <c r="HF109" s="1675"/>
      <c r="HG109" s="1675"/>
      <c r="HH109" s="1675"/>
      <c r="HI109" s="1675"/>
      <c r="HJ109" s="1675"/>
      <c r="HK109" s="1675"/>
      <c r="HL109" s="1675"/>
      <c r="HM109" s="1675"/>
      <c r="HN109" s="1675"/>
      <c r="HO109" s="1675"/>
      <c r="HP109" s="1675"/>
      <c r="HQ109" s="1675"/>
      <c r="HR109" s="1675"/>
      <c r="HS109" s="1675"/>
      <c r="HT109" s="1675"/>
      <c r="HU109" s="1675"/>
      <c r="HV109" s="1675"/>
      <c r="HW109" s="1675"/>
      <c r="HX109" s="1675"/>
      <c r="HY109" s="1675"/>
      <c r="HZ109" s="1675"/>
      <c r="IA109" s="1675"/>
      <c r="IB109" s="1675"/>
      <c r="IC109" s="1675"/>
      <c r="ID109" s="1675"/>
      <c r="IE109" s="1675"/>
      <c r="IF109" s="1675"/>
      <c r="IG109" s="1675"/>
      <c r="IH109" s="1675"/>
      <c r="II109" s="1675"/>
      <c r="IJ109" s="1675"/>
      <c r="IK109" s="1675"/>
      <c r="IL109" s="1675"/>
      <c r="IM109" s="1675"/>
      <c r="IN109" s="1675"/>
      <c r="IO109" s="1675"/>
      <c r="IP109" s="1675"/>
      <c r="IQ109" s="1675"/>
      <c r="IR109" s="1675"/>
      <c r="IS109" s="1675"/>
      <c r="IT109" s="1675"/>
      <c r="IU109" s="1675"/>
      <c r="IV109" s="1675"/>
      <c r="IW109" s="1675"/>
      <c r="IX109" s="1675"/>
      <c r="IY109" s="1675"/>
      <c r="IZ109" s="1675"/>
      <c r="JA109" s="1675"/>
      <c r="JB109" s="1675"/>
      <c r="JC109" s="1675"/>
      <c r="JD109" s="1675"/>
      <c r="JE109" s="1675"/>
      <c r="JF109" s="1675"/>
      <c r="JG109" s="1675"/>
      <c r="JH109" s="1675"/>
      <c r="JI109" s="1675"/>
      <c r="JJ109" s="1675"/>
      <c r="JK109" s="1675"/>
      <c r="JL109" s="1675"/>
      <c r="JM109" s="1675"/>
      <c r="JN109" s="1675"/>
      <c r="JO109" s="1675"/>
      <c r="JP109" s="1675"/>
      <c r="JQ109" s="1675"/>
      <c r="JR109" s="1675"/>
      <c r="JS109" s="1675"/>
      <c r="JT109" s="1675"/>
      <c r="JU109" s="1675"/>
      <c r="JV109" s="1675"/>
      <c r="JW109" s="1675"/>
      <c r="JX109" s="1675"/>
      <c r="JY109" s="1675"/>
      <c r="JZ109" s="1675"/>
      <c r="KA109" s="1675"/>
      <c r="KB109" s="1675"/>
      <c r="KC109" s="1675"/>
      <c r="KD109" s="1675"/>
      <c r="KE109" s="1675"/>
      <c r="KF109" s="1675"/>
      <c r="KG109" s="1675"/>
      <c r="KH109" s="1675"/>
      <c r="KI109" s="1675"/>
      <c r="KJ109" s="1675"/>
      <c r="KK109" s="1675"/>
      <c r="KL109" s="1675"/>
      <c r="KM109" s="1675"/>
      <c r="KN109" s="1675"/>
      <c r="KO109" s="1675"/>
      <c r="KP109" s="1675"/>
      <c r="KQ109" s="1675"/>
      <c r="KR109" s="1675"/>
      <c r="KS109" s="1675"/>
      <c r="KT109" s="1675"/>
      <c r="KU109" s="1675"/>
      <c r="KV109" s="1675"/>
      <c r="KW109" s="1675"/>
      <c r="KX109" s="1675"/>
      <c r="KY109" s="1675"/>
      <c r="KZ109" s="1675"/>
      <c r="LA109" s="1675"/>
      <c r="LB109" s="1675"/>
      <c r="LC109" s="1675"/>
      <c r="LD109" s="1675"/>
      <c r="LE109" s="1675"/>
      <c r="LF109" s="1675"/>
      <c r="LG109" s="1675"/>
      <c r="LH109" s="1675"/>
      <c r="LI109" s="1675"/>
      <c r="LJ109" s="1675"/>
      <c r="LK109" s="1675"/>
      <c r="LL109" s="1675"/>
      <c r="LM109" s="1675"/>
      <c r="LN109" s="1675"/>
      <c r="LO109" s="1675"/>
      <c r="LP109" s="1675"/>
      <c r="LQ109" s="1675"/>
      <c r="LR109" s="1675"/>
      <c r="LS109" s="1675"/>
      <c r="LT109" s="1675"/>
      <c r="LU109" s="1675"/>
      <c r="LV109" s="1675"/>
      <c r="LW109" s="1675"/>
      <c r="LX109" s="1675"/>
      <c r="LY109" s="1675"/>
      <c r="LZ109" s="1675"/>
      <c r="MA109" s="1675"/>
      <c r="MB109" s="1675"/>
    </row>
    <row r="110" spans="1:340" ht="20.100000000000001" customHeight="1">
      <c r="A110" s="334"/>
      <c r="B110" s="2275"/>
      <c r="C110" s="1126"/>
      <c r="D110" s="1145"/>
      <c r="E110" s="809" t="s">
        <v>2321</v>
      </c>
      <c r="F110" s="913">
        <f>+Y110</f>
        <v>2500</v>
      </c>
      <c r="G110" s="913">
        <v>2500</v>
      </c>
      <c r="H110" s="391"/>
      <c r="I110" s="473"/>
      <c r="J110" s="830" t="s">
        <v>2322</v>
      </c>
      <c r="K110" s="371"/>
      <c r="L110" s="371"/>
      <c r="M110" s="371"/>
      <c r="N110" s="458"/>
      <c r="O110" s="458"/>
      <c r="P110" s="371"/>
      <c r="Q110" s="368">
        <v>25</v>
      </c>
      <c r="R110" s="371" t="s">
        <v>2064</v>
      </c>
      <c r="S110" s="458">
        <v>10000</v>
      </c>
      <c r="T110" s="371" t="s">
        <v>1810</v>
      </c>
      <c r="U110" s="371"/>
      <c r="V110" s="371">
        <v>10</v>
      </c>
      <c r="W110" s="371" t="s">
        <v>2231</v>
      </c>
      <c r="X110" s="426" t="s">
        <v>1812</v>
      </c>
      <c r="Y110" s="345">
        <f>Z110/1000</f>
        <v>2500</v>
      </c>
      <c r="Z110" s="1671">
        <f>ROUNDUP(S110*Q110*V110,-3)</f>
        <v>2500000</v>
      </c>
      <c r="AA110" s="907">
        <f t="shared" si="6"/>
        <v>2500000000</v>
      </c>
      <c r="AB110" s="505"/>
      <c r="AC110" s="347"/>
      <c r="AD110" s="1675"/>
      <c r="AE110" s="1675"/>
      <c r="AF110" s="1675"/>
      <c r="AG110" s="1675"/>
      <c r="AH110" s="1675"/>
      <c r="AI110" s="1675"/>
      <c r="AJ110" s="1675"/>
      <c r="AK110" s="1675"/>
      <c r="AL110" s="1675"/>
      <c r="AM110" s="1675"/>
      <c r="AN110" s="1675"/>
      <c r="AO110" s="1675"/>
      <c r="AP110" s="1675"/>
      <c r="AQ110" s="1675"/>
      <c r="AR110" s="1675"/>
      <c r="AS110" s="1675"/>
      <c r="AT110" s="1675"/>
      <c r="AU110" s="1675"/>
      <c r="AV110" s="1675"/>
      <c r="AW110" s="1675"/>
      <c r="AX110" s="1675"/>
      <c r="AY110" s="1675"/>
      <c r="AZ110" s="1675"/>
      <c r="BA110" s="1675"/>
      <c r="BB110" s="1675"/>
      <c r="BC110" s="1675"/>
      <c r="BD110" s="1675"/>
      <c r="BE110" s="1675"/>
      <c r="BF110" s="1675"/>
      <c r="BG110" s="1675"/>
      <c r="BH110" s="1675"/>
      <c r="BI110" s="1675"/>
      <c r="BJ110" s="1675"/>
      <c r="BK110" s="1675"/>
      <c r="BL110" s="1675"/>
      <c r="BM110" s="1675"/>
      <c r="BN110" s="1675"/>
      <c r="BO110" s="1675"/>
      <c r="BP110" s="1675"/>
      <c r="BQ110" s="1675"/>
      <c r="BR110" s="1675"/>
      <c r="BS110" s="1675"/>
      <c r="BT110" s="1675"/>
      <c r="BU110" s="1675"/>
      <c r="BV110" s="1675"/>
      <c r="BW110" s="1675"/>
      <c r="BX110" s="1675"/>
      <c r="BY110" s="1675"/>
      <c r="BZ110" s="1675"/>
      <c r="CA110" s="1675"/>
      <c r="CB110" s="1675"/>
      <c r="CC110" s="1675"/>
      <c r="CD110" s="1675"/>
      <c r="CE110" s="1675"/>
      <c r="CF110" s="1675"/>
      <c r="CG110" s="1675"/>
      <c r="CH110" s="1675"/>
      <c r="CI110" s="1675"/>
      <c r="CJ110" s="1675"/>
      <c r="CK110" s="1675"/>
      <c r="CL110" s="1675"/>
      <c r="CM110" s="1675"/>
      <c r="CN110" s="1675"/>
      <c r="CO110" s="1675"/>
      <c r="CP110" s="1675"/>
      <c r="CQ110" s="1675"/>
      <c r="CR110" s="1675"/>
      <c r="CS110" s="1675"/>
      <c r="CT110" s="1675"/>
      <c r="CU110" s="1675"/>
      <c r="CV110" s="1675"/>
      <c r="CW110" s="1675"/>
      <c r="CX110" s="1675"/>
      <c r="CY110" s="1675"/>
      <c r="CZ110" s="1675"/>
      <c r="DA110" s="1675"/>
      <c r="DB110" s="1675"/>
      <c r="DC110" s="1675"/>
      <c r="DD110" s="1675"/>
      <c r="DE110" s="1675"/>
      <c r="DF110" s="1675"/>
      <c r="DG110" s="1675"/>
      <c r="DH110" s="1675"/>
      <c r="DI110" s="1675"/>
      <c r="DJ110" s="1675"/>
      <c r="DK110" s="1675"/>
      <c r="DL110" s="1675"/>
      <c r="DM110" s="1675"/>
      <c r="DN110" s="1675"/>
      <c r="DO110" s="1675"/>
      <c r="DP110" s="1675"/>
      <c r="DQ110" s="1675"/>
      <c r="DR110" s="1675"/>
      <c r="DS110" s="1675"/>
      <c r="DT110" s="1675"/>
      <c r="DU110" s="1675"/>
      <c r="DV110" s="1675"/>
      <c r="DW110" s="1675"/>
      <c r="DX110" s="1675"/>
      <c r="DY110" s="1675"/>
      <c r="DZ110" s="1675"/>
      <c r="EA110" s="1675"/>
      <c r="EB110" s="1675"/>
      <c r="EC110" s="1675"/>
      <c r="ED110" s="1675"/>
      <c r="EE110" s="1675"/>
      <c r="EF110" s="1675"/>
      <c r="EG110" s="1675"/>
      <c r="EH110" s="1675"/>
      <c r="EI110" s="1675"/>
      <c r="EJ110" s="1675"/>
      <c r="EK110" s="1675"/>
      <c r="EL110" s="1675"/>
      <c r="EM110" s="1675"/>
      <c r="EN110" s="1675"/>
      <c r="EO110" s="1675"/>
      <c r="EP110" s="1675"/>
      <c r="EQ110" s="1675"/>
      <c r="ER110" s="1675"/>
      <c r="ES110" s="1675"/>
      <c r="ET110" s="1675"/>
      <c r="EU110" s="1675"/>
      <c r="EV110" s="1675"/>
      <c r="EW110" s="1675"/>
      <c r="EX110" s="1675"/>
      <c r="EY110" s="1675"/>
      <c r="EZ110" s="1675"/>
      <c r="FA110" s="1675"/>
      <c r="FB110" s="1675"/>
      <c r="FC110" s="1675"/>
      <c r="FD110" s="1675"/>
      <c r="FE110" s="1675"/>
      <c r="FF110" s="1675"/>
      <c r="FG110" s="1675"/>
      <c r="FH110" s="1675"/>
      <c r="FI110" s="1675"/>
      <c r="FJ110" s="1675"/>
      <c r="FK110" s="1675"/>
      <c r="FL110" s="1675"/>
      <c r="FM110" s="1675"/>
      <c r="FN110" s="1675"/>
      <c r="FO110" s="1675"/>
      <c r="FP110" s="1675"/>
      <c r="FQ110" s="1675"/>
      <c r="FR110" s="1675"/>
      <c r="FS110" s="1675"/>
      <c r="FT110" s="1675"/>
      <c r="FU110" s="1675"/>
      <c r="FV110" s="1675"/>
      <c r="FW110" s="1675"/>
      <c r="FX110" s="1675"/>
      <c r="FY110" s="1675"/>
      <c r="FZ110" s="1675"/>
      <c r="GA110" s="1675"/>
      <c r="GB110" s="1675"/>
      <c r="GC110" s="1675"/>
      <c r="GD110" s="1675"/>
      <c r="GE110" s="1675"/>
      <c r="GF110" s="1675"/>
      <c r="GG110" s="1675"/>
      <c r="GH110" s="1675"/>
      <c r="GI110" s="1675"/>
      <c r="GJ110" s="1675"/>
      <c r="GK110" s="1675"/>
      <c r="GL110" s="1675"/>
      <c r="GM110" s="1675"/>
      <c r="GN110" s="1675"/>
      <c r="GO110" s="1675"/>
      <c r="GP110" s="1675"/>
      <c r="GQ110" s="1675"/>
      <c r="GR110" s="1675"/>
      <c r="GS110" s="1675"/>
      <c r="GT110" s="1675"/>
      <c r="GU110" s="1675"/>
      <c r="GV110" s="1675"/>
      <c r="GW110" s="1675"/>
      <c r="GX110" s="1675"/>
      <c r="GY110" s="1675"/>
      <c r="GZ110" s="1675"/>
      <c r="HA110" s="1675"/>
      <c r="HB110" s="1675"/>
      <c r="HC110" s="1675"/>
      <c r="HD110" s="1675"/>
      <c r="HE110" s="1675"/>
      <c r="HF110" s="1675"/>
      <c r="HG110" s="1675"/>
      <c r="HH110" s="1675"/>
      <c r="HI110" s="1675"/>
      <c r="HJ110" s="1675"/>
      <c r="HK110" s="1675"/>
      <c r="HL110" s="1675"/>
      <c r="HM110" s="1675"/>
      <c r="HN110" s="1675"/>
      <c r="HO110" s="1675"/>
      <c r="HP110" s="1675"/>
      <c r="HQ110" s="1675"/>
      <c r="HR110" s="1675"/>
      <c r="HS110" s="1675"/>
      <c r="HT110" s="1675"/>
      <c r="HU110" s="1675"/>
      <c r="HV110" s="1675"/>
      <c r="HW110" s="1675"/>
      <c r="HX110" s="1675"/>
      <c r="HY110" s="1675"/>
      <c r="HZ110" s="1675"/>
      <c r="IA110" s="1675"/>
      <c r="IB110" s="1675"/>
      <c r="IC110" s="1675"/>
      <c r="ID110" s="1675"/>
      <c r="IE110" s="1675"/>
      <c r="IF110" s="1675"/>
      <c r="IG110" s="1675"/>
      <c r="IH110" s="1675"/>
      <c r="II110" s="1675"/>
      <c r="IJ110" s="1675"/>
      <c r="IK110" s="1675"/>
      <c r="IL110" s="1675"/>
      <c r="IM110" s="1675"/>
      <c r="IN110" s="1675"/>
      <c r="IO110" s="1675"/>
      <c r="IP110" s="1675"/>
      <c r="IQ110" s="1675"/>
      <c r="IR110" s="1675"/>
      <c r="IS110" s="1675"/>
      <c r="IT110" s="1675"/>
      <c r="IU110" s="1675"/>
      <c r="IV110" s="1675"/>
      <c r="IW110" s="1675"/>
      <c r="IX110" s="1675"/>
      <c r="IY110" s="1675"/>
      <c r="IZ110" s="1675"/>
      <c r="JA110" s="1675"/>
      <c r="JB110" s="1675"/>
      <c r="JC110" s="1675"/>
      <c r="JD110" s="1675"/>
      <c r="JE110" s="1675"/>
      <c r="JF110" s="1675"/>
      <c r="JG110" s="1675"/>
      <c r="JH110" s="1675"/>
      <c r="JI110" s="1675"/>
      <c r="JJ110" s="1675"/>
      <c r="JK110" s="1675"/>
      <c r="JL110" s="1675"/>
      <c r="JM110" s="1675"/>
      <c r="JN110" s="1675"/>
      <c r="JO110" s="1675"/>
      <c r="JP110" s="1675"/>
      <c r="JQ110" s="1675"/>
      <c r="JR110" s="1675"/>
      <c r="JS110" s="1675"/>
      <c r="JT110" s="1675"/>
      <c r="JU110" s="1675"/>
      <c r="JV110" s="1675"/>
      <c r="JW110" s="1675"/>
      <c r="JX110" s="1675"/>
      <c r="JY110" s="1675"/>
      <c r="JZ110" s="1675"/>
      <c r="KA110" s="1675"/>
      <c r="KB110" s="1675"/>
      <c r="KC110" s="1675"/>
      <c r="KD110" s="1675"/>
      <c r="KE110" s="1675"/>
      <c r="KF110" s="1675"/>
      <c r="KG110" s="1675"/>
      <c r="KH110" s="1675"/>
      <c r="KI110" s="1675"/>
      <c r="KJ110" s="1675"/>
      <c r="KK110" s="1675"/>
      <c r="KL110" s="1675"/>
      <c r="KM110" s="1675"/>
      <c r="KN110" s="1675"/>
      <c r="KO110" s="1675"/>
      <c r="KP110" s="1675"/>
      <c r="KQ110" s="1675"/>
      <c r="KR110" s="1675"/>
      <c r="KS110" s="1675"/>
      <c r="KT110" s="1675"/>
      <c r="KU110" s="1675"/>
      <c r="KV110" s="1675"/>
      <c r="KW110" s="1675"/>
      <c r="KX110" s="1675"/>
      <c r="KY110" s="1675"/>
      <c r="KZ110" s="1675"/>
      <c r="LA110" s="1675"/>
      <c r="LB110" s="1675"/>
      <c r="LC110" s="1675"/>
      <c r="LD110" s="1675"/>
      <c r="LE110" s="1675"/>
      <c r="LF110" s="1675"/>
      <c r="LG110" s="1675"/>
      <c r="LH110" s="1675"/>
      <c r="LI110" s="1675"/>
      <c r="LJ110" s="1675"/>
      <c r="LK110" s="1675"/>
      <c r="LL110" s="1675"/>
      <c r="LM110" s="1675"/>
      <c r="LN110" s="1675"/>
      <c r="LO110" s="1675"/>
      <c r="LP110" s="1675"/>
      <c r="LQ110" s="1675"/>
      <c r="LR110" s="1675"/>
      <c r="LS110" s="1675"/>
      <c r="LT110" s="1675"/>
      <c r="LU110" s="1675"/>
      <c r="LV110" s="1675"/>
      <c r="LW110" s="1675"/>
      <c r="LX110" s="1675"/>
      <c r="LY110" s="1675"/>
      <c r="LZ110" s="1675"/>
      <c r="MA110" s="1675"/>
      <c r="MB110" s="1675"/>
    </row>
    <row r="111" spans="1:340" ht="20.100000000000001" customHeight="1">
      <c r="A111" s="334"/>
      <c r="B111" s="2275"/>
      <c r="C111" s="1126"/>
      <c r="D111" s="3284" t="s">
        <v>2323</v>
      </c>
      <c r="E111" s="3285"/>
      <c r="F111" s="429">
        <f>SUM(F112)</f>
        <v>26500</v>
      </c>
      <c r="G111" s="429">
        <f>SUM(G112)</f>
        <v>26500</v>
      </c>
      <c r="H111" s="386">
        <f>F111-G111</f>
        <v>0</v>
      </c>
      <c r="I111" s="473"/>
      <c r="J111" s="374"/>
      <c r="K111" s="375"/>
      <c r="L111" s="375"/>
      <c r="M111" s="375"/>
      <c r="N111" s="375"/>
      <c r="O111" s="375"/>
      <c r="P111" s="376"/>
      <c r="Q111" s="375"/>
      <c r="R111" s="376"/>
      <c r="S111" s="375"/>
      <c r="T111" s="376"/>
      <c r="U111" s="375"/>
      <c r="V111" s="376"/>
      <c r="W111" s="375"/>
      <c r="X111" s="375"/>
      <c r="Y111" s="503"/>
      <c r="Z111" s="1128"/>
      <c r="AA111" s="907">
        <f t="shared" si="6"/>
        <v>26500000000</v>
      </c>
      <c r="AB111" s="505"/>
      <c r="AC111" s="347"/>
      <c r="AD111" s="1675"/>
      <c r="AE111" s="1675"/>
      <c r="AF111" s="1675"/>
      <c r="AG111" s="1675"/>
      <c r="AH111" s="1675"/>
      <c r="AI111" s="1675"/>
      <c r="AJ111" s="1675"/>
      <c r="AK111" s="1675"/>
      <c r="AL111" s="1675"/>
      <c r="AM111" s="1675"/>
      <c r="AN111" s="1675"/>
      <c r="AO111" s="1675"/>
      <c r="AP111" s="1675"/>
      <c r="AQ111" s="1675"/>
      <c r="AR111" s="1675"/>
      <c r="AS111" s="1675"/>
      <c r="AT111" s="1675"/>
      <c r="AU111" s="1675"/>
      <c r="AV111" s="1675"/>
      <c r="AW111" s="1675"/>
      <c r="AX111" s="1675"/>
      <c r="AY111" s="1675"/>
      <c r="AZ111" s="1675"/>
      <c r="BA111" s="1675"/>
      <c r="BB111" s="1675"/>
      <c r="BC111" s="1675"/>
      <c r="BD111" s="1675"/>
      <c r="BE111" s="1675"/>
      <c r="BF111" s="1675"/>
      <c r="BG111" s="1675"/>
      <c r="BH111" s="1675"/>
      <c r="BI111" s="1675"/>
      <c r="BJ111" s="1675"/>
      <c r="BK111" s="1675"/>
      <c r="BL111" s="1675"/>
      <c r="BM111" s="1675"/>
      <c r="BN111" s="1675"/>
      <c r="BO111" s="1675"/>
      <c r="BP111" s="1675"/>
      <c r="BQ111" s="1675"/>
      <c r="BR111" s="1675"/>
      <c r="BS111" s="1675"/>
      <c r="BT111" s="1675"/>
      <c r="BU111" s="1675"/>
      <c r="BV111" s="1675"/>
      <c r="BW111" s="1675"/>
      <c r="BX111" s="1675"/>
      <c r="BY111" s="1675"/>
      <c r="BZ111" s="1675"/>
      <c r="CA111" s="1675"/>
      <c r="CB111" s="1675"/>
      <c r="CC111" s="1675"/>
      <c r="CD111" s="1675"/>
      <c r="CE111" s="1675"/>
      <c r="CF111" s="1675"/>
      <c r="CG111" s="1675"/>
      <c r="CH111" s="1675"/>
      <c r="CI111" s="1675"/>
      <c r="CJ111" s="1675"/>
      <c r="CK111" s="1675"/>
      <c r="CL111" s="1675"/>
      <c r="CM111" s="1675"/>
      <c r="CN111" s="1675"/>
      <c r="CO111" s="1675"/>
      <c r="CP111" s="1675"/>
      <c r="CQ111" s="1675"/>
      <c r="CR111" s="1675"/>
      <c r="CS111" s="1675"/>
      <c r="CT111" s="1675"/>
      <c r="CU111" s="1675"/>
      <c r="CV111" s="1675"/>
      <c r="CW111" s="1675"/>
      <c r="CX111" s="1675"/>
      <c r="CY111" s="1675"/>
      <c r="CZ111" s="1675"/>
      <c r="DA111" s="1675"/>
      <c r="DB111" s="1675"/>
      <c r="DC111" s="1675"/>
      <c r="DD111" s="1675"/>
      <c r="DE111" s="1675"/>
      <c r="DF111" s="1675"/>
      <c r="DG111" s="1675"/>
      <c r="DH111" s="1675"/>
      <c r="DI111" s="1675"/>
      <c r="DJ111" s="1675"/>
      <c r="DK111" s="1675"/>
      <c r="DL111" s="1675"/>
      <c r="DM111" s="1675"/>
      <c r="DN111" s="1675"/>
      <c r="DO111" s="1675"/>
      <c r="DP111" s="1675"/>
      <c r="DQ111" s="1675"/>
      <c r="DR111" s="1675"/>
      <c r="DS111" s="1675"/>
      <c r="DT111" s="1675"/>
      <c r="DU111" s="1675"/>
      <c r="DV111" s="1675"/>
      <c r="DW111" s="1675"/>
      <c r="DX111" s="1675"/>
      <c r="DY111" s="1675"/>
      <c r="DZ111" s="1675"/>
      <c r="EA111" s="1675"/>
      <c r="EB111" s="1675"/>
      <c r="EC111" s="1675"/>
      <c r="ED111" s="1675"/>
      <c r="EE111" s="1675"/>
      <c r="EF111" s="1675"/>
      <c r="EG111" s="1675"/>
      <c r="EH111" s="1675"/>
      <c r="EI111" s="1675"/>
      <c r="EJ111" s="1675"/>
      <c r="EK111" s="1675"/>
      <c r="EL111" s="1675"/>
      <c r="EM111" s="1675"/>
      <c r="EN111" s="1675"/>
      <c r="EO111" s="1675"/>
      <c r="EP111" s="1675"/>
      <c r="EQ111" s="1675"/>
      <c r="ER111" s="1675"/>
      <c r="ES111" s="1675"/>
      <c r="ET111" s="1675"/>
      <c r="EU111" s="1675"/>
      <c r="EV111" s="1675"/>
      <c r="EW111" s="1675"/>
      <c r="EX111" s="1675"/>
      <c r="EY111" s="1675"/>
      <c r="EZ111" s="1675"/>
      <c r="FA111" s="1675"/>
      <c r="FB111" s="1675"/>
      <c r="FC111" s="1675"/>
      <c r="FD111" s="1675"/>
      <c r="FE111" s="1675"/>
      <c r="FF111" s="1675"/>
      <c r="FG111" s="1675"/>
      <c r="FH111" s="1675"/>
      <c r="FI111" s="1675"/>
      <c r="FJ111" s="1675"/>
      <c r="FK111" s="1675"/>
      <c r="FL111" s="1675"/>
      <c r="FM111" s="1675"/>
      <c r="FN111" s="1675"/>
      <c r="FO111" s="1675"/>
      <c r="FP111" s="1675"/>
      <c r="FQ111" s="1675"/>
      <c r="FR111" s="1675"/>
      <c r="FS111" s="1675"/>
      <c r="FT111" s="1675"/>
      <c r="FU111" s="1675"/>
      <c r="FV111" s="1675"/>
      <c r="FW111" s="1675"/>
      <c r="FX111" s="1675"/>
      <c r="FY111" s="1675"/>
      <c r="FZ111" s="1675"/>
      <c r="GA111" s="1675"/>
      <c r="GB111" s="1675"/>
      <c r="GC111" s="1675"/>
      <c r="GD111" s="1675"/>
      <c r="GE111" s="1675"/>
      <c r="GF111" s="1675"/>
      <c r="GG111" s="1675"/>
      <c r="GH111" s="1675"/>
      <c r="GI111" s="1675"/>
      <c r="GJ111" s="1675"/>
      <c r="GK111" s="1675"/>
      <c r="GL111" s="1675"/>
      <c r="GM111" s="1675"/>
      <c r="GN111" s="1675"/>
      <c r="GO111" s="1675"/>
      <c r="GP111" s="1675"/>
      <c r="GQ111" s="1675"/>
      <c r="GR111" s="1675"/>
      <c r="GS111" s="1675"/>
      <c r="GT111" s="1675"/>
      <c r="GU111" s="1675"/>
      <c r="GV111" s="1675"/>
      <c r="GW111" s="1675"/>
      <c r="GX111" s="1675"/>
      <c r="GY111" s="1675"/>
      <c r="GZ111" s="1675"/>
      <c r="HA111" s="1675"/>
      <c r="HB111" s="1675"/>
      <c r="HC111" s="1675"/>
      <c r="HD111" s="1675"/>
      <c r="HE111" s="1675"/>
      <c r="HF111" s="1675"/>
      <c r="HG111" s="1675"/>
      <c r="HH111" s="1675"/>
      <c r="HI111" s="1675"/>
      <c r="HJ111" s="1675"/>
      <c r="HK111" s="1675"/>
      <c r="HL111" s="1675"/>
      <c r="HM111" s="1675"/>
      <c r="HN111" s="1675"/>
      <c r="HO111" s="1675"/>
      <c r="HP111" s="1675"/>
      <c r="HQ111" s="1675"/>
      <c r="HR111" s="1675"/>
      <c r="HS111" s="1675"/>
      <c r="HT111" s="1675"/>
      <c r="HU111" s="1675"/>
      <c r="HV111" s="1675"/>
      <c r="HW111" s="1675"/>
      <c r="HX111" s="1675"/>
      <c r="HY111" s="1675"/>
      <c r="HZ111" s="1675"/>
      <c r="IA111" s="1675"/>
      <c r="IB111" s="1675"/>
      <c r="IC111" s="1675"/>
      <c r="ID111" s="1675"/>
      <c r="IE111" s="1675"/>
      <c r="IF111" s="1675"/>
      <c r="IG111" s="1675"/>
      <c r="IH111" s="1675"/>
      <c r="II111" s="1675"/>
      <c r="IJ111" s="1675"/>
      <c r="IK111" s="1675"/>
      <c r="IL111" s="1675"/>
      <c r="IM111" s="1675"/>
      <c r="IN111" s="1675"/>
      <c r="IO111" s="1675"/>
      <c r="IP111" s="1675"/>
      <c r="IQ111" s="1675"/>
      <c r="IR111" s="1675"/>
      <c r="IS111" s="1675"/>
      <c r="IT111" s="1675"/>
      <c r="IU111" s="1675"/>
      <c r="IV111" s="1675"/>
      <c r="IW111" s="1675"/>
      <c r="IX111" s="1675"/>
      <c r="IY111" s="1675"/>
      <c r="IZ111" s="1675"/>
      <c r="JA111" s="1675"/>
      <c r="JB111" s="1675"/>
      <c r="JC111" s="1675"/>
      <c r="JD111" s="1675"/>
      <c r="JE111" s="1675"/>
      <c r="JF111" s="1675"/>
      <c r="JG111" s="1675"/>
      <c r="JH111" s="1675"/>
      <c r="JI111" s="1675"/>
      <c r="JJ111" s="1675"/>
      <c r="JK111" s="1675"/>
      <c r="JL111" s="1675"/>
      <c r="JM111" s="1675"/>
      <c r="JN111" s="1675"/>
      <c r="JO111" s="1675"/>
      <c r="JP111" s="1675"/>
      <c r="JQ111" s="1675"/>
      <c r="JR111" s="1675"/>
      <c r="JS111" s="1675"/>
      <c r="JT111" s="1675"/>
      <c r="JU111" s="1675"/>
      <c r="JV111" s="1675"/>
      <c r="JW111" s="1675"/>
      <c r="JX111" s="1675"/>
      <c r="JY111" s="1675"/>
      <c r="JZ111" s="1675"/>
      <c r="KA111" s="1675"/>
      <c r="KB111" s="1675"/>
      <c r="KC111" s="1675"/>
      <c r="KD111" s="1675"/>
      <c r="KE111" s="1675"/>
      <c r="KF111" s="1675"/>
      <c r="KG111" s="1675"/>
      <c r="KH111" s="1675"/>
      <c r="KI111" s="1675"/>
      <c r="KJ111" s="1675"/>
      <c r="KK111" s="1675"/>
      <c r="KL111" s="1675"/>
      <c r="KM111" s="1675"/>
      <c r="KN111" s="1675"/>
      <c r="KO111" s="1675"/>
      <c r="KP111" s="1675"/>
      <c r="KQ111" s="1675"/>
      <c r="KR111" s="1675"/>
      <c r="KS111" s="1675"/>
      <c r="KT111" s="1675"/>
      <c r="KU111" s="1675"/>
      <c r="KV111" s="1675"/>
      <c r="KW111" s="1675"/>
      <c r="KX111" s="1675"/>
      <c r="KY111" s="1675"/>
      <c r="KZ111" s="1675"/>
      <c r="LA111" s="1675"/>
      <c r="LB111" s="1675"/>
      <c r="LC111" s="1675"/>
      <c r="LD111" s="1675"/>
      <c r="LE111" s="1675"/>
      <c r="LF111" s="1675"/>
      <c r="LG111" s="1675"/>
      <c r="LH111" s="1675"/>
      <c r="LI111" s="1675"/>
      <c r="LJ111" s="1675"/>
      <c r="LK111" s="1675"/>
      <c r="LL111" s="1675"/>
      <c r="LM111" s="1675"/>
      <c r="LN111" s="1675"/>
      <c r="LO111" s="1675"/>
      <c r="LP111" s="1675"/>
      <c r="LQ111" s="1675"/>
      <c r="LR111" s="1675"/>
      <c r="LS111" s="1675"/>
      <c r="LT111" s="1675"/>
      <c r="LU111" s="1675"/>
      <c r="LV111" s="1675"/>
      <c r="LW111" s="1675"/>
      <c r="LX111" s="1675"/>
      <c r="LY111" s="1675"/>
      <c r="LZ111" s="1675"/>
      <c r="MA111" s="1675"/>
      <c r="MB111" s="1675"/>
    </row>
    <row r="112" spans="1:340" ht="20.100000000000001" customHeight="1">
      <c r="A112" s="334"/>
      <c r="B112" s="2275"/>
      <c r="C112" s="1154"/>
      <c r="D112" s="879"/>
      <c r="E112" s="918" t="s">
        <v>1816</v>
      </c>
      <c r="F112" s="913">
        <f>Y112</f>
        <v>26500</v>
      </c>
      <c r="G112" s="913">
        <v>26500</v>
      </c>
      <c r="H112" s="908"/>
      <c r="I112" s="473"/>
      <c r="J112" s="911" t="s">
        <v>1814</v>
      </c>
      <c r="K112" s="815"/>
      <c r="L112" s="815"/>
      <c r="M112" s="815"/>
      <c r="N112" s="450"/>
      <c r="O112" s="815"/>
      <c r="P112" s="815"/>
      <c r="Q112" s="831"/>
      <c r="R112" s="815"/>
      <c r="S112" s="450"/>
      <c r="T112" s="815"/>
      <c r="U112" s="815"/>
      <c r="V112" s="815"/>
      <c r="W112" s="815"/>
      <c r="X112" s="906"/>
      <c r="Y112" s="356">
        <f>Z112/1000</f>
        <v>26500</v>
      </c>
      <c r="Z112" s="1671">
        <f>SUM(Z113:Z115)</f>
        <v>26500000</v>
      </c>
      <c r="AA112" s="907">
        <f t="shared" si="6"/>
        <v>26500000000</v>
      </c>
      <c r="AB112" s="505"/>
    </row>
    <row r="113" spans="1:28" ht="20.100000000000001" customHeight="1">
      <c r="A113" s="334"/>
      <c r="B113" s="2275"/>
      <c r="C113" s="1154"/>
      <c r="D113" s="1145"/>
      <c r="E113" s="413"/>
      <c r="F113" s="435"/>
      <c r="G113" s="435"/>
      <c r="H113" s="391"/>
      <c r="I113" s="473"/>
      <c r="J113" s="1670" t="s">
        <v>2324</v>
      </c>
      <c r="K113" s="1671"/>
      <c r="L113" s="1671"/>
      <c r="M113" s="1671"/>
      <c r="N113" s="1672"/>
      <c r="O113" s="1671"/>
      <c r="P113" s="1671"/>
      <c r="Q113" s="1673"/>
      <c r="R113" s="1671"/>
      <c r="S113" s="1672">
        <v>12000000</v>
      </c>
      <c r="T113" s="1671" t="s">
        <v>0</v>
      </c>
      <c r="U113" s="1671"/>
      <c r="V113" s="1671">
        <v>1</v>
      </c>
      <c r="W113" s="1671" t="s">
        <v>2325</v>
      </c>
      <c r="X113" s="397" t="s">
        <v>1</v>
      </c>
      <c r="Y113" s="1674">
        <f>+Z113/1000</f>
        <v>12000</v>
      </c>
      <c r="Z113" s="1671">
        <f>S113*V113</f>
        <v>12000000</v>
      </c>
      <c r="AA113" s="907">
        <f t="shared" si="6"/>
        <v>0</v>
      </c>
      <c r="AB113" s="505"/>
    </row>
    <row r="114" spans="1:28" ht="20.100000000000001" customHeight="1">
      <c r="A114" s="334"/>
      <c r="B114" s="2275"/>
      <c r="C114" s="1154"/>
      <c r="D114" s="1145"/>
      <c r="E114" s="413"/>
      <c r="F114" s="435"/>
      <c r="G114" s="435"/>
      <c r="H114" s="391"/>
      <c r="I114" s="473"/>
      <c r="J114" s="1670" t="s">
        <v>2326</v>
      </c>
      <c r="K114" s="1671"/>
      <c r="L114" s="1671"/>
      <c r="M114" s="1671"/>
      <c r="N114" s="1671"/>
      <c r="O114" s="1671"/>
      <c r="P114" s="1671"/>
      <c r="Q114" s="1673"/>
      <c r="R114" s="1671"/>
      <c r="S114" s="1672">
        <v>750000</v>
      </c>
      <c r="T114" s="1671" t="s">
        <v>0</v>
      </c>
      <c r="U114" s="1671"/>
      <c r="V114" s="1671">
        <v>10</v>
      </c>
      <c r="W114" s="1671" t="s">
        <v>2327</v>
      </c>
      <c r="X114" s="397" t="s">
        <v>1812</v>
      </c>
      <c r="Y114" s="1674">
        <f>+Z114/1000</f>
        <v>7500</v>
      </c>
      <c r="Z114" s="1671">
        <f>S114*V114</f>
        <v>7500000</v>
      </c>
      <c r="AA114" s="907">
        <f t="shared" si="6"/>
        <v>0</v>
      </c>
      <c r="AB114" s="505"/>
    </row>
    <row r="115" spans="1:28" ht="20.100000000000001" customHeight="1" thickBot="1">
      <c r="A115" s="334"/>
      <c r="B115" s="2275"/>
      <c r="C115" s="561"/>
      <c r="D115" s="476"/>
      <c r="E115" s="919"/>
      <c r="F115" s="920"/>
      <c r="G115" s="920"/>
      <c r="H115" s="921"/>
      <c r="I115" s="473"/>
      <c r="J115" s="478" t="s">
        <v>2328</v>
      </c>
      <c r="K115" s="479"/>
      <c r="L115" s="479"/>
      <c r="M115" s="479"/>
      <c r="N115" s="480"/>
      <c r="O115" s="479"/>
      <c r="P115" s="479"/>
      <c r="Q115" s="481"/>
      <c r="R115" s="479"/>
      <c r="S115" s="480">
        <v>700000</v>
      </c>
      <c r="T115" s="479" t="s">
        <v>1810</v>
      </c>
      <c r="U115" s="479"/>
      <c r="V115" s="479">
        <v>10</v>
      </c>
      <c r="W115" s="479" t="s">
        <v>2327</v>
      </c>
      <c r="X115" s="922" t="s">
        <v>1812</v>
      </c>
      <c r="Y115" s="381">
        <f>+Z115/1000</f>
        <v>7000</v>
      </c>
      <c r="Z115" s="1671">
        <f>S115*V115</f>
        <v>7000000</v>
      </c>
      <c r="AA115" s="907">
        <f t="shared" si="6"/>
        <v>0</v>
      </c>
      <c r="AB115" s="505"/>
    </row>
    <row r="116" spans="1:28" ht="20.100000000000001" customHeight="1" thickBot="1">
      <c r="A116" s="923"/>
      <c r="B116" s="924"/>
      <c r="C116" s="3355" t="s">
        <v>71</v>
      </c>
      <c r="D116" s="3310"/>
      <c r="E116" s="3311"/>
      <c r="F116" s="925">
        <f>F117+F159+F232+F265+F298+F330</f>
        <v>1333000</v>
      </c>
      <c r="G116" s="925">
        <f>G117+G159+G232+G265+G298+G330</f>
        <v>1333000</v>
      </c>
      <c r="H116" s="926">
        <f>F116-G116</f>
        <v>0</v>
      </c>
      <c r="I116" s="1127"/>
      <c r="J116" s="750"/>
      <c r="K116" s="927"/>
      <c r="L116" s="927"/>
      <c r="M116" s="927"/>
      <c r="N116" s="927"/>
      <c r="O116" s="927"/>
      <c r="P116" s="927"/>
      <c r="Q116" s="928"/>
      <c r="R116" s="927"/>
      <c r="S116" s="927"/>
      <c r="T116" s="927"/>
      <c r="U116" s="927"/>
      <c r="V116" s="927"/>
      <c r="W116" s="927"/>
      <c r="X116" s="2259"/>
      <c r="Y116" s="929"/>
      <c r="Z116" s="983">
        <f>F116*1000</f>
        <v>1333000000</v>
      </c>
      <c r="AA116" s="907">
        <f t="shared" si="6"/>
        <v>1333000000000</v>
      </c>
      <c r="AB116" s="505"/>
    </row>
    <row r="117" spans="1:28" ht="20.100000000000001" customHeight="1">
      <c r="A117" s="475"/>
      <c r="B117" s="1145"/>
      <c r="C117" s="930" t="s">
        <v>2972</v>
      </c>
      <c r="D117" s="2255"/>
      <c r="E117" s="2256"/>
      <c r="F117" s="931">
        <f>SUM(F118,F139)</f>
        <v>502000</v>
      </c>
      <c r="G117" s="931">
        <f>SUM(G118,G139)</f>
        <v>502000</v>
      </c>
      <c r="H117" s="1132">
        <f>F117-G117</f>
        <v>0</v>
      </c>
      <c r="I117" s="1127"/>
      <c r="J117" s="1129"/>
      <c r="K117" s="2285"/>
      <c r="L117" s="2285"/>
      <c r="M117" s="2285"/>
      <c r="N117" s="2285"/>
      <c r="O117" s="2285"/>
      <c r="P117" s="1130"/>
      <c r="Q117" s="2285"/>
      <c r="R117" s="2285"/>
      <c r="S117" s="1130"/>
      <c r="T117" s="2285"/>
      <c r="U117" s="2285"/>
      <c r="V117" s="1130"/>
      <c r="W117" s="2285"/>
      <c r="X117" s="1157"/>
      <c r="Y117" s="1158"/>
      <c r="Z117" s="1128">
        <f>F117*1000</f>
        <v>502000000</v>
      </c>
      <c r="AA117" s="907">
        <f t="shared" si="6"/>
        <v>502000000000</v>
      </c>
      <c r="AB117" s="505"/>
    </row>
    <row r="118" spans="1:28" ht="20.100000000000001" customHeight="1">
      <c r="A118" s="475"/>
      <c r="B118" s="1145"/>
      <c r="C118" s="809"/>
      <c r="D118" s="3423" t="s">
        <v>72</v>
      </c>
      <c r="E118" s="3372"/>
      <c r="F118" s="2368">
        <f>SUM(F119:F138)</f>
        <v>182000</v>
      </c>
      <c r="G118" s="2368">
        <f>SUM(G119:G138)</f>
        <v>182000</v>
      </c>
      <c r="H118" s="689">
        <f>F118-G118</f>
        <v>0</v>
      </c>
      <c r="I118" s="1164"/>
      <c r="J118" s="2369"/>
      <c r="K118" s="1174"/>
      <c r="L118" s="1174"/>
      <c r="M118" s="1174"/>
      <c r="N118" s="1174"/>
      <c r="O118" s="1174"/>
      <c r="P118" s="731"/>
      <c r="Q118" s="1174"/>
      <c r="R118" s="1174"/>
      <c r="S118" s="731"/>
      <c r="T118" s="1174"/>
      <c r="U118" s="1174"/>
      <c r="V118" s="731"/>
      <c r="W118" s="1174"/>
      <c r="X118" s="2370"/>
      <c r="Y118" s="696"/>
      <c r="Z118" s="535">
        <f>F118*1000</f>
        <v>182000000</v>
      </c>
      <c r="AA118" s="2371">
        <f t="shared" si="6"/>
        <v>182000000000</v>
      </c>
      <c r="AB118" s="505"/>
    </row>
    <row r="119" spans="1:28" ht="20.100000000000001" customHeight="1">
      <c r="A119" s="475"/>
      <c r="B119" s="1145"/>
      <c r="C119" s="1126"/>
      <c r="D119" s="1179"/>
      <c r="E119" s="620" t="s">
        <v>74</v>
      </c>
      <c r="F119" s="633">
        <f>+Y119</f>
        <v>15000</v>
      </c>
      <c r="G119" s="633">
        <v>15000</v>
      </c>
      <c r="H119" s="2372"/>
      <c r="I119" s="1164"/>
      <c r="J119" s="1780" t="s">
        <v>607</v>
      </c>
      <c r="K119" s="1685"/>
      <c r="L119" s="1685"/>
      <c r="M119" s="1685"/>
      <c r="N119" s="1686"/>
      <c r="O119" s="1685"/>
      <c r="P119" s="1685"/>
      <c r="Q119" s="635"/>
      <c r="R119" s="1685"/>
      <c r="S119" s="1686">
        <v>2500000</v>
      </c>
      <c r="T119" s="1685" t="s">
        <v>0</v>
      </c>
      <c r="U119" s="1685"/>
      <c r="V119" s="1685">
        <v>6</v>
      </c>
      <c r="W119" s="1685" t="s">
        <v>2759</v>
      </c>
      <c r="X119" s="1687" t="s">
        <v>1</v>
      </c>
      <c r="Y119" s="636">
        <f>+S119*V119/1000</f>
        <v>15000</v>
      </c>
      <c r="Z119" s="535">
        <f t="shared" ref="Z119:Z138" si="9">F119*1000</f>
        <v>15000000</v>
      </c>
      <c r="AA119" s="2371">
        <f t="shared" si="6"/>
        <v>15000000000</v>
      </c>
      <c r="AB119" s="505"/>
    </row>
    <row r="120" spans="1:28" ht="20.100000000000001" customHeight="1">
      <c r="A120" s="475"/>
      <c r="B120" s="1145"/>
      <c r="C120" s="465"/>
      <c r="D120" s="2373"/>
      <c r="E120" s="620" t="s">
        <v>2775</v>
      </c>
      <c r="F120" s="633">
        <f>+Y120</f>
        <v>4000</v>
      </c>
      <c r="G120" s="714">
        <v>4000</v>
      </c>
      <c r="H120" s="2372"/>
      <c r="I120" s="1164"/>
      <c r="J120" s="1780" t="s">
        <v>3347</v>
      </c>
      <c r="K120" s="1685"/>
      <c r="L120" s="1685"/>
      <c r="M120" s="1685"/>
      <c r="N120" s="1686"/>
      <c r="O120" s="2302"/>
      <c r="P120" s="1781"/>
      <c r="Q120" s="516"/>
      <c r="R120" s="1778"/>
      <c r="S120" s="1686">
        <v>4000000</v>
      </c>
      <c r="T120" s="1685" t="s">
        <v>0</v>
      </c>
      <c r="U120" s="1685"/>
      <c r="V120" s="1685">
        <v>1</v>
      </c>
      <c r="W120" s="1685" t="s">
        <v>2769</v>
      </c>
      <c r="X120" s="1687" t="s">
        <v>1</v>
      </c>
      <c r="Y120" s="636">
        <f>+S120*V120/1000</f>
        <v>4000</v>
      </c>
      <c r="Z120" s="535">
        <f>F120*1000</f>
        <v>4000000</v>
      </c>
      <c r="AA120" s="2371">
        <f>F120*1000000</f>
        <v>4000000000</v>
      </c>
      <c r="AB120" s="505"/>
    </row>
    <row r="121" spans="1:28" ht="22.5" customHeight="1">
      <c r="A121" s="475"/>
      <c r="B121" s="1145"/>
      <c r="C121" s="465"/>
      <c r="D121" s="2373"/>
      <c r="E121" s="510" t="s">
        <v>2774</v>
      </c>
      <c r="F121" s="633">
        <f>+Y121</f>
        <v>1000</v>
      </c>
      <c r="G121" s="714">
        <v>1000</v>
      </c>
      <c r="H121" s="2372"/>
      <c r="I121" s="1164"/>
      <c r="J121" s="514" t="s">
        <v>3348</v>
      </c>
      <c r="K121" s="2621"/>
      <c r="L121" s="2621"/>
      <c r="M121" s="2621"/>
      <c r="N121" s="2621"/>
      <c r="O121" s="2604"/>
      <c r="P121" s="2626"/>
      <c r="Q121" s="516"/>
      <c r="R121" s="2621"/>
      <c r="S121" s="516">
        <v>500000</v>
      </c>
      <c r="T121" s="516" t="s">
        <v>2771</v>
      </c>
      <c r="U121" s="2626"/>
      <c r="V121" s="516">
        <v>2</v>
      </c>
      <c r="W121" s="516" t="s">
        <v>616</v>
      </c>
      <c r="X121" s="517" t="s">
        <v>1</v>
      </c>
      <c r="Y121" s="636">
        <f>S121*V121/1000</f>
        <v>1000</v>
      </c>
      <c r="Z121" s="535">
        <f>F121*1000</f>
        <v>1000000</v>
      </c>
      <c r="AA121" s="2371">
        <f>F121*1000000</f>
        <v>1000000000</v>
      </c>
      <c r="AB121" s="505"/>
    </row>
    <row r="122" spans="1:28" ht="22.5" customHeight="1">
      <c r="A122" s="475"/>
      <c r="B122" s="1145"/>
      <c r="C122" s="1126"/>
      <c r="D122" s="1179"/>
      <c r="E122" s="620" t="s">
        <v>73</v>
      </c>
      <c r="F122" s="633">
        <f t="shared" ref="F122:F138" si="10">+Y122</f>
        <v>4000</v>
      </c>
      <c r="G122" s="633">
        <v>4000</v>
      </c>
      <c r="H122" s="2372"/>
      <c r="I122" s="1164"/>
      <c r="J122" s="514" t="s">
        <v>8</v>
      </c>
      <c r="K122" s="2302"/>
      <c r="L122" s="1685"/>
      <c r="M122" s="1685"/>
      <c r="N122" s="1686"/>
      <c r="O122" s="1685"/>
      <c r="P122" s="1685"/>
      <c r="Q122" s="635"/>
      <c r="R122" s="1685"/>
      <c r="S122" s="1686"/>
      <c r="T122" s="1685"/>
      <c r="U122" s="1685"/>
      <c r="V122" s="1685"/>
      <c r="W122" s="1685"/>
      <c r="X122" s="1687"/>
      <c r="Y122" s="636">
        <f>SUM(Y123:Y124)</f>
        <v>4000</v>
      </c>
      <c r="Z122" s="535">
        <f t="shared" si="9"/>
        <v>4000000</v>
      </c>
      <c r="AA122" s="2371">
        <f t="shared" si="6"/>
        <v>4000000000</v>
      </c>
      <c r="AB122" s="505"/>
    </row>
    <row r="123" spans="1:28" ht="22.5" customHeight="1">
      <c r="A123" s="475"/>
      <c r="B123" s="1145"/>
      <c r="C123" s="1126"/>
      <c r="D123" s="1179"/>
      <c r="E123" s="620"/>
      <c r="F123" s="633"/>
      <c r="G123" s="633"/>
      <c r="H123" s="724"/>
      <c r="I123" s="1164"/>
      <c r="J123" s="1780" t="s">
        <v>6058</v>
      </c>
      <c r="K123" s="1685"/>
      <c r="L123" s="1685"/>
      <c r="M123" s="1685"/>
      <c r="N123" s="1686"/>
      <c r="O123" s="1685"/>
      <c r="P123" s="1685"/>
      <c r="Q123" s="635"/>
      <c r="R123" s="1685"/>
      <c r="S123" s="1686">
        <v>250000</v>
      </c>
      <c r="T123" s="1685" t="s">
        <v>0</v>
      </c>
      <c r="U123" s="1685"/>
      <c r="V123" s="1685">
        <v>4</v>
      </c>
      <c r="W123" s="1685" t="s">
        <v>3</v>
      </c>
      <c r="X123" s="1687" t="s">
        <v>1</v>
      </c>
      <c r="Y123" s="636">
        <f t="shared" ref="Y123:Y128" si="11">+S123*V123/1000</f>
        <v>1000</v>
      </c>
      <c r="Z123" s="535">
        <f t="shared" si="9"/>
        <v>0</v>
      </c>
      <c r="AA123" s="2371">
        <f t="shared" si="6"/>
        <v>0</v>
      </c>
      <c r="AB123" s="505"/>
    </row>
    <row r="124" spans="1:28" ht="22.5" customHeight="1">
      <c r="A124" s="475"/>
      <c r="B124" s="1145"/>
      <c r="C124" s="1126"/>
      <c r="D124" s="1179"/>
      <c r="E124" s="620"/>
      <c r="F124" s="633"/>
      <c r="G124" s="633"/>
      <c r="H124" s="724"/>
      <c r="I124" s="1164"/>
      <c r="J124" s="1780" t="s">
        <v>6057</v>
      </c>
      <c r="K124" s="1685"/>
      <c r="L124" s="1685"/>
      <c r="M124" s="1685"/>
      <c r="N124" s="1686"/>
      <c r="O124" s="1685"/>
      <c r="P124" s="1685"/>
      <c r="Q124" s="635"/>
      <c r="R124" s="1685"/>
      <c r="S124" s="1686">
        <v>500000</v>
      </c>
      <c r="T124" s="1685" t="s">
        <v>0</v>
      </c>
      <c r="U124" s="1685"/>
      <c r="V124" s="1685">
        <v>6</v>
      </c>
      <c r="W124" s="1685" t="s">
        <v>3</v>
      </c>
      <c r="X124" s="1687" t="s">
        <v>1</v>
      </c>
      <c r="Y124" s="636">
        <f t="shared" si="11"/>
        <v>3000</v>
      </c>
      <c r="Z124" s="535">
        <f t="shared" si="9"/>
        <v>0</v>
      </c>
      <c r="AA124" s="2371">
        <f t="shared" si="6"/>
        <v>0</v>
      </c>
      <c r="AB124" s="505"/>
    </row>
    <row r="125" spans="1:28" ht="20.100000000000001" customHeight="1">
      <c r="A125" s="475"/>
      <c r="B125" s="1145"/>
      <c r="C125" s="465"/>
      <c r="D125" s="2373"/>
      <c r="E125" s="620" t="s">
        <v>75</v>
      </c>
      <c r="F125" s="633">
        <f t="shared" si="10"/>
        <v>50000</v>
      </c>
      <c r="G125" s="714">
        <v>50000</v>
      </c>
      <c r="H125" s="2372"/>
      <c r="I125" s="1164"/>
      <c r="J125" s="1780" t="s">
        <v>2760</v>
      </c>
      <c r="K125" s="1685"/>
      <c r="L125" s="1685"/>
      <c r="M125" s="1685"/>
      <c r="N125" s="1686"/>
      <c r="O125" s="1685"/>
      <c r="P125" s="1685"/>
      <c r="Q125" s="635"/>
      <c r="R125" s="1685"/>
      <c r="S125" s="516"/>
      <c r="T125" s="516"/>
      <c r="U125" s="1781"/>
      <c r="V125" s="516"/>
      <c r="W125" s="516"/>
      <c r="X125" s="517"/>
      <c r="Y125" s="636">
        <f>Y126+Y127+Y128</f>
        <v>50000</v>
      </c>
      <c r="Z125" s="535">
        <f t="shared" si="9"/>
        <v>50000000</v>
      </c>
      <c r="AA125" s="2371">
        <f t="shared" si="6"/>
        <v>50000000000</v>
      </c>
      <c r="AB125" s="505"/>
    </row>
    <row r="126" spans="1:28" ht="20.100000000000001" customHeight="1">
      <c r="A126" s="475"/>
      <c r="B126" s="1145"/>
      <c r="C126" s="1126"/>
      <c r="D126" s="1179"/>
      <c r="E126" s="620"/>
      <c r="F126" s="633"/>
      <c r="G126" s="633"/>
      <c r="H126" s="634"/>
      <c r="I126" s="1164"/>
      <c r="J126" s="3304" t="s">
        <v>2761</v>
      </c>
      <c r="K126" s="3305"/>
      <c r="L126" s="3305"/>
      <c r="M126" s="3305"/>
      <c r="N126" s="1686"/>
      <c r="O126" s="1685"/>
      <c r="P126" s="1685"/>
      <c r="Q126" s="635"/>
      <c r="R126" s="1685"/>
      <c r="S126" s="1686">
        <v>5000000</v>
      </c>
      <c r="T126" s="1685" t="s">
        <v>0</v>
      </c>
      <c r="U126" s="1685"/>
      <c r="V126" s="1685">
        <v>2</v>
      </c>
      <c r="W126" s="1685" t="s">
        <v>3</v>
      </c>
      <c r="X126" s="1687" t="s">
        <v>1</v>
      </c>
      <c r="Y126" s="636">
        <f>S126*V126/1000</f>
        <v>10000</v>
      </c>
      <c r="Z126" s="535">
        <f t="shared" si="9"/>
        <v>0</v>
      </c>
      <c r="AA126" s="2371">
        <f t="shared" si="6"/>
        <v>0</v>
      </c>
      <c r="AB126" s="505"/>
    </row>
    <row r="127" spans="1:28" ht="20.100000000000001" customHeight="1">
      <c r="A127" s="475"/>
      <c r="B127" s="1145"/>
      <c r="C127" s="1126"/>
      <c r="D127" s="1179"/>
      <c r="E127" s="620"/>
      <c r="F127" s="633"/>
      <c r="G127" s="633"/>
      <c r="H127" s="634"/>
      <c r="I127" s="1164"/>
      <c r="J127" s="1780" t="s">
        <v>2762</v>
      </c>
      <c r="K127" s="1685"/>
      <c r="L127" s="1685"/>
      <c r="M127" s="1685"/>
      <c r="N127" s="1686"/>
      <c r="O127" s="1685"/>
      <c r="P127" s="1685"/>
      <c r="Q127" s="635"/>
      <c r="R127" s="1685"/>
      <c r="S127" s="1686">
        <v>1000000</v>
      </c>
      <c r="T127" s="1685" t="s">
        <v>0</v>
      </c>
      <c r="U127" s="1685"/>
      <c r="V127" s="1685">
        <v>5</v>
      </c>
      <c r="W127" s="1685" t="s">
        <v>3</v>
      </c>
      <c r="X127" s="1687" t="s">
        <v>1</v>
      </c>
      <c r="Y127" s="636">
        <f t="shared" ref="Y127" si="12">+S127*V127/1000</f>
        <v>5000</v>
      </c>
      <c r="Z127" s="535">
        <f t="shared" si="9"/>
        <v>0</v>
      </c>
      <c r="AA127" s="2371">
        <f t="shared" si="6"/>
        <v>0</v>
      </c>
      <c r="AB127" s="505"/>
    </row>
    <row r="128" spans="1:28" ht="20.100000000000001" customHeight="1">
      <c r="A128" s="475"/>
      <c r="B128" s="1145"/>
      <c r="C128" s="465"/>
      <c r="D128" s="2373"/>
      <c r="E128" s="620"/>
      <c r="F128" s="633"/>
      <c r="G128" s="714"/>
      <c r="H128" s="724"/>
      <c r="I128" s="1164"/>
      <c r="J128" s="1780" t="s">
        <v>2763</v>
      </c>
      <c r="K128" s="1685"/>
      <c r="L128" s="1685"/>
      <c r="M128" s="1685"/>
      <c r="N128" s="1686"/>
      <c r="O128" s="1685"/>
      <c r="P128" s="1685"/>
      <c r="Q128" s="635"/>
      <c r="R128" s="1685"/>
      <c r="S128" s="1686">
        <v>17500000</v>
      </c>
      <c r="T128" s="1685" t="s">
        <v>0</v>
      </c>
      <c r="U128" s="1685"/>
      <c r="V128" s="1685">
        <v>2</v>
      </c>
      <c r="W128" s="1685" t="s">
        <v>3</v>
      </c>
      <c r="X128" s="1687" t="s">
        <v>1</v>
      </c>
      <c r="Y128" s="636">
        <f t="shared" si="11"/>
        <v>35000</v>
      </c>
      <c r="Z128" s="535">
        <f t="shared" si="9"/>
        <v>0</v>
      </c>
      <c r="AA128" s="2371">
        <f t="shared" si="6"/>
        <v>0</v>
      </c>
      <c r="AB128" s="505"/>
    </row>
    <row r="129" spans="1:28" ht="20.100000000000001" customHeight="1">
      <c r="A129" s="475"/>
      <c r="B129" s="1145"/>
      <c r="C129" s="465"/>
      <c r="D129" s="2373"/>
      <c r="E129" s="620" t="s">
        <v>76</v>
      </c>
      <c r="F129" s="633">
        <f t="shared" si="10"/>
        <v>15000</v>
      </c>
      <c r="G129" s="714">
        <v>15000</v>
      </c>
      <c r="H129" s="2372"/>
      <c r="I129" s="1164"/>
      <c r="J129" s="514" t="s">
        <v>8</v>
      </c>
      <c r="K129" s="2302"/>
      <c r="L129" s="1685"/>
      <c r="M129" s="1685"/>
      <c r="N129" s="1686"/>
      <c r="O129" s="1685"/>
      <c r="P129" s="1685"/>
      <c r="Q129" s="635"/>
      <c r="R129" s="1685"/>
      <c r="S129" s="1686"/>
      <c r="T129" s="1685"/>
      <c r="U129" s="1685"/>
      <c r="V129" s="1685"/>
      <c r="W129" s="1685"/>
      <c r="X129" s="1687"/>
      <c r="Y129" s="636">
        <f>SUM(Y130:Y131)</f>
        <v>15000</v>
      </c>
      <c r="Z129" s="535">
        <f t="shared" si="9"/>
        <v>15000000</v>
      </c>
      <c r="AA129" s="2371">
        <f t="shared" si="6"/>
        <v>15000000000</v>
      </c>
      <c r="AB129" s="505"/>
    </row>
    <row r="130" spans="1:28" ht="20.100000000000001" customHeight="1">
      <c r="A130" s="475"/>
      <c r="B130" s="1145"/>
      <c r="C130" s="465"/>
      <c r="D130" s="1179"/>
      <c r="E130" s="510"/>
      <c r="F130" s="633"/>
      <c r="G130" s="633"/>
      <c r="H130" s="724"/>
      <c r="I130" s="1164"/>
      <c r="J130" s="1780" t="s">
        <v>2764</v>
      </c>
      <c r="K130" s="1685"/>
      <c r="L130" s="1685"/>
      <c r="M130" s="1685"/>
      <c r="N130" s="1686"/>
      <c r="O130" s="1685"/>
      <c r="P130" s="1685"/>
      <c r="Q130" s="635"/>
      <c r="R130" s="1685"/>
      <c r="S130" s="1686">
        <v>5000000</v>
      </c>
      <c r="T130" s="1685" t="s">
        <v>0</v>
      </c>
      <c r="U130" s="1685"/>
      <c r="V130" s="1685">
        <v>1</v>
      </c>
      <c r="W130" s="1685" t="s">
        <v>27</v>
      </c>
      <c r="X130" s="1687" t="s">
        <v>1</v>
      </c>
      <c r="Y130" s="636">
        <f>+S130*V130/1000</f>
        <v>5000</v>
      </c>
      <c r="Z130" s="535">
        <f t="shared" si="9"/>
        <v>0</v>
      </c>
      <c r="AA130" s="2371">
        <f t="shared" si="6"/>
        <v>0</v>
      </c>
      <c r="AB130" s="505"/>
    </row>
    <row r="131" spans="1:28" ht="20.100000000000001" customHeight="1">
      <c r="A131" s="475"/>
      <c r="B131" s="1145"/>
      <c r="C131" s="465"/>
      <c r="D131" s="2373"/>
      <c r="E131" s="620"/>
      <c r="F131" s="633"/>
      <c r="G131" s="714"/>
      <c r="H131" s="2372"/>
      <c r="I131" s="1164"/>
      <c r="J131" s="1780" t="s">
        <v>2765</v>
      </c>
      <c r="K131" s="1685"/>
      <c r="L131" s="1685"/>
      <c r="M131" s="1685"/>
      <c r="N131" s="1686"/>
      <c r="O131" s="1685"/>
      <c r="P131" s="1685"/>
      <c r="Q131" s="635"/>
      <c r="R131" s="1685"/>
      <c r="S131" s="1686">
        <v>10000000</v>
      </c>
      <c r="T131" s="1685" t="s">
        <v>0</v>
      </c>
      <c r="U131" s="1685"/>
      <c r="V131" s="1685">
        <v>1</v>
      </c>
      <c r="W131" s="1685" t="s">
        <v>27</v>
      </c>
      <c r="X131" s="1687" t="s">
        <v>1</v>
      </c>
      <c r="Y131" s="636">
        <f>+S131*V131/1000</f>
        <v>10000</v>
      </c>
      <c r="Z131" s="535">
        <f t="shared" si="9"/>
        <v>0</v>
      </c>
      <c r="AA131" s="2371">
        <f t="shared" si="6"/>
        <v>0</v>
      </c>
      <c r="AB131" s="505"/>
    </row>
    <row r="132" spans="1:28" ht="20.100000000000001" customHeight="1">
      <c r="A132" s="475"/>
      <c r="B132" s="1145"/>
      <c r="C132" s="465"/>
      <c r="D132" s="2373"/>
      <c r="E132" s="510" t="s">
        <v>65</v>
      </c>
      <c r="F132" s="633">
        <f t="shared" si="10"/>
        <v>92000</v>
      </c>
      <c r="G132" s="714">
        <v>92000</v>
      </c>
      <c r="H132" s="2372"/>
      <c r="I132" s="1164"/>
      <c r="J132" s="514" t="s">
        <v>8</v>
      </c>
      <c r="K132" s="2302"/>
      <c r="L132" s="2302"/>
      <c r="M132" s="2302"/>
      <c r="N132" s="2302"/>
      <c r="O132" s="2302"/>
      <c r="P132" s="1781"/>
      <c r="Q132" s="1781"/>
      <c r="R132" s="516"/>
      <c r="S132" s="516"/>
      <c r="T132" s="516"/>
      <c r="U132" s="1781"/>
      <c r="V132" s="516"/>
      <c r="W132" s="516"/>
      <c r="X132" s="517"/>
      <c r="Y132" s="636">
        <f>SUM(Y133:Y137)</f>
        <v>92000</v>
      </c>
      <c r="Z132" s="535">
        <f t="shared" si="9"/>
        <v>92000000</v>
      </c>
      <c r="AA132" s="2371">
        <f t="shared" si="6"/>
        <v>92000000000</v>
      </c>
      <c r="AB132" s="505"/>
    </row>
    <row r="133" spans="1:28" ht="20.100000000000001" customHeight="1">
      <c r="A133" s="475"/>
      <c r="B133" s="1145"/>
      <c r="C133" s="465"/>
      <c r="D133" s="2373"/>
      <c r="E133" s="510"/>
      <c r="F133" s="633"/>
      <c r="G133" s="714"/>
      <c r="H133" s="724"/>
      <c r="I133" s="1164"/>
      <c r="J133" s="514" t="s">
        <v>2766</v>
      </c>
      <c r="K133" s="2302"/>
      <c r="L133" s="2302"/>
      <c r="M133" s="2302"/>
      <c r="N133" s="2302"/>
      <c r="O133" s="2302"/>
      <c r="P133" s="1781"/>
      <c r="Q133" s="516"/>
      <c r="R133" s="1778"/>
      <c r="S133" s="516">
        <v>8500000</v>
      </c>
      <c r="T133" s="516" t="s">
        <v>0</v>
      </c>
      <c r="U133" s="1781"/>
      <c r="V133" s="516">
        <v>2</v>
      </c>
      <c r="W133" s="516" t="s">
        <v>3</v>
      </c>
      <c r="X133" s="517" t="s">
        <v>1</v>
      </c>
      <c r="Y133" s="636">
        <f t="shared" ref="Y133:Y138" si="13">+S133*V133/1000</f>
        <v>17000</v>
      </c>
      <c r="Z133" s="535">
        <f t="shared" si="9"/>
        <v>0</v>
      </c>
      <c r="AA133" s="2371">
        <f t="shared" si="6"/>
        <v>0</v>
      </c>
      <c r="AB133" s="505"/>
    </row>
    <row r="134" spans="1:28" ht="20.100000000000001" customHeight="1">
      <c r="A134" s="475"/>
      <c r="B134" s="1145"/>
      <c r="C134" s="465"/>
      <c r="D134" s="2373"/>
      <c r="E134" s="510"/>
      <c r="F134" s="633"/>
      <c r="G134" s="714"/>
      <c r="H134" s="724"/>
      <c r="I134" s="1164"/>
      <c r="J134" s="3350" t="s">
        <v>2767</v>
      </c>
      <c r="K134" s="3351"/>
      <c r="L134" s="3351"/>
      <c r="M134" s="3351"/>
      <c r="N134" s="3351"/>
      <c r="O134" s="2302"/>
      <c r="P134" s="1781"/>
      <c r="Q134" s="516"/>
      <c r="R134" s="1778"/>
      <c r="S134" s="516">
        <v>5000000</v>
      </c>
      <c r="T134" s="516" t="s">
        <v>0</v>
      </c>
      <c r="U134" s="1781"/>
      <c r="V134" s="516">
        <v>1</v>
      </c>
      <c r="W134" s="516" t="s">
        <v>3</v>
      </c>
      <c r="X134" s="517" t="s">
        <v>1</v>
      </c>
      <c r="Y134" s="636">
        <f t="shared" si="13"/>
        <v>5000</v>
      </c>
      <c r="Z134" s="535">
        <f t="shared" si="9"/>
        <v>0</v>
      </c>
      <c r="AA134" s="2371">
        <f t="shared" si="6"/>
        <v>0</v>
      </c>
      <c r="AB134" s="505"/>
    </row>
    <row r="135" spans="1:28" ht="20.100000000000001" customHeight="1">
      <c r="A135" s="475"/>
      <c r="B135" s="1145"/>
      <c r="C135" s="465"/>
      <c r="D135" s="2373"/>
      <c r="E135" s="510"/>
      <c r="F135" s="633"/>
      <c r="G135" s="714"/>
      <c r="H135" s="724"/>
      <c r="I135" s="1164"/>
      <c r="J135" s="3350" t="s">
        <v>2768</v>
      </c>
      <c r="K135" s="3351"/>
      <c r="L135" s="3351"/>
      <c r="M135" s="3351"/>
      <c r="N135" s="3351"/>
      <c r="O135" s="2302"/>
      <c r="P135" s="1781"/>
      <c r="Q135" s="516"/>
      <c r="R135" s="1778"/>
      <c r="S135" s="516">
        <v>5000000</v>
      </c>
      <c r="T135" s="516" t="s">
        <v>0</v>
      </c>
      <c r="U135" s="1781"/>
      <c r="V135" s="516">
        <v>1</v>
      </c>
      <c r="W135" s="516" t="s">
        <v>2769</v>
      </c>
      <c r="X135" s="517" t="s">
        <v>1</v>
      </c>
      <c r="Y135" s="636">
        <f t="shared" si="13"/>
        <v>5000</v>
      </c>
      <c r="Z135" s="535">
        <f t="shared" si="9"/>
        <v>0</v>
      </c>
      <c r="AA135" s="2371">
        <f t="shared" si="6"/>
        <v>0</v>
      </c>
      <c r="AB135" s="505"/>
    </row>
    <row r="136" spans="1:28" ht="20.100000000000001" customHeight="1">
      <c r="A136" s="475"/>
      <c r="B136" s="1145"/>
      <c r="C136" s="465"/>
      <c r="D136" s="2373"/>
      <c r="E136" s="510"/>
      <c r="F136" s="633"/>
      <c r="G136" s="714"/>
      <c r="H136" s="724"/>
      <c r="I136" s="1164"/>
      <c r="J136" s="3350" t="s">
        <v>4858</v>
      </c>
      <c r="K136" s="3351"/>
      <c r="L136" s="3351"/>
      <c r="M136" s="3351"/>
      <c r="N136" s="3351"/>
      <c r="O136" s="2302"/>
      <c r="P136" s="1781"/>
      <c r="Q136" s="516"/>
      <c r="R136" s="1778"/>
      <c r="S136" s="516">
        <v>25000000</v>
      </c>
      <c r="T136" s="516" t="s">
        <v>0</v>
      </c>
      <c r="U136" s="1781"/>
      <c r="V136" s="516">
        <v>1</v>
      </c>
      <c r="W136" s="516" t="s">
        <v>3</v>
      </c>
      <c r="X136" s="517" t="s">
        <v>1</v>
      </c>
      <c r="Y136" s="636">
        <f t="shared" si="13"/>
        <v>25000</v>
      </c>
      <c r="Z136" s="535">
        <f t="shared" si="9"/>
        <v>0</v>
      </c>
      <c r="AA136" s="2371">
        <f t="shared" si="6"/>
        <v>0</v>
      </c>
      <c r="AB136" s="505"/>
    </row>
    <row r="137" spans="1:28" ht="20.100000000000001" customHeight="1">
      <c r="A137" s="475"/>
      <c r="B137" s="1145"/>
      <c r="C137" s="465"/>
      <c r="D137" s="2373"/>
      <c r="E137" s="510"/>
      <c r="F137" s="633"/>
      <c r="G137" s="714"/>
      <c r="H137" s="724"/>
      <c r="I137" s="1164"/>
      <c r="J137" s="3350" t="s">
        <v>2770</v>
      </c>
      <c r="K137" s="3351"/>
      <c r="L137" s="3351"/>
      <c r="M137" s="3351"/>
      <c r="N137" s="3351"/>
      <c r="O137" s="2302"/>
      <c r="P137" s="1781"/>
      <c r="Q137" s="516"/>
      <c r="R137" s="1778"/>
      <c r="S137" s="516">
        <v>20000000</v>
      </c>
      <c r="T137" s="516" t="s">
        <v>0</v>
      </c>
      <c r="U137" s="1781"/>
      <c r="V137" s="516">
        <v>2</v>
      </c>
      <c r="W137" s="516" t="s">
        <v>2769</v>
      </c>
      <c r="X137" s="517" t="s">
        <v>1</v>
      </c>
      <c r="Y137" s="636">
        <f t="shared" si="13"/>
        <v>40000</v>
      </c>
      <c r="Z137" s="535">
        <f t="shared" si="9"/>
        <v>0</v>
      </c>
      <c r="AA137" s="2371">
        <f t="shared" si="6"/>
        <v>0</v>
      </c>
      <c r="AB137" s="505"/>
    </row>
    <row r="138" spans="1:28" ht="20.100000000000001" customHeight="1">
      <c r="A138" s="475"/>
      <c r="B138" s="1145"/>
      <c r="C138" s="465"/>
      <c r="D138" s="2373"/>
      <c r="E138" s="620" t="s">
        <v>2776</v>
      </c>
      <c r="F138" s="633">
        <f t="shared" si="10"/>
        <v>1000</v>
      </c>
      <c r="G138" s="714">
        <v>1000</v>
      </c>
      <c r="H138" s="2372"/>
      <c r="I138" s="1164"/>
      <c r="J138" s="1780" t="s">
        <v>2773</v>
      </c>
      <c r="K138" s="1685"/>
      <c r="L138" s="1685"/>
      <c r="M138" s="1685"/>
      <c r="N138" s="1686"/>
      <c r="O138" s="2302"/>
      <c r="P138" s="1781"/>
      <c r="Q138" s="516"/>
      <c r="R138" s="1778"/>
      <c r="S138" s="1686">
        <v>100000</v>
      </c>
      <c r="T138" s="1685" t="s">
        <v>0</v>
      </c>
      <c r="U138" s="1685"/>
      <c r="V138" s="1685">
        <v>10</v>
      </c>
      <c r="W138" s="1685" t="s">
        <v>2772</v>
      </c>
      <c r="X138" s="1687" t="s">
        <v>1</v>
      </c>
      <c r="Y138" s="636">
        <f t="shared" si="13"/>
        <v>1000</v>
      </c>
      <c r="Z138" s="535">
        <f t="shared" si="9"/>
        <v>1000000</v>
      </c>
      <c r="AA138" s="2371">
        <f t="shared" si="6"/>
        <v>1000000000</v>
      </c>
      <c r="AB138" s="505"/>
    </row>
    <row r="139" spans="1:28" ht="20.100000000000001" customHeight="1">
      <c r="A139" s="475"/>
      <c r="B139" s="1145"/>
      <c r="C139" s="465"/>
      <c r="D139" s="3421" t="s">
        <v>2329</v>
      </c>
      <c r="E139" s="3421"/>
      <c r="F139" s="764">
        <f>SUM(F140:F158)</f>
        <v>320000</v>
      </c>
      <c r="G139" s="764">
        <f>SUM(G140:G158)</f>
        <v>320000</v>
      </c>
      <c r="H139" s="1132">
        <f>F139-G139</f>
        <v>0</v>
      </c>
      <c r="I139" s="1127"/>
      <c r="J139" s="501"/>
      <c r="K139" s="2276"/>
      <c r="L139" s="2276"/>
      <c r="M139" s="2276"/>
      <c r="N139" s="2276"/>
      <c r="O139" s="2276"/>
      <c r="P139" s="484"/>
      <c r="Q139" s="2276"/>
      <c r="R139" s="2276"/>
      <c r="S139" s="484"/>
      <c r="T139" s="2276"/>
      <c r="U139" s="2276"/>
      <c r="V139" s="484"/>
      <c r="W139" s="2276"/>
      <c r="X139" s="502"/>
      <c r="Y139" s="503"/>
      <c r="Z139" s="1128"/>
      <c r="AA139" s="907">
        <f t="shared" si="6"/>
        <v>320000000000</v>
      </c>
      <c r="AB139" s="505"/>
    </row>
    <row r="140" spans="1:28" ht="20.100000000000001" customHeight="1">
      <c r="A140" s="475"/>
      <c r="B140" s="1145"/>
      <c r="C140" s="465"/>
      <c r="D140" s="1804"/>
      <c r="E140" s="1134" t="s">
        <v>74</v>
      </c>
      <c r="F140" s="438">
        <f>+Y140</f>
        <v>20000</v>
      </c>
      <c r="G140" s="438">
        <v>20000</v>
      </c>
      <c r="H140" s="391"/>
      <c r="I140" s="1127"/>
      <c r="J140" s="2287" t="s">
        <v>2330</v>
      </c>
      <c r="K140" s="2282"/>
      <c r="L140" s="2282"/>
      <c r="M140" s="2282"/>
      <c r="N140" s="2278"/>
      <c r="O140" s="2278"/>
      <c r="P140" s="2278"/>
      <c r="Q140" s="2288">
        <v>8</v>
      </c>
      <c r="R140" s="2262" t="s">
        <v>43</v>
      </c>
      <c r="S140" s="2288">
        <v>2500000</v>
      </c>
      <c r="T140" s="2288" t="s">
        <v>0</v>
      </c>
      <c r="U140" s="2278"/>
      <c r="V140" s="2288">
        <v>1</v>
      </c>
      <c r="W140" s="2288" t="s">
        <v>25</v>
      </c>
      <c r="X140" s="1140" t="s">
        <v>1</v>
      </c>
      <c r="Y140" s="1674">
        <f>+Q140*S140*V140/1000</f>
        <v>20000</v>
      </c>
      <c r="Z140" s="1128"/>
      <c r="AA140" s="907">
        <f t="shared" si="6"/>
        <v>20000000000</v>
      </c>
      <c r="AB140" s="505"/>
    </row>
    <row r="141" spans="1:28" ht="20.100000000000001" customHeight="1">
      <c r="A141" s="475"/>
      <c r="B141" s="1145"/>
      <c r="C141" s="465"/>
      <c r="D141" s="466"/>
      <c r="E141" s="1134" t="s">
        <v>51</v>
      </c>
      <c r="F141" s="438">
        <f>+Y141</f>
        <v>51000</v>
      </c>
      <c r="G141" s="438">
        <v>51000</v>
      </c>
      <c r="H141" s="391"/>
      <c r="I141" s="1127"/>
      <c r="J141" s="2287" t="s">
        <v>1694</v>
      </c>
      <c r="K141" s="2282"/>
      <c r="L141" s="2282"/>
      <c r="M141" s="2282"/>
      <c r="N141" s="2278"/>
      <c r="O141" s="2278"/>
      <c r="P141" s="2278"/>
      <c r="Q141" s="2288"/>
      <c r="R141" s="2262"/>
      <c r="S141" s="2288"/>
      <c r="T141" s="2288"/>
      <c r="U141" s="2278"/>
      <c r="V141" s="2288"/>
      <c r="W141" s="2288"/>
      <c r="X141" s="1140"/>
      <c r="Y141" s="1674">
        <f>Y142+Y143+Y144</f>
        <v>51000</v>
      </c>
      <c r="Z141" s="1128"/>
      <c r="AA141" s="907">
        <f t="shared" ref="AA141:AA204" si="14">F141*1000000</f>
        <v>51000000000</v>
      </c>
      <c r="AB141" s="505"/>
    </row>
    <row r="142" spans="1:28" ht="20.100000000000001" customHeight="1">
      <c r="A142" s="475"/>
      <c r="B142" s="1145"/>
      <c r="C142" s="465"/>
      <c r="D142" s="466"/>
      <c r="E142" s="1134"/>
      <c r="F142" s="438"/>
      <c r="G142" s="438"/>
      <c r="H142" s="406"/>
      <c r="I142" s="1127"/>
      <c r="J142" s="2287" t="s">
        <v>2331</v>
      </c>
      <c r="K142" s="2282"/>
      <c r="L142" s="2282"/>
      <c r="M142" s="2282"/>
      <c r="N142" s="2278"/>
      <c r="O142" s="2278"/>
      <c r="P142" s="2278"/>
      <c r="Q142" s="2288">
        <v>1</v>
      </c>
      <c r="R142" s="2262" t="s">
        <v>28</v>
      </c>
      <c r="S142" s="2288">
        <v>22000</v>
      </c>
      <c r="T142" s="2288" t="s">
        <v>0</v>
      </c>
      <c r="U142" s="2278"/>
      <c r="V142" s="2288">
        <v>1000</v>
      </c>
      <c r="W142" s="2288" t="s">
        <v>63</v>
      </c>
      <c r="X142" s="1140" t="s">
        <v>1</v>
      </c>
      <c r="Y142" s="1674">
        <f>+Q142*S142*V142/1000</f>
        <v>22000</v>
      </c>
      <c r="Z142" s="1128"/>
      <c r="AA142" s="907">
        <f t="shared" si="14"/>
        <v>0</v>
      </c>
      <c r="AB142" s="505"/>
    </row>
    <row r="143" spans="1:28" ht="20.100000000000001" customHeight="1">
      <c r="A143" s="475"/>
      <c r="B143" s="1145"/>
      <c r="C143" s="465"/>
      <c r="D143" s="466"/>
      <c r="E143" s="1134"/>
      <c r="F143" s="438"/>
      <c r="G143" s="438"/>
      <c r="H143" s="406"/>
      <c r="I143" s="1127"/>
      <c r="J143" s="2287" t="s">
        <v>2332</v>
      </c>
      <c r="K143" s="2282"/>
      <c r="L143" s="2282"/>
      <c r="M143" s="2282"/>
      <c r="N143" s="2278"/>
      <c r="O143" s="2278"/>
      <c r="P143" s="2278"/>
      <c r="Q143" s="2288">
        <v>2</v>
      </c>
      <c r="R143" s="2262" t="s">
        <v>28</v>
      </c>
      <c r="S143" s="2288">
        <v>12000000</v>
      </c>
      <c r="T143" s="2288" t="s">
        <v>0</v>
      </c>
      <c r="U143" s="2278"/>
      <c r="V143" s="2288">
        <v>1</v>
      </c>
      <c r="W143" s="2288" t="s">
        <v>6</v>
      </c>
      <c r="X143" s="1140" t="s">
        <v>1</v>
      </c>
      <c r="Y143" s="1674">
        <f>+Q143*S143*V143/1000</f>
        <v>24000</v>
      </c>
      <c r="Z143" s="1128"/>
      <c r="AA143" s="907">
        <f t="shared" si="14"/>
        <v>0</v>
      </c>
      <c r="AB143" s="505"/>
    </row>
    <row r="144" spans="1:28" ht="20.100000000000001" customHeight="1">
      <c r="A144" s="475"/>
      <c r="B144" s="1145"/>
      <c r="C144" s="465"/>
      <c r="D144" s="466"/>
      <c r="E144" s="1134"/>
      <c r="F144" s="438"/>
      <c r="G144" s="438"/>
      <c r="H144" s="406"/>
      <c r="I144" s="1127"/>
      <c r="J144" s="2287" t="s">
        <v>2333</v>
      </c>
      <c r="K144" s="2282"/>
      <c r="L144" s="2282"/>
      <c r="M144" s="2282"/>
      <c r="N144" s="2278"/>
      <c r="O144" s="2278"/>
      <c r="P144" s="2278"/>
      <c r="Q144" s="2288">
        <v>1</v>
      </c>
      <c r="R144" s="2262" t="s">
        <v>28</v>
      </c>
      <c r="S144" s="2288">
        <v>5000000</v>
      </c>
      <c r="T144" s="2288" t="s">
        <v>0</v>
      </c>
      <c r="U144" s="2278"/>
      <c r="V144" s="2288">
        <v>1</v>
      </c>
      <c r="W144" s="2288" t="s">
        <v>6</v>
      </c>
      <c r="X144" s="1140" t="s">
        <v>1</v>
      </c>
      <c r="Y144" s="1674">
        <f>+Q144*S144*V144/1000</f>
        <v>5000</v>
      </c>
      <c r="Z144" s="1128"/>
      <c r="AA144" s="907">
        <f t="shared" si="14"/>
        <v>0</v>
      </c>
      <c r="AB144" s="505"/>
    </row>
    <row r="145" spans="1:28" ht="20.100000000000001" customHeight="1">
      <c r="A145" s="475"/>
      <c r="B145" s="1145"/>
      <c r="C145" s="465"/>
      <c r="D145" s="1148"/>
      <c r="E145" s="1134" t="s">
        <v>24</v>
      </c>
      <c r="F145" s="438">
        <f>+Y145</f>
        <v>3000</v>
      </c>
      <c r="G145" s="438">
        <v>3000</v>
      </c>
      <c r="H145" s="391"/>
      <c r="I145" s="1127"/>
      <c r="J145" s="2287" t="s">
        <v>2334</v>
      </c>
      <c r="K145" s="2282"/>
      <c r="L145" s="2282"/>
      <c r="M145" s="2282"/>
      <c r="N145" s="2282"/>
      <c r="O145" s="2282"/>
      <c r="P145" s="2278"/>
      <c r="Q145" s="2288">
        <v>1</v>
      </c>
      <c r="R145" s="2262" t="s">
        <v>28</v>
      </c>
      <c r="S145" s="2288">
        <v>3000000</v>
      </c>
      <c r="T145" s="2288" t="s">
        <v>0</v>
      </c>
      <c r="U145" s="2278"/>
      <c r="V145" s="2288">
        <v>1</v>
      </c>
      <c r="W145" s="2288" t="s">
        <v>6</v>
      </c>
      <c r="X145" s="1140" t="s">
        <v>1</v>
      </c>
      <c r="Y145" s="1674">
        <f>+Q145*S145*V145/1000</f>
        <v>3000</v>
      </c>
      <c r="Z145" s="1128"/>
      <c r="AA145" s="907">
        <f t="shared" si="14"/>
        <v>3000000000</v>
      </c>
      <c r="AB145" s="505"/>
    </row>
    <row r="146" spans="1:28" ht="20.100000000000001" customHeight="1">
      <c r="A146" s="475"/>
      <c r="B146" s="1145"/>
      <c r="C146" s="465"/>
      <c r="D146" s="466"/>
      <c r="E146" s="1134" t="s">
        <v>73</v>
      </c>
      <c r="F146" s="438">
        <f>+Y146</f>
        <v>10000</v>
      </c>
      <c r="G146" s="438">
        <v>10000</v>
      </c>
      <c r="H146" s="391"/>
      <c r="I146" s="1127"/>
      <c r="J146" s="2287" t="s">
        <v>8</v>
      </c>
      <c r="K146" s="2282"/>
      <c r="L146" s="2282"/>
      <c r="M146" s="2282"/>
      <c r="N146" s="2278"/>
      <c r="O146" s="2278"/>
      <c r="P146" s="2278"/>
      <c r="Q146" s="2288"/>
      <c r="R146" s="2262"/>
      <c r="S146" s="2288"/>
      <c r="T146" s="2288"/>
      <c r="U146" s="2278"/>
      <c r="V146" s="2288"/>
      <c r="W146" s="2288"/>
      <c r="X146" s="1140"/>
      <c r="Y146" s="1674">
        <f>SUM(Y147:Y148)</f>
        <v>10000</v>
      </c>
      <c r="Z146" s="1128"/>
      <c r="AA146" s="907">
        <f t="shared" si="14"/>
        <v>10000000000</v>
      </c>
      <c r="AB146" s="505"/>
    </row>
    <row r="147" spans="1:28" ht="20.100000000000001" customHeight="1">
      <c r="A147" s="475"/>
      <c r="B147" s="1145"/>
      <c r="C147" s="465"/>
      <c r="D147" s="466"/>
      <c r="E147" s="1134"/>
      <c r="F147" s="438"/>
      <c r="G147" s="438"/>
      <c r="H147" s="406"/>
      <c r="I147" s="1127"/>
      <c r="J147" s="2287" t="s">
        <v>2335</v>
      </c>
      <c r="K147" s="2282"/>
      <c r="L147" s="2282"/>
      <c r="M147" s="2282"/>
      <c r="N147" s="2278"/>
      <c r="O147" s="2278"/>
      <c r="P147" s="2278"/>
      <c r="Q147" s="2288"/>
      <c r="R147" s="2262"/>
      <c r="S147" s="2288">
        <v>2500000</v>
      </c>
      <c r="T147" s="2288" t="s">
        <v>0</v>
      </c>
      <c r="U147" s="2278"/>
      <c r="V147" s="2288">
        <v>2</v>
      </c>
      <c r="W147" s="2288" t="s">
        <v>3</v>
      </c>
      <c r="X147" s="1140" t="s">
        <v>1</v>
      </c>
      <c r="Y147" s="1674">
        <f>+S147*V147/1000</f>
        <v>5000</v>
      </c>
      <c r="Z147" s="1128"/>
      <c r="AA147" s="907">
        <f t="shared" si="14"/>
        <v>0</v>
      </c>
      <c r="AB147" s="505"/>
    </row>
    <row r="148" spans="1:28" ht="20.100000000000001" customHeight="1">
      <c r="A148" s="475"/>
      <c r="B148" s="1145"/>
      <c r="C148" s="465"/>
      <c r="D148" s="466"/>
      <c r="E148" s="1134"/>
      <c r="F148" s="438"/>
      <c r="G148" s="438"/>
      <c r="H148" s="406"/>
      <c r="I148" s="1127"/>
      <c r="J148" s="2287" t="s">
        <v>2336</v>
      </c>
      <c r="K148" s="2282"/>
      <c r="L148" s="2282"/>
      <c r="M148" s="2282"/>
      <c r="N148" s="2278"/>
      <c r="O148" s="2278"/>
      <c r="P148" s="2278"/>
      <c r="Q148" s="2288"/>
      <c r="R148" s="2262"/>
      <c r="S148" s="2288">
        <v>2500000</v>
      </c>
      <c r="T148" s="2288" t="s">
        <v>0</v>
      </c>
      <c r="U148" s="2278"/>
      <c r="V148" s="2288">
        <v>2</v>
      </c>
      <c r="W148" s="2288" t="s">
        <v>3</v>
      </c>
      <c r="X148" s="1140" t="s">
        <v>1</v>
      </c>
      <c r="Y148" s="1674">
        <f>+S148*V148/1000</f>
        <v>5000</v>
      </c>
      <c r="Z148" s="1128"/>
      <c r="AA148" s="907">
        <f t="shared" si="14"/>
        <v>0</v>
      </c>
      <c r="AB148" s="505"/>
    </row>
    <row r="149" spans="1:28" ht="20.100000000000001" customHeight="1">
      <c r="A149" s="475"/>
      <c r="B149" s="1145"/>
      <c r="C149" s="465"/>
      <c r="D149" s="466"/>
      <c r="E149" s="1134" t="s">
        <v>52</v>
      </c>
      <c r="F149" s="438">
        <f>+Y149</f>
        <v>12000</v>
      </c>
      <c r="G149" s="438">
        <v>12000</v>
      </c>
      <c r="H149" s="391"/>
      <c r="I149" s="1127"/>
      <c r="J149" s="2287" t="s">
        <v>8</v>
      </c>
      <c r="K149" s="2282"/>
      <c r="L149" s="2282"/>
      <c r="M149" s="2282"/>
      <c r="N149" s="2282"/>
      <c r="O149" s="2282"/>
      <c r="P149" s="2278"/>
      <c r="Q149" s="2288"/>
      <c r="R149" s="2262"/>
      <c r="S149" s="2288"/>
      <c r="T149" s="2288"/>
      <c r="U149" s="2278"/>
      <c r="V149" s="2288"/>
      <c r="W149" s="2288"/>
      <c r="X149" s="1140"/>
      <c r="Y149" s="1674">
        <f>SUM(Y150:Y152)</f>
        <v>12000</v>
      </c>
      <c r="Z149" s="1128"/>
      <c r="AA149" s="907">
        <f t="shared" si="14"/>
        <v>12000000000</v>
      </c>
      <c r="AB149" s="505"/>
    </row>
    <row r="150" spans="1:28" ht="20.100000000000001" customHeight="1">
      <c r="A150" s="475"/>
      <c r="B150" s="1145"/>
      <c r="C150" s="465"/>
      <c r="D150" s="466"/>
      <c r="E150" s="1134"/>
      <c r="F150" s="438"/>
      <c r="G150" s="438"/>
      <c r="H150" s="406"/>
      <c r="I150" s="1127"/>
      <c r="J150" s="2287" t="s">
        <v>2337</v>
      </c>
      <c r="K150" s="2282"/>
      <c r="L150" s="2282"/>
      <c r="M150" s="2282"/>
      <c r="N150" s="2278"/>
      <c r="O150" s="2278"/>
      <c r="P150" s="2278"/>
      <c r="Q150" s="2288">
        <v>2</v>
      </c>
      <c r="R150" s="2262" t="s">
        <v>2338</v>
      </c>
      <c r="S150" s="2288">
        <v>250000</v>
      </c>
      <c r="T150" s="2288" t="s">
        <v>0</v>
      </c>
      <c r="U150" s="2278"/>
      <c r="V150" s="2288">
        <v>8</v>
      </c>
      <c r="W150" s="2288" t="s">
        <v>6</v>
      </c>
      <c r="X150" s="1140" t="s">
        <v>1</v>
      </c>
      <c r="Y150" s="1674">
        <f>+Q150*S150*V150/1000</f>
        <v>4000</v>
      </c>
      <c r="Z150" s="1128"/>
      <c r="AA150" s="907">
        <f t="shared" si="14"/>
        <v>0</v>
      </c>
      <c r="AB150" s="505"/>
    </row>
    <row r="151" spans="1:28" ht="20.100000000000001" customHeight="1">
      <c r="A151" s="475"/>
      <c r="B151" s="1145"/>
      <c r="C151" s="465"/>
      <c r="D151" s="466"/>
      <c r="E151" s="1134"/>
      <c r="F151" s="438"/>
      <c r="G151" s="438"/>
      <c r="H151" s="406"/>
      <c r="I151" s="1127"/>
      <c r="J151" s="2287" t="s">
        <v>2339</v>
      </c>
      <c r="K151" s="2282"/>
      <c r="L151" s="2282"/>
      <c r="M151" s="2282"/>
      <c r="N151" s="2278"/>
      <c r="O151" s="2278"/>
      <c r="P151" s="2278"/>
      <c r="Q151" s="2288">
        <v>2</v>
      </c>
      <c r="R151" s="2262" t="s">
        <v>2338</v>
      </c>
      <c r="S151" s="2288">
        <v>250000</v>
      </c>
      <c r="T151" s="2288" t="s">
        <v>0</v>
      </c>
      <c r="U151" s="2278"/>
      <c r="V151" s="2288">
        <v>8</v>
      </c>
      <c r="W151" s="2288" t="s">
        <v>6</v>
      </c>
      <c r="X151" s="1140" t="s">
        <v>1</v>
      </c>
      <c r="Y151" s="1674">
        <f>+Q151*S151*V151/1000</f>
        <v>4000</v>
      </c>
      <c r="Z151" s="1128"/>
      <c r="AA151" s="907">
        <f t="shared" si="14"/>
        <v>0</v>
      </c>
      <c r="AB151" s="505"/>
    </row>
    <row r="152" spans="1:28" ht="20.100000000000001" customHeight="1">
      <c r="A152" s="475"/>
      <c r="B152" s="1145"/>
      <c r="C152" s="465"/>
      <c r="D152" s="466"/>
      <c r="E152" s="1134"/>
      <c r="F152" s="438"/>
      <c r="G152" s="392"/>
      <c r="H152" s="391"/>
      <c r="I152" s="1127"/>
      <c r="J152" s="2287" t="s">
        <v>2340</v>
      </c>
      <c r="K152" s="2282"/>
      <c r="L152" s="2282"/>
      <c r="M152" s="2282"/>
      <c r="N152" s="2278"/>
      <c r="O152" s="2278"/>
      <c r="P152" s="2278"/>
      <c r="Q152" s="2288">
        <v>10</v>
      </c>
      <c r="R152" s="2262" t="s">
        <v>28</v>
      </c>
      <c r="S152" s="2288">
        <v>200000</v>
      </c>
      <c r="T152" s="2288" t="s">
        <v>0</v>
      </c>
      <c r="U152" s="2288"/>
      <c r="V152" s="2288">
        <v>2</v>
      </c>
      <c r="W152" s="2288" t="s">
        <v>25</v>
      </c>
      <c r="X152" s="1140" t="s">
        <v>1</v>
      </c>
      <c r="Y152" s="1674">
        <f>+Q152*S152*V152/1000</f>
        <v>4000</v>
      </c>
      <c r="Z152" s="1128"/>
      <c r="AA152" s="907">
        <f t="shared" si="14"/>
        <v>0</v>
      </c>
      <c r="AB152" s="505"/>
    </row>
    <row r="153" spans="1:28" ht="20.100000000000001" customHeight="1">
      <c r="A153" s="475"/>
      <c r="B153" s="1145"/>
      <c r="C153" s="465"/>
      <c r="D153" s="466"/>
      <c r="E153" s="1134" t="s">
        <v>65</v>
      </c>
      <c r="F153" s="438">
        <f>+Y153</f>
        <v>210000</v>
      </c>
      <c r="G153" s="438">
        <v>210000</v>
      </c>
      <c r="H153" s="391"/>
      <c r="I153" s="1127"/>
      <c r="J153" s="2287" t="s">
        <v>8</v>
      </c>
      <c r="K153" s="2282"/>
      <c r="L153" s="2282"/>
      <c r="M153" s="2282"/>
      <c r="N153" s="2278"/>
      <c r="O153" s="2278"/>
      <c r="P153" s="2278"/>
      <c r="Q153" s="2288"/>
      <c r="R153" s="2262"/>
      <c r="S153" s="2288"/>
      <c r="T153" s="2288"/>
      <c r="U153" s="2278"/>
      <c r="V153" s="2288"/>
      <c r="W153" s="2288"/>
      <c r="X153" s="1140"/>
      <c r="Y153" s="1674">
        <f>SUM(Y154:Y156)</f>
        <v>210000</v>
      </c>
      <c r="Z153" s="1128"/>
      <c r="AA153" s="907">
        <f t="shared" si="14"/>
        <v>210000000000</v>
      </c>
      <c r="AB153" s="505"/>
    </row>
    <row r="154" spans="1:28" ht="20.100000000000001" customHeight="1">
      <c r="A154" s="475"/>
      <c r="B154" s="1145"/>
      <c r="C154" s="465"/>
      <c r="D154" s="466"/>
      <c r="E154" s="1134"/>
      <c r="F154" s="438"/>
      <c r="G154" s="438"/>
      <c r="H154" s="406"/>
      <c r="I154" s="1127"/>
      <c r="J154" s="2287" t="s">
        <v>2341</v>
      </c>
      <c r="K154" s="2282"/>
      <c r="L154" s="2282"/>
      <c r="M154" s="2282"/>
      <c r="N154" s="2278"/>
      <c r="O154" s="2278"/>
      <c r="P154" s="2278"/>
      <c r="Q154" s="2288">
        <v>2</v>
      </c>
      <c r="R154" s="2262" t="s">
        <v>2338</v>
      </c>
      <c r="S154" s="2288">
        <v>100000000</v>
      </c>
      <c r="T154" s="2288" t="s">
        <v>0</v>
      </c>
      <c r="U154" s="2278"/>
      <c r="V154" s="2288">
        <v>1</v>
      </c>
      <c r="W154" s="2288" t="s">
        <v>1788</v>
      </c>
      <c r="X154" s="1140" t="s">
        <v>1</v>
      </c>
      <c r="Y154" s="1674">
        <f t="shared" ref="Y154:Y158" si="15">+Q154*S154*V154/1000</f>
        <v>200000</v>
      </c>
      <c r="Z154" s="1128"/>
      <c r="AA154" s="907">
        <f t="shared" si="14"/>
        <v>0</v>
      </c>
      <c r="AB154" s="505"/>
    </row>
    <row r="155" spans="1:28" ht="20.100000000000001" customHeight="1">
      <c r="A155" s="475"/>
      <c r="B155" s="1145"/>
      <c r="C155" s="465"/>
      <c r="D155" s="466"/>
      <c r="E155" s="1134"/>
      <c r="F155" s="438"/>
      <c r="G155" s="438"/>
      <c r="H155" s="406"/>
      <c r="I155" s="1127"/>
      <c r="J155" s="2287" t="s">
        <v>2342</v>
      </c>
      <c r="K155" s="2282"/>
      <c r="L155" s="2282"/>
      <c r="M155" s="2282"/>
      <c r="N155" s="2278"/>
      <c r="O155" s="2278"/>
      <c r="P155" s="2278"/>
      <c r="Q155" s="2288">
        <v>1</v>
      </c>
      <c r="R155" s="2262" t="s">
        <v>2338</v>
      </c>
      <c r="S155" s="2288">
        <v>5000000</v>
      </c>
      <c r="T155" s="2288" t="s">
        <v>0</v>
      </c>
      <c r="U155" s="2278"/>
      <c r="V155" s="2288">
        <v>1</v>
      </c>
      <c r="W155" s="2288" t="s">
        <v>3</v>
      </c>
      <c r="X155" s="1140" t="s">
        <v>1</v>
      </c>
      <c r="Y155" s="1674">
        <f t="shared" si="15"/>
        <v>5000</v>
      </c>
      <c r="Z155" s="1128"/>
      <c r="AA155" s="907">
        <f t="shared" si="14"/>
        <v>0</v>
      </c>
      <c r="AB155" s="505"/>
    </row>
    <row r="156" spans="1:28" ht="20.100000000000001" customHeight="1">
      <c r="A156" s="475"/>
      <c r="B156" s="1145"/>
      <c r="C156" s="465"/>
      <c r="D156" s="466"/>
      <c r="E156" s="1134"/>
      <c r="F156" s="438"/>
      <c r="G156" s="438"/>
      <c r="H156" s="406"/>
      <c r="I156" s="1127"/>
      <c r="J156" s="2287" t="s">
        <v>2343</v>
      </c>
      <c r="K156" s="2282"/>
      <c r="L156" s="2282"/>
      <c r="M156" s="2282"/>
      <c r="N156" s="2278"/>
      <c r="O156" s="2278"/>
      <c r="P156" s="2278"/>
      <c r="Q156" s="2288">
        <v>1</v>
      </c>
      <c r="R156" s="2262" t="s">
        <v>2338</v>
      </c>
      <c r="S156" s="2288">
        <v>5000000</v>
      </c>
      <c r="T156" s="2288" t="s">
        <v>0</v>
      </c>
      <c r="U156" s="2278"/>
      <c r="V156" s="2288">
        <v>1</v>
      </c>
      <c r="W156" s="2288" t="s">
        <v>3</v>
      </c>
      <c r="X156" s="1140" t="s">
        <v>1</v>
      </c>
      <c r="Y156" s="1674">
        <f t="shared" si="15"/>
        <v>5000</v>
      </c>
      <c r="Z156" s="1128"/>
      <c r="AA156" s="907">
        <f t="shared" si="14"/>
        <v>0</v>
      </c>
      <c r="AB156" s="505"/>
    </row>
    <row r="157" spans="1:28" ht="20.100000000000001" customHeight="1">
      <c r="A157" s="475"/>
      <c r="B157" s="1145"/>
      <c r="C157" s="465"/>
      <c r="D157" s="466"/>
      <c r="E157" s="1134" t="s">
        <v>56</v>
      </c>
      <c r="F157" s="438">
        <f>+Y157</f>
        <v>12000</v>
      </c>
      <c r="G157" s="438">
        <v>12000</v>
      </c>
      <c r="H157" s="391"/>
      <c r="I157" s="1127"/>
      <c r="J157" s="2287" t="s">
        <v>2344</v>
      </c>
      <c r="K157" s="2282"/>
      <c r="L157" s="2282"/>
      <c r="M157" s="2282"/>
      <c r="N157" s="2278"/>
      <c r="O157" s="2278"/>
      <c r="P157" s="2278"/>
      <c r="Q157" s="2288">
        <v>2</v>
      </c>
      <c r="R157" s="2262" t="s">
        <v>2338</v>
      </c>
      <c r="S157" s="2288">
        <v>6000000</v>
      </c>
      <c r="T157" s="2288" t="s">
        <v>0</v>
      </c>
      <c r="U157" s="2278"/>
      <c r="V157" s="2288">
        <v>1</v>
      </c>
      <c r="W157" s="2288" t="s">
        <v>1788</v>
      </c>
      <c r="X157" s="1140" t="s">
        <v>1</v>
      </c>
      <c r="Y157" s="1674">
        <f t="shared" si="15"/>
        <v>12000</v>
      </c>
      <c r="Z157" s="1128"/>
      <c r="AA157" s="907">
        <f t="shared" si="14"/>
        <v>12000000000</v>
      </c>
      <c r="AB157" s="505"/>
    </row>
    <row r="158" spans="1:28" ht="20.100000000000001" customHeight="1">
      <c r="A158" s="475"/>
      <c r="B158" s="1145"/>
      <c r="C158" s="465"/>
      <c r="D158" s="466"/>
      <c r="E158" s="1134" t="s">
        <v>55</v>
      </c>
      <c r="F158" s="438">
        <f>+Y158</f>
        <v>2000</v>
      </c>
      <c r="G158" s="438">
        <v>2000</v>
      </c>
      <c r="H158" s="391"/>
      <c r="I158" s="1127"/>
      <c r="J158" s="2287" t="s">
        <v>2345</v>
      </c>
      <c r="K158" s="2282"/>
      <c r="L158" s="2282"/>
      <c r="M158" s="2282"/>
      <c r="N158" s="2278"/>
      <c r="O158" s="2278"/>
      <c r="P158" s="2278"/>
      <c r="Q158" s="2288">
        <v>5</v>
      </c>
      <c r="R158" s="2262" t="s">
        <v>1789</v>
      </c>
      <c r="S158" s="2288">
        <v>10000</v>
      </c>
      <c r="T158" s="2288" t="s">
        <v>0</v>
      </c>
      <c r="U158" s="2278"/>
      <c r="V158" s="2288">
        <v>40</v>
      </c>
      <c r="W158" s="2288" t="s">
        <v>3</v>
      </c>
      <c r="X158" s="1140" t="s">
        <v>1</v>
      </c>
      <c r="Y158" s="1674">
        <f t="shared" si="15"/>
        <v>2000</v>
      </c>
      <c r="Z158" s="1128"/>
      <c r="AA158" s="907">
        <f t="shared" si="14"/>
        <v>2000000000</v>
      </c>
      <c r="AB158" s="505"/>
    </row>
    <row r="159" spans="1:28" ht="20.100000000000001" customHeight="1">
      <c r="A159" s="475"/>
      <c r="B159" s="1145"/>
      <c r="C159" s="2407" t="s">
        <v>2973</v>
      </c>
      <c r="D159" s="2249"/>
      <c r="E159" s="2250"/>
      <c r="F159" s="764">
        <f>SUM(F160,F185,F197,F220,F227)</f>
        <v>167000</v>
      </c>
      <c r="G159" s="764">
        <f>SUM(G160,G185,G197,G220,G227)</f>
        <v>167000</v>
      </c>
      <c r="H159" s="1132">
        <f>F159-G159</f>
        <v>0</v>
      </c>
      <c r="I159" s="1127"/>
      <c r="J159" s="501"/>
      <c r="K159" s="2276"/>
      <c r="L159" s="2276"/>
      <c r="M159" s="2276"/>
      <c r="N159" s="2276"/>
      <c r="O159" s="2276"/>
      <c r="P159" s="484"/>
      <c r="Q159" s="2276"/>
      <c r="R159" s="2276"/>
      <c r="S159" s="484"/>
      <c r="T159" s="2276"/>
      <c r="U159" s="2276"/>
      <c r="V159" s="484"/>
      <c r="W159" s="2276"/>
      <c r="X159" s="502"/>
      <c r="Y159" s="503"/>
      <c r="Z159" s="1128">
        <f>F159*1000</f>
        <v>167000000</v>
      </c>
      <c r="AA159" s="907">
        <f t="shared" si="14"/>
        <v>167000000000</v>
      </c>
      <c r="AB159" s="505"/>
    </row>
    <row r="160" spans="1:28" ht="21.6" customHeight="1">
      <c r="A160" s="475"/>
      <c r="B160" s="1145"/>
      <c r="C160" s="809"/>
      <c r="D160" s="3367" t="s">
        <v>77</v>
      </c>
      <c r="E160" s="3276"/>
      <c r="F160" s="764">
        <f>SUM(F161:F184)</f>
        <v>44000</v>
      </c>
      <c r="G160" s="764">
        <f>SUM(G161:G184)</f>
        <v>44000</v>
      </c>
      <c r="H160" s="1132">
        <f>F160-G160</f>
        <v>0</v>
      </c>
      <c r="I160" s="1127"/>
      <c r="J160" s="501"/>
      <c r="K160" s="2276"/>
      <c r="L160" s="2276"/>
      <c r="M160" s="2276"/>
      <c r="N160" s="2276"/>
      <c r="O160" s="2276"/>
      <c r="P160" s="484"/>
      <c r="Q160" s="2276"/>
      <c r="R160" s="2276"/>
      <c r="S160" s="484"/>
      <c r="T160" s="2276"/>
      <c r="U160" s="2276"/>
      <c r="V160" s="484"/>
      <c r="W160" s="2276"/>
      <c r="X160" s="502"/>
      <c r="Y160" s="503"/>
      <c r="Z160" s="1128">
        <f>F160*1000</f>
        <v>44000000</v>
      </c>
      <c r="AA160" s="907">
        <f t="shared" si="14"/>
        <v>44000000000</v>
      </c>
      <c r="AB160" s="505"/>
    </row>
    <row r="161" spans="1:28" ht="21.6" customHeight="1">
      <c r="A161" s="475"/>
      <c r="B161" s="1145"/>
      <c r="C161" s="465"/>
      <c r="D161" s="367"/>
      <c r="E161" s="444" t="s">
        <v>51</v>
      </c>
      <c r="F161" s="932">
        <f>Y161</f>
        <v>5600</v>
      </c>
      <c r="G161" s="932">
        <v>5600</v>
      </c>
      <c r="H161" s="1193"/>
      <c r="I161" s="1888"/>
      <c r="J161" s="2287" t="s">
        <v>8</v>
      </c>
      <c r="K161" s="2282"/>
      <c r="L161" s="2282"/>
      <c r="M161" s="2282"/>
      <c r="N161" s="2278"/>
      <c r="O161" s="2278"/>
      <c r="P161" s="2278"/>
      <c r="Q161" s="2288"/>
      <c r="R161" s="2262"/>
      <c r="S161" s="2262" t="s">
        <v>19</v>
      </c>
      <c r="T161" s="2288" t="s">
        <v>19</v>
      </c>
      <c r="U161" s="2288" t="s">
        <v>19</v>
      </c>
      <c r="V161" s="2288" t="s">
        <v>19</v>
      </c>
      <c r="W161" s="2288" t="s">
        <v>19</v>
      </c>
      <c r="X161" s="1140" t="s">
        <v>19</v>
      </c>
      <c r="Y161" s="656">
        <f>SUM(Y162:Y164)</f>
        <v>5600</v>
      </c>
      <c r="Z161" s="1128"/>
      <c r="AA161" s="907">
        <f t="shared" si="14"/>
        <v>5600000000</v>
      </c>
      <c r="AB161" s="505"/>
    </row>
    <row r="162" spans="1:28" ht="21.6" customHeight="1">
      <c r="A162" s="475"/>
      <c r="B162" s="1145"/>
      <c r="C162" s="465"/>
      <c r="D162" s="1131"/>
      <c r="E162" s="1134"/>
      <c r="F162" s="438"/>
      <c r="G162" s="438"/>
      <c r="H162" s="482"/>
      <c r="I162" s="1888"/>
      <c r="J162" s="2287" t="s">
        <v>2346</v>
      </c>
      <c r="K162" s="2282"/>
      <c r="L162" s="2282"/>
      <c r="M162" s="2282"/>
      <c r="N162" s="2282"/>
      <c r="O162" s="2282"/>
      <c r="P162" s="2278"/>
      <c r="Q162" s="2278"/>
      <c r="R162" s="2288"/>
      <c r="S162" s="2288">
        <v>4200</v>
      </c>
      <c r="T162" s="2288" t="s">
        <v>0</v>
      </c>
      <c r="U162" s="2278"/>
      <c r="V162" s="2288">
        <v>500</v>
      </c>
      <c r="W162" s="2288" t="s">
        <v>63</v>
      </c>
      <c r="X162" s="1140" t="s">
        <v>1</v>
      </c>
      <c r="Y162" s="1674">
        <f>S162*V162/1000</f>
        <v>2100</v>
      </c>
      <c r="Z162" s="1128"/>
      <c r="AA162" s="907">
        <f t="shared" si="14"/>
        <v>0</v>
      </c>
      <c r="AB162" s="505"/>
    </row>
    <row r="163" spans="1:28" ht="21.6" customHeight="1">
      <c r="A163" s="475"/>
      <c r="B163" s="1145"/>
      <c r="C163" s="465"/>
      <c r="D163" s="1131"/>
      <c r="E163" s="1134"/>
      <c r="F163" s="438"/>
      <c r="G163" s="438"/>
      <c r="H163" s="482"/>
      <c r="I163" s="1888"/>
      <c r="J163" s="2287" t="s">
        <v>2347</v>
      </c>
      <c r="K163" s="2282"/>
      <c r="L163" s="2282"/>
      <c r="M163" s="2282"/>
      <c r="N163" s="2282"/>
      <c r="O163" s="2282"/>
      <c r="P163" s="2278"/>
      <c r="Q163" s="2278"/>
      <c r="R163" s="2288"/>
      <c r="S163" s="2288">
        <v>3000</v>
      </c>
      <c r="T163" s="2288" t="s">
        <v>0</v>
      </c>
      <c r="U163" s="2278"/>
      <c r="V163" s="2288">
        <v>600</v>
      </c>
      <c r="W163" s="2288" t="s">
        <v>63</v>
      </c>
      <c r="X163" s="1140" t="s">
        <v>1</v>
      </c>
      <c r="Y163" s="1674">
        <f>S163*V163/1000</f>
        <v>1800</v>
      </c>
      <c r="Z163" s="1128"/>
      <c r="AA163" s="907">
        <f t="shared" si="14"/>
        <v>0</v>
      </c>
      <c r="AB163" s="505"/>
    </row>
    <row r="164" spans="1:28" ht="21.6" customHeight="1">
      <c r="A164" s="475"/>
      <c r="B164" s="1145"/>
      <c r="C164" s="465"/>
      <c r="D164" s="1131"/>
      <c r="E164" s="1701"/>
      <c r="F164" s="1701"/>
      <c r="G164" s="1701"/>
      <c r="H164" s="1889"/>
      <c r="I164" s="1890"/>
      <c r="J164" s="2287" t="s">
        <v>2348</v>
      </c>
      <c r="K164" s="2282"/>
      <c r="L164" s="2282"/>
      <c r="M164" s="2282"/>
      <c r="N164" s="2282"/>
      <c r="O164" s="2282"/>
      <c r="P164" s="2278"/>
      <c r="Q164" s="2278"/>
      <c r="R164" s="2288"/>
      <c r="S164" s="2288">
        <v>5000</v>
      </c>
      <c r="T164" s="2288" t="s">
        <v>0</v>
      </c>
      <c r="U164" s="2278"/>
      <c r="V164" s="2288">
        <v>340</v>
      </c>
      <c r="W164" s="2288" t="s">
        <v>63</v>
      </c>
      <c r="X164" s="1140" t="s">
        <v>1</v>
      </c>
      <c r="Y164" s="1674">
        <f>+S164*V164/1000</f>
        <v>1700</v>
      </c>
      <c r="Z164" s="1128"/>
      <c r="AA164" s="907">
        <f t="shared" si="14"/>
        <v>0</v>
      </c>
      <c r="AB164" s="505"/>
    </row>
    <row r="165" spans="1:28" ht="22.5" customHeight="1">
      <c r="A165" s="475"/>
      <c r="B165" s="1145"/>
      <c r="C165" s="465"/>
      <c r="D165" s="1131"/>
      <c r="E165" s="1134" t="s">
        <v>73</v>
      </c>
      <c r="F165" s="438">
        <f>Y165</f>
        <v>2800</v>
      </c>
      <c r="G165" s="438">
        <v>2800</v>
      </c>
      <c r="H165" s="482"/>
      <c r="I165" s="1888"/>
      <c r="J165" s="2287" t="s">
        <v>8</v>
      </c>
      <c r="K165" s="2282"/>
      <c r="L165" s="2282"/>
      <c r="M165" s="2282"/>
      <c r="N165" s="2278"/>
      <c r="O165" s="2278"/>
      <c r="P165" s="2278"/>
      <c r="Q165" s="2288"/>
      <c r="R165" s="2262"/>
      <c r="S165" s="2262" t="s">
        <v>19</v>
      </c>
      <c r="T165" s="2288" t="s">
        <v>19</v>
      </c>
      <c r="U165" s="2288" t="s">
        <v>19</v>
      </c>
      <c r="V165" s="2288" t="s">
        <v>19</v>
      </c>
      <c r="W165" s="2288" t="s">
        <v>19</v>
      </c>
      <c r="X165" s="1140" t="s">
        <v>19</v>
      </c>
      <c r="Y165" s="656">
        <f>SUM(Y166:Y168)</f>
        <v>2800</v>
      </c>
      <c r="Z165" s="1128"/>
      <c r="AA165" s="907">
        <f t="shared" si="14"/>
        <v>2800000000</v>
      </c>
      <c r="AB165" s="505"/>
    </row>
    <row r="166" spans="1:28" ht="22.5" customHeight="1">
      <c r="A166" s="475"/>
      <c r="B166" s="1145"/>
      <c r="C166" s="465"/>
      <c r="D166" s="1131"/>
      <c r="E166" s="1134"/>
      <c r="F166" s="438"/>
      <c r="G166" s="438"/>
      <c r="H166" s="482"/>
      <c r="I166" s="1888"/>
      <c r="J166" s="2287" t="s">
        <v>2349</v>
      </c>
      <c r="K166" s="2282"/>
      <c r="L166" s="2282"/>
      <c r="M166" s="2282"/>
      <c r="N166" s="2282"/>
      <c r="O166" s="2282"/>
      <c r="P166" s="2278"/>
      <c r="Q166" s="2278"/>
      <c r="R166" s="2288"/>
      <c r="S166" s="2288">
        <v>400000</v>
      </c>
      <c r="T166" s="2288" t="s">
        <v>0</v>
      </c>
      <c r="U166" s="2278"/>
      <c r="V166" s="2288">
        <v>2</v>
      </c>
      <c r="W166" s="2288" t="s">
        <v>3</v>
      </c>
      <c r="X166" s="1140" t="s">
        <v>1</v>
      </c>
      <c r="Y166" s="1674">
        <f>+S166*V166/1000</f>
        <v>800</v>
      </c>
      <c r="Z166" s="1128"/>
      <c r="AA166" s="907">
        <f t="shared" si="14"/>
        <v>0</v>
      </c>
      <c r="AB166" s="505"/>
    </row>
    <row r="167" spans="1:28" ht="22.5" customHeight="1">
      <c r="A167" s="475"/>
      <c r="B167" s="1145"/>
      <c r="C167" s="465"/>
      <c r="D167" s="1131"/>
      <c r="E167" s="1701"/>
      <c r="F167" s="1701"/>
      <c r="G167" s="1701"/>
      <c r="H167" s="1889"/>
      <c r="I167" s="1890"/>
      <c r="J167" s="2287" t="s">
        <v>2350</v>
      </c>
      <c r="K167" s="2282"/>
      <c r="L167" s="2282"/>
      <c r="M167" s="2282"/>
      <c r="N167" s="2282"/>
      <c r="O167" s="2282"/>
      <c r="P167" s="2278"/>
      <c r="Q167" s="2278"/>
      <c r="R167" s="2288"/>
      <c r="S167" s="2288">
        <v>300000</v>
      </c>
      <c r="T167" s="2288" t="s">
        <v>0</v>
      </c>
      <c r="U167" s="2278"/>
      <c r="V167" s="2288">
        <v>5</v>
      </c>
      <c r="W167" s="2288" t="s">
        <v>6</v>
      </c>
      <c r="X167" s="1140" t="s">
        <v>1</v>
      </c>
      <c r="Y167" s="1674">
        <f>+S167*V167/1000</f>
        <v>1500</v>
      </c>
      <c r="Z167" s="1128"/>
      <c r="AA167" s="907">
        <f t="shared" si="14"/>
        <v>0</v>
      </c>
      <c r="AB167" s="505"/>
    </row>
    <row r="168" spans="1:28" ht="22.5" customHeight="1">
      <c r="A168" s="475"/>
      <c r="B168" s="1145"/>
      <c r="C168" s="465"/>
      <c r="D168" s="1131"/>
      <c r="E168" s="1701"/>
      <c r="F168" s="1701"/>
      <c r="G168" s="1701"/>
      <c r="H168" s="1889"/>
      <c r="I168" s="1890"/>
      <c r="J168" s="2287" t="s">
        <v>2351</v>
      </c>
      <c r="K168" s="2282"/>
      <c r="L168" s="2282"/>
      <c r="M168" s="2282"/>
      <c r="N168" s="2282"/>
      <c r="O168" s="2282"/>
      <c r="P168" s="2278"/>
      <c r="Q168" s="2278"/>
      <c r="R168" s="2288"/>
      <c r="S168" s="2288">
        <v>100000</v>
      </c>
      <c r="T168" s="2288" t="s">
        <v>0</v>
      </c>
      <c r="U168" s="2278"/>
      <c r="V168" s="2288">
        <v>5</v>
      </c>
      <c r="W168" s="2288" t="s">
        <v>1823</v>
      </c>
      <c r="X168" s="1140" t="s">
        <v>1</v>
      </c>
      <c r="Y168" s="1674">
        <f>+S168*V168/1000</f>
        <v>500</v>
      </c>
      <c r="Z168" s="1128"/>
      <c r="AA168" s="907">
        <f t="shared" si="14"/>
        <v>0</v>
      </c>
      <c r="AB168" s="505"/>
    </row>
    <row r="169" spans="1:28" ht="22.5" customHeight="1">
      <c r="A169" s="475"/>
      <c r="B169" s="1145"/>
      <c r="C169" s="465"/>
      <c r="D169" s="1131"/>
      <c r="E169" s="1134" t="s">
        <v>52</v>
      </c>
      <c r="F169" s="438">
        <f>Y169</f>
        <v>18800</v>
      </c>
      <c r="G169" s="438">
        <v>18800</v>
      </c>
      <c r="H169" s="482"/>
      <c r="I169" s="1888"/>
      <c r="J169" s="2287" t="s">
        <v>8</v>
      </c>
      <c r="K169" s="2282"/>
      <c r="L169" s="2282"/>
      <c r="M169" s="2282"/>
      <c r="N169" s="2278"/>
      <c r="O169" s="2278"/>
      <c r="P169" s="2278"/>
      <c r="Q169" s="2288"/>
      <c r="R169" s="2262"/>
      <c r="S169" s="2262" t="s">
        <v>19</v>
      </c>
      <c r="T169" s="2288" t="s">
        <v>19</v>
      </c>
      <c r="U169" s="2288" t="s">
        <v>19</v>
      </c>
      <c r="V169" s="2288" t="s">
        <v>19</v>
      </c>
      <c r="W169" s="2288" t="s">
        <v>19</v>
      </c>
      <c r="X169" s="1140" t="s">
        <v>19</v>
      </c>
      <c r="Y169" s="656">
        <f>SUM(Y170:Y175)</f>
        <v>18800</v>
      </c>
      <c r="Z169" s="1128"/>
      <c r="AA169" s="907">
        <f t="shared" si="14"/>
        <v>18800000000</v>
      </c>
      <c r="AB169" s="505"/>
    </row>
    <row r="170" spans="1:28" ht="22.5" customHeight="1">
      <c r="A170" s="475"/>
      <c r="B170" s="1145"/>
      <c r="C170" s="465"/>
      <c r="D170" s="1131"/>
      <c r="E170" s="1134"/>
      <c r="F170" s="438"/>
      <c r="G170" s="438"/>
      <c r="H170" s="482"/>
      <c r="I170" s="1888"/>
      <c r="J170" s="2287" t="s">
        <v>2352</v>
      </c>
      <c r="K170" s="2282"/>
      <c r="L170" s="2282"/>
      <c r="M170" s="2282"/>
      <c r="N170" s="2282"/>
      <c r="O170" s="2282"/>
      <c r="P170" s="2278"/>
      <c r="Q170" s="2278">
        <v>2</v>
      </c>
      <c r="R170" s="2288" t="s">
        <v>23</v>
      </c>
      <c r="S170" s="2288">
        <v>50000</v>
      </c>
      <c r="T170" s="2288" t="s">
        <v>0</v>
      </c>
      <c r="U170" s="2278"/>
      <c r="V170" s="2288">
        <v>42</v>
      </c>
      <c r="W170" s="2288" t="s">
        <v>3</v>
      </c>
      <c r="X170" s="1140" t="s">
        <v>1</v>
      </c>
      <c r="Y170" s="1674">
        <f>+Q170*S170*V170/1000</f>
        <v>4200</v>
      </c>
      <c r="Z170" s="1128"/>
      <c r="AA170" s="907">
        <f t="shared" si="14"/>
        <v>0</v>
      </c>
      <c r="AB170" s="505"/>
    </row>
    <row r="171" spans="1:28" ht="22.5" customHeight="1">
      <c r="A171" s="475"/>
      <c r="B171" s="1145"/>
      <c r="C171" s="465"/>
      <c r="D171" s="1131"/>
      <c r="E171" s="1134"/>
      <c r="F171" s="438"/>
      <c r="G171" s="438"/>
      <c r="H171" s="482"/>
      <c r="I171" s="1888"/>
      <c r="J171" s="2287" t="s">
        <v>2353</v>
      </c>
      <c r="K171" s="2282"/>
      <c r="L171" s="2282"/>
      <c r="M171" s="2282"/>
      <c r="N171" s="2282"/>
      <c r="O171" s="2282"/>
      <c r="P171" s="2278"/>
      <c r="Q171" s="2278">
        <v>2</v>
      </c>
      <c r="R171" s="2288" t="s">
        <v>23</v>
      </c>
      <c r="S171" s="2288">
        <v>150000</v>
      </c>
      <c r="T171" s="2288" t="s">
        <v>0</v>
      </c>
      <c r="U171" s="2278"/>
      <c r="V171" s="2288">
        <v>8</v>
      </c>
      <c r="W171" s="2288" t="s">
        <v>3</v>
      </c>
      <c r="X171" s="1140" t="s">
        <v>1</v>
      </c>
      <c r="Y171" s="1674">
        <f>+Q171*S171*V171/1000</f>
        <v>2400</v>
      </c>
      <c r="Z171" s="1128"/>
      <c r="AA171" s="907">
        <f t="shared" si="14"/>
        <v>0</v>
      </c>
      <c r="AB171" s="505"/>
    </row>
    <row r="172" spans="1:28" ht="22.5" customHeight="1">
      <c r="A172" s="475"/>
      <c r="B172" s="1145"/>
      <c r="C172" s="465"/>
      <c r="D172" s="1131"/>
      <c r="E172" s="1134"/>
      <c r="F172" s="438"/>
      <c r="G172" s="438"/>
      <c r="H172" s="482"/>
      <c r="I172" s="1888"/>
      <c r="J172" s="2287" t="s">
        <v>2354</v>
      </c>
      <c r="K172" s="2282"/>
      <c r="L172" s="2282"/>
      <c r="M172" s="2282"/>
      <c r="N172" s="2282"/>
      <c r="O172" s="2282"/>
      <c r="P172" s="2278"/>
      <c r="Q172" s="2278"/>
      <c r="R172" s="2288"/>
      <c r="S172" s="2288">
        <v>300000</v>
      </c>
      <c r="T172" s="2288" t="s">
        <v>0</v>
      </c>
      <c r="U172" s="2278"/>
      <c r="V172" s="2288">
        <v>2</v>
      </c>
      <c r="W172" s="2288" t="s">
        <v>3</v>
      </c>
      <c r="X172" s="1140" t="s">
        <v>1</v>
      </c>
      <c r="Y172" s="1674">
        <f>S172*V172/1000</f>
        <v>600</v>
      </c>
      <c r="Z172" s="1128"/>
      <c r="AA172" s="907">
        <f t="shared" si="14"/>
        <v>0</v>
      </c>
      <c r="AB172" s="505"/>
    </row>
    <row r="173" spans="1:28" ht="22.5" customHeight="1">
      <c r="A173" s="475"/>
      <c r="B173" s="1145"/>
      <c r="C173" s="465"/>
      <c r="D173" s="1131"/>
      <c r="E173" s="1701"/>
      <c r="F173" s="1701"/>
      <c r="G173" s="1701"/>
      <c r="H173" s="1889"/>
      <c r="I173" s="1890"/>
      <c r="J173" s="2287" t="s">
        <v>2355</v>
      </c>
      <c r="K173" s="2282"/>
      <c r="L173" s="2282"/>
      <c r="M173" s="2282"/>
      <c r="N173" s="2282"/>
      <c r="O173" s="2282"/>
      <c r="P173" s="2278"/>
      <c r="Q173" s="2278">
        <v>2</v>
      </c>
      <c r="R173" s="2288" t="s">
        <v>23</v>
      </c>
      <c r="S173" s="2288">
        <v>70000</v>
      </c>
      <c r="T173" s="2288" t="s">
        <v>0</v>
      </c>
      <c r="U173" s="2278"/>
      <c r="V173" s="2288">
        <v>25</v>
      </c>
      <c r="W173" s="2288" t="s">
        <v>3</v>
      </c>
      <c r="X173" s="1140" t="s">
        <v>1</v>
      </c>
      <c r="Y173" s="1674">
        <f>Q173*S173*V173/1000</f>
        <v>3500</v>
      </c>
      <c r="Z173" s="1128"/>
      <c r="AA173" s="907">
        <f t="shared" si="14"/>
        <v>0</v>
      </c>
      <c r="AB173" s="505"/>
    </row>
    <row r="174" spans="1:28" ht="22.5" customHeight="1">
      <c r="A174" s="475"/>
      <c r="B174" s="1145"/>
      <c r="C174" s="465"/>
      <c r="D174" s="1131"/>
      <c r="E174" s="1134"/>
      <c r="F174" s="438"/>
      <c r="G174" s="438"/>
      <c r="H174" s="482"/>
      <c r="I174" s="1888"/>
      <c r="J174" s="2287" t="s">
        <v>2356</v>
      </c>
      <c r="K174" s="2282"/>
      <c r="L174" s="2282"/>
      <c r="M174" s="2282"/>
      <c r="N174" s="2282"/>
      <c r="O174" s="2282"/>
      <c r="P174" s="2278"/>
      <c r="Q174" s="2278"/>
      <c r="R174" s="2288"/>
      <c r="S174" s="2288">
        <v>300000</v>
      </c>
      <c r="T174" s="2288" t="s">
        <v>0</v>
      </c>
      <c r="U174" s="2278"/>
      <c r="V174" s="2288">
        <v>3</v>
      </c>
      <c r="W174" s="2288" t="s">
        <v>3</v>
      </c>
      <c r="X174" s="1140" t="s">
        <v>1</v>
      </c>
      <c r="Y174" s="1674">
        <f>S174*V174/1000</f>
        <v>900</v>
      </c>
      <c r="Z174" s="1128"/>
      <c r="AA174" s="907">
        <f t="shared" si="14"/>
        <v>0</v>
      </c>
      <c r="AB174" s="505"/>
    </row>
    <row r="175" spans="1:28" ht="22.5" customHeight="1">
      <c r="A175" s="475"/>
      <c r="B175" s="1145"/>
      <c r="C175" s="465"/>
      <c r="D175" s="1131"/>
      <c r="E175" s="1701"/>
      <c r="F175" s="1701"/>
      <c r="G175" s="1701"/>
      <c r="H175" s="1889"/>
      <c r="I175" s="1890"/>
      <c r="J175" s="2287" t="s">
        <v>2357</v>
      </c>
      <c r="K175" s="2282"/>
      <c r="L175" s="2282"/>
      <c r="M175" s="2282"/>
      <c r="N175" s="2282"/>
      <c r="O175" s="2282"/>
      <c r="P175" s="2278"/>
      <c r="Q175" s="2278">
        <v>6</v>
      </c>
      <c r="R175" s="2288" t="s">
        <v>23</v>
      </c>
      <c r="S175" s="2288">
        <v>150000</v>
      </c>
      <c r="T175" s="2288" t="s">
        <v>0</v>
      </c>
      <c r="U175" s="2278"/>
      <c r="V175" s="2288">
        <v>8</v>
      </c>
      <c r="W175" s="2288" t="s">
        <v>3</v>
      </c>
      <c r="X175" s="1140" t="s">
        <v>1</v>
      </c>
      <c r="Y175" s="1674">
        <f>Q175*S175*V175/1000</f>
        <v>7200</v>
      </c>
      <c r="Z175" s="1128"/>
      <c r="AA175" s="907">
        <f t="shared" si="14"/>
        <v>0</v>
      </c>
      <c r="AB175" s="505"/>
    </row>
    <row r="176" spans="1:28" ht="22.5" customHeight="1">
      <c r="A176" s="475"/>
      <c r="B176" s="1145"/>
      <c r="C176" s="465"/>
      <c r="D176" s="1131"/>
      <c r="E176" s="1134" t="s">
        <v>65</v>
      </c>
      <c r="F176" s="438">
        <f>Y176</f>
        <v>15000</v>
      </c>
      <c r="G176" s="438">
        <v>15000</v>
      </c>
      <c r="H176" s="482"/>
      <c r="I176" s="1888"/>
      <c r="J176" s="2287" t="s">
        <v>8</v>
      </c>
      <c r="K176" s="2282"/>
      <c r="L176" s="2282"/>
      <c r="M176" s="2282"/>
      <c r="N176" s="2278"/>
      <c r="O176" s="2278"/>
      <c r="P176" s="2278"/>
      <c r="Q176" s="2288"/>
      <c r="R176" s="2262"/>
      <c r="S176" s="2262" t="s">
        <v>19</v>
      </c>
      <c r="T176" s="2288" t="s">
        <v>19</v>
      </c>
      <c r="U176" s="2288" t="s">
        <v>19</v>
      </c>
      <c r="V176" s="2288" t="s">
        <v>19</v>
      </c>
      <c r="W176" s="2288" t="s">
        <v>19</v>
      </c>
      <c r="X176" s="1140" t="s">
        <v>19</v>
      </c>
      <c r="Y176" s="656">
        <f>SUM(Y177:Y182)</f>
        <v>15000</v>
      </c>
      <c r="Z176" s="1128"/>
      <c r="AA176" s="907">
        <f t="shared" si="14"/>
        <v>15000000000</v>
      </c>
      <c r="AB176" s="505"/>
    </row>
    <row r="177" spans="1:28" ht="22.5" customHeight="1">
      <c r="A177" s="475"/>
      <c r="B177" s="1145"/>
      <c r="C177" s="465"/>
      <c r="D177" s="1131"/>
      <c r="E177" s="1701"/>
      <c r="F177" s="1701"/>
      <c r="G177" s="1701"/>
      <c r="H177" s="1889"/>
      <c r="I177" s="1890"/>
      <c r="J177" s="2287" t="s">
        <v>2358</v>
      </c>
      <c r="K177" s="2282"/>
      <c r="L177" s="2282"/>
      <c r="M177" s="2282"/>
      <c r="N177" s="2282"/>
      <c r="O177" s="2282"/>
      <c r="P177" s="2278"/>
      <c r="Q177" s="2278"/>
      <c r="R177" s="2288"/>
      <c r="S177" s="2288">
        <v>500000</v>
      </c>
      <c r="T177" s="2288" t="s">
        <v>0</v>
      </c>
      <c r="U177" s="2278"/>
      <c r="V177" s="2288">
        <v>3</v>
      </c>
      <c r="W177" s="2288" t="s">
        <v>3</v>
      </c>
      <c r="X177" s="1140" t="s">
        <v>1</v>
      </c>
      <c r="Y177" s="1674">
        <f t="shared" ref="Y177:Y183" si="16">+S177*V177/1000</f>
        <v>1500</v>
      </c>
      <c r="Z177" s="1128"/>
      <c r="AA177" s="907">
        <f t="shared" si="14"/>
        <v>0</v>
      </c>
      <c r="AB177" s="505"/>
    </row>
    <row r="178" spans="1:28" ht="22.5" customHeight="1">
      <c r="A178" s="475"/>
      <c r="B178" s="1145"/>
      <c r="C178" s="465"/>
      <c r="D178" s="1131"/>
      <c r="E178" s="1126"/>
      <c r="F178" s="337"/>
      <c r="G178" s="337"/>
      <c r="H178" s="482"/>
      <c r="I178" s="1888"/>
      <c r="J178" s="2287" t="s">
        <v>2359</v>
      </c>
      <c r="K178" s="2282"/>
      <c r="L178" s="2282"/>
      <c r="M178" s="2282"/>
      <c r="N178" s="2282"/>
      <c r="O178" s="2282"/>
      <c r="P178" s="2278"/>
      <c r="Q178" s="2278"/>
      <c r="R178" s="2288"/>
      <c r="S178" s="2288">
        <v>1500000</v>
      </c>
      <c r="T178" s="2288" t="s">
        <v>0</v>
      </c>
      <c r="U178" s="2278"/>
      <c r="V178" s="2288">
        <v>3</v>
      </c>
      <c r="W178" s="2288" t="s">
        <v>1823</v>
      </c>
      <c r="X178" s="1140" t="s">
        <v>1</v>
      </c>
      <c r="Y178" s="1674">
        <f t="shared" si="16"/>
        <v>4500</v>
      </c>
      <c r="Z178" s="1128"/>
      <c r="AA178" s="907">
        <f t="shared" si="14"/>
        <v>0</v>
      </c>
      <c r="AB178" s="505"/>
    </row>
    <row r="179" spans="1:28" ht="22.5" customHeight="1">
      <c r="A179" s="475"/>
      <c r="B179" s="1145"/>
      <c r="C179" s="465"/>
      <c r="D179" s="1144"/>
      <c r="E179" s="1126"/>
      <c r="F179" s="337"/>
      <c r="G179" s="337"/>
      <c r="H179" s="482"/>
      <c r="I179" s="1888"/>
      <c r="J179" s="2287" t="s">
        <v>2360</v>
      </c>
      <c r="K179" s="2282"/>
      <c r="L179" s="2282"/>
      <c r="M179" s="2282"/>
      <c r="N179" s="2282"/>
      <c r="O179" s="2282"/>
      <c r="P179" s="2278"/>
      <c r="Q179" s="2278"/>
      <c r="R179" s="2288"/>
      <c r="S179" s="2288">
        <v>5000</v>
      </c>
      <c r="T179" s="2288" t="s">
        <v>0</v>
      </c>
      <c r="U179" s="2278"/>
      <c r="V179" s="2288">
        <v>500</v>
      </c>
      <c r="W179" s="2288" t="s">
        <v>58</v>
      </c>
      <c r="X179" s="1140" t="s">
        <v>1</v>
      </c>
      <c r="Y179" s="1674">
        <f t="shared" si="16"/>
        <v>2500</v>
      </c>
      <c r="Z179" s="1128"/>
      <c r="AA179" s="907">
        <f t="shared" si="14"/>
        <v>0</v>
      </c>
      <c r="AB179" s="505"/>
    </row>
    <row r="180" spans="1:28" ht="22.5" customHeight="1">
      <c r="A180" s="475"/>
      <c r="B180" s="1145"/>
      <c r="C180" s="465"/>
      <c r="D180" s="1144"/>
      <c r="E180" s="1126"/>
      <c r="F180" s="337"/>
      <c r="G180" s="337"/>
      <c r="H180" s="482"/>
      <c r="I180" s="1888"/>
      <c r="J180" s="2287" t="s">
        <v>2361</v>
      </c>
      <c r="K180" s="2282"/>
      <c r="L180" s="2282"/>
      <c r="M180" s="2282"/>
      <c r="N180" s="2282"/>
      <c r="O180" s="2282"/>
      <c r="P180" s="2278"/>
      <c r="Q180" s="2278"/>
      <c r="R180" s="2288"/>
      <c r="S180" s="2288">
        <v>5000</v>
      </c>
      <c r="T180" s="2288" t="s">
        <v>0</v>
      </c>
      <c r="U180" s="2278"/>
      <c r="V180" s="2288">
        <v>200</v>
      </c>
      <c r="W180" s="2288" t="s">
        <v>58</v>
      </c>
      <c r="X180" s="1140" t="s">
        <v>1</v>
      </c>
      <c r="Y180" s="1674">
        <f t="shared" si="16"/>
        <v>1000</v>
      </c>
      <c r="Z180" s="1128"/>
      <c r="AA180" s="907">
        <f t="shared" si="14"/>
        <v>0</v>
      </c>
      <c r="AB180" s="505"/>
    </row>
    <row r="181" spans="1:28" ht="22.5" customHeight="1">
      <c r="A181" s="475"/>
      <c r="B181" s="1145"/>
      <c r="C181" s="465"/>
      <c r="D181" s="1144"/>
      <c r="E181" s="1126"/>
      <c r="F181" s="337"/>
      <c r="G181" s="337"/>
      <c r="H181" s="482"/>
      <c r="I181" s="1888"/>
      <c r="J181" s="2287" t="s">
        <v>2362</v>
      </c>
      <c r="K181" s="2282"/>
      <c r="L181" s="2282"/>
      <c r="M181" s="2282"/>
      <c r="N181" s="2282"/>
      <c r="O181" s="2282"/>
      <c r="P181" s="2278"/>
      <c r="Q181" s="2278"/>
      <c r="R181" s="2288"/>
      <c r="S181" s="2288">
        <v>10000</v>
      </c>
      <c r="T181" s="2288" t="s">
        <v>0</v>
      </c>
      <c r="U181" s="2278"/>
      <c r="V181" s="2288">
        <v>500</v>
      </c>
      <c r="W181" s="2288" t="s">
        <v>58</v>
      </c>
      <c r="X181" s="1140" t="s">
        <v>1</v>
      </c>
      <c r="Y181" s="1674">
        <f t="shared" si="16"/>
        <v>5000</v>
      </c>
      <c r="Z181" s="1128"/>
      <c r="AA181" s="907">
        <f t="shared" si="14"/>
        <v>0</v>
      </c>
      <c r="AB181" s="505"/>
    </row>
    <row r="182" spans="1:28" ht="22.5" customHeight="1">
      <c r="A182" s="475"/>
      <c r="B182" s="1145"/>
      <c r="C182" s="465"/>
      <c r="D182" s="1144"/>
      <c r="E182" s="1126"/>
      <c r="F182" s="337"/>
      <c r="G182" s="337"/>
      <c r="H182" s="482"/>
      <c r="I182" s="1888"/>
      <c r="J182" s="2287" t="s">
        <v>2363</v>
      </c>
      <c r="K182" s="2282"/>
      <c r="L182" s="2282"/>
      <c r="M182" s="2282"/>
      <c r="N182" s="2282"/>
      <c r="O182" s="2282"/>
      <c r="P182" s="2278"/>
      <c r="Q182" s="2278"/>
      <c r="R182" s="2288"/>
      <c r="S182" s="2288">
        <v>500000</v>
      </c>
      <c r="T182" s="2288" t="s">
        <v>0</v>
      </c>
      <c r="U182" s="2278"/>
      <c r="V182" s="2288">
        <v>1</v>
      </c>
      <c r="W182" s="2288" t="s">
        <v>1823</v>
      </c>
      <c r="X182" s="1140" t="s">
        <v>1</v>
      </c>
      <c r="Y182" s="1674">
        <f t="shared" si="16"/>
        <v>500</v>
      </c>
      <c r="Z182" s="1128"/>
      <c r="AA182" s="907">
        <f t="shared" si="14"/>
        <v>0</v>
      </c>
      <c r="AB182" s="505"/>
    </row>
    <row r="183" spans="1:28" ht="22.5" customHeight="1">
      <c r="A183" s="475"/>
      <c r="B183" s="1145"/>
      <c r="C183" s="465"/>
      <c r="D183" s="1144"/>
      <c r="E183" s="1134" t="s">
        <v>56</v>
      </c>
      <c r="F183" s="438">
        <f t="shared" ref="F183" si="17">Y183</f>
        <v>1000</v>
      </c>
      <c r="G183" s="438">
        <v>1000</v>
      </c>
      <c r="H183" s="482"/>
      <c r="I183" s="1888"/>
      <c r="J183" s="2287" t="s">
        <v>78</v>
      </c>
      <c r="K183" s="2282"/>
      <c r="L183" s="2282"/>
      <c r="M183" s="2282"/>
      <c r="N183" s="2282"/>
      <c r="O183" s="2282"/>
      <c r="P183" s="2278"/>
      <c r="Q183" s="2278"/>
      <c r="R183" s="2288"/>
      <c r="S183" s="2288">
        <v>200000</v>
      </c>
      <c r="T183" s="2288" t="s">
        <v>0</v>
      </c>
      <c r="U183" s="2278"/>
      <c r="V183" s="2288">
        <v>5</v>
      </c>
      <c r="W183" s="2288" t="s">
        <v>3</v>
      </c>
      <c r="X183" s="1140" t="s">
        <v>1</v>
      </c>
      <c r="Y183" s="1674">
        <f t="shared" si="16"/>
        <v>1000</v>
      </c>
      <c r="Z183" s="1128"/>
      <c r="AA183" s="907">
        <f t="shared" si="14"/>
        <v>1000000000</v>
      </c>
      <c r="AB183" s="505"/>
    </row>
    <row r="184" spans="1:28" ht="22.5" customHeight="1">
      <c r="A184" s="475"/>
      <c r="B184" s="1145"/>
      <c r="C184" s="465"/>
      <c r="D184" s="1144"/>
      <c r="E184" s="855" t="s">
        <v>55</v>
      </c>
      <c r="F184" s="931">
        <f>+Y184</f>
        <v>800</v>
      </c>
      <c r="G184" s="931">
        <v>800</v>
      </c>
      <c r="H184" s="549"/>
      <c r="I184" s="1127"/>
      <c r="J184" s="1627" t="s">
        <v>5831</v>
      </c>
      <c r="K184" s="2260"/>
      <c r="L184" s="2260"/>
      <c r="M184" s="2260"/>
      <c r="N184" s="2260"/>
      <c r="O184" s="2260"/>
      <c r="P184" s="2285"/>
      <c r="Q184" s="459">
        <v>10</v>
      </c>
      <c r="R184" s="459" t="s">
        <v>23</v>
      </c>
      <c r="S184" s="459">
        <v>10000</v>
      </c>
      <c r="T184" s="459" t="s">
        <v>0</v>
      </c>
      <c r="U184" s="2285"/>
      <c r="V184" s="459">
        <v>8</v>
      </c>
      <c r="W184" s="459" t="s">
        <v>3</v>
      </c>
      <c r="X184" s="460" t="s">
        <v>1</v>
      </c>
      <c r="Y184" s="345">
        <f>+Q184*S184*V184/1000</f>
        <v>800</v>
      </c>
      <c r="Z184" s="1128"/>
      <c r="AA184" s="907">
        <f t="shared" si="14"/>
        <v>800000000</v>
      </c>
      <c r="AB184" s="505"/>
    </row>
    <row r="185" spans="1:28" ht="22.5" customHeight="1">
      <c r="A185" s="475"/>
      <c r="B185" s="1145"/>
      <c r="C185" s="465"/>
      <c r="D185" s="3275" t="s">
        <v>79</v>
      </c>
      <c r="E185" s="3274"/>
      <c r="F185" s="931">
        <f>SUM(F186:F196)</f>
        <v>52000</v>
      </c>
      <c r="G185" s="931">
        <f>SUM(G186:G196)</f>
        <v>52000</v>
      </c>
      <c r="H185" s="361">
        <f>F185-G185</f>
        <v>0</v>
      </c>
      <c r="I185" s="1127"/>
      <c r="J185" s="1129"/>
      <c r="K185" s="2285"/>
      <c r="L185" s="2285"/>
      <c r="M185" s="2285"/>
      <c r="N185" s="2285"/>
      <c r="O185" s="2285"/>
      <c r="P185" s="1130"/>
      <c r="Q185" s="2285"/>
      <c r="R185" s="2285"/>
      <c r="S185" s="1130"/>
      <c r="T185" s="2285"/>
      <c r="U185" s="2285"/>
      <c r="V185" s="1130"/>
      <c r="W185" s="2285"/>
      <c r="X185" s="1157"/>
      <c r="Y185" s="1158"/>
      <c r="Z185" s="1128"/>
      <c r="AA185" s="907">
        <f t="shared" si="14"/>
        <v>52000000000</v>
      </c>
      <c r="AB185" s="505"/>
    </row>
    <row r="186" spans="1:28" ht="22.5" customHeight="1">
      <c r="A186" s="475"/>
      <c r="B186" s="1145"/>
      <c r="C186" s="1671"/>
      <c r="D186" s="1131"/>
      <c r="E186" s="444" t="s">
        <v>74</v>
      </c>
      <c r="F186" s="932">
        <f>+Y186</f>
        <v>30000</v>
      </c>
      <c r="G186" s="932">
        <v>30000</v>
      </c>
      <c r="H186" s="545"/>
      <c r="I186" s="1127"/>
      <c r="J186" s="446" t="s">
        <v>2364</v>
      </c>
      <c r="K186" s="447"/>
      <c r="L186" s="447"/>
      <c r="M186" s="447"/>
      <c r="N186" s="2277"/>
      <c r="O186" s="2277"/>
      <c r="P186" s="2277"/>
      <c r="Q186" s="451">
        <v>1</v>
      </c>
      <c r="R186" s="449" t="s">
        <v>23</v>
      </c>
      <c r="S186" s="451">
        <v>2500000</v>
      </c>
      <c r="T186" s="451" t="s">
        <v>0</v>
      </c>
      <c r="U186" s="451" t="s">
        <v>19</v>
      </c>
      <c r="V186" s="451">
        <v>12</v>
      </c>
      <c r="W186" s="451" t="s">
        <v>2</v>
      </c>
      <c r="X186" s="452" t="s">
        <v>1</v>
      </c>
      <c r="Y186" s="1768">
        <f>+Q186*S186*V186/1000</f>
        <v>30000</v>
      </c>
      <c r="Z186" s="1128"/>
      <c r="AA186" s="907">
        <f t="shared" si="14"/>
        <v>30000000000</v>
      </c>
      <c r="AB186" s="505"/>
    </row>
    <row r="187" spans="1:28" ht="22.5" customHeight="1">
      <c r="A187" s="475"/>
      <c r="B187" s="1145"/>
      <c r="C187" s="465"/>
      <c r="D187" s="1131"/>
      <c r="E187" s="1134" t="s">
        <v>51</v>
      </c>
      <c r="F187" s="438">
        <f>+Y187</f>
        <v>4000</v>
      </c>
      <c r="G187" s="438">
        <v>4000</v>
      </c>
      <c r="H187" s="406"/>
      <c r="I187" s="1127"/>
      <c r="J187" s="348" t="s">
        <v>2365</v>
      </c>
      <c r="K187" s="2278"/>
      <c r="L187" s="2278"/>
      <c r="M187" s="2278"/>
      <c r="N187" s="2282"/>
      <c r="O187" s="2282"/>
      <c r="P187" s="2278"/>
      <c r="Q187" s="2278">
        <v>100</v>
      </c>
      <c r="R187" s="2288" t="s">
        <v>66</v>
      </c>
      <c r="S187" s="2288">
        <v>40000</v>
      </c>
      <c r="T187" s="2288" t="s">
        <v>0</v>
      </c>
      <c r="U187" s="2278"/>
      <c r="V187" s="2288">
        <v>1</v>
      </c>
      <c r="W187" s="2288" t="s">
        <v>3</v>
      </c>
      <c r="X187" s="1140" t="s">
        <v>1</v>
      </c>
      <c r="Y187" s="1674">
        <f>+Q187*S187*V187/1000</f>
        <v>4000</v>
      </c>
      <c r="Z187" s="1128"/>
      <c r="AA187" s="907">
        <f t="shared" si="14"/>
        <v>4000000000</v>
      </c>
      <c r="AB187" s="505"/>
    </row>
    <row r="188" spans="1:28" ht="22.5" customHeight="1">
      <c r="A188" s="475"/>
      <c r="B188" s="1145"/>
      <c r="C188" s="465"/>
      <c r="D188" s="1131"/>
      <c r="E188" s="1134" t="s">
        <v>73</v>
      </c>
      <c r="F188" s="438">
        <f>+Y188</f>
        <v>6600</v>
      </c>
      <c r="G188" s="438">
        <v>6600</v>
      </c>
      <c r="H188" s="406"/>
      <c r="I188" s="1127"/>
      <c r="J188" s="2287" t="s">
        <v>8</v>
      </c>
      <c r="K188" s="2282"/>
      <c r="L188" s="2282"/>
      <c r="M188" s="2282"/>
      <c r="N188" s="2278"/>
      <c r="O188" s="2278"/>
      <c r="P188" s="2278"/>
      <c r="Q188" s="2288"/>
      <c r="R188" s="2288"/>
      <c r="S188" s="2288"/>
      <c r="T188" s="2288"/>
      <c r="U188" s="2288"/>
      <c r="V188" s="2288"/>
      <c r="W188" s="2288"/>
      <c r="X188" s="1140"/>
      <c r="Y188" s="1674">
        <f>SUM(Y189:Y190)</f>
        <v>6600</v>
      </c>
      <c r="Z188" s="1128"/>
      <c r="AA188" s="907">
        <f t="shared" si="14"/>
        <v>6600000000</v>
      </c>
      <c r="AB188" s="505"/>
    </row>
    <row r="189" spans="1:28" ht="22.5" customHeight="1">
      <c r="A189" s="475"/>
      <c r="B189" s="1145"/>
      <c r="C189" s="465"/>
      <c r="D189" s="1131"/>
      <c r="E189" s="1134"/>
      <c r="F189" s="438"/>
      <c r="G189" s="438"/>
      <c r="H189" s="406"/>
      <c r="I189" s="1127"/>
      <c r="J189" s="2287" t="s">
        <v>2366</v>
      </c>
      <c r="K189" s="2282"/>
      <c r="L189" s="2282"/>
      <c r="M189" s="2282"/>
      <c r="N189" s="2278"/>
      <c r="O189" s="2278"/>
      <c r="P189" s="2278"/>
      <c r="Q189" s="2288">
        <v>50</v>
      </c>
      <c r="R189" s="2288" t="s">
        <v>28</v>
      </c>
      <c r="S189" s="2288">
        <v>3050</v>
      </c>
      <c r="T189" s="2288" t="s">
        <v>0</v>
      </c>
      <c r="U189" s="2288"/>
      <c r="V189" s="2288">
        <v>40</v>
      </c>
      <c r="W189" s="2288" t="s">
        <v>25</v>
      </c>
      <c r="X189" s="1140" t="s">
        <v>1</v>
      </c>
      <c r="Y189" s="1674">
        <f>+Q189*S189*V189/1000</f>
        <v>6100</v>
      </c>
      <c r="Z189" s="1128"/>
      <c r="AA189" s="907">
        <f t="shared" si="14"/>
        <v>0</v>
      </c>
      <c r="AB189" s="505"/>
    </row>
    <row r="190" spans="1:28" ht="22.5" customHeight="1">
      <c r="A190" s="475"/>
      <c r="B190" s="1145"/>
      <c r="C190" s="465"/>
      <c r="D190" s="1131"/>
      <c r="E190" s="1134"/>
      <c r="F190" s="438"/>
      <c r="G190" s="438"/>
      <c r="H190" s="406"/>
      <c r="I190" s="1127"/>
      <c r="J190" s="2287" t="s">
        <v>2367</v>
      </c>
      <c r="K190" s="2282"/>
      <c r="L190" s="2282"/>
      <c r="M190" s="2282"/>
      <c r="N190" s="2278"/>
      <c r="O190" s="2278"/>
      <c r="P190" s="2278"/>
      <c r="Q190" s="2288">
        <v>1</v>
      </c>
      <c r="R190" s="2288" t="s">
        <v>28</v>
      </c>
      <c r="S190" s="2288">
        <v>100000</v>
      </c>
      <c r="T190" s="2288" t="s">
        <v>0</v>
      </c>
      <c r="U190" s="2288"/>
      <c r="V190" s="2288">
        <v>5</v>
      </c>
      <c r="W190" s="2288" t="s">
        <v>25</v>
      </c>
      <c r="X190" s="1140" t="s">
        <v>1</v>
      </c>
      <c r="Y190" s="1674">
        <f>+Q190*S190*V190/1000</f>
        <v>500</v>
      </c>
      <c r="Z190" s="1128"/>
      <c r="AA190" s="907">
        <f t="shared" si="14"/>
        <v>0</v>
      </c>
      <c r="AB190" s="505"/>
    </row>
    <row r="191" spans="1:28" ht="22.5" customHeight="1">
      <c r="A191" s="475"/>
      <c r="B191" s="1145"/>
      <c r="C191" s="465"/>
      <c r="D191" s="1131"/>
      <c r="E191" s="1134" t="s">
        <v>52</v>
      </c>
      <c r="F191" s="438">
        <f>+Y191</f>
        <v>10400</v>
      </c>
      <c r="G191" s="438">
        <v>10400</v>
      </c>
      <c r="H191" s="406"/>
      <c r="I191" s="1127"/>
      <c r="J191" s="2287" t="s">
        <v>8</v>
      </c>
      <c r="K191" s="2282"/>
      <c r="L191" s="2282"/>
      <c r="M191" s="2282"/>
      <c r="N191" s="2278"/>
      <c r="O191" s="2278"/>
      <c r="P191" s="2278"/>
      <c r="Q191" s="2288"/>
      <c r="R191" s="2262"/>
      <c r="S191" s="2262" t="s">
        <v>19</v>
      </c>
      <c r="T191" s="2288" t="s">
        <v>19</v>
      </c>
      <c r="U191" s="2288" t="s">
        <v>19</v>
      </c>
      <c r="V191" s="2288" t="s">
        <v>19</v>
      </c>
      <c r="W191" s="2288" t="s">
        <v>19</v>
      </c>
      <c r="X191" s="1140" t="s">
        <v>19</v>
      </c>
      <c r="Y191" s="656">
        <f>SUM(Y192:Y195)</f>
        <v>10400</v>
      </c>
      <c r="Z191" s="1128"/>
      <c r="AA191" s="907">
        <f t="shared" si="14"/>
        <v>10400000000</v>
      </c>
      <c r="AB191" s="505"/>
    </row>
    <row r="192" spans="1:28" ht="22.5" customHeight="1">
      <c r="A192" s="475"/>
      <c r="B192" s="1145"/>
      <c r="C192" s="465"/>
      <c r="D192" s="1131"/>
      <c r="E192" s="1134"/>
      <c r="F192" s="438"/>
      <c r="G192" s="438"/>
      <c r="H192" s="406"/>
      <c r="I192" s="1127"/>
      <c r="J192" s="2287" t="s">
        <v>2368</v>
      </c>
      <c r="K192" s="2282"/>
      <c r="L192" s="2282"/>
      <c r="M192" s="2282"/>
      <c r="N192" s="2282"/>
      <c r="O192" s="2282"/>
      <c r="P192" s="2278"/>
      <c r="Q192" s="2278"/>
      <c r="R192" s="2288"/>
      <c r="S192" s="2288">
        <v>300000</v>
      </c>
      <c r="T192" s="2288" t="s">
        <v>0</v>
      </c>
      <c r="U192" s="2278"/>
      <c r="V192" s="2288">
        <v>5</v>
      </c>
      <c r="W192" s="2288" t="s">
        <v>3</v>
      </c>
      <c r="X192" s="1140" t="s">
        <v>1</v>
      </c>
      <c r="Y192" s="1674">
        <f>+S192*V192/1000</f>
        <v>1500</v>
      </c>
      <c r="Z192" s="1128"/>
      <c r="AA192" s="907">
        <f t="shared" si="14"/>
        <v>0</v>
      </c>
      <c r="AB192" s="505"/>
    </row>
    <row r="193" spans="1:28" ht="22.5" customHeight="1">
      <c r="A193" s="475"/>
      <c r="B193" s="1145"/>
      <c r="C193" s="465"/>
      <c r="D193" s="1131"/>
      <c r="E193" s="1134"/>
      <c r="F193" s="438"/>
      <c r="G193" s="438"/>
      <c r="H193" s="406"/>
      <c r="I193" s="1127"/>
      <c r="J193" s="2287" t="s">
        <v>2369</v>
      </c>
      <c r="K193" s="2282"/>
      <c r="L193" s="2282"/>
      <c r="M193" s="2282"/>
      <c r="N193" s="2282"/>
      <c r="O193" s="2282"/>
      <c r="P193" s="2278"/>
      <c r="Q193" s="2278">
        <v>25</v>
      </c>
      <c r="R193" s="2288" t="s">
        <v>28</v>
      </c>
      <c r="S193" s="2288">
        <v>100000</v>
      </c>
      <c r="T193" s="2288" t="s">
        <v>0</v>
      </c>
      <c r="U193" s="2278"/>
      <c r="V193" s="2288">
        <v>2</v>
      </c>
      <c r="W193" s="2288" t="s">
        <v>25</v>
      </c>
      <c r="X193" s="1140" t="s">
        <v>1</v>
      </c>
      <c r="Y193" s="1674">
        <f>+Q193*S193*V193/1000</f>
        <v>5000</v>
      </c>
      <c r="Z193" s="1128"/>
      <c r="AA193" s="907">
        <f t="shared" si="14"/>
        <v>0</v>
      </c>
      <c r="AB193" s="505"/>
    </row>
    <row r="194" spans="1:28" ht="22.5" customHeight="1">
      <c r="A194" s="475"/>
      <c r="B194" s="1145"/>
      <c r="C194" s="465"/>
      <c r="D194" s="1131"/>
      <c r="E194" s="1134"/>
      <c r="F194" s="438"/>
      <c r="G194" s="438"/>
      <c r="H194" s="406"/>
      <c r="I194" s="1127"/>
      <c r="J194" s="2287" t="s">
        <v>2370</v>
      </c>
      <c r="K194" s="2282"/>
      <c r="L194" s="2282"/>
      <c r="M194" s="2282"/>
      <c r="N194" s="2282"/>
      <c r="O194" s="2282"/>
      <c r="P194" s="2278"/>
      <c r="Q194" s="2278">
        <v>50</v>
      </c>
      <c r="R194" s="2288" t="s">
        <v>28</v>
      </c>
      <c r="S194" s="2288">
        <v>70000</v>
      </c>
      <c r="T194" s="2288" t="s">
        <v>0</v>
      </c>
      <c r="U194" s="2278"/>
      <c r="V194" s="2288">
        <v>1</v>
      </c>
      <c r="W194" s="2288" t="s">
        <v>25</v>
      </c>
      <c r="X194" s="1140" t="s">
        <v>1</v>
      </c>
      <c r="Y194" s="1674">
        <f>+Q194*S194*V194/1000</f>
        <v>3500</v>
      </c>
      <c r="Z194" s="1128"/>
      <c r="AA194" s="907">
        <f t="shared" si="14"/>
        <v>0</v>
      </c>
      <c r="AB194" s="505"/>
    </row>
    <row r="195" spans="1:28" ht="22.5" customHeight="1">
      <c r="A195" s="475"/>
      <c r="B195" s="1145"/>
      <c r="C195" s="465"/>
      <c r="D195" s="1131"/>
      <c r="E195" s="1134"/>
      <c r="F195" s="438"/>
      <c r="G195" s="438"/>
      <c r="H195" s="406"/>
      <c r="I195" s="1127"/>
      <c r="J195" s="2287" t="s">
        <v>2371</v>
      </c>
      <c r="K195" s="2282"/>
      <c r="L195" s="2282"/>
      <c r="M195" s="2282"/>
      <c r="N195" s="2282"/>
      <c r="O195" s="2282"/>
      <c r="P195" s="2278"/>
      <c r="Q195" s="2278"/>
      <c r="R195" s="2288"/>
      <c r="S195" s="2288">
        <v>200000</v>
      </c>
      <c r="T195" s="2288" t="s">
        <v>0</v>
      </c>
      <c r="U195" s="2278"/>
      <c r="V195" s="2288">
        <v>2</v>
      </c>
      <c r="W195" s="2288" t="s">
        <v>25</v>
      </c>
      <c r="X195" s="1140" t="s">
        <v>1</v>
      </c>
      <c r="Y195" s="1674">
        <f>+S195*V195/1000</f>
        <v>400</v>
      </c>
      <c r="Z195" s="1128"/>
      <c r="AA195" s="907">
        <f t="shared" si="14"/>
        <v>0</v>
      </c>
      <c r="AB195" s="505"/>
    </row>
    <row r="196" spans="1:28" ht="22.5" customHeight="1">
      <c r="A196" s="475"/>
      <c r="B196" s="1145"/>
      <c r="C196" s="465"/>
      <c r="D196" s="453"/>
      <c r="E196" s="855" t="s">
        <v>55</v>
      </c>
      <c r="F196" s="931">
        <f>+Y196</f>
        <v>1000</v>
      </c>
      <c r="G196" s="931">
        <v>1000</v>
      </c>
      <c r="H196" s="549"/>
      <c r="I196" s="1127"/>
      <c r="J196" s="1627" t="s">
        <v>5831</v>
      </c>
      <c r="K196" s="2260"/>
      <c r="L196" s="2260"/>
      <c r="M196" s="2260"/>
      <c r="N196" s="2260"/>
      <c r="O196" s="2260"/>
      <c r="P196" s="2285"/>
      <c r="Q196" s="459">
        <v>10</v>
      </c>
      <c r="R196" s="459" t="s">
        <v>23</v>
      </c>
      <c r="S196" s="459">
        <v>10000</v>
      </c>
      <c r="T196" s="459" t="s">
        <v>0</v>
      </c>
      <c r="U196" s="2285"/>
      <c r="V196" s="459">
        <v>10</v>
      </c>
      <c r="W196" s="459" t="s">
        <v>3</v>
      </c>
      <c r="X196" s="460" t="s">
        <v>1</v>
      </c>
      <c r="Y196" s="345">
        <f>+Q196*S196*V196/1000</f>
        <v>1000</v>
      </c>
      <c r="Z196" s="1128"/>
      <c r="AA196" s="907">
        <f t="shared" si="14"/>
        <v>1000000000</v>
      </c>
      <c r="AB196" s="505"/>
    </row>
    <row r="197" spans="1:28" ht="22.5" customHeight="1">
      <c r="A197" s="475"/>
      <c r="B197" s="1145"/>
      <c r="C197" s="465"/>
      <c r="D197" s="3422" t="s">
        <v>80</v>
      </c>
      <c r="E197" s="3274"/>
      <c r="F197" s="931">
        <f>SUM(F198:F219)</f>
        <v>42000</v>
      </c>
      <c r="G197" s="931">
        <f>SUM(G198:G219)</f>
        <v>42000</v>
      </c>
      <c r="H197" s="361">
        <f>F197-G197</f>
        <v>0</v>
      </c>
      <c r="I197" s="1127"/>
      <c r="J197" s="348"/>
      <c r="K197" s="2278"/>
      <c r="L197" s="2278"/>
      <c r="M197" s="2278"/>
      <c r="N197" s="2278"/>
      <c r="O197" s="2278"/>
      <c r="P197" s="1128"/>
      <c r="Q197" s="2278"/>
      <c r="R197" s="2278"/>
      <c r="S197" s="1128"/>
      <c r="T197" s="2278"/>
      <c r="U197" s="2278"/>
      <c r="V197" s="1128"/>
      <c r="W197" s="2278"/>
      <c r="X197" s="1690"/>
      <c r="Y197" s="494"/>
      <c r="Z197" s="1128">
        <f>F197*1000</f>
        <v>42000000</v>
      </c>
      <c r="AA197" s="907">
        <f t="shared" si="14"/>
        <v>42000000000</v>
      </c>
      <c r="AB197" s="505"/>
    </row>
    <row r="198" spans="1:28" ht="22.5" customHeight="1">
      <c r="A198" s="475"/>
      <c r="B198" s="1145"/>
      <c r="C198" s="465"/>
      <c r="D198" s="367"/>
      <c r="E198" s="389" t="s">
        <v>51</v>
      </c>
      <c r="F198" s="438">
        <f>+Y198</f>
        <v>5700</v>
      </c>
      <c r="G198" s="438">
        <v>5700</v>
      </c>
      <c r="H198" s="406"/>
      <c r="I198" s="1342"/>
      <c r="J198" s="446" t="s">
        <v>8</v>
      </c>
      <c r="K198" s="451"/>
      <c r="L198" s="451"/>
      <c r="M198" s="451"/>
      <c r="N198" s="451"/>
      <c r="O198" s="451"/>
      <c r="P198" s="451"/>
      <c r="Q198" s="451"/>
      <c r="R198" s="449"/>
      <c r="S198" s="449" t="s">
        <v>19</v>
      </c>
      <c r="T198" s="451" t="s">
        <v>19</v>
      </c>
      <c r="U198" s="451" t="s">
        <v>19</v>
      </c>
      <c r="V198" s="451" t="s">
        <v>19</v>
      </c>
      <c r="W198" s="451" t="s">
        <v>19</v>
      </c>
      <c r="X198" s="452" t="s">
        <v>19</v>
      </c>
      <c r="Y198" s="1768">
        <f>SUM(Y199:Y200)</f>
        <v>5700</v>
      </c>
      <c r="Z198" s="1140" t="s">
        <v>19</v>
      </c>
      <c r="AA198" s="907">
        <f t="shared" si="14"/>
        <v>5700000000</v>
      </c>
      <c r="AB198" s="505"/>
    </row>
    <row r="199" spans="1:28" ht="22.5" customHeight="1">
      <c r="A199" s="475"/>
      <c r="B199" s="1145"/>
      <c r="C199" s="465"/>
      <c r="D199" s="1131"/>
      <c r="E199" s="389"/>
      <c r="F199" s="438"/>
      <c r="G199" s="438"/>
      <c r="H199" s="406"/>
      <c r="I199" s="1342"/>
      <c r="J199" s="2287" t="s">
        <v>2372</v>
      </c>
      <c r="K199" s="2288"/>
      <c r="L199" s="2288"/>
      <c r="M199" s="2288"/>
      <c r="N199" s="2288"/>
      <c r="O199" s="2288"/>
      <c r="P199" s="2288"/>
      <c r="Q199" s="2278">
        <v>2</v>
      </c>
      <c r="R199" s="2288" t="s">
        <v>28</v>
      </c>
      <c r="S199" s="2288">
        <v>15000</v>
      </c>
      <c r="T199" s="2288" t="s">
        <v>0</v>
      </c>
      <c r="U199" s="2278"/>
      <c r="V199" s="2288">
        <v>60</v>
      </c>
      <c r="W199" s="2288" t="s">
        <v>63</v>
      </c>
      <c r="X199" s="1140" t="s">
        <v>1</v>
      </c>
      <c r="Y199" s="1674">
        <f>+Q199*S199*V199/1000</f>
        <v>1800</v>
      </c>
      <c r="Z199" s="1140"/>
      <c r="AA199" s="907">
        <f t="shared" si="14"/>
        <v>0</v>
      </c>
      <c r="AB199" s="505"/>
    </row>
    <row r="200" spans="1:28" ht="22.5" customHeight="1">
      <c r="A200" s="475"/>
      <c r="B200" s="1145"/>
      <c r="C200" s="465"/>
      <c r="D200" s="1131"/>
      <c r="E200" s="389"/>
      <c r="F200" s="438"/>
      <c r="G200" s="438"/>
      <c r="H200" s="406"/>
      <c r="I200" s="1342"/>
      <c r="J200" s="2287" t="s">
        <v>2373</v>
      </c>
      <c r="K200" s="2288"/>
      <c r="L200" s="2288"/>
      <c r="M200" s="2288"/>
      <c r="N200" s="2288"/>
      <c r="O200" s="2288"/>
      <c r="P200" s="2288"/>
      <c r="Q200" s="2278">
        <v>2</v>
      </c>
      <c r="R200" s="2288" t="s">
        <v>28</v>
      </c>
      <c r="S200" s="2288">
        <v>15000</v>
      </c>
      <c r="T200" s="2288" t="s">
        <v>0</v>
      </c>
      <c r="U200" s="2278"/>
      <c r="V200" s="2288">
        <v>130</v>
      </c>
      <c r="W200" s="2288" t="s">
        <v>63</v>
      </c>
      <c r="X200" s="1140" t="s">
        <v>1</v>
      </c>
      <c r="Y200" s="1674">
        <f>+Q200*S200*V200/1000</f>
        <v>3900</v>
      </c>
      <c r="Z200" s="1140"/>
      <c r="AA200" s="907">
        <f t="shared" si="14"/>
        <v>0</v>
      </c>
      <c r="AB200" s="505"/>
    </row>
    <row r="201" spans="1:28" ht="21.6" customHeight="1">
      <c r="A201" s="475"/>
      <c r="B201" s="1145"/>
      <c r="C201" s="465"/>
      <c r="D201" s="1131"/>
      <c r="E201" s="389" t="s">
        <v>24</v>
      </c>
      <c r="F201" s="438">
        <f>+Y201</f>
        <v>400</v>
      </c>
      <c r="G201" s="438">
        <v>400</v>
      </c>
      <c r="H201" s="406"/>
      <c r="I201" s="1342"/>
      <c r="J201" s="2287" t="s">
        <v>8</v>
      </c>
      <c r="K201" s="2288"/>
      <c r="L201" s="2288"/>
      <c r="M201" s="2288"/>
      <c r="N201" s="2288"/>
      <c r="O201" s="2288"/>
      <c r="P201" s="2288"/>
      <c r="Q201" s="2288"/>
      <c r="R201" s="2262"/>
      <c r="S201" s="2262" t="s">
        <v>19</v>
      </c>
      <c r="T201" s="2288" t="s">
        <v>19</v>
      </c>
      <c r="U201" s="2288" t="s">
        <v>19</v>
      </c>
      <c r="V201" s="2288" t="s">
        <v>19</v>
      </c>
      <c r="W201" s="2288" t="s">
        <v>19</v>
      </c>
      <c r="X201" s="1140" t="s">
        <v>19</v>
      </c>
      <c r="Y201" s="656">
        <f>+Y202+Y203</f>
        <v>400</v>
      </c>
      <c r="Z201" s="1140"/>
      <c r="AA201" s="907">
        <f t="shared" si="14"/>
        <v>400000000</v>
      </c>
      <c r="AB201" s="505"/>
    </row>
    <row r="202" spans="1:28" ht="21.6" customHeight="1">
      <c r="A202" s="475"/>
      <c r="B202" s="1145"/>
      <c r="C202" s="465"/>
      <c r="D202" s="1131"/>
      <c r="E202" s="389"/>
      <c r="F202" s="438"/>
      <c r="G202" s="438"/>
      <c r="H202" s="406"/>
      <c r="I202" s="1342"/>
      <c r="J202" s="2287" t="s">
        <v>2374</v>
      </c>
      <c r="K202" s="2288"/>
      <c r="L202" s="2288"/>
      <c r="M202" s="2288"/>
      <c r="N202" s="2288"/>
      <c r="O202" s="2288"/>
      <c r="P202" s="2288"/>
      <c r="Q202" s="2288">
        <v>2</v>
      </c>
      <c r="R202" s="2262" t="s">
        <v>28</v>
      </c>
      <c r="S202" s="2288">
        <v>2000</v>
      </c>
      <c r="T202" s="2288" t="s">
        <v>0</v>
      </c>
      <c r="U202" s="2288"/>
      <c r="V202" s="2288">
        <v>50</v>
      </c>
      <c r="W202" s="2288" t="s">
        <v>25</v>
      </c>
      <c r="X202" s="1140" t="s">
        <v>1</v>
      </c>
      <c r="Y202" s="1674">
        <f>+Q202*S202*V202/1000</f>
        <v>200</v>
      </c>
      <c r="Z202" s="1140"/>
      <c r="AA202" s="907">
        <f t="shared" si="14"/>
        <v>0</v>
      </c>
      <c r="AB202" s="505"/>
    </row>
    <row r="203" spans="1:28" ht="21.6" customHeight="1">
      <c r="A203" s="475"/>
      <c r="B203" s="1145"/>
      <c r="C203" s="465"/>
      <c r="D203" s="1131"/>
      <c r="E203" s="389"/>
      <c r="F203" s="438"/>
      <c r="G203" s="438"/>
      <c r="H203" s="406"/>
      <c r="I203" s="1342"/>
      <c r="J203" s="2287" t="s">
        <v>2375</v>
      </c>
      <c r="K203" s="2288"/>
      <c r="L203" s="2288"/>
      <c r="M203" s="2288"/>
      <c r="N203" s="2288"/>
      <c r="O203" s="2288"/>
      <c r="P203" s="2288"/>
      <c r="Q203" s="2278">
        <v>2</v>
      </c>
      <c r="R203" s="2288" t="s">
        <v>28</v>
      </c>
      <c r="S203" s="2288">
        <v>1000</v>
      </c>
      <c r="T203" s="2288" t="s">
        <v>0</v>
      </c>
      <c r="U203" s="2278"/>
      <c r="V203" s="2288">
        <v>100</v>
      </c>
      <c r="W203" s="2288" t="s">
        <v>25</v>
      </c>
      <c r="X203" s="1140" t="s">
        <v>1</v>
      </c>
      <c r="Y203" s="1674">
        <f>+Q203*S203*V203/1000</f>
        <v>200</v>
      </c>
      <c r="Z203" s="1140"/>
      <c r="AA203" s="907">
        <f t="shared" si="14"/>
        <v>0</v>
      </c>
      <c r="AB203" s="505"/>
    </row>
    <row r="204" spans="1:28" ht="21.6" customHeight="1">
      <c r="A204" s="475"/>
      <c r="B204" s="1145"/>
      <c r="C204" s="465"/>
      <c r="D204" s="1131"/>
      <c r="E204" s="389" t="s">
        <v>73</v>
      </c>
      <c r="F204" s="438">
        <f>+Y204</f>
        <v>11000</v>
      </c>
      <c r="G204" s="438">
        <v>11000</v>
      </c>
      <c r="H204" s="391"/>
      <c r="I204" s="1342"/>
      <c r="J204" s="2287" t="s">
        <v>8</v>
      </c>
      <c r="K204" s="2288"/>
      <c r="L204" s="2288"/>
      <c r="M204" s="2288"/>
      <c r="N204" s="2288"/>
      <c r="O204" s="2288"/>
      <c r="P204" s="2288"/>
      <c r="Q204" s="2288"/>
      <c r="R204" s="2262"/>
      <c r="S204" s="2262" t="s">
        <v>19</v>
      </c>
      <c r="T204" s="2288" t="s">
        <v>19</v>
      </c>
      <c r="U204" s="2288" t="s">
        <v>19</v>
      </c>
      <c r="V204" s="2288" t="s">
        <v>19</v>
      </c>
      <c r="W204" s="2288" t="s">
        <v>19</v>
      </c>
      <c r="X204" s="1140" t="s">
        <v>19</v>
      </c>
      <c r="Y204" s="656">
        <f>SUM(Y205:Y207)</f>
        <v>11000</v>
      </c>
      <c r="Z204" s="1140"/>
      <c r="AA204" s="907">
        <f t="shared" si="14"/>
        <v>11000000000</v>
      </c>
      <c r="AB204" s="505"/>
    </row>
    <row r="205" spans="1:28" ht="21.6" customHeight="1">
      <c r="A205" s="475"/>
      <c r="B205" s="1145"/>
      <c r="C205" s="465"/>
      <c r="D205" s="1131"/>
      <c r="E205" s="389"/>
      <c r="F205" s="438"/>
      <c r="G205" s="438"/>
      <c r="H205" s="406"/>
      <c r="I205" s="1342"/>
      <c r="J205" s="2287" t="s">
        <v>2376</v>
      </c>
      <c r="K205" s="2288"/>
      <c r="L205" s="2288"/>
      <c r="M205" s="2288"/>
      <c r="N205" s="2288"/>
      <c r="O205" s="2288"/>
      <c r="P205" s="2288"/>
      <c r="Q205" s="2278">
        <v>100</v>
      </c>
      <c r="R205" s="2288" t="s">
        <v>23</v>
      </c>
      <c r="S205" s="2288">
        <v>40000</v>
      </c>
      <c r="T205" s="2288" t="s">
        <v>0</v>
      </c>
      <c r="U205" s="2278"/>
      <c r="V205" s="2288">
        <v>2</v>
      </c>
      <c r="W205" s="2288" t="s">
        <v>3</v>
      </c>
      <c r="X205" s="1140" t="s">
        <v>1</v>
      </c>
      <c r="Y205" s="1674">
        <f>+Q205*S205*V205/1000</f>
        <v>8000</v>
      </c>
      <c r="Z205" s="1140"/>
      <c r="AA205" s="907">
        <f t="shared" ref="AA205:AA250" si="18">F205*1000000</f>
        <v>0</v>
      </c>
      <c r="AB205" s="505"/>
    </row>
    <row r="206" spans="1:28" ht="21.6" customHeight="1">
      <c r="A206" s="475"/>
      <c r="B206" s="1145"/>
      <c r="C206" s="465"/>
      <c r="D206" s="1131"/>
      <c r="E206" s="389"/>
      <c r="F206" s="438"/>
      <c r="G206" s="438"/>
      <c r="H206" s="406"/>
      <c r="I206" s="1342"/>
      <c r="J206" s="2287" t="s">
        <v>2377</v>
      </c>
      <c r="K206" s="2288"/>
      <c r="L206" s="2288"/>
      <c r="M206" s="2288"/>
      <c r="N206" s="2288"/>
      <c r="O206" s="2288"/>
      <c r="P206" s="2288"/>
      <c r="Q206" s="2278">
        <v>50</v>
      </c>
      <c r="R206" s="2288" t="s">
        <v>1701</v>
      </c>
      <c r="S206" s="2288">
        <v>10000</v>
      </c>
      <c r="T206" s="2288" t="s">
        <v>0</v>
      </c>
      <c r="U206" s="2278"/>
      <c r="V206" s="2288">
        <v>4</v>
      </c>
      <c r="W206" s="2288" t="s">
        <v>1699</v>
      </c>
      <c r="X206" s="1140" t="s">
        <v>1</v>
      </c>
      <c r="Y206" s="1674">
        <f>+Q206*S206*V206/1000</f>
        <v>2000</v>
      </c>
      <c r="Z206" s="1140"/>
      <c r="AA206" s="907">
        <f t="shared" si="18"/>
        <v>0</v>
      </c>
      <c r="AB206" s="505"/>
    </row>
    <row r="207" spans="1:28" ht="21.6" customHeight="1">
      <c r="A207" s="475"/>
      <c r="B207" s="1145"/>
      <c r="C207" s="465"/>
      <c r="D207" s="1131"/>
      <c r="E207" s="389"/>
      <c r="F207" s="438"/>
      <c r="G207" s="438"/>
      <c r="H207" s="406"/>
      <c r="I207" s="1342"/>
      <c r="J207" s="2287" t="s">
        <v>2378</v>
      </c>
      <c r="K207" s="2288"/>
      <c r="L207" s="2288"/>
      <c r="M207" s="2288"/>
      <c r="N207" s="2288"/>
      <c r="O207" s="2288"/>
      <c r="P207" s="2288"/>
      <c r="Q207" s="2278">
        <v>1</v>
      </c>
      <c r="R207" s="2288" t="s">
        <v>81</v>
      </c>
      <c r="S207" s="2288">
        <v>100000</v>
      </c>
      <c r="T207" s="2288" t="s">
        <v>0</v>
      </c>
      <c r="U207" s="2278"/>
      <c r="V207" s="2288">
        <v>10</v>
      </c>
      <c r="W207" s="2288" t="s">
        <v>58</v>
      </c>
      <c r="X207" s="1140" t="s">
        <v>1</v>
      </c>
      <c r="Y207" s="1674">
        <f>+Q207*S207*V207/1000</f>
        <v>1000</v>
      </c>
      <c r="Z207" s="1140"/>
      <c r="AA207" s="907">
        <f t="shared" si="18"/>
        <v>0</v>
      </c>
      <c r="AB207" s="505"/>
    </row>
    <row r="208" spans="1:28" ht="21.6" customHeight="1">
      <c r="A208" s="475"/>
      <c r="B208" s="1145"/>
      <c r="C208" s="465"/>
      <c r="D208" s="1131"/>
      <c r="E208" s="389" t="s">
        <v>52</v>
      </c>
      <c r="F208" s="438">
        <f>+Y208</f>
        <v>16800</v>
      </c>
      <c r="G208" s="438">
        <v>16800</v>
      </c>
      <c r="H208" s="391"/>
      <c r="I208" s="1342"/>
      <c r="J208" s="2287" t="s">
        <v>8</v>
      </c>
      <c r="K208" s="2288"/>
      <c r="L208" s="2288"/>
      <c r="M208" s="2288"/>
      <c r="N208" s="2288"/>
      <c r="O208" s="2288"/>
      <c r="P208" s="2288"/>
      <c r="Q208" s="2288"/>
      <c r="R208" s="2262"/>
      <c r="S208" s="2262" t="s">
        <v>19</v>
      </c>
      <c r="T208" s="2288" t="s">
        <v>19</v>
      </c>
      <c r="U208" s="2288" t="s">
        <v>19</v>
      </c>
      <c r="V208" s="2288" t="s">
        <v>19</v>
      </c>
      <c r="W208" s="2288" t="s">
        <v>19</v>
      </c>
      <c r="X208" s="1140" t="s">
        <v>19</v>
      </c>
      <c r="Y208" s="656">
        <f>SUM(Y209:Y211)</f>
        <v>16800</v>
      </c>
      <c r="Z208" s="1140"/>
      <c r="AA208" s="907">
        <f t="shared" si="18"/>
        <v>16800000000</v>
      </c>
      <c r="AB208" s="505"/>
    </row>
    <row r="209" spans="1:256" ht="21.6" customHeight="1">
      <c r="A209" s="475"/>
      <c r="B209" s="1145"/>
      <c r="C209" s="465"/>
      <c r="D209" s="1131"/>
      <c r="E209" s="389"/>
      <c r="F209" s="438"/>
      <c r="G209" s="438"/>
      <c r="H209" s="406"/>
      <c r="I209" s="1342"/>
      <c r="J209" s="2287" t="s">
        <v>2379</v>
      </c>
      <c r="K209" s="2288"/>
      <c r="L209" s="2288"/>
      <c r="M209" s="2288"/>
      <c r="N209" s="2288"/>
      <c r="O209" s="2288"/>
      <c r="P209" s="2288"/>
      <c r="Q209" s="2278">
        <v>8</v>
      </c>
      <c r="R209" s="2288" t="s">
        <v>23</v>
      </c>
      <c r="S209" s="2288">
        <v>450000</v>
      </c>
      <c r="T209" s="2288" t="s">
        <v>0</v>
      </c>
      <c r="U209" s="2278"/>
      <c r="V209" s="2288">
        <v>2</v>
      </c>
      <c r="W209" s="2288" t="s">
        <v>3</v>
      </c>
      <c r="X209" s="1140" t="s">
        <v>1</v>
      </c>
      <c r="Y209" s="1674">
        <f t="shared" ref="Y209:Y214" si="19">+Q209*S209*V209/1000</f>
        <v>7200</v>
      </c>
      <c r="Z209" s="1140"/>
      <c r="AA209" s="907">
        <f t="shared" si="18"/>
        <v>0</v>
      </c>
      <c r="AB209" s="505"/>
    </row>
    <row r="210" spans="1:256" ht="21.6" customHeight="1">
      <c r="A210" s="475"/>
      <c r="B210" s="1145"/>
      <c r="C210" s="465"/>
      <c r="D210" s="1131"/>
      <c r="E210" s="389"/>
      <c r="F210" s="438"/>
      <c r="G210" s="438"/>
      <c r="H210" s="406"/>
      <c r="I210" s="1342"/>
      <c r="J210" s="2287" t="s">
        <v>2380</v>
      </c>
      <c r="K210" s="2288"/>
      <c r="L210" s="2288"/>
      <c r="M210" s="2288"/>
      <c r="N210" s="2288"/>
      <c r="O210" s="2288"/>
      <c r="P210" s="2288"/>
      <c r="Q210" s="2278">
        <v>8</v>
      </c>
      <c r="R210" s="2288" t="s">
        <v>23</v>
      </c>
      <c r="S210" s="2288">
        <v>300000</v>
      </c>
      <c r="T210" s="2288" t="s">
        <v>0</v>
      </c>
      <c r="U210" s="2278"/>
      <c r="V210" s="2288">
        <v>2</v>
      </c>
      <c r="W210" s="2288" t="s">
        <v>3</v>
      </c>
      <c r="X210" s="1140" t="s">
        <v>1</v>
      </c>
      <c r="Y210" s="1674">
        <f t="shared" si="19"/>
        <v>4800</v>
      </c>
      <c r="Z210" s="1140"/>
      <c r="AA210" s="907">
        <f t="shared" si="18"/>
        <v>0</v>
      </c>
      <c r="AB210" s="505"/>
    </row>
    <row r="211" spans="1:256" ht="21.6" customHeight="1">
      <c r="A211" s="475"/>
      <c r="B211" s="1145"/>
      <c r="C211" s="465"/>
      <c r="D211" s="1131"/>
      <c r="E211" s="389"/>
      <c r="F211" s="438"/>
      <c r="G211" s="438"/>
      <c r="H211" s="406"/>
      <c r="I211" s="1342"/>
      <c r="J211" s="2287" t="s">
        <v>2381</v>
      </c>
      <c r="K211" s="2288"/>
      <c r="L211" s="2288"/>
      <c r="M211" s="2288"/>
      <c r="N211" s="2288"/>
      <c r="O211" s="2278">
        <v>8</v>
      </c>
      <c r="P211" s="2288" t="s">
        <v>23</v>
      </c>
      <c r="Q211" s="2278">
        <v>50</v>
      </c>
      <c r="R211" s="2288" t="s">
        <v>30</v>
      </c>
      <c r="S211" s="2288">
        <v>6000</v>
      </c>
      <c r="T211" s="2288" t="s">
        <v>0</v>
      </c>
      <c r="U211" s="2278"/>
      <c r="V211" s="2288">
        <v>2</v>
      </c>
      <c r="W211" s="2288" t="s">
        <v>3</v>
      </c>
      <c r="X211" s="1140" t="s">
        <v>1</v>
      </c>
      <c r="Y211" s="1674">
        <f>+O211*Q211*S211*V211/1000</f>
        <v>4800</v>
      </c>
      <c r="Z211" s="1140"/>
      <c r="AA211" s="907">
        <f t="shared" si="18"/>
        <v>0</v>
      </c>
      <c r="AB211" s="505"/>
    </row>
    <row r="212" spans="1:256" ht="21.6" customHeight="1">
      <c r="A212" s="475"/>
      <c r="B212" s="1145"/>
      <c r="C212" s="465"/>
      <c r="D212" s="1131"/>
      <c r="E212" s="389" t="s">
        <v>2382</v>
      </c>
      <c r="F212" s="438">
        <f>+Y212</f>
        <v>2700</v>
      </c>
      <c r="G212" s="438">
        <v>2700</v>
      </c>
      <c r="H212" s="391"/>
      <c r="I212" s="1342"/>
      <c r="J212" s="2287" t="s">
        <v>8</v>
      </c>
      <c r="K212" s="2288"/>
      <c r="L212" s="2288"/>
      <c r="M212" s="2288"/>
      <c r="N212" s="2288"/>
      <c r="O212" s="1673"/>
      <c r="P212" s="2278"/>
      <c r="Q212" s="2288"/>
      <c r="R212" s="2262"/>
      <c r="S212" s="2262" t="s">
        <v>19</v>
      </c>
      <c r="T212" s="2288" t="s">
        <v>19</v>
      </c>
      <c r="U212" s="2288" t="s">
        <v>19</v>
      </c>
      <c r="V212" s="2288" t="s">
        <v>19</v>
      </c>
      <c r="W212" s="2288" t="s">
        <v>19</v>
      </c>
      <c r="X212" s="1140" t="s">
        <v>19</v>
      </c>
      <c r="Y212" s="656">
        <f>+Y213+Y214</f>
        <v>2700</v>
      </c>
      <c r="Z212" s="1140"/>
      <c r="AA212" s="907">
        <f t="shared" si="18"/>
        <v>2700000000</v>
      </c>
      <c r="AB212" s="505"/>
    </row>
    <row r="213" spans="1:256" ht="21.6" customHeight="1">
      <c r="A213" s="475"/>
      <c r="B213" s="1145"/>
      <c r="C213" s="465"/>
      <c r="D213" s="1131"/>
      <c r="E213" s="389"/>
      <c r="F213" s="438"/>
      <c r="G213" s="438"/>
      <c r="H213" s="406"/>
      <c r="I213" s="1342"/>
      <c r="J213" s="2287" t="s">
        <v>2383</v>
      </c>
      <c r="K213" s="2288"/>
      <c r="L213" s="2288"/>
      <c r="M213" s="2288"/>
      <c r="N213" s="2288"/>
      <c r="O213" s="2278"/>
      <c r="P213" s="2278"/>
      <c r="Q213" s="2278">
        <v>1</v>
      </c>
      <c r="R213" s="2288" t="s">
        <v>29</v>
      </c>
      <c r="S213" s="2288">
        <v>700000</v>
      </c>
      <c r="T213" s="2288" t="s">
        <v>0</v>
      </c>
      <c r="U213" s="2278"/>
      <c r="V213" s="2288">
        <v>1</v>
      </c>
      <c r="W213" s="2288" t="s">
        <v>3</v>
      </c>
      <c r="X213" s="1140" t="s">
        <v>1</v>
      </c>
      <c r="Y213" s="1674">
        <f t="shared" si="19"/>
        <v>700</v>
      </c>
      <c r="Z213" s="1140"/>
      <c r="AA213" s="907">
        <f t="shared" si="18"/>
        <v>0</v>
      </c>
      <c r="AB213" s="505"/>
    </row>
    <row r="214" spans="1:256" ht="21.6" customHeight="1">
      <c r="A214" s="475"/>
      <c r="B214" s="1145"/>
      <c r="C214" s="465"/>
      <c r="D214" s="1131"/>
      <c r="E214" s="389"/>
      <c r="F214" s="438"/>
      <c r="G214" s="438"/>
      <c r="H214" s="406"/>
      <c r="I214" s="1342"/>
      <c r="J214" s="2287" t="s">
        <v>2384</v>
      </c>
      <c r="K214" s="2288"/>
      <c r="L214" s="2288"/>
      <c r="M214" s="2288"/>
      <c r="N214" s="2288"/>
      <c r="O214" s="2282"/>
      <c r="P214" s="2278"/>
      <c r="Q214" s="2278">
        <v>2</v>
      </c>
      <c r="R214" s="2288" t="s">
        <v>29</v>
      </c>
      <c r="S214" s="2288">
        <v>500000</v>
      </c>
      <c r="T214" s="2288" t="s">
        <v>0</v>
      </c>
      <c r="U214" s="2278"/>
      <c r="V214" s="2288">
        <v>2</v>
      </c>
      <c r="W214" s="2288" t="s">
        <v>3</v>
      </c>
      <c r="X214" s="1140" t="s">
        <v>1</v>
      </c>
      <c r="Y214" s="1674">
        <f t="shared" si="19"/>
        <v>2000</v>
      </c>
      <c r="Z214" s="1140"/>
      <c r="AA214" s="907">
        <f t="shared" si="18"/>
        <v>0</v>
      </c>
      <c r="AB214" s="505"/>
    </row>
    <row r="215" spans="1:256" ht="21.6" customHeight="1">
      <c r="A215" s="475"/>
      <c r="B215" s="1145"/>
      <c r="C215" s="465"/>
      <c r="D215" s="1131"/>
      <c r="E215" s="389" t="s">
        <v>2385</v>
      </c>
      <c r="F215" s="438">
        <f>+Y215</f>
        <v>4800</v>
      </c>
      <c r="G215" s="438">
        <v>4800</v>
      </c>
      <c r="H215" s="391"/>
      <c r="I215" s="1342"/>
      <c r="J215" s="2287" t="s">
        <v>8</v>
      </c>
      <c r="K215" s="2288"/>
      <c r="L215" s="2288"/>
      <c r="M215" s="2288"/>
      <c r="N215" s="2288"/>
      <c r="O215" s="2282"/>
      <c r="P215" s="2278"/>
      <c r="Q215" s="2288"/>
      <c r="R215" s="2262"/>
      <c r="S215" s="2262" t="s">
        <v>19</v>
      </c>
      <c r="T215" s="2288" t="s">
        <v>19</v>
      </c>
      <c r="U215" s="2288" t="s">
        <v>19</v>
      </c>
      <c r="V215" s="2288" t="s">
        <v>19</v>
      </c>
      <c r="W215" s="2288" t="s">
        <v>19</v>
      </c>
      <c r="X215" s="1140" t="s">
        <v>19</v>
      </c>
      <c r="Y215" s="656">
        <f>SUM(Y216:Y218)</f>
        <v>4800</v>
      </c>
      <c r="Z215" s="1140"/>
      <c r="AA215" s="907">
        <f t="shared" si="18"/>
        <v>4800000000</v>
      </c>
      <c r="AB215" s="505"/>
    </row>
    <row r="216" spans="1:256" ht="21.6" customHeight="1">
      <c r="A216" s="475"/>
      <c r="B216" s="1145"/>
      <c r="C216" s="465"/>
      <c r="D216" s="1131"/>
      <c r="E216" s="389"/>
      <c r="F216" s="438"/>
      <c r="G216" s="438"/>
      <c r="H216" s="406"/>
      <c r="I216" s="1342"/>
      <c r="J216" s="2287" t="s">
        <v>2386</v>
      </c>
      <c r="K216" s="2288"/>
      <c r="L216" s="2288"/>
      <c r="M216" s="2288"/>
      <c r="N216" s="2288"/>
      <c r="O216" s="2278"/>
      <c r="P216" s="2278"/>
      <c r="Q216" s="2278"/>
      <c r="R216" s="2288"/>
      <c r="S216" s="2288">
        <v>1500000</v>
      </c>
      <c r="T216" s="2288" t="s">
        <v>0</v>
      </c>
      <c r="U216" s="2278"/>
      <c r="V216" s="2288">
        <v>2</v>
      </c>
      <c r="W216" s="2288" t="s">
        <v>3</v>
      </c>
      <c r="X216" s="1140" t="s">
        <v>1</v>
      </c>
      <c r="Y216" s="1674">
        <f>+S216*V216/1000</f>
        <v>3000</v>
      </c>
      <c r="Z216" s="1140"/>
      <c r="AA216" s="907">
        <f t="shared" si="18"/>
        <v>0</v>
      </c>
      <c r="AB216" s="505"/>
    </row>
    <row r="217" spans="1:256" ht="21.6" customHeight="1">
      <c r="A217" s="475"/>
      <c r="B217" s="1145"/>
      <c r="C217" s="465"/>
      <c r="D217" s="1131"/>
      <c r="E217" s="389"/>
      <c r="F217" s="438"/>
      <c r="G217" s="438"/>
      <c r="H217" s="406"/>
      <c r="I217" s="1342"/>
      <c r="J217" s="2287" t="s">
        <v>2387</v>
      </c>
      <c r="K217" s="2288"/>
      <c r="L217" s="2288"/>
      <c r="M217" s="2288"/>
      <c r="N217" s="2288"/>
      <c r="O217" s="2278"/>
      <c r="P217" s="2278"/>
      <c r="Q217" s="2278"/>
      <c r="R217" s="2288"/>
      <c r="S217" s="2288">
        <v>600000</v>
      </c>
      <c r="T217" s="2288" t="s">
        <v>0</v>
      </c>
      <c r="U217" s="2278"/>
      <c r="V217" s="2288">
        <v>2</v>
      </c>
      <c r="W217" s="2288" t="s">
        <v>3</v>
      </c>
      <c r="X217" s="1140" t="s">
        <v>1</v>
      </c>
      <c r="Y217" s="1674">
        <f>+S217*V217/1000</f>
        <v>1200</v>
      </c>
      <c r="Z217" s="1140"/>
      <c r="AA217" s="907">
        <f t="shared" si="18"/>
        <v>0</v>
      </c>
      <c r="AB217" s="505"/>
    </row>
    <row r="218" spans="1:256" ht="21.6" customHeight="1">
      <c r="A218" s="475"/>
      <c r="B218" s="1145"/>
      <c r="C218" s="465"/>
      <c r="D218" s="1131"/>
      <c r="E218" s="389"/>
      <c r="F218" s="438"/>
      <c r="G218" s="438"/>
      <c r="H218" s="406"/>
      <c r="I218" s="1342"/>
      <c r="J218" s="2287" t="s">
        <v>2388</v>
      </c>
      <c r="K218" s="2288"/>
      <c r="L218" s="2288"/>
      <c r="M218" s="2288"/>
      <c r="N218" s="2288"/>
      <c r="O218" s="2282"/>
      <c r="P218" s="2278"/>
      <c r="Q218" s="2278"/>
      <c r="R218" s="2288"/>
      <c r="S218" s="2288">
        <v>300000</v>
      </c>
      <c r="T218" s="2288" t="s">
        <v>0</v>
      </c>
      <c r="U218" s="2278"/>
      <c r="V218" s="2288">
        <v>2</v>
      </c>
      <c r="W218" s="2288" t="s">
        <v>3</v>
      </c>
      <c r="X218" s="1140" t="s">
        <v>1</v>
      </c>
      <c r="Y218" s="1674">
        <f>+S218*V218/1000</f>
        <v>600</v>
      </c>
      <c r="Z218" s="1140"/>
      <c r="AA218" s="907">
        <f t="shared" si="18"/>
        <v>0</v>
      </c>
      <c r="AB218" s="505"/>
    </row>
    <row r="219" spans="1:256" ht="21.6" customHeight="1">
      <c r="A219" s="475"/>
      <c r="B219" s="1145"/>
      <c r="C219" s="465"/>
      <c r="D219" s="1144"/>
      <c r="E219" s="1134" t="s">
        <v>1784</v>
      </c>
      <c r="F219" s="438">
        <f>+Y219</f>
        <v>600</v>
      </c>
      <c r="G219" s="438">
        <v>600</v>
      </c>
      <c r="H219" s="391"/>
      <c r="I219" s="1342"/>
      <c r="J219" s="1627" t="s">
        <v>2389</v>
      </c>
      <c r="K219" s="459"/>
      <c r="L219" s="459"/>
      <c r="M219" s="459"/>
      <c r="N219" s="459"/>
      <c r="O219" s="2278">
        <v>60</v>
      </c>
      <c r="P219" s="2288" t="s">
        <v>23</v>
      </c>
      <c r="Q219" s="2285"/>
      <c r="R219" s="459"/>
      <c r="S219" s="459">
        <v>10000</v>
      </c>
      <c r="T219" s="459" t="s">
        <v>0</v>
      </c>
      <c r="U219" s="2285"/>
      <c r="V219" s="459">
        <v>1</v>
      </c>
      <c r="W219" s="459" t="s">
        <v>3</v>
      </c>
      <c r="X219" s="460" t="s">
        <v>1</v>
      </c>
      <c r="Y219" s="345">
        <f>+O219*S219*V219/1000</f>
        <v>600</v>
      </c>
      <c r="Z219" s="1140"/>
      <c r="AA219" s="907">
        <f t="shared" si="18"/>
        <v>600000000</v>
      </c>
      <c r="AB219" s="505"/>
    </row>
    <row r="220" spans="1:256" s="1155" customFormat="1" ht="21.6" customHeight="1">
      <c r="A220" s="2274"/>
      <c r="B220" s="471"/>
      <c r="C220" s="402"/>
      <c r="D220" s="3266" t="s">
        <v>2391</v>
      </c>
      <c r="E220" s="3267"/>
      <c r="F220" s="1153">
        <f>SUM(F221:F226)</f>
        <v>19000</v>
      </c>
      <c r="G220" s="1153">
        <f>SUM(G221:G226)</f>
        <v>19000</v>
      </c>
      <c r="H220" s="1132">
        <f>F220-G220</f>
        <v>0</v>
      </c>
      <c r="I220" s="473"/>
      <c r="J220" s="501"/>
      <c r="K220" s="2276"/>
      <c r="L220" s="2276"/>
      <c r="M220" s="2276"/>
      <c r="N220" s="2276"/>
      <c r="O220" s="2276"/>
      <c r="P220" s="2276"/>
      <c r="Q220" s="485"/>
      <c r="R220" s="484"/>
      <c r="S220" s="520"/>
      <c r="T220" s="2276"/>
      <c r="U220" s="2276"/>
      <c r="V220" s="521"/>
      <c r="W220" s="2276"/>
      <c r="X220" s="375"/>
      <c r="Y220" s="463"/>
      <c r="Z220" s="1128"/>
      <c r="AA220" s="907">
        <f t="shared" si="18"/>
        <v>19000000000</v>
      </c>
      <c r="AB220" s="505"/>
      <c r="AC220" s="2278"/>
      <c r="AD220" s="2278"/>
      <c r="AE220" s="2278"/>
      <c r="AF220" s="2278"/>
      <c r="AG220" s="2278"/>
      <c r="AH220" s="2278"/>
      <c r="AI220" s="2278"/>
      <c r="AJ220" s="2278"/>
      <c r="AK220" s="2278"/>
      <c r="AL220" s="2278"/>
      <c r="AM220" s="2278"/>
      <c r="AN220" s="2278"/>
      <c r="AO220" s="2278"/>
      <c r="AP220" s="2278"/>
      <c r="AQ220" s="2278"/>
      <c r="AR220" s="2278"/>
      <c r="AS220" s="2278"/>
      <c r="AT220" s="2278"/>
      <c r="AU220" s="2278"/>
      <c r="AV220" s="2278"/>
      <c r="AW220" s="2278"/>
      <c r="AX220" s="2278"/>
      <c r="AY220" s="2278"/>
      <c r="AZ220" s="2278"/>
      <c r="BA220" s="2278"/>
      <c r="BB220" s="2278"/>
      <c r="BC220" s="2278"/>
      <c r="BD220" s="2278"/>
      <c r="BE220" s="2278"/>
      <c r="BF220" s="2278"/>
      <c r="BG220" s="2278"/>
      <c r="BH220" s="2278"/>
      <c r="BI220" s="2278"/>
      <c r="BJ220" s="2278"/>
      <c r="BK220" s="2278"/>
      <c r="BL220" s="2278"/>
      <c r="BM220" s="2278"/>
      <c r="BN220" s="2278"/>
      <c r="BO220" s="2278"/>
      <c r="BP220" s="2278"/>
      <c r="BQ220" s="2278"/>
      <c r="BR220" s="2278"/>
      <c r="BS220" s="2278"/>
      <c r="BT220" s="2278"/>
      <c r="BU220" s="2278"/>
      <c r="BV220" s="2278"/>
      <c r="BW220" s="2278"/>
      <c r="BX220" s="2278"/>
      <c r="BY220" s="2278"/>
      <c r="BZ220" s="2278"/>
      <c r="CA220" s="2278"/>
      <c r="CB220" s="2278"/>
      <c r="CC220" s="2278"/>
      <c r="CD220" s="2278"/>
      <c r="CE220" s="2278"/>
      <c r="CF220" s="2278"/>
      <c r="CG220" s="2278"/>
      <c r="CH220" s="2278"/>
      <c r="CI220" s="2278"/>
      <c r="CJ220" s="2278"/>
      <c r="CK220" s="2278"/>
      <c r="CL220" s="2278"/>
      <c r="CM220" s="2278"/>
      <c r="CN220" s="2278"/>
      <c r="CO220" s="2278"/>
      <c r="CP220" s="2278"/>
      <c r="CQ220" s="2278"/>
      <c r="CR220" s="2278"/>
      <c r="CS220" s="2278"/>
      <c r="CT220" s="2278"/>
      <c r="CU220" s="2278"/>
      <c r="CV220" s="2278"/>
      <c r="CW220" s="2278"/>
      <c r="CX220" s="2278"/>
      <c r="CY220" s="2278"/>
      <c r="CZ220" s="2278"/>
      <c r="DA220" s="2278"/>
      <c r="DB220" s="2278"/>
      <c r="DC220" s="2278"/>
      <c r="DD220" s="2278"/>
      <c r="DE220" s="2278"/>
      <c r="DF220" s="2278"/>
      <c r="DG220" s="2278"/>
      <c r="DH220" s="2278"/>
      <c r="DI220" s="2278"/>
      <c r="DJ220" s="2278"/>
      <c r="DK220" s="2278"/>
      <c r="DL220" s="2278"/>
      <c r="DM220" s="2278"/>
      <c r="DN220" s="2278"/>
      <c r="DO220" s="2278"/>
      <c r="DP220" s="2278"/>
      <c r="DQ220" s="2278"/>
      <c r="DR220" s="2278"/>
      <c r="DS220" s="2278"/>
      <c r="DT220" s="2278"/>
      <c r="DU220" s="2278"/>
      <c r="DV220" s="2278"/>
      <c r="DW220" s="2278"/>
      <c r="DX220" s="2278"/>
      <c r="DY220" s="2278"/>
      <c r="DZ220" s="2278"/>
      <c r="EA220" s="2278"/>
      <c r="EB220" s="2278"/>
      <c r="EC220" s="2278"/>
      <c r="ED220" s="2278"/>
      <c r="EE220" s="2278"/>
      <c r="EF220" s="2278"/>
      <c r="EG220" s="2278"/>
      <c r="EH220" s="2278"/>
      <c r="EI220" s="2278"/>
      <c r="EJ220" s="2278"/>
      <c r="EK220" s="2278"/>
      <c r="EL220" s="2278"/>
      <c r="EM220" s="2278"/>
      <c r="EN220" s="2278"/>
      <c r="EO220" s="2278"/>
      <c r="EP220" s="2278"/>
      <c r="EQ220" s="2278"/>
      <c r="ER220" s="2278"/>
      <c r="ES220" s="2278"/>
      <c r="ET220" s="2278"/>
      <c r="EU220" s="2278"/>
      <c r="EV220" s="2278"/>
      <c r="EW220" s="2278"/>
      <c r="EX220" s="2278"/>
      <c r="EY220" s="2278"/>
      <c r="EZ220" s="2278"/>
      <c r="FA220" s="2278"/>
      <c r="FB220" s="2278"/>
      <c r="FC220" s="2278"/>
      <c r="FD220" s="2278"/>
      <c r="FE220" s="2278"/>
      <c r="FF220" s="2278"/>
      <c r="FG220" s="2278"/>
      <c r="FH220" s="2278"/>
      <c r="FI220" s="2278"/>
      <c r="FJ220" s="2278"/>
      <c r="FK220" s="2278"/>
      <c r="FL220" s="2278"/>
      <c r="FM220" s="2278"/>
      <c r="FN220" s="2278"/>
      <c r="FO220" s="2278"/>
      <c r="FP220" s="2278"/>
      <c r="FQ220" s="2278"/>
      <c r="FR220" s="2278"/>
      <c r="FS220" s="2278"/>
      <c r="FT220" s="2278"/>
      <c r="FU220" s="2278"/>
      <c r="FV220" s="2278"/>
      <c r="FW220" s="2278"/>
      <c r="FX220" s="2278"/>
      <c r="FY220" s="2278"/>
      <c r="FZ220" s="2278"/>
      <c r="GA220" s="2278"/>
      <c r="GB220" s="2278"/>
      <c r="GC220" s="2278"/>
      <c r="GD220" s="2278"/>
      <c r="GE220" s="2278"/>
      <c r="GF220" s="2278"/>
      <c r="GG220" s="2278"/>
      <c r="GH220" s="2278"/>
      <c r="GI220" s="2278"/>
      <c r="GJ220" s="2278"/>
      <c r="GK220" s="2278"/>
      <c r="GL220" s="2278"/>
      <c r="GM220" s="2278"/>
      <c r="GN220" s="2278"/>
      <c r="GO220" s="2278"/>
      <c r="GP220" s="2278"/>
      <c r="GQ220" s="2278"/>
      <c r="GR220" s="2278"/>
      <c r="GS220" s="2278"/>
      <c r="GT220" s="2278"/>
      <c r="GU220" s="2278"/>
      <c r="GV220" s="2278"/>
      <c r="GW220" s="2278"/>
      <c r="GX220" s="2278"/>
      <c r="GY220" s="2278"/>
      <c r="GZ220" s="2278"/>
      <c r="HA220" s="2278"/>
      <c r="HB220" s="2278"/>
      <c r="HC220" s="2278"/>
      <c r="HD220" s="2278"/>
      <c r="HE220" s="2278"/>
      <c r="HF220" s="2278"/>
      <c r="HG220" s="2278"/>
      <c r="HH220" s="2278"/>
      <c r="HI220" s="2278"/>
      <c r="HJ220" s="2278"/>
      <c r="HK220" s="2278"/>
      <c r="HL220" s="2278"/>
      <c r="HM220" s="2278"/>
      <c r="HN220" s="2278"/>
      <c r="HO220" s="2278"/>
      <c r="HP220" s="2278"/>
      <c r="HQ220" s="2278"/>
      <c r="HR220" s="2278"/>
      <c r="HS220" s="2278"/>
      <c r="HT220" s="2278"/>
      <c r="HU220" s="2278"/>
      <c r="HV220" s="2278"/>
      <c r="HW220" s="2278"/>
      <c r="HX220" s="2278"/>
      <c r="HY220" s="2278"/>
      <c r="HZ220" s="2278"/>
      <c r="IA220" s="2278"/>
      <c r="IB220" s="2278"/>
      <c r="IC220" s="2278"/>
      <c r="ID220" s="2278"/>
      <c r="IE220" s="2278"/>
      <c r="IF220" s="2278"/>
      <c r="IG220" s="2278"/>
      <c r="IH220" s="2278"/>
      <c r="II220" s="2278"/>
      <c r="IJ220" s="2278"/>
      <c r="IK220" s="2278"/>
      <c r="IL220" s="2278"/>
      <c r="IM220" s="2278"/>
      <c r="IN220" s="2278"/>
      <c r="IO220" s="2278"/>
      <c r="IP220" s="2278"/>
      <c r="IQ220" s="2278"/>
      <c r="IR220" s="2278"/>
      <c r="IS220" s="2278"/>
      <c r="IT220" s="2278"/>
      <c r="IU220" s="2278"/>
      <c r="IV220" s="2278"/>
    </row>
    <row r="221" spans="1:256" s="1155" customFormat="1" ht="21.6" customHeight="1">
      <c r="A221" s="2274"/>
      <c r="B221" s="471"/>
      <c r="C221" s="402"/>
      <c r="D221" s="1154"/>
      <c r="E221" s="1154" t="s">
        <v>2061</v>
      </c>
      <c r="F221" s="1141">
        <f>Y221</f>
        <v>14000</v>
      </c>
      <c r="G221" s="1141">
        <v>14000</v>
      </c>
      <c r="H221" s="523"/>
      <c r="I221" s="473"/>
      <c r="J221" s="348" t="s">
        <v>2392</v>
      </c>
      <c r="K221" s="2278"/>
      <c r="L221" s="2278"/>
      <c r="M221" s="2278"/>
      <c r="N221" s="2278"/>
      <c r="O221" s="2278"/>
      <c r="P221" s="2278"/>
      <c r="Q221" s="372">
        <v>2</v>
      </c>
      <c r="R221" s="1128" t="s">
        <v>23</v>
      </c>
      <c r="S221" s="524">
        <v>3500000</v>
      </c>
      <c r="T221" s="466" t="s">
        <v>0</v>
      </c>
      <c r="U221" s="2278"/>
      <c r="V221" s="366">
        <v>2</v>
      </c>
      <c r="W221" s="466" t="s">
        <v>1811</v>
      </c>
      <c r="X221" s="525" t="s">
        <v>1</v>
      </c>
      <c r="Y221" s="1674">
        <f t="shared" ref="Y221" si="20">+Q221*S221*V221/1000</f>
        <v>14000</v>
      </c>
      <c r="Z221" s="1128"/>
      <c r="AA221" s="907">
        <f t="shared" si="18"/>
        <v>14000000000</v>
      </c>
      <c r="AB221" s="505"/>
      <c r="AC221" s="2278"/>
      <c r="AD221" s="2278"/>
      <c r="AE221" s="2278"/>
      <c r="AF221" s="2278"/>
      <c r="AG221" s="2278"/>
      <c r="AH221" s="2278"/>
      <c r="AI221" s="2278"/>
      <c r="AJ221" s="2278"/>
      <c r="AK221" s="2278"/>
      <c r="AL221" s="2278"/>
      <c r="AM221" s="2278"/>
      <c r="AN221" s="2278"/>
      <c r="AO221" s="2278"/>
      <c r="AP221" s="2278"/>
      <c r="AQ221" s="2278"/>
      <c r="AR221" s="2278"/>
      <c r="AS221" s="2278"/>
      <c r="AT221" s="2278"/>
      <c r="AU221" s="2278"/>
      <c r="AV221" s="2278"/>
      <c r="AW221" s="2278"/>
      <c r="AX221" s="2278"/>
      <c r="AY221" s="2278"/>
      <c r="AZ221" s="2278"/>
      <c r="BA221" s="2278"/>
      <c r="BB221" s="2278"/>
      <c r="BC221" s="2278"/>
      <c r="BD221" s="2278"/>
      <c r="BE221" s="2278"/>
      <c r="BF221" s="2278"/>
      <c r="BG221" s="2278"/>
      <c r="BH221" s="2278"/>
      <c r="BI221" s="2278"/>
      <c r="BJ221" s="2278"/>
      <c r="BK221" s="2278"/>
      <c r="BL221" s="2278"/>
      <c r="BM221" s="2278"/>
      <c r="BN221" s="2278"/>
      <c r="BO221" s="2278"/>
      <c r="BP221" s="2278"/>
      <c r="BQ221" s="2278"/>
      <c r="BR221" s="2278"/>
      <c r="BS221" s="2278"/>
      <c r="BT221" s="2278"/>
      <c r="BU221" s="2278"/>
      <c r="BV221" s="2278"/>
      <c r="BW221" s="2278"/>
      <c r="BX221" s="2278"/>
      <c r="BY221" s="2278"/>
      <c r="BZ221" s="2278"/>
      <c r="CA221" s="2278"/>
      <c r="CB221" s="2278"/>
      <c r="CC221" s="2278"/>
      <c r="CD221" s="2278"/>
      <c r="CE221" s="2278"/>
      <c r="CF221" s="2278"/>
      <c r="CG221" s="2278"/>
      <c r="CH221" s="2278"/>
      <c r="CI221" s="2278"/>
      <c r="CJ221" s="2278"/>
      <c r="CK221" s="2278"/>
      <c r="CL221" s="2278"/>
      <c r="CM221" s="2278"/>
      <c r="CN221" s="2278"/>
      <c r="CO221" s="2278"/>
      <c r="CP221" s="2278"/>
      <c r="CQ221" s="2278"/>
      <c r="CR221" s="2278"/>
      <c r="CS221" s="2278"/>
      <c r="CT221" s="2278"/>
      <c r="CU221" s="2278"/>
      <c r="CV221" s="2278"/>
      <c r="CW221" s="2278"/>
      <c r="CX221" s="2278"/>
      <c r="CY221" s="2278"/>
      <c r="CZ221" s="2278"/>
      <c r="DA221" s="2278"/>
      <c r="DB221" s="2278"/>
      <c r="DC221" s="2278"/>
      <c r="DD221" s="2278"/>
      <c r="DE221" s="2278"/>
      <c r="DF221" s="2278"/>
      <c r="DG221" s="2278"/>
      <c r="DH221" s="2278"/>
      <c r="DI221" s="2278"/>
      <c r="DJ221" s="2278"/>
      <c r="DK221" s="2278"/>
      <c r="DL221" s="2278"/>
      <c r="DM221" s="2278"/>
      <c r="DN221" s="2278"/>
      <c r="DO221" s="2278"/>
      <c r="DP221" s="2278"/>
      <c r="DQ221" s="2278"/>
      <c r="DR221" s="2278"/>
      <c r="DS221" s="2278"/>
      <c r="DT221" s="2278"/>
      <c r="DU221" s="2278"/>
      <c r="DV221" s="2278"/>
      <c r="DW221" s="2278"/>
      <c r="DX221" s="2278"/>
      <c r="DY221" s="2278"/>
      <c r="DZ221" s="2278"/>
      <c r="EA221" s="2278"/>
      <c r="EB221" s="2278"/>
      <c r="EC221" s="2278"/>
      <c r="ED221" s="2278"/>
      <c r="EE221" s="2278"/>
      <c r="EF221" s="2278"/>
      <c r="EG221" s="2278"/>
      <c r="EH221" s="2278"/>
      <c r="EI221" s="2278"/>
      <c r="EJ221" s="2278"/>
      <c r="EK221" s="2278"/>
      <c r="EL221" s="2278"/>
      <c r="EM221" s="2278"/>
      <c r="EN221" s="2278"/>
      <c r="EO221" s="2278"/>
      <c r="EP221" s="2278"/>
      <c r="EQ221" s="2278"/>
      <c r="ER221" s="2278"/>
      <c r="ES221" s="2278"/>
      <c r="ET221" s="2278"/>
      <c r="EU221" s="2278"/>
      <c r="EV221" s="2278"/>
      <c r="EW221" s="2278"/>
      <c r="EX221" s="2278"/>
      <c r="EY221" s="2278"/>
      <c r="EZ221" s="2278"/>
      <c r="FA221" s="2278"/>
      <c r="FB221" s="2278"/>
      <c r="FC221" s="2278"/>
      <c r="FD221" s="2278"/>
      <c r="FE221" s="2278"/>
      <c r="FF221" s="2278"/>
      <c r="FG221" s="2278"/>
      <c r="FH221" s="2278"/>
      <c r="FI221" s="2278"/>
      <c r="FJ221" s="2278"/>
      <c r="FK221" s="2278"/>
      <c r="FL221" s="2278"/>
      <c r="FM221" s="2278"/>
      <c r="FN221" s="2278"/>
      <c r="FO221" s="2278"/>
      <c r="FP221" s="2278"/>
      <c r="FQ221" s="2278"/>
      <c r="FR221" s="2278"/>
      <c r="FS221" s="2278"/>
      <c r="FT221" s="2278"/>
      <c r="FU221" s="2278"/>
      <c r="FV221" s="2278"/>
      <c r="FW221" s="2278"/>
      <c r="FX221" s="2278"/>
      <c r="FY221" s="2278"/>
      <c r="FZ221" s="2278"/>
      <c r="GA221" s="2278"/>
      <c r="GB221" s="2278"/>
      <c r="GC221" s="2278"/>
      <c r="GD221" s="2278"/>
      <c r="GE221" s="2278"/>
      <c r="GF221" s="2278"/>
      <c r="GG221" s="2278"/>
      <c r="GH221" s="2278"/>
      <c r="GI221" s="2278"/>
      <c r="GJ221" s="2278"/>
      <c r="GK221" s="2278"/>
      <c r="GL221" s="2278"/>
      <c r="GM221" s="2278"/>
      <c r="GN221" s="2278"/>
      <c r="GO221" s="2278"/>
      <c r="GP221" s="2278"/>
      <c r="GQ221" s="2278"/>
      <c r="GR221" s="2278"/>
      <c r="GS221" s="2278"/>
      <c r="GT221" s="2278"/>
      <c r="GU221" s="2278"/>
      <c r="GV221" s="2278"/>
      <c r="GW221" s="2278"/>
      <c r="GX221" s="2278"/>
      <c r="GY221" s="2278"/>
      <c r="GZ221" s="2278"/>
      <c r="HA221" s="2278"/>
      <c r="HB221" s="2278"/>
      <c r="HC221" s="2278"/>
      <c r="HD221" s="2278"/>
      <c r="HE221" s="2278"/>
      <c r="HF221" s="2278"/>
      <c r="HG221" s="2278"/>
      <c r="HH221" s="2278"/>
      <c r="HI221" s="2278"/>
      <c r="HJ221" s="2278"/>
      <c r="HK221" s="2278"/>
      <c r="HL221" s="2278"/>
      <c r="HM221" s="2278"/>
      <c r="HN221" s="2278"/>
      <c r="HO221" s="2278"/>
      <c r="HP221" s="2278"/>
      <c r="HQ221" s="2278"/>
      <c r="HR221" s="2278"/>
      <c r="HS221" s="2278"/>
      <c r="HT221" s="2278"/>
      <c r="HU221" s="2278"/>
      <c r="HV221" s="2278"/>
      <c r="HW221" s="2278"/>
      <c r="HX221" s="2278"/>
      <c r="HY221" s="2278"/>
      <c r="HZ221" s="2278"/>
      <c r="IA221" s="2278"/>
      <c r="IB221" s="2278"/>
      <c r="IC221" s="2278"/>
      <c r="ID221" s="2278"/>
      <c r="IE221" s="2278"/>
      <c r="IF221" s="2278"/>
      <c r="IG221" s="2278"/>
      <c r="IH221" s="2278"/>
      <c r="II221" s="2278"/>
      <c r="IJ221" s="2278"/>
      <c r="IK221" s="2278"/>
      <c r="IL221" s="2278"/>
      <c r="IM221" s="2278"/>
      <c r="IN221" s="2278"/>
      <c r="IO221" s="2278"/>
      <c r="IP221" s="2278"/>
      <c r="IQ221" s="2278"/>
      <c r="IR221" s="2278"/>
      <c r="IS221" s="2278"/>
      <c r="IT221" s="2278"/>
      <c r="IU221" s="2278"/>
      <c r="IV221" s="2278"/>
    </row>
    <row r="222" spans="1:256" s="1155" customFormat="1" ht="21.6" customHeight="1">
      <c r="A222" s="2274"/>
      <c r="B222" s="471"/>
      <c r="C222" s="402"/>
      <c r="D222" s="1154"/>
      <c r="E222" s="1154" t="s">
        <v>2393</v>
      </c>
      <c r="F222" s="1141">
        <f>Y222</f>
        <v>2500</v>
      </c>
      <c r="G222" s="1141">
        <v>2500</v>
      </c>
      <c r="H222" s="523"/>
      <c r="I222" s="473"/>
      <c r="J222" s="348" t="s">
        <v>8</v>
      </c>
      <c r="K222" s="2278"/>
      <c r="L222" s="2278"/>
      <c r="M222" s="2278"/>
      <c r="N222" s="2278"/>
      <c r="O222" s="2278"/>
      <c r="P222" s="2278"/>
      <c r="Q222" s="372"/>
      <c r="R222" s="1128"/>
      <c r="S222" s="524"/>
      <c r="T222" s="466"/>
      <c r="U222" s="2278"/>
      <c r="V222" s="366"/>
      <c r="W222" s="466"/>
      <c r="X222" s="525"/>
      <c r="Y222" s="1674">
        <f>SUM(Y223:Y224)</f>
        <v>2500</v>
      </c>
      <c r="Z222" s="1128"/>
      <c r="AA222" s="907">
        <f t="shared" si="18"/>
        <v>2500000000</v>
      </c>
      <c r="AB222" s="505"/>
      <c r="AC222" s="2278"/>
      <c r="AD222" s="2278"/>
      <c r="AE222" s="2278"/>
      <c r="AF222" s="2278"/>
      <c r="AG222" s="2278"/>
      <c r="AH222" s="2278"/>
      <c r="AI222" s="2278"/>
      <c r="AJ222" s="2278"/>
      <c r="AK222" s="2278"/>
      <c r="AL222" s="2278"/>
      <c r="AM222" s="2278"/>
      <c r="AN222" s="2278"/>
      <c r="AO222" s="2278"/>
      <c r="AP222" s="2278"/>
      <c r="AQ222" s="2278"/>
      <c r="AR222" s="2278"/>
      <c r="AS222" s="2278"/>
      <c r="AT222" s="2278"/>
      <c r="AU222" s="2278"/>
      <c r="AV222" s="2278"/>
      <c r="AW222" s="2278"/>
      <c r="AX222" s="2278"/>
      <c r="AY222" s="2278"/>
      <c r="AZ222" s="2278"/>
      <c r="BA222" s="2278"/>
      <c r="BB222" s="2278"/>
      <c r="BC222" s="2278"/>
      <c r="BD222" s="2278"/>
      <c r="BE222" s="2278"/>
      <c r="BF222" s="2278"/>
      <c r="BG222" s="2278"/>
      <c r="BH222" s="2278"/>
      <c r="BI222" s="2278"/>
      <c r="BJ222" s="2278"/>
      <c r="BK222" s="2278"/>
      <c r="BL222" s="2278"/>
      <c r="BM222" s="2278"/>
      <c r="BN222" s="2278"/>
      <c r="BO222" s="2278"/>
      <c r="BP222" s="2278"/>
      <c r="BQ222" s="2278"/>
      <c r="BR222" s="2278"/>
      <c r="BS222" s="2278"/>
      <c r="BT222" s="2278"/>
      <c r="BU222" s="2278"/>
      <c r="BV222" s="2278"/>
      <c r="BW222" s="2278"/>
      <c r="BX222" s="2278"/>
      <c r="BY222" s="2278"/>
      <c r="BZ222" s="2278"/>
      <c r="CA222" s="2278"/>
      <c r="CB222" s="2278"/>
      <c r="CC222" s="2278"/>
      <c r="CD222" s="2278"/>
      <c r="CE222" s="2278"/>
      <c r="CF222" s="2278"/>
      <c r="CG222" s="2278"/>
      <c r="CH222" s="2278"/>
      <c r="CI222" s="2278"/>
      <c r="CJ222" s="2278"/>
      <c r="CK222" s="2278"/>
      <c r="CL222" s="2278"/>
      <c r="CM222" s="2278"/>
      <c r="CN222" s="2278"/>
      <c r="CO222" s="2278"/>
      <c r="CP222" s="2278"/>
      <c r="CQ222" s="2278"/>
      <c r="CR222" s="2278"/>
      <c r="CS222" s="2278"/>
      <c r="CT222" s="2278"/>
      <c r="CU222" s="2278"/>
      <c r="CV222" s="2278"/>
      <c r="CW222" s="2278"/>
      <c r="CX222" s="2278"/>
      <c r="CY222" s="2278"/>
      <c r="CZ222" s="2278"/>
      <c r="DA222" s="2278"/>
      <c r="DB222" s="2278"/>
      <c r="DC222" s="2278"/>
      <c r="DD222" s="2278"/>
      <c r="DE222" s="2278"/>
      <c r="DF222" s="2278"/>
      <c r="DG222" s="2278"/>
      <c r="DH222" s="2278"/>
      <c r="DI222" s="2278"/>
      <c r="DJ222" s="2278"/>
      <c r="DK222" s="2278"/>
      <c r="DL222" s="2278"/>
      <c r="DM222" s="2278"/>
      <c r="DN222" s="2278"/>
      <c r="DO222" s="2278"/>
      <c r="DP222" s="2278"/>
      <c r="DQ222" s="2278"/>
      <c r="DR222" s="2278"/>
      <c r="DS222" s="2278"/>
      <c r="DT222" s="2278"/>
      <c r="DU222" s="2278"/>
      <c r="DV222" s="2278"/>
      <c r="DW222" s="2278"/>
      <c r="DX222" s="2278"/>
      <c r="DY222" s="2278"/>
      <c r="DZ222" s="2278"/>
      <c r="EA222" s="2278"/>
      <c r="EB222" s="2278"/>
      <c r="EC222" s="2278"/>
      <c r="ED222" s="2278"/>
      <c r="EE222" s="2278"/>
      <c r="EF222" s="2278"/>
      <c r="EG222" s="2278"/>
      <c r="EH222" s="2278"/>
      <c r="EI222" s="2278"/>
      <c r="EJ222" s="2278"/>
      <c r="EK222" s="2278"/>
      <c r="EL222" s="2278"/>
      <c r="EM222" s="2278"/>
      <c r="EN222" s="2278"/>
      <c r="EO222" s="2278"/>
      <c r="EP222" s="2278"/>
      <c r="EQ222" s="2278"/>
      <c r="ER222" s="2278"/>
      <c r="ES222" s="2278"/>
      <c r="ET222" s="2278"/>
      <c r="EU222" s="2278"/>
      <c r="EV222" s="2278"/>
      <c r="EW222" s="2278"/>
      <c r="EX222" s="2278"/>
      <c r="EY222" s="2278"/>
      <c r="EZ222" s="2278"/>
      <c r="FA222" s="2278"/>
      <c r="FB222" s="2278"/>
      <c r="FC222" s="2278"/>
      <c r="FD222" s="2278"/>
      <c r="FE222" s="2278"/>
      <c r="FF222" s="2278"/>
      <c r="FG222" s="2278"/>
      <c r="FH222" s="2278"/>
      <c r="FI222" s="2278"/>
      <c r="FJ222" s="2278"/>
      <c r="FK222" s="2278"/>
      <c r="FL222" s="2278"/>
      <c r="FM222" s="2278"/>
      <c r="FN222" s="2278"/>
      <c r="FO222" s="2278"/>
      <c r="FP222" s="2278"/>
      <c r="FQ222" s="2278"/>
      <c r="FR222" s="2278"/>
      <c r="FS222" s="2278"/>
      <c r="FT222" s="2278"/>
      <c r="FU222" s="2278"/>
      <c r="FV222" s="2278"/>
      <c r="FW222" s="2278"/>
      <c r="FX222" s="2278"/>
      <c r="FY222" s="2278"/>
      <c r="FZ222" s="2278"/>
      <c r="GA222" s="2278"/>
      <c r="GB222" s="2278"/>
      <c r="GC222" s="2278"/>
      <c r="GD222" s="2278"/>
      <c r="GE222" s="2278"/>
      <c r="GF222" s="2278"/>
      <c r="GG222" s="2278"/>
      <c r="GH222" s="2278"/>
      <c r="GI222" s="2278"/>
      <c r="GJ222" s="2278"/>
      <c r="GK222" s="2278"/>
      <c r="GL222" s="2278"/>
      <c r="GM222" s="2278"/>
      <c r="GN222" s="2278"/>
      <c r="GO222" s="2278"/>
      <c r="GP222" s="2278"/>
      <c r="GQ222" s="2278"/>
      <c r="GR222" s="2278"/>
      <c r="GS222" s="2278"/>
      <c r="GT222" s="2278"/>
      <c r="GU222" s="2278"/>
      <c r="GV222" s="2278"/>
      <c r="GW222" s="2278"/>
      <c r="GX222" s="2278"/>
      <c r="GY222" s="2278"/>
      <c r="GZ222" s="2278"/>
      <c r="HA222" s="2278"/>
      <c r="HB222" s="2278"/>
      <c r="HC222" s="2278"/>
      <c r="HD222" s="2278"/>
      <c r="HE222" s="2278"/>
      <c r="HF222" s="2278"/>
      <c r="HG222" s="2278"/>
      <c r="HH222" s="2278"/>
      <c r="HI222" s="2278"/>
      <c r="HJ222" s="2278"/>
      <c r="HK222" s="2278"/>
      <c r="HL222" s="2278"/>
      <c r="HM222" s="2278"/>
      <c r="HN222" s="2278"/>
      <c r="HO222" s="2278"/>
      <c r="HP222" s="2278"/>
      <c r="HQ222" s="2278"/>
      <c r="HR222" s="2278"/>
      <c r="HS222" s="2278"/>
      <c r="HT222" s="2278"/>
      <c r="HU222" s="2278"/>
      <c r="HV222" s="2278"/>
      <c r="HW222" s="2278"/>
      <c r="HX222" s="2278"/>
      <c r="HY222" s="2278"/>
      <c r="HZ222" s="2278"/>
      <c r="IA222" s="2278"/>
      <c r="IB222" s="2278"/>
      <c r="IC222" s="2278"/>
      <c r="ID222" s="2278"/>
      <c r="IE222" s="2278"/>
      <c r="IF222" s="2278"/>
      <c r="IG222" s="2278"/>
      <c r="IH222" s="2278"/>
      <c r="II222" s="2278"/>
      <c r="IJ222" s="2278"/>
      <c r="IK222" s="2278"/>
      <c r="IL222" s="2278"/>
      <c r="IM222" s="2278"/>
      <c r="IN222" s="2278"/>
      <c r="IO222" s="2278"/>
      <c r="IP222" s="2278"/>
      <c r="IQ222" s="2278"/>
      <c r="IR222" s="2278"/>
      <c r="IS222" s="2278"/>
      <c r="IT222" s="2278"/>
      <c r="IU222" s="2278"/>
      <c r="IV222" s="2278"/>
    </row>
    <row r="223" spans="1:256" s="1155" customFormat="1" ht="21.6" customHeight="1">
      <c r="A223" s="2274"/>
      <c r="B223" s="471"/>
      <c r="C223" s="402"/>
      <c r="D223" s="1154"/>
      <c r="E223" s="1154"/>
      <c r="F223" s="1141"/>
      <c r="G223" s="1141"/>
      <c r="H223" s="523"/>
      <c r="I223" s="473"/>
      <c r="J223" s="348" t="s">
        <v>2394</v>
      </c>
      <c r="K223" s="2278"/>
      <c r="L223" s="2278"/>
      <c r="M223" s="2278"/>
      <c r="N223" s="2278"/>
      <c r="O223" s="2278"/>
      <c r="P223" s="2278"/>
      <c r="Q223" s="372">
        <v>5</v>
      </c>
      <c r="R223" s="1128" t="s">
        <v>23</v>
      </c>
      <c r="S223" s="524">
        <v>200000</v>
      </c>
      <c r="T223" s="466" t="s">
        <v>0</v>
      </c>
      <c r="U223" s="2278"/>
      <c r="V223" s="366">
        <v>1</v>
      </c>
      <c r="W223" s="466" t="s">
        <v>3</v>
      </c>
      <c r="X223" s="525" t="s">
        <v>1</v>
      </c>
      <c r="Y223" s="1674">
        <f t="shared" ref="Y223" si="21">+Q223*S223*V223/1000</f>
        <v>1000</v>
      </c>
      <c r="Z223" s="1128"/>
      <c r="AA223" s="907">
        <f t="shared" si="18"/>
        <v>0</v>
      </c>
      <c r="AB223" s="505"/>
      <c r="AC223" s="2278"/>
      <c r="AD223" s="2278"/>
      <c r="AE223" s="2278"/>
      <c r="AF223" s="2278"/>
      <c r="AG223" s="2278"/>
      <c r="AH223" s="2278"/>
      <c r="AI223" s="2278"/>
      <c r="AJ223" s="2278"/>
      <c r="AK223" s="2278"/>
      <c r="AL223" s="2278"/>
      <c r="AM223" s="2278"/>
      <c r="AN223" s="2278"/>
      <c r="AO223" s="2278"/>
      <c r="AP223" s="2278"/>
      <c r="AQ223" s="2278"/>
      <c r="AR223" s="2278"/>
      <c r="AS223" s="2278"/>
      <c r="AT223" s="2278"/>
      <c r="AU223" s="2278"/>
      <c r="AV223" s="2278"/>
      <c r="AW223" s="2278"/>
      <c r="AX223" s="2278"/>
      <c r="AY223" s="2278"/>
      <c r="AZ223" s="2278"/>
      <c r="BA223" s="2278"/>
      <c r="BB223" s="2278"/>
      <c r="BC223" s="2278"/>
      <c r="BD223" s="2278"/>
      <c r="BE223" s="2278"/>
      <c r="BF223" s="2278"/>
      <c r="BG223" s="2278"/>
      <c r="BH223" s="2278"/>
      <c r="BI223" s="2278"/>
      <c r="BJ223" s="2278"/>
      <c r="BK223" s="2278"/>
      <c r="BL223" s="2278"/>
      <c r="BM223" s="2278"/>
      <c r="BN223" s="2278"/>
      <c r="BO223" s="2278"/>
      <c r="BP223" s="2278"/>
      <c r="BQ223" s="2278"/>
      <c r="BR223" s="2278"/>
      <c r="BS223" s="2278"/>
      <c r="BT223" s="2278"/>
      <c r="BU223" s="2278"/>
      <c r="BV223" s="2278"/>
      <c r="BW223" s="2278"/>
      <c r="BX223" s="2278"/>
      <c r="BY223" s="2278"/>
      <c r="BZ223" s="2278"/>
      <c r="CA223" s="2278"/>
      <c r="CB223" s="2278"/>
      <c r="CC223" s="2278"/>
      <c r="CD223" s="2278"/>
      <c r="CE223" s="2278"/>
      <c r="CF223" s="2278"/>
      <c r="CG223" s="2278"/>
      <c r="CH223" s="2278"/>
      <c r="CI223" s="2278"/>
      <c r="CJ223" s="2278"/>
      <c r="CK223" s="2278"/>
      <c r="CL223" s="2278"/>
      <c r="CM223" s="2278"/>
      <c r="CN223" s="2278"/>
      <c r="CO223" s="2278"/>
      <c r="CP223" s="2278"/>
      <c r="CQ223" s="2278"/>
      <c r="CR223" s="2278"/>
      <c r="CS223" s="2278"/>
      <c r="CT223" s="2278"/>
      <c r="CU223" s="2278"/>
      <c r="CV223" s="2278"/>
      <c r="CW223" s="2278"/>
      <c r="CX223" s="2278"/>
      <c r="CY223" s="2278"/>
      <c r="CZ223" s="2278"/>
      <c r="DA223" s="2278"/>
      <c r="DB223" s="2278"/>
      <c r="DC223" s="2278"/>
      <c r="DD223" s="2278"/>
      <c r="DE223" s="2278"/>
      <c r="DF223" s="2278"/>
      <c r="DG223" s="2278"/>
      <c r="DH223" s="2278"/>
      <c r="DI223" s="2278"/>
      <c r="DJ223" s="2278"/>
      <c r="DK223" s="2278"/>
      <c r="DL223" s="2278"/>
      <c r="DM223" s="2278"/>
      <c r="DN223" s="2278"/>
      <c r="DO223" s="2278"/>
      <c r="DP223" s="2278"/>
      <c r="DQ223" s="2278"/>
      <c r="DR223" s="2278"/>
      <c r="DS223" s="2278"/>
      <c r="DT223" s="2278"/>
      <c r="DU223" s="2278"/>
      <c r="DV223" s="2278"/>
      <c r="DW223" s="2278"/>
      <c r="DX223" s="2278"/>
      <c r="DY223" s="2278"/>
      <c r="DZ223" s="2278"/>
      <c r="EA223" s="2278"/>
      <c r="EB223" s="2278"/>
      <c r="EC223" s="2278"/>
      <c r="ED223" s="2278"/>
      <c r="EE223" s="2278"/>
      <c r="EF223" s="2278"/>
      <c r="EG223" s="2278"/>
      <c r="EH223" s="2278"/>
      <c r="EI223" s="2278"/>
      <c r="EJ223" s="2278"/>
      <c r="EK223" s="2278"/>
      <c r="EL223" s="2278"/>
      <c r="EM223" s="2278"/>
      <c r="EN223" s="2278"/>
      <c r="EO223" s="2278"/>
      <c r="EP223" s="2278"/>
      <c r="EQ223" s="2278"/>
      <c r="ER223" s="2278"/>
      <c r="ES223" s="2278"/>
      <c r="ET223" s="2278"/>
      <c r="EU223" s="2278"/>
      <c r="EV223" s="2278"/>
      <c r="EW223" s="2278"/>
      <c r="EX223" s="2278"/>
      <c r="EY223" s="2278"/>
      <c r="EZ223" s="2278"/>
      <c r="FA223" s="2278"/>
      <c r="FB223" s="2278"/>
      <c r="FC223" s="2278"/>
      <c r="FD223" s="2278"/>
      <c r="FE223" s="2278"/>
      <c r="FF223" s="2278"/>
      <c r="FG223" s="2278"/>
      <c r="FH223" s="2278"/>
      <c r="FI223" s="2278"/>
      <c r="FJ223" s="2278"/>
      <c r="FK223" s="2278"/>
      <c r="FL223" s="2278"/>
      <c r="FM223" s="2278"/>
      <c r="FN223" s="2278"/>
      <c r="FO223" s="2278"/>
      <c r="FP223" s="2278"/>
      <c r="FQ223" s="2278"/>
      <c r="FR223" s="2278"/>
      <c r="FS223" s="2278"/>
      <c r="FT223" s="2278"/>
      <c r="FU223" s="2278"/>
      <c r="FV223" s="2278"/>
      <c r="FW223" s="2278"/>
      <c r="FX223" s="2278"/>
      <c r="FY223" s="2278"/>
      <c r="FZ223" s="2278"/>
      <c r="GA223" s="2278"/>
      <c r="GB223" s="2278"/>
      <c r="GC223" s="2278"/>
      <c r="GD223" s="2278"/>
      <c r="GE223" s="2278"/>
      <c r="GF223" s="2278"/>
      <c r="GG223" s="2278"/>
      <c r="GH223" s="2278"/>
      <c r="GI223" s="2278"/>
      <c r="GJ223" s="2278"/>
      <c r="GK223" s="2278"/>
      <c r="GL223" s="2278"/>
      <c r="GM223" s="2278"/>
      <c r="GN223" s="2278"/>
      <c r="GO223" s="2278"/>
      <c r="GP223" s="2278"/>
      <c r="GQ223" s="2278"/>
      <c r="GR223" s="2278"/>
      <c r="GS223" s="2278"/>
      <c r="GT223" s="2278"/>
      <c r="GU223" s="2278"/>
      <c r="GV223" s="2278"/>
      <c r="GW223" s="2278"/>
      <c r="GX223" s="2278"/>
      <c r="GY223" s="2278"/>
      <c r="GZ223" s="2278"/>
      <c r="HA223" s="2278"/>
      <c r="HB223" s="2278"/>
      <c r="HC223" s="2278"/>
      <c r="HD223" s="2278"/>
      <c r="HE223" s="2278"/>
      <c r="HF223" s="2278"/>
      <c r="HG223" s="2278"/>
      <c r="HH223" s="2278"/>
      <c r="HI223" s="2278"/>
      <c r="HJ223" s="2278"/>
      <c r="HK223" s="2278"/>
      <c r="HL223" s="2278"/>
      <c r="HM223" s="2278"/>
      <c r="HN223" s="2278"/>
      <c r="HO223" s="2278"/>
      <c r="HP223" s="2278"/>
      <c r="HQ223" s="2278"/>
      <c r="HR223" s="2278"/>
      <c r="HS223" s="2278"/>
      <c r="HT223" s="2278"/>
      <c r="HU223" s="2278"/>
      <c r="HV223" s="2278"/>
      <c r="HW223" s="2278"/>
      <c r="HX223" s="2278"/>
      <c r="HY223" s="2278"/>
      <c r="HZ223" s="2278"/>
      <c r="IA223" s="2278"/>
      <c r="IB223" s="2278"/>
      <c r="IC223" s="2278"/>
      <c r="ID223" s="2278"/>
      <c r="IE223" s="2278"/>
      <c r="IF223" s="2278"/>
      <c r="IG223" s="2278"/>
      <c r="IH223" s="2278"/>
      <c r="II223" s="2278"/>
      <c r="IJ223" s="2278"/>
      <c r="IK223" s="2278"/>
      <c r="IL223" s="2278"/>
      <c r="IM223" s="2278"/>
      <c r="IN223" s="2278"/>
      <c r="IO223" s="2278"/>
      <c r="IP223" s="2278"/>
      <c r="IQ223" s="2278"/>
      <c r="IR223" s="2278"/>
      <c r="IS223" s="2278"/>
      <c r="IT223" s="2278"/>
      <c r="IU223" s="2278"/>
      <c r="IV223" s="2278"/>
    </row>
    <row r="224" spans="1:256" s="1155" customFormat="1" ht="21.6" customHeight="1">
      <c r="A224" s="2274"/>
      <c r="B224" s="471"/>
      <c r="C224" s="402"/>
      <c r="D224" s="1154"/>
      <c r="E224" s="1154"/>
      <c r="F224" s="1141"/>
      <c r="G224" s="1141"/>
      <c r="H224" s="523"/>
      <c r="I224" s="473"/>
      <c r="J224" s="348" t="s">
        <v>2395</v>
      </c>
      <c r="K224" s="2278" t="s">
        <v>2396</v>
      </c>
      <c r="L224" s="2278"/>
      <c r="M224" s="2278"/>
      <c r="N224" s="2278"/>
      <c r="O224" s="2278"/>
      <c r="P224" s="2278"/>
      <c r="Q224" s="372"/>
      <c r="R224" s="1128"/>
      <c r="S224" s="524">
        <v>375000</v>
      </c>
      <c r="T224" s="466" t="s">
        <v>0</v>
      </c>
      <c r="U224" s="2278"/>
      <c r="V224" s="366">
        <v>4</v>
      </c>
      <c r="W224" s="466" t="s">
        <v>3</v>
      </c>
      <c r="X224" s="525" t="s">
        <v>1</v>
      </c>
      <c r="Y224" s="1674">
        <f>+S224*V224/1000</f>
        <v>1500</v>
      </c>
      <c r="Z224" s="1128"/>
      <c r="AA224" s="907">
        <f t="shared" si="18"/>
        <v>0</v>
      </c>
      <c r="AB224" s="505"/>
      <c r="AC224" s="2278"/>
      <c r="AD224" s="2278"/>
      <c r="AE224" s="2278"/>
      <c r="AF224" s="2278"/>
      <c r="AG224" s="2278"/>
      <c r="AH224" s="2278"/>
      <c r="AI224" s="2278"/>
      <c r="AJ224" s="2278"/>
      <c r="AK224" s="2278"/>
      <c r="AL224" s="2278"/>
      <c r="AM224" s="2278"/>
      <c r="AN224" s="2278"/>
      <c r="AO224" s="2278"/>
      <c r="AP224" s="2278"/>
      <c r="AQ224" s="2278"/>
      <c r="AR224" s="2278"/>
      <c r="AS224" s="2278"/>
      <c r="AT224" s="2278"/>
      <c r="AU224" s="2278"/>
      <c r="AV224" s="2278"/>
      <c r="AW224" s="2278"/>
      <c r="AX224" s="2278"/>
      <c r="AY224" s="2278"/>
      <c r="AZ224" s="2278"/>
      <c r="BA224" s="2278"/>
      <c r="BB224" s="2278"/>
      <c r="BC224" s="2278"/>
      <c r="BD224" s="2278"/>
      <c r="BE224" s="2278"/>
      <c r="BF224" s="2278"/>
      <c r="BG224" s="2278"/>
      <c r="BH224" s="2278"/>
      <c r="BI224" s="2278"/>
      <c r="BJ224" s="2278"/>
      <c r="BK224" s="2278"/>
      <c r="BL224" s="2278"/>
      <c r="BM224" s="2278"/>
      <c r="BN224" s="2278"/>
      <c r="BO224" s="2278"/>
      <c r="BP224" s="2278"/>
      <c r="BQ224" s="2278"/>
      <c r="BR224" s="2278"/>
      <c r="BS224" s="2278"/>
      <c r="BT224" s="2278"/>
      <c r="BU224" s="2278"/>
      <c r="BV224" s="2278"/>
      <c r="BW224" s="2278"/>
      <c r="BX224" s="2278"/>
      <c r="BY224" s="2278"/>
      <c r="BZ224" s="2278"/>
      <c r="CA224" s="2278"/>
      <c r="CB224" s="2278"/>
      <c r="CC224" s="2278"/>
      <c r="CD224" s="2278"/>
      <c r="CE224" s="2278"/>
      <c r="CF224" s="2278"/>
      <c r="CG224" s="2278"/>
      <c r="CH224" s="2278"/>
      <c r="CI224" s="2278"/>
      <c r="CJ224" s="2278"/>
      <c r="CK224" s="2278"/>
      <c r="CL224" s="2278"/>
      <c r="CM224" s="2278"/>
      <c r="CN224" s="2278"/>
      <c r="CO224" s="2278"/>
      <c r="CP224" s="2278"/>
      <c r="CQ224" s="2278"/>
      <c r="CR224" s="2278"/>
      <c r="CS224" s="2278"/>
      <c r="CT224" s="2278"/>
      <c r="CU224" s="2278"/>
      <c r="CV224" s="2278"/>
      <c r="CW224" s="2278"/>
      <c r="CX224" s="2278"/>
      <c r="CY224" s="2278"/>
      <c r="CZ224" s="2278"/>
      <c r="DA224" s="2278"/>
      <c r="DB224" s="2278"/>
      <c r="DC224" s="2278"/>
      <c r="DD224" s="2278"/>
      <c r="DE224" s="2278"/>
      <c r="DF224" s="2278"/>
      <c r="DG224" s="2278"/>
      <c r="DH224" s="2278"/>
      <c r="DI224" s="2278"/>
      <c r="DJ224" s="2278"/>
      <c r="DK224" s="2278"/>
      <c r="DL224" s="2278"/>
      <c r="DM224" s="2278"/>
      <c r="DN224" s="2278"/>
      <c r="DO224" s="2278"/>
      <c r="DP224" s="2278"/>
      <c r="DQ224" s="2278"/>
      <c r="DR224" s="2278"/>
      <c r="DS224" s="2278"/>
      <c r="DT224" s="2278"/>
      <c r="DU224" s="2278"/>
      <c r="DV224" s="2278"/>
      <c r="DW224" s="2278"/>
      <c r="DX224" s="2278"/>
      <c r="DY224" s="2278"/>
      <c r="DZ224" s="2278"/>
      <c r="EA224" s="2278"/>
      <c r="EB224" s="2278"/>
      <c r="EC224" s="2278"/>
      <c r="ED224" s="2278"/>
      <c r="EE224" s="2278"/>
      <c r="EF224" s="2278"/>
      <c r="EG224" s="2278"/>
      <c r="EH224" s="2278"/>
      <c r="EI224" s="2278"/>
      <c r="EJ224" s="2278"/>
      <c r="EK224" s="2278"/>
      <c r="EL224" s="2278"/>
      <c r="EM224" s="2278"/>
      <c r="EN224" s="2278"/>
      <c r="EO224" s="2278"/>
      <c r="EP224" s="2278"/>
      <c r="EQ224" s="2278"/>
      <c r="ER224" s="2278"/>
      <c r="ES224" s="2278"/>
      <c r="ET224" s="2278"/>
      <c r="EU224" s="2278"/>
      <c r="EV224" s="2278"/>
      <c r="EW224" s="2278"/>
      <c r="EX224" s="2278"/>
      <c r="EY224" s="2278"/>
      <c r="EZ224" s="2278"/>
      <c r="FA224" s="2278"/>
      <c r="FB224" s="2278"/>
      <c r="FC224" s="2278"/>
      <c r="FD224" s="2278"/>
      <c r="FE224" s="2278"/>
      <c r="FF224" s="2278"/>
      <c r="FG224" s="2278"/>
      <c r="FH224" s="2278"/>
      <c r="FI224" s="2278"/>
      <c r="FJ224" s="2278"/>
      <c r="FK224" s="2278"/>
      <c r="FL224" s="2278"/>
      <c r="FM224" s="2278"/>
      <c r="FN224" s="2278"/>
      <c r="FO224" s="2278"/>
      <c r="FP224" s="2278"/>
      <c r="FQ224" s="2278"/>
      <c r="FR224" s="2278"/>
      <c r="FS224" s="2278"/>
      <c r="FT224" s="2278"/>
      <c r="FU224" s="2278"/>
      <c r="FV224" s="2278"/>
      <c r="FW224" s="2278"/>
      <c r="FX224" s="2278"/>
      <c r="FY224" s="2278"/>
      <c r="FZ224" s="2278"/>
      <c r="GA224" s="2278"/>
      <c r="GB224" s="2278"/>
      <c r="GC224" s="2278"/>
      <c r="GD224" s="2278"/>
      <c r="GE224" s="2278"/>
      <c r="GF224" s="2278"/>
      <c r="GG224" s="2278"/>
      <c r="GH224" s="2278"/>
      <c r="GI224" s="2278"/>
      <c r="GJ224" s="2278"/>
      <c r="GK224" s="2278"/>
      <c r="GL224" s="2278"/>
      <c r="GM224" s="2278"/>
      <c r="GN224" s="2278"/>
      <c r="GO224" s="2278"/>
      <c r="GP224" s="2278"/>
      <c r="GQ224" s="2278"/>
      <c r="GR224" s="2278"/>
      <c r="GS224" s="2278"/>
      <c r="GT224" s="2278"/>
      <c r="GU224" s="2278"/>
      <c r="GV224" s="2278"/>
      <c r="GW224" s="2278"/>
      <c r="GX224" s="2278"/>
      <c r="GY224" s="2278"/>
      <c r="GZ224" s="2278"/>
      <c r="HA224" s="2278"/>
      <c r="HB224" s="2278"/>
      <c r="HC224" s="2278"/>
      <c r="HD224" s="2278"/>
      <c r="HE224" s="2278"/>
      <c r="HF224" s="2278"/>
      <c r="HG224" s="2278"/>
      <c r="HH224" s="2278"/>
      <c r="HI224" s="2278"/>
      <c r="HJ224" s="2278"/>
      <c r="HK224" s="2278"/>
      <c r="HL224" s="2278"/>
      <c r="HM224" s="2278"/>
      <c r="HN224" s="2278"/>
      <c r="HO224" s="2278"/>
      <c r="HP224" s="2278"/>
      <c r="HQ224" s="2278"/>
      <c r="HR224" s="2278"/>
      <c r="HS224" s="2278"/>
      <c r="HT224" s="2278"/>
      <c r="HU224" s="2278"/>
      <c r="HV224" s="2278"/>
      <c r="HW224" s="2278"/>
      <c r="HX224" s="2278"/>
      <c r="HY224" s="2278"/>
      <c r="HZ224" s="2278"/>
      <c r="IA224" s="2278"/>
      <c r="IB224" s="2278"/>
      <c r="IC224" s="2278"/>
      <c r="ID224" s="2278"/>
      <c r="IE224" s="2278"/>
      <c r="IF224" s="2278"/>
      <c r="IG224" s="2278"/>
      <c r="IH224" s="2278"/>
      <c r="II224" s="2278"/>
      <c r="IJ224" s="2278"/>
      <c r="IK224" s="2278"/>
      <c r="IL224" s="2278"/>
      <c r="IM224" s="2278"/>
      <c r="IN224" s="2278"/>
      <c r="IO224" s="2278"/>
      <c r="IP224" s="2278"/>
      <c r="IQ224" s="2278"/>
      <c r="IR224" s="2278"/>
      <c r="IS224" s="2278"/>
      <c r="IT224" s="2278"/>
      <c r="IU224" s="2278"/>
      <c r="IV224" s="2278"/>
    </row>
    <row r="225" spans="1:28" ht="21.6" customHeight="1">
      <c r="A225" s="2274"/>
      <c r="B225" s="471"/>
      <c r="C225" s="402"/>
      <c r="D225" s="1154"/>
      <c r="E225" s="1154" t="s">
        <v>1787</v>
      </c>
      <c r="F225" s="1141">
        <f>Y225</f>
        <v>2000</v>
      </c>
      <c r="G225" s="1141">
        <v>2000</v>
      </c>
      <c r="H225" s="523"/>
      <c r="I225" s="473"/>
      <c r="J225" s="3373" t="s">
        <v>2397</v>
      </c>
      <c r="K225" s="3374"/>
      <c r="L225" s="3374"/>
      <c r="M225" s="3374"/>
      <c r="N225" s="2266"/>
      <c r="O225" s="2266"/>
      <c r="P225" s="2266"/>
      <c r="Q225" s="372"/>
      <c r="R225" s="1128"/>
      <c r="S225" s="524">
        <v>1000000</v>
      </c>
      <c r="T225" s="466" t="s">
        <v>0</v>
      </c>
      <c r="U225" s="2278"/>
      <c r="V225" s="366">
        <v>2</v>
      </c>
      <c r="W225" s="466" t="s">
        <v>3</v>
      </c>
      <c r="X225" s="525" t="s">
        <v>1</v>
      </c>
      <c r="Y225" s="1674">
        <f>+S225*V225/1000</f>
        <v>2000</v>
      </c>
      <c r="Z225" s="1128"/>
      <c r="AA225" s="907">
        <f t="shared" si="18"/>
        <v>2000000000</v>
      </c>
      <c r="AB225" s="505"/>
    </row>
    <row r="226" spans="1:28" ht="21.6" customHeight="1">
      <c r="A226" s="2274"/>
      <c r="B226" s="471"/>
      <c r="C226" s="402"/>
      <c r="D226" s="1154"/>
      <c r="E226" s="1134" t="s">
        <v>55</v>
      </c>
      <c r="F226" s="438">
        <f>+Y226</f>
        <v>500</v>
      </c>
      <c r="G226" s="438">
        <v>500</v>
      </c>
      <c r="H226" s="766"/>
      <c r="I226" s="1099"/>
      <c r="J226" s="2287" t="s">
        <v>2398</v>
      </c>
      <c r="K226" s="2282"/>
      <c r="L226" s="2282"/>
      <c r="M226" s="2282"/>
      <c r="N226" s="2282"/>
      <c r="O226" s="2282"/>
      <c r="P226" s="2278"/>
      <c r="Q226" s="2278">
        <v>5</v>
      </c>
      <c r="R226" s="2288" t="s">
        <v>23</v>
      </c>
      <c r="S226" s="2288">
        <v>10000</v>
      </c>
      <c r="T226" s="2288" t="s">
        <v>0</v>
      </c>
      <c r="U226" s="2278"/>
      <c r="V226" s="2288">
        <v>10</v>
      </c>
      <c r="W226" s="2288" t="s">
        <v>3</v>
      </c>
      <c r="X226" s="1140" t="s">
        <v>1</v>
      </c>
      <c r="Y226" s="1674">
        <f t="shared" ref="Y226" si="22">+Q226*S226*V226/1000</f>
        <v>500</v>
      </c>
      <c r="Z226" s="1128"/>
      <c r="AA226" s="907">
        <f t="shared" si="18"/>
        <v>500000000</v>
      </c>
      <c r="AB226" s="505"/>
    </row>
    <row r="227" spans="1:28" ht="21.6" customHeight="1">
      <c r="A227" s="2274"/>
      <c r="B227" s="471"/>
      <c r="C227" s="402"/>
      <c r="D227" s="3275" t="s">
        <v>2399</v>
      </c>
      <c r="E227" s="3276"/>
      <c r="F227" s="764">
        <f>SUM(F228:F229)</f>
        <v>10000</v>
      </c>
      <c r="G227" s="764">
        <f>SUM(G228:G229)</f>
        <v>10000</v>
      </c>
      <c r="H227" s="1132">
        <f>F227-G227</f>
        <v>0</v>
      </c>
      <c r="I227" s="473"/>
      <c r="J227" s="501"/>
      <c r="K227" s="2276"/>
      <c r="L227" s="2276"/>
      <c r="M227" s="2276"/>
      <c r="N227" s="2276"/>
      <c r="O227" s="2276"/>
      <c r="P227" s="484"/>
      <c r="Q227" s="2276"/>
      <c r="R227" s="2276"/>
      <c r="S227" s="484"/>
      <c r="T227" s="2276"/>
      <c r="U227" s="2276"/>
      <c r="V227" s="484"/>
      <c r="W227" s="2276"/>
      <c r="X227" s="502"/>
      <c r="Y227" s="503"/>
      <c r="Z227" s="1128">
        <f>F227*1000</f>
        <v>10000000</v>
      </c>
      <c r="AA227" s="907">
        <f t="shared" si="18"/>
        <v>10000000000</v>
      </c>
      <c r="AB227" s="505"/>
    </row>
    <row r="228" spans="1:28" ht="21.6" customHeight="1">
      <c r="A228" s="2274"/>
      <c r="B228" s="471"/>
      <c r="C228" s="402"/>
      <c r="D228" s="1131"/>
      <c r="E228" s="1134" t="s">
        <v>1787</v>
      </c>
      <c r="F228" s="932">
        <f>Y228</f>
        <v>7000</v>
      </c>
      <c r="G228" s="438">
        <v>7000</v>
      </c>
      <c r="H228" s="1324"/>
      <c r="I228" s="473"/>
      <c r="J228" s="2287" t="s">
        <v>2400</v>
      </c>
      <c r="K228" s="2282"/>
      <c r="L228" s="2282"/>
      <c r="M228" s="2282"/>
      <c r="N228" s="2278"/>
      <c r="O228" s="2278"/>
      <c r="P228" s="2278"/>
      <c r="Q228" s="2288"/>
      <c r="R228" s="2288"/>
      <c r="S228" s="2288">
        <v>700000</v>
      </c>
      <c r="T228" s="2288" t="s">
        <v>0</v>
      </c>
      <c r="U228" s="2288"/>
      <c r="V228" s="2288">
        <v>10</v>
      </c>
      <c r="W228" s="2288" t="s">
        <v>1823</v>
      </c>
      <c r="X228" s="1140"/>
      <c r="Y228" s="1674">
        <f>+S228*V228/1000</f>
        <v>7000</v>
      </c>
      <c r="Z228" s="1128"/>
      <c r="AA228" s="907">
        <f t="shared" si="18"/>
        <v>7000000000</v>
      </c>
      <c r="AB228" s="505"/>
    </row>
    <row r="229" spans="1:28" ht="21.6" customHeight="1">
      <c r="A229" s="2274"/>
      <c r="B229" s="1145"/>
      <c r="C229" s="465"/>
      <c r="D229" s="1131"/>
      <c r="E229" s="1134" t="s">
        <v>1790</v>
      </c>
      <c r="F229" s="438">
        <f>Y229</f>
        <v>3000</v>
      </c>
      <c r="G229" s="438">
        <v>3000</v>
      </c>
      <c r="H229" s="1324"/>
      <c r="I229" s="473"/>
      <c r="J229" s="1627" t="s">
        <v>2401</v>
      </c>
      <c r="K229" s="2260"/>
      <c r="L229" s="2260"/>
      <c r="M229" s="2260"/>
      <c r="N229" s="2260"/>
      <c r="O229" s="2260"/>
      <c r="P229" s="2285"/>
      <c r="Q229" s="459"/>
      <c r="R229" s="459"/>
      <c r="S229" s="459">
        <v>1500000</v>
      </c>
      <c r="T229" s="459" t="s">
        <v>0</v>
      </c>
      <c r="U229" s="2285"/>
      <c r="V229" s="459">
        <v>2</v>
      </c>
      <c r="W229" s="459" t="s">
        <v>3</v>
      </c>
      <c r="X229" s="460" t="s">
        <v>1</v>
      </c>
      <c r="Y229" s="1674">
        <f>+S229*V229/1000</f>
        <v>3000</v>
      </c>
      <c r="Z229" s="1128"/>
      <c r="AA229" s="907">
        <f t="shared" si="18"/>
        <v>3000000000</v>
      </c>
      <c r="AB229" s="505"/>
    </row>
    <row r="230" spans="1:28" ht="21.6" customHeight="1">
      <c r="A230" s="2274"/>
      <c r="B230" s="1145"/>
      <c r="C230" s="465"/>
      <c r="D230" s="3275" t="s">
        <v>2402</v>
      </c>
      <c r="E230" s="3276"/>
      <c r="F230" s="764">
        <v>0</v>
      </c>
      <c r="G230" s="764">
        <v>0</v>
      </c>
      <c r="H230" s="1132">
        <f>F230-G230</f>
        <v>0</v>
      </c>
      <c r="I230" s="473"/>
      <c r="J230" s="501"/>
      <c r="K230" s="2276"/>
      <c r="L230" s="2276"/>
      <c r="M230" s="2276"/>
      <c r="N230" s="2276"/>
      <c r="O230" s="2276"/>
      <c r="P230" s="484"/>
      <c r="Q230" s="2276"/>
      <c r="R230" s="2276"/>
      <c r="S230" s="484"/>
      <c r="T230" s="2276"/>
      <c r="U230" s="2276"/>
      <c r="V230" s="484"/>
      <c r="W230" s="2276"/>
      <c r="X230" s="502"/>
      <c r="Y230" s="503"/>
      <c r="Z230" s="1128"/>
      <c r="AA230" s="907">
        <f t="shared" si="18"/>
        <v>0</v>
      </c>
      <c r="AB230" s="505"/>
    </row>
    <row r="231" spans="1:28" ht="21.6" customHeight="1">
      <c r="A231" s="2274"/>
      <c r="B231" s="1145"/>
      <c r="C231" s="465"/>
      <c r="D231" s="3275" t="s">
        <v>2390</v>
      </c>
      <c r="E231" s="3276"/>
      <c r="F231" s="764">
        <v>0</v>
      </c>
      <c r="G231" s="764">
        <v>0</v>
      </c>
      <c r="H231" s="1132">
        <f>F231-G231</f>
        <v>0</v>
      </c>
      <c r="I231" s="473"/>
      <c r="J231" s="501"/>
      <c r="K231" s="2276"/>
      <c r="L231" s="2276"/>
      <c r="M231" s="2276"/>
      <c r="N231" s="2276"/>
      <c r="O231" s="2276"/>
      <c r="P231" s="484"/>
      <c r="Q231" s="2276"/>
      <c r="R231" s="2276"/>
      <c r="S231" s="484"/>
      <c r="T231" s="2276"/>
      <c r="U231" s="2276"/>
      <c r="V231" s="484"/>
      <c r="W231" s="2276"/>
      <c r="X231" s="502"/>
      <c r="Y231" s="503"/>
      <c r="Z231" s="1128"/>
      <c r="AA231" s="907">
        <f t="shared" si="18"/>
        <v>0</v>
      </c>
      <c r="AB231" s="505"/>
    </row>
    <row r="232" spans="1:28" ht="21.6" customHeight="1">
      <c r="A232" s="475"/>
      <c r="B232" s="1145"/>
      <c r="C232" s="762" t="s">
        <v>82</v>
      </c>
      <c r="D232" s="2283"/>
      <c r="E232" s="2283"/>
      <c r="F232" s="764">
        <f>F233+F249+F254</f>
        <v>118000</v>
      </c>
      <c r="G232" s="764">
        <f>G233+G249+G254</f>
        <v>118000</v>
      </c>
      <c r="H232" s="1132">
        <f>F232-G232</f>
        <v>0</v>
      </c>
      <c r="I232" s="1127"/>
      <c r="J232" s="1129"/>
      <c r="K232" s="2285"/>
      <c r="L232" s="2285"/>
      <c r="M232" s="2285"/>
      <c r="N232" s="2285"/>
      <c r="O232" s="2285"/>
      <c r="P232" s="1130"/>
      <c r="Q232" s="2285"/>
      <c r="R232" s="2285"/>
      <c r="S232" s="1130"/>
      <c r="T232" s="2285"/>
      <c r="U232" s="2285"/>
      <c r="V232" s="1130"/>
      <c r="W232" s="2285"/>
      <c r="X232" s="1157"/>
      <c r="Y232" s="503"/>
      <c r="Z232" s="1128">
        <f>F232*1000</f>
        <v>118000000</v>
      </c>
      <c r="AA232" s="907">
        <f t="shared" si="18"/>
        <v>118000000000</v>
      </c>
      <c r="AB232" s="505"/>
    </row>
    <row r="233" spans="1:28" ht="21.6" customHeight="1">
      <c r="A233" s="475"/>
      <c r="B233" s="1145"/>
      <c r="C233" s="1671"/>
      <c r="D233" s="3275" t="s">
        <v>2403</v>
      </c>
      <c r="E233" s="3276"/>
      <c r="F233" s="764">
        <f>SUM(F234:F248)</f>
        <v>90000</v>
      </c>
      <c r="G233" s="764">
        <f>SUM(G234:G248)</f>
        <v>90000</v>
      </c>
      <c r="H233" s="1132">
        <f>F233-G233</f>
        <v>0</v>
      </c>
      <c r="I233" s="1127"/>
      <c r="J233" s="501"/>
      <c r="K233" s="2276"/>
      <c r="L233" s="2276"/>
      <c r="M233" s="2276"/>
      <c r="N233" s="2276"/>
      <c r="O233" s="2276"/>
      <c r="P233" s="484"/>
      <c r="Q233" s="2276"/>
      <c r="R233" s="2276"/>
      <c r="S233" s="484"/>
      <c r="T233" s="2276"/>
      <c r="U233" s="2276"/>
      <c r="V233" s="484"/>
      <c r="W233" s="2276"/>
      <c r="X233" s="502"/>
      <c r="Y233" s="503"/>
      <c r="Z233" s="1128">
        <f>F233*1000</f>
        <v>90000000</v>
      </c>
      <c r="AA233" s="907">
        <f t="shared" si="18"/>
        <v>90000000000</v>
      </c>
      <c r="AB233" s="505"/>
    </row>
    <row r="234" spans="1:28" ht="21.6" customHeight="1">
      <c r="A234" s="475"/>
      <c r="B234" s="1145"/>
      <c r="C234" s="1671"/>
      <c r="D234" s="1131"/>
      <c r="E234" s="444" t="s">
        <v>74</v>
      </c>
      <c r="F234" s="932">
        <f>Y234</f>
        <v>30000</v>
      </c>
      <c r="G234" s="932">
        <v>30000</v>
      </c>
      <c r="H234" s="545"/>
      <c r="I234" s="1127"/>
      <c r="J234" s="446" t="s">
        <v>577</v>
      </c>
      <c r="K234" s="447"/>
      <c r="L234" s="447"/>
      <c r="M234" s="447"/>
      <c r="N234" s="2277"/>
      <c r="O234" s="2277"/>
      <c r="P234" s="2277"/>
      <c r="Q234" s="451">
        <v>1</v>
      </c>
      <c r="R234" s="449" t="s">
        <v>23</v>
      </c>
      <c r="S234" s="451">
        <v>2500000</v>
      </c>
      <c r="T234" s="451" t="s">
        <v>0</v>
      </c>
      <c r="U234" s="451" t="s">
        <v>19</v>
      </c>
      <c r="V234" s="451">
        <v>12</v>
      </c>
      <c r="W234" s="451" t="s">
        <v>2</v>
      </c>
      <c r="X234" s="452" t="s">
        <v>1</v>
      </c>
      <c r="Y234" s="1674">
        <f t="shared" ref="Y234" si="23">+Q234*S234*V234/1000</f>
        <v>30000</v>
      </c>
      <c r="Z234" s="1128"/>
      <c r="AA234" s="907">
        <f t="shared" si="18"/>
        <v>30000000000</v>
      </c>
      <c r="AB234" s="505"/>
    </row>
    <row r="235" spans="1:28" ht="21.6" customHeight="1">
      <c r="A235" s="475"/>
      <c r="B235" s="1145"/>
      <c r="C235" s="1671"/>
      <c r="D235" s="1131"/>
      <c r="E235" s="1134" t="s">
        <v>51</v>
      </c>
      <c r="F235" s="438">
        <f>Y235</f>
        <v>1980</v>
      </c>
      <c r="G235" s="438">
        <v>1980</v>
      </c>
      <c r="H235" s="1324"/>
      <c r="I235" s="1127"/>
      <c r="J235" s="2287" t="s">
        <v>83</v>
      </c>
      <c r="K235" s="2282"/>
      <c r="L235" s="2282"/>
      <c r="M235" s="2282"/>
      <c r="N235" s="2282"/>
      <c r="O235" s="2282"/>
      <c r="P235" s="2278"/>
      <c r="Q235" s="2278"/>
      <c r="R235" s="2288"/>
      <c r="S235" s="2288">
        <v>495</v>
      </c>
      <c r="T235" s="2288" t="s">
        <v>0</v>
      </c>
      <c r="U235" s="2278"/>
      <c r="V235" s="2288">
        <v>4000</v>
      </c>
      <c r="W235" s="2288" t="s">
        <v>63</v>
      </c>
      <c r="X235" s="1140" t="s">
        <v>1</v>
      </c>
      <c r="Y235" s="1674">
        <f>+S235*V235/1000</f>
        <v>1980</v>
      </c>
      <c r="Z235" s="1128"/>
      <c r="AA235" s="907">
        <f t="shared" si="18"/>
        <v>1980000000</v>
      </c>
      <c r="AB235" s="505"/>
    </row>
    <row r="236" spans="1:28" ht="21.6" customHeight="1">
      <c r="A236" s="475"/>
      <c r="B236" s="1145"/>
      <c r="C236" s="1671"/>
      <c r="D236" s="1131"/>
      <c r="E236" s="1134" t="s">
        <v>73</v>
      </c>
      <c r="F236" s="438">
        <f>+Y236</f>
        <v>24180</v>
      </c>
      <c r="G236" s="438">
        <v>24180</v>
      </c>
      <c r="H236" s="1324"/>
      <c r="I236" s="1127"/>
      <c r="J236" s="2287" t="s">
        <v>8</v>
      </c>
      <c r="K236" s="2282"/>
      <c r="L236" s="2282"/>
      <c r="M236" s="2282"/>
      <c r="N236" s="2278"/>
      <c r="O236" s="2278"/>
      <c r="P236" s="2278"/>
      <c r="Q236" s="2288"/>
      <c r="R236" s="2262"/>
      <c r="S236" s="2262" t="s">
        <v>19</v>
      </c>
      <c r="T236" s="2288" t="s">
        <v>19</v>
      </c>
      <c r="U236" s="2288" t="s">
        <v>19</v>
      </c>
      <c r="V236" s="2288" t="s">
        <v>19</v>
      </c>
      <c r="W236" s="2288" t="s">
        <v>19</v>
      </c>
      <c r="X236" s="1140" t="s">
        <v>19</v>
      </c>
      <c r="Y236" s="656">
        <f>SUM(Y237:Y238)</f>
        <v>24180</v>
      </c>
      <c r="Z236" s="1128"/>
      <c r="AA236" s="907">
        <f t="shared" si="18"/>
        <v>24180000000</v>
      </c>
      <c r="AB236" s="505"/>
    </row>
    <row r="237" spans="1:28" ht="21.6" customHeight="1">
      <c r="A237" s="475"/>
      <c r="B237" s="1145"/>
      <c r="C237" s="1671"/>
      <c r="D237" s="1131"/>
      <c r="E237" s="1134"/>
      <c r="F237" s="438"/>
      <c r="G237" s="438"/>
      <c r="H237" s="482"/>
      <c r="I237" s="1127"/>
      <c r="J237" s="2287" t="s">
        <v>578</v>
      </c>
      <c r="K237" s="2282"/>
      <c r="L237" s="2282"/>
      <c r="M237" s="2282"/>
      <c r="N237" s="2282"/>
      <c r="O237" s="2278"/>
      <c r="P237" s="2288"/>
      <c r="Q237" s="2278"/>
      <c r="R237" s="2288"/>
      <c r="S237" s="2288">
        <v>5000</v>
      </c>
      <c r="T237" s="2288" t="s">
        <v>0</v>
      </c>
      <c r="U237" s="2278"/>
      <c r="V237" s="2288">
        <v>4800</v>
      </c>
      <c r="W237" s="2288" t="s">
        <v>58</v>
      </c>
      <c r="X237" s="1140" t="s">
        <v>1</v>
      </c>
      <c r="Y237" s="1674">
        <f>+S237*V237/1000</f>
        <v>24000</v>
      </c>
      <c r="Z237" s="1128"/>
      <c r="AA237" s="907">
        <f t="shared" si="18"/>
        <v>0</v>
      </c>
      <c r="AB237" s="505"/>
    </row>
    <row r="238" spans="1:28" ht="21.6" customHeight="1">
      <c r="A238" s="475"/>
      <c r="B238" s="1145"/>
      <c r="C238" s="1671"/>
      <c r="D238" s="1131"/>
      <c r="E238" s="1134"/>
      <c r="F238" s="438"/>
      <c r="G238" s="438"/>
      <c r="H238" s="482"/>
      <c r="I238" s="1127"/>
      <c r="J238" s="2287" t="s">
        <v>2404</v>
      </c>
      <c r="K238" s="2282"/>
      <c r="L238" s="2282"/>
      <c r="M238" s="2282"/>
      <c r="N238" s="2282"/>
      <c r="O238" s="1673"/>
      <c r="P238" s="2278"/>
      <c r="Q238" s="2278"/>
      <c r="R238" s="2288"/>
      <c r="S238" s="2288">
        <v>180000</v>
      </c>
      <c r="T238" s="2288" t="s">
        <v>0</v>
      </c>
      <c r="U238" s="2278"/>
      <c r="V238" s="2288">
        <v>1</v>
      </c>
      <c r="W238" s="2288" t="s">
        <v>6</v>
      </c>
      <c r="X238" s="1140" t="s">
        <v>1</v>
      </c>
      <c r="Y238" s="1674">
        <f>+S238*V238/1000</f>
        <v>180</v>
      </c>
      <c r="Z238" s="1128"/>
      <c r="AA238" s="907">
        <f t="shared" si="18"/>
        <v>0</v>
      </c>
      <c r="AB238" s="505"/>
    </row>
    <row r="239" spans="1:28" ht="21" customHeight="1">
      <c r="A239" s="475"/>
      <c r="B239" s="1145"/>
      <c r="C239" s="1671"/>
      <c r="D239" s="1131"/>
      <c r="E239" s="1134" t="s">
        <v>84</v>
      </c>
      <c r="F239" s="438">
        <f>+Y239</f>
        <v>2200</v>
      </c>
      <c r="G239" s="438">
        <v>2200</v>
      </c>
      <c r="H239" s="1324"/>
      <c r="I239" s="1127"/>
      <c r="J239" s="2287" t="s">
        <v>8</v>
      </c>
      <c r="K239" s="2282"/>
      <c r="L239" s="2282"/>
      <c r="M239" s="2282"/>
      <c r="N239" s="2278"/>
      <c r="O239" s="2278"/>
      <c r="P239" s="2278"/>
      <c r="Q239" s="2288"/>
      <c r="R239" s="2262"/>
      <c r="S239" s="2288"/>
      <c r="T239" s="2288"/>
      <c r="U239" s="2288"/>
      <c r="V239" s="2288"/>
      <c r="W239" s="2288"/>
      <c r="X239" s="1140"/>
      <c r="Y239" s="656">
        <f>SUM(Y240:Y241)</f>
        <v>2200</v>
      </c>
      <c r="Z239" s="1128"/>
      <c r="AA239" s="907">
        <f t="shared" si="18"/>
        <v>2200000000</v>
      </c>
      <c r="AB239" s="505"/>
    </row>
    <row r="240" spans="1:28" ht="21" customHeight="1">
      <c r="A240" s="475"/>
      <c r="B240" s="1145"/>
      <c r="C240" s="1671"/>
      <c r="D240" s="1131"/>
      <c r="E240" s="1134"/>
      <c r="F240" s="438"/>
      <c r="G240" s="438"/>
      <c r="H240" s="482"/>
      <c r="I240" s="1127"/>
      <c r="J240" s="2287" t="s">
        <v>579</v>
      </c>
      <c r="K240" s="2282"/>
      <c r="L240" s="2282"/>
      <c r="M240" s="2282"/>
      <c r="N240" s="2282"/>
      <c r="O240" s="2282"/>
      <c r="P240" s="2278"/>
      <c r="Q240" s="2278">
        <v>1</v>
      </c>
      <c r="R240" s="2288" t="s">
        <v>25</v>
      </c>
      <c r="S240" s="2288">
        <v>20000</v>
      </c>
      <c r="T240" s="2288" t="s">
        <v>0</v>
      </c>
      <c r="U240" s="2278"/>
      <c r="V240" s="2288">
        <v>70</v>
      </c>
      <c r="W240" s="2288" t="s">
        <v>60</v>
      </c>
      <c r="X240" s="1140" t="s">
        <v>1</v>
      </c>
      <c r="Y240" s="1674">
        <f t="shared" ref="Y240" si="24">+Q240*S240*V240/1000</f>
        <v>1400</v>
      </c>
      <c r="Z240" s="1128"/>
      <c r="AA240" s="907">
        <f t="shared" si="18"/>
        <v>0</v>
      </c>
      <c r="AB240" s="505"/>
    </row>
    <row r="241" spans="1:33" ht="21" customHeight="1">
      <c r="A241" s="475"/>
      <c r="B241" s="1145"/>
      <c r="C241" s="1671"/>
      <c r="D241" s="1131"/>
      <c r="E241" s="1134"/>
      <c r="F241" s="438"/>
      <c r="G241" s="438"/>
      <c r="H241" s="482"/>
      <c r="I241" s="1127"/>
      <c r="J241" s="2287" t="s">
        <v>580</v>
      </c>
      <c r="K241" s="2282"/>
      <c r="L241" s="2282"/>
      <c r="M241" s="2282"/>
      <c r="N241" s="2282"/>
      <c r="O241" s="2282"/>
      <c r="P241" s="2278"/>
      <c r="Q241" s="2278"/>
      <c r="R241" s="2288"/>
      <c r="S241" s="2288">
        <v>200000</v>
      </c>
      <c r="T241" s="2288" t="s">
        <v>0</v>
      </c>
      <c r="U241" s="2278"/>
      <c r="V241" s="2288">
        <v>4</v>
      </c>
      <c r="W241" s="2288" t="s">
        <v>3</v>
      </c>
      <c r="X241" s="1140" t="s">
        <v>1</v>
      </c>
      <c r="Y241" s="1674">
        <f>+S241*V241/1000</f>
        <v>800</v>
      </c>
      <c r="Z241" s="1128"/>
      <c r="AA241" s="907">
        <f t="shared" si="18"/>
        <v>0</v>
      </c>
      <c r="AB241" s="505"/>
    </row>
    <row r="242" spans="1:33" ht="21" customHeight="1">
      <c r="A242" s="475"/>
      <c r="B242" s="1145"/>
      <c r="C242" s="1671"/>
      <c r="D242" s="1131"/>
      <c r="E242" s="1134" t="s">
        <v>75</v>
      </c>
      <c r="F242" s="438">
        <f>Y242</f>
        <v>7200</v>
      </c>
      <c r="G242" s="438">
        <v>7200</v>
      </c>
      <c r="H242" s="482"/>
      <c r="I242" s="1127"/>
      <c r="J242" s="2287" t="s">
        <v>8</v>
      </c>
      <c r="K242" s="2282"/>
      <c r="L242" s="2282"/>
      <c r="M242" s="2282"/>
      <c r="N242" s="2278"/>
      <c r="O242" s="2278"/>
      <c r="P242" s="2278"/>
      <c r="Q242" s="2288"/>
      <c r="R242" s="2262"/>
      <c r="S242" s="2288"/>
      <c r="T242" s="2288"/>
      <c r="U242" s="2288"/>
      <c r="V242" s="2288"/>
      <c r="W242" s="2288"/>
      <c r="X242" s="1140"/>
      <c r="Y242" s="656">
        <f>SUM(Y243:Y244)</f>
        <v>7200</v>
      </c>
      <c r="Z242" s="1128"/>
      <c r="AA242" s="907">
        <f t="shared" si="18"/>
        <v>7200000000</v>
      </c>
      <c r="AB242" s="505"/>
    </row>
    <row r="243" spans="1:33" ht="21" customHeight="1">
      <c r="A243" s="475"/>
      <c r="B243" s="1145"/>
      <c r="C243" s="1671"/>
      <c r="D243" s="1131"/>
      <c r="E243" s="1134"/>
      <c r="F243" s="438"/>
      <c r="G243" s="438"/>
      <c r="H243" s="482"/>
      <c r="I243" s="1127"/>
      <c r="J243" s="2287" t="s">
        <v>581</v>
      </c>
      <c r="K243" s="2282"/>
      <c r="L243" s="2282"/>
      <c r="M243" s="2282"/>
      <c r="N243" s="2282"/>
      <c r="O243" s="2282"/>
      <c r="P243" s="2278"/>
      <c r="Q243" s="2278"/>
      <c r="R243" s="2288"/>
      <c r="S243" s="2288">
        <v>500000</v>
      </c>
      <c r="T243" s="2288" t="s">
        <v>0</v>
      </c>
      <c r="U243" s="2278"/>
      <c r="V243" s="2288">
        <v>8</v>
      </c>
      <c r="W243" s="2288" t="s">
        <v>2</v>
      </c>
      <c r="X243" s="1140" t="s">
        <v>1</v>
      </c>
      <c r="Y243" s="1674">
        <f>+S243*V243/1000</f>
        <v>4000</v>
      </c>
      <c r="Z243" s="1128"/>
      <c r="AA243" s="907">
        <f t="shared" si="18"/>
        <v>0</v>
      </c>
      <c r="AB243" s="505"/>
    </row>
    <row r="244" spans="1:33" ht="21" customHeight="1">
      <c r="A244" s="475"/>
      <c r="B244" s="1145"/>
      <c r="C244" s="1671"/>
      <c r="D244" s="1131"/>
      <c r="E244" s="1134"/>
      <c r="F244" s="438"/>
      <c r="G244" s="438"/>
      <c r="H244" s="482"/>
      <c r="I244" s="1713"/>
      <c r="J244" s="2287" t="s">
        <v>582</v>
      </c>
      <c r="K244" s="2282"/>
      <c r="L244" s="2282"/>
      <c r="M244" s="2282"/>
      <c r="N244" s="2282"/>
      <c r="O244" s="2282"/>
      <c r="P244" s="2278"/>
      <c r="Q244" s="2278"/>
      <c r="R244" s="2288"/>
      <c r="S244" s="2288">
        <v>400000</v>
      </c>
      <c r="T244" s="2288" t="s">
        <v>0</v>
      </c>
      <c r="U244" s="2278"/>
      <c r="V244" s="2288">
        <v>8</v>
      </c>
      <c r="W244" s="2288" t="s">
        <v>2</v>
      </c>
      <c r="X244" s="1140" t="s">
        <v>1</v>
      </c>
      <c r="Y244" s="1674">
        <f>+S244*V244/1000</f>
        <v>3200</v>
      </c>
      <c r="Z244" s="1128"/>
      <c r="AA244" s="907">
        <f t="shared" si="18"/>
        <v>0</v>
      </c>
      <c r="AB244" s="505"/>
    </row>
    <row r="245" spans="1:33" ht="21" customHeight="1">
      <c r="A245" s="475"/>
      <c r="B245" s="1145"/>
      <c r="C245" s="1671"/>
      <c r="D245" s="1131"/>
      <c r="E245" s="1134" t="s">
        <v>52</v>
      </c>
      <c r="F245" s="438">
        <f>Y245</f>
        <v>23140</v>
      </c>
      <c r="G245" s="438">
        <v>23140</v>
      </c>
      <c r="H245" s="1324"/>
      <c r="I245" s="1713"/>
      <c r="J245" s="2287" t="s">
        <v>85</v>
      </c>
      <c r="K245" s="2282"/>
      <c r="L245" s="2282"/>
      <c r="M245" s="2282"/>
      <c r="N245" s="2282"/>
      <c r="O245" s="2282"/>
      <c r="P245" s="2278"/>
      <c r="Q245" s="2278">
        <v>1</v>
      </c>
      <c r="R245" s="2288" t="s">
        <v>1695</v>
      </c>
      <c r="S245" s="2288">
        <v>289250</v>
      </c>
      <c r="T245" s="2288" t="s">
        <v>0</v>
      </c>
      <c r="U245" s="2278"/>
      <c r="V245" s="2288">
        <v>80</v>
      </c>
      <c r="W245" s="2288" t="s">
        <v>60</v>
      </c>
      <c r="X245" s="1140" t="s">
        <v>1</v>
      </c>
      <c r="Y245" s="1674">
        <f t="shared" ref="Y245" si="25">+Q245*S245*V245/1000</f>
        <v>23140</v>
      </c>
      <c r="Z245" s="1128"/>
      <c r="AA245" s="907">
        <f t="shared" si="18"/>
        <v>23140000000</v>
      </c>
      <c r="AB245" s="505"/>
    </row>
    <row r="246" spans="1:33" ht="21" customHeight="1">
      <c r="A246" s="475"/>
      <c r="B246" s="1145"/>
      <c r="C246" s="1671"/>
      <c r="D246" s="1131"/>
      <c r="E246" s="1134" t="s">
        <v>65</v>
      </c>
      <c r="F246" s="438">
        <f>Y246</f>
        <v>100</v>
      </c>
      <c r="G246" s="438">
        <v>100</v>
      </c>
      <c r="H246" s="482"/>
      <c r="I246" s="1127"/>
      <c r="J246" s="2287" t="s">
        <v>2405</v>
      </c>
      <c r="K246" s="2282"/>
      <c r="L246" s="2282"/>
      <c r="M246" s="2282"/>
      <c r="N246" s="2278"/>
      <c r="O246" s="2278"/>
      <c r="P246" s="2278"/>
      <c r="Q246" s="2288"/>
      <c r="R246" s="2262"/>
      <c r="S246" s="2288">
        <v>100000</v>
      </c>
      <c r="T246" s="2288" t="s">
        <v>1697</v>
      </c>
      <c r="U246" s="2288"/>
      <c r="V246" s="2288">
        <v>1</v>
      </c>
      <c r="W246" s="2288" t="s">
        <v>1710</v>
      </c>
      <c r="X246" s="1140" t="s">
        <v>1698</v>
      </c>
      <c r="Y246" s="1674">
        <f>+S246*V246/1000</f>
        <v>100</v>
      </c>
      <c r="Z246" s="1128"/>
      <c r="AA246" s="907">
        <f t="shared" si="18"/>
        <v>100000000</v>
      </c>
      <c r="AB246" s="505"/>
    </row>
    <row r="247" spans="1:33" ht="21" customHeight="1">
      <c r="A247" s="475"/>
      <c r="B247" s="1145"/>
      <c r="C247" s="1671"/>
      <c r="D247" s="1131"/>
      <c r="E247" s="1134" t="s">
        <v>1708</v>
      </c>
      <c r="F247" s="438">
        <f>Y247</f>
        <v>600</v>
      </c>
      <c r="G247" s="438">
        <v>600</v>
      </c>
      <c r="H247" s="482"/>
      <c r="J247" s="2287" t="s">
        <v>2406</v>
      </c>
      <c r="K247" s="2282"/>
      <c r="L247" s="2282"/>
      <c r="M247" s="2282"/>
      <c r="N247" s="2282"/>
      <c r="O247" s="2282"/>
      <c r="P247" s="2278"/>
      <c r="Q247" s="2278">
        <v>10</v>
      </c>
      <c r="R247" s="2288" t="s">
        <v>1695</v>
      </c>
      <c r="S247" s="2288">
        <v>10000</v>
      </c>
      <c r="T247" s="2288" t="s">
        <v>1697</v>
      </c>
      <c r="U247" s="2278"/>
      <c r="V247" s="2288">
        <v>6</v>
      </c>
      <c r="W247" s="2288" t="s">
        <v>1710</v>
      </c>
      <c r="X247" s="1140" t="s">
        <v>1698</v>
      </c>
      <c r="Y247" s="1674">
        <f t="shared" ref="Y247:Y248" si="26">+Q247*S247*V247/1000</f>
        <v>600</v>
      </c>
      <c r="Z247" s="1128"/>
      <c r="AA247" s="907">
        <f t="shared" si="18"/>
        <v>600000000</v>
      </c>
      <c r="AB247" s="505"/>
    </row>
    <row r="248" spans="1:33" ht="21" customHeight="1">
      <c r="A248" s="475"/>
      <c r="B248" s="1145"/>
      <c r="C248" s="1671"/>
      <c r="D248" s="1131"/>
      <c r="E248" s="855" t="s">
        <v>55</v>
      </c>
      <c r="F248" s="931">
        <f>Y248</f>
        <v>600</v>
      </c>
      <c r="G248" s="931">
        <v>600</v>
      </c>
      <c r="H248" s="1124"/>
      <c r="J248" s="1627" t="s">
        <v>86</v>
      </c>
      <c r="K248" s="2260"/>
      <c r="L248" s="2260"/>
      <c r="M248" s="2260"/>
      <c r="N248" s="2260"/>
      <c r="O248" s="2285"/>
      <c r="P248" s="459"/>
      <c r="Q248" s="2285">
        <v>15</v>
      </c>
      <c r="R248" s="459" t="s">
        <v>23</v>
      </c>
      <c r="S248" s="459">
        <v>10000</v>
      </c>
      <c r="T248" s="459" t="s">
        <v>0</v>
      </c>
      <c r="U248" s="2285"/>
      <c r="V248" s="459">
        <v>4</v>
      </c>
      <c r="W248" s="459" t="s">
        <v>3</v>
      </c>
      <c r="X248" s="460" t="s">
        <v>1</v>
      </c>
      <c r="Y248" s="345">
        <f t="shared" si="26"/>
        <v>600</v>
      </c>
      <c r="Z248" s="1128"/>
      <c r="AA248" s="907">
        <f t="shared" si="18"/>
        <v>600000000</v>
      </c>
      <c r="AB248" s="505"/>
    </row>
    <row r="249" spans="1:33" ht="21" customHeight="1">
      <c r="A249" s="475"/>
      <c r="B249" s="1145"/>
      <c r="C249" s="470"/>
      <c r="D249" s="3411" t="s">
        <v>87</v>
      </c>
      <c r="E249" s="3365"/>
      <c r="F249" s="931">
        <f>SUM(F250:F253)</f>
        <v>15000</v>
      </c>
      <c r="G249" s="931">
        <f>SUM(G250:G253)</f>
        <v>15000</v>
      </c>
      <c r="H249" s="361">
        <f>F249-G249</f>
        <v>0</v>
      </c>
      <c r="I249" s="473"/>
      <c r="J249" s="1129"/>
      <c r="K249" s="2285"/>
      <c r="L249" s="2285"/>
      <c r="M249" s="2285"/>
      <c r="N249" s="2285"/>
      <c r="O249" s="846"/>
      <c r="P249" s="2268"/>
      <c r="Q249" s="847"/>
      <c r="R249" s="2268"/>
      <c r="S249" s="846"/>
      <c r="T249" s="2285"/>
      <c r="U249" s="846"/>
      <c r="V249" s="2285"/>
      <c r="W249" s="2285"/>
      <c r="X249" s="1397"/>
      <c r="Y249" s="1398"/>
      <c r="Z249" s="1128">
        <f>F249*1000</f>
        <v>15000000</v>
      </c>
      <c r="AA249" s="907">
        <f t="shared" si="18"/>
        <v>15000000000</v>
      </c>
      <c r="AB249" s="505"/>
    </row>
    <row r="250" spans="1:33" ht="21" customHeight="1">
      <c r="A250" s="475"/>
      <c r="B250" s="1145"/>
      <c r="C250" s="2278"/>
      <c r="D250" s="1154"/>
      <c r="E250" s="465" t="s">
        <v>1740</v>
      </c>
      <c r="F250" s="435">
        <f>Y250</f>
        <v>3250</v>
      </c>
      <c r="G250" s="435">
        <v>3250</v>
      </c>
      <c r="H250" s="482"/>
      <c r="I250" s="473"/>
      <c r="J250" s="2375" t="s">
        <v>2407</v>
      </c>
      <c r="K250" s="1685"/>
      <c r="L250" s="1781"/>
      <c r="M250" s="1781"/>
      <c r="N250" s="1686"/>
      <c r="O250" s="1686"/>
      <c r="P250" s="1685"/>
      <c r="Q250" s="635"/>
      <c r="R250" s="1685"/>
      <c r="S250" s="1686">
        <v>1000</v>
      </c>
      <c r="T250" s="1685" t="s">
        <v>4</v>
      </c>
      <c r="U250" s="1685"/>
      <c r="V250" s="1685">
        <v>3250</v>
      </c>
      <c r="W250" s="1685" t="s">
        <v>288</v>
      </c>
      <c r="X250" s="1687" t="s">
        <v>5</v>
      </c>
      <c r="Y250" s="636">
        <f>+S250*V250/1000</f>
        <v>3250</v>
      </c>
      <c r="Z250" s="535">
        <f>+S250*V250</f>
        <v>3250000</v>
      </c>
      <c r="AA250" s="2371">
        <f t="shared" si="18"/>
        <v>3250000000</v>
      </c>
      <c r="AB250" s="505"/>
    </row>
    <row r="251" spans="1:33" ht="21" customHeight="1">
      <c r="A251" s="475"/>
      <c r="B251" s="1145"/>
      <c r="C251" s="2278"/>
      <c r="D251" s="1154"/>
      <c r="E251" s="465" t="s">
        <v>52</v>
      </c>
      <c r="F251" s="435">
        <f t="shared" ref="F251:F253" si="27">Y251</f>
        <v>7350</v>
      </c>
      <c r="G251" s="435">
        <v>7350</v>
      </c>
      <c r="H251" s="482"/>
      <c r="I251" s="473"/>
      <c r="J251" s="3304" t="s">
        <v>2777</v>
      </c>
      <c r="K251" s="3305"/>
      <c r="L251" s="3305"/>
      <c r="M251" s="3305"/>
      <c r="N251" s="1686"/>
      <c r="O251" s="1686"/>
      <c r="P251" s="1685"/>
      <c r="Q251" s="635">
        <v>7</v>
      </c>
      <c r="R251" s="516" t="s">
        <v>23</v>
      </c>
      <c r="S251" s="1686">
        <v>350000</v>
      </c>
      <c r="T251" s="1685" t="s">
        <v>0</v>
      </c>
      <c r="U251" s="1685"/>
      <c r="V251" s="1685">
        <v>3</v>
      </c>
      <c r="W251" s="1685" t="s">
        <v>3</v>
      </c>
      <c r="X251" s="1687" t="s">
        <v>1</v>
      </c>
      <c r="Y251" s="636">
        <f>+Q251*S251*V251/1000</f>
        <v>7350</v>
      </c>
      <c r="Z251" s="535">
        <v>6000000</v>
      </c>
      <c r="AA251" s="2371">
        <f t="shared" ref="AA251:AA253" si="28">F251*1000000</f>
        <v>7350000000</v>
      </c>
      <c r="AB251" s="505"/>
    </row>
    <row r="252" spans="1:33" ht="21" customHeight="1">
      <c r="A252" s="475"/>
      <c r="B252" s="1145"/>
      <c r="C252" s="470"/>
      <c r="D252" s="1126"/>
      <c r="E252" s="465" t="s">
        <v>65</v>
      </c>
      <c r="F252" s="435">
        <f t="shared" si="27"/>
        <v>3500</v>
      </c>
      <c r="G252" s="435">
        <v>3500</v>
      </c>
      <c r="H252" s="482"/>
      <c r="I252" s="473"/>
      <c r="J252" s="1780" t="s">
        <v>88</v>
      </c>
      <c r="K252" s="1685"/>
      <c r="L252" s="1781"/>
      <c r="M252" s="1781"/>
      <c r="N252" s="1686"/>
      <c r="O252" s="1686"/>
      <c r="P252" s="1685"/>
      <c r="Q252" s="635"/>
      <c r="R252" s="1685"/>
      <c r="S252" s="1686">
        <v>1750000</v>
      </c>
      <c r="T252" s="1685" t="s">
        <v>0</v>
      </c>
      <c r="U252" s="1685"/>
      <c r="V252" s="1685">
        <v>2</v>
      </c>
      <c r="W252" s="1685" t="s">
        <v>3</v>
      </c>
      <c r="X252" s="1687" t="s">
        <v>1</v>
      </c>
      <c r="Y252" s="636">
        <f>+S252*V252/1000</f>
        <v>3500</v>
      </c>
      <c r="Z252" s="535">
        <v>4000000</v>
      </c>
      <c r="AA252" s="2371">
        <f t="shared" si="28"/>
        <v>3500000000</v>
      </c>
      <c r="AB252" s="505"/>
    </row>
    <row r="253" spans="1:33" ht="21" customHeight="1">
      <c r="A253" s="475"/>
      <c r="B253" s="1145"/>
      <c r="C253" s="470"/>
      <c r="D253" s="359"/>
      <c r="E253" s="819" t="s">
        <v>1708</v>
      </c>
      <c r="F253" s="435">
        <f t="shared" si="27"/>
        <v>900</v>
      </c>
      <c r="G253" s="424">
        <v>900</v>
      </c>
      <c r="H253" s="482"/>
      <c r="I253" s="473"/>
      <c r="J253" s="721" t="s">
        <v>2778</v>
      </c>
      <c r="K253" s="709"/>
      <c r="L253" s="733"/>
      <c r="M253" s="733"/>
      <c r="N253" s="710"/>
      <c r="O253" s="710"/>
      <c r="P253" s="709"/>
      <c r="Q253" s="722"/>
      <c r="R253" s="709"/>
      <c r="S253" s="710">
        <v>300000</v>
      </c>
      <c r="T253" s="709" t="s">
        <v>0</v>
      </c>
      <c r="U253" s="709"/>
      <c r="V253" s="709">
        <v>3</v>
      </c>
      <c r="W253" s="709" t="s">
        <v>3</v>
      </c>
      <c r="X253" s="725" t="s">
        <v>1</v>
      </c>
      <c r="Y253" s="711">
        <f>+S253*V253/1000</f>
        <v>900</v>
      </c>
      <c r="Z253" s="535">
        <v>4000000</v>
      </c>
      <c r="AA253" s="2371">
        <f t="shared" si="28"/>
        <v>900000000</v>
      </c>
      <c r="AB253" s="505"/>
      <c r="AC253" s="275"/>
      <c r="AD253" s="275" t="s">
        <v>2408</v>
      </c>
      <c r="AE253" s="275" t="s">
        <v>2409</v>
      </c>
      <c r="AF253" s="1675" t="s">
        <v>2410</v>
      </c>
      <c r="AG253" s="1675"/>
    </row>
    <row r="254" spans="1:33" ht="21" customHeight="1">
      <c r="A254" s="475"/>
      <c r="B254" s="1145"/>
      <c r="C254" s="1671"/>
      <c r="D254" s="3273" t="s">
        <v>89</v>
      </c>
      <c r="E254" s="3274"/>
      <c r="F254" s="764">
        <f>SUM(F255:F264)</f>
        <v>13000</v>
      </c>
      <c r="G254" s="764">
        <f>SUM(G255:G264)</f>
        <v>13000</v>
      </c>
      <c r="H254" s="1132">
        <f t="shared" ref="H254" si="29">F254-G254</f>
        <v>0</v>
      </c>
      <c r="I254" s="473"/>
      <c r="J254" s="1129"/>
      <c r="K254" s="2801"/>
      <c r="L254" s="2801"/>
      <c r="M254" s="2801"/>
      <c r="N254" s="2801"/>
      <c r="O254" s="2801"/>
      <c r="P254" s="1130"/>
      <c r="Q254" s="2801"/>
      <c r="R254" s="2801"/>
      <c r="S254" s="1130"/>
      <c r="T254" s="2801"/>
      <c r="U254" s="2801"/>
      <c r="V254" s="1130"/>
      <c r="W254" s="2801"/>
      <c r="X254" s="1157"/>
      <c r="Y254" s="1158"/>
      <c r="Z254" s="1128">
        <f>F254*1000</f>
        <v>13000000</v>
      </c>
      <c r="AA254" s="907">
        <f t="shared" ref="AA254:AA316" si="30">F254*1000000</f>
        <v>13000000000</v>
      </c>
      <c r="AB254" s="505"/>
    </row>
    <row r="255" spans="1:33" ht="21" customHeight="1">
      <c r="A255" s="475"/>
      <c r="B255" s="1145"/>
      <c r="C255" s="1671"/>
      <c r="D255" s="1144"/>
      <c r="E255" s="1134" t="s">
        <v>73</v>
      </c>
      <c r="F255" s="438">
        <f>+Y255</f>
        <v>1300</v>
      </c>
      <c r="G255" s="438">
        <v>2400</v>
      </c>
      <c r="H255" s="482">
        <f>F255-G255</f>
        <v>-1100</v>
      </c>
      <c r="I255" s="473"/>
      <c r="J255" s="2899" t="s">
        <v>5453</v>
      </c>
      <c r="K255" s="2889"/>
      <c r="L255" s="2889"/>
      <c r="M255" s="2889"/>
      <c r="N255" s="2357"/>
      <c r="O255" s="2357"/>
      <c r="P255" s="2357"/>
      <c r="Q255" s="2900"/>
      <c r="R255" s="2895"/>
      <c r="S255" s="2900"/>
      <c r="T255" s="2900"/>
      <c r="U255" s="2357"/>
      <c r="V255" s="2900"/>
      <c r="W255" s="2900"/>
      <c r="X255" s="1140"/>
      <c r="Y255" s="1674">
        <f>SUM(Y256:Y257)</f>
        <v>1300</v>
      </c>
      <c r="Z255" s="1128"/>
      <c r="AA255" s="907">
        <f t="shared" si="30"/>
        <v>1300000000</v>
      </c>
      <c r="AB255" s="505"/>
    </row>
    <row r="256" spans="1:33" ht="21" customHeight="1">
      <c r="A256" s="475"/>
      <c r="B256" s="1145"/>
      <c r="C256" s="1671"/>
      <c r="D256" s="1144"/>
      <c r="E256" s="1134"/>
      <c r="F256" s="438"/>
      <c r="G256" s="438"/>
      <c r="H256" s="482"/>
      <c r="I256" s="473"/>
      <c r="J256" s="2939" t="s">
        <v>6059</v>
      </c>
      <c r="K256" s="2889"/>
      <c r="L256" s="2889"/>
      <c r="M256" s="2889"/>
      <c r="N256" s="2357"/>
      <c r="O256" s="2357"/>
      <c r="P256" s="2357"/>
      <c r="Q256" s="2900"/>
      <c r="R256" s="2895"/>
      <c r="S256" s="2900">
        <v>800000</v>
      </c>
      <c r="T256" s="2900" t="s">
        <v>0</v>
      </c>
      <c r="U256" s="2357"/>
      <c r="V256" s="2897">
        <v>1</v>
      </c>
      <c r="W256" s="2900" t="s">
        <v>6</v>
      </c>
      <c r="X256" s="1140" t="s">
        <v>1</v>
      </c>
      <c r="Y256" s="1674">
        <f>+S256*V256/1000</f>
        <v>800</v>
      </c>
      <c r="Z256" s="1128"/>
      <c r="AA256" s="907">
        <f t="shared" si="30"/>
        <v>0</v>
      </c>
      <c r="AB256" s="505"/>
    </row>
    <row r="257" spans="1:28" ht="21" customHeight="1">
      <c r="A257" s="475"/>
      <c r="B257" s="1145"/>
      <c r="C257" s="1671"/>
      <c r="D257" s="1144"/>
      <c r="E257" s="1134"/>
      <c r="F257" s="438"/>
      <c r="G257" s="438"/>
      <c r="H257" s="482"/>
      <c r="I257" s="473"/>
      <c r="J257" s="2939" t="s">
        <v>6060</v>
      </c>
      <c r="K257" s="2889"/>
      <c r="L257" s="2889"/>
      <c r="M257" s="2889"/>
      <c r="N257" s="2357"/>
      <c r="O257" s="2357"/>
      <c r="P257" s="2357"/>
      <c r="Q257" s="2900"/>
      <c r="R257" s="2895"/>
      <c r="S257" s="2900">
        <v>500000</v>
      </c>
      <c r="T257" s="2900" t="s">
        <v>0</v>
      </c>
      <c r="U257" s="2357"/>
      <c r="V257" s="2900">
        <v>1</v>
      </c>
      <c r="W257" s="2900" t="s">
        <v>6</v>
      </c>
      <c r="X257" s="1140" t="s">
        <v>1</v>
      </c>
      <c r="Y257" s="1674">
        <f>+S257*V257/1000</f>
        <v>500</v>
      </c>
      <c r="Z257" s="1128"/>
      <c r="AA257" s="907">
        <f t="shared" si="30"/>
        <v>0</v>
      </c>
      <c r="AB257" s="505"/>
    </row>
    <row r="258" spans="1:28" ht="21" customHeight="1">
      <c r="A258" s="475"/>
      <c r="B258" s="1145"/>
      <c r="C258" s="1671"/>
      <c r="D258" s="1144"/>
      <c r="E258" s="1134" t="s">
        <v>1790</v>
      </c>
      <c r="F258" s="438">
        <f>+Y258</f>
        <v>3400</v>
      </c>
      <c r="G258" s="438">
        <v>2300</v>
      </c>
      <c r="H258" s="482">
        <f>F258-G258</f>
        <v>1100</v>
      </c>
      <c r="I258" s="473"/>
      <c r="J258" s="2899" t="s">
        <v>5611</v>
      </c>
      <c r="K258" s="2889"/>
      <c r="L258" s="2889"/>
      <c r="M258" s="2889"/>
      <c r="N258" s="2357"/>
      <c r="O258" s="2357"/>
      <c r="P258" s="2357"/>
      <c r="Q258" s="2900"/>
      <c r="R258" s="2895"/>
      <c r="S258" s="2900"/>
      <c r="T258" s="2900"/>
      <c r="U258" s="2357"/>
      <c r="V258" s="2900"/>
      <c r="W258" s="2900"/>
      <c r="X258" s="1140"/>
      <c r="Y258" s="1674">
        <f>SUM(Y259:Y261)</f>
        <v>3400</v>
      </c>
      <c r="Z258" s="1128"/>
      <c r="AA258" s="907">
        <f t="shared" si="30"/>
        <v>3400000000</v>
      </c>
      <c r="AB258" s="505"/>
    </row>
    <row r="259" spans="1:28" ht="21" customHeight="1">
      <c r="A259" s="475"/>
      <c r="B259" s="1145"/>
      <c r="C259" s="1671"/>
      <c r="D259" s="1144"/>
      <c r="E259" s="1134"/>
      <c r="F259" s="438"/>
      <c r="G259" s="438"/>
      <c r="H259" s="482"/>
      <c r="I259" s="473"/>
      <c r="J259" s="2899" t="s">
        <v>5612</v>
      </c>
      <c r="K259" s="2889"/>
      <c r="L259" s="2889"/>
      <c r="M259" s="2889"/>
      <c r="N259" s="2357"/>
      <c r="O259" s="2357"/>
      <c r="P259" s="2357"/>
      <c r="Q259" s="2900">
        <v>6</v>
      </c>
      <c r="R259" s="2895" t="s">
        <v>5462</v>
      </c>
      <c r="S259" s="2900">
        <v>300000</v>
      </c>
      <c r="T259" s="2900" t="s">
        <v>0</v>
      </c>
      <c r="U259" s="2357"/>
      <c r="V259" s="2900">
        <v>1</v>
      </c>
      <c r="W259" s="2900" t="s">
        <v>3</v>
      </c>
      <c r="X259" s="1140" t="s">
        <v>1</v>
      </c>
      <c r="Y259" s="1674">
        <f>+Q259*S259*V259/1000</f>
        <v>1800</v>
      </c>
      <c r="Z259" s="1128"/>
      <c r="AA259" s="907">
        <f t="shared" si="30"/>
        <v>0</v>
      </c>
      <c r="AB259" s="505"/>
    </row>
    <row r="260" spans="1:28" ht="21" customHeight="1">
      <c r="A260" s="475"/>
      <c r="B260" s="1145"/>
      <c r="C260" s="1671"/>
      <c r="D260" s="1144"/>
      <c r="E260" s="1134"/>
      <c r="F260" s="438"/>
      <c r="G260" s="438"/>
      <c r="H260" s="482"/>
      <c r="I260" s="473"/>
      <c r="J260" s="2899" t="s">
        <v>5613</v>
      </c>
      <c r="K260" s="2889"/>
      <c r="L260" s="2889"/>
      <c r="M260" s="2889"/>
      <c r="N260" s="2357"/>
      <c r="O260" s="2357"/>
      <c r="P260" s="2357"/>
      <c r="Q260" s="2900">
        <v>5</v>
      </c>
      <c r="R260" s="2895" t="s">
        <v>5462</v>
      </c>
      <c r="S260" s="2900">
        <v>100000</v>
      </c>
      <c r="T260" s="2900" t="s">
        <v>0</v>
      </c>
      <c r="U260" s="2357"/>
      <c r="V260" s="2900">
        <v>3</v>
      </c>
      <c r="W260" s="2900" t="s">
        <v>3</v>
      </c>
      <c r="X260" s="1140" t="s">
        <v>1</v>
      </c>
      <c r="Y260" s="1674">
        <f>+Q260*S260*V260/1000</f>
        <v>1500</v>
      </c>
      <c r="Z260" s="1128"/>
      <c r="AA260" s="907"/>
      <c r="AB260" s="505"/>
    </row>
    <row r="261" spans="1:28" ht="21" customHeight="1">
      <c r="A261" s="475"/>
      <c r="B261" s="1145"/>
      <c r="C261" s="1671"/>
      <c r="D261" s="1144"/>
      <c r="E261" s="1134"/>
      <c r="F261" s="438"/>
      <c r="G261" s="438"/>
      <c r="H261" s="482"/>
      <c r="I261" s="473"/>
      <c r="J261" s="2899" t="s">
        <v>5614</v>
      </c>
      <c r="K261" s="2889"/>
      <c r="L261" s="2889"/>
      <c r="M261" s="2889"/>
      <c r="N261" s="2357"/>
      <c r="O261" s="2357"/>
      <c r="P261" s="2357"/>
      <c r="Q261" s="2900">
        <v>1</v>
      </c>
      <c r="R261" s="2895" t="s">
        <v>5462</v>
      </c>
      <c r="S261" s="2900">
        <v>100000</v>
      </c>
      <c r="T261" s="2900" t="s">
        <v>0</v>
      </c>
      <c r="U261" s="2357"/>
      <c r="V261" s="2900">
        <v>1</v>
      </c>
      <c r="W261" s="2900" t="s">
        <v>3</v>
      </c>
      <c r="X261" s="1140" t="s">
        <v>1</v>
      </c>
      <c r="Y261" s="1674">
        <v>100</v>
      </c>
      <c r="Z261" s="1128"/>
      <c r="AA261" s="907">
        <f t="shared" si="30"/>
        <v>0</v>
      </c>
      <c r="AB261" s="505"/>
    </row>
    <row r="262" spans="1:28" ht="21" customHeight="1">
      <c r="A262" s="475"/>
      <c r="B262" s="1145"/>
      <c r="C262" s="1671"/>
      <c r="D262" s="1144"/>
      <c r="E262" s="1134" t="s">
        <v>65</v>
      </c>
      <c r="F262" s="438">
        <f>+Y262</f>
        <v>7000</v>
      </c>
      <c r="G262" s="438">
        <v>7000</v>
      </c>
      <c r="H262" s="482"/>
      <c r="I262" s="473"/>
      <c r="J262" s="2899" t="s">
        <v>90</v>
      </c>
      <c r="K262" s="2889"/>
      <c r="L262" s="2889"/>
      <c r="M262" s="2889"/>
      <c r="N262" s="2357"/>
      <c r="O262" s="2357"/>
      <c r="P262" s="2357"/>
      <c r="Q262" s="2900"/>
      <c r="R262" s="2895"/>
      <c r="S262" s="2900">
        <v>7000000</v>
      </c>
      <c r="T262" s="2900" t="s">
        <v>0</v>
      </c>
      <c r="U262" s="2357"/>
      <c r="V262" s="2900">
        <v>1</v>
      </c>
      <c r="W262" s="2900" t="s">
        <v>6</v>
      </c>
      <c r="X262" s="1140" t="s">
        <v>1</v>
      </c>
      <c r="Y262" s="1674">
        <f>+S262*V262/1000</f>
        <v>7000</v>
      </c>
      <c r="Z262" s="1128"/>
      <c r="AA262" s="907">
        <f t="shared" si="30"/>
        <v>7000000000</v>
      </c>
      <c r="AB262" s="505"/>
    </row>
    <row r="263" spans="1:28" ht="21" customHeight="1">
      <c r="A263" s="475"/>
      <c r="B263" s="1145"/>
      <c r="C263" s="1671"/>
      <c r="D263" s="1131"/>
      <c r="E263" s="1134" t="s">
        <v>64</v>
      </c>
      <c r="F263" s="438">
        <f>+Y263</f>
        <v>1000</v>
      </c>
      <c r="G263" s="438">
        <v>1000</v>
      </c>
      <c r="H263" s="482"/>
      <c r="I263" s="473"/>
      <c r="J263" s="2899" t="s">
        <v>91</v>
      </c>
      <c r="K263" s="2889"/>
      <c r="L263" s="2889"/>
      <c r="M263" s="2889"/>
      <c r="N263" s="2357"/>
      <c r="O263" s="2357"/>
      <c r="P263" s="2357"/>
      <c r="Q263" s="2900"/>
      <c r="R263" s="2895"/>
      <c r="S263" s="2900">
        <v>50000</v>
      </c>
      <c r="T263" s="2900" t="s">
        <v>0</v>
      </c>
      <c r="U263" s="2357"/>
      <c r="V263" s="2900">
        <v>20</v>
      </c>
      <c r="W263" s="2900" t="s">
        <v>58</v>
      </c>
      <c r="X263" s="1140" t="s">
        <v>1</v>
      </c>
      <c r="Y263" s="1674">
        <f>+S263*V263/1000</f>
        <v>1000</v>
      </c>
      <c r="Z263" s="1128"/>
      <c r="AA263" s="907">
        <f t="shared" si="30"/>
        <v>1000000000</v>
      </c>
      <c r="AB263" s="505"/>
    </row>
    <row r="264" spans="1:28" ht="21" customHeight="1">
      <c r="A264" s="475"/>
      <c r="B264" s="1145"/>
      <c r="C264" s="1671"/>
      <c r="D264" s="1144"/>
      <c r="E264" s="855" t="s">
        <v>55</v>
      </c>
      <c r="F264" s="931">
        <f>Y264</f>
        <v>300</v>
      </c>
      <c r="G264" s="931">
        <v>300</v>
      </c>
      <c r="H264" s="1124"/>
      <c r="I264" s="2357"/>
      <c r="J264" s="1627" t="s">
        <v>86</v>
      </c>
      <c r="K264" s="2883"/>
      <c r="L264" s="2883"/>
      <c r="M264" s="2883"/>
      <c r="N264" s="2883"/>
      <c r="O264" s="2801"/>
      <c r="P264" s="459"/>
      <c r="Q264" s="2801">
        <v>15</v>
      </c>
      <c r="R264" s="459" t="s">
        <v>23</v>
      </c>
      <c r="S264" s="459">
        <v>10000</v>
      </c>
      <c r="T264" s="459" t="s">
        <v>0</v>
      </c>
      <c r="U264" s="2801"/>
      <c r="V264" s="459">
        <v>2</v>
      </c>
      <c r="W264" s="459" t="s">
        <v>3</v>
      </c>
      <c r="X264" s="460" t="s">
        <v>1</v>
      </c>
      <c r="Y264" s="1674">
        <f>+Q264*S264*V264/1000</f>
        <v>300</v>
      </c>
      <c r="Z264" s="1128"/>
      <c r="AA264" s="907">
        <f t="shared" si="30"/>
        <v>300000000</v>
      </c>
      <c r="AB264" s="505"/>
    </row>
    <row r="265" spans="1:28" ht="21" customHeight="1">
      <c r="A265" s="475"/>
      <c r="B265" s="1145"/>
      <c r="C265" s="3277" t="s">
        <v>2978</v>
      </c>
      <c r="D265" s="3271"/>
      <c r="E265" s="3272"/>
      <c r="F265" s="931">
        <f>+F266+F280+F284+F293</f>
        <v>311000</v>
      </c>
      <c r="G265" s="931">
        <f>+G266+G280+G284+G293</f>
        <v>311000</v>
      </c>
      <c r="H265" s="1132">
        <f>F265-G265</f>
        <v>0</v>
      </c>
      <c r="I265" s="1099"/>
      <c r="J265" s="1129"/>
      <c r="K265" s="2285"/>
      <c r="L265" s="2285"/>
      <c r="M265" s="2285"/>
      <c r="N265" s="2285"/>
      <c r="O265" s="2285"/>
      <c r="P265" s="1130"/>
      <c r="Q265" s="2285"/>
      <c r="R265" s="2285"/>
      <c r="S265" s="1130"/>
      <c r="T265" s="2285"/>
      <c r="U265" s="2285"/>
      <c r="V265" s="1130"/>
      <c r="W265" s="2285"/>
      <c r="X265" s="1157"/>
      <c r="Y265" s="503"/>
      <c r="Z265" s="1128"/>
      <c r="AA265" s="907">
        <f t="shared" si="30"/>
        <v>311000000000</v>
      </c>
      <c r="AB265" s="505"/>
    </row>
    <row r="266" spans="1:28" ht="21" customHeight="1">
      <c r="A266" s="475"/>
      <c r="B266" s="933"/>
      <c r="C266" s="1671"/>
      <c r="D266" s="3275" t="s">
        <v>2411</v>
      </c>
      <c r="E266" s="3276"/>
      <c r="F266" s="764">
        <f>SUM(F267:F279)</f>
        <v>188000</v>
      </c>
      <c r="G266" s="764">
        <f>SUM(G267:G279)</f>
        <v>188000</v>
      </c>
      <c r="H266" s="1132">
        <f>F266-G266</f>
        <v>0</v>
      </c>
      <c r="I266" s="1099"/>
      <c r="J266" s="1135"/>
      <c r="K266" s="2254"/>
      <c r="L266" s="2254"/>
      <c r="M266" s="2254"/>
      <c r="N266" s="2254"/>
      <c r="O266" s="2254"/>
      <c r="P266" s="2276"/>
      <c r="Q266" s="2276"/>
      <c r="R266" s="1136"/>
      <c r="S266" s="1136"/>
      <c r="T266" s="1136"/>
      <c r="U266" s="2276"/>
      <c r="V266" s="1136"/>
      <c r="W266" s="1136"/>
      <c r="X266" s="1138"/>
      <c r="Y266" s="377"/>
      <c r="Z266" s="1128"/>
      <c r="AA266" s="907">
        <f t="shared" si="30"/>
        <v>188000000000</v>
      </c>
      <c r="AB266" s="505"/>
    </row>
    <row r="267" spans="1:28" ht="21" customHeight="1">
      <c r="A267" s="475"/>
      <c r="B267" s="1145"/>
      <c r="C267" s="1671"/>
      <c r="D267" s="934"/>
      <c r="E267" s="828" t="s">
        <v>74</v>
      </c>
      <c r="F267" s="438">
        <f>+Y267</f>
        <v>60000</v>
      </c>
      <c r="G267" s="438">
        <v>60000</v>
      </c>
      <c r="H267" s="391"/>
      <c r="I267" s="1099"/>
      <c r="J267" s="514" t="s">
        <v>2412</v>
      </c>
      <c r="K267" s="2302"/>
      <c r="L267" s="2302"/>
      <c r="M267" s="2302"/>
      <c r="N267" s="2302"/>
      <c r="O267" s="2302"/>
      <c r="P267" s="1781"/>
      <c r="Q267" s="1781">
        <v>2</v>
      </c>
      <c r="R267" s="516" t="s">
        <v>23</v>
      </c>
      <c r="S267" s="516">
        <v>2500000</v>
      </c>
      <c r="T267" s="516" t="s">
        <v>0</v>
      </c>
      <c r="U267" s="1781"/>
      <c r="V267" s="516">
        <v>12</v>
      </c>
      <c r="W267" s="516" t="s">
        <v>26</v>
      </c>
      <c r="X267" s="517" t="s">
        <v>1</v>
      </c>
      <c r="Y267" s="636">
        <f>+Q267*S267*V267/1000</f>
        <v>60000</v>
      </c>
      <c r="Z267" s="535"/>
      <c r="AA267" s="907">
        <f t="shared" si="30"/>
        <v>60000000000</v>
      </c>
      <c r="AB267" s="505"/>
    </row>
    <row r="268" spans="1:28" ht="21" customHeight="1">
      <c r="A268" s="475"/>
      <c r="B268" s="1145"/>
      <c r="C268" s="1671"/>
      <c r="D268" s="875"/>
      <c r="E268" s="1134" t="s">
        <v>24</v>
      </c>
      <c r="F268" s="438">
        <f t="shared" ref="F268:F272" si="31">+Y268</f>
        <v>12500</v>
      </c>
      <c r="G268" s="438">
        <v>12500</v>
      </c>
      <c r="H268" s="391"/>
      <c r="I268" s="1099"/>
      <c r="J268" s="514" t="s">
        <v>2413</v>
      </c>
      <c r="K268" s="2302"/>
      <c r="L268" s="2302"/>
      <c r="M268" s="2302"/>
      <c r="N268" s="2302"/>
      <c r="O268" s="2302"/>
      <c r="P268" s="1781"/>
      <c r="Q268" s="1781"/>
      <c r="R268" s="516"/>
      <c r="S268" s="516">
        <v>25000000000</v>
      </c>
      <c r="T268" s="516" t="s">
        <v>0</v>
      </c>
      <c r="U268" s="1781"/>
      <c r="V268" s="2376">
        <v>0.05</v>
      </c>
      <c r="W268" s="516" t="s">
        <v>92</v>
      </c>
      <c r="X268" s="517" t="s">
        <v>1</v>
      </c>
      <c r="Y268" s="636">
        <f>+S268*V268/1000/100</f>
        <v>12500</v>
      </c>
      <c r="Z268" s="535"/>
      <c r="AA268" s="907">
        <f t="shared" si="30"/>
        <v>12500000000</v>
      </c>
      <c r="AB268" s="505"/>
    </row>
    <row r="269" spans="1:28" ht="21" customHeight="1">
      <c r="A269" s="475"/>
      <c r="B269" s="1145"/>
      <c r="C269" s="1671"/>
      <c r="D269" s="1144"/>
      <c r="E269" s="1134" t="s">
        <v>73</v>
      </c>
      <c r="F269" s="438">
        <f t="shared" si="31"/>
        <v>2500</v>
      </c>
      <c r="G269" s="438">
        <v>2500</v>
      </c>
      <c r="H269" s="391"/>
      <c r="I269" s="1099"/>
      <c r="J269" s="514" t="s">
        <v>2414</v>
      </c>
      <c r="K269" s="2302"/>
      <c r="L269" s="2302"/>
      <c r="M269" s="2302"/>
      <c r="N269" s="2302"/>
      <c r="O269" s="2302"/>
      <c r="P269" s="1781"/>
      <c r="Q269" s="1781"/>
      <c r="R269" s="516"/>
      <c r="S269" s="516">
        <v>2500000</v>
      </c>
      <c r="T269" s="516" t="s">
        <v>0</v>
      </c>
      <c r="U269" s="1781"/>
      <c r="V269" s="516">
        <v>1</v>
      </c>
      <c r="W269" s="516" t="s">
        <v>6</v>
      </c>
      <c r="X269" s="517" t="s">
        <v>1</v>
      </c>
      <c r="Y269" s="636">
        <f>+S269*V269/1000</f>
        <v>2500</v>
      </c>
      <c r="Z269" s="535"/>
      <c r="AA269" s="907">
        <f t="shared" si="30"/>
        <v>2500000000</v>
      </c>
      <c r="AB269" s="505"/>
    </row>
    <row r="270" spans="1:28" ht="21" customHeight="1">
      <c r="A270" s="475"/>
      <c r="B270" s="1145"/>
      <c r="C270" s="1671"/>
      <c r="D270" s="1144"/>
      <c r="E270" s="1134" t="s">
        <v>75</v>
      </c>
      <c r="F270" s="438">
        <f t="shared" si="31"/>
        <v>3000</v>
      </c>
      <c r="G270" s="438">
        <v>3000</v>
      </c>
      <c r="H270" s="391"/>
      <c r="I270" s="1099"/>
      <c r="J270" s="514" t="s">
        <v>2415</v>
      </c>
      <c r="K270" s="2302"/>
      <c r="L270" s="2302"/>
      <c r="M270" s="2302"/>
      <c r="N270" s="2302"/>
      <c r="O270" s="2302"/>
      <c r="P270" s="1781"/>
      <c r="Q270" s="1781"/>
      <c r="R270" s="516"/>
      <c r="S270" s="516">
        <v>3000000</v>
      </c>
      <c r="T270" s="516" t="s">
        <v>0</v>
      </c>
      <c r="U270" s="1781"/>
      <c r="V270" s="516">
        <v>1</v>
      </c>
      <c r="W270" s="516" t="s">
        <v>6</v>
      </c>
      <c r="X270" s="517" t="s">
        <v>1</v>
      </c>
      <c r="Y270" s="636">
        <f>+S270*V270/1000</f>
        <v>3000</v>
      </c>
      <c r="Z270" s="535"/>
      <c r="AA270" s="907">
        <f t="shared" si="30"/>
        <v>3000000000</v>
      </c>
      <c r="AB270" s="505"/>
    </row>
    <row r="271" spans="1:28" ht="21" customHeight="1">
      <c r="A271" s="475"/>
      <c r="B271" s="1145"/>
      <c r="C271" s="1671"/>
      <c r="D271" s="1144"/>
      <c r="E271" s="1134" t="s">
        <v>52</v>
      </c>
      <c r="F271" s="438">
        <f t="shared" si="31"/>
        <v>8000</v>
      </c>
      <c r="G271" s="438">
        <v>8000</v>
      </c>
      <c r="H271" s="391"/>
      <c r="I271" s="1099"/>
      <c r="J271" s="514" t="s">
        <v>93</v>
      </c>
      <c r="K271" s="2302"/>
      <c r="L271" s="2302"/>
      <c r="M271" s="2302"/>
      <c r="N271" s="2302"/>
      <c r="O271" s="2302"/>
      <c r="P271" s="1781"/>
      <c r="Q271" s="1781">
        <v>4</v>
      </c>
      <c r="R271" s="516" t="s">
        <v>23</v>
      </c>
      <c r="S271" s="516">
        <v>250000</v>
      </c>
      <c r="T271" s="516" t="s">
        <v>0</v>
      </c>
      <c r="U271" s="1781"/>
      <c r="V271" s="516">
        <v>8</v>
      </c>
      <c r="W271" s="516" t="s">
        <v>3</v>
      </c>
      <c r="X271" s="517" t="s">
        <v>1</v>
      </c>
      <c r="Y271" s="636">
        <f>+Q271*S271*V271/1000</f>
        <v>8000</v>
      </c>
      <c r="Z271" s="535"/>
      <c r="AA271" s="907">
        <f t="shared" si="30"/>
        <v>8000000000</v>
      </c>
      <c r="AB271" s="505"/>
    </row>
    <row r="272" spans="1:28" ht="21" customHeight="1">
      <c r="A272" s="475"/>
      <c r="B272" s="1145"/>
      <c r="C272" s="1671"/>
      <c r="D272" s="1144"/>
      <c r="E272" s="1134" t="s">
        <v>65</v>
      </c>
      <c r="F272" s="438">
        <f t="shared" si="31"/>
        <v>100000</v>
      </c>
      <c r="G272" s="438">
        <v>100000</v>
      </c>
      <c r="H272" s="391"/>
      <c r="I272" s="1099"/>
      <c r="J272" s="514" t="s">
        <v>8</v>
      </c>
      <c r="K272" s="2302"/>
      <c r="L272" s="2302"/>
      <c r="M272" s="2302"/>
      <c r="N272" s="2302"/>
      <c r="O272" s="2302"/>
      <c r="P272" s="1781"/>
      <c r="Q272" s="1781"/>
      <c r="R272" s="516"/>
      <c r="S272" s="516"/>
      <c r="T272" s="516"/>
      <c r="U272" s="1781"/>
      <c r="V272" s="516"/>
      <c r="W272" s="516"/>
      <c r="X272" s="517"/>
      <c r="Y272" s="636">
        <f>SUM(Y273:Y277)</f>
        <v>100000</v>
      </c>
      <c r="Z272" s="535"/>
      <c r="AA272" s="907">
        <f t="shared" si="30"/>
        <v>100000000000</v>
      </c>
      <c r="AB272" s="505"/>
    </row>
    <row r="273" spans="1:28" ht="21" customHeight="1">
      <c r="A273" s="475"/>
      <c r="B273" s="1145"/>
      <c r="C273" s="1671"/>
      <c r="D273" s="1144"/>
      <c r="E273" s="1134"/>
      <c r="F273" s="438"/>
      <c r="G273" s="438"/>
      <c r="H273" s="391"/>
      <c r="I273" s="1099"/>
      <c r="J273" s="3304" t="s">
        <v>2416</v>
      </c>
      <c r="K273" s="3305"/>
      <c r="L273" s="3305"/>
      <c r="M273" s="3305"/>
      <c r="N273" s="2302"/>
      <c r="O273" s="2302"/>
      <c r="P273" s="1781"/>
      <c r="Q273" s="1781"/>
      <c r="R273" s="516"/>
      <c r="S273" s="516">
        <v>500000</v>
      </c>
      <c r="T273" s="516" t="s">
        <v>0</v>
      </c>
      <c r="U273" s="1781"/>
      <c r="V273" s="516">
        <v>4</v>
      </c>
      <c r="W273" s="516" t="s">
        <v>3</v>
      </c>
      <c r="X273" s="517" t="s">
        <v>1</v>
      </c>
      <c r="Y273" s="636">
        <f>+S273*V273/1000</f>
        <v>2000</v>
      </c>
      <c r="Z273" s="535"/>
      <c r="AA273" s="907">
        <f t="shared" si="30"/>
        <v>0</v>
      </c>
      <c r="AB273" s="505"/>
    </row>
    <row r="274" spans="1:28" ht="21" customHeight="1">
      <c r="A274" s="475"/>
      <c r="B274" s="1145"/>
      <c r="C274" s="1671"/>
      <c r="D274" s="1144"/>
      <c r="E274" s="1134"/>
      <c r="F274" s="438"/>
      <c r="G274" s="438"/>
      <c r="H274" s="391"/>
      <c r="I274" s="1099"/>
      <c r="J274" s="3304" t="s">
        <v>2417</v>
      </c>
      <c r="K274" s="3305"/>
      <c r="L274" s="3305"/>
      <c r="M274" s="3305"/>
      <c r="N274" s="2302"/>
      <c r="O274" s="2302"/>
      <c r="P274" s="1781"/>
      <c r="Q274" s="1781"/>
      <c r="R274" s="516"/>
      <c r="S274" s="516">
        <v>5000000</v>
      </c>
      <c r="T274" s="516" t="s">
        <v>0</v>
      </c>
      <c r="U274" s="1781"/>
      <c r="V274" s="516">
        <v>1</v>
      </c>
      <c r="W274" s="516" t="s">
        <v>6</v>
      </c>
      <c r="X274" s="517" t="s">
        <v>1</v>
      </c>
      <c r="Y274" s="636">
        <f>+S274*V274/1000</f>
        <v>5000</v>
      </c>
      <c r="Z274" s="535"/>
      <c r="AA274" s="907">
        <f t="shared" si="30"/>
        <v>0</v>
      </c>
      <c r="AB274" s="505"/>
    </row>
    <row r="275" spans="1:28" ht="21" customHeight="1">
      <c r="A275" s="475"/>
      <c r="B275" s="1145"/>
      <c r="C275" s="1671"/>
      <c r="D275" s="1144"/>
      <c r="E275" s="1134"/>
      <c r="F275" s="438"/>
      <c r="G275" s="438"/>
      <c r="H275" s="391"/>
      <c r="I275" s="1099"/>
      <c r="J275" s="3304" t="s">
        <v>2418</v>
      </c>
      <c r="K275" s="3305"/>
      <c r="L275" s="3305"/>
      <c r="M275" s="3305"/>
      <c r="N275" s="2302"/>
      <c r="O275" s="2302"/>
      <c r="P275" s="1781"/>
      <c r="Q275" s="1781"/>
      <c r="R275" s="516"/>
      <c r="S275" s="516">
        <v>900000</v>
      </c>
      <c r="T275" s="516" t="s">
        <v>0</v>
      </c>
      <c r="U275" s="1781"/>
      <c r="V275" s="516">
        <v>12</v>
      </c>
      <c r="W275" s="516" t="s">
        <v>2</v>
      </c>
      <c r="X275" s="517" t="s">
        <v>1</v>
      </c>
      <c r="Y275" s="636">
        <f>+S275*V275/1000</f>
        <v>10800</v>
      </c>
      <c r="Z275" s="535"/>
      <c r="AA275" s="907">
        <f t="shared" si="30"/>
        <v>0</v>
      </c>
      <c r="AB275" s="505"/>
    </row>
    <row r="276" spans="1:28" ht="21" customHeight="1">
      <c r="A276" s="475"/>
      <c r="B276" s="1145"/>
      <c r="C276" s="1671"/>
      <c r="D276" s="1144"/>
      <c r="E276" s="1134"/>
      <c r="F276" s="438"/>
      <c r="G276" s="438"/>
      <c r="H276" s="391"/>
      <c r="I276" s="1099"/>
      <c r="J276" s="3304" t="s">
        <v>2419</v>
      </c>
      <c r="K276" s="3305"/>
      <c r="L276" s="3305"/>
      <c r="M276" s="3305"/>
      <c r="N276" s="2302"/>
      <c r="O276" s="2302"/>
      <c r="P276" s="1781"/>
      <c r="Q276" s="1781"/>
      <c r="R276" s="516"/>
      <c r="S276" s="516">
        <v>6040000</v>
      </c>
      <c r="T276" s="516" t="s">
        <v>0</v>
      </c>
      <c r="U276" s="1781"/>
      <c r="V276" s="516">
        <v>5</v>
      </c>
      <c r="W276" s="516" t="s">
        <v>6</v>
      </c>
      <c r="X276" s="517" t="s">
        <v>1</v>
      </c>
      <c r="Y276" s="636">
        <f>+S276*V276/1000</f>
        <v>30200</v>
      </c>
      <c r="Z276" s="535"/>
      <c r="AA276" s="907">
        <f t="shared" si="30"/>
        <v>0</v>
      </c>
      <c r="AB276" s="505"/>
    </row>
    <row r="277" spans="1:28" ht="21.6" customHeight="1">
      <c r="A277" s="475"/>
      <c r="B277" s="1145"/>
      <c r="C277" s="1671"/>
      <c r="D277" s="1144"/>
      <c r="E277" s="1134"/>
      <c r="F277" s="438"/>
      <c r="G277" s="438"/>
      <c r="H277" s="391"/>
      <c r="I277" s="1099"/>
      <c r="J277" s="3304" t="s">
        <v>2779</v>
      </c>
      <c r="K277" s="3305"/>
      <c r="L277" s="3305"/>
      <c r="M277" s="3305"/>
      <c r="N277" s="2302"/>
      <c r="O277" s="2302"/>
      <c r="P277" s="1781"/>
      <c r="Q277" s="1781"/>
      <c r="R277" s="516"/>
      <c r="S277" s="516">
        <v>52000000</v>
      </c>
      <c r="T277" s="516" t="s">
        <v>0</v>
      </c>
      <c r="U277" s="1781"/>
      <c r="V277" s="516">
        <v>1</v>
      </c>
      <c r="W277" s="516" t="s">
        <v>6</v>
      </c>
      <c r="X277" s="517" t="s">
        <v>1</v>
      </c>
      <c r="Y277" s="636">
        <f t="shared" ref="Y277" si="32">+S277*V277/1000</f>
        <v>52000</v>
      </c>
      <c r="Z277" s="535"/>
      <c r="AA277" s="907"/>
      <c r="AB277" s="505"/>
    </row>
    <row r="278" spans="1:28" ht="21.6" customHeight="1">
      <c r="A278" s="475"/>
      <c r="B278" s="1145"/>
      <c r="C278" s="1671"/>
      <c r="D278" s="1144"/>
      <c r="E278" s="1134" t="s">
        <v>54</v>
      </c>
      <c r="F278" s="438">
        <f>+Y278</f>
        <v>1000</v>
      </c>
      <c r="G278" s="438">
        <v>1000</v>
      </c>
      <c r="H278" s="391"/>
      <c r="I278" s="1099"/>
      <c r="J278" s="514" t="s">
        <v>2420</v>
      </c>
      <c r="K278" s="2302"/>
      <c r="L278" s="2302"/>
      <c r="M278" s="2302"/>
      <c r="N278" s="2302"/>
      <c r="O278" s="2302"/>
      <c r="P278" s="1781"/>
      <c r="Q278" s="1781"/>
      <c r="R278" s="516"/>
      <c r="S278" s="516">
        <v>100000</v>
      </c>
      <c r="T278" s="516" t="s">
        <v>0</v>
      </c>
      <c r="U278" s="1781"/>
      <c r="V278" s="516">
        <v>10</v>
      </c>
      <c r="W278" s="516" t="s">
        <v>2</v>
      </c>
      <c r="X278" s="517" t="s">
        <v>1</v>
      </c>
      <c r="Y278" s="636">
        <f>+S278*V278/1000</f>
        <v>1000</v>
      </c>
      <c r="Z278" s="535"/>
      <c r="AA278" s="907">
        <f t="shared" si="30"/>
        <v>1000000000</v>
      </c>
      <c r="AB278" s="505"/>
    </row>
    <row r="279" spans="1:28" ht="21.6" customHeight="1">
      <c r="A279" s="475"/>
      <c r="B279" s="1145"/>
      <c r="C279" s="465"/>
      <c r="D279" s="1148"/>
      <c r="E279" s="1134" t="s">
        <v>55</v>
      </c>
      <c r="F279" s="438">
        <f>+Y279</f>
        <v>1000</v>
      </c>
      <c r="G279" s="438">
        <v>1000</v>
      </c>
      <c r="H279" s="766"/>
      <c r="I279" s="1099"/>
      <c r="J279" s="514" t="s">
        <v>5832</v>
      </c>
      <c r="K279" s="2302"/>
      <c r="L279" s="2302"/>
      <c r="M279" s="2302"/>
      <c r="N279" s="2302"/>
      <c r="O279" s="2302"/>
      <c r="P279" s="1781"/>
      <c r="Q279" s="1781">
        <v>10</v>
      </c>
      <c r="R279" s="516" t="s">
        <v>23</v>
      </c>
      <c r="S279" s="516">
        <v>10000</v>
      </c>
      <c r="T279" s="516" t="s">
        <v>0</v>
      </c>
      <c r="U279" s="1781"/>
      <c r="V279" s="516">
        <v>10</v>
      </c>
      <c r="W279" s="516" t="s">
        <v>3</v>
      </c>
      <c r="X279" s="517" t="s">
        <v>1</v>
      </c>
      <c r="Y279" s="636">
        <f>+Q279*S279*V279/1000</f>
        <v>1000</v>
      </c>
      <c r="Z279" s="535"/>
      <c r="AA279" s="907">
        <f t="shared" si="30"/>
        <v>1000000000</v>
      </c>
      <c r="AB279" s="505"/>
    </row>
    <row r="280" spans="1:28" ht="21.6" customHeight="1">
      <c r="A280" s="475" t="s">
        <v>1761</v>
      </c>
      <c r="B280" s="933"/>
      <c r="C280" s="413"/>
      <c r="D280" s="3421" t="s">
        <v>2421</v>
      </c>
      <c r="E280" s="3421"/>
      <c r="F280" s="764">
        <f>SUM(F281:F283)</f>
        <v>37000</v>
      </c>
      <c r="G280" s="764">
        <f>SUM(G281:G283)</f>
        <v>37000</v>
      </c>
      <c r="H280" s="1132">
        <f>F280-G280</f>
        <v>0</v>
      </c>
      <c r="I280" s="1099"/>
      <c r="J280" s="501"/>
      <c r="K280" s="2276"/>
      <c r="L280" s="2276"/>
      <c r="M280" s="2276"/>
      <c r="N280" s="2276"/>
      <c r="O280" s="2276"/>
      <c r="P280" s="484"/>
      <c r="Q280" s="2276"/>
      <c r="R280" s="2276"/>
      <c r="S280" s="484"/>
      <c r="T280" s="2276"/>
      <c r="U280" s="2276"/>
      <c r="V280" s="484"/>
      <c r="W280" s="2276"/>
      <c r="X280" s="502"/>
      <c r="Y280" s="503"/>
      <c r="Z280" s="1128"/>
      <c r="AA280" s="907">
        <f t="shared" si="30"/>
        <v>37000000000</v>
      </c>
      <c r="AB280" s="505"/>
    </row>
    <row r="281" spans="1:28" ht="21.6" customHeight="1">
      <c r="A281" s="475"/>
      <c r="B281" s="1145"/>
      <c r="C281" s="1671"/>
      <c r="D281" s="1131"/>
      <c r="E281" s="828" t="s">
        <v>74</v>
      </c>
      <c r="F281" s="438">
        <f>+Y281</f>
        <v>17500</v>
      </c>
      <c r="G281" s="438">
        <v>17500</v>
      </c>
      <c r="H281" s="391"/>
      <c r="I281" s="1099"/>
      <c r="J281" s="2287" t="s">
        <v>2412</v>
      </c>
      <c r="K281" s="2282"/>
      <c r="L281" s="2282"/>
      <c r="M281" s="2282"/>
      <c r="N281" s="2282"/>
      <c r="O281" s="2282"/>
      <c r="P281" s="2278"/>
      <c r="Q281" s="2278">
        <v>1</v>
      </c>
      <c r="R281" s="2288" t="s">
        <v>23</v>
      </c>
      <c r="S281" s="2288">
        <v>2500000</v>
      </c>
      <c r="T281" s="2288" t="s">
        <v>0</v>
      </c>
      <c r="U281" s="2278"/>
      <c r="V281" s="2288">
        <v>7</v>
      </c>
      <c r="W281" s="2288" t="s">
        <v>1716</v>
      </c>
      <c r="X281" s="1140" t="s">
        <v>1</v>
      </c>
      <c r="Y281" s="1674">
        <f>+Q281*S281*V281/1000</f>
        <v>17500</v>
      </c>
      <c r="Z281" s="1128"/>
      <c r="AA281" s="907">
        <f t="shared" si="30"/>
        <v>17500000000</v>
      </c>
      <c r="AB281" s="505"/>
    </row>
    <row r="282" spans="1:28" ht="21.6" customHeight="1">
      <c r="A282" s="475"/>
      <c r="B282" s="1145"/>
      <c r="C282" s="1671"/>
      <c r="D282" s="1131"/>
      <c r="E282" s="389" t="s">
        <v>73</v>
      </c>
      <c r="F282" s="438">
        <f>Y282</f>
        <v>4100</v>
      </c>
      <c r="G282" s="438">
        <v>4100</v>
      </c>
      <c r="H282" s="482"/>
      <c r="I282" s="1099"/>
      <c r="J282" s="2287" t="s">
        <v>2422</v>
      </c>
      <c r="K282" s="2282"/>
      <c r="L282" s="2282"/>
      <c r="M282" s="2282"/>
      <c r="N282" s="2278"/>
      <c r="O282" s="2278"/>
      <c r="P282" s="2278"/>
      <c r="Q282" s="2288"/>
      <c r="R282" s="2262"/>
      <c r="S282" s="2288">
        <v>2050000</v>
      </c>
      <c r="T282" s="2288" t="s">
        <v>0</v>
      </c>
      <c r="U282" s="2278"/>
      <c r="V282" s="2288">
        <v>2</v>
      </c>
      <c r="W282" s="2288" t="s">
        <v>3</v>
      </c>
      <c r="X282" s="1140" t="s">
        <v>1</v>
      </c>
      <c r="Y282" s="1674">
        <f>+S282*V282/1000</f>
        <v>4100</v>
      </c>
      <c r="Z282" s="1128"/>
      <c r="AA282" s="907">
        <f t="shared" si="30"/>
        <v>4100000000</v>
      </c>
      <c r="AB282" s="505"/>
    </row>
    <row r="283" spans="1:28" ht="21.6" customHeight="1">
      <c r="A283" s="475"/>
      <c r="B283" s="1145"/>
      <c r="C283" s="1671"/>
      <c r="D283" s="1131"/>
      <c r="E283" s="389" t="s">
        <v>75</v>
      </c>
      <c r="F283" s="438">
        <f>Y283</f>
        <v>15400</v>
      </c>
      <c r="G283" s="438">
        <v>15400</v>
      </c>
      <c r="H283" s="482"/>
      <c r="I283" s="1099"/>
      <c r="J283" s="2287" t="s">
        <v>2423</v>
      </c>
      <c r="K283" s="2282"/>
      <c r="L283" s="2282"/>
      <c r="M283" s="2282"/>
      <c r="N283" s="2282"/>
      <c r="O283" s="2282"/>
      <c r="P283" s="2278"/>
      <c r="Q283" s="2288"/>
      <c r="R283" s="2262"/>
      <c r="S283" s="2288">
        <v>3080000</v>
      </c>
      <c r="T283" s="2288" t="s">
        <v>0</v>
      </c>
      <c r="U283" s="2278"/>
      <c r="V283" s="2288">
        <v>5</v>
      </c>
      <c r="W283" s="2288" t="s">
        <v>1710</v>
      </c>
      <c r="X283" s="1140" t="s">
        <v>1</v>
      </c>
      <c r="Y283" s="1674">
        <f>+S283*V283/1000</f>
        <v>15400</v>
      </c>
      <c r="Z283" s="1128"/>
      <c r="AA283" s="907">
        <f t="shared" si="30"/>
        <v>15400000000</v>
      </c>
      <c r="AB283" s="505"/>
    </row>
    <row r="284" spans="1:28" ht="21.6" customHeight="1">
      <c r="A284" s="2274"/>
      <c r="B284" s="471"/>
      <c r="C284" s="465"/>
      <c r="D284" s="3275" t="s">
        <v>2424</v>
      </c>
      <c r="E284" s="3276"/>
      <c r="F284" s="764">
        <f>SUM(F285:F292)</f>
        <v>28000</v>
      </c>
      <c r="G284" s="764">
        <f>SUM(G285:G292)</f>
        <v>28000</v>
      </c>
      <c r="H284" s="1132">
        <f>F284-G284</f>
        <v>0</v>
      </c>
      <c r="I284" s="1099"/>
      <c r="J284" s="501"/>
      <c r="K284" s="2276"/>
      <c r="L284" s="2276"/>
      <c r="M284" s="2276"/>
      <c r="N284" s="2276"/>
      <c r="O284" s="2276"/>
      <c r="P284" s="484"/>
      <c r="Q284" s="2276"/>
      <c r="R284" s="2276"/>
      <c r="S284" s="484"/>
      <c r="T284" s="2276"/>
      <c r="U284" s="2276"/>
      <c r="V284" s="484"/>
      <c r="W284" s="2276"/>
      <c r="X284" s="502"/>
      <c r="Y284" s="503"/>
      <c r="Z284" s="1128"/>
      <c r="AA284" s="907">
        <f t="shared" si="30"/>
        <v>28000000000</v>
      </c>
      <c r="AB284" s="505"/>
    </row>
    <row r="285" spans="1:28" ht="21.6" customHeight="1">
      <c r="A285" s="475"/>
      <c r="B285" s="1145"/>
      <c r="C285" s="1671"/>
      <c r="D285" s="875"/>
      <c r="E285" s="1134" t="s">
        <v>51</v>
      </c>
      <c r="F285" s="438">
        <f>+Y285</f>
        <v>2500</v>
      </c>
      <c r="G285" s="438">
        <v>2500</v>
      </c>
      <c r="H285" s="482"/>
      <c r="I285" s="2187"/>
      <c r="J285" s="2287" t="s">
        <v>8</v>
      </c>
      <c r="K285" s="2282"/>
      <c r="L285" s="2282"/>
      <c r="M285" s="2282"/>
      <c r="N285" s="1675"/>
      <c r="O285" s="1675"/>
      <c r="P285" s="1675"/>
      <c r="Q285" s="1675"/>
      <c r="R285" s="1675"/>
      <c r="S285" s="1675"/>
      <c r="T285" s="1675"/>
      <c r="U285" s="1675"/>
      <c r="V285" s="1675"/>
      <c r="W285" s="1675"/>
      <c r="X285" s="1675"/>
      <c r="Y285" s="1674">
        <f>SUM(Y286:Y287)</f>
        <v>2500</v>
      </c>
      <c r="Z285" s="1128"/>
      <c r="AA285" s="907">
        <f t="shared" si="30"/>
        <v>2500000000</v>
      </c>
      <c r="AB285" s="505"/>
    </row>
    <row r="286" spans="1:28" ht="21.6" customHeight="1">
      <c r="A286" s="475"/>
      <c r="B286" s="1145"/>
      <c r="C286" s="1671"/>
      <c r="D286" s="875"/>
      <c r="E286" s="1675"/>
      <c r="F286" s="1955"/>
      <c r="G286" s="1955"/>
      <c r="H286" s="2188"/>
      <c r="I286" s="2187"/>
      <c r="J286" s="2287" t="s">
        <v>2425</v>
      </c>
      <c r="K286" s="2282"/>
      <c r="L286" s="2282"/>
      <c r="M286" s="2282"/>
      <c r="N286" s="1675"/>
      <c r="O286" s="1675"/>
      <c r="P286" s="1675"/>
      <c r="Q286" s="1675"/>
      <c r="R286" s="1675"/>
      <c r="S286" s="2288">
        <v>500000</v>
      </c>
      <c r="T286" s="2288" t="s">
        <v>0</v>
      </c>
      <c r="U286" s="2288"/>
      <c r="V286" s="2288">
        <v>1</v>
      </c>
      <c r="W286" s="2288" t="s">
        <v>1722</v>
      </c>
      <c r="X286" s="765" t="s">
        <v>1</v>
      </c>
      <c r="Y286" s="1674">
        <f>S286*V286/1000</f>
        <v>500</v>
      </c>
      <c r="Z286" s="1128"/>
      <c r="AA286" s="907">
        <f t="shared" si="30"/>
        <v>0</v>
      </c>
      <c r="AB286" s="505"/>
    </row>
    <row r="287" spans="1:28" ht="21.6" customHeight="1">
      <c r="A287" s="475"/>
      <c r="B287" s="1145"/>
      <c r="C287" s="1671"/>
      <c r="D287" s="875"/>
      <c r="E287" s="1675"/>
      <c r="F287" s="1955"/>
      <c r="G287" s="1955"/>
      <c r="H287" s="2188"/>
      <c r="I287" s="2187"/>
      <c r="J287" s="2287" t="s">
        <v>2426</v>
      </c>
      <c r="K287" s="2282"/>
      <c r="L287" s="2282"/>
      <c r="M287" s="2282"/>
      <c r="N287" s="1675"/>
      <c r="O287" s="1675"/>
      <c r="P287" s="1675"/>
      <c r="Q287" s="2288"/>
      <c r="R287" s="2262"/>
      <c r="S287" s="2288">
        <v>2000</v>
      </c>
      <c r="T287" s="2288" t="s">
        <v>0</v>
      </c>
      <c r="U287" s="2278"/>
      <c r="V287" s="2288">
        <v>1000</v>
      </c>
      <c r="W287" s="2288" t="s">
        <v>63</v>
      </c>
      <c r="X287" s="1140" t="s">
        <v>1</v>
      </c>
      <c r="Y287" s="1674">
        <f>S287*V287/1000</f>
        <v>2000</v>
      </c>
      <c r="Z287" s="1128"/>
      <c r="AA287" s="907">
        <f t="shared" si="30"/>
        <v>0</v>
      </c>
      <c r="AB287" s="505"/>
    </row>
    <row r="288" spans="1:28" ht="21.6" customHeight="1">
      <c r="A288" s="475"/>
      <c r="B288" s="1145"/>
      <c r="C288" s="1671"/>
      <c r="D288" s="1131"/>
      <c r="E288" s="1134" t="s">
        <v>52</v>
      </c>
      <c r="F288" s="438">
        <f>+Y288</f>
        <v>25000</v>
      </c>
      <c r="G288" s="438">
        <v>25000</v>
      </c>
      <c r="H288" s="482"/>
      <c r="I288" s="2187"/>
      <c r="J288" s="2287" t="s">
        <v>8</v>
      </c>
      <c r="K288" s="2282"/>
      <c r="L288" s="2282"/>
      <c r="M288" s="2282"/>
      <c r="N288" s="2278"/>
      <c r="O288" s="1675"/>
      <c r="P288" s="1675"/>
      <c r="Q288" s="1675"/>
      <c r="R288" s="1675"/>
      <c r="S288" s="1675"/>
      <c r="T288" s="1675"/>
      <c r="U288" s="1675"/>
      <c r="V288" s="1675"/>
      <c r="W288" s="1675"/>
      <c r="X288" s="1675"/>
      <c r="Y288" s="1674">
        <f>SUM(Y289:Y291)</f>
        <v>25000</v>
      </c>
      <c r="Z288" s="1128"/>
      <c r="AA288" s="907">
        <f t="shared" si="30"/>
        <v>25000000000</v>
      </c>
      <c r="AB288" s="505"/>
    </row>
    <row r="289" spans="1:29" ht="21.6" customHeight="1">
      <c r="A289" s="475"/>
      <c r="B289" s="1145"/>
      <c r="C289" s="1671"/>
      <c r="D289" s="1131"/>
      <c r="E289" s="1675"/>
      <c r="F289" s="1955"/>
      <c r="G289" s="1955"/>
      <c r="H289" s="2188"/>
      <c r="I289" s="2187"/>
      <c r="J289" s="2287" t="s">
        <v>2427</v>
      </c>
      <c r="K289" s="2282"/>
      <c r="L289" s="2282"/>
      <c r="M289" s="2282"/>
      <c r="N289" s="2282"/>
      <c r="O289" s="1675"/>
      <c r="P289" s="1675"/>
      <c r="Q289" s="2288">
        <v>12</v>
      </c>
      <c r="R289" s="2288" t="s">
        <v>30</v>
      </c>
      <c r="S289" s="2288">
        <v>10000</v>
      </c>
      <c r="T289" s="2288" t="s">
        <v>0</v>
      </c>
      <c r="U289" s="2278"/>
      <c r="V289" s="2288">
        <v>100</v>
      </c>
      <c r="W289" s="2288" t="s">
        <v>2428</v>
      </c>
      <c r="X289" s="1140" t="s">
        <v>1</v>
      </c>
      <c r="Y289" s="1674">
        <f>+Q289*S289*V289/1000</f>
        <v>12000</v>
      </c>
      <c r="Z289" s="1128"/>
      <c r="AA289" s="907">
        <f t="shared" si="30"/>
        <v>0</v>
      </c>
      <c r="AB289" s="505"/>
    </row>
    <row r="290" spans="1:29" ht="21.6" customHeight="1">
      <c r="A290" s="475"/>
      <c r="B290" s="1145"/>
      <c r="C290" s="1671"/>
      <c r="D290" s="1131"/>
      <c r="E290" s="1675"/>
      <c r="F290" s="1955"/>
      <c r="G290" s="1955"/>
      <c r="H290" s="2188"/>
      <c r="I290" s="2187"/>
      <c r="J290" s="2287" t="s">
        <v>2429</v>
      </c>
      <c r="K290" s="2282"/>
      <c r="L290" s="2282"/>
      <c r="M290" s="2282"/>
      <c r="N290" s="2282"/>
      <c r="O290" s="1675"/>
      <c r="P290" s="1675"/>
      <c r="Q290" s="2288">
        <v>40</v>
      </c>
      <c r="R290" s="2262" t="s">
        <v>23</v>
      </c>
      <c r="S290" s="2288">
        <v>20000</v>
      </c>
      <c r="T290" s="2288" t="s">
        <v>0</v>
      </c>
      <c r="U290" s="2278"/>
      <c r="V290" s="2288">
        <v>10</v>
      </c>
      <c r="W290" s="2288" t="s">
        <v>2428</v>
      </c>
      <c r="X290" s="1140" t="s">
        <v>1</v>
      </c>
      <c r="Y290" s="1674">
        <f>+Q290*S290*V290/1000</f>
        <v>8000</v>
      </c>
      <c r="Z290" s="1128"/>
      <c r="AA290" s="907">
        <f t="shared" si="30"/>
        <v>0</v>
      </c>
      <c r="AB290" s="505"/>
    </row>
    <row r="291" spans="1:29" ht="21.6" customHeight="1">
      <c r="A291" s="475"/>
      <c r="B291" s="1145"/>
      <c r="C291" s="1671"/>
      <c r="D291" s="1131"/>
      <c r="E291" s="1675"/>
      <c r="F291" s="1955"/>
      <c r="G291" s="1955"/>
      <c r="H291" s="2188"/>
      <c r="I291" s="2187"/>
      <c r="J291" s="2287" t="s">
        <v>2430</v>
      </c>
      <c r="K291" s="2282"/>
      <c r="L291" s="2282"/>
      <c r="M291" s="2282"/>
      <c r="N291" s="2282"/>
      <c r="O291" s="1675"/>
      <c r="P291" s="1675"/>
      <c r="Q291" s="2288">
        <v>10</v>
      </c>
      <c r="R291" s="2262" t="s">
        <v>23</v>
      </c>
      <c r="S291" s="2288">
        <v>250000</v>
      </c>
      <c r="T291" s="2288" t="s">
        <v>0</v>
      </c>
      <c r="U291" s="2278"/>
      <c r="V291" s="2288">
        <v>2</v>
      </c>
      <c r="W291" s="2288" t="s">
        <v>3</v>
      </c>
      <c r="X291" s="1140" t="s">
        <v>1</v>
      </c>
      <c r="Y291" s="1674">
        <f>+Q291*S291*V291/1000</f>
        <v>5000</v>
      </c>
      <c r="Z291" s="1128"/>
      <c r="AA291" s="907">
        <f t="shared" si="30"/>
        <v>0</v>
      </c>
      <c r="AB291" s="505"/>
    </row>
    <row r="292" spans="1:29" ht="21.6" customHeight="1">
      <c r="A292" s="475"/>
      <c r="B292" s="1145"/>
      <c r="C292" s="1671"/>
      <c r="D292" s="1131"/>
      <c r="E292" s="1134" t="s">
        <v>55</v>
      </c>
      <c r="F292" s="438">
        <f>+Y292</f>
        <v>500</v>
      </c>
      <c r="G292" s="438">
        <v>500</v>
      </c>
      <c r="H292" s="482"/>
      <c r="I292" s="2187"/>
      <c r="J292" s="2899" t="s">
        <v>5832</v>
      </c>
      <c r="K292" s="2282"/>
      <c r="L292" s="2282"/>
      <c r="M292" s="2282"/>
      <c r="N292" s="1675"/>
      <c r="O292" s="1675"/>
      <c r="P292" s="1675"/>
      <c r="Q292" s="2288">
        <v>5</v>
      </c>
      <c r="R292" s="2288" t="s">
        <v>28</v>
      </c>
      <c r="S292" s="2288">
        <v>100000</v>
      </c>
      <c r="T292" s="2288" t="s">
        <v>0</v>
      </c>
      <c r="U292" s="2278"/>
      <c r="V292" s="2288">
        <v>1</v>
      </c>
      <c r="W292" s="2288" t="s">
        <v>1788</v>
      </c>
      <c r="X292" s="1140" t="s">
        <v>1</v>
      </c>
      <c r="Y292" s="1674">
        <f>+Q292*S292*V292/1000</f>
        <v>500</v>
      </c>
      <c r="Z292" s="1128"/>
      <c r="AA292" s="907">
        <f t="shared" si="30"/>
        <v>500000000</v>
      </c>
      <c r="AB292" s="505"/>
    </row>
    <row r="293" spans="1:29" ht="21.95" customHeight="1">
      <c r="A293" s="2274"/>
      <c r="B293" s="471"/>
      <c r="C293" s="465"/>
      <c r="D293" s="3275" t="s">
        <v>2431</v>
      </c>
      <c r="E293" s="3276"/>
      <c r="F293" s="764">
        <f>SUM(F294:F297)</f>
        <v>58000</v>
      </c>
      <c r="G293" s="764">
        <f>SUM(G294:G297)</f>
        <v>58000</v>
      </c>
      <c r="H293" s="1132">
        <f>F293-G293</f>
        <v>0</v>
      </c>
      <c r="I293" s="1099"/>
      <c r="J293" s="501"/>
      <c r="K293" s="2276"/>
      <c r="L293" s="2276"/>
      <c r="M293" s="2276"/>
      <c r="N293" s="2276"/>
      <c r="O293" s="2276"/>
      <c r="P293" s="484"/>
      <c r="Q293" s="2276"/>
      <c r="R293" s="2276"/>
      <c r="S293" s="484"/>
      <c r="T293" s="2276"/>
      <c r="U293" s="2276"/>
      <c r="V293" s="484"/>
      <c r="W293" s="2276"/>
      <c r="X293" s="502"/>
      <c r="Y293" s="503"/>
      <c r="Z293" s="1128"/>
      <c r="AA293" s="907">
        <f t="shared" si="30"/>
        <v>58000000000</v>
      </c>
      <c r="AB293" s="505"/>
    </row>
    <row r="294" spans="1:29" ht="21.95" customHeight="1">
      <c r="A294" s="475"/>
      <c r="B294" s="1145"/>
      <c r="C294" s="1671"/>
      <c r="D294" s="875"/>
      <c r="E294" s="828" t="s">
        <v>74</v>
      </c>
      <c r="F294" s="438">
        <f>+Y294</f>
        <v>45000</v>
      </c>
      <c r="G294" s="438">
        <v>45000</v>
      </c>
      <c r="H294" s="391"/>
      <c r="I294" s="1099"/>
      <c r="J294" s="2287" t="s">
        <v>2412</v>
      </c>
      <c r="K294" s="2282"/>
      <c r="L294" s="2282"/>
      <c r="M294" s="2282"/>
      <c r="N294" s="2282"/>
      <c r="O294" s="2282"/>
      <c r="P294" s="2278"/>
      <c r="Q294" s="2278">
        <v>2</v>
      </c>
      <c r="R294" s="2288" t="s">
        <v>23</v>
      </c>
      <c r="S294" s="2288">
        <v>2500000</v>
      </c>
      <c r="T294" s="2288" t="s">
        <v>0</v>
      </c>
      <c r="U294" s="2278"/>
      <c r="V294" s="2288">
        <v>9</v>
      </c>
      <c r="W294" s="2288" t="s">
        <v>1716</v>
      </c>
      <c r="X294" s="1140" t="s">
        <v>1</v>
      </c>
      <c r="Y294" s="1674">
        <f>+Q294*S294*V294/1000</f>
        <v>45000</v>
      </c>
      <c r="Z294" s="1128"/>
      <c r="AA294" s="907">
        <f t="shared" si="30"/>
        <v>45000000000</v>
      </c>
      <c r="AB294" s="505"/>
    </row>
    <row r="295" spans="1:29" ht="21.95" customHeight="1">
      <c r="A295" s="475"/>
      <c r="B295" s="1145"/>
      <c r="C295" s="1671"/>
      <c r="D295" s="875"/>
      <c r="E295" s="1134" t="s">
        <v>73</v>
      </c>
      <c r="F295" s="438">
        <f t="shared" ref="F295:F296" si="33">+Y295</f>
        <v>10000</v>
      </c>
      <c r="G295" s="438">
        <v>10000</v>
      </c>
      <c r="H295" s="391"/>
      <c r="I295" s="1099"/>
      <c r="J295" s="2287" t="s">
        <v>2432</v>
      </c>
      <c r="K295" s="2282"/>
      <c r="L295" s="2282"/>
      <c r="M295" s="2282"/>
      <c r="N295" s="2282"/>
      <c r="O295" s="2282"/>
      <c r="P295" s="2278"/>
      <c r="Q295" s="2278"/>
      <c r="R295" s="2288"/>
      <c r="S295" s="2288">
        <v>10000000</v>
      </c>
      <c r="T295" s="2288" t="s">
        <v>0</v>
      </c>
      <c r="U295" s="2278"/>
      <c r="V295" s="2288">
        <v>1</v>
      </c>
      <c r="W295" s="2288" t="s">
        <v>6</v>
      </c>
      <c r="X295" s="1140" t="s">
        <v>1</v>
      </c>
      <c r="Y295" s="1674">
        <f>+S295*V295/1000</f>
        <v>10000</v>
      </c>
      <c r="Z295" s="1128"/>
      <c r="AA295" s="907">
        <f t="shared" si="30"/>
        <v>10000000000</v>
      </c>
      <c r="AB295" s="505"/>
    </row>
    <row r="296" spans="1:29" ht="21.95" customHeight="1">
      <c r="A296" s="475"/>
      <c r="B296" s="1145"/>
      <c r="C296" s="1671"/>
      <c r="D296" s="1131"/>
      <c r="E296" s="1134" t="s">
        <v>52</v>
      </c>
      <c r="F296" s="438">
        <f t="shared" si="33"/>
        <v>1800</v>
      </c>
      <c r="G296" s="438">
        <v>1800</v>
      </c>
      <c r="H296" s="482"/>
      <c r="I296" s="2187"/>
      <c r="J296" s="2287" t="s">
        <v>2433</v>
      </c>
      <c r="K296" s="2282"/>
      <c r="L296" s="2282"/>
      <c r="M296" s="2282"/>
      <c r="N296" s="2282"/>
      <c r="O296" s="1675"/>
      <c r="P296" s="1675"/>
      <c r="Q296" s="2288">
        <v>6</v>
      </c>
      <c r="R296" s="2262" t="s">
        <v>23</v>
      </c>
      <c r="S296" s="2288">
        <v>300000</v>
      </c>
      <c r="T296" s="2288" t="s">
        <v>0</v>
      </c>
      <c r="U296" s="2278"/>
      <c r="V296" s="2288">
        <v>1</v>
      </c>
      <c r="W296" s="2288" t="s">
        <v>3</v>
      </c>
      <c r="X296" s="1140" t="s">
        <v>1</v>
      </c>
      <c r="Y296" s="1674">
        <f>+Q296*S296*V296/1000</f>
        <v>1800</v>
      </c>
      <c r="Z296" s="1128"/>
      <c r="AA296" s="907">
        <f t="shared" si="30"/>
        <v>1800000000</v>
      </c>
      <c r="AB296" s="505"/>
    </row>
    <row r="297" spans="1:29" ht="21.95" customHeight="1">
      <c r="A297" s="475"/>
      <c r="B297" s="1145"/>
      <c r="C297" s="1671"/>
      <c r="D297" s="1131"/>
      <c r="E297" s="1134" t="s">
        <v>55</v>
      </c>
      <c r="F297" s="438">
        <f>+Y297</f>
        <v>1200</v>
      </c>
      <c r="G297" s="438">
        <v>1200</v>
      </c>
      <c r="H297" s="482"/>
      <c r="I297" s="2187"/>
      <c r="J297" s="2899" t="s">
        <v>5832</v>
      </c>
      <c r="K297" s="2282"/>
      <c r="L297" s="2282"/>
      <c r="M297" s="2282"/>
      <c r="N297" s="1675"/>
      <c r="O297" s="1675"/>
      <c r="P297" s="1675"/>
      <c r="Q297" s="2288">
        <v>2</v>
      </c>
      <c r="R297" s="2288" t="s">
        <v>2434</v>
      </c>
      <c r="S297" s="2288">
        <v>600000</v>
      </c>
      <c r="T297" s="2288" t="s">
        <v>0</v>
      </c>
      <c r="U297" s="2278"/>
      <c r="V297" s="2288">
        <v>1</v>
      </c>
      <c r="W297" s="2288" t="s">
        <v>1722</v>
      </c>
      <c r="X297" s="1140" t="s">
        <v>1</v>
      </c>
      <c r="Y297" s="1674">
        <f>+Q297*S297*V297/1000</f>
        <v>1200</v>
      </c>
      <c r="Z297" s="1128"/>
      <c r="AA297" s="907">
        <f t="shared" si="30"/>
        <v>1200000000</v>
      </c>
      <c r="AB297" s="505"/>
    </row>
    <row r="298" spans="1:29" ht="21.95" customHeight="1">
      <c r="A298" s="475"/>
      <c r="B298" s="1145"/>
      <c r="C298" s="462" t="s">
        <v>94</v>
      </c>
      <c r="D298" s="2286"/>
      <c r="E298" s="763"/>
      <c r="F298" s="764">
        <f>F326+F320+F310+F299</f>
        <v>175000</v>
      </c>
      <c r="G298" s="764">
        <f>G326+G320+G310+G299</f>
        <v>175000</v>
      </c>
      <c r="H298" s="1132">
        <f>F298-G298</f>
        <v>0</v>
      </c>
      <c r="I298" s="1099"/>
      <c r="J298" s="1135"/>
      <c r="K298" s="2254"/>
      <c r="L298" s="2254"/>
      <c r="M298" s="2254"/>
      <c r="N298" s="2254"/>
      <c r="O298" s="2254"/>
      <c r="P298" s="2276"/>
      <c r="Q298" s="1136"/>
      <c r="R298" s="1137"/>
      <c r="S298" s="1136"/>
      <c r="T298" s="1136"/>
      <c r="U298" s="2276"/>
      <c r="V298" s="1136"/>
      <c r="W298" s="1136"/>
      <c r="X298" s="1138"/>
      <c r="Y298" s="377"/>
      <c r="Z298" s="1128"/>
      <c r="AA298" s="907">
        <f t="shared" si="30"/>
        <v>175000000000</v>
      </c>
      <c r="AB298" s="505"/>
      <c r="AC298" s="357"/>
    </row>
    <row r="299" spans="1:29" ht="21.95" customHeight="1">
      <c r="A299" s="475"/>
      <c r="B299" s="1145"/>
      <c r="C299" s="1671"/>
      <c r="D299" s="3275" t="s">
        <v>95</v>
      </c>
      <c r="E299" s="3276"/>
      <c r="F299" s="931">
        <f>SUM(F300:F309)</f>
        <v>31000</v>
      </c>
      <c r="G299" s="931">
        <f>SUM(G300:G309)</f>
        <v>31000</v>
      </c>
      <c r="H299" s="1132">
        <f>F299-G299</f>
        <v>0</v>
      </c>
      <c r="I299" s="1099"/>
      <c r="J299" s="1129"/>
      <c r="K299" s="2801"/>
      <c r="L299" s="2801"/>
      <c r="M299" s="2801"/>
      <c r="N299" s="2801"/>
      <c r="O299" s="2801"/>
      <c r="P299" s="1130"/>
      <c r="Q299" s="2801"/>
      <c r="R299" s="2801"/>
      <c r="S299" s="1130"/>
      <c r="T299" s="2801"/>
      <c r="U299" s="2801"/>
      <c r="V299" s="1130"/>
      <c r="W299" s="2801"/>
      <c r="X299" s="1157"/>
      <c r="Y299" s="1158"/>
      <c r="Z299" s="2288"/>
      <c r="AA299" s="907"/>
      <c r="AB299" s="505"/>
      <c r="AC299" s="357"/>
    </row>
    <row r="300" spans="1:29" ht="21.95" customHeight="1">
      <c r="A300" s="475"/>
      <c r="B300" s="1145"/>
      <c r="C300" s="1671"/>
      <c r="D300" s="1131"/>
      <c r="E300" s="1134" t="s">
        <v>51</v>
      </c>
      <c r="F300" s="438">
        <f>+Y300</f>
        <v>8600</v>
      </c>
      <c r="G300" s="438">
        <v>11600</v>
      </c>
      <c r="H300" s="406">
        <f t="shared" ref="H300" si="34">F300-G300</f>
        <v>-3000</v>
      </c>
      <c r="I300" s="1099"/>
      <c r="J300" s="2899" t="s">
        <v>8</v>
      </c>
      <c r="K300" s="2889"/>
      <c r="L300" s="2889"/>
      <c r="M300" s="2889"/>
      <c r="N300" s="2357"/>
      <c r="O300" s="2357"/>
      <c r="P300" s="2357"/>
      <c r="Q300" s="2900"/>
      <c r="R300" s="2895"/>
      <c r="S300" s="2895" t="s">
        <v>19</v>
      </c>
      <c r="T300" s="2900" t="s">
        <v>19</v>
      </c>
      <c r="U300" s="2900" t="s">
        <v>19</v>
      </c>
      <c r="V300" s="2900" t="s">
        <v>19</v>
      </c>
      <c r="W300" s="2900" t="s">
        <v>19</v>
      </c>
      <c r="X300" s="1140" t="s">
        <v>19</v>
      </c>
      <c r="Y300" s="656">
        <f>+Y301+Y302+Y303</f>
        <v>8600</v>
      </c>
      <c r="Z300" s="984"/>
      <c r="AA300" s="907"/>
      <c r="AB300" s="505"/>
      <c r="AC300" s="357"/>
    </row>
    <row r="301" spans="1:29" ht="21.95" customHeight="1">
      <c r="A301" s="475"/>
      <c r="B301" s="1145"/>
      <c r="C301" s="1671"/>
      <c r="D301" s="1131"/>
      <c r="E301" s="1134"/>
      <c r="F301" s="438"/>
      <c r="G301" s="438"/>
      <c r="H301" s="406"/>
      <c r="I301" s="1099"/>
      <c r="J301" s="2899" t="s">
        <v>5310</v>
      </c>
      <c r="K301" s="2889"/>
      <c r="L301" s="2889"/>
      <c r="M301" s="2889"/>
      <c r="N301" s="2889"/>
      <c r="O301" s="2889"/>
      <c r="P301" s="2357"/>
      <c r="Q301" s="2357"/>
      <c r="R301" s="2900"/>
      <c r="S301" s="2900">
        <v>20000</v>
      </c>
      <c r="T301" s="2900" t="s">
        <v>0</v>
      </c>
      <c r="U301" s="2357"/>
      <c r="V301" s="2900">
        <v>150</v>
      </c>
      <c r="W301" s="2900" t="s">
        <v>63</v>
      </c>
      <c r="X301" s="1140" t="s">
        <v>1</v>
      </c>
      <c r="Y301" s="1674">
        <f t="shared" ref="Y301:Y307" si="35">+S301*V301/1000</f>
        <v>3000</v>
      </c>
      <c r="Z301" s="2288"/>
      <c r="AA301" s="907"/>
      <c r="AB301" s="505"/>
      <c r="AC301" s="357"/>
    </row>
    <row r="302" spans="1:29" ht="21.95" customHeight="1">
      <c r="A302" s="475"/>
      <c r="B302" s="1145"/>
      <c r="C302" s="1671"/>
      <c r="D302" s="1131"/>
      <c r="E302" s="1134"/>
      <c r="F302" s="438"/>
      <c r="G302" s="438"/>
      <c r="H302" s="406"/>
      <c r="I302" s="1099"/>
      <c r="J302" s="2899" t="s">
        <v>5311</v>
      </c>
      <c r="K302" s="2889"/>
      <c r="L302" s="2889"/>
      <c r="M302" s="2889"/>
      <c r="N302" s="2889"/>
      <c r="O302" s="2889"/>
      <c r="P302" s="2357"/>
      <c r="Q302" s="2357"/>
      <c r="R302" s="2900"/>
      <c r="S302" s="2900">
        <v>250</v>
      </c>
      <c r="T302" s="2900" t="s">
        <v>0</v>
      </c>
      <c r="U302" s="2357"/>
      <c r="V302" s="2897">
        <v>20000</v>
      </c>
      <c r="W302" s="2900" t="s">
        <v>63</v>
      </c>
      <c r="X302" s="1140" t="s">
        <v>1</v>
      </c>
      <c r="Y302" s="1674">
        <f t="shared" si="35"/>
        <v>5000</v>
      </c>
      <c r="Z302" s="2288"/>
      <c r="AA302" s="907"/>
      <c r="AB302" s="505"/>
      <c r="AC302" s="357"/>
    </row>
    <row r="303" spans="1:29" ht="21.95" customHeight="1">
      <c r="A303" s="475"/>
      <c r="B303" s="1145"/>
      <c r="C303" s="1671"/>
      <c r="D303" s="1131"/>
      <c r="E303" s="1134"/>
      <c r="F303" s="438"/>
      <c r="G303" s="438"/>
      <c r="H303" s="406"/>
      <c r="I303" s="1099"/>
      <c r="J303" s="2899" t="s">
        <v>5312</v>
      </c>
      <c r="K303" s="2889"/>
      <c r="L303" s="2889"/>
      <c r="M303" s="2889"/>
      <c r="N303" s="2889"/>
      <c r="O303" s="2889"/>
      <c r="P303" s="2357"/>
      <c r="Q303" s="2357"/>
      <c r="R303" s="2900"/>
      <c r="S303" s="2900">
        <v>300</v>
      </c>
      <c r="T303" s="2900" t="s">
        <v>5216</v>
      </c>
      <c r="U303" s="2357"/>
      <c r="V303" s="2897">
        <v>2000</v>
      </c>
      <c r="W303" s="2900" t="s">
        <v>5313</v>
      </c>
      <c r="X303" s="1140" t="s">
        <v>5218</v>
      </c>
      <c r="Y303" s="1674">
        <f t="shared" si="35"/>
        <v>600</v>
      </c>
      <c r="Z303" s="2288"/>
      <c r="AA303" s="907"/>
      <c r="AB303" s="505"/>
      <c r="AC303" s="357"/>
    </row>
    <row r="304" spans="1:29" ht="21.95" customHeight="1">
      <c r="A304" s="475"/>
      <c r="B304" s="1145"/>
      <c r="C304" s="1671"/>
      <c r="D304" s="1131"/>
      <c r="E304" s="1134" t="s">
        <v>73</v>
      </c>
      <c r="F304" s="438">
        <f>+Y304</f>
        <v>5000</v>
      </c>
      <c r="G304" s="438">
        <v>2000</v>
      </c>
      <c r="H304" s="406">
        <f>F304-G304</f>
        <v>3000</v>
      </c>
      <c r="I304" s="1099"/>
      <c r="J304" s="2899" t="s">
        <v>96</v>
      </c>
      <c r="K304" s="2889"/>
      <c r="L304" s="2889"/>
      <c r="M304" s="2889"/>
      <c r="N304" s="2889"/>
      <c r="O304" s="2889"/>
      <c r="P304" s="2357"/>
      <c r="Q304" s="2357"/>
      <c r="R304" s="2900"/>
      <c r="S304" s="2900">
        <v>200000</v>
      </c>
      <c r="T304" s="2900" t="s">
        <v>0</v>
      </c>
      <c r="U304" s="2357"/>
      <c r="V304" s="2900">
        <v>25</v>
      </c>
      <c r="W304" s="2900" t="s">
        <v>3</v>
      </c>
      <c r="X304" s="1140" t="s">
        <v>1</v>
      </c>
      <c r="Y304" s="1674">
        <f t="shared" si="35"/>
        <v>5000</v>
      </c>
      <c r="Z304" s="2288"/>
      <c r="AA304" s="907"/>
      <c r="AB304" s="505"/>
      <c r="AC304" s="357"/>
    </row>
    <row r="305" spans="1:29" ht="21.95" customHeight="1">
      <c r="A305" s="475"/>
      <c r="B305" s="1145"/>
      <c r="C305" s="413"/>
      <c r="D305" s="1131"/>
      <c r="E305" s="1134"/>
      <c r="F305" s="438"/>
      <c r="G305" s="438"/>
      <c r="H305" s="406"/>
      <c r="I305" s="1099"/>
      <c r="J305" s="2899" t="s">
        <v>96</v>
      </c>
      <c r="K305" s="2889"/>
      <c r="L305" s="2889"/>
      <c r="M305" s="2889"/>
      <c r="N305" s="2889"/>
      <c r="O305" s="2889"/>
      <c r="P305" s="2357"/>
      <c r="Q305" s="2357"/>
      <c r="R305" s="2900"/>
      <c r="S305" s="2900">
        <v>200000</v>
      </c>
      <c r="T305" s="2900" t="s">
        <v>0</v>
      </c>
      <c r="U305" s="2357"/>
      <c r="V305" s="2900">
        <v>10</v>
      </c>
      <c r="W305" s="2900" t="s">
        <v>3</v>
      </c>
      <c r="X305" s="1140" t="s">
        <v>1</v>
      </c>
      <c r="Y305" s="1674">
        <f t="shared" si="35"/>
        <v>2000</v>
      </c>
      <c r="Z305" s="2288"/>
      <c r="AA305" s="907"/>
      <c r="AB305" s="505"/>
      <c r="AC305" s="357"/>
    </row>
    <row r="306" spans="1:29" ht="21.95" customHeight="1">
      <c r="A306" s="475"/>
      <c r="B306" s="1145"/>
      <c r="C306" s="413"/>
      <c r="D306" s="1131"/>
      <c r="E306" s="1134" t="s">
        <v>65</v>
      </c>
      <c r="F306" s="438">
        <f t="shared" ref="F306:F309" si="36">+Y306</f>
        <v>14150</v>
      </c>
      <c r="G306" s="438">
        <v>14150</v>
      </c>
      <c r="H306" s="406"/>
      <c r="I306" s="1099"/>
      <c r="J306" s="2899" t="s">
        <v>97</v>
      </c>
      <c r="K306" s="2889"/>
      <c r="L306" s="2889"/>
      <c r="M306" s="2889"/>
      <c r="N306" s="2889"/>
      <c r="O306" s="2889"/>
      <c r="P306" s="2357"/>
      <c r="Q306" s="2357"/>
      <c r="R306" s="2900"/>
      <c r="S306" s="2900">
        <v>1415000</v>
      </c>
      <c r="T306" s="2900" t="s">
        <v>0</v>
      </c>
      <c r="U306" s="2357"/>
      <c r="V306" s="2900">
        <v>10</v>
      </c>
      <c r="W306" s="2900" t="s">
        <v>3</v>
      </c>
      <c r="X306" s="1140" t="s">
        <v>1</v>
      </c>
      <c r="Y306" s="1674">
        <f t="shared" si="35"/>
        <v>14150</v>
      </c>
      <c r="Z306" s="984"/>
      <c r="AA306" s="907"/>
      <c r="AB306" s="505"/>
      <c r="AC306" s="357"/>
    </row>
    <row r="307" spans="1:29" ht="21.95" customHeight="1">
      <c r="A307" s="475"/>
      <c r="B307" s="1145"/>
      <c r="C307" s="413"/>
      <c r="D307" s="1131"/>
      <c r="E307" s="1134" t="s">
        <v>54</v>
      </c>
      <c r="F307" s="438">
        <f t="shared" si="36"/>
        <v>50</v>
      </c>
      <c r="G307" s="438">
        <v>50</v>
      </c>
      <c r="H307" s="406"/>
      <c r="I307" s="1099"/>
      <c r="J307" s="2899" t="s">
        <v>98</v>
      </c>
      <c r="K307" s="2889"/>
      <c r="L307" s="2889"/>
      <c r="M307" s="2889"/>
      <c r="N307" s="2889"/>
      <c r="O307" s="2889"/>
      <c r="P307" s="2357"/>
      <c r="Q307" s="2357"/>
      <c r="R307" s="2900"/>
      <c r="S307" s="2900">
        <v>5000</v>
      </c>
      <c r="T307" s="2900" t="s">
        <v>0</v>
      </c>
      <c r="U307" s="2357"/>
      <c r="V307" s="2900">
        <v>10</v>
      </c>
      <c r="W307" s="2900" t="s">
        <v>3</v>
      </c>
      <c r="X307" s="1140" t="s">
        <v>1</v>
      </c>
      <c r="Y307" s="1674">
        <f t="shared" si="35"/>
        <v>50</v>
      </c>
      <c r="Z307" s="2288"/>
      <c r="AA307" s="907"/>
      <c r="AB307" s="505"/>
      <c r="AC307" s="357"/>
    </row>
    <row r="308" spans="1:29" s="1155" customFormat="1" ht="21.95" customHeight="1">
      <c r="A308" s="475"/>
      <c r="B308" s="1145"/>
      <c r="C308" s="413"/>
      <c r="D308" s="1148"/>
      <c r="E308" s="1134" t="s">
        <v>602</v>
      </c>
      <c r="F308" s="438">
        <f t="shared" ref="F308" si="37">+Y308</f>
        <v>2400</v>
      </c>
      <c r="G308" s="438">
        <v>2400</v>
      </c>
      <c r="H308" s="406"/>
      <c r="I308" s="1099"/>
      <c r="J308" s="2899" t="s">
        <v>5315</v>
      </c>
      <c r="K308" s="2889"/>
      <c r="L308" s="2889"/>
      <c r="M308" s="2889"/>
      <c r="N308" s="2889"/>
      <c r="O308" s="2889"/>
      <c r="P308" s="2357"/>
      <c r="Q308" s="2357"/>
      <c r="R308" s="2900"/>
      <c r="S308" s="2900">
        <v>600000</v>
      </c>
      <c r="T308" s="2900" t="s">
        <v>0</v>
      </c>
      <c r="U308" s="2357"/>
      <c r="V308" s="2900">
        <v>4</v>
      </c>
      <c r="W308" s="2900" t="s">
        <v>3</v>
      </c>
      <c r="X308" s="1140" t="s">
        <v>1</v>
      </c>
      <c r="Y308" s="1674">
        <f>+S308*V308/1000</f>
        <v>2400</v>
      </c>
      <c r="Z308" s="843"/>
      <c r="AA308" s="907"/>
      <c r="AB308" s="505"/>
      <c r="AC308" s="1143"/>
    </row>
    <row r="309" spans="1:29" ht="21.95" customHeight="1">
      <c r="A309" s="475"/>
      <c r="B309" s="1145"/>
      <c r="C309" s="413"/>
      <c r="D309" s="1148"/>
      <c r="E309" s="855" t="s">
        <v>55</v>
      </c>
      <c r="F309" s="931">
        <f t="shared" si="36"/>
        <v>800</v>
      </c>
      <c r="G309" s="931">
        <v>800</v>
      </c>
      <c r="H309" s="406"/>
      <c r="I309" s="1099"/>
      <c r="J309" s="1627" t="s">
        <v>5314</v>
      </c>
      <c r="K309" s="2883"/>
      <c r="L309" s="2883"/>
      <c r="M309" s="2883"/>
      <c r="N309" s="2801"/>
      <c r="O309" s="2801"/>
      <c r="P309" s="2801"/>
      <c r="Q309" s="459"/>
      <c r="R309" s="457"/>
      <c r="S309" s="459">
        <v>200000</v>
      </c>
      <c r="T309" s="459" t="s">
        <v>0</v>
      </c>
      <c r="U309" s="2801"/>
      <c r="V309" s="459">
        <v>4</v>
      </c>
      <c r="W309" s="459" t="s">
        <v>3</v>
      </c>
      <c r="X309" s="460" t="s">
        <v>1</v>
      </c>
      <c r="Y309" s="345">
        <f>+S309*+V309/1000</f>
        <v>800</v>
      </c>
      <c r="Z309" s="2288"/>
      <c r="AA309" s="907"/>
      <c r="AB309" s="505"/>
      <c r="AC309" s="357"/>
    </row>
    <row r="310" spans="1:29" s="1155" customFormat="1" ht="21.95" customHeight="1">
      <c r="A310" s="475"/>
      <c r="B310" s="1145"/>
      <c r="C310" s="413"/>
      <c r="D310" s="3275" t="s">
        <v>99</v>
      </c>
      <c r="E310" s="3274"/>
      <c r="F310" s="931">
        <f>SUM(F311:F319)</f>
        <v>41000</v>
      </c>
      <c r="G310" s="931">
        <f>SUM(G311:G319)</f>
        <v>41000</v>
      </c>
      <c r="H310" s="1132">
        <f>F310-G310</f>
        <v>0</v>
      </c>
      <c r="I310" s="1099"/>
      <c r="J310" s="1129"/>
      <c r="K310" s="2285"/>
      <c r="L310" s="2285"/>
      <c r="M310" s="2285"/>
      <c r="N310" s="2285"/>
      <c r="O310" s="2285"/>
      <c r="P310" s="1130"/>
      <c r="Q310" s="2285"/>
      <c r="R310" s="2285"/>
      <c r="S310" s="1130"/>
      <c r="T310" s="2285"/>
      <c r="U310" s="2285"/>
      <c r="V310" s="1130"/>
      <c r="W310" s="2285"/>
      <c r="X310" s="1157"/>
      <c r="Y310" s="1158"/>
      <c r="Z310" s="2288"/>
      <c r="AA310" s="907">
        <f t="shared" si="30"/>
        <v>41000000000</v>
      </c>
      <c r="AB310" s="505"/>
      <c r="AC310" s="1143"/>
    </row>
    <row r="311" spans="1:29" s="1155" customFormat="1" ht="21.95" customHeight="1">
      <c r="A311" s="475"/>
      <c r="B311" s="1145"/>
      <c r="C311" s="413"/>
      <c r="D311" s="367"/>
      <c r="E311" s="1134" t="s">
        <v>24</v>
      </c>
      <c r="F311" s="438">
        <f>+Y311</f>
        <v>100</v>
      </c>
      <c r="G311" s="932">
        <v>100</v>
      </c>
      <c r="H311" s="766"/>
      <c r="I311" s="1099"/>
      <c r="J311" s="2287" t="s">
        <v>100</v>
      </c>
      <c r="K311" s="2282"/>
      <c r="L311" s="2282"/>
      <c r="M311" s="2282"/>
      <c r="N311" s="2282"/>
      <c r="O311" s="2282"/>
      <c r="P311" s="2278"/>
      <c r="Q311" s="2278"/>
      <c r="R311" s="2288"/>
      <c r="S311" s="2288">
        <v>100000</v>
      </c>
      <c r="T311" s="2288" t="s">
        <v>0</v>
      </c>
      <c r="U311" s="2278"/>
      <c r="V311" s="2288">
        <v>1</v>
      </c>
      <c r="W311" s="2288" t="s">
        <v>3</v>
      </c>
      <c r="X311" s="1140" t="s">
        <v>1</v>
      </c>
      <c r="Y311" s="1674">
        <f>+S311*V311/1000</f>
        <v>100</v>
      </c>
      <c r="Z311" s="2288"/>
      <c r="AA311" s="907">
        <f t="shared" si="30"/>
        <v>100000000</v>
      </c>
      <c r="AB311" s="505"/>
      <c r="AC311" s="1143"/>
    </row>
    <row r="312" spans="1:29" s="1155" customFormat="1" ht="21.95" customHeight="1">
      <c r="A312" s="475"/>
      <c r="B312" s="1145"/>
      <c r="C312" s="413"/>
      <c r="D312" s="1131"/>
      <c r="E312" s="1134" t="s">
        <v>73</v>
      </c>
      <c r="F312" s="438">
        <f t="shared" ref="F312:F318" si="38">+Y312</f>
        <v>1600</v>
      </c>
      <c r="G312" s="438">
        <v>1600</v>
      </c>
      <c r="H312" s="766"/>
      <c r="I312" s="1099"/>
      <c r="J312" s="2287" t="s">
        <v>101</v>
      </c>
      <c r="K312" s="2282"/>
      <c r="L312" s="2282"/>
      <c r="M312" s="2282"/>
      <c r="N312" s="2282"/>
      <c r="O312" s="2282"/>
      <c r="P312" s="2278"/>
      <c r="Q312" s="2278"/>
      <c r="R312" s="2288"/>
      <c r="S312" s="2288">
        <v>100000</v>
      </c>
      <c r="T312" s="2288" t="s">
        <v>0</v>
      </c>
      <c r="U312" s="2278"/>
      <c r="V312" s="2288">
        <v>16</v>
      </c>
      <c r="W312" s="2288" t="s">
        <v>3</v>
      </c>
      <c r="X312" s="1140" t="s">
        <v>1</v>
      </c>
      <c r="Y312" s="1674">
        <f>+S312*V312/1000</f>
        <v>1600</v>
      </c>
      <c r="Z312" s="2288"/>
      <c r="AA312" s="907">
        <f t="shared" si="30"/>
        <v>1600000000</v>
      </c>
      <c r="AB312" s="505"/>
      <c r="AC312" s="1143"/>
    </row>
    <row r="313" spans="1:29" s="1675" customFormat="1" ht="21.95" customHeight="1">
      <c r="A313" s="475"/>
      <c r="B313" s="1145"/>
      <c r="C313" s="413"/>
      <c r="D313" s="1131"/>
      <c r="E313" s="1134" t="s">
        <v>52</v>
      </c>
      <c r="F313" s="438">
        <f t="shared" si="38"/>
        <v>36000</v>
      </c>
      <c r="G313" s="438">
        <v>36000</v>
      </c>
      <c r="H313" s="766"/>
      <c r="I313" s="1099"/>
      <c r="J313" s="2287" t="s">
        <v>8</v>
      </c>
      <c r="K313" s="2282"/>
      <c r="L313" s="2282"/>
      <c r="M313" s="2282"/>
      <c r="N313" s="2282"/>
      <c r="O313" s="2282"/>
      <c r="P313" s="2278"/>
      <c r="Q313" s="2288"/>
      <c r="R313" s="2262"/>
      <c r="S313" s="2262" t="s">
        <v>19</v>
      </c>
      <c r="T313" s="2288" t="s">
        <v>19</v>
      </c>
      <c r="U313" s="2288" t="s">
        <v>19</v>
      </c>
      <c r="V313" s="2288" t="s">
        <v>19</v>
      </c>
      <c r="W313" s="2288" t="s">
        <v>19</v>
      </c>
      <c r="X313" s="1140" t="s">
        <v>19</v>
      </c>
      <c r="Y313" s="656">
        <f>+Y314+Y315</f>
        <v>36000</v>
      </c>
      <c r="Z313" s="2288"/>
      <c r="AA313" s="907">
        <f t="shared" si="30"/>
        <v>36000000000</v>
      </c>
      <c r="AB313" s="505"/>
      <c r="AC313" s="347"/>
    </row>
    <row r="314" spans="1:29" s="1155" customFormat="1" ht="21.95" customHeight="1">
      <c r="A314" s="475"/>
      <c r="B314" s="1145"/>
      <c r="C314" s="413"/>
      <c r="D314" s="1131"/>
      <c r="E314" s="1134"/>
      <c r="F314" s="438"/>
      <c r="G314" s="438"/>
      <c r="H314" s="766"/>
      <c r="I314" s="1099"/>
      <c r="J314" s="2287" t="s">
        <v>2435</v>
      </c>
      <c r="K314" s="2282"/>
      <c r="L314" s="2282"/>
      <c r="M314" s="2282"/>
      <c r="N314" s="2282"/>
      <c r="O314" s="2282"/>
      <c r="P314" s="2278"/>
      <c r="Q314" s="2278">
        <v>5</v>
      </c>
      <c r="R314" s="2288" t="s">
        <v>23</v>
      </c>
      <c r="S314" s="2288">
        <v>20000</v>
      </c>
      <c r="T314" s="2288" t="s">
        <v>0</v>
      </c>
      <c r="U314" s="2278"/>
      <c r="V314" s="2288">
        <v>340</v>
      </c>
      <c r="W314" s="2288" t="s">
        <v>60</v>
      </c>
      <c r="X314" s="1140" t="s">
        <v>1</v>
      </c>
      <c r="Y314" s="1674">
        <f>+Q314*S314*V314/1000</f>
        <v>34000</v>
      </c>
      <c r="Z314" s="2288"/>
      <c r="AA314" s="907">
        <f t="shared" si="30"/>
        <v>0</v>
      </c>
      <c r="AB314" s="505"/>
      <c r="AC314" s="1143"/>
    </row>
    <row r="315" spans="1:29" s="1155" customFormat="1" ht="21.95" customHeight="1">
      <c r="A315" s="475"/>
      <c r="B315" s="1145"/>
      <c r="C315" s="413"/>
      <c r="D315" s="1131"/>
      <c r="E315" s="1134"/>
      <c r="F315" s="438"/>
      <c r="G315" s="438"/>
      <c r="H315" s="766"/>
      <c r="I315" s="1099"/>
      <c r="J315" s="2287" t="s">
        <v>2436</v>
      </c>
      <c r="K315" s="2282"/>
      <c r="L315" s="2282"/>
      <c r="M315" s="2282"/>
      <c r="N315" s="2282"/>
      <c r="O315" s="2282"/>
      <c r="P315" s="2278"/>
      <c r="Q315" s="2278">
        <v>4</v>
      </c>
      <c r="R315" s="2288" t="s">
        <v>23</v>
      </c>
      <c r="S315" s="2288">
        <v>250000</v>
      </c>
      <c r="T315" s="2288" t="s">
        <v>0</v>
      </c>
      <c r="U315" s="2278"/>
      <c r="V315" s="2288">
        <v>2</v>
      </c>
      <c r="W315" s="2288" t="s">
        <v>3</v>
      </c>
      <c r="X315" s="1140" t="s">
        <v>1</v>
      </c>
      <c r="Y315" s="1674">
        <f>+Q315*S315*V315/1000</f>
        <v>2000</v>
      </c>
      <c r="Z315" s="2288"/>
      <c r="AA315" s="907">
        <f t="shared" si="30"/>
        <v>0</v>
      </c>
      <c r="AB315" s="505"/>
      <c r="AC315" s="1143"/>
    </row>
    <row r="316" spans="1:29" s="1155" customFormat="1" ht="21.95" customHeight="1">
      <c r="A316" s="475"/>
      <c r="B316" s="1145"/>
      <c r="C316" s="413"/>
      <c r="D316" s="1131"/>
      <c r="E316" s="1134" t="s">
        <v>65</v>
      </c>
      <c r="F316" s="438">
        <f t="shared" si="38"/>
        <v>100</v>
      </c>
      <c r="G316" s="438">
        <v>100</v>
      </c>
      <c r="H316" s="766"/>
      <c r="I316" s="1099"/>
      <c r="J316" s="2287" t="s">
        <v>102</v>
      </c>
      <c r="K316" s="2282"/>
      <c r="L316" s="2282"/>
      <c r="M316" s="2282"/>
      <c r="N316" s="2282"/>
      <c r="O316" s="2282"/>
      <c r="P316" s="2278"/>
      <c r="Q316" s="2278"/>
      <c r="R316" s="2288"/>
      <c r="S316" s="2288">
        <v>100000</v>
      </c>
      <c r="T316" s="2288" t="s">
        <v>0</v>
      </c>
      <c r="U316" s="2278"/>
      <c r="V316" s="2288">
        <v>1</v>
      </c>
      <c r="W316" s="2288" t="s">
        <v>3</v>
      </c>
      <c r="X316" s="1140" t="s">
        <v>1</v>
      </c>
      <c r="Y316" s="1674">
        <f>+S316*V316/1000</f>
        <v>100</v>
      </c>
      <c r="Z316" s="2288"/>
      <c r="AA316" s="907">
        <f t="shared" si="30"/>
        <v>100000000</v>
      </c>
      <c r="AB316" s="505"/>
      <c r="AC316" s="1143"/>
    </row>
    <row r="317" spans="1:29" s="1155" customFormat="1" ht="21.95" customHeight="1">
      <c r="A317" s="475"/>
      <c r="B317" s="1145"/>
      <c r="C317" s="413"/>
      <c r="D317" s="1131"/>
      <c r="E317" s="1134" t="s">
        <v>64</v>
      </c>
      <c r="F317" s="438">
        <f t="shared" si="38"/>
        <v>1900</v>
      </c>
      <c r="G317" s="438">
        <v>1900</v>
      </c>
      <c r="H317" s="766"/>
      <c r="I317" s="1099"/>
      <c r="J317" s="2287" t="s">
        <v>2437</v>
      </c>
      <c r="K317" s="2282"/>
      <c r="L317" s="2282"/>
      <c r="M317" s="2282"/>
      <c r="N317" s="2282"/>
      <c r="O317" s="2282"/>
      <c r="P317" s="2278"/>
      <c r="Q317" s="2278"/>
      <c r="R317" s="2288"/>
      <c r="S317" s="2288">
        <v>950000</v>
      </c>
      <c r="T317" s="2288" t="s">
        <v>0</v>
      </c>
      <c r="U317" s="2278"/>
      <c r="V317" s="2288">
        <v>2</v>
      </c>
      <c r="W317" s="2288" t="s">
        <v>3</v>
      </c>
      <c r="X317" s="1140" t="s">
        <v>1</v>
      </c>
      <c r="Y317" s="1674">
        <f>+S317*V317/1000</f>
        <v>1900</v>
      </c>
      <c r="Z317" s="2288"/>
      <c r="AA317" s="907">
        <f t="shared" ref="AA317:AA341" si="39">F317*1000000</f>
        <v>1900000000</v>
      </c>
      <c r="AB317" s="505"/>
      <c r="AC317" s="1143"/>
    </row>
    <row r="318" spans="1:29" s="1155" customFormat="1" ht="21.95" customHeight="1">
      <c r="A318" s="475"/>
      <c r="B318" s="1145"/>
      <c r="C318" s="413"/>
      <c r="D318" s="1131"/>
      <c r="E318" s="1134" t="s">
        <v>56</v>
      </c>
      <c r="F318" s="438">
        <f t="shared" si="38"/>
        <v>300</v>
      </c>
      <c r="G318" s="438">
        <v>300</v>
      </c>
      <c r="H318" s="766"/>
      <c r="I318" s="1099"/>
      <c r="J318" s="2287" t="s">
        <v>103</v>
      </c>
      <c r="K318" s="2282"/>
      <c r="L318" s="2282"/>
      <c r="M318" s="2282"/>
      <c r="N318" s="2282"/>
      <c r="O318" s="2282"/>
      <c r="P318" s="2278"/>
      <c r="Q318" s="2278"/>
      <c r="R318" s="2288"/>
      <c r="S318" s="2288">
        <v>150000</v>
      </c>
      <c r="T318" s="2288" t="s">
        <v>0</v>
      </c>
      <c r="U318" s="2278"/>
      <c r="V318" s="2288">
        <v>2</v>
      </c>
      <c r="W318" s="2288" t="s">
        <v>3</v>
      </c>
      <c r="X318" s="1140" t="s">
        <v>1703</v>
      </c>
      <c r="Y318" s="1674">
        <f>+S318*V318/1000</f>
        <v>300</v>
      </c>
      <c r="Z318" s="2288"/>
      <c r="AA318" s="907">
        <f t="shared" si="39"/>
        <v>300000000</v>
      </c>
      <c r="AB318" s="505"/>
      <c r="AC318" s="1143"/>
    </row>
    <row r="319" spans="1:29" ht="21.95" customHeight="1">
      <c r="A319" s="475"/>
      <c r="B319" s="1145"/>
      <c r="C319" s="413"/>
      <c r="D319" s="453"/>
      <c r="E319" s="855" t="s">
        <v>55</v>
      </c>
      <c r="F319" s="931">
        <f>+Y319</f>
        <v>1000</v>
      </c>
      <c r="G319" s="931">
        <v>1000</v>
      </c>
      <c r="H319" s="935"/>
      <c r="I319" s="1099"/>
      <c r="J319" s="1627" t="s">
        <v>104</v>
      </c>
      <c r="K319" s="2260"/>
      <c r="L319" s="2260"/>
      <c r="M319" s="2260"/>
      <c r="N319" s="2285"/>
      <c r="O319" s="2285"/>
      <c r="P319" s="2285"/>
      <c r="Q319" s="459">
        <v>25</v>
      </c>
      <c r="R319" s="457" t="s">
        <v>23</v>
      </c>
      <c r="S319" s="459">
        <v>10000</v>
      </c>
      <c r="T319" s="459" t="s">
        <v>0</v>
      </c>
      <c r="U319" s="2285"/>
      <c r="V319" s="459">
        <v>4</v>
      </c>
      <c r="W319" s="459" t="s">
        <v>3</v>
      </c>
      <c r="X319" s="460" t="s">
        <v>1</v>
      </c>
      <c r="Y319" s="345">
        <f>+Q319*S319*V319/1000</f>
        <v>1000</v>
      </c>
      <c r="Z319" s="1128"/>
      <c r="AA319" s="907">
        <f t="shared" si="39"/>
        <v>1000000000</v>
      </c>
      <c r="AB319" s="505"/>
    </row>
    <row r="320" spans="1:29" ht="21.95" customHeight="1">
      <c r="A320" s="475"/>
      <c r="B320" s="1145"/>
      <c r="C320" s="413"/>
      <c r="D320" s="3273" t="s">
        <v>105</v>
      </c>
      <c r="E320" s="3274"/>
      <c r="F320" s="931">
        <f>SUM(F321:F325)</f>
        <v>63000</v>
      </c>
      <c r="G320" s="931">
        <f>SUM(G321:G325)</f>
        <v>63000</v>
      </c>
      <c r="H320" s="361">
        <f>F320-G320</f>
        <v>0</v>
      </c>
      <c r="I320" s="1099"/>
      <c r="J320" s="1129"/>
      <c r="K320" s="2285"/>
      <c r="L320" s="2285"/>
      <c r="M320" s="2285"/>
      <c r="N320" s="2285"/>
      <c r="O320" s="2285"/>
      <c r="P320" s="1130"/>
      <c r="Q320" s="2285"/>
      <c r="R320" s="2285"/>
      <c r="S320" s="1130"/>
      <c r="T320" s="2285"/>
      <c r="U320" s="2285"/>
      <c r="V320" s="1130"/>
      <c r="W320" s="2285"/>
      <c r="X320" s="1157"/>
      <c r="Y320" s="1158"/>
      <c r="Z320" s="1128">
        <f>F320*1000</f>
        <v>63000000</v>
      </c>
      <c r="AA320" s="907">
        <f t="shared" si="39"/>
        <v>63000000000</v>
      </c>
      <c r="AB320" s="505"/>
      <c r="AC320" s="357"/>
    </row>
    <row r="321" spans="1:340" ht="21.95" customHeight="1">
      <c r="A321" s="475"/>
      <c r="B321" s="1145"/>
      <c r="C321" s="413"/>
      <c r="D321" s="1131"/>
      <c r="E321" s="1134" t="s">
        <v>74</v>
      </c>
      <c r="F321" s="438">
        <f>+Y321</f>
        <v>30000</v>
      </c>
      <c r="G321" s="438">
        <v>30000</v>
      </c>
      <c r="H321" s="391"/>
      <c r="I321" s="1099"/>
      <c r="J321" s="514" t="s">
        <v>2438</v>
      </c>
      <c r="K321" s="2302"/>
      <c r="L321" s="2302"/>
      <c r="M321" s="2302"/>
      <c r="N321" s="2302"/>
      <c r="O321" s="2302"/>
      <c r="P321" s="1781"/>
      <c r="Q321" s="516">
        <v>1</v>
      </c>
      <c r="R321" s="1778" t="s">
        <v>23</v>
      </c>
      <c r="S321" s="516">
        <v>2500000</v>
      </c>
      <c r="T321" s="516" t="s">
        <v>0</v>
      </c>
      <c r="U321" s="1781"/>
      <c r="V321" s="516">
        <v>12</v>
      </c>
      <c r="W321" s="516" t="s">
        <v>2</v>
      </c>
      <c r="X321" s="517" t="s">
        <v>1</v>
      </c>
      <c r="Y321" s="636">
        <f>+Q321*S321*V321/1000</f>
        <v>30000</v>
      </c>
      <c r="Z321" s="535">
        <v>24000000</v>
      </c>
      <c r="AA321" s="2371">
        <f t="shared" si="39"/>
        <v>30000000000</v>
      </c>
      <c r="AB321" s="505"/>
      <c r="AC321" s="357"/>
    </row>
    <row r="322" spans="1:340" ht="21.95" customHeight="1">
      <c r="A322" s="475"/>
      <c r="B322" s="1145"/>
      <c r="C322" s="413"/>
      <c r="D322" s="1131"/>
      <c r="E322" s="1134" t="s">
        <v>224</v>
      </c>
      <c r="F322" s="438">
        <f t="shared" ref="F322" si="40">+Y322</f>
        <v>500</v>
      </c>
      <c r="G322" s="438">
        <v>500</v>
      </c>
      <c r="H322" s="391"/>
      <c r="I322" s="1099"/>
      <c r="J322" s="3304" t="s">
        <v>2439</v>
      </c>
      <c r="K322" s="3305"/>
      <c r="L322" s="3305"/>
      <c r="M322" s="2880"/>
      <c r="N322" s="2880"/>
      <c r="O322" s="2880"/>
      <c r="P322" s="2894"/>
      <c r="Q322" s="516"/>
      <c r="R322" s="2887"/>
      <c r="S322" s="516">
        <v>100000</v>
      </c>
      <c r="T322" s="516" t="s">
        <v>0</v>
      </c>
      <c r="U322" s="2894"/>
      <c r="V322" s="516">
        <v>5</v>
      </c>
      <c r="W322" s="516" t="s">
        <v>3</v>
      </c>
      <c r="X322" s="517" t="s">
        <v>5</v>
      </c>
      <c r="Y322" s="636">
        <f>S322*V322/1000</f>
        <v>500</v>
      </c>
      <c r="Z322" s="535">
        <v>2000000</v>
      </c>
      <c r="AA322" s="2371">
        <f t="shared" ref="AA322" si="41">F322*1000000</f>
        <v>500000000</v>
      </c>
      <c r="AB322" s="505"/>
      <c r="AC322" s="357"/>
    </row>
    <row r="323" spans="1:340" ht="21.95" customHeight="1">
      <c r="A323" s="475"/>
      <c r="B323" s="1145"/>
      <c r="C323" s="413"/>
      <c r="D323" s="1131"/>
      <c r="E323" s="1134" t="s">
        <v>106</v>
      </c>
      <c r="F323" s="438">
        <f t="shared" ref="F323:F325" si="42">+Y323</f>
        <v>1500</v>
      </c>
      <c r="G323" s="438">
        <v>1500</v>
      </c>
      <c r="H323" s="391"/>
      <c r="I323" s="1099"/>
      <c r="J323" s="514" t="s">
        <v>107</v>
      </c>
      <c r="K323" s="2302"/>
      <c r="L323" s="2302"/>
      <c r="M323" s="2302"/>
      <c r="N323" s="2302"/>
      <c r="O323" s="2302"/>
      <c r="P323" s="1781"/>
      <c r="Q323" s="516"/>
      <c r="R323" s="1778"/>
      <c r="S323" s="516">
        <v>10000</v>
      </c>
      <c r="T323" s="516" t="s">
        <v>0</v>
      </c>
      <c r="U323" s="1781"/>
      <c r="V323" s="516">
        <v>150</v>
      </c>
      <c r="W323" s="516" t="s">
        <v>108</v>
      </c>
      <c r="X323" s="517" t="s">
        <v>1</v>
      </c>
      <c r="Y323" s="636">
        <f>+S323*V323/1000</f>
        <v>1500</v>
      </c>
      <c r="Z323" s="535">
        <v>3000000</v>
      </c>
      <c r="AA323" s="2371">
        <f t="shared" si="39"/>
        <v>1500000000</v>
      </c>
      <c r="AB323" s="505"/>
      <c r="AC323" s="357"/>
    </row>
    <row r="324" spans="1:340" ht="21.95" customHeight="1">
      <c r="A324" s="475"/>
      <c r="B324" s="1145"/>
      <c r="C324" s="1671"/>
      <c r="D324" s="1144"/>
      <c r="E324" s="1134" t="s">
        <v>21</v>
      </c>
      <c r="F324" s="438">
        <f>Y324</f>
        <v>28000</v>
      </c>
      <c r="G324" s="438">
        <v>28000</v>
      </c>
      <c r="H324" s="391"/>
      <c r="I324" s="1099"/>
      <c r="J324" s="3304" t="s">
        <v>2781</v>
      </c>
      <c r="K324" s="3305"/>
      <c r="L324" s="3305"/>
      <c r="M324" s="2880"/>
      <c r="N324" s="2880"/>
      <c r="O324" s="2880"/>
      <c r="P324" s="2894"/>
      <c r="Q324" s="516"/>
      <c r="R324" s="2887"/>
      <c r="S324" s="516">
        <v>1000000</v>
      </c>
      <c r="T324" s="516" t="s">
        <v>0</v>
      </c>
      <c r="U324" s="2894"/>
      <c r="V324" s="516">
        <v>28</v>
      </c>
      <c r="W324" s="516" t="s">
        <v>288</v>
      </c>
      <c r="X324" s="517" t="s">
        <v>5</v>
      </c>
      <c r="Y324" s="636">
        <f>S324*V324/1000</f>
        <v>28000</v>
      </c>
      <c r="Z324" s="535">
        <v>2000000</v>
      </c>
      <c r="AA324" s="2371">
        <f t="shared" si="39"/>
        <v>28000000000</v>
      </c>
      <c r="AB324" s="505"/>
      <c r="AC324" s="357"/>
    </row>
    <row r="325" spans="1:340" ht="21.95" customHeight="1">
      <c r="A325" s="475"/>
      <c r="B325" s="1145"/>
      <c r="C325" s="1671"/>
      <c r="D325" s="1144"/>
      <c r="E325" s="1134" t="s">
        <v>2782</v>
      </c>
      <c r="F325" s="438">
        <f t="shared" si="42"/>
        <v>3000</v>
      </c>
      <c r="G325" s="438">
        <v>3000</v>
      </c>
      <c r="H325" s="391"/>
      <c r="I325" s="1099"/>
      <c r="J325" s="514" t="s">
        <v>2780</v>
      </c>
      <c r="K325" s="2302"/>
      <c r="L325" s="2302"/>
      <c r="M325" s="2302"/>
      <c r="N325" s="2302"/>
      <c r="O325" s="2302"/>
      <c r="P325" s="1781"/>
      <c r="Q325" s="516"/>
      <c r="R325" s="1778"/>
      <c r="S325" s="516">
        <v>3000000</v>
      </c>
      <c r="T325" s="516" t="s">
        <v>0</v>
      </c>
      <c r="U325" s="1781"/>
      <c r="V325" s="516">
        <v>1</v>
      </c>
      <c r="W325" s="516" t="s">
        <v>196</v>
      </c>
      <c r="X325" s="517" t="s">
        <v>1</v>
      </c>
      <c r="Y325" s="636">
        <f>+S325*V325/1000</f>
        <v>3000</v>
      </c>
      <c r="Z325" s="535">
        <v>3000000</v>
      </c>
      <c r="AA325" s="2371">
        <f t="shared" si="39"/>
        <v>3000000000</v>
      </c>
      <c r="AB325" s="505"/>
      <c r="AC325" s="357"/>
    </row>
    <row r="326" spans="1:340" ht="21.95" customHeight="1">
      <c r="A326" s="475"/>
      <c r="B326" s="1145"/>
      <c r="C326" s="1671"/>
      <c r="D326" s="3342" t="s">
        <v>1122</v>
      </c>
      <c r="E326" s="3343"/>
      <c r="F326" s="764">
        <f>F327</f>
        <v>40000</v>
      </c>
      <c r="G326" s="764">
        <f>G327</f>
        <v>40000</v>
      </c>
      <c r="H326" s="1132">
        <f>F326-G326</f>
        <v>0</v>
      </c>
      <c r="I326" s="1099"/>
      <c r="J326" s="1135"/>
      <c r="K326" s="2401"/>
      <c r="L326" s="2401"/>
      <c r="M326" s="2401"/>
      <c r="N326" s="2401"/>
      <c r="O326" s="2401"/>
      <c r="P326" s="2408"/>
      <c r="Q326" s="1136"/>
      <c r="R326" s="1137"/>
      <c r="S326" s="1136"/>
      <c r="T326" s="1136"/>
      <c r="U326" s="2408"/>
      <c r="V326" s="1136"/>
      <c r="W326" s="1136"/>
      <c r="X326" s="1138"/>
      <c r="Y326" s="377"/>
      <c r="Z326" s="1128"/>
      <c r="AA326" s="907">
        <f t="shared" ref="AA326" si="43">F326*1000000</f>
        <v>40000000000</v>
      </c>
      <c r="AB326" s="505"/>
      <c r="AC326" s="357"/>
    </row>
    <row r="327" spans="1:340" ht="21.95" customHeight="1">
      <c r="A327" s="475"/>
      <c r="B327" s="1145"/>
      <c r="C327" s="1671"/>
      <c r="D327" s="1725"/>
      <c r="E327" s="510" t="s">
        <v>214</v>
      </c>
      <c r="F327" s="438">
        <f>Y327</f>
        <v>40000</v>
      </c>
      <c r="G327" s="438">
        <v>40000</v>
      </c>
      <c r="H327" s="338"/>
      <c r="I327" s="1099"/>
      <c r="J327" s="514" t="s">
        <v>8</v>
      </c>
      <c r="K327" s="2402"/>
      <c r="L327" s="2402"/>
      <c r="M327" s="2402"/>
      <c r="N327" s="2402"/>
      <c r="O327" s="2402"/>
      <c r="P327" s="515"/>
      <c r="Q327" s="516"/>
      <c r="R327" s="2409"/>
      <c r="S327" s="516"/>
      <c r="T327" s="516"/>
      <c r="U327" s="515"/>
      <c r="V327" s="516"/>
      <c r="W327" s="516"/>
      <c r="X327" s="517"/>
      <c r="Y327" s="636">
        <f>SUM(Y328:Y329)</f>
        <v>40000</v>
      </c>
      <c r="Z327" s="1128"/>
      <c r="AA327" s="907"/>
      <c r="AB327" s="505"/>
      <c r="AC327" s="357"/>
    </row>
    <row r="328" spans="1:340" ht="21.95" customHeight="1">
      <c r="A328" s="475"/>
      <c r="B328" s="1145"/>
      <c r="C328" s="1671"/>
      <c r="D328" s="1131"/>
      <c r="E328" s="1134"/>
      <c r="F328" s="438"/>
      <c r="G328" s="438"/>
      <c r="H328" s="338"/>
      <c r="I328" s="1099"/>
      <c r="J328" s="514" t="s">
        <v>2783</v>
      </c>
      <c r="K328" s="2402"/>
      <c r="L328" s="2402"/>
      <c r="M328" s="2402"/>
      <c r="N328" s="2402"/>
      <c r="O328" s="2402"/>
      <c r="P328" s="515"/>
      <c r="Q328" s="516" t="s">
        <v>44</v>
      </c>
      <c r="R328" s="2409" t="s">
        <v>44</v>
      </c>
      <c r="S328" s="516">
        <v>20000000</v>
      </c>
      <c r="T328" s="516" t="s">
        <v>0</v>
      </c>
      <c r="U328" s="515"/>
      <c r="V328" s="516">
        <v>1</v>
      </c>
      <c r="W328" s="516" t="s">
        <v>196</v>
      </c>
      <c r="X328" s="517" t="s">
        <v>1</v>
      </c>
      <c r="Y328" s="636">
        <f>+S328*V328/1000</f>
        <v>20000</v>
      </c>
      <c r="Z328" s="1128"/>
      <c r="AA328" s="907"/>
      <c r="AB328" s="505"/>
      <c r="AC328" s="357"/>
    </row>
    <row r="329" spans="1:340" ht="21.95" customHeight="1">
      <c r="A329" s="475"/>
      <c r="B329" s="1145"/>
      <c r="C329" s="1671"/>
      <c r="D329" s="1144"/>
      <c r="E329" s="1134"/>
      <c r="F329" s="438"/>
      <c r="G329" s="438"/>
      <c r="H329" s="338"/>
      <c r="I329" s="1099"/>
      <c r="J329" s="1150" t="s">
        <v>2441</v>
      </c>
      <c r="K329" s="2402" t="s">
        <v>2784</v>
      </c>
      <c r="L329" s="2402"/>
      <c r="M329" s="2402"/>
      <c r="N329" s="2402"/>
      <c r="O329" s="2402"/>
      <c r="P329" s="515"/>
      <c r="Q329" s="516" t="s">
        <v>44</v>
      </c>
      <c r="R329" s="2409" t="s">
        <v>44</v>
      </c>
      <c r="S329" s="516">
        <v>20000000</v>
      </c>
      <c r="T329" s="516" t="s">
        <v>0</v>
      </c>
      <c r="U329" s="515"/>
      <c r="V329" s="516">
        <v>1</v>
      </c>
      <c r="W329" s="516" t="s">
        <v>196</v>
      </c>
      <c r="X329" s="517" t="s">
        <v>1</v>
      </c>
      <c r="Y329" s="636">
        <f>+S329*V329/1000</f>
        <v>20000</v>
      </c>
      <c r="Z329" s="1128"/>
      <c r="AA329" s="907"/>
      <c r="AB329" s="505"/>
      <c r="AC329" s="357"/>
    </row>
    <row r="330" spans="1:340" s="943" customFormat="1" ht="22.5" customHeight="1">
      <c r="A330" s="2274"/>
      <c r="B330" s="1145"/>
      <c r="C330" s="864" t="s">
        <v>599</v>
      </c>
      <c r="D330" s="1725"/>
      <c r="E330" s="1726"/>
      <c r="F330" s="932">
        <f>F331</f>
        <v>60000</v>
      </c>
      <c r="G330" s="932">
        <f>G331</f>
        <v>60000</v>
      </c>
      <c r="H330" s="352">
        <f>F330-G330</f>
        <v>0</v>
      </c>
      <c r="I330" s="1099"/>
      <c r="J330" s="446"/>
      <c r="K330" s="447"/>
      <c r="L330" s="447"/>
      <c r="M330" s="447"/>
      <c r="N330" s="447"/>
      <c r="O330" s="447"/>
      <c r="P330" s="2277"/>
      <c r="Q330" s="451"/>
      <c r="R330" s="449"/>
      <c r="S330" s="451"/>
      <c r="T330" s="451"/>
      <c r="U330" s="2277"/>
      <c r="V330" s="451"/>
      <c r="W330" s="451"/>
      <c r="X330" s="452"/>
      <c r="Y330" s="356"/>
      <c r="Z330" s="1671"/>
      <c r="AA330" s="907">
        <f t="shared" si="39"/>
        <v>60000000000</v>
      </c>
      <c r="AB330" s="505"/>
      <c r="AC330" s="942"/>
    </row>
    <row r="331" spans="1:340" s="943" customFormat="1" ht="22.5" customHeight="1">
      <c r="A331" s="2274"/>
      <c r="B331" s="1145"/>
      <c r="C331" s="1126"/>
      <c r="D331" s="3275" t="s">
        <v>599</v>
      </c>
      <c r="E331" s="3276"/>
      <c r="F331" s="499">
        <f>SUM(F332:F339)</f>
        <v>60000</v>
      </c>
      <c r="G331" s="499">
        <f>SUM(G332:G339)</f>
        <v>60000</v>
      </c>
      <c r="H331" s="461">
        <f>F331-G331</f>
        <v>0</v>
      </c>
      <c r="I331" s="1713"/>
      <c r="J331" s="501"/>
      <c r="K331" s="2276"/>
      <c r="L331" s="2276"/>
      <c r="M331" s="2276"/>
      <c r="N331" s="2276"/>
      <c r="O331" s="2276"/>
      <c r="P331" s="484"/>
      <c r="Q331" s="2276"/>
      <c r="R331" s="1146"/>
      <c r="S331" s="484"/>
      <c r="T331" s="2276"/>
      <c r="U331" s="2276"/>
      <c r="V331" s="484"/>
      <c r="W331" s="2276"/>
      <c r="X331" s="502"/>
      <c r="Y331" s="503"/>
      <c r="Z331" s="1671"/>
      <c r="AA331" s="907">
        <f t="shared" si="39"/>
        <v>60000000000</v>
      </c>
      <c r="AB331" s="505"/>
      <c r="AC331" s="945"/>
      <c r="AD331" s="946"/>
      <c r="AE331" s="946"/>
      <c r="AF331" s="946"/>
      <c r="AG331" s="946"/>
      <c r="AH331" s="946"/>
      <c r="AI331" s="946"/>
      <c r="AJ331" s="946"/>
      <c r="AK331" s="946"/>
      <c r="AL331" s="946"/>
      <c r="AM331" s="946"/>
      <c r="AN331" s="946"/>
      <c r="AO331" s="946"/>
      <c r="AP331" s="946"/>
      <c r="AQ331" s="946"/>
      <c r="AR331" s="946"/>
      <c r="AS331" s="946"/>
      <c r="AT331" s="946"/>
      <c r="AU331" s="946"/>
      <c r="AV331" s="946"/>
      <c r="AW331" s="946"/>
      <c r="AX331" s="946"/>
      <c r="AY331" s="946"/>
      <c r="AZ331" s="946"/>
      <c r="BA331" s="946"/>
      <c r="BB331" s="946"/>
      <c r="BC331" s="946"/>
      <c r="BD331" s="946"/>
      <c r="BE331" s="946"/>
      <c r="BF331" s="946"/>
      <c r="BG331" s="946"/>
      <c r="BH331" s="946"/>
      <c r="BI331" s="946"/>
      <c r="BJ331" s="946"/>
      <c r="BK331" s="946"/>
      <c r="BL331" s="946"/>
      <c r="BM331" s="946"/>
      <c r="BN331" s="946"/>
      <c r="BO331" s="946"/>
      <c r="BP331" s="946"/>
      <c r="BQ331" s="946"/>
      <c r="BR331" s="946"/>
      <c r="BS331" s="946"/>
      <c r="BT331" s="946"/>
      <c r="BU331" s="946"/>
      <c r="BV331" s="946"/>
      <c r="BW331" s="946"/>
      <c r="BX331" s="946"/>
      <c r="BY331" s="946"/>
      <c r="BZ331" s="946"/>
      <c r="CA331" s="946"/>
      <c r="CB331" s="946"/>
      <c r="CC331" s="946"/>
      <c r="CD331" s="946"/>
      <c r="CE331" s="946"/>
      <c r="CF331" s="946"/>
      <c r="CG331" s="946"/>
      <c r="CH331" s="946"/>
      <c r="CI331" s="946"/>
      <c r="CJ331" s="946"/>
      <c r="CK331" s="946"/>
      <c r="CL331" s="946"/>
      <c r="CM331" s="946"/>
      <c r="CN331" s="946"/>
      <c r="CO331" s="946"/>
      <c r="CP331" s="946"/>
      <c r="CQ331" s="946"/>
      <c r="CR331" s="946"/>
      <c r="CS331" s="946"/>
      <c r="CT331" s="946"/>
      <c r="CU331" s="946"/>
      <c r="CV331" s="946"/>
      <c r="CW331" s="946"/>
      <c r="CX331" s="946"/>
      <c r="CY331" s="946"/>
      <c r="CZ331" s="946"/>
      <c r="DA331" s="946"/>
      <c r="DB331" s="946"/>
      <c r="DC331" s="946"/>
      <c r="DD331" s="946"/>
      <c r="DE331" s="946"/>
      <c r="DF331" s="946"/>
      <c r="DG331" s="946"/>
      <c r="DH331" s="946"/>
      <c r="DI331" s="946"/>
      <c r="DJ331" s="946"/>
      <c r="DK331" s="946"/>
      <c r="DL331" s="946"/>
      <c r="DM331" s="946"/>
      <c r="DN331" s="946"/>
      <c r="DO331" s="946"/>
      <c r="DP331" s="946"/>
      <c r="DQ331" s="946"/>
      <c r="DR331" s="946"/>
      <c r="DS331" s="946"/>
      <c r="DT331" s="946"/>
      <c r="DU331" s="946"/>
      <c r="DV331" s="946"/>
      <c r="DW331" s="946"/>
      <c r="DX331" s="946"/>
      <c r="DY331" s="946"/>
      <c r="DZ331" s="946"/>
      <c r="EA331" s="946"/>
      <c r="EB331" s="946"/>
      <c r="EC331" s="946"/>
      <c r="ED331" s="946"/>
      <c r="EE331" s="946"/>
      <c r="EF331" s="946"/>
      <c r="EG331" s="946"/>
      <c r="EH331" s="946"/>
      <c r="EI331" s="946"/>
      <c r="EJ331" s="946"/>
      <c r="EK331" s="946"/>
      <c r="EL331" s="946"/>
      <c r="EM331" s="946"/>
      <c r="EN331" s="946"/>
      <c r="EO331" s="946"/>
      <c r="EP331" s="946"/>
      <c r="EQ331" s="946"/>
      <c r="ER331" s="946"/>
      <c r="ES331" s="946"/>
      <c r="ET331" s="946"/>
      <c r="EU331" s="946"/>
      <c r="EV331" s="946"/>
      <c r="EW331" s="946"/>
      <c r="EX331" s="946"/>
      <c r="EY331" s="946"/>
      <c r="EZ331" s="946"/>
      <c r="FA331" s="946"/>
      <c r="FB331" s="946"/>
      <c r="FC331" s="946"/>
      <c r="FD331" s="946"/>
      <c r="FE331" s="946"/>
      <c r="FF331" s="946"/>
      <c r="FG331" s="946"/>
      <c r="FH331" s="946"/>
      <c r="FI331" s="946"/>
      <c r="FJ331" s="946"/>
      <c r="FK331" s="946"/>
      <c r="FL331" s="946"/>
      <c r="FM331" s="946"/>
      <c r="FN331" s="946"/>
      <c r="FO331" s="946"/>
      <c r="FP331" s="946"/>
      <c r="FQ331" s="946"/>
      <c r="FR331" s="946"/>
      <c r="FS331" s="946"/>
      <c r="FT331" s="946"/>
      <c r="FU331" s="946"/>
      <c r="FV331" s="946"/>
      <c r="FW331" s="946"/>
      <c r="FX331" s="946"/>
      <c r="FY331" s="946"/>
      <c r="FZ331" s="946"/>
      <c r="GA331" s="946"/>
      <c r="GB331" s="946"/>
      <c r="GC331" s="946"/>
      <c r="GD331" s="946"/>
      <c r="GE331" s="946"/>
      <c r="GF331" s="946"/>
      <c r="GG331" s="946"/>
      <c r="GH331" s="946"/>
      <c r="GI331" s="946"/>
      <c r="GJ331" s="946"/>
      <c r="GK331" s="946"/>
      <c r="GL331" s="946"/>
      <c r="GM331" s="946"/>
      <c r="GN331" s="946"/>
      <c r="GO331" s="946"/>
      <c r="GP331" s="946"/>
      <c r="GQ331" s="946"/>
      <c r="GR331" s="946"/>
      <c r="GS331" s="946"/>
      <c r="GT331" s="946"/>
      <c r="GU331" s="946"/>
      <c r="GV331" s="946"/>
      <c r="GW331" s="946"/>
      <c r="GX331" s="946"/>
      <c r="GY331" s="946"/>
      <c r="GZ331" s="946"/>
      <c r="HA331" s="946"/>
      <c r="HB331" s="946"/>
      <c r="HC331" s="946"/>
      <c r="HD331" s="946"/>
      <c r="HE331" s="946"/>
      <c r="HF331" s="946"/>
      <c r="HG331" s="946"/>
      <c r="HH331" s="946"/>
      <c r="HI331" s="946"/>
      <c r="HJ331" s="946"/>
      <c r="HK331" s="946"/>
      <c r="HL331" s="946"/>
      <c r="HM331" s="946"/>
      <c r="HN331" s="946"/>
      <c r="HO331" s="946"/>
      <c r="HP331" s="946"/>
      <c r="HQ331" s="946"/>
      <c r="HR331" s="946"/>
      <c r="HS331" s="946"/>
      <c r="HT331" s="946"/>
      <c r="HU331" s="946"/>
      <c r="HV331" s="946"/>
      <c r="HW331" s="946"/>
      <c r="HX331" s="946"/>
      <c r="HY331" s="946"/>
      <c r="HZ331" s="946"/>
      <c r="IA331" s="946"/>
      <c r="IB331" s="946"/>
      <c r="IC331" s="946"/>
      <c r="ID331" s="946"/>
      <c r="IE331" s="946"/>
      <c r="IF331" s="946"/>
      <c r="IG331" s="946"/>
      <c r="IH331" s="946"/>
      <c r="II331" s="946"/>
      <c r="IJ331" s="946"/>
      <c r="IK331" s="946"/>
      <c r="IL331" s="946"/>
      <c r="IM331" s="946"/>
      <c r="IN331" s="946"/>
      <c r="IO331" s="946"/>
      <c r="IP331" s="946"/>
      <c r="IQ331" s="946"/>
      <c r="IR331" s="946"/>
      <c r="IS331" s="946"/>
      <c r="IT331" s="946"/>
      <c r="IU331" s="946"/>
      <c r="IV331" s="946"/>
      <c r="IW331" s="946"/>
      <c r="IX331" s="946"/>
      <c r="IY331" s="946"/>
      <c r="IZ331" s="946"/>
      <c r="JA331" s="946"/>
      <c r="JB331" s="946"/>
      <c r="JC331" s="946"/>
      <c r="JD331" s="946"/>
      <c r="JE331" s="946"/>
      <c r="JF331" s="946"/>
      <c r="JG331" s="946"/>
      <c r="JH331" s="946"/>
      <c r="JI331" s="946"/>
      <c r="JJ331" s="946"/>
      <c r="JK331" s="946"/>
      <c r="JL331" s="946"/>
      <c r="JM331" s="946"/>
      <c r="JN331" s="946"/>
      <c r="JO331" s="946"/>
      <c r="JP331" s="946"/>
      <c r="JQ331" s="946"/>
      <c r="JR331" s="946"/>
      <c r="JS331" s="946"/>
      <c r="JT331" s="946"/>
      <c r="JU331" s="946"/>
      <c r="JV331" s="946"/>
      <c r="JW331" s="946"/>
      <c r="JX331" s="946"/>
      <c r="JY331" s="946"/>
      <c r="JZ331" s="946"/>
      <c r="KA331" s="946"/>
      <c r="KB331" s="946"/>
      <c r="KC331" s="946"/>
      <c r="KD331" s="946"/>
      <c r="KE331" s="946"/>
      <c r="KF331" s="946"/>
      <c r="KG331" s="946"/>
      <c r="KH331" s="946"/>
      <c r="KI331" s="946"/>
      <c r="KJ331" s="946"/>
      <c r="KK331" s="946"/>
      <c r="KL331" s="946"/>
      <c r="KM331" s="946"/>
      <c r="KN331" s="946"/>
      <c r="KO331" s="946"/>
      <c r="KP331" s="946"/>
      <c r="KQ331" s="946"/>
      <c r="KR331" s="946"/>
      <c r="KS331" s="946"/>
      <c r="KT331" s="946"/>
      <c r="KU331" s="946"/>
      <c r="KV331" s="946"/>
      <c r="KW331" s="946"/>
      <c r="KX331" s="946"/>
      <c r="KY331" s="946"/>
      <c r="KZ331" s="946"/>
      <c r="LA331" s="946"/>
      <c r="LB331" s="946"/>
      <c r="LC331" s="946"/>
      <c r="LD331" s="946"/>
      <c r="LE331" s="946"/>
      <c r="LF331" s="946"/>
      <c r="LG331" s="946"/>
      <c r="LH331" s="946"/>
      <c r="LI331" s="946"/>
      <c r="LJ331" s="946"/>
      <c r="LK331" s="946"/>
      <c r="LL331" s="946"/>
      <c r="LM331" s="946"/>
      <c r="LN331" s="946"/>
      <c r="LO331" s="946"/>
      <c r="LP331" s="946"/>
      <c r="LQ331" s="946"/>
      <c r="LR331" s="946"/>
      <c r="LS331" s="946"/>
      <c r="LT331" s="946"/>
      <c r="LU331" s="946"/>
      <c r="LV331" s="946"/>
      <c r="LW331" s="946"/>
      <c r="LX331" s="946"/>
      <c r="LY331" s="946"/>
      <c r="LZ331" s="946"/>
      <c r="MA331" s="946"/>
      <c r="MB331" s="946"/>
    </row>
    <row r="332" spans="1:340" s="943" customFormat="1" ht="22.5" customHeight="1">
      <c r="A332" s="2274"/>
      <c r="B332" s="1145"/>
      <c r="C332" s="1126"/>
      <c r="D332" s="1148"/>
      <c r="E332" s="1134" t="s">
        <v>2214</v>
      </c>
      <c r="F332" s="598">
        <f>+Y332</f>
        <v>42000</v>
      </c>
      <c r="G332" s="1141">
        <v>42000</v>
      </c>
      <c r="H332" s="1147"/>
      <c r="I332" s="1713"/>
      <c r="J332" s="514" t="s">
        <v>8</v>
      </c>
      <c r="K332" s="2302"/>
      <c r="L332" s="2302"/>
      <c r="M332" s="2302"/>
      <c r="N332" s="2302"/>
      <c r="O332" s="2302"/>
      <c r="P332" s="515"/>
      <c r="Q332" s="516"/>
      <c r="R332" s="1778"/>
      <c r="S332" s="516"/>
      <c r="T332" s="516"/>
      <c r="U332" s="515"/>
      <c r="V332" s="516"/>
      <c r="W332" s="516"/>
      <c r="X332" s="517"/>
      <c r="Y332" s="630">
        <f>SUM(Y333:Y334)</f>
        <v>42000</v>
      </c>
      <c r="Z332" s="1685">
        <f>Z333+Z334</f>
        <v>42000000</v>
      </c>
      <c r="AA332" s="2371">
        <f t="shared" si="39"/>
        <v>42000000000</v>
      </c>
      <c r="AB332" s="505"/>
      <c r="AC332" s="945"/>
      <c r="AD332" s="946"/>
      <c r="AE332" s="946"/>
      <c r="AF332" s="946"/>
      <c r="AG332" s="946"/>
      <c r="AH332" s="946"/>
      <c r="AI332" s="946"/>
      <c r="AJ332" s="946"/>
      <c r="AK332" s="946"/>
      <c r="AL332" s="946"/>
      <c r="AM332" s="946"/>
      <c r="AN332" s="946"/>
      <c r="AO332" s="946"/>
      <c r="AP332" s="946"/>
      <c r="AQ332" s="946"/>
      <c r="AR332" s="946"/>
      <c r="AS332" s="946"/>
      <c r="AT332" s="946"/>
      <c r="AU332" s="946"/>
      <c r="AV332" s="946"/>
      <c r="AW332" s="946"/>
      <c r="AX332" s="946"/>
      <c r="AY332" s="946"/>
      <c r="AZ332" s="946"/>
      <c r="BA332" s="946"/>
      <c r="BB332" s="946"/>
      <c r="BC332" s="946"/>
      <c r="BD332" s="946"/>
      <c r="BE332" s="946"/>
      <c r="BF332" s="946"/>
      <c r="BG332" s="946"/>
      <c r="BH332" s="946"/>
      <c r="BI332" s="946"/>
      <c r="BJ332" s="946"/>
      <c r="BK332" s="946"/>
      <c r="BL332" s="946"/>
      <c r="BM332" s="946"/>
      <c r="BN332" s="946"/>
      <c r="BO332" s="946"/>
      <c r="BP332" s="946"/>
      <c r="BQ332" s="946"/>
      <c r="BR332" s="946"/>
      <c r="BS332" s="946"/>
      <c r="BT332" s="946"/>
      <c r="BU332" s="946"/>
      <c r="BV332" s="946"/>
      <c r="BW332" s="946"/>
      <c r="BX332" s="946"/>
      <c r="BY332" s="946"/>
      <c r="BZ332" s="946"/>
      <c r="CA332" s="946"/>
      <c r="CB332" s="946"/>
      <c r="CC332" s="946"/>
      <c r="CD332" s="946"/>
      <c r="CE332" s="946"/>
      <c r="CF332" s="946"/>
      <c r="CG332" s="946"/>
      <c r="CH332" s="946"/>
      <c r="CI332" s="946"/>
      <c r="CJ332" s="946"/>
      <c r="CK332" s="946"/>
      <c r="CL332" s="946"/>
      <c r="CM332" s="946"/>
      <c r="CN332" s="946"/>
      <c r="CO332" s="946"/>
      <c r="CP332" s="946"/>
      <c r="CQ332" s="946"/>
      <c r="CR332" s="946"/>
      <c r="CS332" s="946"/>
      <c r="CT332" s="946"/>
      <c r="CU332" s="946"/>
      <c r="CV332" s="946"/>
      <c r="CW332" s="946"/>
      <c r="CX332" s="946"/>
      <c r="CY332" s="946"/>
      <c r="CZ332" s="946"/>
      <c r="DA332" s="946"/>
      <c r="DB332" s="946"/>
      <c r="DC332" s="946"/>
      <c r="DD332" s="946"/>
      <c r="DE332" s="946"/>
      <c r="DF332" s="946"/>
      <c r="DG332" s="946"/>
      <c r="DH332" s="946"/>
      <c r="DI332" s="946"/>
      <c r="DJ332" s="946"/>
      <c r="DK332" s="946"/>
      <c r="DL332" s="946"/>
      <c r="DM332" s="946"/>
      <c r="DN332" s="946"/>
      <c r="DO332" s="946"/>
      <c r="DP332" s="946"/>
      <c r="DQ332" s="946"/>
      <c r="DR332" s="946"/>
      <c r="DS332" s="946"/>
      <c r="DT332" s="946"/>
      <c r="DU332" s="946"/>
      <c r="DV332" s="946"/>
      <c r="DW332" s="946"/>
      <c r="DX332" s="946"/>
      <c r="DY332" s="946"/>
      <c r="DZ332" s="946"/>
      <c r="EA332" s="946"/>
      <c r="EB332" s="946"/>
      <c r="EC332" s="946"/>
      <c r="ED332" s="946"/>
      <c r="EE332" s="946"/>
      <c r="EF332" s="946"/>
      <c r="EG332" s="946"/>
      <c r="EH332" s="946"/>
      <c r="EI332" s="946"/>
      <c r="EJ332" s="946"/>
      <c r="EK332" s="946"/>
      <c r="EL332" s="946"/>
      <c r="EM332" s="946"/>
      <c r="EN332" s="946"/>
      <c r="EO332" s="946"/>
      <c r="EP332" s="946"/>
      <c r="EQ332" s="946"/>
      <c r="ER332" s="946"/>
      <c r="ES332" s="946"/>
      <c r="ET332" s="946"/>
      <c r="EU332" s="946"/>
      <c r="EV332" s="946"/>
      <c r="EW332" s="946"/>
      <c r="EX332" s="946"/>
      <c r="EY332" s="946"/>
      <c r="EZ332" s="946"/>
      <c r="FA332" s="946"/>
      <c r="FB332" s="946"/>
      <c r="FC332" s="946"/>
      <c r="FD332" s="946"/>
      <c r="FE332" s="946"/>
      <c r="FF332" s="946"/>
      <c r="FG332" s="946"/>
      <c r="FH332" s="946"/>
      <c r="FI332" s="946"/>
      <c r="FJ332" s="946"/>
      <c r="FK332" s="946"/>
      <c r="FL332" s="946"/>
      <c r="FM332" s="946"/>
      <c r="FN332" s="946"/>
      <c r="FO332" s="946"/>
      <c r="FP332" s="946"/>
      <c r="FQ332" s="946"/>
      <c r="FR332" s="946"/>
      <c r="FS332" s="946"/>
      <c r="FT332" s="946"/>
      <c r="FU332" s="946"/>
      <c r="FV332" s="946"/>
      <c r="FW332" s="946"/>
      <c r="FX332" s="946"/>
      <c r="FY332" s="946"/>
      <c r="FZ332" s="946"/>
      <c r="GA332" s="946"/>
      <c r="GB332" s="946"/>
      <c r="GC332" s="946"/>
      <c r="GD332" s="946"/>
      <c r="GE332" s="946"/>
      <c r="GF332" s="946"/>
      <c r="GG332" s="946"/>
      <c r="GH332" s="946"/>
      <c r="GI332" s="946"/>
      <c r="GJ332" s="946"/>
      <c r="GK332" s="946"/>
      <c r="GL332" s="946"/>
      <c r="GM332" s="946"/>
      <c r="GN332" s="946"/>
      <c r="GO332" s="946"/>
      <c r="GP332" s="946"/>
      <c r="GQ332" s="946"/>
      <c r="GR332" s="946"/>
      <c r="GS332" s="946"/>
      <c r="GT332" s="946"/>
      <c r="GU332" s="946"/>
      <c r="GV332" s="946"/>
      <c r="GW332" s="946"/>
      <c r="GX332" s="946"/>
      <c r="GY332" s="946"/>
      <c r="GZ332" s="946"/>
      <c r="HA332" s="946"/>
      <c r="HB332" s="946"/>
      <c r="HC332" s="946"/>
      <c r="HD332" s="946"/>
      <c r="HE332" s="946"/>
      <c r="HF332" s="946"/>
      <c r="HG332" s="946"/>
      <c r="HH332" s="946"/>
      <c r="HI332" s="946"/>
      <c r="HJ332" s="946"/>
      <c r="HK332" s="946"/>
      <c r="HL332" s="946"/>
      <c r="HM332" s="946"/>
      <c r="HN332" s="946"/>
      <c r="HO332" s="946"/>
      <c r="HP332" s="946"/>
      <c r="HQ332" s="946"/>
      <c r="HR332" s="946"/>
      <c r="HS332" s="946"/>
      <c r="HT332" s="946"/>
      <c r="HU332" s="946"/>
      <c r="HV332" s="946"/>
      <c r="HW332" s="946"/>
      <c r="HX332" s="946"/>
      <c r="HY332" s="946"/>
      <c r="HZ332" s="946"/>
      <c r="IA332" s="946"/>
      <c r="IB332" s="946"/>
      <c r="IC332" s="946"/>
      <c r="ID332" s="946"/>
      <c r="IE332" s="946"/>
      <c r="IF332" s="946"/>
      <c r="IG332" s="946"/>
      <c r="IH332" s="946"/>
      <c r="II332" s="946"/>
      <c r="IJ332" s="946"/>
      <c r="IK332" s="946"/>
      <c r="IL332" s="946"/>
      <c r="IM332" s="946"/>
      <c r="IN332" s="946"/>
      <c r="IO332" s="946"/>
      <c r="IP332" s="946"/>
      <c r="IQ332" s="946"/>
      <c r="IR332" s="946"/>
      <c r="IS332" s="946"/>
      <c r="IT332" s="946"/>
      <c r="IU332" s="946"/>
      <c r="IV332" s="946"/>
      <c r="IW332" s="946"/>
      <c r="IX332" s="946"/>
      <c r="IY332" s="946"/>
      <c r="IZ332" s="946"/>
      <c r="JA332" s="946"/>
      <c r="JB332" s="946"/>
      <c r="JC332" s="946"/>
      <c r="JD332" s="946"/>
      <c r="JE332" s="946"/>
      <c r="JF332" s="946"/>
      <c r="JG332" s="946"/>
      <c r="JH332" s="946"/>
      <c r="JI332" s="946"/>
      <c r="JJ332" s="946"/>
      <c r="JK332" s="946"/>
      <c r="JL332" s="946"/>
      <c r="JM332" s="946"/>
      <c r="JN332" s="946"/>
      <c r="JO332" s="946"/>
      <c r="JP332" s="946"/>
      <c r="JQ332" s="946"/>
      <c r="JR332" s="946"/>
      <c r="JS332" s="946"/>
      <c r="JT332" s="946"/>
      <c r="JU332" s="946"/>
      <c r="JV332" s="946"/>
      <c r="JW332" s="946"/>
      <c r="JX332" s="946"/>
      <c r="JY332" s="946"/>
      <c r="JZ332" s="946"/>
      <c r="KA332" s="946"/>
      <c r="KB332" s="946"/>
      <c r="KC332" s="946"/>
      <c r="KD332" s="946"/>
      <c r="KE332" s="946"/>
      <c r="KF332" s="946"/>
      <c r="KG332" s="946"/>
      <c r="KH332" s="946"/>
      <c r="KI332" s="946"/>
      <c r="KJ332" s="946"/>
      <c r="KK332" s="946"/>
      <c r="KL332" s="946"/>
      <c r="KM332" s="946"/>
      <c r="KN332" s="946"/>
      <c r="KO332" s="946"/>
      <c r="KP332" s="946"/>
      <c r="KQ332" s="946"/>
      <c r="KR332" s="946"/>
      <c r="KS332" s="946"/>
      <c r="KT332" s="946"/>
      <c r="KU332" s="946"/>
      <c r="KV332" s="946"/>
      <c r="KW332" s="946"/>
      <c r="KX332" s="946"/>
      <c r="KY332" s="946"/>
      <c r="KZ332" s="946"/>
      <c r="LA332" s="946"/>
      <c r="LB332" s="946"/>
      <c r="LC332" s="946"/>
      <c r="LD332" s="946"/>
      <c r="LE332" s="946"/>
      <c r="LF332" s="946"/>
      <c r="LG332" s="946"/>
      <c r="LH332" s="946"/>
      <c r="LI332" s="946"/>
      <c r="LJ332" s="946"/>
      <c r="LK332" s="946"/>
      <c r="LL332" s="946"/>
      <c r="LM332" s="946"/>
      <c r="LN332" s="946"/>
      <c r="LO332" s="946"/>
      <c r="LP332" s="946"/>
      <c r="LQ332" s="946"/>
      <c r="LR332" s="946"/>
      <c r="LS332" s="946"/>
      <c r="LT332" s="946"/>
      <c r="LU332" s="946"/>
      <c r="LV332" s="946"/>
      <c r="LW332" s="946"/>
      <c r="LX332" s="946"/>
      <c r="LY332" s="946"/>
      <c r="LZ332" s="946"/>
      <c r="MA332" s="946"/>
      <c r="MB332" s="946"/>
    </row>
    <row r="333" spans="1:340" s="943" customFormat="1" ht="22.5" customHeight="1">
      <c r="A333" s="2274"/>
      <c r="B333" s="1145"/>
      <c r="C333" s="1154"/>
      <c r="D333" s="1131"/>
      <c r="E333" s="1134"/>
      <c r="F333" s="1141"/>
      <c r="G333" s="1141"/>
      <c r="H333" s="1147"/>
      <c r="I333" s="1713"/>
      <c r="J333" s="514" t="s">
        <v>2440</v>
      </c>
      <c r="K333" s="2302"/>
      <c r="L333" s="2302"/>
      <c r="M333" s="2302"/>
      <c r="N333" s="2302"/>
      <c r="O333" s="2302"/>
      <c r="P333" s="515"/>
      <c r="Q333" s="516">
        <v>1</v>
      </c>
      <c r="R333" s="1778" t="s">
        <v>23</v>
      </c>
      <c r="S333" s="516">
        <v>2500000</v>
      </c>
      <c r="T333" s="516" t="s">
        <v>0</v>
      </c>
      <c r="U333" s="515"/>
      <c r="V333" s="516">
        <v>12</v>
      </c>
      <c r="W333" s="516" t="s">
        <v>26</v>
      </c>
      <c r="X333" s="517" t="s">
        <v>1</v>
      </c>
      <c r="Y333" s="636">
        <f>+Q333*S333*V333/1000</f>
        <v>30000</v>
      </c>
      <c r="Z333" s="1685">
        <f>Q333*S333*V333</f>
        <v>30000000</v>
      </c>
      <c r="AA333" s="2371">
        <f t="shared" si="39"/>
        <v>0</v>
      </c>
      <c r="AB333" s="505"/>
      <c r="AC333" s="942"/>
    </row>
    <row r="334" spans="1:340" s="943" customFormat="1" ht="22.5" customHeight="1">
      <c r="A334" s="2274"/>
      <c r="B334" s="1145"/>
      <c r="C334" s="402"/>
      <c r="D334" s="1131"/>
      <c r="E334" s="1134"/>
      <c r="F334" s="337"/>
      <c r="G334" s="337"/>
      <c r="H334" s="1147"/>
      <c r="I334" s="1713"/>
      <c r="J334" s="514" t="s">
        <v>2441</v>
      </c>
      <c r="K334" s="2302"/>
      <c r="L334" s="2302"/>
      <c r="M334" s="2302"/>
      <c r="N334" s="1781"/>
      <c r="O334" s="1781"/>
      <c r="P334" s="1781"/>
      <c r="Q334" s="516">
        <v>2</v>
      </c>
      <c r="R334" s="1778" t="s">
        <v>756</v>
      </c>
      <c r="S334" s="516">
        <v>500000</v>
      </c>
      <c r="T334" s="516" t="s">
        <v>4</v>
      </c>
      <c r="U334" s="515"/>
      <c r="V334" s="516">
        <v>12</v>
      </c>
      <c r="W334" s="516" t="s">
        <v>290</v>
      </c>
      <c r="X334" s="517" t="s">
        <v>5</v>
      </c>
      <c r="Y334" s="636">
        <f>+Q334*S334*V334/1000</f>
        <v>12000</v>
      </c>
      <c r="Z334" s="1685">
        <f>Q334*S334*V334</f>
        <v>12000000</v>
      </c>
      <c r="AA334" s="2371">
        <f t="shared" si="39"/>
        <v>0</v>
      </c>
      <c r="AB334" s="505"/>
      <c r="AC334" s="942"/>
    </row>
    <row r="335" spans="1:340" ht="22.5" customHeight="1">
      <c r="A335" s="2274"/>
      <c r="B335" s="1145"/>
      <c r="C335" s="1126"/>
      <c r="D335" s="1131"/>
      <c r="E335" s="1134" t="s">
        <v>1792</v>
      </c>
      <c r="F335" s="598">
        <f t="shared" ref="F335:F339" si="44">+Y335</f>
        <v>500</v>
      </c>
      <c r="G335" s="1141">
        <v>500</v>
      </c>
      <c r="H335" s="1147"/>
      <c r="I335" s="1713"/>
      <c r="J335" s="514" t="s">
        <v>262</v>
      </c>
      <c r="K335" s="2302"/>
      <c r="L335" s="2302"/>
      <c r="M335" s="2302"/>
      <c r="N335" s="2302"/>
      <c r="O335" s="2302"/>
      <c r="P335" s="515"/>
      <c r="Q335" s="516"/>
      <c r="R335" s="1778"/>
      <c r="S335" s="516">
        <v>100000</v>
      </c>
      <c r="T335" s="516" t="s">
        <v>0</v>
      </c>
      <c r="U335" s="515"/>
      <c r="V335" s="516">
        <v>5</v>
      </c>
      <c r="W335" s="1778" t="s">
        <v>3</v>
      </c>
      <c r="X335" s="517" t="s">
        <v>1</v>
      </c>
      <c r="Y335" s="636">
        <f t="shared" ref="Y335:Y339" si="45">+S335*V335/1000</f>
        <v>500</v>
      </c>
      <c r="Z335" s="1685">
        <f t="shared" ref="Z335:Z336" si="46">S335*V335</f>
        <v>500000</v>
      </c>
      <c r="AA335" s="2371">
        <f t="shared" si="39"/>
        <v>500000000</v>
      </c>
    </row>
    <row r="336" spans="1:340" ht="22.5" customHeight="1">
      <c r="A336" s="2274"/>
      <c r="B336" s="1145"/>
      <c r="C336" s="1154"/>
      <c r="D336" s="1144"/>
      <c r="E336" s="1134" t="s">
        <v>1826</v>
      </c>
      <c r="F336" s="598">
        <f>Y336</f>
        <v>15000</v>
      </c>
      <c r="G336" s="1141">
        <v>15000</v>
      </c>
      <c r="H336" s="1147"/>
      <c r="I336" s="1713"/>
      <c r="J336" s="514" t="s">
        <v>2442</v>
      </c>
      <c r="K336" s="2302"/>
      <c r="L336" s="2302"/>
      <c r="M336" s="2302"/>
      <c r="N336" s="2302"/>
      <c r="O336" s="2302"/>
      <c r="P336" s="515"/>
      <c r="Q336" s="516"/>
      <c r="R336" s="1778"/>
      <c r="S336" s="516">
        <v>1000000</v>
      </c>
      <c r="T336" s="516" t="s">
        <v>0</v>
      </c>
      <c r="U336" s="515"/>
      <c r="V336" s="516">
        <v>15</v>
      </c>
      <c r="W336" s="516" t="s">
        <v>35</v>
      </c>
      <c r="X336" s="517" t="s">
        <v>5</v>
      </c>
      <c r="Y336" s="636">
        <f t="shared" si="45"/>
        <v>15000</v>
      </c>
      <c r="Z336" s="1685">
        <f t="shared" si="46"/>
        <v>15000000</v>
      </c>
      <c r="AA336" s="2371">
        <f t="shared" si="39"/>
        <v>15000000000</v>
      </c>
    </row>
    <row r="337" spans="1:29" ht="22.5" customHeight="1">
      <c r="A337" s="2274"/>
      <c r="B337" s="1145"/>
      <c r="C337" s="1154"/>
      <c r="D337" s="1131"/>
      <c r="E337" s="1134" t="s">
        <v>1824</v>
      </c>
      <c r="F337" s="598">
        <f t="shared" si="44"/>
        <v>1800</v>
      </c>
      <c r="G337" s="1141">
        <v>1800</v>
      </c>
      <c r="H337" s="1147"/>
      <c r="I337" s="1713"/>
      <c r="J337" s="514" t="s">
        <v>2443</v>
      </c>
      <c r="K337" s="2302"/>
      <c r="L337" s="2302"/>
      <c r="M337" s="2302"/>
      <c r="N337" s="2302"/>
      <c r="O337" s="2302"/>
      <c r="P337" s="515"/>
      <c r="Q337" s="516"/>
      <c r="R337" s="1778"/>
      <c r="S337" s="516">
        <v>150000</v>
      </c>
      <c r="T337" s="516" t="s">
        <v>0</v>
      </c>
      <c r="U337" s="515"/>
      <c r="V337" s="516">
        <v>12</v>
      </c>
      <c r="W337" s="516" t="s">
        <v>200</v>
      </c>
      <c r="X337" s="517" t="s">
        <v>1</v>
      </c>
      <c r="Y337" s="636">
        <f t="shared" si="45"/>
        <v>1800</v>
      </c>
      <c r="Z337" s="1685">
        <f>S337*V337</f>
        <v>1800000</v>
      </c>
      <c r="AA337" s="2371">
        <f t="shared" si="39"/>
        <v>1800000000</v>
      </c>
    </row>
    <row r="338" spans="1:29" ht="22.5" customHeight="1">
      <c r="A338" s="2274"/>
      <c r="B338" s="1145"/>
      <c r="C338" s="1154"/>
      <c r="D338" s="1131"/>
      <c r="E338" s="1134" t="s">
        <v>1825</v>
      </c>
      <c r="F338" s="598">
        <f t="shared" si="44"/>
        <v>200</v>
      </c>
      <c r="G338" s="1141">
        <v>200</v>
      </c>
      <c r="H338" s="1147"/>
      <c r="I338" s="1713"/>
      <c r="J338" s="514" t="s">
        <v>1431</v>
      </c>
      <c r="K338" s="2302"/>
      <c r="L338" s="2302"/>
      <c r="M338" s="2302"/>
      <c r="N338" s="2302"/>
      <c r="O338" s="2302"/>
      <c r="P338" s="515"/>
      <c r="Q338" s="516"/>
      <c r="R338" s="1778"/>
      <c r="S338" s="516">
        <v>10000</v>
      </c>
      <c r="T338" s="516" t="s">
        <v>0</v>
      </c>
      <c r="U338" s="515"/>
      <c r="V338" s="516">
        <v>20</v>
      </c>
      <c r="W338" s="1778" t="s">
        <v>3</v>
      </c>
      <c r="X338" s="517" t="s">
        <v>1</v>
      </c>
      <c r="Y338" s="636">
        <f t="shared" si="45"/>
        <v>200</v>
      </c>
      <c r="Z338" s="1685">
        <f t="shared" ref="Z338:Z339" si="47">S338*V338</f>
        <v>200000</v>
      </c>
      <c r="AA338" s="2371">
        <f t="shared" si="39"/>
        <v>200000000</v>
      </c>
    </row>
    <row r="339" spans="1:29" ht="22.5" customHeight="1">
      <c r="A339" s="2274"/>
      <c r="B339" s="1145"/>
      <c r="C339" s="1126"/>
      <c r="D339" s="1131"/>
      <c r="E339" s="1134" t="s">
        <v>1784</v>
      </c>
      <c r="F339" s="598">
        <f t="shared" si="44"/>
        <v>500</v>
      </c>
      <c r="G339" s="1141">
        <v>500</v>
      </c>
      <c r="H339" s="1147"/>
      <c r="I339" s="1713"/>
      <c r="J339" s="514" t="s">
        <v>2444</v>
      </c>
      <c r="K339" s="2302"/>
      <c r="L339" s="2302"/>
      <c r="M339" s="2302"/>
      <c r="N339" s="2302"/>
      <c r="O339" s="2302"/>
      <c r="P339" s="515"/>
      <c r="Q339" s="516"/>
      <c r="R339" s="1778"/>
      <c r="S339" s="516">
        <v>100000</v>
      </c>
      <c r="T339" s="516" t="s">
        <v>0</v>
      </c>
      <c r="U339" s="515"/>
      <c r="V339" s="516">
        <v>5</v>
      </c>
      <c r="W339" s="1778" t="s">
        <v>3</v>
      </c>
      <c r="X339" s="517" t="s">
        <v>1</v>
      </c>
      <c r="Y339" s="636">
        <f t="shared" si="45"/>
        <v>500</v>
      </c>
      <c r="Z339" s="1685">
        <f t="shared" si="47"/>
        <v>500000</v>
      </c>
      <c r="AA339" s="2371">
        <f t="shared" si="39"/>
        <v>500000000</v>
      </c>
    </row>
    <row r="340" spans="1:29" ht="24" customHeight="1">
      <c r="A340" s="2304"/>
      <c r="B340" s="2304"/>
      <c r="C340" s="1671"/>
      <c r="D340" s="2306"/>
      <c r="E340" s="2306"/>
      <c r="F340" s="2377"/>
      <c r="G340" s="2377"/>
      <c r="H340" s="867"/>
      <c r="I340" s="2305"/>
      <c r="J340" s="2305"/>
      <c r="K340" s="2305"/>
      <c r="L340" s="2305"/>
      <c r="M340" s="2305"/>
      <c r="N340" s="2305"/>
      <c r="O340" s="2305"/>
      <c r="P340" s="1128"/>
      <c r="Q340" s="2305"/>
      <c r="R340" s="2305"/>
      <c r="S340" s="1128"/>
      <c r="T340" s="2305"/>
      <c r="U340" s="2305"/>
      <c r="V340" s="1128"/>
      <c r="W340" s="2305"/>
      <c r="X340" s="1690"/>
      <c r="Y340" s="1128"/>
      <c r="Z340" s="2307"/>
      <c r="AA340" s="907"/>
      <c r="AB340" s="505"/>
      <c r="AC340" s="357"/>
    </row>
    <row r="341" spans="1:29" ht="21.75" customHeight="1">
      <c r="AA341" s="907">
        <f t="shared" si="39"/>
        <v>0</v>
      </c>
    </row>
    <row r="411" ht="20.25" hidden="1" customHeight="1"/>
    <row r="412" ht="20.25" hidden="1" customHeight="1"/>
    <row r="413" ht="20.25" hidden="1" customHeight="1"/>
    <row r="414" ht="20.25" hidden="1" customHeight="1"/>
    <row r="415" ht="20.25" hidden="1" customHeight="1"/>
    <row r="416" ht="20.25" hidden="1" customHeight="1"/>
    <row r="417" ht="20.25" hidden="1" customHeight="1"/>
    <row r="418" ht="20.25" hidden="1" customHeight="1"/>
    <row r="419" ht="20.25" hidden="1" customHeight="1"/>
    <row r="420" ht="20.25" hidden="1" customHeight="1"/>
    <row r="421" ht="20.25" hidden="1" customHeight="1"/>
    <row r="422" ht="20.25" hidden="1" customHeight="1"/>
    <row r="423" ht="20.25" hidden="1" customHeight="1" thickBot="1"/>
    <row r="424" ht="20.25" hidden="1" customHeight="1"/>
    <row r="425" ht="20.25" hidden="1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</sheetData>
  <autoFilter ref="A4:MB309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49">
    <mergeCell ref="J126:M126"/>
    <mergeCell ref="D111:E111"/>
    <mergeCell ref="C116:E116"/>
    <mergeCell ref="D118:E118"/>
    <mergeCell ref="A1:Y1"/>
    <mergeCell ref="A3:E3"/>
    <mergeCell ref="F3:F4"/>
    <mergeCell ref="G3:G4"/>
    <mergeCell ref="H3:H4"/>
    <mergeCell ref="J3:Y4"/>
    <mergeCell ref="A5:E5"/>
    <mergeCell ref="B6:E6"/>
    <mergeCell ref="C7:E7"/>
    <mergeCell ref="D8:E8"/>
    <mergeCell ref="D21:E21"/>
    <mergeCell ref="J134:N134"/>
    <mergeCell ref="D254:E254"/>
    <mergeCell ref="D160:E160"/>
    <mergeCell ref="D185:E185"/>
    <mergeCell ref="D197:E197"/>
    <mergeCell ref="D220:E220"/>
    <mergeCell ref="J225:M225"/>
    <mergeCell ref="D227:E227"/>
    <mergeCell ref="D233:E233"/>
    <mergeCell ref="D249:E249"/>
    <mergeCell ref="J251:M251"/>
    <mergeCell ref="D139:E139"/>
    <mergeCell ref="D230:E230"/>
    <mergeCell ref="J135:N135"/>
    <mergeCell ref="J136:N136"/>
    <mergeCell ref="J137:N137"/>
    <mergeCell ref="D331:E331"/>
    <mergeCell ref="D284:E284"/>
    <mergeCell ref="D293:E293"/>
    <mergeCell ref="D299:E299"/>
    <mergeCell ref="D310:E310"/>
    <mergeCell ref="D320:E320"/>
    <mergeCell ref="D326:E326"/>
    <mergeCell ref="J277:M277"/>
    <mergeCell ref="J324:L324"/>
    <mergeCell ref="J322:L322"/>
    <mergeCell ref="D280:E280"/>
    <mergeCell ref="D231:E231"/>
    <mergeCell ref="D266:E266"/>
    <mergeCell ref="J273:M273"/>
    <mergeCell ref="J274:M274"/>
    <mergeCell ref="J275:M275"/>
    <mergeCell ref="J276:M276"/>
    <mergeCell ref="C265:E265"/>
  </mergeCells>
  <phoneticPr fontId="19" type="noConversion"/>
  <printOptions horizontalCentered="1"/>
  <pageMargins left="0.39370078740157483" right="0.39370078740157483" top="0.59055118110236227" bottom="0.59055118110236227" header="0.31496062992125984" footer="0.31496062992125984"/>
  <pageSetup paperSize="9" scale="57" fitToHeight="100" orientation="landscape" r:id="rId1"/>
  <rowBreaks count="2" manualBreakCount="2">
    <brk id="196" max="24" man="1"/>
    <brk id="248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G400"/>
  <sheetViews>
    <sheetView view="pageBreakPreview" zoomScale="70" zoomScaleNormal="70" zoomScaleSheetLayoutView="70" workbookViewId="0">
      <pane ySplit="6" topLeftCell="A37" activePane="bottomLeft" state="frozen"/>
      <selection activeCell="A3" sqref="A3:F3"/>
      <selection pane="bottomLeft" activeCell="J396" sqref="J396"/>
    </sheetView>
  </sheetViews>
  <sheetFormatPr defaultColWidth="8.88671875" defaultRowHeight="13.5"/>
  <cols>
    <col min="1" max="1" width="7.6640625" style="357" customWidth="1"/>
    <col min="2" max="2" width="7.33203125" style="357" customWidth="1"/>
    <col min="3" max="3" width="6.109375" style="357" customWidth="1"/>
    <col min="4" max="4" width="6.44140625" style="357" customWidth="1"/>
    <col min="5" max="5" width="15.77734375" style="357" customWidth="1"/>
    <col min="6" max="6" width="14.88671875" style="357" customWidth="1"/>
    <col min="7" max="7" width="14.5546875" style="357" customWidth="1"/>
    <col min="8" max="8" width="14.77734375" style="866" customWidth="1"/>
    <col min="9" max="9" width="1.6640625" style="1675" customWidth="1"/>
    <col min="10" max="10" width="5.109375" style="357" customWidth="1"/>
    <col min="11" max="11" width="2.109375" style="357" customWidth="1"/>
    <col min="12" max="12" width="6.77734375" style="357" customWidth="1"/>
    <col min="13" max="13" width="7.88671875" style="357" customWidth="1"/>
    <col min="14" max="14" width="7.44140625" style="357" customWidth="1"/>
    <col min="15" max="15" width="10.21875" style="357" customWidth="1"/>
    <col min="16" max="16" width="12" style="357" customWidth="1"/>
    <col min="17" max="17" width="11" style="357" customWidth="1"/>
    <col min="18" max="18" width="8.21875" style="357" customWidth="1"/>
    <col min="19" max="19" width="18" style="357" customWidth="1"/>
    <col min="20" max="20" width="5.21875" style="357" customWidth="1"/>
    <col min="21" max="21" width="7.33203125" style="357" customWidth="1"/>
    <col min="22" max="22" width="7.109375" style="357" customWidth="1"/>
    <col min="23" max="23" width="7.5546875" style="357" customWidth="1"/>
    <col min="24" max="24" width="4" style="2343" customWidth="1"/>
    <col min="25" max="25" width="14.77734375" style="357" customWidth="1"/>
    <col min="26" max="26" width="19.6640625" style="357" customWidth="1"/>
    <col min="27" max="28" width="26.6640625" style="358" customWidth="1"/>
    <col min="29" max="29" width="26.6640625" style="357" customWidth="1"/>
    <col min="30" max="30" width="14.33203125" style="357" bestFit="1" customWidth="1"/>
    <col min="31" max="31" width="14.88671875" style="357" bestFit="1" customWidth="1"/>
    <col min="32" max="32" width="13.88671875" style="357" bestFit="1" customWidth="1"/>
    <col min="33" max="33" width="10.33203125" style="357" bestFit="1" customWidth="1"/>
    <col min="34" max="16384" width="8.88671875" style="357"/>
  </cols>
  <sheetData>
    <row r="1" spans="1:29" ht="27">
      <c r="A1" s="3250" t="s">
        <v>5059</v>
      </c>
      <c r="B1" s="3250"/>
      <c r="C1" s="3250"/>
      <c r="D1" s="3250"/>
      <c r="E1" s="3250"/>
      <c r="F1" s="3250"/>
      <c r="G1" s="3250"/>
      <c r="H1" s="3250"/>
      <c r="I1" s="3250"/>
      <c r="J1" s="3250"/>
      <c r="K1" s="3250"/>
      <c r="L1" s="3250"/>
      <c r="M1" s="3250"/>
      <c r="N1" s="3250"/>
      <c r="O1" s="3250"/>
      <c r="P1" s="3250"/>
      <c r="Q1" s="3250"/>
      <c r="R1" s="3250"/>
      <c r="S1" s="3250"/>
      <c r="T1" s="3250"/>
      <c r="U1" s="3250"/>
      <c r="V1" s="3250"/>
      <c r="W1" s="3250"/>
      <c r="X1" s="3250"/>
      <c r="Y1" s="3250"/>
      <c r="Z1" s="892"/>
    </row>
    <row r="2" spans="1:29" ht="15" thickBot="1">
      <c r="A2" s="2002"/>
      <c r="B2" s="2002"/>
      <c r="C2" s="2002"/>
      <c r="D2" s="2002" t="s">
        <v>44</v>
      </c>
      <c r="E2" s="646"/>
      <c r="F2" s="867"/>
      <c r="G2" s="2325"/>
      <c r="H2" s="783" t="s">
        <v>171</v>
      </c>
      <c r="I2" s="2357"/>
      <c r="J2" s="2002" t="s">
        <v>44</v>
      </c>
      <c r="K2" s="2002"/>
      <c r="L2" s="2326" t="s">
        <v>44</v>
      </c>
      <c r="M2" s="2002"/>
      <c r="N2" s="2002"/>
      <c r="O2" s="2327"/>
      <c r="P2" s="2120"/>
      <c r="Q2" s="782"/>
      <c r="R2" s="1170"/>
      <c r="S2" s="1170"/>
      <c r="T2" s="1170"/>
      <c r="U2" s="1170"/>
      <c r="V2" s="1170"/>
      <c r="W2" s="1170"/>
      <c r="X2" s="2214"/>
      <c r="Y2" s="865" t="s">
        <v>171</v>
      </c>
      <c r="Z2" s="2357"/>
    </row>
    <row r="3" spans="1:29" ht="22.5" customHeight="1">
      <c r="A3" s="3251" t="s">
        <v>188</v>
      </c>
      <c r="B3" s="3252"/>
      <c r="C3" s="3252"/>
      <c r="D3" s="3252"/>
      <c r="E3" s="3253"/>
      <c r="F3" s="3254" t="s">
        <v>317</v>
      </c>
      <c r="G3" s="3256" t="s">
        <v>423</v>
      </c>
      <c r="H3" s="3432" t="s">
        <v>11</v>
      </c>
      <c r="I3" s="473"/>
      <c r="J3" s="3260" t="s">
        <v>3349</v>
      </c>
      <c r="K3" s="3261"/>
      <c r="L3" s="3261"/>
      <c r="M3" s="3261"/>
      <c r="N3" s="3261"/>
      <c r="O3" s="3261"/>
      <c r="P3" s="3261"/>
      <c r="Q3" s="3261"/>
      <c r="R3" s="3261"/>
      <c r="S3" s="3261"/>
      <c r="T3" s="3261"/>
      <c r="U3" s="3261"/>
      <c r="V3" s="3261"/>
      <c r="W3" s="3261"/>
      <c r="X3" s="3261"/>
      <c r="Y3" s="3262"/>
      <c r="Z3" s="343"/>
      <c r="AA3" s="347"/>
    </row>
    <row r="4" spans="1:29" ht="22.5" customHeight="1" thickBot="1">
      <c r="A4" s="652" t="s">
        <v>12</v>
      </c>
      <c r="B4" s="654" t="s">
        <v>204</v>
      </c>
      <c r="C4" s="654" t="s">
        <v>191</v>
      </c>
      <c r="D4" s="654" t="s">
        <v>450</v>
      </c>
      <c r="E4" s="654" t="s">
        <v>45</v>
      </c>
      <c r="F4" s="3255"/>
      <c r="G4" s="3257"/>
      <c r="H4" s="3433"/>
      <c r="I4" s="655"/>
      <c r="J4" s="3263"/>
      <c r="K4" s="3264"/>
      <c r="L4" s="3264"/>
      <c r="M4" s="3264"/>
      <c r="N4" s="3264"/>
      <c r="O4" s="3264"/>
      <c r="P4" s="3264"/>
      <c r="Q4" s="3264"/>
      <c r="R4" s="3264"/>
      <c r="S4" s="3264"/>
      <c r="T4" s="3264"/>
      <c r="U4" s="3264"/>
      <c r="V4" s="3264"/>
      <c r="W4" s="3264"/>
      <c r="X4" s="3264"/>
      <c r="Y4" s="3265"/>
      <c r="Z4" s="2644"/>
      <c r="AA4" s="347"/>
    </row>
    <row r="5" spans="1:29" ht="22.5" customHeight="1" thickBot="1">
      <c r="A5" s="3424" t="s">
        <v>3350</v>
      </c>
      <c r="B5" s="3425"/>
      <c r="C5" s="3425"/>
      <c r="D5" s="3425"/>
      <c r="E5" s="3426"/>
      <c r="F5" s="2655"/>
      <c r="G5" s="2328"/>
      <c r="H5" s="2329"/>
      <c r="I5" s="655"/>
      <c r="J5" s="2330"/>
      <c r="K5" s="2025"/>
      <c r="L5" s="2025"/>
      <c r="M5" s="2025"/>
      <c r="N5" s="2025"/>
      <c r="O5" s="2025"/>
      <c r="P5" s="2025"/>
      <c r="Q5" s="2025"/>
      <c r="R5" s="2025"/>
      <c r="S5" s="2025"/>
      <c r="T5" s="2025"/>
      <c r="U5" s="2025"/>
      <c r="V5" s="2025"/>
      <c r="W5" s="2025"/>
      <c r="X5" s="2025"/>
      <c r="Y5" s="2331"/>
      <c r="Z5" s="2644"/>
      <c r="AA5" s="347"/>
    </row>
    <row r="6" spans="1:29" ht="22.5" customHeight="1" thickBot="1">
      <c r="A6" s="775"/>
      <c r="B6" s="776" t="s">
        <v>3350</v>
      </c>
      <c r="C6" s="777"/>
      <c r="D6" s="777"/>
      <c r="E6" s="778"/>
      <c r="F6" s="1367">
        <f>+F7+F110</f>
        <v>4267200</v>
      </c>
      <c r="G6" s="1367">
        <f>+G7+G110</f>
        <v>3402000</v>
      </c>
      <c r="H6" s="838">
        <f>+H7+H110</f>
        <v>865200</v>
      </c>
      <c r="I6" s="789"/>
      <c r="J6" s="750"/>
      <c r="K6" s="777"/>
      <c r="L6" s="777"/>
      <c r="M6" s="777"/>
      <c r="N6" s="777"/>
      <c r="O6" s="927"/>
      <c r="P6" s="2597"/>
      <c r="Q6" s="928"/>
      <c r="R6" s="2597"/>
      <c r="S6" s="927"/>
      <c r="T6" s="777"/>
      <c r="U6" s="927"/>
      <c r="V6" s="777"/>
      <c r="W6" s="777"/>
      <c r="X6" s="2332"/>
      <c r="Y6" s="842"/>
      <c r="Z6" s="983"/>
      <c r="AA6" s="347"/>
    </row>
    <row r="7" spans="1:29" ht="22.5" customHeight="1">
      <c r="A7" s="785"/>
      <c r="B7" s="786"/>
      <c r="C7" s="3361" t="s">
        <v>13</v>
      </c>
      <c r="D7" s="3362"/>
      <c r="E7" s="3363"/>
      <c r="F7" s="2037">
        <f>F8+F20+F108</f>
        <v>2142000</v>
      </c>
      <c r="G7" s="2037">
        <f>G8+G20+G108</f>
        <v>2142000</v>
      </c>
      <c r="H7" s="788">
        <f>F7-G7</f>
        <v>0</v>
      </c>
      <c r="I7" s="789"/>
      <c r="J7" s="790"/>
      <c r="K7" s="791"/>
      <c r="L7" s="791"/>
      <c r="M7" s="791"/>
      <c r="N7" s="791"/>
      <c r="O7" s="792"/>
      <c r="P7" s="2617"/>
      <c r="Q7" s="793"/>
      <c r="R7" s="2617"/>
      <c r="S7" s="792"/>
      <c r="T7" s="791"/>
      <c r="U7" s="792"/>
      <c r="V7" s="791"/>
      <c r="W7" s="791"/>
      <c r="X7" s="1972"/>
      <c r="Y7" s="794"/>
      <c r="Z7" s="983"/>
      <c r="AA7" s="907">
        <f t="shared" ref="AA7:AA19" si="0">F7*1000000</f>
        <v>2142000000000</v>
      </c>
      <c r="AB7" s="505"/>
    </row>
    <row r="8" spans="1:29" s="1155" customFormat="1" ht="21.6" customHeight="1">
      <c r="A8" s="475"/>
      <c r="B8" s="335"/>
      <c r="C8" s="1126"/>
      <c r="D8" s="3364" t="s">
        <v>59</v>
      </c>
      <c r="E8" s="3365"/>
      <c r="F8" s="373">
        <f>+F9+F16+F17</f>
        <v>1099000</v>
      </c>
      <c r="G8" s="373">
        <f>+G9+G16+G17</f>
        <v>1099000</v>
      </c>
      <c r="H8" s="361">
        <f>F8-G8</f>
        <v>0</v>
      </c>
      <c r="I8" s="473"/>
      <c r="J8" s="796"/>
      <c r="K8" s="797"/>
      <c r="L8" s="797"/>
      <c r="M8" s="797"/>
      <c r="N8" s="797"/>
      <c r="O8" s="797"/>
      <c r="P8" s="798"/>
      <c r="Q8" s="799"/>
      <c r="R8" s="2614"/>
      <c r="S8" s="800"/>
      <c r="T8" s="2635"/>
      <c r="U8" s="800"/>
      <c r="V8" s="2635"/>
      <c r="W8" s="2635"/>
      <c r="X8" s="905"/>
      <c r="Y8" s="801"/>
      <c r="Z8" s="503"/>
      <c r="AA8" s="907">
        <f t="shared" si="0"/>
        <v>1099000000000</v>
      </c>
      <c r="AB8" s="505"/>
      <c r="AC8" s="505"/>
    </row>
    <row r="9" spans="1:29" s="1155" customFormat="1" ht="21.6" customHeight="1">
      <c r="A9" s="475"/>
      <c r="B9" s="335"/>
      <c r="C9" s="1126"/>
      <c r="D9" s="1126"/>
      <c r="E9" s="465" t="s">
        <v>351</v>
      </c>
      <c r="F9" s="598">
        <f>+Y9</f>
        <v>890950</v>
      </c>
      <c r="G9" s="598">
        <v>890950</v>
      </c>
      <c r="H9" s="352"/>
      <c r="I9" s="473"/>
      <c r="J9" s="802" t="s">
        <v>608</v>
      </c>
      <c r="K9" s="803"/>
      <c r="L9" s="803"/>
      <c r="M9" s="803"/>
      <c r="N9" s="649"/>
      <c r="O9" s="649"/>
      <c r="P9" s="803"/>
      <c r="Q9" s="804"/>
      <c r="R9" s="1671"/>
      <c r="S9" s="1671"/>
      <c r="T9" s="1671"/>
      <c r="U9" s="1671"/>
      <c r="V9" s="1671"/>
      <c r="W9" s="1671"/>
      <c r="X9" s="397"/>
      <c r="Y9" s="406">
        <f>+INT(Z9/1000)</f>
        <v>890950</v>
      </c>
      <c r="Z9" s="355">
        <f>+Z10+Z12+Z14</f>
        <v>890950000</v>
      </c>
      <c r="AA9" s="907">
        <f t="shared" si="0"/>
        <v>890950000000</v>
      </c>
      <c r="AB9" s="505"/>
      <c r="AC9" s="505"/>
    </row>
    <row r="10" spans="1:29" s="1155" customFormat="1" ht="21.6" customHeight="1">
      <c r="A10" s="2627"/>
      <c r="B10" s="1145"/>
      <c r="C10" s="470"/>
      <c r="D10" s="1126"/>
      <c r="E10" s="465"/>
      <c r="F10" s="598"/>
      <c r="G10" s="598"/>
      <c r="H10" s="404"/>
      <c r="I10" s="473"/>
      <c r="J10" s="802" t="s">
        <v>227</v>
      </c>
      <c r="K10" s="805"/>
      <c r="L10" s="646"/>
      <c r="M10" s="646"/>
      <c r="N10" s="649"/>
      <c r="O10" s="649"/>
      <c r="P10" s="803"/>
      <c r="Q10" s="804" t="s">
        <v>601</v>
      </c>
      <c r="R10" s="1671" t="s">
        <v>44</v>
      </c>
      <c r="S10" s="806"/>
      <c r="T10" s="1671"/>
      <c r="U10" s="1671"/>
      <c r="V10" s="1671"/>
      <c r="W10" s="1671"/>
      <c r="X10" s="397"/>
      <c r="Y10" s="406">
        <f t="shared" ref="Y10:Y19" si="1">+INT(Z10/1000)</f>
        <v>774000</v>
      </c>
      <c r="Z10" s="355">
        <f>SUM(Z11:Z11)</f>
        <v>774000000</v>
      </c>
      <c r="AA10" s="907">
        <f t="shared" si="0"/>
        <v>0</v>
      </c>
      <c r="AB10" s="505"/>
      <c r="AC10" s="505"/>
    </row>
    <row r="11" spans="1:29" s="1155" customFormat="1" ht="21.6" customHeight="1">
      <c r="A11" s="2627"/>
      <c r="B11" s="1145"/>
      <c r="C11" s="470"/>
      <c r="D11" s="1126"/>
      <c r="E11" s="465"/>
      <c r="F11" s="598"/>
      <c r="G11" s="598"/>
      <c r="H11" s="404"/>
      <c r="I11" s="473"/>
      <c r="J11" s="802"/>
      <c r="K11" s="807" t="s">
        <v>3351</v>
      </c>
      <c r="L11" s="646"/>
      <c r="M11" s="646"/>
      <c r="N11" s="808"/>
      <c r="O11" s="803"/>
      <c r="P11" s="803"/>
      <c r="Q11" s="804" t="s">
        <v>3352</v>
      </c>
      <c r="R11" s="1671" t="s">
        <v>33</v>
      </c>
      <c r="S11" s="1672">
        <v>4300000</v>
      </c>
      <c r="T11" s="1671" t="s">
        <v>4</v>
      </c>
      <c r="U11" s="1671"/>
      <c r="V11" s="1671">
        <v>12</v>
      </c>
      <c r="W11" s="1671" t="s">
        <v>49</v>
      </c>
      <c r="X11" s="397" t="s">
        <v>5</v>
      </c>
      <c r="Y11" s="406">
        <f t="shared" si="1"/>
        <v>774000</v>
      </c>
      <c r="Z11" s="1674">
        <f>S11*Q11*V11</f>
        <v>774000000</v>
      </c>
      <c r="AA11" s="907">
        <f t="shared" si="0"/>
        <v>0</v>
      </c>
      <c r="AB11" s="505">
        <f>64500000*12</f>
        <v>774000000</v>
      </c>
      <c r="AC11" s="505">
        <f>AB11/V11/Q11</f>
        <v>4300000</v>
      </c>
    </row>
    <row r="12" spans="1:29" s="1155" customFormat="1" ht="21.6" customHeight="1">
      <c r="A12" s="2627"/>
      <c r="B12" s="1145"/>
      <c r="C12" s="470"/>
      <c r="D12" s="1126"/>
      <c r="E12" s="465"/>
      <c r="F12" s="598"/>
      <c r="G12" s="598"/>
      <c r="H12" s="404"/>
      <c r="I12" s="473"/>
      <c r="J12" s="802" t="s">
        <v>1125</v>
      </c>
      <c r="K12" s="805"/>
      <c r="L12" s="646"/>
      <c r="M12" s="646"/>
      <c r="N12" s="808"/>
      <c r="O12" s="803"/>
      <c r="P12" s="803"/>
      <c r="Q12" s="804"/>
      <c r="R12" s="2624"/>
      <c r="S12" s="1671"/>
      <c r="T12" s="2624"/>
      <c r="U12" s="1671"/>
      <c r="V12" s="1671"/>
      <c r="W12" s="1671"/>
      <c r="X12" s="397"/>
      <c r="Y12" s="406">
        <f t="shared" si="1"/>
        <v>84000</v>
      </c>
      <c r="Z12" s="1674">
        <f>SUM(Z13:Z13)</f>
        <v>84000000</v>
      </c>
      <c r="AA12" s="907">
        <f t="shared" si="0"/>
        <v>0</v>
      </c>
      <c r="AB12" s="505"/>
      <c r="AC12" s="505"/>
    </row>
    <row r="13" spans="1:29" s="1155" customFormat="1" ht="21.6" customHeight="1">
      <c r="A13" s="2627"/>
      <c r="B13" s="1145"/>
      <c r="C13" s="470"/>
      <c r="D13" s="1126"/>
      <c r="E13" s="465"/>
      <c r="F13" s="598"/>
      <c r="G13" s="598"/>
      <c r="H13" s="404"/>
      <c r="I13" s="473"/>
      <c r="J13" s="802"/>
      <c r="K13" s="807" t="s">
        <v>3351</v>
      </c>
      <c r="L13" s="646"/>
      <c r="M13" s="646"/>
      <c r="N13" s="808"/>
      <c r="O13" s="803"/>
      <c r="P13" s="803"/>
      <c r="Q13" s="804" t="s">
        <v>3352</v>
      </c>
      <c r="R13" s="1671" t="s">
        <v>33</v>
      </c>
      <c r="S13" s="1672">
        <v>466666.66666666669</v>
      </c>
      <c r="T13" s="1671" t="s">
        <v>4</v>
      </c>
      <c r="U13" s="1671"/>
      <c r="V13" s="1671">
        <v>12</v>
      </c>
      <c r="W13" s="1671" t="s">
        <v>49</v>
      </c>
      <c r="X13" s="397" t="s">
        <v>5</v>
      </c>
      <c r="Y13" s="406">
        <f t="shared" si="1"/>
        <v>84000</v>
      </c>
      <c r="Z13" s="1674">
        <f>ROUNDUP(S13*Q13*V13,-3)</f>
        <v>84000000</v>
      </c>
      <c r="AA13" s="907">
        <f t="shared" si="0"/>
        <v>0</v>
      </c>
      <c r="AB13" s="505">
        <f>7000000*12</f>
        <v>84000000</v>
      </c>
      <c r="AC13" s="505">
        <f>AB13/V13/Q13</f>
        <v>466666.66666666669</v>
      </c>
    </row>
    <row r="14" spans="1:29" s="1155" customFormat="1" ht="21.6" customHeight="1">
      <c r="A14" s="2627"/>
      <c r="B14" s="1145"/>
      <c r="C14" s="470"/>
      <c r="D14" s="1126"/>
      <c r="E14" s="465"/>
      <c r="F14" s="598"/>
      <c r="G14" s="598"/>
      <c r="H14" s="404"/>
      <c r="I14" s="473"/>
      <c r="J14" s="802" t="s">
        <v>5909</v>
      </c>
      <c r="K14" s="805"/>
      <c r="L14" s="646"/>
      <c r="M14" s="646"/>
      <c r="N14" s="808"/>
      <c r="O14" s="803"/>
      <c r="P14" s="803"/>
      <c r="Q14" s="804"/>
      <c r="R14" s="2624"/>
      <c r="S14" s="1671"/>
      <c r="T14" s="2624"/>
      <c r="U14" s="1671"/>
      <c r="V14" s="1671"/>
      <c r="W14" s="1671"/>
      <c r="X14" s="397"/>
      <c r="Y14" s="406">
        <f t="shared" si="1"/>
        <v>32950</v>
      </c>
      <c r="Z14" s="1674">
        <f>SUM(Z15:Z15)</f>
        <v>32950000</v>
      </c>
      <c r="AA14" s="907">
        <f t="shared" si="0"/>
        <v>0</v>
      </c>
      <c r="AB14" s="505"/>
      <c r="AC14" s="505"/>
    </row>
    <row r="15" spans="1:29" s="1155" customFormat="1" ht="21.6" customHeight="1">
      <c r="A15" s="2627"/>
      <c r="B15" s="1145"/>
      <c r="C15" s="470"/>
      <c r="D15" s="1126"/>
      <c r="E15" s="465"/>
      <c r="F15" s="598"/>
      <c r="G15" s="598"/>
      <c r="H15" s="404"/>
      <c r="I15" s="473"/>
      <c r="J15" s="802"/>
      <c r="K15" s="807" t="s">
        <v>3351</v>
      </c>
      <c r="L15" s="646"/>
      <c r="M15" s="646"/>
      <c r="N15" s="808"/>
      <c r="O15" s="803"/>
      <c r="P15" s="803"/>
      <c r="Q15" s="804" t="s">
        <v>3352</v>
      </c>
      <c r="R15" s="1671" t="s">
        <v>33</v>
      </c>
      <c r="S15" s="1672">
        <v>2196666.6666666665</v>
      </c>
      <c r="T15" s="1671" t="s">
        <v>4</v>
      </c>
      <c r="U15" s="1671"/>
      <c r="V15" s="1671">
        <v>1</v>
      </c>
      <c r="W15" s="1671" t="s">
        <v>196</v>
      </c>
      <c r="X15" s="397" t="s">
        <v>5</v>
      </c>
      <c r="Y15" s="406">
        <f t="shared" si="1"/>
        <v>32950</v>
      </c>
      <c r="Z15" s="1674">
        <f>ROUNDUP(S15*Q15*V15,-3)</f>
        <v>32950000</v>
      </c>
      <c r="AA15" s="907">
        <f t="shared" si="0"/>
        <v>0</v>
      </c>
      <c r="AB15" s="505">
        <v>32950000</v>
      </c>
      <c r="AC15" s="505">
        <f>AB15/Q15</f>
        <v>2196666.6666666665</v>
      </c>
    </row>
    <row r="16" spans="1:29" s="1155" customFormat="1" ht="21.6" customHeight="1">
      <c r="A16" s="2627"/>
      <c r="B16" s="1145"/>
      <c r="C16" s="470"/>
      <c r="D16" s="1126"/>
      <c r="E16" s="809" t="s">
        <v>3353</v>
      </c>
      <c r="F16" s="1683">
        <f>Y16</f>
        <v>107250</v>
      </c>
      <c r="G16" s="613">
        <v>107250</v>
      </c>
      <c r="H16" s="810"/>
      <c r="I16" s="473"/>
      <c r="J16" s="811" t="s">
        <v>1450</v>
      </c>
      <c r="K16" s="812"/>
      <c r="L16" s="1953"/>
      <c r="M16" s="1953"/>
      <c r="N16" s="813"/>
      <c r="O16" s="813"/>
      <c r="P16" s="812"/>
      <c r="Q16" s="814"/>
      <c r="R16" s="815"/>
      <c r="S16" s="450">
        <f>+Z10+Z12</f>
        <v>858000000</v>
      </c>
      <c r="T16" s="815" t="s">
        <v>3354</v>
      </c>
      <c r="U16" s="816">
        <v>12</v>
      </c>
      <c r="V16" s="815" t="s">
        <v>3355</v>
      </c>
      <c r="W16" s="817">
        <v>1.5</v>
      </c>
      <c r="X16" s="906" t="s">
        <v>5</v>
      </c>
      <c r="Y16" s="431">
        <f t="shared" si="1"/>
        <v>107250</v>
      </c>
      <c r="Z16" s="355">
        <f>+(S16/U16*W16)</f>
        <v>107250000</v>
      </c>
      <c r="AA16" s="907">
        <f t="shared" si="0"/>
        <v>107250000000</v>
      </c>
      <c r="AB16" s="505"/>
      <c r="AC16" s="505"/>
    </row>
    <row r="17" spans="1:31" s="1155" customFormat="1" ht="21.6" customHeight="1">
      <c r="A17" s="2627"/>
      <c r="B17" s="1145"/>
      <c r="C17" s="470"/>
      <c r="D17" s="1126"/>
      <c r="E17" s="809" t="s">
        <v>392</v>
      </c>
      <c r="F17" s="613">
        <f>Y17</f>
        <v>100800</v>
      </c>
      <c r="G17" s="613">
        <v>100800</v>
      </c>
      <c r="H17" s="810"/>
      <c r="I17" s="473"/>
      <c r="J17" s="811" t="s">
        <v>608</v>
      </c>
      <c r="K17" s="812"/>
      <c r="L17" s="812"/>
      <c r="M17" s="812"/>
      <c r="N17" s="813"/>
      <c r="O17" s="813"/>
      <c r="P17" s="812"/>
      <c r="Q17" s="814"/>
      <c r="R17" s="815"/>
      <c r="S17" s="815"/>
      <c r="T17" s="815"/>
      <c r="U17" s="815"/>
      <c r="V17" s="815"/>
      <c r="W17" s="815"/>
      <c r="X17" s="906"/>
      <c r="Y17" s="406">
        <f t="shared" si="1"/>
        <v>100800</v>
      </c>
      <c r="Z17" s="1881">
        <f>SUM(Z18:Z19)</f>
        <v>100800000</v>
      </c>
      <c r="AA17" s="907">
        <f t="shared" si="0"/>
        <v>100800000000</v>
      </c>
      <c r="AB17" s="505"/>
      <c r="AC17" s="505"/>
    </row>
    <row r="18" spans="1:31" ht="21.6" customHeight="1">
      <c r="A18" s="1670"/>
      <c r="B18" s="465"/>
      <c r="C18" s="413"/>
      <c r="D18" s="1126"/>
      <c r="E18" s="465"/>
      <c r="F18" s="598"/>
      <c r="G18" s="598"/>
      <c r="H18" s="404"/>
      <c r="I18" s="473"/>
      <c r="J18" s="802" t="s">
        <v>5910</v>
      </c>
      <c r="K18" s="803"/>
      <c r="L18" s="803"/>
      <c r="M18" s="803"/>
      <c r="N18" s="649"/>
      <c r="O18" s="803"/>
      <c r="P18" s="803"/>
      <c r="Q18" s="804"/>
      <c r="R18" s="1671"/>
      <c r="S18" s="1672">
        <f>+S16</f>
        <v>858000000</v>
      </c>
      <c r="T18" s="1671" t="s">
        <v>4</v>
      </c>
      <c r="U18" s="1671"/>
      <c r="V18" s="818">
        <v>0.1</v>
      </c>
      <c r="W18" s="1671"/>
      <c r="X18" s="397" t="s">
        <v>5</v>
      </c>
      <c r="Y18" s="406">
        <f t="shared" si="1"/>
        <v>85800</v>
      </c>
      <c r="Z18" s="355">
        <f>ROUNDUP(S18*V18,-3)</f>
        <v>85800000</v>
      </c>
      <c r="AA18" s="907">
        <f t="shared" si="0"/>
        <v>0</v>
      </c>
      <c r="AB18" s="505"/>
      <c r="AC18" s="1882"/>
    </row>
    <row r="19" spans="1:31" s="1155" customFormat="1" ht="21.6" customHeight="1">
      <c r="A19" s="2627"/>
      <c r="B19" s="1145"/>
      <c r="C19" s="470"/>
      <c r="D19" s="359"/>
      <c r="E19" s="819"/>
      <c r="F19" s="597"/>
      <c r="G19" s="597"/>
      <c r="H19" s="820"/>
      <c r="I19" s="473"/>
      <c r="J19" s="821" t="s">
        <v>5911</v>
      </c>
      <c r="K19" s="822"/>
      <c r="L19" s="822"/>
      <c r="M19" s="822"/>
      <c r="N19" s="823"/>
      <c r="O19" s="823"/>
      <c r="P19" s="822"/>
      <c r="Q19" s="824"/>
      <c r="R19" s="371"/>
      <c r="S19" s="458">
        <v>1000000</v>
      </c>
      <c r="T19" s="371" t="s">
        <v>4</v>
      </c>
      <c r="U19" s="371"/>
      <c r="V19" s="825">
        <v>15</v>
      </c>
      <c r="W19" s="371" t="s">
        <v>10</v>
      </c>
      <c r="X19" s="426" t="s">
        <v>5</v>
      </c>
      <c r="Y19" s="406">
        <f t="shared" si="1"/>
        <v>15000</v>
      </c>
      <c r="Z19" s="364">
        <f>ROUNDUP(S19*V19,-3)</f>
        <v>15000000</v>
      </c>
      <c r="AA19" s="907">
        <f t="shared" si="0"/>
        <v>0</v>
      </c>
      <c r="AB19" s="505"/>
      <c r="AC19" s="505"/>
    </row>
    <row r="20" spans="1:31" ht="21.6" customHeight="1">
      <c r="A20" s="2627"/>
      <c r="B20" s="1145"/>
      <c r="C20" s="1126"/>
      <c r="D20" s="3284" t="s">
        <v>3356</v>
      </c>
      <c r="E20" s="3285"/>
      <c r="F20" s="488">
        <f>SUM(F21:F107)</f>
        <v>1037000</v>
      </c>
      <c r="G20" s="488">
        <f>SUM(G21:G107)</f>
        <v>1037000</v>
      </c>
      <c r="H20" s="361">
        <f>F20-G20</f>
        <v>0</v>
      </c>
      <c r="I20" s="1127"/>
      <c r="J20" s="374"/>
      <c r="K20" s="375"/>
      <c r="L20" s="375"/>
      <c r="M20" s="375"/>
      <c r="N20" s="375"/>
      <c r="O20" s="375"/>
      <c r="P20" s="376"/>
      <c r="Q20" s="375"/>
      <c r="R20" s="376"/>
      <c r="S20" s="375"/>
      <c r="T20" s="376"/>
      <c r="U20" s="375"/>
      <c r="V20" s="376"/>
      <c r="W20" s="375"/>
      <c r="X20" s="375"/>
      <c r="Y20" s="503"/>
      <c r="Z20" s="1128"/>
      <c r="AA20" s="907">
        <f t="shared" ref="AA20:AA83" si="2">F20*1000000</f>
        <v>1037000000000</v>
      </c>
      <c r="AB20" s="2333">
        <v>1043000000000</v>
      </c>
      <c r="AC20" s="1143">
        <f>AB20-AA20</f>
        <v>6000000000</v>
      </c>
      <c r="AD20" s="1143"/>
      <c r="AE20" s="1143"/>
    </row>
    <row r="21" spans="1:31" ht="21.6" customHeight="1">
      <c r="A21" s="2627"/>
      <c r="B21" s="1145"/>
      <c r="C21" s="1126"/>
      <c r="D21" s="471"/>
      <c r="E21" s="762" t="s">
        <v>275</v>
      </c>
      <c r="F21" s="488">
        <f>+Y21</f>
        <v>3750</v>
      </c>
      <c r="G21" s="488">
        <v>3750</v>
      </c>
      <c r="H21" s="361"/>
      <c r="I21" s="1127"/>
      <c r="J21" s="830" t="s">
        <v>3357</v>
      </c>
      <c r="K21" s="2647"/>
      <c r="L21" s="2647"/>
      <c r="M21" s="2647"/>
      <c r="N21" s="2647"/>
      <c r="O21" s="2647"/>
      <c r="P21" s="827"/>
      <c r="Q21" s="2334">
        <v>15</v>
      </c>
      <c r="R21" s="550" t="s">
        <v>23</v>
      </c>
      <c r="S21" s="847">
        <v>250000</v>
      </c>
      <c r="T21" s="550" t="s">
        <v>0</v>
      </c>
      <c r="U21" s="2647"/>
      <c r="V21" s="827"/>
      <c r="W21" s="2647"/>
      <c r="X21" s="2647" t="s">
        <v>5</v>
      </c>
      <c r="Y21" s="1158">
        <f>Q21*S21/1000</f>
        <v>3750</v>
      </c>
      <c r="Z21" s="372">
        <f>Q21*S21</f>
        <v>3750000</v>
      </c>
      <c r="AA21" s="907">
        <f t="shared" si="2"/>
        <v>3750000000</v>
      </c>
      <c r="AB21" s="505"/>
      <c r="AC21" s="1143"/>
      <c r="AD21" s="1143"/>
      <c r="AE21" s="1143"/>
    </row>
    <row r="22" spans="1:31" ht="21.6" customHeight="1">
      <c r="A22" s="2627"/>
      <c r="B22" s="1145"/>
      <c r="C22" s="1126"/>
      <c r="D22" s="1145"/>
      <c r="E22" s="762" t="s">
        <v>254</v>
      </c>
      <c r="F22" s="1805">
        <f>+Y22</f>
        <v>1500</v>
      </c>
      <c r="G22" s="1805">
        <v>1500</v>
      </c>
      <c r="H22" s="361"/>
      <c r="I22" s="1127"/>
      <c r="J22" s="830" t="s">
        <v>3358</v>
      </c>
      <c r="K22" s="371"/>
      <c r="L22" s="371"/>
      <c r="M22" s="371"/>
      <c r="N22" s="458"/>
      <c r="O22" s="371"/>
      <c r="P22" s="371"/>
      <c r="Q22" s="368">
        <v>15</v>
      </c>
      <c r="R22" s="371" t="s">
        <v>23</v>
      </c>
      <c r="S22" s="458">
        <v>100000</v>
      </c>
      <c r="T22" s="371" t="s">
        <v>0</v>
      </c>
      <c r="U22" s="371"/>
      <c r="V22" s="371">
        <v>1</v>
      </c>
      <c r="W22" s="371" t="s">
        <v>3</v>
      </c>
      <c r="X22" s="426" t="s">
        <v>1</v>
      </c>
      <c r="Y22" s="1158">
        <f>Q22*S22/1000</f>
        <v>1500</v>
      </c>
      <c r="Z22" s="372">
        <f>Q22*S22</f>
        <v>1500000</v>
      </c>
      <c r="AA22" s="907">
        <f t="shared" si="2"/>
        <v>1500000000</v>
      </c>
      <c r="AB22" s="505"/>
      <c r="AC22" s="1143"/>
      <c r="AD22" s="1143"/>
      <c r="AE22" s="1143"/>
    </row>
    <row r="23" spans="1:31" ht="21.6" customHeight="1">
      <c r="A23" s="2627"/>
      <c r="B23" s="1145"/>
      <c r="C23" s="1126"/>
      <c r="D23" s="1145"/>
      <c r="E23" s="1349" t="s">
        <v>2774</v>
      </c>
      <c r="F23" s="1468">
        <f>+Y23</f>
        <v>3150</v>
      </c>
      <c r="G23" s="2335">
        <v>3150</v>
      </c>
      <c r="H23" s="810"/>
      <c r="I23" s="1127"/>
      <c r="J23" s="911" t="s">
        <v>194</v>
      </c>
      <c r="K23" s="815"/>
      <c r="L23" s="815"/>
      <c r="M23" s="815"/>
      <c r="N23" s="450"/>
      <c r="O23" s="815"/>
      <c r="P23" s="815"/>
      <c r="Q23" s="831"/>
      <c r="R23" s="815"/>
      <c r="S23" s="450"/>
      <c r="T23" s="815"/>
      <c r="U23" s="815"/>
      <c r="V23" s="815"/>
      <c r="W23" s="815"/>
      <c r="X23" s="906"/>
      <c r="Y23" s="1891">
        <f>+Z23/1000</f>
        <v>3150</v>
      </c>
      <c r="Z23" s="1671">
        <f>SUM(Z24:Z26)</f>
        <v>3150000</v>
      </c>
      <c r="AA23" s="907">
        <f t="shared" si="2"/>
        <v>3150000000</v>
      </c>
      <c r="AB23" s="505"/>
      <c r="AC23" s="1143"/>
      <c r="AD23" s="1143"/>
      <c r="AE23" s="1143"/>
    </row>
    <row r="24" spans="1:31" ht="21.6" customHeight="1">
      <c r="A24" s="2627"/>
      <c r="B24" s="1145"/>
      <c r="C24" s="1126"/>
      <c r="D24" s="1145"/>
      <c r="E24" s="402"/>
      <c r="F24" s="1805"/>
      <c r="G24" s="2336"/>
      <c r="H24" s="404"/>
      <c r="I24" s="1127"/>
      <c r="J24" s="1670" t="s">
        <v>3359</v>
      </c>
      <c r="K24" s="1671"/>
      <c r="L24" s="1671"/>
      <c r="M24" s="1671"/>
      <c r="N24" s="1672"/>
      <c r="O24" s="1671"/>
      <c r="P24" s="1671"/>
      <c r="Q24" s="1673"/>
      <c r="R24" s="1671"/>
      <c r="S24" s="1672">
        <v>1500000</v>
      </c>
      <c r="T24" s="1671" t="s">
        <v>0</v>
      </c>
      <c r="U24" s="1549"/>
      <c r="V24" s="1671">
        <v>1</v>
      </c>
      <c r="W24" s="1671" t="s">
        <v>6</v>
      </c>
      <c r="X24" s="397" t="s">
        <v>1</v>
      </c>
      <c r="Y24" s="1142">
        <f>+S24*V24/1000</f>
        <v>1500</v>
      </c>
      <c r="Z24" s="1671">
        <f>S24*V24</f>
        <v>1500000</v>
      </c>
      <c r="AA24" s="907">
        <f t="shared" si="2"/>
        <v>0</v>
      </c>
      <c r="AB24" s="505"/>
      <c r="AC24" s="1143"/>
      <c r="AD24" s="1143"/>
      <c r="AE24" s="1143"/>
    </row>
    <row r="25" spans="1:31" ht="21.6" customHeight="1">
      <c r="A25" s="2627"/>
      <c r="B25" s="1145"/>
      <c r="C25" s="1126"/>
      <c r="D25" s="471"/>
      <c r="E25" s="402"/>
      <c r="F25" s="1872"/>
      <c r="G25" s="1872"/>
      <c r="H25" s="404"/>
      <c r="I25" s="1127"/>
      <c r="J25" s="1670" t="s">
        <v>3360</v>
      </c>
      <c r="K25" s="1671"/>
      <c r="L25" s="1671"/>
      <c r="M25" s="1671"/>
      <c r="N25" s="1672"/>
      <c r="O25" s="1671"/>
      <c r="P25" s="1671"/>
      <c r="Q25" s="1673"/>
      <c r="R25" s="1671"/>
      <c r="S25" s="1672">
        <v>1500000</v>
      </c>
      <c r="T25" s="1671" t="s">
        <v>0</v>
      </c>
      <c r="U25" s="1549"/>
      <c r="V25" s="1671">
        <v>1</v>
      </c>
      <c r="W25" s="1671" t="s">
        <v>6</v>
      </c>
      <c r="X25" s="397" t="s">
        <v>1</v>
      </c>
      <c r="Y25" s="1142">
        <f>+S25*V25/1000</f>
        <v>1500</v>
      </c>
      <c r="Z25" s="1670">
        <f>S25*V25</f>
        <v>1500000</v>
      </c>
      <c r="AA25" s="907">
        <f t="shared" si="2"/>
        <v>0</v>
      </c>
      <c r="AB25" s="505"/>
      <c r="AC25" s="1143"/>
      <c r="AD25" s="1143"/>
      <c r="AE25" s="1143"/>
    </row>
    <row r="26" spans="1:31" ht="21.6" customHeight="1">
      <c r="A26" s="2627"/>
      <c r="B26" s="1145"/>
      <c r="C26" s="1126"/>
      <c r="D26" s="1145"/>
      <c r="E26" s="859"/>
      <c r="F26" s="1471"/>
      <c r="G26" s="2337"/>
      <c r="H26" s="820"/>
      <c r="I26" s="1127"/>
      <c r="J26" s="830" t="s">
        <v>3361</v>
      </c>
      <c r="K26" s="371"/>
      <c r="L26" s="371"/>
      <c r="M26" s="371"/>
      <c r="N26" s="458"/>
      <c r="O26" s="371"/>
      <c r="P26" s="371"/>
      <c r="Q26" s="368"/>
      <c r="R26" s="371"/>
      <c r="S26" s="458">
        <v>150000</v>
      </c>
      <c r="T26" s="371" t="s">
        <v>0</v>
      </c>
      <c r="U26" s="1594"/>
      <c r="V26" s="371">
        <v>1</v>
      </c>
      <c r="W26" s="371" t="s">
        <v>6</v>
      </c>
      <c r="X26" s="426" t="s">
        <v>1</v>
      </c>
      <c r="Y26" s="558">
        <f>+S26*V26/1000</f>
        <v>150</v>
      </c>
      <c r="Z26" s="1671">
        <f>S26*V26</f>
        <v>150000</v>
      </c>
      <c r="AA26" s="907">
        <f t="shared" si="2"/>
        <v>0</v>
      </c>
      <c r="AB26" s="505"/>
      <c r="AC26" s="1143"/>
      <c r="AD26" s="1143"/>
      <c r="AE26" s="1143"/>
    </row>
    <row r="27" spans="1:31" ht="21.6" customHeight="1">
      <c r="A27" s="2627"/>
      <c r="B27" s="1145"/>
      <c r="C27" s="1126"/>
      <c r="D27" s="1145"/>
      <c r="E27" s="465" t="s">
        <v>61</v>
      </c>
      <c r="F27" s="1805">
        <f>+Y27</f>
        <v>6000</v>
      </c>
      <c r="G27" s="1805">
        <v>6000</v>
      </c>
      <c r="H27" s="810"/>
      <c r="I27" s="1127"/>
      <c r="J27" s="1670" t="s">
        <v>194</v>
      </c>
      <c r="K27" s="1671"/>
      <c r="L27" s="1671"/>
      <c r="M27" s="1671"/>
      <c r="N27" s="1672"/>
      <c r="O27" s="1671"/>
      <c r="P27" s="1671"/>
      <c r="Q27" s="1673"/>
      <c r="R27" s="1671"/>
      <c r="S27" s="1672"/>
      <c r="T27" s="1671"/>
      <c r="U27" s="1671"/>
      <c r="V27" s="1671"/>
      <c r="W27" s="1671"/>
      <c r="X27" s="397"/>
      <c r="Y27" s="1142">
        <f>+Z27/1000</f>
        <v>6000</v>
      </c>
      <c r="Z27" s="1671">
        <f>SUM(Z28:Z29)</f>
        <v>6000000</v>
      </c>
      <c r="AA27" s="907">
        <f t="shared" si="2"/>
        <v>6000000000</v>
      </c>
      <c r="AB27" s="505"/>
      <c r="AC27" s="1143"/>
      <c r="AD27" s="1143"/>
      <c r="AE27" s="1143"/>
    </row>
    <row r="28" spans="1:31" ht="21.6" customHeight="1">
      <c r="A28" s="2627"/>
      <c r="B28" s="1145"/>
      <c r="C28" s="1126"/>
      <c r="D28" s="1145"/>
      <c r="E28" s="465" t="s">
        <v>44</v>
      </c>
      <c r="F28" s="1805"/>
      <c r="G28" s="1805"/>
      <c r="H28" s="404"/>
      <c r="I28" s="1127"/>
      <c r="J28" s="1670" t="s">
        <v>3362</v>
      </c>
      <c r="K28" s="1671"/>
      <c r="L28" s="1671"/>
      <c r="M28" s="1671"/>
      <c r="N28" s="1672"/>
      <c r="O28" s="1671"/>
      <c r="P28" s="1671"/>
      <c r="Q28" s="1673">
        <v>1</v>
      </c>
      <c r="R28" s="1671" t="s">
        <v>3363</v>
      </c>
      <c r="S28" s="1672">
        <v>100000</v>
      </c>
      <c r="T28" s="1671" t="s">
        <v>0</v>
      </c>
      <c r="U28" s="1671"/>
      <c r="V28" s="1671">
        <v>12</v>
      </c>
      <c r="W28" s="1671" t="s">
        <v>2</v>
      </c>
      <c r="X28" s="397" t="s">
        <v>1</v>
      </c>
      <c r="Y28" s="1142">
        <f>Q28*S28*V28/1000</f>
        <v>1200</v>
      </c>
      <c r="Z28" s="1671">
        <f>Q28*S28*V28</f>
        <v>1200000</v>
      </c>
      <c r="AA28" s="907">
        <f t="shared" si="2"/>
        <v>0</v>
      </c>
      <c r="AB28" s="505"/>
      <c r="AC28" s="1143"/>
      <c r="AD28" s="1143"/>
      <c r="AE28" s="1143"/>
    </row>
    <row r="29" spans="1:31" ht="21.6" customHeight="1">
      <c r="A29" s="2627"/>
      <c r="B29" s="1145"/>
      <c r="C29" s="1126"/>
      <c r="D29" s="1145"/>
      <c r="E29" s="819" t="s">
        <v>3364</v>
      </c>
      <c r="F29" s="1471"/>
      <c r="G29" s="1471"/>
      <c r="H29" s="820"/>
      <c r="I29" s="1127"/>
      <c r="J29" s="830" t="s">
        <v>3365</v>
      </c>
      <c r="K29" s="371"/>
      <c r="L29" s="371"/>
      <c r="M29" s="371"/>
      <c r="N29" s="458"/>
      <c r="O29" s="371"/>
      <c r="P29" s="371"/>
      <c r="Q29" s="368">
        <v>2</v>
      </c>
      <c r="R29" s="371" t="s">
        <v>3366</v>
      </c>
      <c r="S29" s="458">
        <v>200000</v>
      </c>
      <c r="T29" s="371" t="s">
        <v>0</v>
      </c>
      <c r="U29" s="371"/>
      <c r="V29" s="371">
        <v>12</v>
      </c>
      <c r="W29" s="371" t="s">
        <v>2</v>
      </c>
      <c r="X29" s="426" t="s">
        <v>1</v>
      </c>
      <c r="Y29" s="558">
        <f>Q29*S29*V29/1000</f>
        <v>4800</v>
      </c>
      <c r="Z29" s="1671">
        <f>Q29*S29*V29</f>
        <v>4800000</v>
      </c>
      <c r="AA29" s="907">
        <f t="shared" si="2"/>
        <v>0</v>
      </c>
      <c r="AB29" s="505"/>
      <c r="AC29" s="1143"/>
      <c r="AD29" s="1143"/>
      <c r="AE29" s="1143"/>
    </row>
    <row r="30" spans="1:31" ht="21.6" customHeight="1">
      <c r="A30" s="2627"/>
      <c r="B30" s="1145"/>
      <c r="C30" s="1126"/>
      <c r="D30" s="1145"/>
      <c r="E30" s="465" t="s">
        <v>3367</v>
      </c>
      <c r="F30" s="1805">
        <f>+Y30</f>
        <v>27450</v>
      </c>
      <c r="G30" s="1805">
        <v>27450</v>
      </c>
      <c r="H30" s="810"/>
      <c r="I30" s="1127"/>
      <c r="J30" s="1670" t="s">
        <v>3368</v>
      </c>
      <c r="K30" s="1671"/>
      <c r="L30" s="1671"/>
      <c r="M30" s="1671"/>
      <c r="N30" s="1672"/>
      <c r="O30" s="1672"/>
      <c r="P30" s="1671"/>
      <c r="Q30" s="1673"/>
      <c r="R30" s="1671"/>
      <c r="S30" s="1671"/>
      <c r="T30" s="1671"/>
      <c r="U30" s="1671"/>
      <c r="V30" s="1671"/>
      <c r="W30" s="1671"/>
      <c r="X30" s="397"/>
      <c r="Y30" s="1142">
        <f t="shared" ref="Y30:Y61" si="3">+Z30/1000</f>
        <v>27450</v>
      </c>
      <c r="Z30" s="1671">
        <f>SUM(Z31:Z35)</f>
        <v>27450000</v>
      </c>
      <c r="AA30" s="907">
        <f t="shared" si="2"/>
        <v>27450000000</v>
      </c>
      <c r="AB30" s="505"/>
      <c r="AC30" s="1143"/>
      <c r="AD30" s="1143"/>
      <c r="AE30" s="1143"/>
    </row>
    <row r="31" spans="1:31" ht="21.6" customHeight="1">
      <c r="A31" s="2627"/>
      <c r="B31" s="1145"/>
      <c r="C31" s="1126"/>
      <c r="D31" s="1145"/>
      <c r="E31" s="465"/>
      <c r="F31" s="1805"/>
      <c r="G31" s="1805"/>
      <c r="H31" s="404"/>
      <c r="I31" s="1127"/>
      <c r="J31" s="1670" t="s">
        <v>3369</v>
      </c>
      <c r="K31" s="1671"/>
      <c r="L31" s="1671"/>
      <c r="M31" s="1671"/>
      <c r="N31" s="1672"/>
      <c r="O31" s="1671"/>
      <c r="P31" s="1671"/>
      <c r="Q31" s="1673"/>
      <c r="R31" s="1671"/>
      <c r="S31" s="1672">
        <v>1500000</v>
      </c>
      <c r="T31" s="1671" t="s">
        <v>3370</v>
      </c>
      <c r="U31" s="1671"/>
      <c r="V31" s="1671">
        <v>1</v>
      </c>
      <c r="W31" s="1671" t="s">
        <v>3371</v>
      </c>
      <c r="X31" s="397" t="s">
        <v>3372</v>
      </c>
      <c r="Y31" s="1142">
        <f t="shared" si="3"/>
        <v>1500</v>
      </c>
      <c r="Z31" s="1671">
        <f>+S31*V31</f>
        <v>1500000</v>
      </c>
      <c r="AA31" s="907">
        <f t="shared" si="2"/>
        <v>0</v>
      </c>
      <c r="AB31" s="505"/>
      <c r="AC31" s="1143"/>
      <c r="AD31" s="1143"/>
      <c r="AE31" s="1143"/>
    </row>
    <row r="32" spans="1:31" ht="21.6" customHeight="1">
      <c r="A32" s="2627"/>
      <c r="B32" s="1145"/>
      <c r="C32" s="1126"/>
      <c r="D32" s="1145"/>
      <c r="E32" s="465"/>
      <c r="F32" s="1805"/>
      <c r="G32" s="1805"/>
      <c r="H32" s="404"/>
      <c r="I32" s="1127"/>
      <c r="J32" s="1670" t="s">
        <v>3373</v>
      </c>
      <c r="K32" s="1671"/>
      <c r="L32" s="1671"/>
      <c r="M32" s="1671"/>
      <c r="N32" s="1672"/>
      <c r="O32" s="1671"/>
      <c r="P32" s="1671"/>
      <c r="Q32" s="1673"/>
      <c r="R32" s="1671"/>
      <c r="S32" s="1672">
        <v>250000</v>
      </c>
      <c r="T32" s="1671" t="s">
        <v>3370</v>
      </c>
      <c r="U32" s="1671"/>
      <c r="V32" s="1671">
        <v>1</v>
      </c>
      <c r="W32" s="1671" t="s">
        <v>3371</v>
      </c>
      <c r="X32" s="397" t="s">
        <v>3372</v>
      </c>
      <c r="Y32" s="1142">
        <f t="shared" si="3"/>
        <v>250</v>
      </c>
      <c r="Z32" s="1671">
        <f>+S32*V32</f>
        <v>250000</v>
      </c>
      <c r="AA32" s="907">
        <f t="shared" si="2"/>
        <v>0</v>
      </c>
      <c r="AB32" s="505"/>
      <c r="AC32" s="1143"/>
      <c r="AD32" s="1143"/>
      <c r="AE32" s="1143"/>
    </row>
    <row r="33" spans="1:31" ht="21.6" customHeight="1">
      <c r="A33" s="2627"/>
      <c r="B33" s="1145"/>
      <c r="C33" s="1126"/>
      <c r="D33" s="1145"/>
      <c r="E33" s="465"/>
      <c r="F33" s="1805"/>
      <c r="G33" s="1805"/>
      <c r="H33" s="404"/>
      <c r="I33" s="1127"/>
      <c r="J33" s="1670" t="s">
        <v>3374</v>
      </c>
      <c r="K33" s="1671"/>
      <c r="L33" s="1671"/>
      <c r="M33" s="1671"/>
      <c r="N33" s="1672"/>
      <c r="O33" s="1671"/>
      <c r="P33" s="1671"/>
      <c r="Q33" s="1673"/>
      <c r="R33" s="1671"/>
      <c r="S33" s="1672">
        <v>2000000</v>
      </c>
      <c r="T33" s="1671" t="s">
        <v>3370</v>
      </c>
      <c r="U33" s="1671"/>
      <c r="V33" s="1671">
        <v>1</v>
      </c>
      <c r="W33" s="1671" t="s">
        <v>3371</v>
      </c>
      <c r="X33" s="397" t="s">
        <v>3372</v>
      </c>
      <c r="Y33" s="1142">
        <f t="shared" si="3"/>
        <v>2000</v>
      </c>
      <c r="Z33" s="1671">
        <f>+S33*V33</f>
        <v>2000000</v>
      </c>
      <c r="AA33" s="907">
        <f t="shared" si="2"/>
        <v>0</v>
      </c>
      <c r="AB33" s="505"/>
      <c r="AC33" s="1143"/>
      <c r="AD33" s="1143"/>
      <c r="AE33" s="1143"/>
    </row>
    <row r="34" spans="1:31" ht="21.6" customHeight="1">
      <c r="A34" s="2627"/>
      <c r="B34" s="1145"/>
      <c r="C34" s="1126"/>
      <c r="D34" s="1145"/>
      <c r="E34" s="465"/>
      <c r="F34" s="1805"/>
      <c r="G34" s="1805"/>
      <c r="H34" s="404"/>
      <c r="I34" s="1127"/>
      <c r="J34" s="1670" t="s">
        <v>3375</v>
      </c>
      <c r="K34" s="1671"/>
      <c r="L34" s="1671"/>
      <c r="M34" s="1671"/>
      <c r="N34" s="1672"/>
      <c r="O34" s="1671"/>
      <c r="P34" s="1671"/>
      <c r="Q34" s="1673"/>
      <c r="R34" s="1671"/>
      <c r="S34" s="1672">
        <v>5625000</v>
      </c>
      <c r="T34" s="1671" t="s">
        <v>3376</v>
      </c>
      <c r="U34" s="1671"/>
      <c r="V34" s="1671">
        <v>4</v>
      </c>
      <c r="W34" s="1671" t="s">
        <v>3377</v>
      </c>
      <c r="X34" s="397" t="s">
        <v>3378</v>
      </c>
      <c r="Y34" s="1142">
        <f t="shared" si="3"/>
        <v>22500</v>
      </c>
      <c r="Z34" s="1671">
        <f>+S34*V34</f>
        <v>22500000</v>
      </c>
      <c r="AA34" s="907">
        <f t="shared" si="2"/>
        <v>0</v>
      </c>
      <c r="AB34" s="505">
        <v>16600000</v>
      </c>
      <c r="AC34" s="1143">
        <f>AB34/V34</f>
        <v>4150000</v>
      </c>
      <c r="AD34" s="1143"/>
      <c r="AE34" s="1143"/>
    </row>
    <row r="35" spans="1:31" ht="21.6" customHeight="1">
      <c r="A35" s="2627"/>
      <c r="B35" s="1145"/>
      <c r="C35" s="1126"/>
      <c r="D35" s="1145"/>
      <c r="E35" s="819"/>
      <c r="F35" s="1471"/>
      <c r="G35" s="1471"/>
      <c r="H35" s="820"/>
      <c r="I35" s="1127"/>
      <c r="J35" s="830" t="s">
        <v>3379</v>
      </c>
      <c r="K35" s="371"/>
      <c r="L35" s="371"/>
      <c r="M35" s="371"/>
      <c r="N35" s="458"/>
      <c r="O35" s="371"/>
      <c r="P35" s="371"/>
      <c r="Q35" s="368"/>
      <c r="R35" s="371"/>
      <c r="S35" s="458">
        <v>600000</v>
      </c>
      <c r="T35" s="371" t="s">
        <v>3376</v>
      </c>
      <c r="U35" s="371"/>
      <c r="V35" s="371">
        <v>2</v>
      </c>
      <c r="W35" s="371" t="s">
        <v>3377</v>
      </c>
      <c r="X35" s="426" t="s">
        <v>3378</v>
      </c>
      <c r="Y35" s="558">
        <f t="shared" si="3"/>
        <v>1200</v>
      </c>
      <c r="Z35" s="1671">
        <f>ROUNDUP(S35*V35,-3)</f>
        <v>1200000</v>
      </c>
      <c r="AA35" s="907">
        <f t="shared" si="2"/>
        <v>0</v>
      </c>
      <c r="AB35" s="505"/>
      <c r="AC35" s="1143"/>
      <c r="AD35" s="1143"/>
      <c r="AE35" s="1143"/>
    </row>
    <row r="36" spans="1:31" ht="21.6" customHeight="1">
      <c r="A36" s="2627"/>
      <c r="B36" s="1145"/>
      <c r="C36" s="1126"/>
      <c r="D36" s="1145"/>
      <c r="E36" s="465" t="s">
        <v>3380</v>
      </c>
      <c r="F36" s="1805">
        <f>+Y36</f>
        <v>16935</v>
      </c>
      <c r="G36" s="1805">
        <v>16935</v>
      </c>
      <c r="H36" s="810"/>
      <c r="I36" s="1127"/>
      <c r="J36" s="1670" t="s">
        <v>3381</v>
      </c>
      <c r="K36" s="1671"/>
      <c r="L36" s="1671"/>
      <c r="M36" s="1671"/>
      <c r="N36" s="1672"/>
      <c r="O36" s="1672"/>
      <c r="P36" s="1671"/>
      <c r="Q36" s="1673"/>
      <c r="R36" s="1671"/>
      <c r="S36" s="1671"/>
      <c r="T36" s="1671"/>
      <c r="U36" s="1671"/>
      <c r="V36" s="1671"/>
      <c r="W36" s="1671"/>
      <c r="X36" s="397"/>
      <c r="Y36" s="1142">
        <f t="shared" si="3"/>
        <v>16935</v>
      </c>
      <c r="Z36" s="1671">
        <f>SUM(Z37:Z43)</f>
        <v>16935000</v>
      </c>
      <c r="AA36" s="907">
        <f t="shared" si="2"/>
        <v>16935000000</v>
      </c>
      <c r="AB36" s="505"/>
      <c r="AC36" s="1143"/>
      <c r="AD36" s="1143"/>
      <c r="AE36" s="1143"/>
    </row>
    <row r="37" spans="1:31" s="1675" customFormat="1" ht="21.6" customHeight="1">
      <c r="A37" s="2627"/>
      <c r="B37" s="1145"/>
      <c r="C37" s="1126"/>
      <c r="D37" s="1145"/>
      <c r="E37" s="465"/>
      <c r="F37" s="1805"/>
      <c r="G37" s="1805"/>
      <c r="H37" s="404"/>
      <c r="I37" s="1127"/>
      <c r="J37" s="1670" t="s">
        <v>3382</v>
      </c>
      <c r="K37" s="1671"/>
      <c r="L37" s="1671"/>
      <c r="M37" s="1671"/>
      <c r="N37" s="1672"/>
      <c r="O37" s="1671"/>
      <c r="P37" s="1671"/>
      <c r="Q37" s="1673">
        <v>10</v>
      </c>
      <c r="R37" s="1671" t="s">
        <v>36</v>
      </c>
      <c r="S37" s="1672">
        <v>25000</v>
      </c>
      <c r="T37" s="1671" t="s">
        <v>0</v>
      </c>
      <c r="U37" s="1671"/>
      <c r="V37" s="1671">
        <v>12</v>
      </c>
      <c r="W37" s="1671" t="s">
        <v>2</v>
      </c>
      <c r="X37" s="397" t="s">
        <v>1</v>
      </c>
      <c r="Y37" s="1142">
        <f t="shared" si="3"/>
        <v>3000</v>
      </c>
      <c r="Z37" s="1671">
        <f>Q37*S37*V37</f>
        <v>3000000</v>
      </c>
      <c r="AA37" s="907">
        <f t="shared" si="2"/>
        <v>0</v>
      </c>
      <c r="AB37" s="505"/>
      <c r="AC37" s="1143"/>
      <c r="AD37" s="1143"/>
      <c r="AE37" s="1143"/>
    </row>
    <row r="38" spans="1:31" ht="21.6" customHeight="1">
      <c r="A38" s="2627"/>
      <c r="B38" s="1145"/>
      <c r="C38" s="1126"/>
      <c r="D38" s="1145"/>
      <c r="E38" s="465"/>
      <c r="F38" s="1805"/>
      <c r="G38" s="1805"/>
      <c r="H38" s="404"/>
      <c r="I38" s="1127"/>
      <c r="J38" s="2623" t="s">
        <v>3383</v>
      </c>
      <c r="K38" s="2624"/>
      <c r="L38" s="2624"/>
      <c r="M38" s="2624"/>
      <c r="N38" s="506"/>
      <c r="O38" s="1671"/>
      <c r="P38" s="1671"/>
      <c r="Q38" s="1671">
        <v>200000</v>
      </c>
      <c r="R38" s="1671" t="s">
        <v>30</v>
      </c>
      <c r="S38" s="1672">
        <v>30</v>
      </c>
      <c r="T38" s="1671" t="s">
        <v>0</v>
      </c>
      <c r="U38" s="1671"/>
      <c r="V38" s="1671">
        <v>1</v>
      </c>
      <c r="W38" s="1671" t="s">
        <v>3</v>
      </c>
      <c r="X38" s="397" t="s">
        <v>1</v>
      </c>
      <c r="Y38" s="1142">
        <f t="shared" si="3"/>
        <v>6000</v>
      </c>
      <c r="Z38" s="1671">
        <f t="shared" ref="Z38:Z42" si="4">Q38*S38*V38</f>
        <v>6000000</v>
      </c>
      <c r="AA38" s="907">
        <f t="shared" si="2"/>
        <v>0</v>
      </c>
      <c r="AB38" s="505"/>
      <c r="AC38" s="1143"/>
      <c r="AD38" s="1143"/>
      <c r="AE38" s="1143"/>
    </row>
    <row r="39" spans="1:31" ht="21.6" customHeight="1">
      <c r="A39" s="2627"/>
      <c r="B39" s="1145"/>
      <c r="C39" s="1126"/>
      <c r="D39" s="1145"/>
      <c r="E39" s="465"/>
      <c r="F39" s="1805"/>
      <c r="G39" s="1805"/>
      <c r="H39" s="404"/>
      <c r="I39" s="1127"/>
      <c r="J39" s="2623" t="s">
        <v>3384</v>
      </c>
      <c r="K39" s="2624"/>
      <c r="L39" s="2624"/>
      <c r="M39" s="2624"/>
      <c r="N39" s="506"/>
      <c r="O39" s="1671"/>
      <c r="P39" s="1671"/>
      <c r="Q39" s="1671">
        <v>50</v>
      </c>
      <c r="R39" s="1671" t="s">
        <v>31</v>
      </c>
      <c r="S39" s="1672">
        <v>5000</v>
      </c>
      <c r="T39" s="1671" t="s">
        <v>0</v>
      </c>
      <c r="U39" s="1671"/>
      <c r="V39" s="1671">
        <v>12</v>
      </c>
      <c r="W39" s="1671" t="s">
        <v>26</v>
      </c>
      <c r="X39" s="397" t="s">
        <v>1</v>
      </c>
      <c r="Y39" s="1142">
        <f t="shared" si="3"/>
        <v>3000</v>
      </c>
      <c r="Z39" s="1671">
        <f t="shared" si="4"/>
        <v>3000000</v>
      </c>
      <c r="AA39" s="907">
        <f t="shared" si="2"/>
        <v>0</v>
      </c>
      <c r="AB39" s="505"/>
      <c r="AC39" s="1143"/>
      <c r="AD39" s="1143"/>
      <c r="AE39" s="1143"/>
    </row>
    <row r="40" spans="1:31" ht="21.6" customHeight="1">
      <c r="A40" s="2627"/>
      <c r="B40" s="1145"/>
      <c r="C40" s="1126"/>
      <c r="D40" s="1145"/>
      <c r="E40" s="465"/>
      <c r="F40" s="1805"/>
      <c r="G40" s="1805"/>
      <c r="H40" s="404"/>
      <c r="I40" s="1127"/>
      <c r="J40" s="2623" t="s">
        <v>3385</v>
      </c>
      <c r="K40" s="2624"/>
      <c r="L40" s="2624"/>
      <c r="M40" s="2624"/>
      <c r="N40" s="506"/>
      <c r="O40" s="1671"/>
      <c r="P40" s="1671"/>
      <c r="Q40" s="1671">
        <v>3</v>
      </c>
      <c r="R40" s="1671" t="s">
        <v>29</v>
      </c>
      <c r="S40" s="1672">
        <v>120000</v>
      </c>
      <c r="T40" s="1671" t="s">
        <v>0</v>
      </c>
      <c r="U40" s="1671"/>
      <c r="V40" s="1671">
        <v>2</v>
      </c>
      <c r="W40" s="1671" t="s">
        <v>3</v>
      </c>
      <c r="X40" s="397" t="s">
        <v>1</v>
      </c>
      <c r="Y40" s="1142">
        <f t="shared" si="3"/>
        <v>720</v>
      </c>
      <c r="Z40" s="1671">
        <f t="shared" si="4"/>
        <v>720000</v>
      </c>
      <c r="AA40" s="907">
        <f t="shared" si="2"/>
        <v>0</v>
      </c>
      <c r="AB40" s="505"/>
      <c r="AC40" s="1143"/>
      <c r="AD40" s="1143"/>
      <c r="AE40" s="1143"/>
    </row>
    <row r="41" spans="1:31" s="1675" customFormat="1" ht="21.6" customHeight="1">
      <c r="A41" s="2627"/>
      <c r="B41" s="1145"/>
      <c r="C41" s="1126"/>
      <c r="D41" s="1145"/>
      <c r="E41" s="465"/>
      <c r="F41" s="1805"/>
      <c r="G41" s="1805"/>
      <c r="H41" s="404"/>
      <c r="I41" s="1127"/>
      <c r="J41" s="2623" t="s">
        <v>3386</v>
      </c>
      <c r="K41" s="2624"/>
      <c r="L41" s="2624"/>
      <c r="M41" s="2624"/>
      <c r="N41" s="506"/>
      <c r="O41" s="1671"/>
      <c r="P41" s="1671"/>
      <c r="Q41" s="1671">
        <v>2</v>
      </c>
      <c r="R41" s="1671" t="s">
        <v>29</v>
      </c>
      <c r="S41" s="1672">
        <v>290000</v>
      </c>
      <c r="T41" s="1671" t="s">
        <v>0</v>
      </c>
      <c r="U41" s="1671"/>
      <c r="V41" s="1671">
        <v>3</v>
      </c>
      <c r="W41" s="1671" t="s">
        <v>3</v>
      </c>
      <c r="X41" s="397" t="s">
        <v>1</v>
      </c>
      <c r="Y41" s="1142">
        <f t="shared" si="3"/>
        <v>1740</v>
      </c>
      <c r="Z41" s="1671">
        <f t="shared" si="4"/>
        <v>1740000</v>
      </c>
      <c r="AA41" s="907">
        <f t="shared" si="2"/>
        <v>0</v>
      </c>
      <c r="AB41" s="505"/>
      <c r="AC41" s="1143"/>
      <c r="AD41" s="1143"/>
      <c r="AE41" s="1143"/>
    </row>
    <row r="42" spans="1:31" ht="21.6" customHeight="1">
      <c r="A42" s="2627"/>
      <c r="B42" s="1145"/>
      <c r="C42" s="1126"/>
      <c r="D42" s="1145"/>
      <c r="E42" s="465"/>
      <c r="F42" s="1805"/>
      <c r="G42" s="1805"/>
      <c r="H42" s="404"/>
      <c r="I42" s="1127"/>
      <c r="J42" s="1670" t="s">
        <v>3387</v>
      </c>
      <c r="K42" s="1671"/>
      <c r="L42" s="1671"/>
      <c r="M42" s="1671"/>
      <c r="N42" s="1672"/>
      <c r="O42" s="1671"/>
      <c r="P42" s="1671"/>
      <c r="Q42" s="1673">
        <v>3</v>
      </c>
      <c r="R42" s="1671" t="s">
        <v>29</v>
      </c>
      <c r="S42" s="1672">
        <v>212500</v>
      </c>
      <c r="T42" s="1671" t="s">
        <v>0</v>
      </c>
      <c r="U42" s="1671"/>
      <c r="V42" s="1671">
        <v>2</v>
      </c>
      <c r="W42" s="1671" t="s">
        <v>3</v>
      </c>
      <c r="X42" s="397" t="s">
        <v>1</v>
      </c>
      <c r="Y42" s="1142">
        <f t="shared" si="3"/>
        <v>1275</v>
      </c>
      <c r="Z42" s="1671">
        <f t="shared" si="4"/>
        <v>1275000</v>
      </c>
      <c r="AA42" s="907">
        <f t="shared" si="2"/>
        <v>0</v>
      </c>
      <c r="AB42" s="505"/>
      <c r="AC42" s="1143"/>
      <c r="AD42" s="1143"/>
      <c r="AE42" s="1143"/>
    </row>
    <row r="43" spans="1:31" ht="21.6" customHeight="1">
      <c r="A43" s="2627"/>
      <c r="B43" s="1145"/>
      <c r="C43" s="1126"/>
      <c r="D43" s="1145"/>
      <c r="E43" s="819"/>
      <c r="F43" s="1471"/>
      <c r="G43" s="1471"/>
      <c r="H43" s="820"/>
      <c r="I43" s="1127"/>
      <c r="J43" s="830" t="s">
        <v>3388</v>
      </c>
      <c r="K43" s="371"/>
      <c r="L43" s="371"/>
      <c r="M43" s="371"/>
      <c r="N43" s="458"/>
      <c r="O43" s="458"/>
      <c r="P43" s="371"/>
      <c r="Q43" s="368"/>
      <c r="R43" s="371"/>
      <c r="S43" s="371">
        <v>100000</v>
      </c>
      <c r="T43" s="371" t="s">
        <v>0</v>
      </c>
      <c r="U43" s="371"/>
      <c r="V43" s="371">
        <v>12</v>
      </c>
      <c r="W43" s="371" t="s">
        <v>2</v>
      </c>
      <c r="X43" s="426" t="s">
        <v>1</v>
      </c>
      <c r="Y43" s="558">
        <f t="shared" si="3"/>
        <v>1200</v>
      </c>
      <c r="Z43" s="1671">
        <f>+S43*V43</f>
        <v>1200000</v>
      </c>
      <c r="AA43" s="907">
        <f t="shared" si="2"/>
        <v>0</v>
      </c>
      <c r="AB43" s="505"/>
      <c r="AC43" s="1143"/>
      <c r="AD43" s="1143"/>
      <c r="AE43" s="1143"/>
    </row>
    <row r="44" spans="1:31" ht="21.6" customHeight="1">
      <c r="A44" s="2627"/>
      <c r="B44" s="1145"/>
      <c r="C44" s="1126"/>
      <c r="D44" s="1145"/>
      <c r="E44" s="809" t="s">
        <v>3389</v>
      </c>
      <c r="F44" s="1468">
        <f>+Y44</f>
        <v>181800</v>
      </c>
      <c r="G44" s="1468">
        <v>181800</v>
      </c>
      <c r="H44" s="810"/>
      <c r="I44" s="1127"/>
      <c r="J44" s="911" t="s">
        <v>3390</v>
      </c>
      <c r="K44" s="815"/>
      <c r="L44" s="815"/>
      <c r="M44" s="815"/>
      <c r="N44" s="450"/>
      <c r="O44" s="450"/>
      <c r="P44" s="815"/>
      <c r="Q44" s="831"/>
      <c r="R44" s="815"/>
      <c r="S44" s="815"/>
      <c r="T44" s="815"/>
      <c r="U44" s="815"/>
      <c r="V44" s="815"/>
      <c r="W44" s="815"/>
      <c r="X44" s="906"/>
      <c r="Y44" s="1891">
        <f t="shared" si="3"/>
        <v>181800</v>
      </c>
      <c r="Z44" s="1671">
        <f>SUM(Z45:Z46)</f>
        <v>181800000</v>
      </c>
      <c r="AA44" s="907">
        <f t="shared" si="2"/>
        <v>181800000000</v>
      </c>
      <c r="AB44" s="505"/>
      <c r="AC44" s="1143"/>
      <c r="AD44" s="1143"/>
      <c r="AE44" s="1143"/>
    </row>
    <row r="45" spans="1:31" ht="21.6" customHeight="1">
      <c r="A45" s="2627"/>
      <c r="B45" s="1145"/>
      <c r="C45" s="1126"/>
      <c r="D45" s="1145"/>
      <c r="E45" s="465"/>
      <c r="F45" s="1805"/>
      <c r="G45" s="1805"/>
      <c r="H45" s="404"/>
      <c r="I45" s="1127"/>
      <c r="J45" s="1670" t="s">
        <v>3391</v>
      </c>
      <c r="K45" s="1671"/>
      <c r="L45" s="1671"/>
      <c r="M45" s="1671"/>
      <c r="N45" s="1672"/>
      <c r="O45" s="1671"/>
      <c r="P45" s="1671"/>
      <c r="Q45" s="1673"/>
      <c r="R45" s="1671"/>
      <c r="S45" s="1672">
        <v>13800000</v>
      </c>
      <c r="T45" s="1671" t="s">
        <v>0</v>
      </c>
      <c r="U45" s="1671"/>
      <c r="V45" s="1673">
        <v>12</v>
      </c>
      <c r="W45" s="1671" t="s">
        <v>2</v>
      </c>
      <c r="X45" s="397" t="s">
        <v>1</v>
      </c>
      <c r="Y45" s="1142">
        <f t="shared" si="3"/>
        <v>165600</v>
      </c>
      <c r="Z45" s="1671">
        <f t="shared" ref="Z45:Z46" si="5">+S45*V45</f>
        <v>165600000</v>
      </c>
      <c r="AA45" s="907">
        <f t="shared" si="2"/>
        <v>0</v>
      </c>
      <c r="AB45" s="505">
        <v>141658000</v>
      </c>
      <c r="AC45" s="1143">
        <f>AB45/V45</f>
        <v>11804833.333333334</v>
      </c>
      <c r="AD45" s="1143"/>
      <c r="AE45" s="1143"/>
    </row>
    <row r="46" spans="1:31" ht="21.6" customHeight="1">
      <c r="A46" s="2627"/>
      <c r="B46" s="1145"/>
      <c r="C46" s="1126"/>
      <c r="D46" s="1145"/>
      <c r="E46" s="465"/>
      <c r="F46" s="1805"/>
      <c r="G46" s="1805"/>
      <c r="H46" s="404"/>
      <c r="I46" s="1127"/>
      <c r="J46" s="1670" t="s">
        <v>3392</v>
      </c>
      <c r="K46" s="1671"/>
      <c r="L46" s="1671"/>
      <c r="M46" s="1671"/>
      <c r="N46" s="1672"/>
      <c r="O46" s="1672"/>
      <c r="P46" s="1671"/>
      <c r="Q46" s="1673"/>
      <c r="R46" s="1671"/>
      <c r="S46" s="1672">
        <v>1350000</v>
      </c>
      <c r="T46" s="1671" t="s">
        <v>0</v>
      </c>
      <c r="U46" s="1671"/>
      <c r="V46" s="1673">
        <v>12</v>
      </c>
      <c r="W46" s="1671" t="s">
        <v>2</v>
      </c>
      <c r="X46" s="397" t="s">
        <v>1</v>
      </c>
      <c r="Y46" s="1142">
        <f t="shared" si="3"/>
        <v>16200</v>
      </c>
      <c r="Z46" s="1671">
        <f t="shared" si="5"/>
        <v>16200000</v>
      </c>
      <c r="AA46" s="907">
        <f t="shared" si="2"/>
        <v>0</v>
      </c>
      <c r="AB46" s="505">
        <v>15435000</v>
      </c>
      <c r="AC46" s="1143">
        <f>AB46/V46</f>
        <v>1286250</v>
      </c>
      <c r="AD46" s="1143"/>
      <c r="AE46" s="1143"/>
    </row>
    <row r="47" spans="1:31" ht="21.6" customHeight="1">
      <c r="A47" s="2627"/>
      <c r="B47" s="1145"/>
      <c r="C47" s="1126"/>
      <c r="D47" s="1145"/>
      <c r="E47" s="809" t="s">
        <v>3393</v>
      </c>
      <c r="F47" s="1468">
        <f>+Y47</f>
        <v>10494</v>
      </c>
      <c r="G47" s="1468">
        <v>10494</v>
      </c>
      <c r="H47" s="810"/>
      <c r="I47" s="1127"/>
      <c r="J47" s="911" t="s">
        <v>3390</v>
      </c>
      <c r="K47" s="815"/>
      <c r="L47" s="815"/>
      <c r="M47" s="815"/>
      <c r="N47" s="450"/>
      <c r="O47" s="450"/>
      <c r="P47" s="815"/>
      <c r="Q47" s="831"/>
      <c r="R47" s="815"/>
      <c r="S47" s="815"/>
      <c r="T47" s="815"/>
      <c r="U47" s="815"/>
      <c r="V47" s="815"/>
      <c r="W47" s="815"/>
      <c r="X47" s="906"/>
      <c r="Y47" s="1891">
        <f>+Z47/1000</f>
        <v>10494</v>
      </c>
      <c r="Z47" s="1671">
        <f>ROUNDDOWN(SUM(Z48:Z49),-3)</f>
        <v>10494000</v>
      </c>
      <c r="AA47" s="907">
        <f t="shared" si="2"/>
        <v>10494000000</v>
      </c>
      <c r="AB47" s="505"/>
      <c r="AC47" s="1143"/>
      <c r="AD47" s="1143"/>
      <c r="AE47" s="1143"/>
    </row>
    <row r="48" spans="1:31" ht="21.6" customHeight="1">
      <c r="A48" s="2627"/>
      <c r="B48" s="1145"/>
      <c r="C48" s="1126"/>
      <c r="D48" s="1145"/>
      <c r="E48" s="465"/>
      <c r="F48" s="1805"/>
      <c r="G48" s="1805"/>
      <c r="H48" s="404"/>
      <c r="I48" s="1127"/>
      <c r="J48" s="1670" t="s">
        <v>3394</v>
      </c>
      <c r="K48" s="1671"/>
      <c r="L48" s="1671"/>
      <c r="M48" s="1671"/>
      <c r="N48" s="1672"/>
      <c r="O48" s="1672"/>
      <c r="P48" s="1671"/>
      <c r="Q48" s="1673"/>
      <c r="R48" s="1671"/>
      <c r="S48" s="1671">
        <v>700000</v>
      </c>
      <c r="T48" s="1671" t="s">
        <v>0</v>
      </c>
      <c r="U48" s="1671"/>
      <c r="V48" s="1671">
        <v>12</v>
      </c>
      <c r="W48" s="1671" t="s">
        <v>2</v>
      </c>
      <c r="X48" s="397" t="s">
        <v>1</v>
      </c>
      <c r="Y48" s="1142">
        <f>Z48/1000</f>
        <v>8400</v>
      </c>
      <c r="Z48" s="1671">
        <f>+S48*V48</f>
        <v>8400000</v>
      </c>
      <c r="AA48" s="907">
        <f t="shared" si="2"/>
        <v>0</v>
      </c>
      <c r="AB48" s="505"/>
      <c r="AC48" s="1143"/>
      <c r="AD48" s="1143"/>
      <c r="AE48" s="1143"/>
    </row>
    <row r="49" spans="1:31" ht="22.5" customHeight="1">
      <c r="A49" s="2627"/>
      <c r="B49" s="1145"/>
      <c r="C49" s="1126"/>
      <c r="D49" s="1145"/>
      <c r="E49" s="819"/>
      <c r="F49" s="1471"/>
      <c r="G49" s="1471"/>
      <c r="H49" s="820"/>
      <c r="I49" s="1127"/>
      <c r="J49" s="830" t="s">
        <v>3395</v>
      </c>
      <c r="K49" s="371"/>
      <c r="L49" s="371"/>
      <c r="M49" s="371"/>
      <c r="N49" s="458"/>
      <c r="O49" s="458"/>
      <c r="P49" s="371"/>
      <c r="Q49" s="368"/>
      <c r="R49" s="371"/>
      <c r="S49" s="371">
        <v>2094000000</v>
      </c>
      <c r="T49" s="371" t="s">
        <v>0</v>
      </c>
      <c r="U49" s="371"/>
      <c r="V49" s="832">
        <v>1E-3</v>
      </c>
      <c r="W49" s="371"/>
      <c r="X49" s="426" t="s">
        <v>1</v>
      </c>
      <c r="Y49" s="558">
        <v>2094</v>
      </c>
      <c r="Z49" s="1671">
        <f>ROUNDDOWN(S49*V49,-3)</f>
        <v>2094000</v>
      </c>
      <c r="AA49" s="907">
        <f t="shared" si="2"/>
        <v>0</v>
      </c>
      <c r="AB49" s="505"/>
      <c r="AC49" s="1143"/>
      <c r="AD49" s="1143"/>
      <c r="AE49" s="1143"/>
    </row>
    <row r="50" spans="1:31" ht="22.5" customHeight="1">
      <c r="A50" s="2627"/>
      <c r="B50" s="1145"/>
      <c r="C50" s="1126"/>
      <c r="D50" s="1145"/>
      <c r="E50" s="465" t="s">
        <v>3396</v>
      </c>
      <c r="F50" s="1805">
        <f>+Y50</f>
        <v>22032</v>
      </c>
      <c r="G50" s="1805">
        <v>22032</v>
      </c>
      <c r="H50" s="404"/>
      <c r="I50" s="1127"/>
      <c r="J50" s="1670" t="s">
        <v>3390</v>
      </c>
      <c r="K50" s="1671"/>
      <c r="L50" s="1671"/>
      <c r="M50" s="1671"/>
      <c r="N50" s="1672"/>
      <c r="O50" s="1672"/>
      <c r="P50" s="1671"/>
      <c r="Q50" s="1673"/>
      <c r="R50" s="1671"/>
      <c r="S50" s="1671"/>
      <c r="T50" s="1671"/>
      <c r="U50" s="1671"/>
      <c r="V50" s="1671"/>
      <c r="W50" s="1671"/>
      <c r="X50" s="397"/>
      <c r="Y50" s="1142">
        <f>+Z50/1000</f>
        <v>22032</v>
      </c>
      <c r="Z50" s="1671">
        <f>SUM(Z51:Z53)</f>
        <v>22032000</v>
      </c>
      <c r="AA50" s="907">
        <f t="shared" si="2"/>
        <v>22032000000</v>
      </c>
      <c r="AB50" s="505"/>
      <c r="AC50" s="1143"/>
      <c r="AD50" s="1143"/>
      <c r="AE50" s="1143"/>
    </row>
    <row r="51" spans="1:31" ht="22.5" customHeight="1">
      <c r="A51" s="2627"/>
      <c r="B51" s="1145"/>
      <c r="C51" s="1126"/>
      <c r="D51" s="1145"/>
      <c r="E51" s="465" t="s">
        <v>3397</v>
      </c>
      <c r="F51" s="1805"/>
      <c r="G51" s="1805"/>
      <c r="H51" s="404"/>
      <c r="I51" s="1127"/>
      <c r="J51" s="1670" t="s">
        <v>3398</v>
      </c>
      <c r="K51" s="1671"/>
      <c r="L51" s="1671"/>
      <c r="M51" s="1671"/>
      <c r="N51" s="1672"/>
      <c r="O51" s="1671">
        <v>14</v>
      </c>
      <c r="P51" s="1671" t="s">
        <v>23</v>
      </c>
      <c r="Q51" s="1673">
        <v>6</v>
      </c>
      <c r="R51" s="1671" t="s">
        <v>28</v>
      </c>
      <c r="S51" s="1672">
        <v>20000</v>
      </c>
      <c r="T51" s="1671" t="s">
        <v>0</v>
      </c>
      <c r="U51" s="1671"/>
      <c r="V51" s="1671">
        <v>12</v>
      </c>
      <c r="W51" s="1671" t="s">
        <v>2</v>
      </c>
      <c r="X51" s="397" t="s">
        <v>1</v>
      </c>
      <c r="Y51" s="1142">
        <f t="shared" ref="Y51:Y53" si="6">+Z51/1000</f>
        <v>20160</v>
      </c>
      <c r="Z51" s="1671">
        <f>O51*Q51*S51*V51</f>
        <v>20160000</v>
      </c>
      <c r="AA51" s="907">
        <f t="shared" si="2"/>
        <v>0</v>
      </c>
      <c r="AB51" s="2333">
        <v>20000</v>
      </c>
      <c r="AC51" s="1143"/>
      <c r="AD51" s="1143"/>
      <c r="AE51" s="1143"/>
    </row>
    <row r="52" spans="1:31" ht="22.5" customHeight="1">
      <c r="A52" s="2627"/>
      <c r="B52" s="1145"/>
      <c r="C52" s="1126"/>
      <c r="D52" s="1145"/>
      <c r="E52" s="465"/>
      <c r="F52" s="1805"/>
      <c r="G52" s="1805"/>
      <c r="H52" s="404"/>
      <c r="I52" s="1127"/>
      <c r="J52" s="1670" t="s">
        <v>3399</v>
      </c>
      <c r="K52" s="1671"/>
      <c r="L52" s="1671"/>
      <c r="M52" s="1671"/>
      <c r="N52" s="1672"/>
      <c r="O52" s="1672">
        <v>2500</v>
      </c>
      <c r="P52" s="1671" t="s">
        <v>0</v>
      </c>
      <c r="Q52" s="1673">
        <v>2</v>
      </c>
      <c r="R52" s="506" t="s">
        <v>32</v>
      </c>
      <c r="S52" s="1671">
        <v>12</v>
      </c>
      <c r="T52" s="1671" t="s">
        <v>28</v>
      </c>
      <c r="U52" s="1671"/>
      <c r="V52" s="1671">
        <v>12</v>
      </c>
      <c r="W52" s="1671" t="s">
        <v>2</v>
      </c>
      <c r="X52" s="397" t="s">
        <v>1</v>
      </c>
      <c r="Y52" s="1142">
        <f t="shared" si="6"/>
        <v>720</v>
      </c>
      <c r="Z52" s="1671">
        <f t="shared" ref="Z52:Z53" si="7">O52*Q52*S52*V52</f>
        <v>720000</v>
      </c>
      <c r="AA52" s="907">
        <f t="shared" si="2"/>
        <v>0</v>
      </c>
      <c r="AB52" s="505"/>
      <c r="AC52" s="1143"/>
      <c r="AD52" s="1143"/>
      <c r="AE52" s="1143"/>
    </row>
    <row r="53" spans="1:31" ht="22.5" customHeight="1">
      <c r="A53" s="2627"/>
      <c r="B53" s="1145"/>
      <c r="C53" s="1126"/>
      <c r="D53" s="1145"/>
      <c r="E53" s="819"/>
      <c r="F53" s="1471"/>
      <c r="G53" s="1471"/>
      <c r="H53" s="820"/>
      <c r="I53" s="1127"/>
      <c r="J53" s="830" t="s">
        <v>3400</v>
      </c>
      <c r="K53" s="371"/>
      <c r="L53" s="371"/>
      <c r="M53" s="371"/>
      <c r="N53" s="458"/>
      <c r="O53" s="458">
        <v>2000</v>
      </c>
      <c r="P53" s="371" t="s">
        <v>0</v>
      </c>
      <c r="Q53" s="368">
        <v>2</v>
      </c>
      <c r="R53" s="371" t="s">
        <v>29</v>
      </c>
      <c r="S53" s="371">
        <v>24</v>
      </c>
      <c r="T53" s="371" t="s">
        <v>28</v>
      </c>
      <c r="U53" s="371"/>
      <c r="V53" s="371">
        <v>12</v>
      </c>
      <c r="W53" s="371" t="s">
        <v>2</v>
      </c>
      <c r="X53" s="426" t="s">
        <v>1</v>
      </c>
      <c r="Y53" s="558">
        <f t="shared" si="6"/>
        <v>1152</v>
      </c>
      <c r="Z53" s="1671">
        <f t="shared" si="7"/>
        <v>1152000</v>
      </c>
      <c r="AA53" s="907">
        <f t="shared" si="2"/>
        <v>0</v>
      </c>
      <c r="AB53" s="505"/>
      <c r="AC53" s="1143"/>
      <c r="AD53" s="1143"/>
      <c r="AE53" s="1143"/>
    </row>
    <row r="54" spans="1:31" ht="22.5" customHeight="1">
      <c r="A54" s="2627"/>
      <c r="B54" s="1145"/>
      <c r="C54" s="1126"/>
      <c r="D54" s="1145"/>
      <c r="E54" s="465" t="s">
        <v>3401</v>
      </c>
      <c r="F54" s="1805">
        <f>+Y54</f>
        <v>123326</v>
      </c>
      <c r="G54" s="1805">
        <v>123326</v>
      </c>
      <c r="H54" s="810"/>
      <c r="I54" s="1127"/>
      <c r="J54" s="1670" t="s">
        <v>3390</v>
      </c>
      <c r="K54" s="1671"/>
      <c r="L54" s="1671"/>
      <c r="M54" s="1671"/>
      <c r="N54" s="1672"/>
      <c r="O54" s="1671"/>
      <c r="P54" s="1671"/>
      <c r="Q54" s="1673"/>
      <c r="R54" s="1671"/>
      <c r="S54" s="1672"/>
      <c r="T54" s="1671"/>
      <c r="U54" s="1671"/>
      <c r="V54" s="1671"/>
      <c r="W54" s="1671"/>
      <c r="X54" s="397"/>
      <c r="Y54" s="1142">
        <f>+Z54/1000</f>
        <v>123326</v>
      </c>
      <c r="Z54" s="1671">
        <f>+Z55+Z62+Z65+Z71+Z76+Z79+Z80+Z81</f>
        <v>123326000</v>
      </c>
      <c r="AA54" s="907">
        <f t="shared" si="2"/>
        <v>123326000000</v>
      </c>
      <c r="AB54" s="505"/>
      <c r="AC54" s="1143"/>
      <c r="AD54" s="1143"/>
      <c r="AE54" s="1143"/>
    </row>
    <row r="55" spans="1:31" ht="22.5" customHeight="1">
      <c r="A55" s="2627"/>
      <c r="B55" s="1145"/>
      <c r="C55" s="1126"/>
      <c r="D55" s="1145"/>
      <c r="E55" s="2338"/>
      <c r="F55" s="2339"/>
      <c r="G55" s="2339"/>
      <c r="H55" s="2340"/>
      <c r="I55" s="1127"/>
      <c r="J55" s="1670" t="s">
        <v>3402</v>
      </c>
      <c r="K55" s="1671"/>
      <c r="L55" s="1671"/>
      <c r="M55" s="1671"/>
      <c r="N55" s="1672"/>
      <c r="O55" s="1671"/>
      <c r="P55" s="1671"/>
      <c r="Q55" s="1673"/>
      <c r="R55" s="1671"/>
      <c r="S55" s="1672"/>
      <c r="T55" s="1671"/>
      <c r="U55" s="1671"/>
      <c r="V55" s="1671"/>
      <c r="W55" s="1671"/>
      <c r="X55" s="397"/>
      <c r="Y55" s="1142">
        <f t="shared" si="3"/>
        <v>24450</v>
      </c>
      <c r="Z55" s="1671">
        <f>SUM(Z56:Z61)</f>
        <v>24450000</v>
      </c>
      <c r="AA55" s="907">
        <f t="shared" si="2"/>
        <v>0</v>
      </c>
      <c r="AB55" s="505"/>
      <c r="AC55" s="1143"/>
      <c r="AD55" s="1143"/>
      <c r="AE55" s="1143"/>
    </row>
    <row r="56" spans="1:31" ht="22.5" customHeight="1">
      <c r="A56" s="2627"/>
      <c r="B56" s="1145"/>
      <c r="C56" s="1126"/>
      <c r="D56" s="1145"/>
      <c r="E56" s="465"/>
      <c r="F56" s="1805"/>
      <c r="G56" s="1115"/>
      <c r="H56" s="404"/>
      <c r="I56" s="1127"/>
      <c r="J56" s="1670" t="s">
        <v>3403</v>
      </c>
      <c r="K56" s="1671"/>
      <c r="L56" s="1671"/>
      <c r="M56" s="1671"/>
      <c r="N56" s="1672"/>
      <c r="O56" s="1671"/>
      <c r="P56" s="1671"/>
      <c r="Q56" s="1673"/>
      <c r="R56" s="1671"/>
      <c r="S56" s="1672">
        <v>9000000</v>
      </c>
      <c r="T56" s="1671" t="s">
        <v>0</v>
      </c>
      <c r="U56" s="1671"/>
      <c r="V56" s="1671">
        <v>1</v>
      </c>
      <c r="W56" s="1671" t="s">
        <v>3</v>
      </c>
      <c r="X56" s="397" t="s">
        <v>3378</v>
      </c>
      <c r="Y56" s="1142">
        <f t="shared" si="3"/>
        <v>9000</v>
      </c>
      <c r="Z56" s="1671">
        <f>S56*V56</f>
        <v>9000000</v>
      </c>
      <c r="AA56" s="907">
        <f t="shared" si="2"/>
        <v>0</v>
      </c>
      <c r="AB56" s="505"/>
      <c r="AC56" s="1143"/>
      <c r="AD56" s="1143"/>
      <c r="AE56" s="1143"/>
    </row>
    <row r="57" spans="1:31" ht="22.5" customHeight="1">
      <c r="A57" s="2627"/>
      <c r="B57" s="1145"/>
      <c r="C57" s="1126"/>
      <c r="D57" s="1145"/>
      <c r="E57" s="465"/>
      <c r="F57" s="1805"/>
      <c r="G57" s="1115"/>
      <c r="H57" s="404"/>
      <c r="I57" s="1127"/>
      <c r="J57" s="1670" t="s">
        <v>3404</v>
      </c>
      <c r="K57" s="1671"/>
      <c r="L57" s="1671"/>
      <c r="M57" s="1671"/>
      <c r="N57" s="1672"/>
      <c r="O57" s="1671"/>
      <c r="P57" s="1671"/>
      <c r="Q57" s="1673"/>
      <c r="R57" s="1671"/>
      <c r="S57" s="1672">
        <v>2500000</v>
      </c>
      <c r="T57" s="1671" t="s">
        <v>0</v>
      </c>
      <c r="U57" s="1671"/>
      <c r="V57" s="1671">
        <v>2</v>
      </c>
      <c r="W57" s="1671" t="s">
        <v>3</v>
      </c>
      <c r="X57" s="397" t="s">
        <v>3378</v>
      </c>
      <c r="Y57" s="1142">
        <f t="shared" si="3"/>
        <v>5000</v>
      </c>
      <c r="Z57" s="1671">
        <f>S57*V57</f>
        <v>5000000</v>
      </c>
      <c r="AA57" s="907">
        <f t="shared" si="2"/>
        <v>0</v>
      </c>
      <c r="AB57" s="505"/>
      <c r="AC57" s="1143"/>
      <c r="AD57" s="1143"/>
      <c r="AE57" s="1143"/>
    </row>
    <row r="58" spans="1:31" ht="22.5" customHeight="1">
      <c r="A58" s="2627"/>
      <c r="B58" s="1145"/>
      <c r="C58" s="1126"/>
      <c r="D58" s="1145"/>
      <c r="E58" s="465"/>
      <c r="F58" s="1805"/>
      <c r="G58" s="1115"/>
      <c r="H58" s="404"/>
      <c r="I58" s="1127"/>
      <c r="J58" s="1670" t="s">
        <v>3405</v>
      </c>
      <c r="K58" s="1671"/>
      <c r="L58" s="1671"/>
      <c r="M58" s="1671"/>
      <c r="N58" s="1672"/>
      <c r="O58" s="1671"/>
      <c r="P58" s="1671"/>
      <c r="Q58" s="1673"/>
      <c r="R58" s="1671"/>
      <c r="S58" s="1672">
        <v>2500000</v>
      </c>
      <c r="T58" s="1671" t="s">
        <v>0</v>
      </c>
      <c r="U58" s="1671"/>
      <c r="V58" s="1671">
        <v>1</v>
      </c>
      <c r="W58" s="1671" t="s">
        <v>3</v>
      </c>
      <c r="X58" s="397" t="s">
        <v>3378</v>
      </c>
      <c r="Y58" s="1142">
        <f t="shared" si="3"/>
        <v>2500</v>
      </c>
      <c r="Z58" s="1671">
        <f>S58*V58</f>
        <v>2500000</v>
      </c>
      <c r="AA58" s="907">
        <f t="shared" si="2"/>
        <v>0</v>
      </c>
      <c r="AB58" s="505"/>
      <c r="AC58" s="1143"/>
      <c r="AD58" s="1143"/>
      <c r="AE58" s="1143"/>
    </row>
    <row r="59" spans="1:31" ht="22.5" customHeight="1">
      <c r="A59" s="2627"/>
      <c r="B59" s="1145"/>
      <c r="C59" s="1126"/>
      <c r="D59" s="1145"/>
      <c r="E59" s="465"/>
      <c r="F59" s="1805"/>
      <c r="G59" s="1115"/>
      <c r="H59" s="404"/>
      <c r="I59" s="1127"/>
      <c r="J59" s="1670" t="s">
        <v>3406</v>
      </c>
      <c r="K59" s="1671"/>
      <c r="L59" s="1671"/>
      <c r="M59" s="1671"/>
      <c r="N59" s="1672"/>
      <c r="O59" s="1671"/>
      <c r="P59" s="1671"/>
      <c r="Q59" s="1673">
        <v>4</v>
      </c>
      <c r="R59" s="1671" t="s">
        <v>29</v>
      </c>
      <c r="S59" s="1672">
        <v>300000</v>
      </c>
      <c r="T59" s="1671" t="s">
        <v>0</v>
      </c>
      <c r="U59" s="1671"/>
      <c r="V59" s="1860">
        <v>1</v>
      </c>
      <c r="W59" s="1671" t="s">
        <v>3</v>
      </c>
      <c r="X59" s="397" t="s">
        <v>3378</v>
      </c>
      <c r="Y59" s="1142">
        <f t="shared" si="3"/>
        <v>1200</v>
      </c>
      <c r="Z59" s="1671">
        <f>S59*V59*Q59</f>
        <v>1200000</v>
      </c>
      <c r="AA59" s="907">
        <f t="shared" si="2"/>
        <v>0</v>
      </c>
      <c r="AB59" s="505"/>
      <c r="AC59" s="1143"/>
      <c r="AD59" s="1143"/>
      <c r="AE59" s="1143"/>
    </row>
    <row r="60" spans="1:31" ht="22.5" customHeight="1">
      <c r="A60" s="2627"/>
      <c r="B60" s="1145"/>
      <c r="C60" s="1126"/>
      <c r="D60" s="1145"/>
      <c r="E60" s="465"/>
      <c r="F60" s="1805"/>
      <c r="G60" s="1115"/>
      <c r="H60" s="404"/>
      <c r="I60" s="1127"/>
      <c r="J60" s="1670" t="s">
        <v>3407</v>
      </c>
      <c r="K60" s="1671"/>
      <c r="L60" s="1671"/>
      <c r="M60" s="1671"/>
      <c r="N60" s="1672"/>
      <c r="O60" s="1671"/>
      <c r="P60" s="1671"/>
      <c r="Q60" s="1673">
        <v>9</v>
      </c>
      <c r="R60" s="1671" t="s">
        <v>29</v>
      </c>
      <c r="S60" s="1672">
        <v>1500000</v>
      </c>
      <c r="T60" s="1671" t="s">
        <v>0</v>
      </c>
      <c r="U60" s="1671"/>
      <c r="V60" s="1702">
        <v>0.3</v>
      </c>
      <c r="W60" s="1671" t="s">
        <v>3</v>
      </c>
      <c r="X60" s="397" t="s">
        <v>3378</v>
      </c>
      <c r="Y60" s="1142">
        <f t="shared" si="3"/>
        <v>4050</v>
      </c>
      <c r="Z60" s="1671">
        <f>ROUNDDOWN(S60*V60*Q60,-1)</f>
        <v>4050000</v>
      </c>
      <c r="AA60" s="907">
        <f t="shared" si="2"/>
        <v>0</v>
      </c>
      <c r="AB60" s="505"/>
      <c r="AC60" s="1143"/>
      <c r="AD60" s="1143"/>
      <c r="AE60" s="1143"/>
    </row>
    <row r="61" spans="1:31" ht="22.5" customHeight="1">
      <c r="A61" s="2627"/>
      <c r="B61" s="1145"/>
      <c r="C61" s="1126"/>
      <c r="D61" s="1145"/>
      <c r="E61" s="465"/>
      <c r="F61" s="1805"/>
      <c r="G61" s="1115"/>
      <c r="H61" s="404"/>
      <c r="I61" s="1127"/>
      <c r="J61" s="1670" t="s">
        <v>3408</v>
      </c>
      <c r="K61" s="1671"/>
      <c r="L61" s="1671"/>
      <c r="M61" s="1671"/>
      <c r="N61" s="1672"/>
      <c r="O61" s="1671"/>
      <c r="P61" s="1671"/>
      <c r="Q61" s="1673"/>
      <c r="R61" s="1671"/>
      <c r="S61" s="1672">
        <v>9000000</v>
      </c>
      <c r="T61" s="1671" t="s">
        <v>0</v>
      </c>
      <c r="U61" s="1671"/>
      <c r="V61" s="2026">
        <v>0.3</v>
      </c>
      <c r="W61" s="1671" t="s">
        <v>3</v>
      </c>
      <c r="X61" s="397" t="s">
        <v>3378</v>
      </c>
      <c r="Y61" s="1142">
        <f t="shared" si="3"/>
        <v>2700</v>
      </c>
      <c r="Z61" s="1671">
        <f>S61*V61</f>
        <v>2700000</v>
      </c>
      <c r="AA61" s="907">
        <f t="shared" si="2"/>
        <v>0</v>
      </c>
      <c r="AB61" s="505"/>
      <c r="AC61" s="1143"/>
      <c r="AD61" s="1143"/>
      <c r="AE61" s="1143"/>
    </row>
    <row r="62" spans="1:31" ht="22.5" customHeight="1">
      <c r="A62" s="2627"/>
      <c r="B62" s="1145"/>
      <c r="C62" s="1126"/>
      <c r="D62" s="1145"/>
      <c r="E62" s="465"/>
      <c r="F62" s="1805"/>
      <c r="G62" s="1115"/>
      <c r="H62" s="404"/>
      <c r="I62" s="1127"/>
      <c r="J62" s="1670" t="s">
        <v>3409</v>
      </c>
      <c r="K62" s="1671"/>
      <c r="L62" s="1671"/>
      <c r="M62" s="1671"/>
      <c r="N62" s="1672"/>
      <c r="O62" s="1671"/>
      <c r="P62" s="1671"/>
      <c r="Q62" s="1673"/>
      <c r="R62" s="1671"/>
      <c r="S62" s="1672"/>
      <c r="T62" s="1671"/>
      <c r="U62" s="1671"/>
      <c r="V62" s="1671"/>
      <c r="W62" s="1671"/>
      <c r="X62" s="397"/>
      <c r="Y62" s="1142">
        <f>SUM(Y63:Y64)</f>
        <v>21688</v>
      </c>
      <c r="Z62" s="1671">
        <f>SUM(Z63:Z64)</f>
        <v>21688000</v>
      </c>
      <c r="AA62" s="907">
        <f t="shared" si="2"/>
        <v>0</v>
      </c>
      <c r="AB62" s="505"/>
      <c r="AC62" s="1143"/>
      <c r="AD62" s="1143"/>
      <c r="AE62" s="1143"/>
    </row>
    <row r="63" spans="1:31" ht="22.5" customHeight="1">
      <c r="A63" s="2627"/>
      <c r="B63" s="1145"/>
      <c r="C63" s="1126"/>
      <c r="D63" s="1145"/>
      <c r="E63" s="465"/>
      <c r="F63" s="1805"/>
      <c r="G63" s="1115"/>
      <c r="H63" s="404"/>
      <c r="I63" s="1127"/>
      <c r="J63" s="1670" t="s">
        <v>3410</v>
      </c>
      <c r="K63" s="1671"/>
      <c r="L63" s="1671"/>
      <c r="M63" s="1671"/>
      <c r="N63" s="1672"/>
      <c r="O63" s="1671"/>
      <c r="P63" s="1671"/>
      <c r="Q63" s="1673">
        <v>160</v>
      </c>
      <c r="R63" s="1671" t="s">
        <v>39</v>
      </c>
      <c r="S63" s="1672">
        <v>7700</v>
      </c>
      <c r="T63" s="1671" t="s">
        <v>0</v>
      </c>
      <c r="U63" s="1671"/>
      <c r="V63" s="1671">
        <v>2</v>
      </c>
      <c r="W63" s="1671" t="s">
        <v>3</v>
      </c>
      <c r="X63" s="397" t="s">
        <v>3372</v>
      </c>
      <c r="Y63" s="1142">
        <f>+Z63/1000</f>
        <v>2464</v>
      </c>
      <c r="Z63" s="1671">
        <f>ROUNDUP(V63*S63*Q63,-3)</f>
        <v>2464000</v>
      </c>
      <c r="AA63" s="907">
        <f t="shared" si="2"/>
        <v>0</v>
      </c>
      <c r="AB63" s="505"/>
      <c r="AC63" s="1143"/>
      <c r="AD63" s="1143"/>
      <c r="AE63" s="1143"/>
    </row>
    <row r="64" spans="1:31" ht="22.5" customHeight="1">
      <c r="A64" s="2627"/>
      <c r="B64" s="1145"/>
      <c r="C64" s="1126"/>
      <c r="D64" s="1145"/>
      <c r="E64" s="465"/>
      <c r="F64" s="1805"/>
      <c r="G64" s="1115"/>
      <c r="H64" s="404"/>
      <c r="I64" s="1127"/>
      <c r="J64" s="1670" t="s">
        <v>3411</v>
      </c>
      <c r="K64" s="1671"/>
      <c r="L64" s="1671"/>
      <c r="M64" s="1671"/>
      <c r="N64" s="1672"/>
      <c r="O64" s="1671"/>
      <c r="P64" s="1671"/>
      <c r="Q64" s="1673">
        <v>3670</v>
      </c>
      <c r="R64" s="1671" t="s">
        <v>40</v>
      </c>
      <c r="S64" s="1672">
        <v>32738</v>
      </c>
      <c r="T64" s="1671" t="s">
        <v>0</v>
      </c>
      <c r="U64" s="1671"/>
      <c r="V64" s="1702">
        <v>0.16</v>
      </c>
      <c r="W64" s="1671" t="s">
        <v>3</v>
      </c>
      <c r="X64" s="397" t="s">
        <v>3372</v>
      </c>
      <c r="Y64" s="1142">
        <f>+Z64/1000</f>
        <v>19224</v>
      </c>
      <c r="Z64" s="1671">
        <f>ROUNDUP(V64*S64*Q64,-3)</f>
        <v>19224000</v>
      </c>
      <c r="AA64" s="907">
        <f t="shared" si="2"/>
        <v>0</v>
      </c>
      <c r="AB64" s="505"/>
      <c r="AC64" s="1143"/>
      <c r="AD64" s="1143"/>
      <c r="AE64" s="1143"/>
    </row>
    <row r="65" spans="1:31" ht="22.5" customHeight="1">
      <c r="A65" s="2627"/>
      <c r="B65" s="1145"/>
      <c r="C65" s="1126"/>
      <c r="D65" s="1145"/>
      <c r="E65" s="465"/>
      <c r="F65" s="1805"/>
      <c r="G65" s="1115"/>
      <c r="H65" s="404"/>
      <c r="I65" s="1127"/>
      <c r="J65" s="1670" t="s">
        <v>3412</v>
      </c>
      <c r="K65" s="1671"/>
      <c r="L65" s="1671"/>
      <c r="M65" s="1671"/>
      <c r="N65" s="1672"/>
      <c r="O65" s="1671"/>
      <c r="P65" s="1671"/>
      <c r="Q65" s="1673"/>
      <c r="R65" s="1671"/>
      <c r="S65" s="1672"/>
      <c r="T65" s="1671"/>
      <c r="U65" s="1671"/>
      <c r="V65" s="1671"/>
      <c r="W65" s="1671"/>
      <c r="X65" s="397"/>
      <c r="Y65" s="1142">
        <f>SUM(Y66:Y70)</f>
        <v>17400</v>
      </c>
      <c r="Z65" s="1671">
        <f>SUM(Z66:Z70)</f>
        <v>17400000</v>
      </c>
      <c r="AA65" s="907">
        <f t="shared" si="2"/>
        <v>0</v>
      </c>
      <c r="AB65" s="505"/>
      <c r="AC65" s="1143"/>
      <c r="AD65" s="1143"/>
      <c r="AE65" s="1143"/>
    </row>
    <row r="66" spans="1:31" ht="22.5" customHeight="1">
      <c r="A66" s="2627"/>
      <c r="B66" s="1145"/>
      <c r="C66" s="1126"/>
      <c r="D66" s="1145"/>
      <c r="E66" s="465"/>
      <c r="F66" s="1805"/>
      <c r="G66" s="1115"/>
      <c r="H66" s="404"/>
      <c r="I66" s="1127"/>
      <c r="J66" s="1670" t="s">
        <v>3413</v>
      </c>
      <c r="K66" s="1671"/>
      <c r="L66" s="1671"/>
      <c r="M66" s="1671"/>
      <c r="N66" s="1672"/>
      <c r="O66" s="1671"/>
      <c r="P66" s="1671"/>
      <c r="Q66" s="1673"/>
      <c r="R66" s="1671"/>
      <c r="S66" s="1672">
        <v>6100000</v>
      </c>
      <c r="T66" s="1671" t="s">
        <v>0</v>
      </c>
      <c r="U66" s="1671"/>
      <c r="V66" s="1671">
        <v>1</v>
      </c>
      <c r="W66" s="1671" t="s">
        <v>3</v>
      </c>
      <c r="X66" s="397" t="s">
        <v>3372</v>
      </c>
      <c r="Y66" s="1142">
        <f>+Z66/1000</f>
        <v>6100</v>
      </c>
      <c r="Z66" s="1671">
        <f>S66*V66</f>
        <v>6100000</v>
      </c>
      <c r="AA66" s="907">
        <f t="shared" si="2"/>
        <v>0</v>
      </c>
      <c r="AB66" s="505"/>
      <c r="AC66" s="1143"/>
      <c r="AD66" s="1143"/>
      <c r="AE66" s="1143"/>
    </row>
    <row r="67" spans="1:31" ht="22.5" customHeight="1">
      <c r="A67" s="2627"/>
      <c r="B67" s="1145"/>
      <c r="C67" s="1126"/>
      <c r="D67" s="1145"/>
      <c r="E67" s="465"/>
      <c r="F67" s="1805"/>
      <c r="G67" s="1115"/>
      <c r="H67" s="404"/>
      <c r="I67" s="1127"/>
      <c r="J67" s="1670" t="s">
        <v>3414</v>
      </c>
      <c r="K67" s="1671"/>
      <c r="L67" s="1671"/>
      <c r="M67" s="1671"/>
      <c r="N67" s="1672"/>
      <c r="O67" s="1671"/>
      <c r="P67" s="1671"/>
      <c r="Q67" s="1673"/>
      <c r="R67" s="1671"/>
      <c r="S67" s="1672">
        <v>900000</v>
      </c>
      <c r="T67" s="1671" t="s">
        <v>0</v>
      </c>
      <c r="U67" s="1671"/>
      <c r="V67" s="1671">
        <v>1</v>
      </c>
      <c r="W67" s="1671" t="s">
        <v>3</v>
      </c>
      <c r="X67" s="397" t="s">
        <v>3372</v>
      </c>
      <c r="Y67" s="1142">
        <v>900</v>
      </c>
      <c r="Z67" s="1671">
        <f>S67*V67</f>
        <v>900000</v>
      </c>
      <c r="AA67" s="907">
        <f t="shared" si="2"/>
        <v>0</v>
      </c>
      <c r="AB67" s="505"/>
      <c r="AC67" s="1143"/>
      <c r="AD67" s="1143"/>
      <c r="AE67" s="1143"/>
    </row>
    <row r="68" spans="1:31" ht="22.5" customHeight="1">
      <c r="A68" s="2627"/>
      <c r="B68" s="1145"/>
      <c r="C68" s="1126"/>
      <c r="D68" s="1145"/>
      <c r="E68" s="465"/>
      <c r="F68" s="1805"/>
      <c r="G68" s="1115"/>
      <c r="H68" s="404"/>
      <c r="I68" s="1127"/>
      <c r="J68" s="1670" t="s">
        <v>3415</v>
      </c>
      <c r="K68" s="1671"/>
      <c r="L68" s="1671"/>
      <c r="M68" s="1671"/>
      <c r="N68" s="1672"/>
      <c r="O68" s="1671"/>
      <c r="P68" s="1671"/>
      <c r="Q68" s="1673"/>
      <c r="R68" s="1671"/>
      <c r="S68" s="1672">
        <v>2000000</v>
      </c>
      <c r="T68" s="1671" t="s">
        <v>0</v>
      </c>
      <c r="U68" s="1671"/>
      <c r="V68" s="1702">
        <v>1</v>
      </c>
      <c r="W68" s="1671" t="s">
        <v>3</v>
      </c>
      <c r="X68" s="397" t="s">
        <v>3372</v>
      </c>
      <c r="Y68" s="1142">
        <f>+Z68/1000</f>
        <v>2000</v>
      </c>
      <c r="Z68" s="1671">
        <f>V68*S68</f>
        <v>2000000</v>
      </c>
      <c r="AA68" s="907">
        <f t="shared" si="2"/>
        <v>0</v>
      </c>
      <c r="AB68" s="505"/>
      <c r="AC68" s="1143"/>
      <c r="AD68" s="1143"/>
      <c r="AE68" s="1143"/>
    </row>
    <row r="69" spans="1:31" ht="22.5" customHeight="1">
      <c r="A69" s="2627"/>
      <c r="B69" s="1145"/>
      <c r="C69" s="1126"/>
      <c r="D69" s="1145"/>
      <c r="E69" s="465"/>
      <c r="F69" s="1805"/>
      <c r="G69" s="1115"/>
      <c r="H69" s="404"/>
      <c r="I69" s="1127"/>
      <c r="J69" s="1670" t="s">
        <v>3416</v>
      </c>
      <c r="K69" s="1671"/>
      <c r="L69" s="1671"/>
      <c r="M69" s="1671"/>
      <c r="N69" s="1672"/>
      <c r="O69" s="1671"/>
      <c r="P69" s="1671"/>
      <c r="Q69" s="1673"/>
      <c r="R69" s="1671"/>
      <c r="S69" s="1672">
        <v>2000000</v>
      </c>
      <c r="T69" s="1671" t="s">
        <v>0</v>
      </c>
      <c r="U69" s="1671"/>
      <c r="V69" s="1702">
        <v>1</v>
      </c>
      <c r="W69" s="1671" t="s">
        <v>3</v>
      </c>
      <c r="X69" s="397" t="s">
        <v>3372</v>
      </c>
      <c r="Y69" s="1142">
        <f>+Z69/1000</f>
        <v>2000</v>
      </c>
      <c r="Z69" s="1671">
        <f>V69*S69</f>
        <v>2000000</v>
      </c>
      <c r="AA69" s="907">
        <f t="shared" si="2"/>
        <v>0</v>
      </c>
      <c r="AB69" s="505"/>
      <c r="AC69" s="1143"/>
      <c r="AD69" s="1143"/>
      <c r="AE69" s="1143"/>
    </row>
    <row r="70" spans="1:31" ht="22.5" customHeight="1">
      <c r="A70" s="2627"/>
      <c r="B70" s="1145"/>
      <c r="C70" s="1126"/>
      <c r="D70" s="1145"/>
      <c r="E70" s="465"/>
      <c r="F70" s="1805"/>
      <c r="G70" s="1115"/>
      <c r="H70" s="404"/>
      <c r="I70" s="1127"/>
      <c r="J70" s="1670" t="s">
        <v>3417</v>
      </c>
      <c r="K70" s="1671"/>
      <c r="L70" s="1671"/>
      <c r="M70" s="1671"/>
      <c r="N70" s="1672"/>
      <c r="O70" s="1671"/>
      <c r="P70" s="1671"/>
      <c r="Q70" s="1673">
        <v>16</v>
      </c>
      <c r="R70" s="1671" t="s">
        <v>41</v>
      </c>
      <c r="S70" s="1672">
        <v>800000</v>
      </c>
      <c r="T70" s="1671" t="s">
        <v>0</v>
      </c>
      <c r="U70" s="1671"/>
      <c r="V70" s="1702">
        <v>0.5</v>
      </c>
      <c r="W70" s="1671" t="s">
        <v>3</v>
      </c>
      <c r="X70" s="397" t="s">
        <v>3372</v>
      </c>
      <c r="Y70" s="1142">
        <f>+Z70/1000</f>
        <v>6400</v>
      </c>
      <c r="Z70" s="1671">
        <f>V70*S70*Q70</f>
        <v>6400000</v>
      </c>
      <c r="AA70" s="907">
        <f t="shared" si="2"/>
        <v>0</v>
      </c>
      <c r="AB70" s="505"/>
      <c r="AC70" s="1143"/>
      <c r="AD70" s="1143"/>
      <c r="AE70" s="1143"/>
    </row>
    <row r="71" spans="1:31" ht="22.5" customHeight="1">
      <c r="A71" s="2627"/>
      <c r="B71" s="1145"/>
      <c r="C71" s="1126"/>
      <c r="D71" s="1145"/>
      <c r="E71" s="465"/>
      <c r="F71" s="1805"/>
      <c r="G71" s="1115"/>
      <c r="H71" s="404"/>
      <c r="I71" s="1127"/>
      <c r="J71" s="1670" t="s">
        <v>3418</v>
      </c>
      <c r="K71" s="1671"/>
      <c r="L71" s="1671"/>
      <c r="M71" s="1671"/>
      <c r="N71" s="1672"/>
      <c r="O71" s="1671"/>
      <c r="P71" s="1671"/>
      <c r="Q71" s="1673"/>
      <c r="R71" s="1671"/>
      <c r="S71" s="1672"/>
      <c r="T71" s="1671"/>
      <c r="U71" s="1671"/>
      <c r="V71" s="1671"/>
      <c r="W71" s="1671"/>
      <c r="X71" s="397"/>
      <c r="Y71" s="1142">
        <f>SUM(Y72:Y75)</f>
        <v>11000</v>
      </c>
      <c r="Z71" s="1671">
        <f>SUM(Z72:Z75)</f>
        <v>11000000</v>
      </c>
      <c r="AA71" s="907">
        <f t="shared" si="2"/>
        <v>0</v>
      </c>
      <c r="AB71" s="505"/>
      <c r="AC71" s="1143"/>
      <c r="AD71" s="1143"/>
      <c r="AE71" s="1143"/>
    </row>
    <row r="72" spans="1:31" ht="22.5" customHeight="1">
      <c r="A72" s="2627"/>
      <c r="B72" s="1145"/>
      <c r="C72" s="1126"/>
      <c r="D72" s="1145"/>
      <c r="E72" s="465"/>
      <c r="F72" s="1805"/>
      <c r="G72" s="1115"/>
      <c r="H72" s="404"/>
      <c r="I72" s="1127"/>
      <c r="J72" s="1670" t="s">
        <v>3419</v>
      </c>
      <c r="K72" s="1671"/>
      <c r="L72" s="1671"/>
      <c r="M72" s="1671"/>
      <c r="N72" s="1672"/>
      <c r="O72" s="1671"/>
      <c r="P72" s="1671"/>
      <c r="Q72" s="1673">
        <v>50</v>
      </c>
      <c r="R72" s="1671" t="s">
        <v>29</v>
      </c>
      <c r="S72" s="1672">
        <v>200000</v>
      </c>
      <c r="T72" s="1671" t="s">
        <v>0</v>
      </c>
      <c r="U72" s="1671"/>
      <c r="V72" s="1702">
        <v>0.5</v>
      </c>
      <c r="W72" s="1671" t="s">
        <v>3</v>
      </c>
      <c r="X72" s="397" t="s">
        <v>3372</v>
      </c>
      <c r="Y72" s="1142">
        <f t="shared" ref="Y72:Y106" si="8">+Z72/1000</f>
        <v>5000</v>
      </c>
      <c r="Z72" s="1671">
        <f>V72*S72*Q72</f>
        <v>5000000</v>
      </c>
      <c r="AA72" s="907">
        <f t="shared" si="2"/>
        <v>0</v>
      </c>
      <c r="AB72" s="505"/>
      <c r="AC72" s="1143"/>
      <c r="AD72" s="1143"/>
      <c r="AE72" s="1143"/>
    </row>
    <row r="73" spans="1:31" ht="22.5" customHeight="1">
      <c r="A73" s="2627"/>
      <c r="B73" s="1145"/>
      <c r="C73" s="1126"/>
      <c r="D73" s="1145"/>
      <c r="E73" s="465"/>
      <c r="F73" s="1805"/>
      <c r="G73" s="1115"/>
      <c r="H73" s="404"/>
      <c r="I73" s="1127"/>
      <c r="J73" s="1670" t="s">
        <v>3420</v>
      </c>
      <c r="K73" s="1671"/>
      <c r="L73" s="1671"/>
      <c r="M73" s="1671"/>
      <c r="N73" s="1672"/>
      <c r="O73" s="1671"/>
      <c r="P73" s="1671"/>
      <c r="Q73" s="1673">
        <v>6</v>
      </c>
      <c r="R73" s="1671" t="s">
        <v>42</v>
      </c>
      <c r="S73" s="1672">
        <v>500000</v>
      </c>
      <c r="T73" s="1671" t="s">
        <v>0</v>
      </c>
      <c r="U73" s="1671"/>
      <c r="V73" s="1702">
        <v>0.5</v>
      </c>
      <c r="W73" s="1671" t="s">
        <v>3</v>
      </c>
      <c r="X73" s="397" t="s">
        <v>3372</v>
      </c>
      <c r="Y73" s="1142">
        <f t="shared" si="8"/>
        <v>1500</v>
      </c>
      <c r="Z73" s="1671">
        <f>V73*S73*Q73</f>
        <v>1500000</v>
      </c>
      <c r="AA73" s="907">
        <f t="shared" si="2"/>
        <v>0</v>
      </c>
      <c r="AB73" s="505"/>
      <c r="AC73" s="1143"/>
      <c r="AD73" s="1143"/>
      <c r="AE73" s="1143"/>
    </row>
    <row r="74" spans="1:31" ht="22.5" customHeight="1">
      <c r="A74" s="2627"/>
      <c r="B74" s="1145"/>
      <c r="C74" s="1126"/>
      <c r="D74" s="1145"/>
      <c r="E74" s="465"/>
      <c r="F74" s="1805"/>
      <c r="G74" s="1115"/>
      <c r="H74" s="404"/>
      <c r="I74" s="1127"/>
      <c r="J74" s="1670" t="s">
        <v>3421</v>
      </c>
      <c r="K74" s="1671"/>
      <c r="L74" s="1671"/>
      <c r="M74" s="1671"/>
      <c r="N74" s="1672"/>
      <c r="O74" s="1671"/>
      <c r="P74" s="1671"/>
      <c r="Q74" s="1673">
        <v>2</v>
      </c>
      <c r="R74" s="1671" t="s">
        <v>29</v>
      </c>
      <c r="S74" s="1672">
        <v>750000</v>
      </c>
      <c r="T74" s="1671" t="s">
        <v>0</v>
      </c>
      <c r="U74" s="1671"/>
      <c r="V74" s="1702">
        <v>0.6</v>
      </c>
      <c r="W74" s="1671" t="s">
        <v>3</v>
      </c>
      <c r="X74" s="397" t="s">
        <v>3372</v>
      </c>
      <c r="Y74" s="1142">
        <f t="shared" si="8"/>
        <v>900</v>
      </c>
      <c r="Z74" s="1671">
        <f>V74*S74*Q74</f>
        <v>900000</v>
      </c>
      <c r="AA74" s="907">
        <f t="shared" si="2"/>
        <v>0</v>
      </c>
      <c r="AB74" s="505"/>
      <c r="AC74" s="1143"/>
      <c r="AD74" s="1143"/>
      <c r="AE74" s="1143"/>
    </row>
    <row r="75" spans="1:31" ht="22.5" customHeight="1">
      <c r="A75" s="2627"/>
      <c r="B75" s="1145"/>
      <c r="C75" s="1126"/>
      <c r="D75" s="1145"/>
      <c r="E75" s="465"/>
      <c r="F75" s="1805"/>
      <c r="G75" s="1115"/>
      <c r="H75" s="404"/>
      <c r="I75" s="1127"/>
      <c r="J75" s="1670" t="s">
        <v>3422</v>
      </c>
      <c r="K75" s="1671"/>
      <c r="L75" s="1671"/>
      <c r="M75" s="1671"/>
      <c r="N75" s="1672"/>
      <c r="O75" s="1671"/>
      <c r="P75" s="1671"/>
      <c r="Q75" s="1673">
        <v>3</v>
      </c>
      <c r="R75" s="1671" t="s">
        <v>29</v>
      </c>
      <c r="S75" s="1672">
        <v>100000</v>
      </c>
      <c r="T75" s="1671" t="s">
        <v>0</v>
      </c>
      <c r="U75" s="1671"/>
      <c r="V75" s="1671">
        <v>12</v>
      </c>
      <c r="W75" s="1671" t="s">
        <v>2</v>
      </c>
      <c r="X75" s="397" t="s">
        <v>3372</v>
      </c>
      <c r="Y75" s="1142">
        <f t="shared" si="8"/>
        <v>3600</v>
      </c>
      <c r="Z75" s="1671">
        <f>V75*S75*Q75</f>
        <v>3600000</v>
      </c>
      <c r="AA75" s="907">
        <f t="shared" si="2"/>
        <v>0</v>
      </c>
      <c r="AB75" s="505"/>
      <c r="AC75" s="1143"/>
      <c r="AD75" s="1143"/>
      <c r="AE75" s="1143"/>
    </row>
    <row r="76" spans="1:31" ht="22.5" customHeight="1">
      <c r="A76" s="2627"/>
      <c r="B76" s="1145"/>
      <c r="C76" s="1126"/>
      <c r="D76" s="1145"/>
      <c r="E76" s="465"/>
      <c r="F76" s="1805"/>
      <c r="G76" s="1115"/>
      <c r="H76" s="404"/>
      <c r="I76" s="1127"/>
      <c r="J76" s="1670" t="s">
        <v>3423</v>
      </c>
      <c r="K76" s="1671"/>
      <c r="L76" s="1671"/>
      <c r="M76" s="1671"/>
      <c r="N76" s="1672"/>
      <c r="O76" s="1671"/>
      <c r="P76" s="1671"/>
      <c r="Q76" s="1673"/>
      <c r="R76" s="1671"/>
      <c r="S76" s="1672"/>
      <c r="T76" s="1671"/>
      <c r="U76" s="1671"/>
      <c r="V76" s="1702"/>
      <c r="W76" s="1671"/>
      <c r="X76" s="397"/>
      <c r="Y76" s="1142">
        <f t="shared" si="8"/>
        <v>13388</v>
      </c>
      <c r="Z76" s="1671">
        <f>SUM(Z77:Z78)</f>
        <v>13388000</v>
      </c>
      <c r="AA76" s="907">
        <f t="shared" si="2"/>
        <v>0</v>
      </c>
      <c r="AB76" s="505"/>
      <c r="AC76" s="1143"/>
      <c r="AD76" s="1143"/>
      <c r="AE76" s="1143"/>
    </row>
    <row r="77" spans="1:31" ht="22.5" customHeight="1">
      <c r="A77" s="2627"/>
      <c r="B77" s="1145"/>
      <c r="C77" s="1126"/>
      <c r="D77" s="1145"/>
      <c r="E77" s="465"/>
      <c r="F77" s="1805"/>
      <c r="G77" s="1115"/>
      <c r="H77" s="404"/>
      <c r="I77" s="1127"/>
      <c r="J77" s="1670" t="s">
        <v>3424</v>
      </c>
      <c r="K77" s="1671"/>
      <c r="L77" s="1671"/>
      <c r="M77" s="1671"/>
      <c r="N77" s="1672"/>
      <c r="O77" s="1671"/>
      <c r="P77" s="1671"/>
      <c r="Q77" s="1673">
        <v>8277</v>
      </c>
      <c r="R77" s="1671" t="s">
        <v>40</v>
      </c>
      <c r="S77" s="1672">
        <v>2400</v>
      </c>
      <c r="T77" s="1671" t="s">
        <v>0</v>
      </c>
      <c r="U77" s="1671"/>
      <c r="V77" s="1702">
        <v>0.5</v>
      </c>
      <c r="W77" s="1671" t="s">
        <v>3</v>
      </c>
      <c r="X77" s="397" t="s">
        <v>3372</v>
      </c>
      <c r="Y77" s="1142">
        <f>+Z77/1000</f>
        <v>9932</v>
      </c>
      <c r="Z77" s="1671">
        <f>ROUNDDOWN(V77*S77*Q77,-3)</f>
        <v>9932000</v>
      </c>
      <c r="AA77" s="907">
        <f t="shared" si="2"/>
        <v>0</v>
      </c>
      <c r="AB77" s="505"/>
      <c r="AC77" s="1143"/>
      <c r="AD77" s="1143"/>
      <c r="AE77" s="1143"/>
    </row>
    <row r="78" spans="1:31" s="1675" customFormat="1" ht="22.5" customHeight="1">
      <c r="A78" s="2627"/>
      <c r="B78" s="1145"/>
      <c r="C78" s="1126"/>
      <c r="D78" s="1145"/>
      <c r="E78" s="465"/>
      <c r="F78" s="1805"/>
      <c r="G78" s="1115"/>
      <c r="H78" s="404"/>
      <c r="I78" s="1127"/>
      <c r="J78" s="1670" t="s">
        <v>3425</v>
      </c>
      <c r="K78" s="1671"/>
      <c r="L78" s="1671"/>
      <c r="M78" s="1671"/>
      <c r="N78" s="1672"/>
      <c r="O78" s="1671"/>
      <c r="P78" s="1671"/>
      <c r="Q78" s="1673">
        <v>3600</v>
      </c>
      <c r="R78" s="1671" t="s">
        <v>40</v>
      </c>
      <c r="S78" s="1672">
        <v>4800</v>
      </c>
      <c r="T78" s="1671" t="s">
        <v>0</v>
      </c>
      <c r="U78" s="1671"/>
      <c r="V78" s="1702">
        <v>0.2</v>
      </c>
      <c r="W78" s="1671" t="s">
        <v>3</v>
      </c>
      <c r="X78" s="397" t="s">
        <v>3372</v>
      </c>
      <c r="Y78" s="1142">
        <f>+Z78/1000</f>
        <v>3456</v>
      </c>
      <c r="Z78" s="1671">
        <f>ROUNDDOWN(V78*S78*Q78,-3)</f>
        <v>3456000</v>
      </c>
      <c r="AA78" s="907">
        <f t="shared" si="2"/>
        <v>0</v>
      </c>
      <c r="AB78" s="505"/>
      <c r="AC78" s="1143"/>
      <c r="AD78" s="1143"/>
      <c r="AE78" s="1143"/>
    </row>
    <row r="79" spans="1:31" ht="22.5" customHeight="1">
      <c r="A79" s="2627"/>
      <c r="B79" s="1145"/>
      <c r="C79" s="1126"/>
      <c r="D79" s="1145"/>
      <c r="E79" s="465"/>
      <c r="F79" s="1805"/>
      <c r="G79" s="1115"/>
      <c r="H79" s="404"/>
      <c r="I79" s="1127"/>
      <c r="J79" s="1670" t="s">
        <v>3426</v>
      </c>
      <c r="K79" s="1671"/>
      <c r="L79" s="1671"/>
      <c r="M79" s="1451"/>
      <c r="N79" s="1671"/>
      <c r="O79" s="1671"/>
      <c r="P79" s="1671"/>
      <c r="Q79" s="1451"/>
      <c r="R79" s="1671"/>
      <c r="S79" s="1672">
        <v>750000</v>
      </c>
      <c r="T79" s="1671" t="s">
        <v>0</v>
      </c>
      <c r="U79" s="1671"/>
      <c r="V79" s="1671">
        <v>12</v>
      </c>
      <c r="W79" s="1671" t="s">
        <v>2</v>
      </c>
      <c r="X79" s="397" t="s">
        <v>3372</v>
      </c>
      <c r="Y79" s="1142">
        <f t="shared" si="8"/>
        <v>9000</v>
      </c>
      <c r="Z79" s="1671">
        <f>S79*V79</f>
        <v>9000000</v>
      </c>
      <c r="AA79" s="907">
        <f t="shared" si="2"/>
        <v>0</v>
      </c>
      <c r="AB79" s="505">
        <v>9000000</v>
      </c>
      <c r="AC79" s="1143">
        <f>AB79/V79</f>
        <v>750000</v>
      </c>
      <c r="AD79" s="1143"/>
      <c r="AE79" s="1143"/>
    </row>
    <row r="80" spans="1:31" ht="22.5" customHeight="1">
      <c r="A80" s="2627"/>
      <c r="B80" s="1145"/>
      <c r="C80" s="1126"/>
      <c r="D80" s="1145"/>
      <c r="E80" s="465"/>
      <c r="F80" s="1805"/>
      <c r="G80" s="1115"/>
      <c r="H80" s="404"/>
      <c r="I80" s="1127"/>
      <c r="J80" s="2643" t="s">
        <v>3427</v>
      </c>
      <c r="K80" s="2624"/>
      <c r="L80" s="2624"/>
      <c r="M80" s="2624"/>
      <c r="N80" s="2624"/>
      <c r="O80" s="2624"/>
      <c r="P80" s="1675"/>
      <c r="Q80" s="1673">
        <v>12</v>
      </c>
      <c r="R80" s="1671" t="s">
        <v>43</v>
      </c>
      <c r="S80" s="1672">
        <v>200000</v>
      </c>
      <c r="T80" s="1671" t="s">
        <v>0</v>
      </c>
      <c r="U80" s="1671"/>
      <c r="V80" s="1671">
        <v>2</v>
      </c>
      <c r="W80" s="1671" t="s">
        <v>27</v>
      </c>
      <c r="X80" s="397" t="s">
        <v>3428</v>
      </c>
      <c r="Y80" s="1142">
        <f t="shared" si="8"/>
        <v>4800</v>
      </c>
      <c r="Z80" s="1671">
        <f>+Q80*S80*V80</f>
        <v>4800000</v>
      </c>
      <c r="AA80" s="907">
        <f t="shared" si="2"/>
        <v>0</v>
      </c>
      <c r="AB80" s="505"/>
      <c r="AC80" s="1143"/>
      <c r="AD80" s="1143"/>
      <c r="AE80" s="1143"/>
    </row>
    <row r="81" spans="1:31" ht="22.5" customHeight="1">
      <c r="A81" s="2627"/>
      <c r="B81" s="1145"/>
      <c r="C81" s="1126"/>
      <c r="D81" s="1145"/>
      <c r="E81" s="819"/>
      <c r="F81" s="1471"/>
      <c r="G81" s="1478"/>
      <c r="H81" s="820"/>
      <c r="I81" s="1127"/>
      <c r="J81" s="1627" t="s">
        <v>3429</v>
      </c>
      <c r="K81" s="2619"/>
      <c r="L81" s="2619"/>
      <c r="M81" s="2619"/>
      <c r="N81" s="2619"/>
      <c r="O81" s="2619"/>
      <c r="P81" s="1626"/>
      <c r="Q81" s="459"/>
      <c r="R81" s="457"/>
      <c r="S81" s="458">
        <v>1800000</v>
      </c>
      <c r="T81" s="371" t="s">
        <v>0</v>
      </c>
      <c r="U81" s="371"/>
      <c r="V81" s="371">
        <v>12</v>
      </c>
      <c r="W81" s="371" t="s">
        <v>2</v>
      </c>
      <c r="X81" s="426" t="s">
        <v>3372</v>
      </c>
      <c r="Y81" s="558">
        <f t="shared" si="8"/>
        <v>21600</v>
      </c>
      <c r="Z81" s="1671">
        <f>S81*V81</f>
        <v>21600000</v>
      </c>
      <c r="AA81" s="907">
        <f t="shared" si="2"/>
        <v>0</v>
      </c>
      <c r="AB81" s="505"/>
      <c r="AC81" s="1143"/>
      <c r="AD81" s="1143"/>
      <c r="AE81" s="1143"/>
    </row>
    <row r="82" spans="1:31" s="1675" customFormat="1" ht="22.5" customHeight="1">
      <c r="A82" s="2627"/>
      <c r="B82" s="1145"/>
      <c r="C82" s="1126"/>
      <c r="D82" s="1145"/>
      <c r="E82" s="465" t="s">
        <v>3430</v>
      </c>
      <c r="F82" s="1805">
        <f>+Y82</f>
        <v>1280</v>
      </c>
      <c r="G82" s="1805">
        <v>1280</v>
      </c>
      <c r="H82" s="404"/>
      <c r="I82" s="1127"/>
      <c r="J82" s="1670" t="s">
        <v>3368</v>
      </c>
      <c r="K82" s="1671"/>
      <c r="L82" s="1671"/>
      <c r="M82" s="1671"/>
      <c r="N82" s="1672"/>
      <c r="O82" s="1671"/>
      <c r="P82" s="1671"/>
      <c r="Q82" s="1673"/>
      <c r="R82" s="1671"/>
      <c r="S82" s="1672"/>
      <c r="T82" s="1671"/>
      <c r="U82" s="1671"/>
      <c r="V82" s="1671"/>
      <c r="W82" s="1671"/>
      <c r="X82" s="397"/>
      <c r="Y82" s="1142">
        <f t="shared" si="8"/>
        <v>1280</v>
      </c>
      <c r="Z82" s="1671">
        <f>SUM(Z83:Z84)</f>
        <v>1280000</v>
      </c>
      <c r="AA82" s="907">
        <f t="shared" si="2"/>
        <v>1280000000</v>
      </c>
      <c r="AB82" s="505"/>
      <c r="AC82" s="1143"/>
      <c r="AD82" s="1143"/>
      <c r="AE82" s="1143"/>
    </row>
    <row r="83" spans="1:31" ht="22.5" customHeight="1">
      <c r="A83" s="2627"/>
      <c r="B83" s="1145"/>
      <c r="C83" s="1126"/>
      <c r="D83" s="1145"/>
      <c r="E83" s="465"/>
      <c r="F83" s="1805"/>
      <c r="G83" s="1805"/>
      <c r="H83" s="404"/>
      <c r="I83" s="1127"/>
      <c r="J83" s="1670" t="s">
        <v>3431</v>
      </c>
      <c r="K83" s="1671"/>
      <c r="L83" s="1671"/>
      <c r="M83" s="1671"/>
      <c r="N83" s="1672"/>
      <c r="O83" s="1671"/>
      <c r="P83" s="1671"/>
      <c r="Q83" s="1673">
        <v>6</v>
      </c>
      <c r="R83" s="1671" t="s">
        <v>7</v>
      </c>
      <c r="S83" s="1672">
        <v>15000</v>
      </c>
      <c r="T83" s="1671" t="s">
        <v>0</v>
      </c>
      <c r="U83" s="1671"/>
      <c r="V83" s="1671">
        <v>12</v>
      </c>
      <c r="W83" s="1671" t="s">
        <v>2</v>
      </c>
      <c r="X83" s="397" t="s">
        <v>3372</v>
      </c>
      <c r="Y83" s="1142">
        <f t="shared" si="8"/>
        <v>1080</v>
      </c>
      <c r="Z83" s="1671">
        <f>S83*Q83*V83</f>
        <v>1080000</v>
      </c>
      <c r="AA83" s="907">
        <f t="shared" si="2"/>
        <v>0</v>
      </c>
      <c r="AB83" s="505"/>
      <c r="AC83" s="1143"/>
      <c r="AD83" s="1143"/>
      <c r="AE83" s="1143"/>
    </row>
    <row r="84" spans="1:31" s="1675" customFormat="1" ht="22.5" customHeight="1">
      <c r="A84" s="2627"/>
      <c r="B84" s="1145"/>
      <c r="C84" s="1126"/>
      <c r="D84" s="1145"/>
      <c r="E84" s="819"/>
      <c r="F84" s="1471"/>
      <c r="G84" s="1471"/>
      <c r="H84" s="820"/>
      <c r="I84" s="1127"/>
      <c r="J84" s="830" t="s">
        <v>3432</v>
      </c>
      <c r="K84" s="371"/>
      <c r="L84" s="371"/>
      <c r="M84" s="371"/>
      <c r="N84" s="458"/>
      <c r="O84" s="371"/>
      <c r="P84" s="371"/>
      <c r="Q84" s="368">
        <v>5</v>
      </c>
      <c r="R84" s="371" t="s">
        <v>7</v>
      </c>
      <c r="S84" s="458">
        <v>20000</v>
      </c>
      <c r="T84" s="371" t="s">
        <v>0</v>
      </c>
      <c r="U84" s="371"/>
      <c r="V84" s="371">
        <v>2</v>
      </c>
      <c r="W84" s="371" t="s">
        <v>3</v>
      </c>
      <c r="X84" s="426" t="s">
        <v>3372</v>
      </c>
      <c r="Y84" s="558">
        <f t="shared" si="8"/>
        <v>200</v>
      </c>
      <c r="Z84" s="1671">
        <f>S84*Q84*V84</f>
        <v>200000</v>
      </c>
      <c r="AA84" s="907">
        <f t="shared" ref="AA84:AA147" si="9">F84*1000000</f>
        <v>0</v>
      </c>
      <c r="AB84" s="505"/>
      <c r="AC84" s="1143"/>
      <c r="AD84" s="1143"/>
      <c r="AE84" s="1143"/>
    </row>
    <row r="85" spans="1:31" ht="22.5" customHeight="1">
      <c r="A85" s="2627"/>
      <c r="B85" s="1145"/>
      <c r="C85" s="1126"/>
      <c r="D85" s="1145"/>
      <c r="E85" s="465" t="s">
        <v>3433</v>
      </c>
      <c r="F85" s="1805">
        <f>+Y85</f>
        <v>10387</v>
      </c>
      <c r="G85" s="1805">
        <v>10387</v>
      </c>
      <c r="H85" s="404"/>
      <c r="I85" s="1127"/>
      <c r="J85" s="1670" t="s">
        <v>3368</v>
      </c>
      <c r="K85" s="1671"/>
      <c r="L85" s="1671"/>
      <c r="M85" s="1671"/>
      <c r="N85" s="1672"/>
      <c r="O85" s="1672"/>
      <c r="P85" s="1671"/>
      <c r="Q85" s="1673"/>
      <c r="R85" s="1671"/>
      <c r="S85" s="1671"/>
      <c r="T85" s="1671"/>
      <c r="U85" s="1671"/>
      <c r="V85" s="1671"/>
      <c r="W85" s="1671"/>
      <c r="X85" s="397"/>
      <c r="Y85" s="1142">
        <f t="shared" si="8"/>
        <v>10387</v>
      </c>
      <c r="Z85" s="1671">
        <f>SUM(Z86:Z88)</f>
        <v>10387000</v>
      </c>
      <c r="AA85" s="907">
        <f t="shared" si="9"/>
        <v>10387000000</v>
      </c>
      <c r="AB85" s="505"/>
      <c r="AC85" s="1143"/>
      <c r="AD85" s="1143"/>
      <c r="AE85" s="1143"/>
    </row>
    <row r="86" spans="1:31" ht="22.5" customHeight="1">
      <c r="A86" s="2627"/>
      <c r="B86" s="1145"/>
      <c r="C86" s="1126"/>
      <c r="D86" s="1145"/>
      <c r="E86" s="465"/>
      <c r="F86" s="1805"/>
      <c r="G86" s="1805"/>
      <c r="H86" s="404"/>
      <c r="I86" s="1127"/>
      <c r="J86" s="1670" t="s">
        <v>3434</v>
      </c>
      <c r="K86" s="1671"/>
      <c r="L86" s="1671"/>
      <c r="M86" s="1671"/>
      <c r="N86" s="1672"/>
      <c r="O86" s="1671"/>
      <c r="P86" s="1671"/>
      <c r="Q86" s="1673">
        <v>10</v>
      </c>
      <c r="R86" s="1671" t="s">
        <v>23</v>
      </c>
      <c r="S86" s="1672">
        <v>200000</v>
      </c>
      <c r="T86" s="1671" t="s">
        <v>0</v>
      </c>
      <c r="U86" s="1671"/>
      <c r="V86" s="1671">
        <v>3</v>
      </c>
      <c r="W86" s="1671" t="s">
        <v>3</v>
      </c>
      <c r="X86" s="397" t="s">
        <v>3372</v>
      </c>
      <c r="Y86" s="1142">
        <f t="shared" si="8"/>
        <v>6000</v>
      </c>
      <c r="Z86" s="1671">
        <f>S86*Q86*V86</f>
        <v>6000000</v>
      </c>
      <c r="AA86" s="907">
        <f t="shared" si="9"/>
        <v>0</v>
      </c>
      <c r="AB86" s="505"/>
      <c r="AC86" s="1143"/>
      <c r="AD86" s="1143"/>
      <c r="AE86" s="1143"/>
    </row>
    <row r="87" spans="1:31" ht="22.5" customHeight="1">
      <c r="A87" s="2627"/>
      <c r="B87" s="1145"/>
      <c r="C87" s="1126"/>
      <c r="D87" s="1145"/>
      <c r="E87" s="465"/>
      <c r="F87" s="1805"/>
      <c r="G87" s="1805"/>
      <c r="H87" s="404"/>
      <c r="I87" s="1127"/>
      <c r="J87" s="1670" t="s">
        <v>3435</v>
      </c>
      <c r="K87" s="1671"/>
      <c r="L87" s="1671"/>
      <c r="M87" s="1671"/>
      <c r="N87" s="1672"/>
      <c r="O87" s="1671"/>
      <c r="P87" s="1671"/>
      <c r="Q87" s="1673"/>
      <c r="R87" s="1671"/>
      <c r="S87" s="1672">
        <v>3787000</v>
      </c>
      <c r="T87" s="1671" t="s">
        <v>0</v>
      </c>
      <c r="U87" s="1671"/>
      <c r="V87" s="1671">
        <v>1</v>
      </c>
      <c r="W87" s="1671" t="s">
        <v>3</v>
      </c>
      <c r="X87" s="397" t="s">
        <v>3428</v>
      </c>
      <c r="Y87" s="1142">
        <f t="shared" si="8"/>
        <v>3787</v>
      </c>
      <c r="Z87" s="1671">
        <f>S87*V87</f>
        <v>3787000</v>
      </c>
      <c r="AA87" s="907">
        <f t="shared" si="9"/>
        <v>0</v>
      </c>
      <c r="AB87" s="505"/>
      <c r="AC87" s="1143"/>
      <c r="AD87" s="1143"/>
      <c r="AE87" s="1143"/>
    </row>
    <row r="88" spans="1:31" ht="22.5" customHeight="1">
      <c r="A88" s="2627"/>
      <c r="B88" s="1145"/>
      <c r="C88" s="1126"/>
      <c r="D88" s="1145"/>
      <c r="E88" s="465"/>
      <c r="F88" s="1805"/>
      <c r="G88" s="1805"/>
      <c r="H88" s="404"/>
      <c r="I88" s="1127"/>
      <c r="J88" s="1670" t="s">
        <v>3436</v>
      </c>
      <c r="K88" s="1671"/>
      <c r="L88" s="1671"/>
      <c r="M88" s="1671"/>
      <c r="N88" s="1672"/>
      <c r="O88" s="1671"/>
      <c r="P88" s="1671"/>
      <c r="Q88" s="1673">
        <v>12</v>
      </c>
      <c r="R88" s="1671" t="s">
        <v>43</v>
      </c>
      <c r="S88" s="1672">
        <v>25000</v>
      </c>
      <c r="T88" s="1671" t="s">
        <v>0</v>
      </c>
      <c r="U88" s="1671"/>
      <c r="V88" s="1671">
        <v>2</v>
      </c>
      <c r="W88" s="1671" t="s">
        <v>3</v>
      </c>
      <c r="X88" s="397" t="s">
        <v>3428</v>
      </c>
      <c r="Y88" s="1142">
        <f t="shared" si="8"/>
        <v>600</v>
      </c>
      <c r="Z88" s="1671">
        <f>S88*V88*Q88</f>
        <v>600000</v>
      </c>
      <c r="AA88" s="907">
        <f t="shared" si="9"/>
        <v>0</v>
      </c>
      <c r="AB88" s="505"/>
      <c r="AC88" s="1143"/>
      <c r="AD88" s="1143"/>
      <c r="AE88" s="1143"/>
    </row>
    <row r="89" spans="1:31" ht="22.5" customHeight="1">
      <c r="A89" s="2627"/>
      <c r="B89" s="1145"/>
      <c r="C89" s="1126"/>
      <c r="D89" s="1145"/>
      <c r="E89" s="809" t="s">
        <v>3437</v>
      </c>
      <c r="F89" s="1468">
        <f>+Y89</f>
        <v>576362</v>
      </c>
      <c r="G89" s="1468">
        <v>576362</v>
      </c>
      <c r="H89" s="810"/>
      <c r="I89" s="1127"/>
      <c r="J89" s="911" t="s">
        <v>3368</v>
      </c>
      <c r="K89" s="815"/>
      <c r="L89" s="815"/>
      <c r="M89" s="815"/>
      <c r="N89" s="450"/>
      <c r="O89" s="450"/>
      <c r="P89" s="815"/>
      <c r="Q89" s="831"/>
      <c r="R89" s="815"/>
      <c r="S89" s="815"/>
      <c r="T89" s="815"/>
      <c r="U89" s="815"/>
      <c r="V89" s="815"/>
      <c r="W89" s="815"/>
      <c r="X89" s="906"/>
      <c r="Y89" s="1891">
        <f t="shared" si="8"/>
        <v>576362</v>
      </c>
      <c r="Z89" s="1671">
        <f>SUM(Z90:Z94)</f>
        <v>576362000</v>
      </c>
      <c r="AA89" s="907">
        <f t="shared" si="9"/>
        <v>576362000000</v>
      </c>
      <c r="AB89" s="505"/>
      <c r="AC89" s="1143"/>
      <c r="AD89" s="1143"/>
      <c r="AE89" s="1143"/>
    </row>
    <row r="90" spans="1:31" ht="22.5" customHeight="1">
      <c r="A90" s="2627"/>
      <c r="B90" s="1145"/>
      <c r="C90" s="1126"/>
      <c r="D90" s="1145"/>
      <c r="E90" s="465"/>
      <c r="F90" s="1805"/>
      <c r="G90" s="1805"/>
      <c r="H90" s="404"/>
      <c r="I90" s="1127"/>
      <c r="J90" s="1670" t="s">
        <v>3438</v>
      </c>
      <c r="K90" s="1671"/>
      <c r="L90" s="1671"/>
      <c r="M90" s="1671"/>
      <c r="N90" s="1672"/>
      <c r="O90" s="1671"/>
      <c r="P90" s="1671"/>
      <c r="Q90" s="1673"/>
      <c r="R90" s="1671"/>
      <c r="S90" s="1672">
        <v>3000000</v>
      </c>
      <c r="T90" s="1671" t="s">
        <v>3376</v>
      </c>
      <c r="U90" s="1671"/>
      <c r="V90" s="1671">
        <v>2</v>
      </c>
      <c r="W90" s="1671" t="s">
        <v>3377</v>
      </c>
      <c r="X90" s="397" t="s">
        <v>3378</v>
      </c>
      <c r="Y90" s="1142">
        <f t="shared" si="8"/>
        <v>6000</v>
      </c>
      <c r="Z90" s="1671">
        <f>S90*V90</f>
        <v>6000000</v>
      </c>
      <c r="AA90" s="907">
        <f t="shared" si="9"/>
        <v>0</v>
      </c>
      <c r="AB90" s="505"/>
      <c r="AC90" s="1143"/>
      <c r="AD90" s="1143"/>
      <c r="AE90" s="1143"/>
    </row>
    <row r="91" spans="1:31" ht="22.5" customHeight="1">
      <c r="A91" s="2627"/>
      <c r="B91" s="1145"/>
      <c r="C91" s="1126"/>
      <c r="D91" s="1145"/>
      <c r="E91" s="465"/>
      <c r="F91" s="1805"/>
      <c r="G91" s="1805"/>
      <c r="H91" s="404"/>
      <c r="I91" s="1127"/>
      <c r="J91" s="1670" t="s">
        <v>3439</v>
      </c>
      <c r="K91" s="1671"/>
      <c r="L91" s="1671"/>
      <c r="M91" s="1671"/>
      <c r="N91" s="1672"/>
      <c r="O91" s="1671"/>
      <c r="P91" s="1671"/>
      <c r="Q91" s="1673"/>
      <c r="R91" s="1671"/>
      <c r="S91" s="1672">
        <v>512676000</v>
      </c>
      <c r="T91" s="1671" t="s">
        <v>0</v>
      </c>
      <c r="U91" s="1549"/>
      <c r="V91" s="1671">
        <v>1</v>
      </c>
      <c r="W91" s="1671" t="s">
        <v>3440</v>
      </c>
      <c r="X91" s="397" t="s">
        <v>3441</v>
      </c>
      <c r="Y91" s="1142">
        <f>+Z91/1000</f>
        <v>512676</v>
      </c>
      <c r="Z91" s="1671">
        <f>+S91*V91</f>
        <v>512676000</v>
      </c>
      <c r="AA91" s="907">
        <f t="shared" si="9"/>
        <v>0</v>
      </c>
      <c r="AB91" s="505"/>
      <c r="AC91" s="1143"/>
      <c r="AD91" s="1143"/>
      <c r="AE91" s="1143"/>
    </row>
    <row r="92" spans="1:31" ht="22.5" customHeight="1">
      <c r="A92" s="2627"/>
      <c r="B92" s="1145"/>
      <c r="C92" s="1126"/>
      <c r="D92" s="1145"/>
      <c r="E92" s="465"/>
      <c r="F92" s="1805"/>
      <c r="G92" s="1805"/>
      <c r="H92" s="404"/>
      <c r="I92" s="1127"/>
      <c r="J92" s="1670" t="s">
        <v>3442</v>
      </c>
      <c r="K92" s="1671"/>
      <c r="L92" s="1671"/>
      <c r="M92" s="1671"/>
      <c r="N92" s="1672"/>
      <c r="O92" s="1671"/>
      <c r="P92" s="1671"/>
      <c r="Q92" s="1673"/>
      <c r="R92" s="1671"/>
      <c r="S92" s="1672">
        <f>3227500</f>
        <v>3227500</v>
      </c>
      <c r="T92" s="1671" t="s">
        <v>0</v>
      </c>
      <c r="U92" s="1549"/>
      <c r="V92" s="1671">
        <v>12</v>
      </c>
      <c r="W92" s="1671" t="s">
        <v>2</v>
      </c>
      <c r="X92" s="397" t="s">
        <v>3441</v>
      </c>
      <c r="Y92" s="1142">
        <f t="shared" si="8"/>
        <v>38730</v>
      </c>
      <c r="Z92" s="1671">
        <f>S92*V92</f>
        <v>38730000</v>
      </c>
      <c r="AA92" s="907">
        <f t="shared" si="9"/>
        <v>0</v>
      </c>
      <c r="AB92" s="505"/>
      <c r="AC92" s="1143"/>
      <c r="AD92" s="1143"/>
      <c r="AE92" s="1143"/>
    </row>
    <row r="93" spans="1:31" ht="22.5" customHeight="1">
      <c r="A93" s="2627"/>
      <c r="B93" s="1145"/>
      <c r="C93" s="1126"/>
      <c r="D93" s="1145"/>
      <c r="E93" s="465"/>
      <c r="F93" s="1805"/>
      <c r="G93" s="1805"/>
      <c r="H93" s="404"/>
      <c r="I93" s="1127"/>
      <c r="J93" s="1670" t="s">
        <v>3443</v>
      </c>
      <c r="K93" s="1671"/>
      <c r="L93" s="1671"/>
      <c r="M93" s="1671"/>
      <c r="N93" s="1672"/>
      <c r="O93" s="1671"/>
      <c r="P93" s="1671"/>
      <c r="Q93" s="1673">
        <v>3495</v>
      </c>
      <c r="R93" s="1671" t="s">
        <v>3444</v>
      </c>
      <c r="S93" s="1672">
        <v>1000</v>
      </c>
      <c r="T93" s="1671" t="s">
        <v>0</v>
      </c>
      <c r="U93" s="1549"/>
      <c r="V93" s="1671">
        <v>3</v>
      </c>
      <c r="W93" s="1671" t="s">
        <v>3</v>
      </c>
      <c r="X93" s="397" t="s">
        <v>3441</v>
      </c>
      <c r="Y93" s="1142">
        <f t="shared" si="8"/>
        <v>10485</v>
      </c>
      <c r="Z93" s="1671">
        <f>S93*V93*Q93</f>
        <v>10485000</v>
      </c>
      <c r="AA93" s="907">
        <f t="shared" si="9"/>
        <v>0</v>
      </c>
      <c r="AB93" s="505"/>
      <c r="AC93" s="1143"/>
      <c r="AD93" s="1143"/>
      <c r="AE93" s="1143"/>
    </row>
    <row r="94" spans="1:31" ht="22.5" customHeight="1">
      <c r="A94" s="2627"/>
      <c r="B94" s="1145"/>
      <c r="C94" s="1126"/>
      <c r="D94" s="1145"/>
      <c r="E94" s="819"/>
      <c r="F94" s="1471"/>
      <c r="G94" s="1471"/>
      <c r="H94" s="820"/>
      <c r="I94" s="1127"/>
      <c r="J94" s="830" t="s">
        <v>3445</v>
      </c>
      <c r="K94" s="371"/>
      <c r="L94" s="371"/>
      <c r="M94" s="371"/>
      <c r="N94" s="458"/>
      <c r="O94" s="371"/>
      <c r="P94" s="371"/>
      <c r="Q94" s="368"/>
      <c r="R94" s="371"/>
      <c r="S94" s="458">
        <v>4235500</v>
      </c>
      <c r="T94" s="371" t="s">
        <v>0</v>
      </c>
      <c r="U94" s="1594"/>
      <c r="V94" s="371">
        <v>2</v>
      </c>
      <c r="W94" s="371" t="s">
        <v>3</v>
      </c>
      <c r="X94" s="426" t="s">
        <v>3441</v>
      </c>
      <c r="Y94" s="558">
        <f>S94*V94/1000</f>
        <v>8471</v>
      </c>
      <c r="Z94" s="1671">
        <f>S94*V94</f>
        <v>8471000</v>
      </c>
      <c r="AA94" s="907">
        <f t="shared" si="9"/>
        <v>0</v>
      </c>
      <c r="AB94" s="505"/>
      <c r="AC94" s="1143"/>
      <c r="AD94" s="1143"/>
      <c r="AE94" s="1143"/>
    </row>
    <row r="95" spans="1:31" ht="23.85" customHeight="1">
      <c r="A95" s="2627"/>
      <c r="B95" s="1145"/>
      <c r="C95" s="1126"/>
      <c r="D95" s="1145"/>
      <c r="E95" s="465" t="s">
        <v>3446</v>
      </c>
      <c r="F95" s="1805">
        <f>+Y95</f>
        <v>21030</v>
      </c>
      <c r="G95" s="1805">
        <v>21030</v>
      </c>
      <c r="H95" s="404"/>
      <c r="I95" s="1127"/>
      <c r="J95" s="1670" t="s">
        <v>3447</v>
      </c>
      <c r="K95" s="1671"/>
      <c r="L95" s="1671"/>
      <c r="M95" s="1671"/>
      <c r="N95" s="1672"/>
      <c r="O95" s="1672"/>
      <c r="P95" s="1671"/>
      <c r="Q95" s="1673"/>
      <c r="R95" s="1671"/>
      <c r="S95" s="1671"/>
      <c r="T95" s="1671"/>
      <c r="U95" s="1671"/>
      <c r="V95" s="1671"/>
      <c r="W95" s="1671"/>
      <c r="X95" s="397"/>
      <c r="Y95" s="1142">
        <f t="shared" si="8"/>
        <v>21030</v>
      </c>
      <c r="Z95" s="1671">
        <f>SUM(Z96:Z98)</f>
        <v>21030000</v>
      </c>
      <c r="AA95" s="907">
        <f t="shared" si="9"/>
        <v>21030000000</v>
      </c>
      <c r="AB95" s="505"/>
      <c r="AC95" s="1143"/>
      <c r="AD95" s="1143"/>
      <c r="AE95" s="1143"/>
    </row>
    <row r="96" spans="1:31" ht="23.85" customHeight="1">
      <c r="A96" s="2627"/>
      <c r="B96" s="1145"/>
      <c r="C96" s="1126"/>
      <c r="D96" s="1145"/>
      <c r="E96" s="465"/>
      <c r="F96" s="1805"/>
      <c r="G96" s="1805"/>
      <c r="H96" s="404"/>
      <c r="I96" s="1127"/>
      <c r="J96" s="1670" t="s">
        <v>3448</v>
      </c>
      <c r="K96" s="1671"/>
      <c r="L96" s="1671"/>
      <c r="M96" s="1671"/>
      <c r="N96" s="1672"/>
      <c r="O96" s="1672"/>
      <c r="P96" s="1671"/>
      <c r="Q96" s="1673">
        <v>1</v>
      </c>
      <c r="R96" s="1671" t="s">
        <v>3449</v>
      </c>
      <c r="S96" s="1672">
        <v>765000</v>
      </c>
      <c r="T96" s="1671" t="s">
        <v>0</v>
      </c>
      <c r="U96" s="1671"/>
      <c r="V96" s="1671">
        <v>12</v>
      </c>
      <c r="W96" s="1671" t="s">
        <v>2</v>
      </c>
      <c r="X96" s="397" t="s">
        <v>3441</v>
      </c>
      <c r="Y96" s="1142">
        <f t="shared" si="8"/>
        <v>9180</v>
      </c>
      <c r="Z96" s="1671">
        <f>S96*V96*Q96</f>
        <v>9180000</v>
      </c>
      <c r="AA96" s="907">
        <f t="shared" si="9"/>
        <v>0</v>
      </c>
      <c r="AB96" s="505"/>
      <c r="AC96" s="1143"/>
      <c r="AD96" s="1143"/>
      <c r="AE96" s="1143"/>
    </row>
    <row r="97" spans="1:31" ht="23.85" customHeight="1">
      <c r="A97" s="2627"/>
      <c r="B97" s="1145"/>
      <c r="C97" s="1126"/>
      <c r="D97" s="1145"/>
      <c r="E97" s="465"/>
      <c r="F97" s="1805"/>
      <c r="G97" s="1805"/>
      <c r="H97" s="404"/>
      <c r="I97" s="1127"/>
      <c r="J97" s="1670" t="s">
        <v>3450</v>
      </c>
      <c r="K97" s="1671"/>
      <c r="L97" s="1671"/>
      <c r="M97" s="1671"/>
      <c r="N97" s="1672"/>
      <c r="O97" s="1672"/>
      <c r="P97" s="1671"/>
      <c r="Q97" s="1673"/>
      <c r="R97" s="1671"/>
      <c r="S97" s="1672">
        <v>550000</v>
      </c>
      <c r="T97" s="1671" t="s">
        <v>0</v>
      </c>
      <c r="U97" s="1671"/>
      <c r="V97" s="1671">
        <v>12</v>
      </c>
      <c r="W97" s="1671" t="s">
        <v>2</v>
      </c>
      <c r="X97" s="397" t="s">
        <v>3441</v>
      </c>
      <c r="Y97" s="1142">
        <f t="shared" si="8"/>
        <v>6600</v>
      </c>
      <c r="Z97" s="1671">
        <f>S97*V97</f>
        <v>6600000</v>
      </c>
      <c r="AA97" s="907">
        <f t="shared" si="9"/>
        <v>0</v>
      </c>
      <c r="AB97" s="505"/>
      <c r="AC97" s="1143"/>
      <c r="AD97" s="1143"/>
      <c r="AE97" s="1143"/>
    </row>
    <row r="98" spans="1:31" ht="23.85" customHeight="1">
      <c r="A98" s="2627"/>
      <c r="B98" s="1145"/>
      <c r="C98" s="1126"/>
      <c r="D98" s="1145"/>
      <c r="E98" s="819"/>
      <c r="F98" s="1471"/>
      <c r="G98" s="1471"/>
      <c r="H98" s="820"/>
      <c r="I98" s="1127"/>
      <c r="J98" s="830" t="s">
        <v>3451</v>
      </c>
      <c r="K98" s="371"/>
      <c r="L98" s="371"/>
      <c r="M98" s="371"/>
      <c r="N98" s="458"/>
      <c r="O98" s="458"/>
      <c r="P98" s="371"/>
      <c r="Q98" s="368">
        <v>5</v>
      </c>
      <c r="R98" s="371" t="s">
        <v>3452</v>
      </c>
      <c r="S98" s="458">
        <v>210000</v>
      </c>
      <c r="T98" s="371" t="s">
        <v>0</v>
      </c>
      <c r="U98" s="371"/>
      <c r="V98" s="371">
        <v>5</v>
      </c>
      <c r="W98" s="371" t="s">
        <v>3</v>
      </c>
      <c r="X98" s="426" t="s">
        <v>3441</v>
      </c>
      <c r="Y98" s="558">
        <f t="shared" si="8"/>
        <v>5250</v>
      </c>
      <c r="Z98" s="1671">
        <f>Q98*S98*V98</f>
        <v>5250000</v>
      </c>
      <c r="AA98" s="907">
        <f t="shared" si="9"/>
        <v>0</v>
      </c>
      <c r="AB98" s="505"/>
      <c r="AC98" s="1143"/>
      <c r="AD98" s="1143"/>
      <c r="AE98" s="1143"/>
    </row>
    <row r="99" spans="1:31" ht="23.85" customHeight="1">
      <c r="A99" s="2627"/>
      <c r="B99" s="1145"/>
      <c r="C99" s="1126"/>
      <c r="D99" s="1145"/>
      <c r="E99" s="809" t="s">
        <v>3453</v>
      </c>
      <c r="F99" s="1805">
        <f>+Y99</f>
        <v>14400</v>
      </c>
      <c r="G99" s="1468">
        <v>14400</v>
      </c>
      <c r="H99" s="810"/>
      <c r="I99" s="1127"/>
      <c r="J99" s="1670" t="s">
        <v>3447</v>
      </c>
      <c r="K99" s="1671"/>
      <c r="L99" s="1671"/>
      <c r="M99" s="1671"/>
      <c r="N99" s="1672"/>
      <c r="O99" s="1672"/>
      <c r="P99" s="1671"/>
      <c r="Q99" s="1673"/>
      <c r="R99" s="1671"/>
      <c r="S99" s="1671"/>
      <c r="T99" s="1671"/>
      <c r="U99" s="1671"/>
      <c r="V99" s="1671"/>
      <c r="W99" s="1671"/>
      <c r="X99" s="397"/>
      <c r="Y99" s="1142">
        <f t="shared" si="8"/>
        <v>14400</v>
      </c>
      <c r="Z99" s="1671">
        <f>SUM(Z100:Z101)</f>
        <v>14400000</v>
      </c>
      <c r="AA99" s="907">
        <f t="shared" si="9"/>
        <v>14400000000</v>
      </c>
      <c r="AB99" s="505"/>
      <c r="AC99" s="1143"/>
      <c r="AD99" s="1143"/>
      <c r="AE99" s="1143"/>
    </row>
    <row r="100" spans="1:31" ht="23.85" customHeight="1">
      <c r="A100" s="2627"/>
      <c r="B100" s="1145"/>
      <c r="C100" s="1126"/>
      <c r="D100" s="1145"/>
      <c r="E100" s="465"/>
      <c r="F100" s="1805"/>
      <c r="G100" s="1805"/>
      <c r="H100" s="404"/>
      <c r="I100" s="1127"/>
      <c r="J100" s="1670" t="s">
        <v>3454</v>
      </c>
      <c r="K100" s="1671"/>
      <c r="L100" s="1671"/>
      <c r="M100" s="1671"/>
      <c r="N100" s="1672"/>
      <c r="O100" s="1671"/>
      <c r="P100" s="1671"/>
      <c r="Q100" s="1673">
        <v>1</v>
      </c>
      <c r="R100" s="1671" t="s">
        <v>23</v>
      </c>
      <c r="S100" s="1672">
        <v>600000</v>
      </c>
      <c r="T100" s="1671" t="s">
        <v>0</v>
      </c>
      <c r="U100" s="1671"/>
      <c r="V100" s="1671">
        <v>12</v>
      </c>
      <c r="W100" s="1671" t="s">
        <v>2</v>
      </c>
      <c r="X100" s="397" t="s">
        <v>3441</v>
      </c>
      <c r="Y100" s="1142">
        <f t="shared" si="8"/>
        <v>7200</v>
      </c>
      <c r="Z100" s="1671">
        <f>S100*Q100*V100</f>
        <v>7200000</v>
      </c>
      <c r="AA100" s="907">
        <f t="shared" si="9"/>
        <v>0</v>
      </c>
      <c r="AB100" s="505"/>
      <c r="AC100" s="1143"/>
      <c r="AD100" s="1143"/>
      <c r="AE100" s="1143"/>
    </row>
    <row r="101" spans="1:31" ht="23.85" customHeight="1">
      <c r="A101" s="2627"/>
      <c r="B101" s="1145"/>
      <c r="C101" s="1126"/>
      <c r="D101" s="1145"/>
      <c r="E101" s="465"/>
      <c r="F101" s="1471"/>
      <c r="G101" s="1805"/>
      <c r="H101" s="404"/>
      <c r="I101" s="1127"/>
      <c r="J101" s="1670" t="s">
        <v>3455</v>
      </c>
      <c r="K101" s="1671"/>
      <c r="L101" s="1671"/>
      <c r="M101" s="1671"/>
      <c r="N101" s="1672"/>
      <c r="O101" s="1671"/>
      <c r="P101" s="1671"/>
      <c r="Q101" s="1673">
        <v>2</v>
      </c>
      <c r="R101" s="1671" t="s">
        <v>23</v>
      </c>
      <c r="S101" s="1672">
        <v>300000</v>
      </c>
      <c r="T101" s="1671" t="s">
        <v>0</v>
      </c>
      <c r="U101" s="1671"/>
      <c r="V101" s="1671">
        <v>12</v>
      </c>
      <c r="W101" s="1671" t="s">
        <v>2</v>
      </c>
      <c r="X101" s="397" t="s">
        <v>3441</v>
      </c>
      <c r="Y101" s="1142">
        <f t="shared" si="8"/>
        <v>7200</v>
      </c>
      <c r="Z101" s="1671">
        <f>S101*Q101*V101</f>
        <v>7200000</v>
      </c>
      <c r="AA101" s="907">
        <f t="shared" si="9"/>
        <v>0</v>
      </c>
      <c r="AB101" s="505"/>
      <c r="AC101" s="1143"/>
      <c r="AD101" s="1143"/>
      <c r="AE101" s="1143"/>
    </row>
    <row r="102" spans="1:31" ht="23.85" customHeight="1">
      <c r="A102" s="2627"/>
      <c r="B102" s="1145"/>
      <c r="C102" s="1126"/>
      <c r="D102" s="1145"/>
      <c r="E102" s="809" t="s">
        <v>3456</v>
      </c>
      <c r="F102" s="1805">
        <f>+Y102</f>
        <v>16104</v>
      </c>
      <c r="G102" s="1468">
        <v>16104</v>
      </c>
      <c r="H102" s="810"/>
      <c r="I102" s="1127"/>
      <c r="J102" s="911" t="s">
        <v>3447</v>
      </c>
      <c r="K102" s="815"/>
      <c r="L102" s="815"/>
      <c r="M102" s="815"/>
      <c r="N102" s="450"/>
      <c r="O102" s="815"/>
      <c r="P102" s="815"/>
      <c r="Q102" s="831"/>
      <c r="R102" s="815"/>
      <c r="S102" s="450"/>
      <c r="T102" s="815"/>
      <c r="U102" s="815"/>
      <c r="V102" s="815"/>
      <c r="W102" s="815"/>
      <c r="X102" s="906"/>
      <c r="Y102" s="1891">
        <f t="shared" si="8"/>
        <v>16104</v>
      </c>
      <c r="Z102" s="1671">
        <f>SUM(Z103:Z106)</f>
        <v>16104000</v>
      </c>
      <c r="AA102" s="907">
        <f t="shared" si="9"/>
        <v>16104000000</v>
      </c>
      <c r="AB102" s="505"/>
      <c r="AC102" s="1143"/>
      <c r="AD102" s="1143"/>
      <c r="AE102" s="1143"/>
    </row>
    <row r="103" spans="1:31" ht="23.85" customHeight="1">
      <c r="A103" s="2627"/>
      <c r="B103" s="1145"/>
      <c r="C103" s="1126"/>
      <c r="D103" s="1145"/>
      <c r="E103" s="834"/>
      <c r="F103" s="1805"/>
      <c r="G103" s="1805"/>
      <c r="H103" s="404"/>
      <c r="I103" s="1127"/>
      <c r="J103" s="1670" t="s">
        <v>3457</v>
      </c>
      <c r="K103" s="1671"/>
      <c r="L103" s="1671"/>
      <c r="M103" s="1671"/>
      <c r="N103" s="1672"/>
      <c r="O103" s="1671"/>
      <c r="P103" s="1671"/>
      <c r="Q103" s="1673"/>
      <c r="R103" s="1671"/>
      <c r="S103" s="1672">
        <v>100000</v>
      </c>
      <c r="T103" s="1671" t="s">
        <v>0</v>
      </c>
      <c r="U103" s="1671"/>
      <c r="V103" s="1673">
        <v>12</v>
      </c>
      <c r="W103" s="1671" t="s">
        <v>2</v>
      </c>
      <c r="X103" s="397" t="s">
        <v>3441</v>
      </c>
      <c r="Y103" s="1142">
        <f t="shared" si="8"/>
        <v>1200</v>
      </c>
      <c r="Z103" s="1671">
        <f>ROUNDUP(S103*V103,-3)</f>
        <v>1200000</v>
      </c>
      <c r="AA103" s="907">
        <f t="shared" si="9"/>
        <v>0</v>
      </c>
      <c r="AB103" s="505"/>
      <c r="AC103" s="1143"/>
      <c r="AD103" s="1143"/>
      <c r="AE103" s="1143"/>
    </row>
    <row r="104" spans="1:31" ht="23.85" customHeight="1">
      <c r="A104" s="2627"/>
      <c r="B104" s="1145"/>
      <c r="C104" s="1126"/>
      <c r="D104" s="1145"/>
      <c r="E104" s="465"/>
      <c r="F104" s="1805"/>
      <c r="G104" s="1805"/>
      <c r="H104" s="404"/>
      <c r="I104" s="1127"/>
      <c r="J104" s="1670" t="s">
        <v>3458</v>
      </c>
      <c r="K104" s="1671"/>
      <c r="L104" s="1671"/>
      <c r="M104" s="1671"/>
      <c r="N104" s="1672"/>
      <c r="O104" s="1671"/>
      <c r="P104" s="1671"/>
      <c r="Q104" s="1673">
        <v>5</v>
      </c>
      <c r="R104" s="1671" t="s">
        <v>29</v>
      </c>
      <c r="S104" s="1672">
        <v>140000</v>
      </c>
      <c r="T104" s="1671" t="s">
        <v>0</v>
      </c>
      <c r="U104" s="1671"/>
      <c r="V104" s="1671">
        <v>12</v>
      </c>
      <c r="W104" s="1671" t="s">
        <v>2</v>
      </c>
      <c r="X104" s="397" t="s">
        <v>3441</v>
      </c>
      <c r="Y104" s="1142">
        <f t="shared" si="8"/>
        <v>8400</v>
      </c>
      <c r="Z104" s="1671">
        <f>+Q104*S104*V104</f>
        <v>8400000</v>
      </c>
      <c r="AA104" s="907">
        <f t="shared" si="9"/>
        <v>0</v>
      </c>
      <c r="AB104" s="505"/>
      <c r="AC104" s="1143"/>
      <c r="AD104" s="1143"/>
      <c r="AE104" s="1143"/>
    </row>
    <row r="105" spans="1:31" ht="23.85" customHeight="1">
      <c r="A105" s="2627"/>
      <c r="B105" s="1145"/>
      <c r="C105" s="1126"/>
      <c r="D105" s="1145"/>
      <c r="E105" s="465"/>
      <c r="F105" s="1805"/>
      <c r="G105" s="1805"/>
      <c r="H105" s="404"/>
      <c r="I105" s="1127"/>
      <c r="J105" s="1670" t="s">
        <v>3459</v>
      </c>
      <c r="K105" s="1671"/>
      <c r="L105" s="1671"/>
      <c r="M105" s="1671"/>
      <c r="N105" s="1672"/>
      <c r="O105" s="1671"/>
      <c r="P105" s="1671"/>
      <c r="Q105" s="1673">
        <v>1</v>
      </c>
      <c r="R105" s="1671" t="s">
        <v>37</v>
      </c>
      <c r="S105" s="1672">
        <v>500000</v>
      </c>
      <c r="T105" s="1671" t="s">
        <v>0</v>
      </c>
      <c r="U105" s="1671"/>
      <c r="V105" s="1673">
        <v>12</v>
      </c>
      <c r="W105" s="1671" t="s">
        <v>2</v>
      </c>
      <c r="X105" s="397" t="s">
        <v>3460</v>
      </c>
      <c r="Y105" s="1142">
        <f t="shared" si="8"/>
        <v>6000</v>
      </c>
      <c r="Z105" s="1671">
        <f>+Q105*S105*V105</f>
        <v>6000000</v>
      </c>
      <c r="AA105" s="907">
        <f t="shared" si="9"/>
        <v>0</v>
      </c>
      <c r="AB105" s="505"/>
      <c r="AC105" s="1143"/>
      <c r="AD105" s="1143"/>
      <c r="AE105" s="1143"/>
    </row>
    <row r="106" spans="1:31" ht="23.85" customHeight="1">
      <c r="A106" s="2627"/>
      <c r="B106" s="1145"/>
      <c r="C106" s="1126"/>
      <c r="D106" s="1145"/>
      <c r="E106" s="819"/>
      <c r="F106" s="1471"/>
      <c r="G106" s="1471"/>
      <c r="H106" s="820"/>
      <c r="I106" s="1127"/>
      <c r="J106" s="830" t="s">
        <v>3461</v>
      </c>
      <c r="K106" s="371"/>
      <c r="L106" s="371"/>
      <c r="M106" s="371"/>
      <c r="N106" s="458"/>
      <c r="O106" s="371"/>
      <c r="P106" s="371"/>
      <c r="Q106" s="368">
        <v>1</v>
      </c>
      <c r="R106" s="371" t="s">
        <v>29</v>
      </c>
      <c r="S106" s="458">
        <v>42000</v>
      </c>
      <c r="T106" s="371" t="s">
        <v>0</v>
      </c>
      <c r="U106" s="371"/>
      <c r="V106" s="371">
        <v>12</v>
      </c>
      <c r="W106" s="371" t="s">
        <v>2</v>
      </c>
      <c r="X106" s="426" t="s">
        <v>3460</v>
      </c>
      <c r="Y106" s="558">
        <f t="shared" si="8"/>
        <v>504</v>
      </c>
      <c r="Z106" s="1671">
        <f>+Q106*S106*V106</f>
        <v>504000</v>
      </c>
      <c r="AA106" s="907">
        <f t="shared" si="9"/>
        <v>0</v>
      </c>
      <c r="AB106" s="505"/>
      <c r="AC106" s="1143"/>
      <c r="AD106" s="1143"/>
      <c r="AE106" s="1143"/>
    </row>
    <row r="107" spans="1:31" ht="23.85" customHeight="1">
      <c r="A107" s="2627"/>
      <c r="B107" s="1145"/>
      <c r="C107" s="1126"/>
      <c r="D107" s="1145"/>
      <c r="E107" s="809" t="s">
        <v>3462</v>
      </c>
      <c r="F107" s="1468">
        <f>+Y107</f>
        <v>1000</v>
      </c>
      <c r="G107" s="1468">
        <v>1000</v>
      </c>
      <c r="H107" s="810"/>
      <c r="I107" s="1127"/>
      <c r="J107" s="1670" t="s">
        <v>3463</v>
      </c>
      <c r="K107" s="1671"/>
      <c r="L107" s="1671"/>
      <c r="M107" s="1671"/>
      <c r="N107" s="1672"/>
      <c r="O107" s="1672"/>
      <c r="P107" s="1671"/>
      <c r="Q107" s="1673">
        <v>10</v>
      </c>
      <c r="R107" s="1671" t="s">
        <v>28</v>
      </c>
      <c r="S107" s="1672">
        <v>10000</v>
      </c>
      <c r="T107" s="1671" t="s">
        <v>0</v>
      </c>
      <c r="U107" s="1671"/>
      <c r="V107" s="1671">
        <v>10</v>
      </c>
      <c r="W107" s="1671" t="s">
        <v>25</v>
      </c>
      <c r="X107" s="397" t="s">
        <v>3460</v>
      </c>
      <c r="Y107" s="1142">
        <f>+Z107/1000</f>
        <v>1000</v>
      </c>
      <c r="Z107" s="1671">
        <f>+Q107*S107*V107</f>
        <v>1000000</v>
      </c>
      <c r="AA107" s="907">
        <f t="shared" si="9"/>
        <v>1000000000</v>
      </c>
      <c r="AB107" s="2333">
        <v>10000</v>
      </c>
      <c r="AC107" s="1143"/>
      <c r="AD107" s="1143"/>
      <c r="AE107" s="1143"/>
    </row>
    <row r="108" spans="1:31" ht="23.85" customHeight="1">
      <c r="A108" s="2627"/>
      <c r="B108" s="1145"/>
      <c r="C108" s="1126"/>
      <c r="D108" s="3284" t="s">
        <v>3464</v>
      </c>
      <c r="E108" s="3285"/>
      <c r="F108" s="488">
        <f>SUM(F109)</f>
        <v>6000</v>
      </c>
      <c r="G108" s="488">
        <f>SUM(G109)</f>
        <v>6000</v>
      </c>
      <c r="H108" s="1132">
        <f>F108-G108</f>
        <v>0</v>
      </c>
      <c r="I108" s="1127"/>
      <c r="J108" s="374"/>
      <c r="K108" s="375"/>
      <c r="L108" s="375"/>
      <c r="M108" s="375"/>
      <c r="N108" s="375"/>
      <c r="O108" s="375"/>
      <c r="P108" s="376"/>
      <c r="Q108" s="375"/>
      <c r="R108" s="376"/>
      <c r="S108" s="375"/>
      <c r="T108" s="376"/>
      <c r="U108" s="375"/>
      <c r="V108" s="376"/>
      <c r="W108" s="375"/>
      <c r="X108" s="375"/>
      <c r="Y108" s="503"/>
      <c r="Z108" s="1128">
        <f>+Z109</f>
        <v>6000000</v>
      </c>
      <c r="AA108" s="907">
        <f t="shared" si="9"/>
        <v>6000000000</v>
      </c>
      <c r="AB108" s="505"/>
      <c r="AC108" s="1143"/>
      <c r="AD108" s="1143"/>
      <c r="AE108" s="1143"/>
    </row>
    <row r="109" spans="1:31" ht="23.85" customHeight="1" thickBot="1">
      <c r="A109" s="2627"/>
      <c r="B109" s="1145"/>
      <c r="C109" s="1126"/>
      <c r="D109" s="350"/>
      <c r="E109" s="350" t="s">
        <v>3465</v>
      </c>
      <c r="F109" s="1805">
        <f>+Y109</f>
        <v>6000</v>
      </c>
      <c r="G109" s="978">
        <v>6000</v>
      </c>
      <c r="H109" s="352"/>
      <c r="I109" s="1127"/>
      <c r="J109" s="2643" t="s">
        <v>3466</v>
      </c>
      <c r="K109" s="2624"/>
      <c r="L109" s="2624"/>
      <c r="M109" s="2624"/>
      <c r="N109" s="2357"/>
      <c r="O109" s="2357"/>
      <c r="P109" s="2357"/>
      <c r="Q109" s="1673"/>
      <c r="R109" s="1671"/>
      <c r="S109" s="1672">
        <v>1500000</v>
      </c>
      <c r="T109" s="1671" t="s">
        <v>3467</v>
      </c>
      <c r="U109" s="1671"/>
      <c r="V109" s="1671">
        <v>4</v>
      </c>
      <c r="W109" s="1671" t="s">
        <v>3468</v>
      </c>
      <c r="X109" s="397" t="s">
        <v>3460</v>
      </c>
      <c r="Y109" s="1142">
        <f>+Z109/1000</f>
        <v>6000</v>
      </c>
      <c r="Z109" s="1671">
        <f>S109*V109</f>
        <v>6000000</v>
      </c>
      <c r="AA109" s="907">
        <f t="shared" si="9"/>
        <v>6000000000</v>
      </c>
      <c r="AB109" s="505"/>
      <c r="AC109" s="1143"/>
      <c r="AD109" s="1143"/>
      <c r="AE109" s="1143"/>
    </row>
    <row r="110" spans="1:31" ht="23.85" customHeight="1" thickBot="1">
      <c r="A110" s="2005" t="s">
        <v>3469</v>
      </c>
      <c r="B110" s="2006"/>
      <c r="C110" s="3355" t="s">
        <v>3470</v>
      </c>
      <c r="D110" s="3310"/>
      <c r="E110" s="3311"/>
      <c r="F110" s="1367">
        <f>+F111+F122+F235+F297+F309+F357+F366</f>
        <v>2125200</v>
      </c>
      <c r="G110" s="1367">
        <f>+G111+G122+G235+G297+G309+G357+G366</f>
        <v>1260000</v>
      </c>
      <c r="H110" s="838">
        <f t="shared" ref="H110" si="10">F110-G110</f>
        <v>865200</v>
      </c>
      <c r="I110" s="1127"/>
      <c r="J110" s="750"/>
      <c r="K110" s="927"/>
      <c r="L110" s="927"/>
      <c r="M110" s="927"/>
      <c r="N110" s="927"/>
      <c r="O110" s="927"/>
      <c r="P110" s="927"/>
      <c r="Q110" s="928"/>
      <c r="R110" s="927"/>
      <c r="S110" s="927"/>
      <c r="T110" s="927"/>
      <c r="U110" s="927"/>
      <c r="V110" s="927"/>
      <c r="W110" s="927"/>
      <c r="X110" s="2606"/>
      <c r="Y110" s="929"/>
      <c r="Z110" s="983"/>
      <c r="AA110" s="907">
        <f t="shared" si="9"/>
        <v>2125200000000</v>
      </c>
      <c r="AB110" s="505"/>
    </row>
    <row r="111" spans="1:31" ht="23.85" customHeight="1">
      <c r="A111" s="2627"/>
      <c r="B111" s="1145"/>
      <c r="C111" s="2642" t="s">
        <v>3471</v>
      </c>
      <c r="D111" s="2615"/>
      <c r="E111" s="2616"/>
      <c r="F111" s="527">
        <f>+F112</f>
        <v>30000</v>
      </c>
      <c r="G111" s="527">
        <f>+G112</f>
        <v>30000</v>
      </c>
      <c r="H111" s="361">
        <f>F111-G111</f>
        <v>0</v>
      </c>
      <c r="I111" s="1127"/>
      <c r="J111" s="1129"/>
      <c r="K111" s="846"/>
      <c r="L111" s="846"/>
      <c r="M111" s="846"/>
      <c r="N111" s="846"/>
      <c r="O111" s="846"/>
      <c r="P111" s="846"/>
      <c r="Q111" s="847"/>
      <c r="R111" s="846"/>
      <c r="S111" s="846"/>
      <c r="T111" s="846"/>
      <c r="U111" s="846"/>
      <c r="V111" s="846"/>
      <c r="W111" s="846"/>
      <c r="X111" s="2647"/>
      <c r="Y111" s="848"/>
      <c r="Z111" s="1128">
        <f>AB111</f>
        <v>0</v>
      </c>
      <c r="AA111" s="907">
        <f t="shared" si="9"/>
        <v>30000000000</v>
      </c>
      <c r="AB111" s="505"/>
    </row>
    <row r="112" spans="1:31" ht="23.85" customHeight="1">
      <c r="A112" s="2627"/>
      <c r="B112" s="1145"/>
      <c r="C112" s="1126"/>
      <c r="D112" s="3275" t="s">
        <v>3472</v>
      </c>
      <c r="E112" s="3276"/>
      <c r="F112" s="499">
        <f>SUM(F113:F121)</f>
        <v>30000</v>
      </c>
      <c r="G112" s="499">
        <f>SUM(G113:G121)</f>
        <v>30000</v>
      </c>
      <c r="H112" s="361">
        <f>F112-G112</f>
        <v>0</v>
      </c>
      <c r="I112" s="1127"/>
      <c r="J112" s="501"/>
      <c r="K112" s="2635"/>
      <c r="L112" s="2635"/>
      <c r="M112" s="2635"/>
      <c r="N112" s="2635"/>
      <c r="O112" s="2635"/>
      <c r="P112" s="484"/>
      <c r="Q112" s="2635"/>
      <c r="R112" s="1146"/>
      <c r="S112" s="484"/>
      <c r="T112" s="2635"/>
      <c r="U112" s="2635"/>
      <c r="V112" s="484"/>
      <c r="W112" s="2635"/>
      <c r="X112" s="502"/>
      <c r="Y112" s="503"/>
      <c r="Z112" s="2341">
        <f>AB112</f>
        <v>0</v>
      </c>
      <c r="AA112" s="907">
        <f t="shared" si="9"/>
        <v>30000000000</v>
      </c>
      <c r="AB112" s="505"/>
    </row>
    <row r="113" spans="1:28" ht="23.85" customHeight="1">
      <c r="A113" s="2627"/>
      <c r="B113" s="1145"/>
      <c r="C113" s="1126"/>
      <c r="D113" s="1148"/>
      <c r="E113" s="1134" t="s">
        <v>3473</v>
      </c>
      <c r="F113" s="1141">
        <f>+Y113</f>
        <v>10000</v>
      </c>
      <c r="G113" s="1139">
        <v>10000</v>
      </c>
      <c r="H113" s="404"/>
      <c r="I113" s="1127"/>
      <c r="J113" s="2643" t="s">
        <v>3474</v>
      </c>
      <c r="K113" s="2624"/>
      <c r="L113" s="2624"/>
      <c r="M113" s="2624"/>
      <c r="N113" s="2624"/>
      <c r="O113" s="2624"/>
      <c r="P113" s="1675"/>
      <c r="Q113" s="2644">
        <v>1</v>
      </c>
      <c r="R113" s="2630" t="s">
        <v>23</v>
      </c>
      <c r="S113" s="2644">
        <v>2500000</v>
      </c>
      <c r="T113" s="2644" t="s">
        <v>0</v>
      </c>
      <c r="U113" s="1675"/>
      <c r="V113" s="2644">
        <v>4</v>
      </c>
      <c r="W113" s="2644" t="s">
        <v>3475</v>
      </c>
      <c r="X113" s="1140" t="s">
        <v>3460</v>
      </c>
      <c r="Y113" s="1142">
        <f t="shared" ref="Y113:Y121" si="11">+Z113/1000</f>
        <v>10000</v>
      </c>
      <c r="Z113" s="1128">
        <f>+S113*V113*Q113</f>
        <v>10000000</v>
      </c>
      <c r="AA113" s="907">
        <f t="shared" si="9"/>
        <v>10000000000</v>
      </c>
      <c r="AB113" s="505"/>
    </row>
    <row r="114" spans="1:28" ht="23.85" customHeight="1">
      <c r="A114" s="2627"/>
      <c r="B114" s="1145"/>
      <c r="C114" s="1126"/>
      <c r="D114" s="1148"/>
      <c r="E114" s="1134" t="s">
        <v>51</v>
      </c>
      <c r="F114" s="1141">
        <f>+Y114</f>
        <v>10000</v>
      </c>
      <c r="G114" s="1139">
        <v>10000</v>
      </c>
      <c r="H114" s="404"/>
      <c r="I114" s="1127"/>
      <c r="J114" s="2643" t="s">
        <v>3476</v>
      </c>
      <c r="K114" s="2624"/>
      <c r="L114" s="2624"/>
      <c r="M114" s="2624"/>
      <c r="N114" s="2624"/>
      <c r="O114" s="2624"/>
      <c r="P114" s="1675"/>
      <c r="Q114" s="2644"/>
      <c r="R114" s="2630"/>
      <c r="S114" s="2644">
        <v>20000</v>
      </c>
      <c r="T114" s="2644" t="s">
        <v>0</v>
      </c>
      <c r="U114" s="1675"/>
      <c r="V114" s="2644">
        <v>500</v>
      </c>
      <c r="W114" s="2644" t="s">
        <v>3477</v>
      </c>
      <c r="X114" s="1140" t="s">
        <v>3460</v>
      </c>
      <c r="Y114" s="1142">
        <f t="shared" si="11"/>
        <v>10000</v>
      </c>
      <c r="Z114" s="1128">
        <f>+S114*V114</f>
        <v>10000000</v>
      </c>
      <c r="AA114" s="907">
        <f t="shared" si="9"/>
        <v>10000000000</v>
      </c>
      <c r="AB114" s="505"/>
    </row>
    <row r="115" spans="1:28" ht="23.85" customHeight="1">
      <c r="A115" s="2892"/>
      <c r="B115" s="1145"/>
      <c r="C115" s="1126"/>
      <c r="D115" s="1131"/>
      <c r="E115" s="1134" t="s">
        <v>195</v>
      </c>
      <c r="F115" s="1141">
        <f>+Y115</f>
        <v>5000</v>
      </c>
      <c r="G115" s="1139">
        <v>5000</v>
      </c>
      <c r="H115" s="404"/>
      <c r="I115" s="1127"/>
      <c r="J115" s="2899" t="s">
        <v>8</v>
      </c>
      <c r="K115" s="2889"/>
      <c r="L115" s="2889"/>
      <c r="M115" s="2889"/>
      <c r="N115" s="2889"/>
      <c r="O115" s="2889"/>
      <c r="P115" s="1675"/>
      <c r="Q115" s="1675"/>
      <c r="R115" s="2900"/>
      <c r="S115" s="2895"/>
      <c r="T115" s="2900"/>
      <c r="U115" s="2900"/>
      <c r="V115" s="2900"/>
      <c r="W115" s="2900"/>
      <c r="X115" s="1140"/>
      <c r="Y115" s="1142">
        <f t="shared" ref="Y115" si="12">+Z115/1000</f>
        <v>5000</v>
      </c>
      <c r="Z115" s="1128">
        <f>SUM(Z116:Z117)</f>
        <v>5000000</v>
      </c>
      <c r="AA115" s="907">
        <f t="shared" ref="AA115:AA117" si="13">F115*1000000</f>
        <v>5000000000</v>
      </c>
      <c r="AB115" s="505"/>
    </row>
    <row r="116" spans="1:28" ht="23.85" customHeight="1">
      <c r="A116" s="2892"/>
      <c r="B116" s="1145"/>
      <c r="C116" s="1126"/>
      <c r="D116" s="1131"/>
      <c r="E116" s="1134"/>
      <c r="F116" s="1141"/>
      <c r="G116" s="1139"/>
      <c r="H116" s="1147"/>
      <c r="I116" s="1127"/>
      <c r="J116" s="2899" t="s">
        <v>5749</v>
      </c>
      <c r="K116" s="2889"/>
      <c r="L116" s="2889"/>
      <c r="M116" s="2889"/>
      <c r="N116" s="2889"/>
      <c r="O116" s="2889"/>
      <c r="P116" s="1675"/>
      <c r="Q116" s="2900">
        <v>2</v>
      </c>
      <c r="R116" s="2895" t="s">
        <v>23</v>
      </c>
      <c r="S116" s="2900">
        <v>1900000</v>
      </c>
      <c r="T116" s="2900" t="s">
        <v>0</v>
      </c>
      <c r="U116" s="1675"/>
      <c r="V116" s="2900">
        <v>1</v>
      </c>
      <c r="W116" s="1671" t="s">
        <v>3</v>
      </c>
      <c r="X116" s="1140" t="s">
        <v>266</v>
      </c>
      <c r="Y116" s="1142">
        <f>+Z116/1000</f>
        <v>3800</v>
      </c>
      <c r="Z116" s="1128">
        <f>S116*V116*Q116</f>
        <v>3800000</v>
      </c>
      <c r="AA116" s="907">
        <f t="shared" si="13"/>
        <v>0</v>
      </c>
      <c r="AB116" s="505"/>
    </row>
    <row r="117" spans="1:28" ht="23.85" customHeight="1">
      <c r="A117" s="2892"/>
      <c r="B117" s="1145"/>
      <c r="C117" s="1126"/>
      <c r="D117" s="1131"/>
      <c r="E117" s="1134"/>
      <c r="F117" s="1141"/>
      <c r="G117" s="1139"/>
      <c r="H117" s="1147"/>
      <c r="I117" s="1127"/>
      <c r="J117" s="2899" t="s">
        <v>5750</v>
      </c>
      <c r="K117" s="2889"/>
      <c r="L117" s="2889"/>
      <c r="M117" s="2889"/>
      <c r="N117" s="2889"/>
      <c r="O117" s="2889"/>
      <c r="P117" s="1675"/>
      <c r="Q117" s="2900">
        <v>4</v>
      </c>
      <c r="R117" s="2895" t="s">
        <v>23</v>
      </c>
      <c r="S117" s="2900">
        <v>30000</v>
      </c>
      <c r="T117" s="2900" t="s">
        <v>0</v>
      </c>
      <c r="U117" s="1675"/>
      <c r="V117" s="2900">
        <v>10</v>
      </c>
      <c r="W117" s="1671" t="s">
        <v>3</v>
      </c>
      <c r="X117" s="1140" t="s">
        <v>266</v>
      </c>
      <c r="Y117" s="1142">
        <f>+Z117/1000</f>
        <v>1200</v>
      </c>
      <c r="Z117" s="1128">
        <f>S117*V117*Q117</f>
        <v>1200000</v>
      </c>
      <c r="AA117" s="907">
        <f t="shared" si="13"/>
        <v>0</v>
      </c>
      <c r="AB117" s="505"/>
    </row>
    <row r="118" spans="1:28" ht="23.85" customHeight="1">
      <c r="A118" s="2627"/>
      <c r="B118" s="1145"/>
      <c r="C118" s="1126"/>
      <c r="D118" s="1131"/>
      <c r="E118" s="1134" t="s">
        <v>52</v>
      </c>
      <c r="F118" s="1141">
        <f>+Y118</f>
        <v>4600</v>
      </c>
      <c r="G118" s="1139">
        <v>4600</v>
      </c>
      <c r="H118" s="404"/>
      <c r="I118" s="1127"/>
      <c r="J118" s="2643" t="s">
        <v>8</v>
      </c>
      <c r="K118" s="2624"/>
      <c r="L118" s="2624"/>
      <c r="M118" s="2624"/>
      <c r="N118" s="2624"/>
      <c r="O118" s="2624"/>
      <c r="P118" s="1675"/>
      <c r="Q118" s="1675"/>
      <c r="R118" s="2644"/>
      <c r="S118" s="2630"/>
      <c r="T118" s="2644"/>
      <c r="U118" s="2644"/>
      <c r="V118" s="2644"/>
      <c r="W118" s="2644"/>
      <c r="X118" s="1140"/>
      <c r="Y118" s="1142">
        <v>4600</v>
      </c>
      <c r="Z118" s="1128">
        <f>SUM(Z119:Z120)</f>
        <v>2000000</v>
      </c>
      <c r="AA118" s="907">
        <f t="shared" si="9"/>
        <v>4600000000</v>
      </c>
      <c r="AB118" s="505"/>
    </row>
    <row r="119" spans="1:28" ht="23.85" customHeight="1">
      <c r="A119" s="2627"/>
      <c r="B119" s="1145"/>
      <c r="C119" s="1126"/>
      <c r="D119" s="1131"/>
      <c r="E119" s="1134"/>
      <c r="F119" s="1141"/>
      <c r="G119" s="1139"/>
      <c r="H119" s="1147"/>
      <c r="I119" s="1127"/>
      <c r="J119" s="2643" t="s">
        <v>3478</v>
      </c>
      <c r="K119" s="2624"/>
      <c r="L119" s="2624"/>
      <c r="M119" s="2624"/>
      <c r="N119" s="2624"/>
      <c r="O119" s="2624"/>
      <c r="P119" s="1675"/>
      <c r="Q119" s="2644"/>
      <c r="R119" s="2630"/>
      <c r="S119" s="2644">
        <v>2600000</v>
      </c>
      <c r="T119" s="2644" t="s">
        <v>0</v>
      </c>
      <c r="U119" s="1675"/>
      <c r="V119" s="2644">
        <v>1</v>
      </c>
      <c r="W119" s="1671" t="s">
        <v>3</v>
      </c>
      <c r="X119" s="1140" t="s">
        <v>3460</v>
      </c>
      <c r="Y119" s="1142">
        <v>2600</v>
      </c>
      <c r="Z119" s="1128">
        <f>S119*V119*Q119</f>
        <v>0</v>
      </c>
      <c r="AA119" s="907">
        <f t="shared" si="9"/>
        <v>0</v>
      </c>
      <c r="AB119" s="505"/>
    </row>
    <row r="120" spans="1:28" ht="23.85" customHeight="1">
      <c r="A120" s="2627"/>
      <c r="B120" s="1145"/>
      <c r="C120" s="1126"/>
      <c r="D120" s="1131"/>
      <c r="E120" s="1134"/>
      <c r="F120" s="1141"/>
      <c r="G120" s="1139"/>
      <c r="H120" s="1147"/>
      <c r="I120" s="1127"/>
      <c r="J120" s="2643" t="s">
        <v>3479</v>
      </c>
      <c r="K120" s="2624"/>
      <c r="L120" s="2624"/>
      <c r="M120" s="2624"/>
      <c r="N120" s="2624"/>
      <c r="O120" s="2624"/>
      <c r="P120" s="1675"/>
      <c r="Q120" s="2644">
        <v>5</v>
      </c>
      <c r="R120" s="2630" t="s">
        <v>23</v>
      </c>
      <c r="S120" s="2644">
        <v>200000</v>
      </c>
      <c r="T120" s="2644" t="s">
        <v>0</v>
      </c>
      <c r="U120" s="1675"/>
      <c r="V120" s="2644">
        <v>2</v>
      </c>
      <c r="W120" s="1671" t="s">
        <v>3</v>
      </c>
      <c r="X120" s="1140" t="s">
        <v>3460</v>
      </c>
      <c r="Y120" s="1142">
        <v>2000</v>
      </c>
      <c r="Z120" s="1128">
        <f>S120*V120*Q120</f>
        <v>2000000</v>
      </c>
      <c r="AA120" s="907">
        <f t="shared" si="9"/>
        <v>0</v>
      </c>
      <c r="AB120" s="505"/>
    </row>
    <row r="121" spans="1:28" ht="23.85" customHeight="1">
      <c r="A121" s="2627"/>
      <c r="B121" s="1145"/>
      <c r="C121" s="1154"/>
      <c r="D121" s="453"/>
      <c r="E121" s="855" t="s">
        <v>55</v>
      </c>
      <c r="F121" s="1141">
        <f>+Y121</f>
        <v>400</v>
      </c>
      <c r="G121" s="455">
        <v>400</v>
      </c>
      <c r="H121" s="820"/>
      <c r="I121" s="1127"/>
      <c r="J121" s="1627" t="s">
        <v>3480</v>
      </c>
      <c r="K121" s="2619"/>
      <c r="L121" s="2619"/>
      <c r="M121" s="2619"/>
      <c r="N121" s="2619"/>
      <c r="O121" s="2619"/>
      <c r="P121" s="1626"/>
      <c r="Q121" s="459">
        <v>10</v>
      </c>
      <c r="R121" s="457" t="s">
        <v>23</v>
      </c>
      <c r="S121" s="459">
        <v>10000</v>
      </c>
      <c r="T121" s="459" t="s">
        <v>0</v>
      </c>
      <c r="U121" s="1626"/>
      <c r="V121" s="459">
        <v>4</v>
      </c>
      <c r="W121" s="459" t="s">
        <v>3</v>
      </c>
      <c r="X121" s="460" t="s">
        <v>1</v>
      </c>
      <c r="Y121" s="558">
        <f t="shared" si="11"/>
        <v>400</v>
      </c>
      <c r="Z121" s="2341">
        <f>S121*V121*Q121</f>
        <v>400000</v>
      </c>
      <c r="AA121" s="907">
        <f t="shared" si="9"/>
        <v>400000000</v>
      </c>
      <c r="AB121" s="505"/>
    </row>
    <row r="122" spans="1:28" ht="23.85" customHeight="1">
      <c r="A122" s="2627"/>
      <c r="B122" s="1145"/>
      <c r="C122" s="2601" t="s">
        <v>3481</v>
      </c>
      <c r="D122" s="2615"/>
      <c r="E122" s="2616"/>
      <c r="F122" s="1153">
        <f>+F160+F123+F169+F187+F214+F221</f>
        <v>502950</v>
      </c>
      <c r="G122" s="1153">
        <f>+G160+G123+G169+G187+G214+G221</f>
        <v>497750</v>
      </c>
      <c r="H122" s="361">
        <f>F122-G122</f>
        <v>5200</v>
      </c>
      <c r="I122" s="1127"/>
      <c r="J122" s="1129"/>
      <c r="K122" s="846"/>
      <c r="L122" s="846"/>
      <c r="M122" s="846"/>
      <c r="N122" s="846"/>
      <c r="O122" s="846"/>
      <c r="P122" s="846"/>
      <c r="Q122" s="847"/>
      <c r="R122" s="846"/>
      <c r="S122" s="846"/>
      <c r="T122" s="846"/>
      <c r="U122" s="846"/>
      <c r="V122" s="846"/>
      <c r="W122" s="846"/>
      <c r="X122" s="2647"/>
      <c r="Y122" s="848"/>
      <c r="Z122" s="1128">
        <f>AB122</f>
        <v>0</v>
      </c>
      <c r="AA122" s="907">
        <f t="shared" si="9"/>
        <v>502950000000</v>
      </c>
      <c r="AB122" s="505"/>
    </row>
    <row r="123" spans="1:28" ht="23.85" customHeight="1">
      <c r="A123" s="2627"/>
      <c r="B123" s="1145"/>
      <c r="C123" s="1126"/>
      <c r="D123" s="3273" t="s">
        <v>3482</v>
      </c>
      <c r="E123" s="3274"/>
      <c r="F123" s="499">
        <f>SUM(F124:F159)</f>
        <v>155200</v>
      </c>
      <c r="G123" s="499">
        <f>SUM(G124:G159)</f>
        <v>150000</v>
      </c>
      <c r="H123" s="361">
        <f>F123-G123</f>
        <v>5200</v>
      </c>
      <c r="I123" s="1127"/>
      <c r="J123" s="1129"/>
      <c r="K123" s="2801"/>
      <c r="L123" s="2801"/>
      <c r="M123" s="2801"/>
      <c r="N123" s="2801"/>
      <c r="O123" s="2801"/>
      <c r="P123" s="1130"/>
      <c r="Q123" s="2801"/>
      <c r="R123" s="1626"/>
      <c r="S123" s="1130"/>
      <c r="T123" s="2801"/>
      <c r="U123" s="2801"/>
      <c r="V123" s="1130"/>
      <c r="W123" s="2801"/>
      <c r="X123" s="1157"/>
      <c r="Y123" s="1158"/>
      <c r="Z123" s="2341"/>
      <c r="AA123" s="907">
        <f t="shared" si="9"/>
        <v>155200000000</v>
      </c>
      <c r="AB123" s="505"/>
    </row>
    <row r="124" spans="1:28" ht="23.85" customHeight="1">
      <c r="A124" s="2627"/>
      <c r="B124" s="1145"/>
      <c r="C124" s="1126"/>
      <c r="D124" s="1148"/>
      <c r="E124" s="1134" t="s">
        <v>572</v>
      </c>
      <c r="F124" s="1134">
        <f>Y124</f>
        <v>7000</v>
      </c>
      <c r="G124" s="1141">
        <v>7000</v>
      </c>
      <c r="H124" s="404"/>
      <c r="I124" s="1127"/>
      <c r="J124" s="2899" t="s">
        <v>8</v>
      </c>
      <c r="K124" s="2889"/>
      <c r="L124" s="2889"/>
      <c r="M124" s="2889"/>
      <c r="N124" s="2889"/>
      <c r="O124" s="2889"/>
      <c r="P124" s="1675"/>
      <c r="Q124" s="2900"/>
      <c r="R124" s="2895"/>
      <c r="S124" s="2900"/>
      <c r="T124" s="2900"/>
      <c r="U124" s="1675"/>
      <c r="V124" s="2900"/>
      <c r="W124" s="2900"/>
      <c r="X124" s="1140"/>
      <c r="Y124" s="1142">
        <f t="shared" ref="Y124:Y125" si="14">+Z124/1000</f>
        <v>7000</v>
      </c>
      <c r="Z124" s="1128">
        <f>Z125+Z126</f>
        <v>7000000</v>
      </c>
      <c r="AA124" s="907">
        <f t="shared" si="9"/>
        <v>7000000000</v>
      </c>
      <c r="AB124" s="505"/>
    </row>
    <row r="125" spans="1:28" ht="23.85" customHeight="1">
      <c r="A125" s="2627"/>
      <c r="B125" s="1145"/>
      <c r="C125" s="1126"/>
      <c r="D125" s="1148"/>
      <c r="E125" s="1134"/>
      <c r="F125" s="1134"/>
      <c r="G125" s="1141"/>
      <c r="H125" s="404"/>
      <c r="I125" s="1127"/>
      <c r="J125" s="2899" t="s">
        <v>5184</v>
      </c>
      <c r="K125" s="2889"/>
      <c r="L125" s="2889"/>
      <c r="M125" s="2889"/>
      <c r="N125" s="2889"/>
      <c r="O125" s="2889"/>
      <c r="P125" s="1675"/>
      <c r="Q125" s="2900"/>
      <c r="R125" s="2895"/>
      <c r="S125" s="2900">
        <v>3000000</v>
      </c>
      <c r="T125" s="2900" t="s">
        <v>0</v>
      </c>
      <c r="U125" s="1675"/>
      <c r="V125" s="2900">
        <v>1</v>
      </c>
      <c r="W125" s="2900" t="s">
        <v>3</v>
      </c>
      <c r="X125" s="1387"/>
      <c r="Y125" s="1142">
        <f t="shared" si="14"/>
        <v>3000</v>
      </c>
      <c r="Z125" s="1128">
        <f>S125*V125</f>
        <v>3000000</v>
      </c>
      <c r="AA125" s="907">
        <f t="shared" si="9"/>
        <v>0</v>
      </c>
      <c r="AB125" s="505"/>
    </row>
    <row r="126" spans="1:28" ht="23.85" customHeight="1">
      <c r="A126" s="2627"/>
      <c r="B126" s="1145"/>
      <c r="C126" s="1126"/>
      <c r="D126" s="1148"/>
      <c r="E126" s="1134"/>
      <c r="F126" s="1134"/>
      <c r="G126" s="1141"/>
      <c r="H126" s="404"/>
      <c r="I126" s="1127"/>
      <c r="J126" s="2899" t="s">
        <v>5185</v>
      </c>
      <c r="K126" s="2889"/>
      <c r="L126" s="2889"/>
      <c r="M126" s="2889"/>
      <c r="N126" s="2889"/>
      <c r="O126" s="2889"/>
      <c r="P126" s="1675"/>
      <c r="Q126" s="2900"/>
      <c r="R126" s="2895"/>
      <c r="S126" s="2900">
        <v>2000000</v>
      </c>
      <c r="T126" s="2900" t="s">
        <v>0</v>
      </c>
      <c r="U126" s="1675"/>
      <c r="V126" s="2900">
        <v>2</v>
      </c>
      <c r="W126" s="2900" t="s">
        <v>3</v>
      </c>
      <c r="X126" s="1140" t="s">
        <v>5098</v>
      </c>
      <c r="Y126" s="1142">
        <f>+Z126/1000</f>
        <v>4000</v>
      </c>
      <c r="Z126" s="1128">
        <f>S126*V126</f>
        <v>4000000</v>
      </c>
      <c r="AA126" s="907">
        <f t="shared" si="9"/>
        <v>0</v>
      </c>
      <c r="AB126" s="505"/>
    </row>
    <row r="127" spans="1:28" ht="23.85" customHeight="1">
      <c r="A127" s="2627"/>
      <c r="B127" s="1145"/>
      <c r="C127" s="1126"/>
      <c r="D127" s="1148"/>
      <c r="E127" s="1134" t="s">
        <v>51</v>
      </c>
      <c r="F127" s="1134">
        <f>Y127</f>
        <v>15200</v>
      </c>
      <c r="G127" s="1141">
        <v>13000</v>
      </c>
      <c r="H127" s="404">
        <f>F127-G127</f>
        <v>2200</v>
      </c>
      <c r="I127" s="1127"/>
      <c r="J127" s="2899" t="s">
        <v>8</v>
      </c>
      <c r="K127" s="2889"/>
      <c r="L127" s="2889"/>
      <c r="M127" s="2889"/>
      <c r="N127" s="2889"/>
      <c r="O127" s="2889"/>
      <c r="P127" s="1675"/>
      <c r="Q127" s="2900"/>
      <c r="R127" s="2895"/>
      <c r="S127" s="2900"/>
      <c r="T127" s="2900"/>
      <c r="U127" s="1675"/>
      <c r="V127" s="2900"/>
      <c r="W127" s="2900"/>
      <c r="X127" s="1140"/>
      <c r="Y127" s="1142">
        <f t="shared" ref="Y127:Y128" si="15">+Z127/1000</f>
        <v>15200</v>
      </c>
      <c r="Z127" s="1128">
        <f>Z128+Z129</f>
        <v>15200000</v>
      </c>
      <c r="AA127" s="907">
        <f t="shared" si="9"/>
        <v>15200000000</v>
      </c>
      <c r="AB127" s="505"/>
    </row>
    <row r="128" spans="1:28" ht="23.85" customHeight="1">
      <c r="A128" s="2627"/>
      <c r="B128" s="1145"/>
      <c r="C128" s="1126"/>
      <c r="D128" s="1148"/>
      <c r="E128" s="1134"/>
      <c r="F128" s="1134"/>
      <c r="G128" s="1141"/>
      <c r="H128" s="404"/>
      <c r="I128" s="1127"/>
      <c r="J128" s="2899" t="s">
        <v>5186</v>
      </c>
      <c r="K128" s="2889"/>
      <c r="L128" s="2889"/>
      <c r="M128" s="2889"/>
      <c r="N128" s="2889"/>
      <c r="O128" s="2889"/>
      <c r="P128" s="1675"/>
      <c r="Q128" s="2900"/>
      <c r="R128" s="2895"/>
      <c r="S128" s="2900">
        <v>7600000</v>
      </c>
      <c r="T128" s="2900" t="s">
        <v>0</v>
      </c>
      <c r="U128" s="1675"/>
      <c r="V128" s="2900">
        <v>1</v>
      </c>
      <c r="W128" s="2900" t="s">
        <v>3</v>
      </c>
      <c r="X128" s="1387"/>
      <c r="Y128" s="1142">
        <f t="shared" si="15"/>
        <v>7600</v>
      </c>
      <c r="Z128" s="1128">
        <f t="shared" ref="Z128:Z131" si="16">S128*V128</f>
        <v>7600000</v>
      </c>
      <c r="AA128" s="907">
        <f t="shared" si="9"/>
        <v>0</v>
      </c>
      <c r="AB128" s="505"/>
    </row>
    <row r="129" spans="1:28" ht="23.85" customHeight="1">
      <c r="A129" s="2627"/>
      <c r="B129" s="1145"/>
      <c r="C129" s="1126"/>
      <c r="D129" s="1148"/>
      <c r="E129" s="1134"/>
      <c r="F129" s="1134"/>
      <c r="G129" s="1141"/>
      <c r="H129" s="404"/>
      <c r="I129" s="1127"/>
      <c r="J129" s="2899" t="s">
        <v>5187</v>
      </c>
      <c r="K129" s="2889"/>
      <c r="L129" s="2889"/>
      <c r="M129" s="2889"/>
      <c r="N129" s="2889"/>
      <c r="O129" s="2889"/>
      <c r="P129" s="1675"/>
      <c r="Q129" s="2900"/>
      <c r="R129" s="2895"/>
      <c r="S129" s="2900">
        <v>7600000</v>
      </c>
      <c r="T129" s="2900" t="s">
        <v>0</v>
      </c>
      <c r="U129" s="1675"/>
      <c r="V129" s="2900">
        <v>1</v>
      </c>
      <c r="W129" s="2900" t="s">
        <v>3</v>
      </c>
      <c r="X129" s="1140" t="s">
        <v>5098</v>
      </c>
      <c r="Y129" s="1142">
        <f>+Z129/1000</f>
        <v>7600</v>
      </c>
      <c r="Z129" s="1128">
        <f t="shared" si="16"/>
        <v>7600000</v>
      </c>
      <c r="AA129" s="907">
        <f t="shared" si="9"/>
        <v>0</v>
      </c>
      <c r="AB129" s="505"/>
    </row>
    <row r="130" spans="1:28" ht="23.85" customHeight="1">
      <c r="A130" s="2627"/>
      <c r="B130" s="1145"/>
      <c r="C130" s="1126"/>
      <c r="D130" s="1148"/>
      <c r="E130" s="1134" t="s">
        <v>24</v>
      </c>
      <c r="F130" s="1134">
        <f t="shared" ref="F130:F132" si="17">Y130</f>
        <v>330</v>
      </c>
      <c r="G130" s="1141">
        <v>500</v>
      </c>
      <c r="H130" s="404">
        <f t="shared" ref="H130:H159" si="18">F130-G130</f>
        <v>-170</v>
      </c>
      <c r="I130" s="1127"/>
      <c r="J130" s="2899" t="s">
        <v>110</v>
      </c>
      <c r="K130" s="2889"/>
      <c r="L130" s="2889"/>
      <c r="M130" s="2889"/>
      <c r="N130" s="2889"/>
      <c r="O130" s="2889"/>
      <c r="P130" s="1675"/>
      <c r="Q130" s="2900"/>
      <c r="R130" s="2895"/>
      <c r="S130" s="2900">
        <v>330000</v>
      </c>
      <c r="T130" s="2900" t="s">
        <v>0</v>
      </c>
      <c r="U130" s="1675"/>
      <c r="V130" s="2900">
        <v>1</v>
      </c>
      <c r="W130" s="2900" t="s">
        <v>5104</v>
      </c>
      <c r="X130" s="1140" t="s">
        <v>5098</v>
      </c>
      <c r="Y130" s="1142">
        <f t="shared" ref="Y130:Y144" si="19">+Z130/1000</f>
        <v>330</v>
      </c>
      <c r="Z130" s="1128">
        <f t="shared" si="16"/>
        <v>330000</v>
      </c>
      <c r="AA130" s="907">
        <f t="shared" si="9"/>
        <v>330000000</v>
      </c>
      <c r="AB130" s="505"/>
    </row>
    <row r="131" spans="1:28" ht="23.85" customHeight="1">
      <c r="A131" s="2627"/>
      <c r="B131" s="1145"/>
      <c r="C131" s="1126"/>
      <c r="D131" s="1148"/>
      <c r="E131" s="1134" t="s">
        <v>73</v>
      </c>
      <c r="F131" s="1134">
        <f t="shared" si="17"/>
        <v>5330</v>
      </c>
      <c r="G131" s="1141">
        <v>3000</v>
      </c>
      <c r="H131" s="404">
        <f t="shared" si="18"/>
        <v>2330</v>
      </c>
      <c r="I131" s="1127"/>
      <c r="J131" s="2899" t="s">
        <v>111</v>
      </c>
      <c r="K131" s="2889"/>
      <c r="L131" s="2889"/>
      <c r="M131" s="2889"/>
      <c r="N131" s="2889"/>
      <c r="O131" s="2889"/>
      <c r="P131" s="1675"/>
      <c r="Q131" s="2900"/>
      <c r="R131" s="2895"/>
      <c r="S131" s="2900">
        <v>533000</v>
      </c>
      <c r="T131" s="2900" t="s">
        <v>0</v>
      </c>
      <c r="U131" s="1675"/>
      <c r="V131" s="2900">
        <v>10</v>
      </c>
      <c r="W131" s="2900" t="s">
        <v>3</v>
      </c>
      <c r="X131" s="1140" t="s">
        <v>5098</v>
      </c>
      <c r="Y131" s="1142">
        <f t="shared" si="19"/>
        <v>5330</v>
      </c>
      <c r="Z131" s="1128">
        <f t="shared" si="16"/>
        <v>5330000</v>
      </c>
      <c r="AA131" s="907">
        <f t="shared" si="9"/>
        <v>5330000000</v>
      </c>
      <c r="AB131" s="505"/>
    </row>
    <row r="132" spans="1:28" ht="23.85" customHeight="1">
      <c r="A132" s="2627"/>
      <c r="B132" s="1145"/>
      <c r="C132" s="1126"/>
      <c r="D132" s="1148"/>
      <c r="E132" s="1134" t="s">
        <v>462</v>
      </c>
      <c r="F132" s="1134">
        <f t="shared" si="17"/>
        <v>25790</v>
      </c>
      <c r="G132" s="1141">
        <v>33300</v>
      </c>
      <c r="H132" s="404">
        <f t="shared" si="18"/>
        <v>-7510</v>
      </c>
      <c r="I132" s="1127"/>
      <c r="J132" s="2899" t="s">
        <v>8</v>
      </c>
      <c r="K132" s="2889"/>
      <c r="L132" s="2889"/>
      <c r="M132" s="2889"/>
      <c r="N132" s="2889"/>
      <c r="O132" s="2889"/>
      <c r="P132" s="1675"/>
      <c r="Q132" s="2900"/>
      <c r="R132" s="2895"/>
      <c r="S132" s="2900"/>
      <c r="T132" s="2900"/>
      <c r="U132" s="1675"/>
      <c r="V132" s="2900"/>
      <c r="W132" s="2900"/>
      <c r="X132" s="1387"/>
      <c r="Y132" s="1142">
        <f t="shared" si="19"/>
        <v>25790</v>
      </c>
      <c r="Z132" s="1128">
        <f>Z133+Z134+Z135+Z136</f>
        <v>25790000</v>
      </c>
      <c r="AA132" s="907">
        <f t="shared" si="9"/>
        <v>25790000000</v>
      </c>
      <c r="AB132" s="505"/>
    </row>
    <row r="133" spans="1:28" ht="23.85" customHeight="1">
      <c r="A133" s="2627"/>
      <c r="B133" s="1145"/>
      <c r="C133" s="1126"/>
      <c r="D133" s="1148"/>
      <c r="E133" s="465"/>
      <c r="F133" s="465"/>
      <c r="G133" s="1805"/>
      <c r="H133" s="404"/>
      <c r="I133" s="1127"/>
      <c r="J133" s="2899" t="s">
        <v>5188</v>
      </c>
      <c r="K133" s="2889"/>
      <c r="L133" s="2889"/>
      <c r="M133" s="2889"/>
      <c r="N133" s="2889"/>
      <c r="O133" s="2889"/>
      <c r="P133" s="1675"/>
      <c r="Q133" s="1671">
        <v>10</v>
      </c>
      <c r="R133" s="2895" t="s">
        <v>23</v>
      </c>
      <c r="S133" s="2900">
        <v>1229000</v>
      </c>
      <c r="T133" s="2900" t="s">
        <v>0</v>
      </c>
      <c r="U133" s="1675"/>
      <c r="V133" s="2900">
        <v>1</v>
      </c>
      <c r="W133" s="2900" t="s">
        <v>5104</v>
      </c>
      <c r="X133" s="1140" t="s">
        <v>5098</v>
      </c>
      <c r="Y133" s="1142">
        <f t="shared" si="19"/>
        <v>12290</v>
      </c>
      <c r="Z133" s="1128">
        <f t="shared" ref="Z133:Z136" si="20">Q133*S133*V133</f>
        <v>12290000</v>
      </c>
      <c r="AA133" s="907">
        <f t="shared" si="9"/>
        <v>0</v>
      </c>
      <c r="AB133" s="505"/>
    </row>
    <row r="134" spans="1:28" ht="23.85" customHeight="1">
      <c r="A134" s="2627"/>
      <c r="B134" s="1145"/>
      <c r="C134" s="1126"/>
      <c r="D134" s="1148"/>
      <c r="E134" s="1134"/>
      <c r="F134" s="1134"/>
      <c r="G134" s="1141"/>
      <c r="H134" s="404"/>
      <c r="I134" s="1127"/>
      <c r="J134" s="2899" t="s">
        <v>5189</v>
      </c>
      <c r="K134" s="2889"/>
      <c r="L134" s="2889"/>
      <c r="M134" s="2889"/>
      <c r="N134" s="2889"/>
      <c r="O134" s="2889"/>
      <c r="P134" s="1675"/>
      <c r="Q134" s="1671">
        <v>10</v>
      </c>
      <c r="R134" s="2895" t="s">
        <v>23</v>
      </c>
      <c r="S134" s="2900">
        <v>90000</v>
      </c>
      <c r="T134" s="2900" t="s">
        <v>0</v>
      </c>
      <c r="U134" s="1675"/>
      <c r="V134" s="2900">
        <v>12</v>
      </c>
      <c r="W134" s="2900" t="s">
        <v>5161</v>
      </c>
      <c r="X134" s="1140" t="s">
        <v>5098</v>
      </c>
      <c r="Y134" s="1142">
        <f t="shared" si="19"/>
        <v>10800</v>
      </c>
      <c r="Z134" s="1128">
        <f t="shared" si="20"/>
        <v>10800000</v>
      </c>
      <c r="AA134" s="907">
        <f t="shared" si="9"/>
        <v>0</v>
      </c>
      <c r="AB134" s="505"/>
    </row>
    <row r="135" spans="1:28" ht="23.85" customHeight="1">
      <c r="A135" s="2627"/>
      <c r="B135" s="1145"/>
      <c r="C135" s="1126"/>
      <c r="D135" s="1148"/>
      <c r="E135" s="1134"/>
      <c r="F135" s="1134"/>
      <c r="G135" s="1141"/>
      <c r="H135" s="404"/>
      <c r="I135" s="1127"/>
      <c r="J135" s="2899" t="s">
        <v>5190</v>
      </c>
      <c r="K135" s="2889"/>
      <c r="L135" s="2889"/>
      <c r="M135" s="2889"/>
      <c r="N135" s="2889"/>
      <c r="O135" s="2889"/>
      <c r="P135" s="1675"/>
      <c r="Q135" s="1671">
        <v>10</v>
      </c>
      <c r="R135" s="2895" t="s">
        <v>23</v>
      </c>
      <c r="S135" s="2900">
        <v>20000</v>
      </c>
      <c r="T135" s="2900" t="s">
        <v>0</v>
      </c>
      <c r="U135" s="1675"/>
      <c r="V135" s="2900">
        <v>12</v>
      </c>
      <c r="W135" s="2900" t="s">
        <v>5161</v>
      </c>
      <c r="X135" s="1140" t="s">
        <v>5098</v>
      </c>
      <c r="Y135" s="1142">
        <f t="shared" si="19"/>
        <v>2400</v>
      </c>
      <c r="Z135" s="1128">
        <f t="shared" si="20"/>
        <v>2400000</v>
      </c>
      <c r="AA135" s="907">
        <f t="shared" si="9"/>
        <v>0</v>
      </c>
      <c r="AB135" s="505"/>
    </row>
    <row r="136" spans="1:28" ht="23.85" customHeight="1">
      <c r="A136" s="2627"/>
      <c r="B136" s="1145"/>
      <c r="C136" s="1126"/>
      <c r="D136" s="1148"/>
      <c r="E136" s="1134"/>
      <c r="F136" s="1134"/>
      <c r="G136" s="1141"/>
      <c r="H136" s="404"/>
      <c r="I136" s="1127"/>
      <c r="J136" s="2899" t="s">
        <v>5052</v>
      </c>
      <c r="K136" s="2889"/>
      <c r="L136" s="2889"/>
      <c r="M136" s="2889"/>
      <c r="N136" s="2889"/>
      <c r="O136" s="2889"/>
      <c r="P136" s="1675"/>
      <c r="Q136" s="1671">
        <v>3</v>
      </c>
      <c r="R136" s="2895" t="s">
        <v>23</v>
      </c>
      <c r="S136" s="2900">
        <v>20000</v>
      </c>
      <c r="T136" s="2900" t="s">
        <v>0</v>
      </c>
      <c r="U136" s="1675"/>
      <c r="V136" s="2900">
        <v>5</v>
      </c>
      <c r="W136" s="2900" t="s">
        <v>5104</v>
      </c>
      <c r="X136" s="1140" t="s">
        <v>5098</v>
      </c>
      <c r="Y136" s="1142">
        <f t="shared" si="19"/>
        <v>300</v>
      </c>
      <c r="Z136" s="1128">
        <f t="shared" si="20"/>
        <v>300000</v>
      </c>
      <c r="AA136" s="907">
        <f t="shared" si="9"/>
        <v>0</v>
      </c>
      <c r="AB136" s="505"/>
    </row>
    <row r="137" spans="1:28" ht="21.95" customHeight="1">
      <c r="A137" s="2627"/>
      <c r="B137" s="1145"/>
      <c r="C137" s="1126"/>
      <c r="D137" s="1148"/>
      <c r="E137" s="1134" t="s">
        <v>52</v>
      </c>
      <c r="F137" s="1134">
        <f t="shared" ref="F137" si="21">Y137</f>
        <v>52000</v>
      </c>
      <c r="G137" s="1805">
        <v>43000</v>
      </c>
      <c r="H137" s="404">
        <f t="shared" si="18"/>
        <v>9000</v>
      </c>
      <c r="I137" s="1127"/>
      <c r="J137" s="2899" t="s">
        <v>8</v>
      </c>
      <c r="K137" s="2889"/>
      <c r="L137" s="2889"/>
      <c r="M137" s="2889"/>
      <c r="N137" s="2889"/>
      <c r="O137" s="2889"/>
      <c r="P137" s="1675"/>
      <c r="Q137" s="2900"/>
      <c r="R137" s="2895"/>
      <c r="S137" s="2900"/>
      <c r="T137" s="2900"/>
      <c r="U137" s="1675"/>
      <c r="V137" s="2900"/>
      <c r="W137" s="2900"/>
      <c r="X137" s="1387"/>
      <c r="Y137" s="1142">
        <f t="shared" si="19"/>
        <v>52000</v>
      </c>
      <c r="Z137" s="1128">
        <f>Z138+Z139+Z140+Z141+Z142+Z143+Z144</f>
        <v>52000000</v>
      </c>
      <c r="AA137" s="907">
        <f t="shared" si="9"/>
        <v>52000000000</v>
      </c>
      <c r="AB137" s="505"/>
    </row>
    <row r="138" spans="1:28" ht="21.95" customHeight="1">
      <c r="A138" s="2627"/>
      <c r="B138" s="1145"/>
      <c r="C138" s="1126"/>
      <c r="D138" s="1148"/>
      <c r="E138" s="465"/>
      <c r="F138" s="465"/>
      <c r="G138" s="1141"/>
      <c r="H138" s="404"/>
      <c r="I138" s="1127"/>
      <c r="J138" s="2888" t="s">
        <v>5191</v>
      </c>
      <c r="K138" s="2889"/>
      <c r="L138" s="2889"/>
      <c r="M138" s="2889"/>
      <c r="N138" s="2889"/>
      <c r="O138" s="2889"/>
      <c r="P138" s="1675"/>
      <c r="Q138" s="1671">
        <v>2</v>
      </c>
      <c r="R138" s="2895" t="s">
        <v>23</v>
      </c>
      <c r="S138" s="2900">
        <v>10000</v>
      </c>
      <c r="T138" s="2900" t="s">
        <v>0</v>
      </c>
      <c r="U138" s="1675"/>
      <c r="V138" s="2900">
        <v>100</v>
      </c>
      <c r="W138" s="2900" t="s">
        <v>3</v>
      </c>
      <c r="X138" s="1140" t="s">
        <v>5098</v>
      </c>
      <c r="Y138" s="1142">
        <f t="shared" si="19"/>
        <v>2000</v>
      </c>
      <c r="Z138" s="1128">
        <f>Q138*S138*V138</f>
        <v>2000000</v>
      </c>
      <c r="AA138" s="907">
        <f t="shared" si="9"/>
        <v>0</v>
      </c>
      <c r="AB138" s="505"/>
    </row>
    <row r="139" spans="1:28" ht="21.95" customHeight="1">
      <c r="A139" s="2627"/>
      <c r="B139" s="1145"/>
      <c r="C139" s="1126"/>
      <c r="D139" s="1148"/>
      <c r="E139" s="1134"/>
      <c r="F139" s="1134"/>
      <c r="G139" s="1141"/>
      <c r="H139" s="404"/>
      <c r="I139" s="1127"/>
      <c r="J139" s="2899" t="s">
        <v>5192</v>
      </c>
      <c r="K139" s="2889"/>
      <c r="L139" s="2889"/>
      <c r="M139" s="2889"/>
      <c r="N139" s="2889"/>
      <c r="O139" s="2889"/>
      <c r="P139" s="1675"/>
      <c r="Q139" s="1671"/>
      <c r="R139" s="2895"/>
      <c r="S139" s="1672">
        <v>50000</v>
      </c>
      <c r="T139" s="1671" t="s">
        <v>0</v>
      </c>
      <c r="U139" s="1671"/>
      <c r="V139" s="1671">
        <v>160</v>
      </c>
      <c r="W139" s="1671" t="s">
        <v>5193</v>
      </c>
      <c r="X139" s="1140" t="s">
        <v>5098</v>
      </c>
      <c r="Y139" s="1142">
        <f t="shared" si="19"/>
        <v>8000</v>
      </c>
      <c r="Z139" s="1128">
        <f t="shared" ref="Z139:Z140" si="22">S139*V139</f>
        <v>8000000</v>
      </c>
      <c r="AA139" s="907">
        <f t="shared" si="9"/>
        <v>0</v>
      </c>
      <c r="AB139" s="505"/>
    </row>
    <row r="140" spans="1:28" ht="21.95" customHeight="1">
      <c r="A140" s="2627"/>
      <c r="B140" s="1145"/>
      <c r="C140" s="1126"/>
      <c r="D140" s="1148"/>
      <c r="E140" s="1134"/>
      <c r="F140" s="1134"/>
      <c r="G140" s="1141"/>
      <c r="H140" s="404"/>
      <c r="I140" s="1127"/>
      <c r="J140" s="2899" t="s">
        <v>5194</v>
      </c>
      <c r="K140" s="2889"/>
      <c r="L140" s="2889"/>
      <c r="M140" s="2889"/>
      <c r="N140" s="2889"/>
      <c r="O140" s="2889"/>
      <c r="P140" s="1675"/>
      <c r="Q140" s="1671"/>
      <c r="R140" s="2895"/>
      <c r="S140" s="1672">
        <v>750000</v>
      </c>
      <c r="T140" s="1671" t="s">
        <v>0</v>
      </c>
      <c r="U140" s="1671"/>
      <c r="V140" s="1671">
        <v>1</v>
      </c>
      <c r="W140" s="1671" t="s">
        <v>5104</v>
      </c>
      <c r="X140" s="1140" t="s">
        <v>5098</v>
      </c>
      <c r="Y140" s="1142">
        <f t="shared" si="19"/>
        <v>750</v>
      </c>
      <c r="Z140" s="1128">
        <f t="shared" si="22"/>
        <v>750000</v>
      </c>
      <c r="AA140" s="907">
        <f t="shared" si="9"/>
        <v>0</v>
      </c>
      <c r="AB140" s="505"/>
    </row>
    <row r="141" spans="1:28" ht="21.95" customHeight="1">
      <c r="A141" s="2627"/>
      <c r="B141" s="1145"/>
      <c r="C141" s="1126"/>
      <c r="D141" s="1148"/>
      <c r="E141" s="1134"/>
      <c r="F141" s="1134"/>
      <c r="G141" s="1141"/>
      <c r="H141" s="404"/>
      <c r="I141" s="1127"/>
      <c r="J141" s="2899" t="s">
        <v>5195</v>
      </c>
      <c r="K141" s="2889"/>
      <c r="L141" s="2889"/>
      <c r="M141" s="2889"/>
      <c r="N141" s="2889"/>
      <c r="O141" s="2889"/>
      <c r="P141" s="1675"/>
      <c r="Q141" s="1671">
        <v>8</v>
      </c>
      <c r="R141" s="2895" t="s">
        <v>23</v>
      </c>
      <c r="S141" s="2900">
        <v>3500000</v>
      </c>
      <c r="T141" s="2900" t="s">
        <v>0</v>
      </c>
      <c r="U141" s="1675"/>
      <c r="V141" s="2900">
        <v>1</v>
      </c>
      <c r="W141" s="2900" t="s">
        <v>3</v>
      </c>
      <c r="X141" s="1140" t="s">
        <v>5098</v>
      </c>
      <c r="Y141" s="1142">
        <f t="shared" si="19"/>
        <v>28000</v>
      </c>
      <c r="Z141" s="1128">
        <f t="shared" ref="Z141:Z144" si="23">Q141*S141*V141</f>
        <v>28000000</v>
      </c>
      <c r="AA141" s="907">
        <f t="shared" si="9"/>
        <v>0</v>
      </c>
      <c r="AB141" s="505"/>
    </row>
    <row r="142" spans="1:28" ht="21.95" customHeight="1">
      <c r="A142" s="2627"/>
      <c r="B142" s="1145"/>
      <c r="C142" s="1126"/>
      <c r="D142" s="1148"/>
      <c r="E142" s="1134"/>
      <c r="F142" s="1134"/>
      <c r="G142" s="1141"/>
      <c r="H142" s="404"/>
      <c r="I142" s="1127"/>
      <c r="J142" s="2899" t="s">
        <v>5196</v>
      </c>
      <c r="K142" s="2889"/>
      <c r="L142" s="2889"/>
      <c r="M142" s="2889"/>
      <c r="N142" s="2889"/>
      <c r="O142" s="2889"/>
      <c r="P142" s="1675"/>
      <c r="Q142" s="1671">
        <v>1</v>
      </c>
      <c r="R142" s="2895" t="s">
        <v>23</v>
      </c>
      <c r="S142" s="2900">
        <v>2000000</v>
      </c>
      <c r="T142" s="2900" t="s">
        <v>0</v>
      </c>
      <c r="U142" s="1675"/>
      <c r="V142" s="2900">
        <v>2</v>
      </c>
      <c r="W142" s="2900" t="s">
        <v>3</v>
      </c>
      <c r="X142" s="1140" t="s">
        <v>5098</v>
      </c>
      <c r="Y142" s="1142">
        <f t="shared" si="19"/>
        <v>4000</v>
      </c>
      <c r="Z142" s="1128">
        <f t="shared" si="23"/>
        <v>4000000</v>
      </c>
      <c r="AA142" s="907">
        <f t="shared" si="9"/>
        <v>0</v>
      </c>
      <c r="AB142" s="505"/>
    </row>
    <row r="143" spans="1:28" ht="21.95" customHeight="1">
      <c r="A143" s="2627"/>
      <c r="B143" s="1145"/>
      <c r="C143" s="1126"/>
      <c r="D143" s="1148"/>
      <c r="E143" s="1134"/>
      <c r="F143" s="1134"/>
      <c r="G143" s="1141"/>
      <c r="H143" s="404"/>
      <c r="I143" s="1127"/>
      <c r="J143" s="2899" t="s">
        <v>5197</v>
      </c>
      <c r="K143" s="2889"/>
      <c r="L143" s="2889"/>
      <c r="M143" s="2889"/>
      <c r="N143" s="2889"/>
      <c r="O143" s="2889"/>
      <c r="P143" s="1675"/>
      <c r="Q143" s="1671">
        <v>9</v>
      </c>
      <c r="R143" s="2895" t="s">
        <v>23</v>
      </c>
      <c r="S143" s="2900">
        <v>250000</v>
      </c>
      <c r="T143" s="2900" t="s">
        <v>0</v>
      </c>
      <c r="U143" s="1675"/>
      <c r="V143" s="2900">
        <v>1</v>
      </c>
      <c r="W143" s="2900" t="s">
        <v>3</v>
      </c>
      <c r="X143" s="1140" t="s">
        <v>5098</v>
      </c>
      <c r="Y143" s="1142">
        <f t="shared" si="19"/>
        <v>2250</v>
      </c>
      <c r="Z143" s="1128">
        <f t="shared" si="23"/>
        <v>2250000</v>
      </c>
      <c r="AA143" s="907">
        <f t="shared" si="9"/>
        <v>0</v>
      </c>
      <c r="AB143" s="505"/>
    </row>
    <row r="144" spans="1:28" ht="21.95" customHeight="1">
      <c r="A144" s="2627"/>
      <c r="B144" s="1145"/>
      <c r="C144" s="1126"/>
      <c r="D144" s="1148"/>
      <c r="E144" s="1134"/>
      <c r="F144" s="1134"/>
      <c r="G144" s="1141"/>
      <c r="H144" s="404"/>
      <c r="I144" s="1127"/>
      <c r="J144" s="2899" t="s">
        <v>5198</v>
      </c>
      <c r="K144" s="2889"/>
      <c r="L144" s="2889"/>
      <c r="M144" s="2889"/>
      <c r="N144" s="2889"/>
      <c r="O144" s="2889"/>
      <c r="P144" s="1675"/>
      <c r="Q144" s="1671">
        <v>7</v>
      </c>
      <c r="R144" s="2895" t="s">
        <v>23</v>
      </c>
      <c r="S144" s="2900">
        <v>100000</v>
      </c>
      <c r="T144" s="2900" t="s">
        <v>0</v>
      </c>
      <c r="U144" s="1675"/>
      <c r="V144" s="2900">
        <v>10</v>
      </c>
      <c r="W144" s="2900" t="s">
        <v>3</v>
      </c>
      <c r="X144" s="1140" t="s">
        <v>5098</v>
      </c>
      <c r="Y144" s="1142">
        <f t="shared" si="19"/>
        <v>7000</v>
      </c>
      <c r="Z144" s="1128">
        <f t="shared" si="23"/>
        <v>7000000</v>
      </c>
      <c r="AA144" s="907">
        <f t="shared" si="9"/>
        <v>0</v>
      </c>
      <c r="AB144" s="505"/>
    </row>
    <row r="145" spans="1:28" ht="21.95" customHeight="1">
      <c r="A145" s="2627"/>
      <c r="B145" s="1145"/>
      <c r="C145" s="1126"/>
      <c r="D145" s="1148"/>
      <c r="E145" s="1134" t="s">
        <v>65</v>
      </c>
      <c r="F145" s="1134">
        <f t="shared" ref="F145" si="24">Y145</f>
        <v>33670</v>
      </c>
      <c r="G145" s="1141">
        <v>35500</v>
      </c>
      <c r="H145" s="404">
        <f t="shared" si="18"/>
        <v>-1830</v>
      </c>
      <c r="I145" s="1127"/>
      <c r="J145" s="2899" t="s">
        <v>8</v>
      </c>
      <c r="K145" s="2889"/>
      <c r="L145" s="2889"/>
      <c r="M145" s="2889"/>
      <c r="N145" s="506"/>
      <c r="O145" s="1671"/>
      <c r="P145" s="1675"/>
      <c r="Q145" s="2900"/>
      <c r="R145" s="2895"/>
      <c r="S145" s="2900"/>
      <c r="T145" s="2900"/>
      <c r="U145" s="1675"/>
      <c r="V145" s="2900"/>
      <c r="W145" s="2900"/>
      <c r="X145" s="1140"/>
      <c r="Y145" s="1142">
        <f>+Z145/1000</f>
        <v>33670</v>
      </c>
      <c r="Z145" s="1128">
        <f>Z146+Z147+Z148+Z149</f>
        <v>33670000</v>
      </c>
      <c r="AA145" s="907">
        <f t="shared" si="9"/>
        <v>33670000000</v>
      </c>
      <c r="AB145" s="505"/>
    </row>
    <row r="146" spans="1:28" ht="21.95" customHeight="1">
      <c r="A146" s="2627"/>
      <c r="B146" s="1145"/>
      <c r="C146" s="1126"/>
      <c r="D146" s="1148"/>
      <c r="E146" s="465"/>
      <c r="F146" s="465"/>
      <c r="G146" s="1141"/>
      <c r="H146" s="404"/>
      <c r="I146" s="1127"/>
      <c r="J146" s="2888" t="s">
        <v>5199</v>
      </c>
      <c r="K146" s="2889"/>
      <c r="L146" s="2889"/>
      <c r="M146" s="2889"/>
      <c r="N146" s="2889"/>
      <c r="O146" s="1673" t="s">
        <v>5095</v>
      </c>
      <c r="P146" s="1675" t="s">
        <v>5095</v>
      </c>
      <c r="Q146" s="1671"/>
      <c r="R146" s="1675"/>
      <c r="S146" s="2900">
        <v>15000000</v>
      </c>
      <c r="T146" s="2900" t="s">
        <v>0</v>
      </c>
      <c r="U146" s="1675"/>
      <c r="V146" s="2900">
        <v>1</v>
      </c>
      <c r="W146" s="2900" t="s">
        <v>3</v>
      </c>
      <c r="X146" s="397" t="s">
        <v>5098</v>
      </c>
      <c r="Y146" s="1142">
        <f t="shared" ref="Y146:Y149" si="25">+Z146/1000</f>
        <v>15000</v>
      </c>
      <c r="Z146" s="1128">
        <f>S146*V146</f>
        <v>15000000</v>
      </c>
      <c r="AA146" s="907">
        <f t="shared" si="9"/>
        <v>0</v>
      </c>
      <c r="AB146" s="505"/>
    </row>
    <row r="147" spans="1:28" ht="21.95" customHeight="1">
      <c r="A147" s="2627"/>
      <c r="B147" s="1145"/>
      <c r="C147" s="1126"/>
      <c r="D147" s="1148"/>
      <c r="E147" s="1134"/>
      <c r="F147" s="1134"/>
      <c r="G147" s="1141"/>
      <c r="H147" s="404"/>
      <c r="I147" s="1127"/>
      <c r="J147" s="2899" t="s">
        <v>5200</v>
      </c>
      <c r="K147" s="2889"/>
      <c r="L147" s="2889"/>
      <c r="M147" s="2889"/>
      <c r="N147" s="2889"/>
      <c r="O147" s="1673" t="s">
        <v>5095</v>
      </c>
      <c r="P147" s="1675" t="s">
        <v>5095</v>
      </c>
      <c r="Q147" s="1671"/>
      <c r="R147" s="1675"/>
      <c r="S147" s="1672">
        <v>8000000</v>
      </c>
      <c r="T147" s="1671" t="s">
        <v>0</v>
      </c>
      <c r="U147" s="1671"/>
      <c r="V147" s="1671">
        <v>1</v>
      </c>
      <c r="W147" s="1671" t="s">
        <v>3</v>
      </c>
      <c r="X147" s="1140" t="s">
        <v>5098</v>
      </c>
      <c r="Y147" s="1142">
        <f t="shared" si="25"/>
        <v>8000</v>
      </c>
      <c r="Z147" s="1128">
        <f t="shared" ref="Z147:Z149" si="26">S147*V147</f>
        <v>8000000</v>
      </c>
      <c r="AA147" s="907">
        <f t="shared" si="9"/>
        <v>0</v>
      </c>
      <c r="AB147" s="505"/>
    </row>
    <row r="148" spans="1:28" ht="21.95" customHeight="1">
      <c r="A148" s="2781"/>
      <c r="B148" s="1145"/>
      <c r="C148" s="1126"/>
      <c r="D148" s="466"/>
      <c r="E148" s="1134"/>
      <c r="F148" s="1134"/>
      <c r="G148" s="1141"/>
      <c r="H148" s="404"/>
      <c r="I148" s="1127"/>
      <c r="J148" s="2899" t="s">
        <v>5201</v>
      </c>
      <c r="K148" s="2889"/>
      <c r="L148" s="2889"/>
      <c r="M148" s="2889"/>
      <c r="N148" s="2889"/>
      <c r="O148" s="1673" t="s">
        <v>5095</v>
      </c>
      <c r="P148" s="1675" t="s">
        <v>5095</v>
      </c>
      <c r="Q148" s="1671"/>
      <c r="R148" s="1675"/>
      <c r="S148" s="1672">
        <v>8000000</v>
      </c>
      <c r="T148" s="1671" t="s">
        <v>0</v>
      </c>
      <c r="U148" s="1671"/>
      <c r="V148" s="1671">
        <v>1</v>
      </c>
      <c r="W148" s="1671" t="s">
        <v>3</v>
      </c>
      <c r="X148" s="1140" t="s">
        <v>5098</v>
      </c>
      <c r="Y148" s="1142">
        <f t="shared" si="25"/>
        <v>8000</v>
      </c>
      <c r="Z148" s="1128">
        <f t="shared" si="26"/>
        <v>8000000</v>
      </c>
      <c r="AA148" s="907">
        <f t="shared" ref="AA148:AA159" si="27">F148*1000000</f>
        <v>0</v>
      </c>
      <c r="AB148" s="505"/>
    </row>
    <row r="149" spans="1:28" ht="21.95" customHeight="1">
      <c r="A149" s="2781"/>
      <c r="B149" s="1145"/>
      <c r="C149" s="1126"/>
      <c r="D149" s="466"/>
      <c r="E149" s="1134"/>
      <c r="F149" s="1134"/>
      <c r="G149" s="1141"/>
      <c r="H149" s="404"/>
      <c r="I149" s="1127"/>
      <c r="J149" s="2899" t="s">
        <v>5202</v>
      </c>
      <c r="K149" s="2889"/>
      <c r="L149" s="2889"/>
      <c r="M149" s="2889"/>
      <c r="N149" s="2889"/>
      <c r="O149" s="1673" t="s">
        <v>5095</v>
      </c>
      <c r="P149" s="1675" t="s">
        <v>5095</v>
      </c>
      <c r="Q149" s="1671"/>
      <c r="R149" s="1675"/>
      <c r="S149" s="1672">
        <v>30000</v>
      </c>
      <c r="T149" s="1671" t="s">
        <v>0</v>
      </c>
      <c r="U149" s="1671"/>
      <c r="V149" s="1671">
        <v>89</v>
      </c>
      <c r="W149" s="1671" t="s">
        <v>5203</v>
      </c>
      <c r="X149" s="1140" t="s">
        <v>5098</v>
      </c>
      <c r="Y149" s="1142">
        <f t="shared" si="25"/>
        <v>2670</v>
      </c>
      <c r="Z149" s="1128">
        <f t="shared" si="26"/>
        <v>2670000</v>
      </c>
      <c r="AA149" s="907">
        <f t="shared" si="27"/>
        <v>0</v>
      </c>
      <c r="AB149" s="505"/>
    </row>
    <row r="150" spans="1:28" ht="21.95" customHeight="1">
      <c r="A150" s="2781"/>
      <c r="B150" s="1145"/>
      <c r="C150" s="1126"/>
      <c r="D150" s="466"/>
      <c r="E150" s="1134" t="s">
        <v>1059</v>
      </c>
      <c r="F150" s="1134">
        <f t="shared" ref="F150" si="28">Y150</f>
        <v>7590</v>
      </c>
      <c r="G150" s="1141">
        <v>10600</v>
      </c>
      <c r="H150" s="404">
        <f t="shared" si="18"/>
        <v>-3010</v>
      </c>
      <c r="I150" s="1127"/>
      <c r="J150" s="2899" t="s">
        <v>8</v>
      </c>
      <c r="K150" s="2889"/>
      <c r="L150" s="2889"/>
      <c r="M150" s="2889"/>
      <c r="N150" s="2889"/>
      <c r="O150" s="2889"/>
      <c r="P150" s="1675"/>
      <c r="Q150" s="2900"/>
      <c r="R150" s="2895"/>
      <c r="S150" s="2900"/>
      <c r="T150" s="2900"/>
      <c r="U150" s="1675"/>
      <c r="V150" s="2900"/>
      <c r="W150" s="2900"/>
      <c r="X150" s="1140"/>
      <c r="Y150" s="1142">
        <f>+Z150/1000</f>
        <v>7590</v>
      </c>
      <c r="Z150" s="1128">
        <f>Z151+Z152+Z153+Z154</f>
        <v>7590000</v>
      </c>
      <c r="AA150" s="907">
        <f t="shared" si="27"/>
        <v>7590000000</v>
      </c>
      <c r="AB150" s="505"/>
    </row>
    <row r="151" spans="1:28" ht="21.95" customHeight="1">
      <c r="A151" s="2781"/>
      <c r="B151" s="1145"/>
      <c r="C151" s="1126"/>
      <c r="D151" s="466"/>
      <c r="E151" s="1134"/>
      <c r="F151" s="1134"/>
      <c r="G151" s="1141"/>
      <c r="H151" s="404"/>
      <c r="I151" s="1127"/>
      <c r="J151" s="2899" t="s">
        <v>5204</v>
      </c>
      <c r="K151" s="2889"/>
      <c r="L151" s="2889"/>
      <c r="M151" s="2889"/>
      <c r="N151" s="2889"/>
      <c r="O151" s="2889"/>
      <c r="P151" s="1675"/>
      <c r="Q151" s="2900">
        <v>6</v>
      </c>
      <c r="R151" s="2895" t="s">
        <v>5181</v>
      </c>
      <c r="S151" s="2900">
        <v>33000</v>
      </c>
      <c r="T151" s="2900" t="s">
        <v>0</v>
      </c>
      <c r="U151" s="1675"/>
      <c r="V151" s="2900">
        <v>10</v>
      </c>
      <c r="W151" s="2900" t="s">
        <v>5161</v>
      </c>
      <c r="X151" s="1140" t="s">
        <v>5098</v>
      </c>
      <c r="Y151" s="1142">
        <f>+Z151/1000</f>
        <v>1980</v>
      </c>
      <c r="Z151" s="1128">
        <f>Q151*S151*V151</f>
        <v>1980000</v>
      </c>
      <c r="AA151" s="907">
        <f t="shared" si="27"/>
        <v>0</v>
      </c>
      <c r="AB151" s="505"/>
    </row>
    <row r="152" spans="1:28" ht="21.95" customHeight="1">
      <c r="A152" s="2627"/>
      <c r="B152" s="1145"/>
      <c r="C152" s="1126"/>
      <c r="D152" s="466"/>
      <c r="E152" s="1134"/>
      <c r="F152" s="1134"/>
      <c r="G152" s="1141"/>
      <c r="H152" s="404"/>
      <c r="I152" s="1127"/>
      <c r="J152" s="2899" t="s">
        <v>5205</v>
      </c>
      <c r="K152" s="2889"/>
      <c r="L152" s="2889"/>
      <c r="M152" s="2889"/>
      <c r="N152" s="2889"/>
      <c r="O152" s="2889"/>
      <c r="P152" s="1675"/>
      <c r="Q152" s="2900">
        <v>1</v>
      </c>
      <c r="R152" s="2895" t="s">
        <v>5181</v>
      </c>
      <c r="S152" s="2900">
        <v>1430000</v>
      </c>
      <c r="T152" s="2900" t="s">
        <v>0</v>
      </c>
      <c r="U152" s="1675"/>
      <c r="V152" s="2900">
        <v>1</v>
      </c>
      <c r="W152" s="2900" t="s">
        <v>5104</v>
      </c>
      <c r="X152" s="1140" t="s">
        <v>5098</v>
      </c>
      <c r="Y152" s="1142">
        <f>+Z152/1000</f>
        <v>1430</v>
      </c>
      <c r="Z152" s="1128">
        <f>Q152*S152*V152</f>
        <v>1430000</v>
      </c>
      <c r="AA152" s="907">
        <f t="shared" si="27"/>
        <v>0</v>
      </c>
      <c r="AB152" s="505"/>
    </row>
    <row r="153" spans="1:28" ht="21.95" customHeight="1">
      <c r="A153" s="2627"/>
      <c r="B153" s="1145"/>
      <c r="C153" s="1126"/>
      <c r="D153" s="466"/>
      <c r="E153" s="1134"/>
      <c r="F153" s="1134"/>
      <c r="G153" s="1141"/>
      <c r="H153" s="404"/>
      <c r="I153" s="1127"/>
      <c r="J153" s="2899" t="s">
        <v>5206</v>
      </c>
      <c r="K153" s="2889"/>
      <c r="L153" s="2889"/>
      <c r="M153" s="2889"/>
      <c r="N153" s="2889"/>
      <c r="O153" s="2889"/>
      <c r="P153" s="1675"/>
      <c r="Q153" s="2900"/>
      <c r="R153" s="2895"/>
      <c r="S153" s="2900">
        <v>3001000</v>
      </c>
      <c r="T153" s="2900" t="s">
        <v>0</v>
      </c>
      <c r="U153" s="1675"/>
      <c r="V153" s="2900">
        <v>1</v>
      </c>
      <c r="W153" s="2900" t="s">
        <v>3</v>
      </c>
      <c r="X153" s="1140" t="s">
        <v>5098</v>
      </c>
      <c r="Y153" s="1142">
        <f>+Z153/1000</f>
        <v>3001</v>
      </c>
      <c r="Z153" s="1128">
        <f t="shared" ref="Z153:Z154" si="29">S153*V153</f>
        <v>3001000</v>
      </c>
      <c r="AA153" s="907">
        <f t="shared" si="27"/>
        <v>0</v>
      </c>
      <c r="AB153" s="505"/>
    </row>
    <row r="154" spans="1:28" ht="21.95" customHeight="1">
      <c r="A154" s="2858"/>
      <c r="B154" s="1145"/>
      <c r="C154" s="1126"/>
      <c r="D154" s="466"/>
      <c r="E154" s="1134"/>
      <c r="F154" s="1134"/>
      <c r="G154" s="1141"/>
      <c r="H154" s="404"/>
      <c r="I154" s="1127"/>
      <c r="J154" s="2899" t="s">
        <v>5207</v>
      </c>
      <c r="K154" s="2889"/>
      <c r="L154" s="2889"/>
      <c r="M154" s="2889"/>
      <c r="N154" s="2889"/>
      <c r="O154" s="2889"/>
      <c r="P154" s="1675"/>
      <c r="Q154" s="2900"/>
      <c r="R154" s="2895"/>
      <c r="S154" s="2900">
        <v>393000</v>
      </c>
      <c r="T154" s="2900" t="s">
        <v>0</v>
      </c>
      <c r="U154" s="1675"/>
      <c r="V154" s="2900">
        <v>3</v>
      </c>
      <c r="W154" s="2900" t="s">
        <v>3</v>
      </c>
      <c r="X154" s="1140" t="s">
        <v>5098</v>
      </c>
      <c r="Y154" s="1142">
        <f>+Z154/1000</f>
        <v>1179</v>
      </c>
      <c r="Z154" s="1128">
        <f t="shared" si="29"/>
        <v>1179000</v>
      </c>
      <c r="AA154" s="907">
        <f t="shared" si="27"/>
        <v>0</v>
      </c>
      <c r="AB154" s="505"/>
    </row>
    <row r="155" spans="1:28" ht="21.95" customHeight="1">
      <c r="A155" s="2892"/>
      <c r="B155" s="1145"/>
      <c r="C155" s="1126"/>
      <c r="D155" s="1131"/>
      <c r="E155" s="1134" t="s">
        <v>297</v>
      </c>
      <c r="F155" s="1134">
        <f t="shared" ref="F155" si="30">Y155</f>
        <v>1620</v>
      </c>
      <c r="G155" s="1141">
        <v>0</v>
      </c>
      <c r="H155" s="404">
        <f t="shared" ref="H155" si="31">F155-G155</f>
        <v>1620</v>
      </c>
      <c r="I155" s="1127"/>
      <c r="J155" s="2899" t="s">
        <v>4870</v>
      </c>
      <c r="K155" s="2889"/>
      <c r="L155" s="2889"/>
      <c r="M155" s="2889"/>
      <c r="N155" s="2889"/>
      <c r="O155" s="2889"/>
      <c r="P155" s="1675"/>
      <c r="Q155" s="2900"/>
      <c r="R155" s="2895"/>
      <c r="S155" s="2900">
        <v>810000</v>
      </c>
      <c r="T155" s="2900" t="s">
        <v>0</v>
      </c>
      <c r="U155" s="1675"/>
      <c r="V155" s="2900">
        <v>2</v>
      </c>
      <c r="W155" s="2900" t="s">
        <v>3</v>
      </c>
      <c r="X155" s="1140" t="s">
        <v>266</v>
      </c>
      <c r="Y155" s="1142">
        <v>1620</v>
      </c>
      <c r="Z155" s="1128">
        <f>S155*V155</f>
        <v>1620000</v>
      </c>
      <c r="AA155" s="907">
        <f t="shared" ref="AA155" si="32">F155*1000000</f>
        <v>1620000000</v>
      </c>
      <c r="AB155" s="505"/>
    </row>
    <row r="156" spans="1:28" ht="21.95" customHeight="1">
      <c r="A156" s="2627"/>
      <c r="B156" s="1145"/>
      <c r="C156" s="1126"/>
      <c r="D156" s="1144"/>
      <c r="E156" s="1134" t="s">
        <v>56</v>
      </c>
      <c r="F156" s="1134">
        <f t="shared" ref="F156" si="33">Y156</f>
        <v>3370</v>
      </c>
      <c r="G156" s="1141">
        <v>2800</v>
      </c>
      <c r="H156" s="404">
        <f t="shared" si="18"/>
        <v>570</v>
      </c>
      <c r="I156" s="1127"/>
      <c r="J156" s="2899" t="s">
        <v>8</v>
      </c>
      <c r="K156" s="2889"/>
      <c r="L156" s="2889"/>
      <c r="M156" s="2889"/>
      <c r="N156" s="2889"/>
      <c r="O156" s="2889"/>
      <c r="P156" s="1675"/>
      <c r="Q156" s="2900"/>
      <c r="R156" s="2895"/>
      <c r="S156" s="2900"/>
      <c r="T156" s="2900"/>
      <c r="U156" s="1675"/>
      <c r="V156" s="2900"/>
      <c r="W156" s="2900"/>
      <c r="X156" s="1140"/>
      <c r="Y156" s="1142">
        <f t="shared" ref="Y156:Y157" si="34">+Z156/1000</f>
        <v>3370</v>
      </c>
      <c r="Z156" s="1128">
        <f>Z157+Z158</f>
        <v>3370000</v>
      </c>
      <c r="AA156" s="907">
        <f t="shared" si="27"/>
        <v>3370000000</v>
      </c>
      <c r="AB156" s="505"/>
    </row>
    <row r="157" spans="1:28" ht="21.95" customHeight="1">
      <c r="A157" s="2627"/>
      <c r="B157" s="1145"/>
      <c r="C157" s="1126"/>
      <c r="D157" s="1131"/>
      <c r="E157" s="1134"/>
      <c r="F157" s="1134"/>
      <c r="G157" s="1141"/>
      <c r="H157" s="404"/>
      <c r="I157" s="1127"/>
      <c r="J157" s="2899" t="s">
        <v>4867</v>
      </c>
      <c r="K157" s="2889"/>
      <c r="L157" s="2889"/>
      <c r="M157" s="2889"/>
      <c r="N157" s="2889"/>
      <c r="O157" s="2889"/>
      <c r="P157" s="1675"/>
      <c r="Q157" s="2900"/>
      <c r="R157" s="2895"/>
      <c r="S157" s="2900">
        <v>3000000</v>
      </c>
      <c r="T157" s="2900" t="s">
        <v>0</v>
      </c>
      <c r="U157" s="1675"/>
      <c r="V157" s="2900">
        <v>1</v>
      </c>
      <c r="W157" s="2900" t="s">
        <v>3</v>
      </c>
      <c r="X157" s="1387"/>
      <c r="Y157" s="1142">
        <f t="shared" si="34"/>
        <v>3000</v>
      </c>
      <c r="Z157" s="1128">
        <f t="shared" ref="Z157:Z158" si="35">S157*V157</f>
        <v>3000000</v>
      </c>
      <c r="AA157" s="907">
        <f t="shared" si="27"/>
        <v>0</v>
      </c>
      <c r="AB157" s="505"/>
    </row>
    <row r="158" spans="1:28" ht="21.95" customHeight="1">
      <c r="A158" s="2627"/>
      <c r="B158" s="1145"/>
      <c r="C158" s="1126"/>
      <c r="D158" s="1131"/>
      <c r="E158" s="1134"/>
      <c r="F158" s="1134"/>
      <c r="G158" s="1141"/>
      <c r="H158" s="404"/>
      <c r="I158" s="1127"/>
      <c r="J158" s="2899" t="s">
        <v>4868</v>
      </c>
      <c r="K158" s="2889"/>
      <c r="L158" s="2889"/>
      <c r="M158" s="2889"/>
      <c r="N158" s="2889"/>
      <c r="O158" s="2889"/>
      <c r="P158" s="1675"/>
      <c r="Q158" s="2900"/>
      <c r="R158" s="2895"/>
      <c r="S158" s="2900">
        <v>370000</v>
      </c>
      <c r="T158" s="2900" t="s">
        <v>0</v>
      </c>
      <c r="U158" s="1675"/>
      <c r="V158" s="2900">
        <v>1</v>
      </c>
      <c r="W158" s="2900" t="s">
        <v>3</v>
      </c>
      <c r="X158" s="1140" t="s">
        <v>465</v>
      </c>
      <c r="Y158" s="1142">
        <f>+Z158/1000</f>
        <v>370</v>
      </c>
      <c r="Z158" s="1128">
        <f t="shared" si="35"/>
        <v>370000</v>
      </c>
      <c r="AA158" s="907">
        <f t="shared" si="27"/>
        <v>0</v>
      </c>
      <c r="AB158" s="505"/>
    </row>
    <row r="159" spans="1:28" ht="21.95" customHeight="1">
      <c r="A159" s="2627"/>
      <c r="B159" s="1145"/>
      <c r="C159" s="1126"/>
      <c r="D159" s="1131"/>
      <c r="E159" s="1134" t="s">
        <v>55</v>
      </c>
      <c r="F159" s="1134">
        <f t="shared" ref="F159" si="36">Y159</f>
        <v>3300</v>
      </c>
      <c r="G159" s="1141">
        <v>1300</v>
      </c>
      <c r="H159" s="404">
        <f t="shared" si="18"/>
        <v>2000</v>
      </c>
      <c r="I159" s="1127"/>
      <c r="J159" s="2899" t="s">
        <v>113</v>
      </c>
      <c r="K159" s="2889"/>
      <c r="L159" s="2889"/>
      <c r="M159" s="2889"/>
      <c r="N159" s="2889"/>
      <c r="O159" s="2889"/>
      <c r="P159" s="1675"/>
      <c r="Q159" s="2900">
        <v>15</v>
      </c>
      <c r="R159" s="2895" t="s">
        <v>33</v>
      </c>
      <c r="S159" s="2900">
        <v>20000</v>
      </c>
      <c r="T159" s="2900" t="s">
        <v>0</v>
      </c>
      <c r="U159" s="1675"/>
      <c r="V159" s="2900">
        <v>11</v>
      </c>
      <c r="W159" s="2900" t="s">
        <v>3</v>
      </c>
      <c r="X159" s="1140" t="s">
        <v>465</v>
      </c>
      <c r="Y159" s="1142">
        <f>+Z159/1000</f>
        <v>3300</v>
      </c>
      <c r="Z159" s="1128">
        <f>Q159*S159*V159</f>
        <v>3300000</v>
      </c>
      <c r="AA159" s="907">
        <f t="shared" si="27"/>
        <v>3300000000</v>
      </c>
      <c r="AB159" s="505"/>
    </row>
    <row r="160" spans="1:28" ht="22.5" customHeight="1">
      <c r="A160" s="2627"/>
      <c r="B160" s="1145"/>
      <c r="C160" s="1126"/>
      <c r="D160" s="3275" t="s">
        <v>3485</v>
      </c>
      <c r="E160" s="3276"/>
      <c r="F160" s="499">
        <f>SUM(F161:F168)</f>
        <v>60000</v>
      </c>
      <c r="G160" s="499">
        <f>SUM(G161:G168)</f>
        <v>60000</v>
      </c>
      <c r="H160" s="361">
        <f>F160-G160</f>
        <v>0</v>
      </c>
      <c r="I160" s="1127"/>
      <c r="J160" s="501"/>
      <c r="K160" s="2635"/>
      <c r="L160" s="2635"/>
      <c r="M160" s="2635"/>
      <c r="N160" s="2635"/>
      <c r="O160" s="2635"/>
      <c r="P160" s="484"/>
      <c r="Q160" s="2635"/>
      <c r="R160" s="1146"/>
      <c r="S160" s="484"/>
      <c r="T160" s="2635"/>
      <c r="U160" s="2635"/>
      <c r="V160" s="484"/>
      <c r="W160" s="2635"/>
      <c r="X160" s="502"/>
      <c r="Y160" s="503"/>
      <c r="Z160" s="2341">
        <f>AB160</f>
        <v>0</v>
      </c>
      <c r="AA160" s="907">
        <f t="shared" ref="AA160:AA264" si="37">F160*1000000</f>
        <v>60000000000</v>
      </c>
      <c r="AB160" s="505"/>
    </row>
    <row r="161" spans="1:28" ht="22.5" customHeight="1">
      <c r="A161" s="2892"/>
      <c r="B161" s="1145"/>
      <c r="C161" s="1126"/>
      <c r="D161" s="367"/>
      <c r="E161" s="444" t="s">
        <v>426</v>
      </c>
      <c r="F161" s="978">
        <f>+Y161</f>
        <v>14000</v>
      </c>
      <c r="G161" s="445">
        <v>14000</v>
      </c>
      <c r="H161" s="851"/>
      <c r="I161" s="1127"/>
      <c r="J161" s="446" t="s">
        <v>3497</v>
      </c>
      <c r="K161" s="447"/>
      <c r="L161" s="447"/>
      <c r="M161" s="447"/>
      <c r="N161" s="447"/>
      <c r="O161" s="447"/>
      <c r="P161" s="3010"/>
      <c r="Q161" s="451">
        <v>4</v>
      </c>
      <c r="R161" s="449" t="s">
        <v>33</v>
      </c>
      <c r="S161" s="451">
        <v>3500000</v>
      </c>
      <c r="T161" s="451" t="s">
        <v>264</v>
      </c>
      <c r="U161" s="3010"/>
      <c r="V161" s="451">
        <v>1</v>
      </c>
      <c r="W161" s="451" t="s">
        <v>203</v>
      </c>
      <c r="X161" s="452" t="s">
        <v>266</v>
      </c>
      <c r="Y161" s="1891">
        <f t="shared" ref="Y161:Y164" si="38">+Z161/1000</f>
        <v>14000</v>
      </c>
      <c r="Z161" s="2341">
        <f>Q161*S161*V161</f>
        <v>14000000</v>
      </c>
      <c r="AA161" s="907">
        <f t="shared" ref="AA161:AA164" si="39">F161*1000000</f>
        <v>14000000000</v>
      </c>
      <c r="AB161" s="505"/>
    </row>
    <row r="162" spans="1:28" ht="22.5" customHeight="1">
      <c r="A162" s="2892"/>
      <c r="B162" s="1145"/>
      <c r="C162" s="1126"/>
      <c r="D162" s="1148"/>
      <c r="E162" s="1134" t="s">
        <v>52</v>
      </c>
      <c r="F162" s="1141">
        <f>+Y162</f>
        <v>5000</v>
      </c>
      <c r="G162" s="1139">
        <v>5000</v>
      </c>
      <c r="H162" s="1147"/>
      <c r="I162" s="1127"/>
      <c r="J162" s="2899" t="s">
        <v>8</v>
      </c>
      <c r="K162" s="2889"/>
      <c r="L162" s="2889"/>
      <c r="M162" s="2889"/>
      <c r="N162" s="2889"/>
      <c r="O162" s="2889"/>
      <c r="P162" s="1675"/>
      <c r="Q162" s="2900"/>
      <c r="R162" s="2895"/>
      <c r="S162" s="2900"/>
      <c r="T162" s="2900"/>
      <c r="U162" s="1675"/>
      <c r="V162" s="2900"/>
      <c r="W162" s="2900"/>
      <c r="X162" s="1387"/>
      <c r="Y162" s="1142">
        <f t="shared" si="38"/>
        <v>5000</v>
      </c>
      <c r="Z162" s="1128">
        <f>SUM(Z163:Z164)</f>
        <v>5000000</v>
      </c>
      <c r="AA162" s="907">
        <f t="shared" si="39"/>
        <v>5000000000</v>
      </c>
      <c r="AB162" s="505"/>
    </row>
    <row r="163" spans="1:28" ht="22.5" customHeight="1">
      <c r="A163" s="2892"/>
      <c r="B163" s="1145"/>
      <c r="C163" s="1126"/>
      <c r="D163" s="1148"/>
      <c r="E163" s="465"/>
      <c r="F163" s="1141"/>
      <c r="G163" s="1139"/>
      <c r="H163" s="404"/>
      <c r="I163" s="1127"/>
      <c r="J163" s="2888" t="s">
        <v>3495</v>
      </c>
      <c r="K163" s="2889"/>
      <c r="L163" s="2889"/>
      <c r="M163" s="2889"/>
      <c r="N163" s="2889"/>
      <c r="O163" s="2889"/>
      <c r="P163" s="1675"/>
      <c r="Q163" s="1671"/>
      <c r="R163" s="2895"/>
      <c r="S163" s="2900">
        <v>500000</v>
      </c>
      <c r="T163" s="2900" t="s">
        <v>0</v>
      </c>
      <c r="U163" s="1675"/>
      <c r="V163" s="2900">
        <v>3</v>
      </c>
      <c r="W163" s="2900" t="s">
        <v>220</v>
      </c>
      <c r="X163" s="1140" t="s">
        <v>266</v>
      </c>
      <c r="Y163" s="1142">
        <f t="shared" si="38"/>
        <v>1500</v>
      </c>
      <c r="Z163" s="1128">
        <f>S163*V163</f>
        <v>1500000</v>
      </c>
      <c r="AA163" s="907">
        <f t="shared" si="39"/>
        <v>0</v>
      </c>
      <c r="AB163" s="505"/>
    </row>
    <row r="164" spans="1:28" ht="22.5" customHeight="1">
      <c r="A164" s="2892"/>
      <c r="B164" s="1145"/>
      <c r="C164" s="1126"/>
      <c r="D164" s="1148"/>
      <c r="E164" s="1134"/>
      <c r="F164" s="1141"/>
      <c r="G164" s="1139"/>
      <c r="H164" s="404"/>
      <c r="I164" s="1127"/>
      <c r="J164" s="2899" t="s">
        <v>3496</v>
      </c>
      <c r="K164" s="2889"/>
      <c r="L164" s="2889"/>
      <c r="M164" s="2889"/>
      <c r="N164" s="2889"/>
      <c r="O164" s="2889"/>
      <c r="P164" s="1675"/>
      <c r="Q164" s="1671"/>
      <c r="R164" s="2895"/>
      <c r="S164" s="1672">
        <v>20000</v>
      </c>
      <c r="T164" s="1671" t="s">
        <v>0</v>
      </c>
      <c r="U164" s="1671"/>
      <c r="V164" s="1671">
        <v>175</v>
      </c>
      <c r="W164" s="1671" t="s">
        <v>363</v>
      </c>
      <c r="X164" s="1140" t="s">
        <v>266</v>
      </c>
      <c r="Y164" s="1142">
        <f t="shared" si="38"/>
        <v>3500</v>
      </c>
      <c r="Z164" s="1128">
        <f t="shared" ref="Z164" si="40">+S164*V164</f>
        <v>3500000</v>
      </c>
      <c r="AA164" s="907">
        <f t="shared" si="39"/>
        <v>0</v>
      </c>
      <c r="AB164" s="505"/>
    </row>
    <row r="165" spans="1:28" ht="22.5" customHeight="1">
      <c r="A165" s="2627"/>
      <c r="B165" s="1145"/>
      <c r="C165" s="1126"/>
      <c r="D165" s="1148"/>
      <c r="E165" s="1134" t="s">
        <v>3486</v>
      </c>
      <c r="F165" s="1141">
        <f>+Y165</f>
        <v>41000</v>
      </c>
      <c r="G165" s="1139">
        <v>41000</v>
      </c>
      <c r="H165" s="1147"/>
      <c r="I165" s="1127"/>
      <c r="J165" s="2643" t="s">
        <v>3487</v>
      </c>
      <c r="K165" s="2624"/>
      <c r="L165" s="2624"/>
      <c r="M165" s="2624"/>
      <c r="N165" s="2624"/>
      <c r="O165" s="2624"/>
      <c r="P165" s="1675"/>
      <c r="Q165" s="2644"/>
      <c r="R165" s="2630"/>
      <c r="S165" s="2644"/>
      <c r="T165" s="2644"/>
      <c r="U165" s="1675"/>
      <c r="V165" s="2644"/>
      <c r="W165" s="2644"/>
      <c r="X165" s="1140"/>
      <c r="Y165" s="1142">
        <f t="shared" ref="Y165:Y168" si="41">+Z165/1000</f>
        <v>41000</v>
      </c>
      <c r="Z165" s="1128">
        <f>SUM(Z166:Z168)</f>
        <v>41000000</v>
      </c>
      <c r="AA165" s="907">
        <f t="shared" si="37"/>
        <v>41000000000</v>
      </c>
      <c r="AB165" s="505"/>
    </row>
    <row r="166" spans="1:28" ht="22.5" customHeight="1">
      <c r="A166" s="2627"/>
      <c r="B166" s="1145"/>
      <c r="C166" s="1126"/>
      <c r="D166" s="1145"/>
      <c r="E166" s="465"/>
      <c r="F166" s="1805"/>
      <c r="G166" s="1115"/>
      <c r="H166" s="404"/>
      <c r="I166" s="1127"/>
      <c r="J166" s="2623" t="s">
        <v>3488</v>
      </c>
      <c r="K166" s="2624"/>
      <c r="L166" s="2624"/>
      <c r="M166" s="2624"/>
      <c r="N166" s="506"/>
      <c r="O166" s="1671"/>
      <c r="P166" s="1675"/>
      <c r="Q166" s="1671"/>
      <c r="R166" s="1675"/>
      <c r="S166" s="2644">
        <v>21000000</v>
      </c>
      <c r="T166" s="2644" t="s">
        <v>3489</v>
      </c>
      <c r="U166" s="1675"/>
      <c r="V166" s="2644">
        <v>1</v>
      </c>
      <c r="W166" s="2644" t="s">
        <v>3490</v>
      </c>
      <c r="X166" s="1140" t="s">
        <v>3483</v>
      </c>
      <c r="Y166" s="1142">
        <f t="shared" si="41"/>
        <v>21000</v>
      </c>
      <c r="Z166" s="1128">
        <f>+S166*V166</f>
        <v>21000000</v>
      </c>
      <c r="AA166" s="907">
        <f t="shared" si="37"/>
        <v>0</v>
      </c>
      <c r="AB166" s="505"/>
    </row>
    <row r="167" spans="1:28" ht="22.5" customHeight="1">
      <c r="A167" s="2627"/>
      <c r="B167" s="1145"/>
      <c r="C167" s="1126"/>
      <c r="D167" s="1148"/>
      <c r="E167" s="1134"/>
      <c r="F167" s="1141"/>
      <c r="G167" s="1139"/>
      <c r="H167" s="404"/>
      <c r="I167" s="1127"/>
      <c r="J167" s="2643" t="s">
        <v>3491</v>
      </c>
      <c r="K167" s="2624"/>
      <c r="L167" s="2624"/>
      <c r="M167" s="2624"/>
      <c r="N167" s="2624"/>
      <c r="O167" s="1673" t="s">
        <v>3484</v>
      </c>
      <c r="P167" s="1675" t="s">
        <v>3484</v>
      </c>
      <c r="Q167" s="1671"/>
      <c r="R167" s="1675"/>
      <c r="S167" s="1672">
        <v>15000000</v>
      </c>
      <c r="T167" s="1671" t="s">
        <v>3489</v>
      </c>
      <c r="U167" s="1671"/>
      <c r="V167" s="1671">
        <v>1</v>
      </c>
      <c r="W167" s="1671" t="s">
        <v>3492</v>
      </c>
      <c r="X167" s="397" t="s">
        <v>3483</v>
      </c>
      <c r="Y167" s="1142">
        <f t="shared" si="41"/>
        <v>15000</v>
      </c>
      <c r="Z167" s="1128">
        <f t="shared" ref="Z167:Z168" si="42">+S167*V167</f>
        <v>15000000</v>
      </c>
      <c r="AA167" s="907">
        <f t="shared" si="37"/>
        <v>0</v>
      </c>
      <c r="AB167" s="505"/>
    </row>
    <row r="168" spans="1:28" ht="22.5" customHeight="1">
      <c r="A168" s="2627"/>
      <c r="B168" s="1145"/>
      <c r="C168" s="1126"/>
      <c r="D168" s="1148"/>
      <c r="E168" s="1134"/>
      <c r="F168" s="1141"/>
      <c r="G168" s="1139"/>
      <c r="H168" s="404"/>
      <c r="I168" s="1127"/>
      <c r="J168" s="2643" t="s">
        <v>3493</v>
      </c>
      <c r="K168" s="2624"/>
      <c r="L168" s="2624"/>
      <c r="M168" s="2624"/>
      <c r="N168" s="2624"/>
      <c r="O168" s="1673" t="s">
        <v>3484</v>
      </c>
      <c r="P168" s="1675" t="s">
        <v>3484</v>
      </c>
      <c r="Q168" s="1671"/>
      <c r="R168" s="1675"/>
      <c r="S168" s="1672">
        <v>2500000</v>
      </c>
      <c r="T168" s="1671" t="s">
        <v>3489</v>
      </c>
      <c r="U168" s="1671"/>
      <c r="V168" s="1671">
        <v>2</v>
      </c>
      <c r="W168" s="1671" t="s">
        <v>3494</v>
      </c>
      <c r="X168" s="397" t="s">
        <v>3483</v>
      </c>
      <c r="Y168" s="1142">
        <f t="shared" si="41"/>
        <v>5000</v>
      </c>
      <c r="Z168" s="1128">
        <f t="shared" si="42"/>
        <v>5000000</v>
      </c>
      <c r="AA168" s="907">
        <f t="shared" si="37"/>
        <v>0</v>
      </c>
      <c r="AB168" s="505"/>
    </row>
    <row r="169" spans="1:28" ht="22.5" customHeight="1">
      <c r="A169" s="2627"/>
      <c r="B169" s="1145"/>
      <c r="C169" s="1126"/>
      <c r="D169" s="3275" t="s">
        <v>3498</v>
      </c>
      <c r="E169" s="3276"/>
      <c r="F169" s="499">
        <f>SUM(F170:F186)</f>
        <v>107750</v>
      </c>
      <c r="G169" s="499">
        <f>SUM(G170:G186)</f>
        <v>107750</v>
      </c>
      <c r="H169" s="1132">
        <f>F169-G169</f>
        <v>0</v>
      </c>
      <c r="I169" s="3011"/>
      <c r="J169" s="501"/>
      <c r="K169" s="2896"/>
      <c r="L169" s="2896"/>
      <c r="M169" s="2896"/>
      <c r="N169" s="2896"/>
      <c r="O169" s="2896"/>
      <c r="P169" s="484"/>
      <c r="Q169" s="2896"/>
      <c r="R169" s="1146"/>
      <c r="S169" s="484"/>
      <c r="T169" s="2896"/>
      <c r="U169" s="2896"/>
      <c r="V169" s="484"/>
      <c r="W169" s="2896"/>
      <c r="X169" s="502"/>
      <c r="Y169" s="503"/>
      <c r="Z169" s="2341" t="e">
        <f>Z170+Z171+#REF!+Z174+#REF!+#REF!+Z175+#REF!+#REF!+Z185+Z186</f>
        <v>#REF!</v>
      </c>
      <c r="AA169" s="907">
        <f t="shared" si="37"/>
        <v>107750000000</v>
      </c>
      <c r="AB169" s="505"/>
    </row>
    <row r="170" spans="1:28" ht="22.5" customHeight="1">
      <c r="A170" s="2627"/>
      <c r="B170" s="1145"/>
      <c r="C170" s="1126"/>
      <c r="D170" s="1148"/>
      <c r="E170" s="1134" t="s">
        <v>74</v>
      </c>
      <c r="F170" s="1141">
        <f>+Y170</f>
        <v>30000</v>
      </c>
      <c r="G170" s="1139">
        <v>30000</v>
      </c>
      <c r="H170" s="404"/>
      <c r="I170" s="1127"/>
      <c r="J170" s="2643" t="s">
        <v>109</v>
      </c>
      <c r="K170" s="2624"/>
      <c r="L170" s="2624"/>
      <c r="M170" s="2624"/>
      <c r="N170" s="2624"/>
      <c r="O170" s="2624"/>
      <c r="P170" s="1675"/>
      <c r="Q170" s="2644">
        <v>1</v>
      </c>
      <c r="R170" s="2630" t="s">
        <v>23</v>
      </c>
      <c r="S170" s="2644">
        <v>2500000</v>
      </c>
      <c r="T170" s="2644" t="s">
        <v>0</v>
      </c>
      <c r="U170" s="1675"/>
      <c r="V170" s="2644">
        <v>12</v>
      </c>
      <c r="W170" s="2644" t="s">
        <v>26</v>
      </c>
      <c r="X170" s="1140" t="s">
        <v>3499</v>
      </c>
      <c r="Y170" s="1142">
        <f t="shared" ref="Y170:Y186" si="43">+Z170/1000</f>
        <v>30000</v>
      </c>
      <c r="Z170" s="1128">
        <f>S170*V170*Q170</f>
        <v>30000000</v>
      </c>
      <c r="AA170" s="907">
        <f t="shared" si="37"/>
        <v>30000000000</v>
      </c>
      <c r="AB170" s="505"/>
    </row>
    <row r="171" spans="1:28" ht="22.5" customHeight="1">
      <c r="A171" s="2627"/>
      <c r="B171" s="1145"/>
      <c r="C171" s="1126"/>
      <c r="D171" s="1148"/>
      <c r="E171" s="1134" t="s">
        <v>51</v>
      </c>
      <c r="F171" s="1141">
        <f>+Y171</f>
        <v>34000</v>
      </c>
      <c r="G171" s="1139">
        <v>34000</v>
      </c>
      <c r="H171" s="404"/>
      <c r="I171" s="1127"/>
      <c r="J171" s="2643" t="s">
        <v>8</v>
      </c>
      <c r="K171" s="2624"/>
      <c r="L171" s="2624"/>
      <c r="M171" s="2624"/>
      <c r="N171" s="2624"/>
      <c r="O171" s="2624"/>
      <c r="P171" s="1675"/>
      <c r="Q171" s="2644"/>
      <c r="R171" s="2630"/>
      <c r="S171" s="2644"/>
      <c r="T171" s="2644"/>
      <c r="U171" s="1675"/>
      <c r="V171" s="2644"/>
      <c r="W171" s="2644"/>
      <c r="X171" s="1140"/>
      <c r="Y171" s="1142">
        <f t="shared" si="43"/>
        <v>34000</v>
      </c>
      <c r="Z171" s="1128">
        <f>SUM(Z172:Z173)</f>
        <v>34000000</v>
      </c>
      <c r="AA171" s="907">
        <f t="shared" si="37"/>
        <v>34000000000</v>
      </c>
      <c r="AB171" s="505"/>
    </row>
    <row r="172" spans="1:28" ht="22.5" customHeight="1">
      <c r="A172" s="2627"/>
      <c r="B172" s="1145"/>
      <c r="C172" s="1126"/>
      <c r="D172" s="1148"/>
      <c r="E172" s="1134"/>
      <c r="F172" s="1141"/>
      <c r="G172" s="1139"/>
      <c r="H172" s="404"/>
      <c r="I172" s="1127"/>
      <c r="J172" s="2643" t="s">
        <v>3500</v>
      </c>
      <c r="K172" s="2624"/>
      <c r="L172" s="2624"/>
      <c r="M172" s="2624"/>
      <c r="N172" s="2624"/>
      <c r="O172" s="2624"/>
      <c r="P172" s="1675"/>
      <c r="Q172" s="2644"/>
      <c r="R172" s="2630"/>
      <c r="S172" s="2644">
        <v>30000</v>
      </c>
      <c r="T172" s="2644" t="s">
        <v>0</v>
      </c>
      <c r="U172" s="1675"/>
      <c r="V172" s="2644">
        <v>800</v>
      </c>
      <c r="W172" s="2644" t="s">
        <v>3501</v>
      </c>
      <c r="X172" s="1387"/>
      <c r="Y172" s="1142">
        <f t="shared" si="43"/>
        <v>24000</v>
      </c>
      <c r="Z172" s="1128">
        <f>S172*V172</f>
        <v>24000000</v>
      </c>
      <c r="AA172" s="907">
        <f t="shared" si="37"/>
        <v>0</v>
      </c>
      <c r="AB172" s="505"/>
    </row>
    <row r="173" spans="1:28" ht="22.5" customHeight="1">
      <c r="A173" s="2627"/>
      <c r="B173" s="1145"/>
      <c r="C173" s="1126"/>
      <c r="D173" s="1148"/>
      <c r="E173" s="1134"/>
      <c r="F173" s="1141"/>
      <c r="G173" s="1139"/>
      <c r="H173" s="404"/>
      <c r="I173" s="1127"/>
      <c r="J173" s="2643" t="s">
        <v>3502</v>
      </c>
      <c r="K173" s="2624"/>
      <c r="L173" s="2624"/>
      <c r="M173" s="2624"/>
      <c r="N173" s="2624"/>
      <c r="O173" s="2624"/>
      <c r="P173" s="1675"/>
      <c r="Q173" s="2644"/>
      <c r="R173" s="2630"/>
      <c r="S173" s="2644">
        <v>10000000</v>
      </c>
      <c r="T173" s="2644" t="s">
        <v>0</v>
      </c>
      <c r="U173" s="1675"/>
      <c r="V173" s="2644">
        <v>1</v>
      </c>
      <c r="W173" s="2644" t="s">
        <v>3</v>
      </c>
      <c r="X173" s="1140" t="s">
        <v>3499</v>
      </c>
      <c r="Y173" s="1142">
        <f>+Z173/1000</f>
        <v>10000</v>
      </c>
      <c r="Z173" s="1128">
        <f>S173*V173</f>
        <v>10000000</v>
      </c>
      <c r="AA173" s="907">
        <f t="shared" si="37"/>
        <v>0</v>
      </c>
      <c r="AB173" s="505"/>
    </row>
    <row r="174" spans="1:28" ht="22.5" customHeight="1">
      <c r="A174" s="2627"/>
      <c r="B174" s="1145"/>
      <c r="C174" s="1126"/>
      <c r="D174" s="1148"/>
      <c r="E174" s="1134" t="s">
        <v>73</v>
      </c>
      <c r="F174" s="1141">
        <f>+Y174</f>
        <v>1000</v>
      </c>
      <c r="G174" s="1139">
        <v>1000</v>
      </c>
      <c r="H174" s="1147"/>
      <c r="I174" s="1127"/>
      <c r="J174" s="2643" t="s">
        <v>111</v>
      </c>
      <c r="K174" s="2624"/>
      <c r="L174" s="2624"/>
      <c r="M174" s="2624"/>
      <c r="N174" s="2624"/>
      <c r="O174" s="2624"/>
      <c r="P174" s="1675"/>
      <c r="Q174" s="2644"/>
      <c r="R174" s="2630"/>
      <c r="S174" s="2644">
        <v>1000000</v>
      </c>
      <c r="T174" s="2644" t="s">
        <v>0</v>
      </c>
      <c r="U174" s="1675"/>
      <c r="V174" s="2644">
        <v>1</v>
      </c>
      <c r="W174" s="2644" t="s">
        <v>3</v>
      </c>
      <c r="X174" s="1140" t="s">
        <v>3499</v>
      </c>
      <c r="Y174" s="1142">
        <f t="shared" si="43"/>
        <v>1000</v>
      </c>
      <c r="Z174" s="1128">
        <f>+S174*V174</f>
        <v>1000000</v>
      </c>
      <c r="AA174" s="907">
        <f t="shared" si="37"/>
        <v>1000000000</v>
      </c>
      <c r="AB174" s="505"/>
    </row>
    <row r="175" spans="1:28" ht="22.5" customHeight="1">
      <c r="A175" s="2627"/>
      <c r="B175" s="1145"/>
      <c r="C175" s="1126"/>
      <c r="D175" s="1148"/>
      <c r="E175" s="1134" t="s">
        <v>52</v>
      </c>
      <c r="F175" s="1141">
        <f>+Y175</f>
        <v>5000</v>
      </c>
      <c r="G175" s="1139">
        <v>5000</v>
      </c>
      <c r="H175" s="1147"/>
      <c r="I175" s="1127"/>
      <c r="J175" s="2643" t="s">
        <v>8</v>
      </c>
      <c r="K175" s="2624"/>
      <c r="L175" s="2624"/>
      <c r="M175" s="2624"/>
      <c r="N175" s="2624"/>
      <c r="O175" s="2624"/>
      <c r="P175" s="1675"/>
      <c r="Q175" s="2644"/>
      <c r="R175" s="2630"/>
      <c r="S175" s="2644"/>
      <c r="T175" s="2644"/>
      <c r="U175" s="1675"/>
      <c r="V175" s="2644"/>
      <c r="W175" s="2644"/>
      <c r="X175" s="1387"/>
      <c r="Y175" s="1142">
        <f t="shared" si="43"/>
        <v>5000</v>
      </c>
      <c r="Z175" s="1128">
        <f>SUM(Z176:Z178)</f>
        <v>5000000</v>
      </c>
      <c r="AA175" s="907">
        <f t="shared" si="37"/>
        <v>5000000000</v>
      </c>
      <c r="AB175" s="505"/>
    </row>
    <row r="176" spans="1:28" ht="22.5" customHeight="1">
      <c r="A176" s="2627"/>
      <c r="B176" s="1145"/>
      <c r="C176" s="1126"/>
      <c r="D176" s="1148"/>
      <c r="E176" s="465"/>
      <c r="F176" s="1141"/>
      <c r="G176" s="1139"/>
      <c r="H176" s="1147"/>
      <c r="I176" s="1127"/>
      <c r="J176" s="2623" t="s">
        <v>3506</v>
      </c>
      <c r="K176" s="2624"/>
      <c r="L176" s="2624"/>
      <c r="M176" s="2624"/>
      <c r="N176" s="2624"/>
      <c r="O176" s="2624"/>
      <c r="P176" s="1675"/>
      <c r="Q176" s="1671">
        <v>2</v>
      </c>
      <c r="R176" s="2630" t="s">
        <v>23</v>
      </c>
      <c r="S176" s="2644">
        <v>10000</v>
      </c>
      <c r="T176" s="2644" t="s">
        <v>0</v>
      </c>
      <c r="U176" s="1675"/>
      <c r="V176" s="2644">
        <v>50</v>
      </c>
      <c r="W176" s="2644" t="s">
        <v>3507</v>
      </c>
      <c r="X176" s="1140" t="s">
        <v>3499</v>
      </c>
      <c r="Y176" s="1142">
        <f t="shared" si="43"/>
        <v>1000</v>
      </c>
      <c r="Z176" s="1128">
        <f>S176*V176*Q176</f>
        <v>1000000</v>
      </c>
      <c r="AA176" s="907">
        <f t="shared" si="37"/>
        <v>0</v>
      </c>
      <c r="AB176" s="505"/>
    </row>
    <row r="177" spans="1:29" ht="22.5" customHeight="1">
      <c r="A177" s="2627"/>
      <c r="B177" s="1145"/>
      <c r="C177" s="1126"/>
      <c r="D177" s="1148"/>
      <c r="E177" s="1134"/>
      <c r="F177" s="1141"/>
      <c r="G177" s="1139"/>
      <c r="H177" s="1147"/>
      <c r="I177" s="1127"/>
      <c r="J177" s="2643" t="s">
        <v>3508</v>
      </c>
      <c r="K177" s="2624"/>
      <c r="L177" s="2624"/>
      <c r="M177" s="2624"/>
      <c r="N177" s="2624"/>
      <c r="O177" s="2624"/>
      <c r="P177" s="1675"/>
      <c r="Q177" s="1671"/>
      <c r="R177" s="2630"/>
      <c r="S177" s="1672">
        <v>50000</v>
      </c>
      <c r="T177" s="1671" t="s">
        <v>0</v>
      </c>
      <c r="U177" s="1671"/>
      <c r="V177" s="1671">
        <v>68</v>
      </c>
      <c r="W177" s="1671" t="s">
        <v>3507</v>
      </c>
      <c r="X177" s="1140" t="s">
        <v>3499</v>
      </c>
      <c r="Y177" s="1142">
        <f t="shared" si="43"/>
        <v>3400</v>
      </c>
      <c r="Z177" s="1128">
        <f t="shared" ref="Z177" si="44">+S177*V177</f>
        <v>3400000</v>
      </c>
      <c r="AA177" s="907">
        <f t="shared" si="37"/>
        <v>0</v>
      </c>
      <c r="AB177" s="505"/>
    </row>
    <row r="178" spans="1:29" ht="22.5" customHeight="1">
      <c r="A178" s="2627"/>
      <c r="B178" s="1145"/>
      <c r="C178" s="1126"/>
      <c r="D178" s="1148"/>
      <c r="E178" s="1134"/>
      <c r="F178" s="1141"/>
      <c r="G178" s="1139"/>
      <c r="H178" s="1147"/>
      <c r="I178" s="1127"/>
      <c r="J178" s="2643" t="s">
        <v>3509</v>
      </c>
      <c r="K178" s="2624"/>
      <c r="L178" s="2624"/>
      <c r="M178" s="2624"/>
      <c r="N178" s="2624"/>
      <c r="O178" s="2624"/>
      <c r="P178" s="1675"/>
      <c r="Q178" s="1671"/>
      <c r="R178" s="2630"/>
      <c r="S178" s="2644">
        <v>300000</v>
      </c>
      <c r="T178" s="2644" t="s">
        <v>0</v>
      </c>
      <c r="U178" s="1675"/>
      <c r="V178" s="2644">
        <v>2</v>
      </c>
      <c r="W178" s="2644" t="s">
        <v>3510</v>
      </c>
      <c r="X178" s="1140" t="s">
        <v>3499</v>
      </c>
      <c r="Y178" s="1142">
        <f t="shared" si="43"/>
        <v>600</v>
      </c>
      <c r="Z178" s="1128">
        <f>S178*V178</f>
        <v>600000</v>
      </c>
      <c r="AA178" s="907">
        <f t="shared" si="37"/>
        <v>0</v>
      </c>
      <c r="AB178" s="505"/>
    </row>
    <row r="179" spans="1:29" ht="22.5" customHeight="1">
      <c r="A179" s="2627"/>
      <c r="B179" s="1145"/>
      <c r="C179" s="1126"/>
      <c r="D179" s="1148"/>
      <c r="E179" s="1134" t="s">
        <v>65</v>
      </c>
      <c r="F179" s="1141">
        <f>+Y179</f>
        <v>34000</v>
      </c>
      <c r="G179" s="1139">
        <v>34000</v>
      </c>
      <c r="H179" s="1147"/>
      <c r="I179" s="1127"/>
      <c r="J179" s="2643" t="s">
        <v>8</v>
      </c>
      <c r="K179" s="2624"/>
      <c r="L179" s="2624"/>
      <c r="M179" s="2624"/>
      <c r="N179" s="506"/>
      <c r="O179" s="1671"/>
      <c r="P179" s="1675"/>
      <c r="Q179" s="2644"/>
      <c r="R179" s="2630"/>
      <c r="S179" s="2644"/>
      <c r="T179" s="2644"/>
      <c r="U179" s="1675"/>
      <c r="V179" s="2644"/>
      <c r="W179" s="2644"/>
      <c r="X179" s="1140"/>
      <c r="Y179" s="1142">
        <f t="shared" si="43"/>
        <v>34000</v>
      </c>
      <c r="Z179" s="1128">
        <f>SUM(Z180:Z183)</f>
        <v>34000000</v>
      </c>
      <c r="AA179" s="907">
        <f t="shared" si="37"/>
        <v>34000000000</v>
      </c>
      <c r="AB179" s="505"/>
    </row>
    <row r="180" spans="1:29" ht="22.5" customHeight="1">
      <c r="A180" s="2627"/>
      <c r="B180" s="1145"/>
      <c r="C180" s="1126"/>
      <c r="D180" s="1148"/>
      <c r="E180" s="465"/>
      <c r="F180" s="1805"/>
      <c r="G180" s="1139"/>
      <c r="H180" s="404"/>
      <c r="I180" s="1127"/>
      <c r="J180" s="2623" t="s">
        <v>3511</v>
      </c>
      <c r="K180" s="2624"/>
      <c r="L180" s="2624"/>
      <c r="M180" s="2624"/>
      <c r="N180" s="2624"/>
      <c r="O180" s="1673" t="s">
        <v>3512</v>
      </c>
      <c r="P180" s="1675" t="s">
        <v>3512</v>
      </c>
      <c r="Q180" s="1671"/>
      <c r="R180" s="1675"/>
      <c r="S180" s="2644">
        <v>16000000</v>
      </c>
      <c r="T180" s="2644" t="s">
        <v>0</v>
      </c>
      <c r="U180" s="1675"/>
      <c r="V180" s="2644">
        <v>1</v>
      </c>
      <c r="W180" s="2644" t="s">
        <v>3</v>
      </c>
      <c r="X180" s="397" t="s">
        <v>3499</v>
      </c>
      <c r="Y180" s="1142">
        <f t="shared" si="43"/>
        <v>16000</v>
      </c>
      <c r="Z180" s="1128">
        <f>S180*V180</f>
        <v>16000000</v>
      </c>
      <c r="AA180" s="907">
        <f t="shared" si="37"/>
        <v>0</v>
      </c>
      <c r="AB180" s="505"/>
    </row>
    <row r="181" spans="1:29" ht="22.5" customHeight="1">
      <c r="A181" s="2627"/>
      <c r="B181" s="1145"/>
      <c r="C181" s="1126"/>
      <c r="D181" s="1148"/>
      <c r="E181" s="1134"/>
      <c r="F181" s="1141"/>
      <c r="G181" s="1139"/>
      <c r="H181" s="404"/>
      <c r="I181" s="1127"/>
      <c r="J181" s="2643" t="s">
        <v>3513</v>
      </c>
      <c r="K181" s="2624"/>
      <c r="L181" s="2624"/>
      <c r="M181" s="2624"/>
      <c r="N181" s="2624"/>
      <c r="O181" s="1673" t="s">
        <v>3512</v>
      </c>
      <c r="P181" s="1675" t="s">
        <v>3512</v>
      </c>
      <c r="Q181" s="1671"/>
      <c r="R181" s="1675"/>
      <c r="S181" s="1672">
        <v>6000000</v>
      </c>
      <c r="T181" s="1671" t="s">
        <v>0</v>
      </c>
      <c r="U181" s="1671"/>
      <c r="V181" s="1671">
        <v>1</v>
      </c>
      <c r="W181" s="1671" t="s">
        <v>3</v>
      </c>
      <c r="X181" s="1140" t="s">
        <v>3499</v>
      </c>
      <c r="Y181" s="1142">
        <f t="shared" si="43"/>
        <v>6000</v>
      </c>
      <c r="Z181" s="1128">
        <f>+S181*V181</f>
        <v>6000000</v>
      </c>
      <c r="AA181" s="907">
        <f t="shared" si="37"/>
        <v>0</v>
      </c>
      <c r="AB181" s="505"/>
    </row>
    <row r="182" spans="1:29" ht="22.5" customHeight="1">
      <c r="A182" s="2627"/>
      <c r="B182" s="1145"/>
      <c r="C182" s="1126"/>
      <c r="D182" s="1148"/>
      <c r="E182" s="1134"/>
      <c r="F182" s="1141"/>
      <c r="G182" s="1139"/>
      <c r="H182" s="404"/>
      <c r="I182" s="1127"/>
      <c r="J182" s="2643" t="s">
        <v>3514</v>
      </c>
      <c r="K182" s="2624"/>
      <c r="L182" s="2624"/>
      <c r="M182" s="2624"/>
      <c r="N182" s="2624"/>
      <c r="O182" s="1673" t="s">
        <v>3512</v>
      </c>
      <c r="P182" s="1675" t="s">
        <v>3512</v>
      </c>
      <c r="Q182" s="1671"/>
      <c r="R182" s="1675"/>
      <c r="S182" s="1672">
        <v>10000000</v>
      </c>
      <c r="T182" s="1671" t="s">
        <v>0</v>
      </c>
      <c r="U182" s="1671"/>
      <c r="V182" s="1671">
        <v>1</v>
      </c>
      <c r="W182" s="1671" t="s">
        <v>3</v>
      </c>
      <c r="X182" s="1140" t="s">
        <v>3499</v>
      </c>
      <c r="Y182" s="1142">
        <f t="shared" si="43"/>
        <v>10000</v>
      </c>
      <c r="Z182" s="1128">
        <f>+S182*V182</f>
        <v>10000000</v>
      </c>
      <c r="AA182" s="907">
        <f t="shared" si="37"/>
        <v>0</v>
      </c>
      <c r="AB182" s="505"/>
    </row>
    <row r="183" spans="1:29" ht="22.5" customHeight="1">
      <c r="A183" s="2627"/>
      <c r="B183" s="1145"/>
      <c r="C183" s="1126"/>
      <c r="D183" s="1148"/>
      <c r="E183" s="1134"/>
      <c r="F183" s="1141"/>
      <c r="G183" s="1139"/>
      <c r="H183" s="404"/>
      <c r="I183" s="1127"/>
      <c r="J183" s="2643" t="s">
        <v>3515</v>
      </c>
      <c r="K183" s="2624"/>
      <c r="L183" s="2624"/>
      <c r="M183" s="2624"/>
      <c r="N183" s="2624"/>
      <c r="O183" s="1673" t="s">
        <v>3512</v>
      </c>
      <c r="P183" s="1675" t="s">
        <v>3512</v>
      </c>
      <c r="Q183" s="1671"/>
      <c r="R183" s="1675"/>
      <c r="S183" s="1672">
        <v>50000</v>
      </c>
      <c r="T183" s="1671" t="s">
        <v>0</v>
      </c>
      <c r="U183" s="1671"/>
      <c r="V183" s="1671">
        <v>40</v>
      </c>
      <c r="W183" s="1671" t="s">
        <v>3516</v>
      </c>
      <c r="X183" s="1140" t="s">
        <v>3499</v>
      </c>
      <c r="Y183" s="1142">
        <f t="shared" si="43"/>
        <v>2000</v>
      </c>
      <c r="Z183" s="1128">
        <f>+S183*V183</f>
        <v>2000000</v>
      </c>
      <c r="AA183" s="907">
        <f t="shared" si="37"/>
        <v>0</v>
      </c>
      <c r="AB183" s="505"/>
    </row>
    <row r="184" spans="1:29" ht="22.5" customHeight="1">
      <c r="A184" s="2892"/>
      <c r="B184" s="1145"/>
      <c r="C184" s="1126"/>
      <c r="D184" s="466"/>
      <c r="E184" s="1134" t="s">
        <v>297</v>
      </c>
      <c r="F184" s="1141">
        <f>+Y184</f>
        <v>700</v>
      </c>
      <c r="G184" s="1139">
        <v>700</v>
      </c>
      <c r="H184" s="1147"/>
      <c r="I184" s="1127"/>
      <c r="J184" s="2899" t="s">
        <v>3504</v>
      </c>
      <c r="K184" s="2889"/>
      <c r="L184" s="2889"/>
      <c r="M184" s="2889"/>
      <c r="N184" s="2889"/>
      <c r="O184" s="2889"/>
      <c r="P184" s="1675"/>
      <c r="Q184" s="2900"/>
      <c r="R184" s="2895"/>
      <c r="S184" s="2900">
        <v>700000</v>
      </c>
      <c r="T184" s="2900" t="s">
        <v>0</v>
      </c>
      <c r="U184" s="1675"/>
      <c r="V184" s="2900">
        <v>1</v>
      </c>
      <c r="W184" s="2900" t="s">
        <v>265</v>
      </c>
      <c r="X184" s="1140"/>
      <c r="Y184" s="1142">
        <f t="shared" ref="Y184" si="45">+Z184/1000</f>
        <v>700</v>
      </c>
      <c r="Z184" s="1128">
        <f>+S184*V184</f>
        <v>700000</v>
      </c>
      <c r="AA184" s="907">
        <f t="shared" ref="AA184" si="46">F184*1000000</f>
        <v>700000000</v>
      </c>
      <c r="AB184" s="505"/>
    </row>
    <row r="185" spans="1:29" ht="22.5" customHeight="1">
      <c r="A185" s="2627"/>
      <c r="B185" s="1145"/>
      <c r="C185" s="1126"/>
      <c r="D185" s="1148"/>
      <c r="E185" s="1134" t="s">
        <v>56</v>
      </c>
      <c r="F185" s="1141">
        <f>+Y185</f>
        <v>2550</v>
      </c>
      <c r="G185" s="1139">
        <v>2550</v>
      </c>
      <c r="H185" s="404"/>
      <c r="I185" s="1127"/>
      <c r="J185" s="2643" t="s">
        <v>112</v>
      </c>
      <c r="K185" s="2624"/>
      <c r="L185" s="2624"/>
      <c r="M185" s="2624"/>
      <c r="N185" s="2624"/>
      <c r="O185" s="2624"/>
      <c r="P185" s="1675"/>
      <c r="Q185" s="2644"/>
      <c r="R185" s="2630"/>
      <c r="S185" s="2644">
        <v>2550000</v>
      </c>
      <c r="T185" s="2644" t="s">
        <v>0</v>
      </c>
      <c r="U185" s="1675"/>
      <c r="V185" s="2644">
        <v>1</v>
      </c>
      <c r="W185" s="2644" t="s">
        <v>3</v>
      </c>
      <c r="X185" s="1140" t="s">
        <v>3499</v>
      </c>
      <c r="Y185" s="1142">
        <f t="shared" si="43"/>
        <v>2550</v>
      </c>
      <c r="Z185" s="1128">
        <f t="shared" ref="Z185" si="47">+S185*V185</f>
        <v>2550000</v>
      </c>
      <c r="AA185" s="907">
        <f t="shared" si="37"/>
        <v>2550000000</v>
      </c>
      <c r="AB185" s="505"/>
    </row>
    <row r="186" spans="1:29" ht="22.5" customHeight="1">
      <c r="A186" s="2627"/>
      <c r="B186" s="1145"/>
      <c r="C186" s="1126"/>
      <c r="D186" s="1148"/>
      <c r="E186" s="1134" t="s">
        <v>55</v>
      </c>
      <c r="F186" s="1141">
        <f>+Y186</f>
        <v>500</v>
      </c>
      <c r="G186" s="1139">
        <v>500</v>
      </c>
      <c r="H186" s="559"/>
      <c r="I186" s="1127"/>
      <c r="J186" s="2643" t="s">
        <v>113</v>
      </c>
      <c r="K186" s="2624"/>
      <c r="L186" s="2624"/>
      <c r="M186" s="2624"/>
      <c r="N186" s="2624"/>
      <c r="O186" s="2624"/>
      <c r="P186" s="1675"/>
      <c r="Q186" s="2644">
        <v>10</v>
      </c>
      <c r="R186" s="2630" t="s">
        <v>3517</v>
      </c>
      <c r="S186" s="2644">
        <v>10000</v>
      </c>
      <c r="T186" s="2644" t="s">
        <v>0</v>
      </c>
      <c r="U186" s="1675"/>
      <c r="V186" s="2644">
        <v>5</v>
      </c>
      <c r="W186" s="2644" t="s">
        <v>3</v>
      </c>
      <c r="X186" s="1140" t="s">
        <v>3499</v>
      </c>
      <c r="Y186" s="1142">
        <f t="shared" si="43"/>
        <v>500</v>
      </c>
      <c r="Z186" s="1128">
        <f>S186*V186*Q186</f>
        <v>500000</v>
      </c>
      <c r="AA186" s="907">
        <f t="shared" si="37"/>
        <v>500000000</v>
      </c>
      <c r="AB186" s="505"/>
      <c r="AC186" s="370"/>
    </row>
    <row r="187" spans="1:29" ht="22.5" customHeight="1">
      <c r="A187" s="2627"/>
      <c r="B187" s="1145"/>
      <c r="C187" s="1126"/>
      <c r="D187" s="3275" t="s">
        <v>3518</v>
      </c>
      <c r="E187" s="3276"/>
      <c r="F187" s="499">
        <f>SUM(F188:F213)</f>
        <v>100000</v>
      </c>
      <c r="G187" s="499">
        <f>SUM(G188:G213)</f>
        <v>100000</v>
      </c>
      <c r="H187" s="361">
        <f>F187-G187</f>
        <v>0</v>
      </c>
      <c r="I187" s="1127"/>
      <c r="J187" s="501"/>
      <c r="K187" s="2635"/>
      <c r="L187" s="2635"/>
      <c r="M187" s="2635"/>
      <c r="N187" s="2635"/>
      <c r="O187" s="2635"/>
      <c r="P187" s="484"/>
      <c r="Q187" s="2635"/>
      <c r="R187" s="1146"/>
      <c r="S187" s="484"/>
      <c r="T187" s="2635"/>
      <c r="U187" s="2635"/>
      <c r="V187" s="484"/>
      <c r="W187" s="2635"/>
      <c r="X187" s="502"/>
      <c r="Y187" s="503"/>
      <c r="Z187" s="2341" t="e">
        <f>#REF!+Z188+#REF!+Z192+#REF!+#REF!+Z195+#REF!+Z194+Z213+#REF!</f>
        <v>#REF!</v>
      </c>
      <c r="AA187" s="907">
        <f t="shared" si="37"/>
        <v>100000000000</v>
      </c>
      <c r="AB187" s="505"/>
    </row>
    <row r="188" spans="1:29" ht="22.5" customHeight="1">
      <c r="A188" s="2627"/>
      <c r="B188" s="1145"/>
      <c r="C188" s="1126"/>
      <c r="D188" s="1148"/>
      <c r="E188" s="1134" t="s">
        <v>3519</v>
      </c>
      <c r="F188" s="1141">
        <f>+Y188</f>
        <v>7500</v>
      </c>
      <c r="G188" s="1139">
        <v>7500</v>
      </c>
      <c r="H188" s="404"/>
      <c r="I188" s="1127"/>
      <c r="J188" s="2643" t="s">
        <v>3520</v>
      </c>
      <c r="K188" s="2624"/>
      <c r="L188" s="2624"/>
      <c r="M188" s="2624"/>
      <c r="N188" s="2624"/>
      <c r="O188" s="2624"/>
      <c r="P188" s="1675"/>
      <c r="Q188" s="2644">
        <v>1</v>
      </c>
      <c r="R188" s="2630" t="s">
        <v>23</v>
      </c>
      <c r="S188" s="2644">
        <v>2500000</v>
      </c>
      <c r="T188" s="2644" t="s">
        <v>0</v>
      </c>
      <c r="U188" s="1675"/>
      <c r="V188" s="2644">
        <v>3</v>
      </c>
      <c r="W188" s="2644" t="s">
        <v>3521</v>
      </c>
      <c r="X188" s="1140" t="s">
        <v>3499</v>
      </c>
      <c r="Y188" s="1142">
        <f t="shared" ref="Y188:Y191" si="48">+Z188/1000</f>
        <v>7500</v>
      </c>
      <c r="Z188" s="1128">
        <f>+S188*V188*Q188</f>
        <v>7500000</v>
      </c>
      <c r="AA188" s="907">
        <f t="shared" si="37"/>
        <v>7500000000</v>
      </c>
      <c r="AB188" s="505"/>
    </row>
    <row r="189" spans="1:29" ht="22.5" customHeight="1">
      <c r="A189" s="2892"/>
      <c r="B189" s="1145"/>
      <c r="C189" s="1126"/>
      <c r="D189" s="1148"/>
      <c r="E189" s="1134" t="s">
        <v>369</v>
      </c>
      <c r="F189" s="1141">
        <f t="shared" ref="F189" si="49">+Y189</f>
        <v>4000</v>
      </c>
      <c r="G189" s="1139">
        <v>4000</v>
      </c>
      <c r="H189" s="404"/>
      <c r="I189" s="1127"/>
      <c r="J189" s="2899" t="s">
        <v>3526</v>
      </c>
      <c r="K189" s="2889"/>
      <c r="L189" s="2889"/>
      <c r="M189" s="2889"/>
      <c r="N189" s="2889"/>
      <c r="O189" s="2889"/>
      <c r="P189" s="1675"/>
      <c r="Q189" s="2900"/>
      <c r="R189" s="2895"/>
      <c r="S189" s="2900">
        <v>2000000</v>
      </c>
      <c r="T189" s="2900" t="s">
        <v>0</v>
      </c>
      <c r="U189" s="1675"/>
      <c r="V189" s="2900">
        <v>2</v>
      </c>
      <c r="W189" s="2900" t="s">
        <v>265</v>
      </c>
      <c r="X189" s="1140"/>
      <c r="Y189" s="1142">
        <f t="shared" si="48"/>
        <v>4000</v>
      </c>
      <c r="Z189" s="1128">
        <f t="shared" ref="Z189" si="50">+S189*V189</f>
        <v>4000000</v>
      </c>
      <c r="AA189" s="907">
        <f t="shared" ref="AA189" si="51">F189*1000000</f>
        <v>4000000000</v>
      </c>
      <c r="AB189" s="505"/>
    </row>
    <row r="190" spans="1:29" ht="22.5" customHeight="1">
      <c r="A190" s="2627"/>
      <c r="B190" s="1145"/>
      <c r="C190" s="1126"/>
      <c r="D190" s="1148"/>
      <c r="E190" s="1134" t="s">
        <v>51</v>
      </c>
      <c r="F190" s="1141">
        <f>+Y190</f>
        <v>19000</v>
      </c>
      <c r="G190" s="1139">
        <v>19000</v>
      </c>
      <c r="H190" s="404"/>
      <c r="I190" s="1127"/>
      <c r="J190" s="2643" t="s">
        <v>8</v>
      </c>
      <c r="K190" s="2624"/>
      <c r="L190" s="2624"/>
      <c r="M190" s="2624"/>
      <c r="N190" s="2624"/>
      <c r="O190" s="2624"/>
      <c r="P190" s="1675"/>
      <c r="Q190" s="2644"/>
      <c r="R190" s="2630"/>
      <c r="S190" s="2644"/>
      <c r="T190" s="2644"/>
      <c r="U190" s="1675"/>
      <c r="V190" s="2644"/>
      <c r="W190" s="2644"/>
      <c r="X190" s="1140"/>
      <c r="Y190" s="1142">
        <f t="shared" si="48"/>
        <v>19000</v>
      </c>
      <c r="Z190" s="1128">
        <f>SUM(Z191:Z192)</f>
        <v>19000000</v>
      </c>
      <c r="AA190" s="907">
        <f t="shared" si="37"/>
        <v>19000000000</v>
      </c>
      <c r="AB190" s="505"/>
    </row>
    <row r="191" spans="1:29" ht="22.5" customHeight="1">
      <c r="A191" s="2627"/>
      <c r="B191" s="1145"/>
      <c r="C191" s="1126"/>
      <c r="D191" s="1148"/>
      <c r="E191" s="1134"/>
      <c r="F191" s="1141"/>
      <c r="G191" s="1139"/>
      <c r="H191" s="404"/>
      <c r="I191" s="1127"/>
      <c r="J191" s="2643" t="s">
        <v>3522</v>
      </c>
      <c r="K191" s="2624"/>
      <c r="L191" s="2624"/>
      <c r="M191" s="2624"/>
      <c r="N191" s="2624"/>
      <c r="O191" s="2624"/>
      <c r="P191" s="1675"/>
      <c r="Q191" s="2644"/>
      <c r="R191" s="2630"/>
      <c r="S191" s="2644">
        <v>10000</v>
      </c>
      <c r="T191" s="2644" t="s">
        <v>0</v>
      </c>
      <c r="U191" s="1675"/>
      <c r="V191" s="2644">
        <v>1000</v>
      </c>
      <c r="W191" s="2644" t="s">
        <v>3501</v>
      </c>
      <c r="X191" s="1387"/>
      <c r="Y191" s="1142">
        <f t="shared" si="48"/>
        <v>10000</v>
      </c>
      <c r="Z191" s="1128">
        <f>S191*V191</f>
        <v>10000000</v>
      </c>
      <c r="AA191" s="907">
        <f t="shared" si="37"/>
        <v>0</v>
      </c>
      <c r="AB191" s="505"/>
    </row>
    <row r="192" spans="1:29" ht="22.5" customHeight="1">
      <c r="A192" s="2627"/>
      <c r="B192" s="1145"/>
      <c r="C192" s="1126"/>
      <c r="D192" s="1148"/>
      <c r="E192" s="1134"/>
      <c r="F192" s="1141"/>
      <c r="G192" s="1139"/>
      <c r="H192" s="1147"/>
      <c r="I192" s="1127"/>
      <c r="J192" s="2643" t="s">
        <v>3502</v>
      </c>
      <c r="K192" s="2624"/>
      <c r="L192" s="2624"/>
      <c r="M192" s="2624"/>
      <c r="N192" s="2624"/>
      <c r="O192" s="2624"/>
      <c r="P192" s="1675"/>
      <c r="Q192" s="2644"/>
      <c r="R192" s="2630"/>
      <c r="S192" s="2644">
        <v>9000000</v>
      </c>
      <c r="T192" s="2644" t="s">
        <v>0</v>
      </c>
      <c r="U192" s="1675"/>
      <c r="V192" s="2644">
        <v>1</v>
      </c>
      <c r="W192" s="2644" t="s">
        <v>3</v>
      </c>
      <c r="X192" s="1140" t="s">
        <v>3499</v>
      </c>
      <c r="Y192" s="1142">
        <f>+Z192/1000</f>
        <v>9000</v>
      </c>
      <c r="Z192" s="1128">
        <f>S192*V192</f>
        <v>9000000</v>
      </c>
      <c r="AA192" s="907">
        <f t="shared" si="37"/>
        <v>0</v>
      </c>
      <c r="AB192" s="505"/>
    </row>
    <row r="193" spans="1:29" ht="22.5" customHeight="1">
      <c r="A193" s="2892"/>
      <c r="B193" s="1145"/>
      <c r="C193" s="1126"/>
      <c r="D193" s="1148"/>
      <c r="E193" s="1134" t="s">
        <v>590</v>
      </c>
      <c r="F193" s="1141">
        <f t="shared" ref="F193" si="52">+Y193</f>
        <v>2000</v>
      </c>
      <c r="G193" s="1139">
        <v>2000</v>
      </c>
      <c r="H193" s="404"/>
      <c r="I193" s="1127"/>
      <c r="J193" s="2899" t="s">
        <v>3237</v>
      </c>
      <c r="K193" s="2889"/>
      <c r="L193" s="2889"/>
      <c r="M193" s="2889"/>
      <c r="N193" s="2889"/>
      <c r="O193" s="2889"/>
      <c r="P193" s="1675"/>
      <c r="Q193" s="2900"/>
      <c r="R193" s="2895"/>
      <c r="S193" s="2900">
        <v>2000000</v>
      </c>
      <c r="T193" s="2900" t="s">
        <v>0</v>
      </c>
      <c r="U193" s="1675"/>
      <c r="V193" s="2900">
        <v>1</v>
      </c>
      <c r="W193" s="2900" t="s">
        <v>196</v>
      </c>
      <c r="X193" s="1140"/>
      <c r="Y193" s="1142">
        <f t="shared" ref="Y193" si="53">+Z193/1000</f>
        <v>2000</v>
      </c>
      <c r="Z193" s="1128">
        <f t="shared" ref="Z193" si="54">+S193*V193</f>
        <v>2000000</v>
      </c>
      <c r="AA193" s="907">
        <f t="shared" ref="AA193" si="55">F193*1000000</f>
        <v>2000000000</v>
      </c>
      <c r="AB193" s="505"/>
    </row>
    <row r="194" spans="1:29" ht="22.5" customHeight="1">
      <c r="A194" s="2627"/>
      <c r="B194" s="1145"/>
      <c r="C194" s="1126"/>
      <c r="D194" s="466"/>
      <c r="E194" s="1134" t="s">
        <v>73</v>
      </c>
      <c r="F194" s="1141">
        <f>+Y194</f>
        <v>5800</v>
      </c>
      <c r="G194" s="1139">
        <v>5800</v>
      </c>
      <c r="H194" s="404"/>
      <c r="I194" s="1127"/>
      <c r="J194" s="2899" t="s">
        <v>8</v>
      </c>
      <c r="K194" s="2889"/>
      <c r="L194" s="2889"/>
      <c r="M194" s="2889"/>
      <c r="N194" s="2889"/>
      <c r="O194" s="2889"/>
      <c r="P194" s="1675"/>
      <c r="Q194" s="2900"/>
      <c r="R194" s="2895"/>
      <c r="S194" s="2900"/>
      <c r="T194" s="2900"/>
      <c r="U194" s="1675"/>
      <c r="V194" s="2900"/>
      <c r="W194" s="2900"/>
      <c r="X194" s="1140"/>
      <c r="Y194" s="1142">
        <f t="shared" ref="Y194:Y213" si="56">+Z194/1000</f>
        <v>5800</v>
      </c>
      <c r="Z194" s="1128">
        <f>+Z195+Z196</f>
        <v>5800000</v>
      </c>
      <c r="AA194" s="907">
        <f t="shared" si="37"/>
        <v>5800000000</v>
      </c>
      <c r="AB194" s="505"/>
    </row>
    <row r="195" spans="1:29" ht="22.5" customHeight="1">
      <c r="A195" s="2627"/>
      <c r="B195" s="1145"/>
      <c r="C195" s="1126"/>
      <c r="D195" s="1148"/>
      <c r="E195" s="1134"/>
      <c r="F195" s="1141"/>
      <c r="G195" s="1139"/>
      <c r="H195" s="1147"/>
      <c r="I195" s="1127"/>
      <c r="J195" s="2643" t="s">
        <v>3523</v>
      </c>
      <c r="K195" s="2624"/>
      <c r="L195" s="2624"/>
      <c r="M195" s="2624"/>
      <c r="N195" s="2624"/>
      <c r="O195" s="2624"/>
      <c r="P195" s="1675"/>
      <c r="Q195" s="2644"/>
      <c r="R195" s="2630"/>
      <c r="S195" s="2644">
        <v>1000000</v>
      </c>
      <c r="T195" s="2644" t="s">
        <v>0</v>
      </c>
      <c r="U195" s="1675"/>
      <c r="V195" s="2644">
        <v>1</v>
      </c>
      <c r="W195" s="2644" t="s">
        <v>3</v>
      </c>
      <c r="X195" s="1140" t="s">
        <v>3499</v>
      </c>
      <c r="Y195" s="1142">
        <f t="shared" si="56"/>
        <v>1000</v>
      </c>
      <c r="Z195" s="1128">
        <f>S195*V195</f>
        <v>1000000</v>
      </c>
      <c r="AA195" s="907">
        <f t="shared" si="37"/>
        <v>0</v>
      </c>
      <c r="AB195" s="505"/>
    </row>
    <row r="196" spans="1:29" ht="22.5" customHeight="1">
      <c r="A196" s="2627"/>
      <c r="B196" s="1145"/>
      <c r="C196" s="1126"/>
      <c r="D196" s="1148"/>
      <c r="E196" s="1134"/>
      <c r="F196" s="1141"/>
      <c r="G196" s="1139"/>
      <c r="H196" s="1147"/>
      <c r="I196" s="1127"/>
      <c r="J196" s="2643" t="s">
        <v>3524</v>
      </c>
      <c r="K196" s="2624"/>
      <c r="L196" s="2624"/>
      <c r="M196" s="2624"/>
      <c r="N196" s="2624"/>
      <c r="O196" s="2624"/>
      <c r="P196" s="1675"/>
      <c r="Q196" s="2644">
        <v>100</v>
      </c>
      <c r="R196" s="2630" t="s">
        <v>23</v>
      </c>
      <c r="S196" s="2644">
        <v>960</v>
      </c>
      <c r="T196" s="2644" t="s">
        <v>0</v>
      </c>
      <c r="U196" s="1675"/>
      <c r="V196" s="2644">
        <v>50</v>
      </c>
      <c r="W196" s="2644" t="s">
        <v>3</v>
      </c>
      <c r="X196" s="1140" t="s">
        <v>3499</v>
      </c>
      <c r="Y196" s="1142">
        <f>+Z196/1000</f>
        <v>4800</v>
      </c>
      <c r="Z196" s="1128">
        <f>S196*V196*Q196</f>
        <v>4800000</v>
      </c>
      <c r="AA196" s="907">
        <f t="shared" si="37"/>
        <v>0</v>
      </c>
      <c r="AB196" s="505"/>
    </row>
    <row r="197" spans="1:29" ht="22.5" customHeight="1">
      <c r="A197" s="2892"/>
      <c r="B197" s="1145"/>
      <c r="C197" s="1126"/>
      <c r="D197" s="1148"/>
      <c r="E197" s="1134" t="s">
        <v>426</v>
      </c>
      <c r="F197" s="1141">
        <f t="shared" ref="F197" si="57">+Y197</f>
        <v>600</v>
      </c>
      <c r="G197" s="1139">
        <v>600</v>
      </c>
      <c r="H197" s="404"/>
      <c r="I197" s="1127"/>
      <c r="J197" s="2899" t="s">
        <v>3537</v>
      </c>
      <c r="K197" s="2889"/>
      <c r="L197" s="2889"/>
      <c r="M197" s="2889"/>
      <c r="N197" s="2889"/>
      <c r="O197" s="2889"/>
      <c r="P197" s="1675"/>
      <c r="Q197" s="2900">
        <v>2</v>
      </c>
      <c r="R197" s="2895" t="s">
        <v>33</v>
      </c>
      <c r="S197" s="2900">
        <v>30000</v>
      </c>
      <c r="T197" s="2900" t="s">
        <v>264</v>
      </c>
      <c r="U197" s="1675"/>
      <c r="V197" s="2900">
        <v>10</v>
      </c>
      <c r="W197" s="2900" t="s">
        <v>203</v>
      </c>
      <c r="X197" s="1140" t="s">
        <v>266</v>
      </c>
      <c r="Y197" s="1142">
        <f t="shared" ref="Y197" si="58">+Z197/1000</f>
        <v>600</v>
      </c>
      <c r="Z197" s="2341">
        <f>Q197*S197*V197</f>
        <v>600000</v>
      </c>
      <c r="AA197" s="907">
        <f t="shared" si="37"/>
        <v>600000000</v>
      </c>
      <c r="AB197" s="505"/>
      <c r="AC197" s="370"/>
    </row>
    <row r="198" spans="1:29" ht="22.5" customHeight="1">
      <c r="A198" s="2892"/>
      <c r="B198" s="1145"/>
      <c r="C198" s="1126"/>
      <c r="D198" s="1148"/>
      <c r="E198" s="1134" t="s">
        <v>52</v>
      </c>
      <c r="F198" s="1141">
        <f>+Y198</f>
        <v>16100</v>
      </c>
      <c r="G198" s="1139">
        <v>16100</v>
      </c>
      <c r="H198" s="404"/>
      <c r="I198" s="1127"/>
      <c r="J198" s="2899" t="s">
        <v>8</v>
      </c>
      <c r="K198" s="2889"/>
      <c r="L198" s="2889"/>
      <c r="M198" s="2889"/>
      <c r="N198" s="2889"/>
      <c r="O198" s="2889"/>
      <c r="P198" s="1675"/>
      <c r="Q198" s="2900"/>
      <c r="R198" s="2895"/>
      <c r="S198" s="2900"/>
      <c r="T198" s="2900"/>
      <c r="U198" s="1675"/>
      <c r="V198" s="2900"/>
      <c r="W198" s="2900"/>
      <c r="X198" s="1387"/>
      <c r="Y198" s="1142">
        <f t="shared" ref="Y198:Y204" si="59">+Z198/1000</f>
        <v>16100</v>
      </c>
      <c r="Z198" s="1128">
        <f>SUM(Z199:Z204)</f>
        <v>16100000</v>
      </c>
      <c r="AA198" s="907">
        <f t="shared" ref="AA198:AA204" si="60">F198*1000000</f>
        <v>16100000000</v>
      </c>
      <c r="AB198" s="505"/>
    </row>
    <row r="199" spans="1:29" ht="22.5" customHeight="1">
      <c r="A199" s="2892"/>
      <c r="B199" s="1145"/>
      <c r="C199" s="1126"/>
      <c r="D199" s="1148"/>
      <c r="E199" s="465"/>
      <c r="F199" s="1141"/>
      <c r="G199" s="1139"/>
      <c r="H199" s="1147"/>
      <c r="I199" s="1127"/>
      <c r="J199" s="2888" t="s">
        <v>3529</v>
      </c>
      <c r="K199" s="2889"/>
      <c r="L199" s="2889"/>
      <c r="M199" s="2889"/>
      <c r="N199" s="2889"/>
      <c r="O199" s="2889"/>
      <c r="P199" s="1675"/>
      <c r="Q199" s="1671">
        <v>2</v>
      </c>
      <c r="R199" s="2895" t="s">
        <v>23</v>
      </c>
      <c r="S199" s="2900">
        <v>200000</v>
      </c>
      <c r="T199" s="2900" t="s">
        <v>0</v>
      </c>
      <c r="U199" s="1675"/>
      <c r="V199" s="2900">
        <v>5</v>
      </c>
      <c r="W199" s="2900" t="s">
        <v>265</v>
      </c>
      <c r="X199" s="1140" t="s">
        <v>266</v>
      </c>
      <c r="Y199" s="1142">
        <f t="shared" si="59"/>
        <v>2000</v>
      </c>
      <c r="Z199" s="1128">
        <f>S199*V199*Q199</f>
        <v>2000000</v>
      </c>
      <c r="AA199" s="907">
        <f t="shared" si="60"/>
        <v>0</v>
      </c>
      <c r="AB199" s="505"/>
    </row>
    <row r="200" spans="1:29" ht="22.5" customHeight="1">
      <c r="A200" s="2892"/>
      <c r="B200" s="1145"/>
      <c r="C200" s="1126"/>
      <c r="D200" s="1148"/>
      <c r="E200" s="1134"/>
      <c r="F200" s="1141"/>
      <c r="G200" s="1139"/>
      <c r="H200" s="1147"/>
      <c r="I200" s="1127"/>
      <c r="J200" s="2899" t="s">
        <v>3530</v>
      </c>
      <c r="K200" s="2889"/>
      <c r="L200" s="2889"/>
      <c r="M200" s="2889"/>
      <c r="N200" s="2889"/>
      <c r="O200" s="2889"/>
      <c r="P200" s="1675"/>
      <c r="Q200" s="1671">
        <v>2</v>
      </c>
      <c r="R200" s="2895" t="s">
        <v>23</v>
      </c>
      <c r="S200" s="1672">
        <v>65000</v>
      </c>
      <c r="T200" s="1671" t="s">
        <v>0</v>
      </c>
      <c r="U200" s="1671"/>
      <c r="V200" s="1671">
        <v>50</v>
      </c>
      <c r="W200" s="1671" t="s">
        <v>265</v>
      </c>
      <c r="X200" s="1140" t="s">
        <v>266</v>
      </c>
      <c r="Y200" s="1142">
        <f t="shared" si="59"/>
        <v>6500</v>
      </c>
      <c r="Z200" s="1128">
        <f>+S200*V200*Q200</f>
        <v>6500000</v>
      </c>
      <c r="AA200" s="907">
        <f t="shared" si="60"/>
        <v>0</v>
      </c>
      <c r="AB200" s="505"/>
    </row>
    <row r="201" spans="1:29" ht="22.5" customHeight="1">
      <c r="A201" s="2892"/>
      <c r="B201" s="1145"/>
      <c r="C201" s="1126"/>
      <c r="D201" s="1148"/>
      <c r="E201" s="1134"/>
      <c r="F201" s="1141"/>
      <c r="G201" s="1139"/>
      <c r="H201" s="1147"/>
      <c r="I201" s="1127"/>
      <c r="J201" s="2899" t="s">
        <v>3531</v>
      </c>
      <c r="K201" s="2889"/>
      <c r="L201" s="2889"/>
      <c r="M201" s="2889"/>
      <c r="N201" s="2889"/>
      <c r="O201" s="2889"/>
      <c r="P201" s="1675"/>
      <c r="Q201" s="1671"/>
      <c r="R201" s="2895"/>
      <c r="S201" s="2900">
        <v>4000000</v>
      </c>
      <c r="T201" s="2900" t="s">
        <v>0</v>
      </c>
      <c r="U201" s="1675"/>
      <c r="V201" s="2900">
        <v>1</v>
      </c>
      <c r="W201" s="2900" t="s">
        <v>196</v>
      </c>
      <c r="X201" s="1140" t="s">
        <v>266</v>
      </c>
      <c r="Y201" s="1142">
        <f t="shared" si="59"/>
        <v>4000</v>
      </c>
      <c r="Z201" s="1128">
        <f>S201*V201</f>
        <v>4000000</v>
      </c>
      <c r="AA201" s="907">
        <f t="shared" si="60"/>
        <v>0</v>
      </c>
      <c r="AB201" s="505"/>
    </row>
    <row r="202" spans="1:29" ht="22.5" customHeight="1">
      <c r="A202" s="2892"/>
      <c r="B202" s="1145"/>
      <c r="C202" s="1126"/>
      <c r="D202" s="1148"/>
      <c r="E202" s="465"/>
      <c r="F202" s="1805"/>
      <c r="G202" s="1139"/>
      <c r="H202" s="404"/>
      <c r="I202" s="1127"/>
      <c r="J202" s="2888" t="s">
        <v>3532</v>
      </c>
      <c r="K202" s="2889"/>
      <c r="L202" s="2889"/>
      <c r="M202" s="2889"/>
      <c r="N202" s="2889"/>
      <c r="O202" s="2889"/>
      <c r="P202" s="1675"/>
      <c r="Q202" s="1671"/>
      <c r="R202" s="2895"/>
      <c r="S202" s="2900">
        <v>500000</v>
      </c>
      <c r="T202" s="2900" t="s">
        <v>0</v>
      </c>
      <c r="U202" s="1675"/>
      <c r="V202" s="2900">
        <v>2</v>
      </c>
      <c r="W202" s="2900" t="s">
        <v>220</v>
      </c>
      <c r="X202" s="1140" t="s">
        <v>266</v>
      </c>
      <c r="Y202" s="1142">
        <f t="shared" si="59"/>
        <v>1000</v>
      </c>
      <c r="Z202" s="1128">
        <f>S202*V202</f>
        <v>1000000</v>
      </c>
      <c r="AA202" s="907">
        <f t="shared" si="60"/>
        <v>0</v>
      </c>
      <c r="AB202" s="505"/>
    </row>
    <row r="203" spans="1:29" ht="22.5" customHeight="1">
      <c r="A203" s="2892"/>
      <c r="B203" s="1145"/>
      <c r="C203" s="1126"/>
      <c r="D203" s="1148"/>
      <c r="E203" s="1134"/>
      <c r="F203" s="1141"/>
      <c r="G203" s="1139"/>
      <c r="H203" s="404"/>
      <c r="I203" s="1127"/>
      <c r="J203" s="2899" t="s">
        <v>3533</v>
      </c>
      <c r="K203" s="2889"/>
      <c r="L203" s="2889"/>
      <c r="M203" s="2889"/>
      <c r="N203" s="2889"/>
      <c r="O203" s="2889"/>
      <c r="P203" s="1675"/>
      <c r="Q203" s="1671"/>
      <c r="R203" s="2895"/>
      <c r="S203" s="1672">
        <v>10000</v>
      </c>
      <c r="T203" s="1671" t="s">
        <v>0</v>
      </c>
      <c r="U203" s="1671"/>
      <c r="V203" s="1671">
        <v>110</v>
      </c>
      <c r="W203" s="1671" t="s">
        <v>363</v>
      </c>
      <c r="X203" s="1140" t="s">
        <v>266</v>
      </c>
      <c r="Y203" s="1142">
        <f t="shared" si="59"/>
        <v>1100</v>
      </c>
      <c r="Z203" s="1128">
        <f t="shared" ref="Z203" si="61">+S203*V203</f>
        <v>1100000</v>
      </c>
      <c r="AA203" s="907">
        <f t="shared" si="60"/>
        <v>0</v>
      </c>
      <c r="AB203" s="505"/>
    </row>
    <row r="204" spans="1:29" ht="22.5" customHeight="1">
      <c r="A204" s="2892"/>
      <c r="B204" s="1145"/>
      <c r="C204" s="1126"/>
      <c r="D204" s="1148"/>
      <c r="E204" s="1134"/>
      <c r="F204" s="1141"/>
      <c r="G204" s="1139"/>
      <c r="H204" s="404"/>
      <c r="I204" s="1127"/>
      <c r="J204" s="2899" t="s">
        <v>3534</v>
      </c>
      <c r="K204" s="2889"/>
      <c r="L204" s="2889"/>
      <c r="M204" s="2889"/>
      <c r="N204" s="2889"/>
      <c r="O204" s="2889"/>
      <c r="P204" s="1675"/>
      <c r="Q204" s="1671"/>
      <c r="R204" s="2895"/>
      <c r="S204" s="2900">
        <v>300000</v>
      </c>
      <c r="T204" s="2900" t="s">
        <v>0</v>
      </c>
      <c r="U204" s="1675"/>
      <c r="V204" s="2900">
        <v>5</v>
      </c>
      <c r="W204" s="2900" t="s">
        <v>220</v>
      </c>
      <c r="X204" s="1140" t="s">
        <v>266</v>
      </c>
      <c r="Y204" s="1142">
        <f t="shared" si="59"/>
        <v>1500</v>
      </c>
      <c r="Z204" s="1128">
        <f>S204*V204</f>
        <v>1500000</v>
      </c>
      <c r="AA204" s="907">
        <f t="shared" si="60"/>
        <v>0</v>
      </c>
      <c r="AB204" s="505"/>
    </row>
    <row r="205" spans="1:29" ht="22.5" customHeight="1">
      <c r="A205" s="2627"/>
      <c r="B205" s="1145"/>
      <c r="C205" s="1126"/>
      <c r="D205" s="1148"/>
      <c r="E205" s="1134" t="s">
        <v>65</v>
      </c>
      <c r="F205" s="1141">
        <f t="shared" ref="F205" si="62">+Y205</f>
        <v>40000</v>
      </c>
      <c r="G205" s="1139">
        <v>40000</v>
      </c>
      <c r="H205" s="404"/>
      <c r="I205" s="1127"/>
      <c r="J205" s="2643" t="s">
        <v>8</v>
      </c>
      <c r="K205" s="2624"/>
      <c r="L205" s="2624"/>
      <c r="M205" s="2624"/>
      <c r="N205" s="506"/>
      <c r="O205" s="1671"/>
      <c r="P205" s="1675"/>
      <c r="Q205" s="2644"/>
      <c r="R205" s="2630"/>
      <c r="S205" s="2644"/>
      <c r="T205" s="2644"/>
      <c r="U205" s="1675"/>
      <c r="V205" s="2644"/>
      <c r="W205" s="2644"/>
      <c r="X205" s="1140"/>
      <c r="Y205" s="1142">
        <f t="shared" si="56"/>
        <v>40000</v>
      </c>
      <c r="Z205" s="1128">
        <f>SUM(Z206:Z210)</f>
        <v>40000000</v>
      </c>
      <c r="AA205" s="907">
        <f t="shared" si="37"/>
        <v>40000000000</v>
      </c>
      <c r="AB205" s="505"/>
    </row>
    <row r="206" spans="1:29" ht="22.5" customHeight="1">
      <c r="A206" s="2627"/>
      <c r="B206" s="1145"/>
      <c r="C206" s="1126"/>
      <c r="D206" s="1148"/>
      <c r="E206" s="465"/>
      <c r="F206" s="1141"/>
      <c r="G206" s="1139"/>
      <c r="H206" s="1147"/>
      <c r="I206" s="1127"/>
      <c r="J206" s="2623" t="s">
        <v>3511</v>
      </c>
      <c r="K206" s="2624"/>
      <c r="L206" s="2624"/>
      <c r="M206" s="2624"/>
      <c r="N206" s="2624"/>
      <c r="O206" s="1673" t="s">
        <v>3512</v>
      </c>
      <c r="P206" s="1675" t="s">
        <v>3512</v>
      </c>
      <c r="Q206" s="1671"/>
      <c r="R206" s="1675"/>
      <c r="S206" s="2644">
        <v>13000000</v>
      </c>
      <c r="T206" s="2644" t="s">
        <v>0</v>
      </c>
      <c r="U206" s="1675"/>
      <c r="V206" s="2644">
        <v>1</v>
      </c>
      <c r="W206" s="2644" t="s">
        <v>3</v>
      </c>
      <c r="X206" s="397" t="s">
        <v>3499</v>
      </c>
      <c r="Y206" s="1142">
        <f t="shared" si="56"/>
        <v>13000</v>
      </c>
      <c r="Z206" s="1128">
        <f>S206*V206</f>
        <v>13000000</v>
      </c>
      <c r="AA206" s="907">
        <f t="shared" si="37"/>
        <v>0</v>
      </c>
      <c r="AB206" s="505"/>
    </row>
    <row r="207" spans="1:29" ht="22.5" customHeight="1">
      <c r="A207" s="2627"/>
      <c r="B207" s="1145"/>
      <c r="C207" s="1126"/>
      <c r="D207" s="1148"/>
      <c r="E207" s="1134"/>
      <c r="F207" s="1141"/>
      <c r="G207" s="1139"/>
      <c r="H207" s="1147"/>
      <c r="I207" s="1127"/>
      <c r="J207" s="2643" t="s">
        <v>3513</v>
      </c>
      <c r="K207" s="2624"/>
      <c r="L207" s="2624"/>
      <c r="M207" s="2624"/>
      <c r="N207" s="2624"/>
      <c r="O207" s="1673" t="s">
        <v>3512</v>
      </c>
      <c r="P207" s="1675" t="s">
        <v>3512</v>
      </c>
      <c r="Q207" s="1671"/>
      <c r="R207" s="1675"/>
      <c r="S207" s="1672">
        <v>7000000</v>
      </c>
      <c r="T207" s="1671" t="s">
        <v>0</v>
      </c>
      <c r="U207" s="1671"/>
      <c r="V207" s="1671">
        <v>1</v>
      </c>
      <c r="W207" s="1671" t="s">
        <v>3</v>
      </c>
      <c r="X207" s="1140" t="s">
        <v>3499</v>
      </c>
      <c r="Y207" s="1142">
        <f t="shared" si="56"/>
        <v>7000</v>
      </c>
      <c r="Z207" s="1128">
        <f t="shared" ref="Z207:Z212" si="63">+S207*V207</f>
        <v>7000000</v>
      </c>
      <c r="AA207" s="907">
        <f t="shared" si="37"/>
        <v>0</v>
      </c>
      <c r="AB207" s="505"/>
    </row>
    <row r="208" spans="1:29" ht="22.5" customHeight="1">
      <c r="A208" s="2627"/>
      <c r="B208" s="1145"/>
      <c r="C208" s="1126"/>
      <c r="D208" s="1148"/>
      <c r="E208" s="1134"/>
      <c r="F208" s="1141"/>
      <c r="G208" s="1139"/>
      <c r="H208" s="1147"/>
      <c r="I208" s="1127"/>
      <c r="J208" s="2643" t="s">
        <v>3514</v>
      </c>
      <c r="K208" s="2624"/>
      <c r="L208" s="2624"/>
      <c r="M208" s="2624"/>
      <c r="N208" s="2624"/>
      <c r="O208" s="1673" t="s">
        <v>3512</v>
      </c>
      <c r="P208" s="1675" t="s">
        <v>3512</v>
      </c>
      <c r="Q208" s="1671"/>
      <c r="R208" s="1675"/>
      <c r="S208" s="1672">
        <v>12000000</v>
      </c>
      <c r="T208" s="1671" t="s">
        <v>0</v>
      </c>
      <c r="U208" s="1671"/>
      <c r="V208" s="1671">
        <v>1</v>
      </c>
      <c r="W208" s="1671" t="s">
        <v>3</v>
      </c>
      <c r="X208" s="1140" t="s">
        <v>3499</v>
      </c>
      <c r="Y208" s="1142">
        <f t="shared" si="56"/>
        <v>12000</v>
      </c>
      <c r="Z208" s="1128">
        <f t="shared" si="63"/>
        <v>12000000</v>
      </c>
      <c r="AA208" s="907">
        <f t="shared" si="37"/>
        <v>0</v>
      </c>
      <c r="AB208" s="505"/>
    </row>
    <row r="209" spans="1:29" ht="22.5" customHeight="1">
      <c r="A209" s="2627"/>
      <c r="B209" s="1145"/>
      <c r="C209" s="1126"/>
      <c r="D209" s="1148"/>
      <c r="E209" s="1134"/>
      <c r="F209" s="1141"/>
      <c r="G209" s="1139"/>
      <c r="H209" s="1147"/>
      <c r="I209" s="1127"/>
      <c r="J209" s="2643" t="s">
        <v>3515</v>
      </c>
      <c r="K209" s="2624"/>
      <c r="L209" s="2624"/>
      <c r="M209" s="2624"/>
      <c r="N209" s="2624"/>
      <c r="O209" s="1673" t="s">
        <v>3512</v>
      </c>
      <c r="P209" s="1675" t="s">
        <v>3512</v>
      </c>
      <c r="Q209" s="1671"/>
      <c r="R209" s="1675"/>
      <c r="S209" s="1672">
        <v>50000</v>
      </c>
      <c r="T209" s="1671" t="s">
        <v>0</v>
      </c>
      <c r="U209" s="1671"/>
      <c r="V209" s="1671">
        <v>60</v>
      </c>
      <c r="W209" s="1671" t="s">
        <v>3516</v>
      </c>
      <c r="X209" s="1140" t="s">
        <v>3499</v>
      </c>
      <c r="Y209" s="1142">
        <f t="shared" si="56"/>
        <v>3000</v>
      </c>
      <c r="Z209" s="1128">
        <f t="shared" si="63"/>
        <v>3000000</v>
      </c>
      <c r="AA209" s="907">
        <f t="shared" si="37"/>
        <v>0</v>
      </c>
      <c r="AB209" s="505"/>
    </row>
    <row r="210" spans="1:29" ht="22.5" customHeight="1">
      <c r="A210" s="2627"/>
      <c r="B210" s="1145"/>
      <c r="C210" s="1126"/>
      <c r="D210" s="1148"/>
      <c r="E210" s="1134"/>
      <c r="F210" s="1141"/>
      <c r="G210" s="1139"/>
      <c r="H210" s="1147"/>
      <c r="I210" s="1127"/>
      <c r="J210" s="2643" t="s">
        <v>3528</v>
      </c>
      <c r="K210" s="2624"/>
      <c r="L210" s="2624"/>
      <c r="M210" s="2624"/>
      <c r="N210" s="2624"/>
      <c r="O210" s="1673" t="s">
        <v>3512</v>
      </c>
      <c r="P210" s="1675" t="s">
        <v>3512</v>
      </c>
      <c r="Q210" s="1671"/>
      <c r="R210" s="1675"/>
      <c r="S210" s="1672">
        <v>5000000</v>
      </c>
      <c r="T210" s="1671" t="s">
        <v>0</v>
      </c>
      <c r="U210" s="1671"/>
      <c r="V210" s="1671">
        <v>1</v>
      </c>
      <c r="W210" s="1671" t="s">
        <v>3527</v>
      </c>
      <c r="X210" s="1140" t="s">
        <v>3499</v>
      </c>
      <c r="Y210" s="1142">
        <f t="shared" si="56"/>
        <v>5000</v>
      </c>
      <c r="Z210" s="1128">
        <f t="shared" si="63"/>
        <v>5000000</v>
      </c>
      <c r="AA210" s="907">
        <f t="shared" si="37"/>
        <v>0</v>
      </c>
      <c r="AB210" s="505"/>
    </row>
    <row r="211" spans="1:29" ht="22.5" customHeight="1">
      <c r="A211" s="2892"/>
      <c r="B211" s="1145"/>
      <c r="C211" s="1126"/>
      <c r="D211" s="1148"/>
      <c r="E211" s="1134" t="s">
        <v>297</v>
      </c>
      <c r="F211" s="1141">
        <f t="shared" ref="F211" si="64">+Y211</f>
        <v>1000</v>
      </c>
      <c r="G211" s="1139">
        <v>1000</v>
      </c>
      <c r="H211" s="404"/>
      <c r="I211" s="1127"/>
      <c r="J211" s="2899" t="s">
        <v>3504</v>
      </c>
      <c r="K211" s="2889"/>
      <c r="L211" s="2889"/>
      <c r="M211" s="2889"/>
      <c r="N211" s="2889"/>
      <c r="O211" s="2889"/>
      <c r="P211" s="1675"/>
      <c r="Q211" s="2900"/>
      <c r="R211" s="2895"/>
      <c r="S211" s="2900">
        <v>1000000</v>
      </c>
      <c r="T211" s="2900" t="s">
        <v>0</v>
      </c>
      <c r="U211" s="1675"/>
      <c r="V211" s="2900">
        <v>1</v>
      </c>
      <c r="W211" s="2900" t="s">
        <v>265</v>
      </c>
      <c r="X211" s="1140"/>
      <c r="Y211" s="1142">
        <f t="shared" ref="Y211" si="65">+Z211/1000</f>
        <v>1000</v>
      </c>
      <c r="Z211" s="1128">
        <f t="shared" si="63"/>
        <v>1000000</v>
      </c>
      <c r="AA211" s="907">
        <f t="shared" ref="AA211" si="66">F211*1000000</f>
        <v>1000000000</v>
      </c>
      <c r="AB211" s="505"/>
    </row>
    <row r="212" spans="1:29" ht="22.5" customHeight="1">
      <c r="A212" s="2627"/>
      <c r="B212" s="1145"/>
      <c r="C212" s="1126"/>
      <c r="D212" s="1148"/>
      <c r="E212" s="1134" t="s">
        <v>56</v>
      </c>
      <c r="F212" s="1141">
        <f>+Y212</f>
        <v>3000</v>
      </c>
      <c r="G212" s="1139">
        <v>3000</v>
      </c>
      <c r="H212" s="404"/>
      <c r="I212" s="1127"/>
      <c r="J212" s="2643" t="s">
        <v>3535</v>
      </c>
      <c r="K212" s="2624"/>
      <c r="L212" s="2624"/>
      <c r="M212" s="2624"/>
      <c r="N212" s="2624"/>
      <c r="O212" s="2624"/>
      <c r="P212" s="1675"/>
      <c r="Q212" s="2644"/>
      <c r="R212" s="2630"/>
      <c r="S212" s="2644">
        <v>3000000</v>
      </c>
      <c r="T212" s="2644" t="s">
        <v>0</v>
      </c>
      <c r="U212" s="1675"/>
      <c r="V212" s="2644">
        <v>1</v>
      </c>
      <c r="W212" s="2644" t="s">
        <v>3</v>
      </c>
      <c r="X212" s="1140" t="s">
        <v>3499</v>
      </c>
      <c r="Y212" s="1142">
        <f t="shared" si="56"/>
        <v>3000</v>
      </c>
      <c r="Z212" s="1128">
        <f t="shared" si="63"/>
        <v>3000000</v>
      </c>
      <c r="AA212" s="907">
        <f t="shared" si="37"/>
        <v>3000000000</v>
      </c>
      <c r="AB212" s="505"/>
    </row>
    <row r="213" spans="1:29" ht="22.5" customHeight="1">
      <c r="A213" s="2627"/>
      <c r="B213" s="1145"/>
      <c r="C213" s="1126"/>
      <c r="D213" s="1148"/>
      <c r="E213" s="1134" t="s">
        <v>55</v>
      </c>
      <c r="F213" s="1141">
        <f t="shared" ref="F213:F218" si="67">+Y213</f>
        <v>1000</v>
      </c>
      <c r="G213" s="1139">
        <v>1000</v>
      </c>
      <c r="H213" s="404"/>
      <c r="I213" s="1127"/>
      <c r="J213" s="2643" t="s">
        <v>3536</v>
      </c>
      <c r="K213" s="2624"/>
      <c r="L213" s="2624"/>
      <c r="M213" s="2624"/>
      <c r="N213" s="2624"/>
      <c r="O213" s="2624"/>
      <c r="P213" s="1675"/>
      <c r="Q213" s="2644">
        <v>10</v>
      </c>
      <c r="R213" s="2630" t="s">
        <v>3517</v>
      </c>
      <c r="S213" s="2644">
        <v>10000</v>
      </c>
      <c r="T213" s="2644" t="s">
        <v>0</v>
      </c>
      <c r="U213" s="1675"/>
      <c r="V213" s="2644">
        <v>10</v>
      </c>
      <c r="W213" s="2644" t="s">
        <v>3</v>
      </c>
      <c r="X213" s="1140" t="s">
        <v>3499</v>
      </c>
      <c r="Y213" s="1142">
        <f t="shared" si="56"/>
        <v>1000</v>
      </c>
      <c r="Z213" s="1128">
        <f>S213*V213*Q213</f>
        <v>1000000</v>
      </c>
      <c r="AA213" s="907">
        <f t="shared" si="37"/>
        <v>1000000000</v>
      </c>
      <c r="AB213" s="505"/>
    </row>
    <row r="214" spans="1:29" ht="22.5" customHeight="1">
      <c r="A214" s="2627"/>
      <c r="B214" s="1145"/>
      <c r="C214" s="1126"/>
      <c r="D214" s="3275" t="s">
        <v>3540</v>
      </c>
      <c r="E214" s="3276"/>
      <c r="F214" s="499">
        <f>SUM(F215:F220)</f>
        <v>30000</v>
      </c>
      <c r="G214" s="499">
        <f>SUM(G215:G220)</f>
        <v>30000</v>
      </c>
      <c r="H214" s="1132">
        <f t="shared" ref="H214" si="68">F214-G214</f>
        <v>0</v>
      </c>
      <c r="I214" s="1127"/>
      <c r="J214" s="1135"/>
      <c r="K214" s="2876"/>
      <c r="L214" s="2876"/>
      <c r="M214" s="2876"/>
      <c r="N214" s="2876"/>
      <c r="O214" s="2876"/>
      <c r="P214" s="1146"/>
      <c r="Q214" s="1136"/>
      <c r="R214" s="1137"/>
      <c r="S214" s="1136"/>
      <c r="T214" s="1136"/>
      <c r="U214" s="1146"/>
      <c r="V214" s="1136"/>
      <c r="W214" s="1136"/>
      <c r="X214" s="1138"/>
      <c r="Y214" s="1168"/>
      <c r="Z214" s="3012"/>
      <c r="AA214" s="907"/>
      <c r="AB214" s="505"/>
      <c r="AC214" s="370"/>
    </row>
    <row r="215" spans="1:29" ht="22.5" customHeight="1">
      <c r="A215" s="2892"/>
      <c r="B215" s="1145"/>
      <c r="C215" s="1126"/>
      <c r="D215" s="1131"/>
      <c r="E215" s="1134" t="s">
        <v>195</v>
      </c>
      <c r="F215" s="1141">
        <f t="shared" ref="F215" si="69">+Y215</f>
        <v>7800</v>
      </c>
      <c r="G215" s="1139">
        <v>7800</v>
      </c>
      <c r="H215" s="1147"/>
      <c r="I215" s="1127"/>
      <c r="J215" s="2899" t="s">
        <v>8</v>
      </c>
      <c r="K215" s="2889"/>
      <c r="L215" s="2889"/>
      <c r="M215" s="2889"/>
      <c r="N215" s="2889"/>
      <c r="O215" s="2889"/>
      <c r="P215" s="1675"/>
      <c r="Q215" s="1675"/>
      <c r="R215" s="2900"/>
      <c r="S215" s="2895"/>
      <c r="T215" s="2900"/>
      <c r="U215" s="2900"/>
      <c r="V215" s="2900"/>
      <c r="W215" s="2900"/>
      <c r="X215" s="1140"/>
      <c r="Y215" s="1142">
        <f>Y216+Y217</f>
        <v>7800</v>
      </c>
      <c r="Z215" s="2341"/>
      <c r="AA215" s="907"/>
      <c r="AB215" s="505"/>
      <c r="AC215" s="370"/>
    </row>
    <row r="216" spans="1:29" ht="22.5" customHeight="1">
      <c r="A216" s="2892"/>
      <c r="B216" s="1145"/>
      <c r="C216" s="1126"/>
      <c r="D216" s="1131"/>
      <c r="E216" s="1134"/>
      <c r="F216" s="1141"/>
      <c r="G216" s="1139"/>
      <c r="H216" s="1147"/>
      <c r="I216" s="1127"/>
      <c r="J216" s="2899" t="s">
        <v>5749</v>
      </c>
      <c r="K216" s="2889"/>
      <c r="L216" s="2889"/>
      <c r="M216" s="2889"/>
      <c r="N216" s="2889"/>
      <c r="O216" s="2889"/>
      <c r="P216" s="1675"/>
      <c r="Q216" s="2900">
        <v>3</v>
      </c>
      <c r="R216" s="2895" t="s">
        <v>23</v>
      </c>
      <c r="S216" s="2900">
        <v>2300000</v>
      </c>
      <c r="T216" s="2900" t="s">
        <v>0</v>
      </c>
      <c r="U216" s="1675"/>
      <c r="V216" s="2900">
        <v>1</v>
      </c>
      <c r="W216" s="1671" t="s">
        <v>3</v>
      </c>
      <c r="X216" s="1140" t="s">
        <v>266</v>
      </c>
      <c r="Y216" s="1142">
        <f>S216*V216*Q216/1000</f>
        <v>6900</v>
      </c>
      <c r="Z216" s="2341"/>
      <c r="AA216" s="907"/>
      <c r="AB216" s="505"/>
      <c r="AC216" s="370"/>
    </row>
    <row r="217" spans="1:29" ht="22.5" customHeight="1">
      <c r="A217" s="2892"/>
      <c r="B217" s="1145"/>
      <c r="C217" s="1126"/>
      <c r="D217" s="1144"/>
      <c r="E217" s="1134"/>
      <c r="F217" s="1141"/>
      <c r="G217" s="1139"/>
      <c r="H217" s="1147"/>
      <c r="I217" s="1127"/>
      <c r="J217" s="2899" t="s">
        <v>5750</v>
      </c>
      <c r="K217" s="2889"/>
      <c r="L217" s="2889"/>
      <c r="M217" s="2889"/>
      <c r="N217" s="2889"/>
      <c r="O217" s="2889"/>
      <c r="P217" s="1675"/>
      <c r="Q217" s="2900">
        <v>5</v>
      </c>
      <c r="R217" s="2895" t="s">
        <v>23</v>
      </c>
      <c r="S217" s="2900">
        <v>30000</v>
      </c>
      <c r="T217" s="2900" t="s">
        <v>0</v>
      </c>
      <c r="U217" s="1675"/>
      <c r="V217" s="2900">
        <v>6</v>
      </c>
      <c r="W217" s="1671" t="s">
        <v>3</v>
      </c>
      <c r="X217" s="1140" t="s">
        <v>266</v>
      </c>
      <c r="Y217" s="1142">
        <f t="shared" ref="Y217" si="70">S217*V217*Q217/1000</f>
        <v>900</v>
      </c>
      <c r="Z217" s="2341"/>
      <c r="AA217" s="907"/>
      <c r="AB217" s="505"/>
      <c r="AC217" s="370"/>
    </row>
    <row r="218" spans="1:29" ht="22.5" customHeight="1">
      <c r="A218" s="2627"/>
      <c r="B218" s="1145"/>
      <c r="C218" s="1126"/>
      <c r="D218" s="875"/>
      <c r="E218" s="1134" t="s">
        <v>52</v>
      </c>
      <c r="F218" s="1141">
        <f t="shared" si="67"/>
        <v>1600</v>
      </c>
      <c r="G218" s="1139">
        <v>1600</v>
      </c>
      <c r="H218" s="1147"/>
      <c r="I218" s="1127"/>
      <c r="J218" s="2643" t="s">
        <v>3543</v>
      </c>
      <c r="K218" s="2624"/>
      <c r="L218" s="2624"/>
      <c r="M218" s="2624"/>
      <c r="N218" s="2624"/>
      <c r="O218" s="2624"/>
      <c r="P218" s="1675"/>
      <c r="Q218" s="2644"/>
      <c r="R218" s="2630"/>
      <c r="S218" s="1672">
        <v>1600000</v>
      </c>
      <c r="T218" s="1671" t="s">
        <v>0</v>
      </c>
      <c r="U218" s="1671"/>
      <c r="V218" s="1671">
        <v>1</v>
      </c>
      <c r="W218" s="1671" t="s">
        <v>3505</v>
      </c>
      <c r="X218" s="1140" t="s">
        <v>3499</v>
      </c>
      <c r="Y218" s="1142">
        <f>S218*V218/1000</f>
        <v>1600</v>
      </c>
      <c r="Z218" s="2341"/>
      <c r="AA218" s="907"/>
      <c r="AB218" s="505"/>
      <c r="AC218" s="370"/>
    </row>
    <row r="219" spans="1:29" ht="22.5" customHeight="1">
      <c r="A219" s="2892"/>
      <c r="B219" s="1145"/>
      <c r="C219" s="1126"/>
      <c r="D219" s="875"/>
      <c r="E219" s="1134" t="s">
        <v>287</v>
      </c>
      <c r="F219" s="1141">
        <f t="shared" ref="F219" si="71">+Y219</f>
        <v>20000</v>
      </c>
      <c r="G219" s="1139">
        <v>20000</v>
      </c>
      <c r="H219" s="1147"/>
      <c r="I219" s="1127"/>
      <c r="J219" s="2899" t="s">
        <v>3542</v>
      </c>
      <c r="K219" s="2889"/>
      <c r="L219" s="2889"/>
      <c r="M219" s="2889"/>
      <c r="N219" s="2889"/>
      <c r="O219" s="2889"/>
      <c r="P219" s="1675"/>
      <c r="Q219" s="2900"/>
      <c r="R219" s="2895"/>
      <c r="S219" s="2900">
        <v>20000000</v>
      </c>
      <c r="T219" s="2900" t="s">
        <v>264</v>
      </c>
      <c r="U219" s="1675"/>
      <c r="V219" s="2900">
        <v>1</v>
      </c>
      <c r="W219" s="2900" t="s">
        <v>196</v>
      </c>
      <c r="X219" s="1140" t="s">
        <v>266</v>
      </c>
      <c r="Y219" s="1142">
        <f>S219*V219/1000</f>
        <v>20000</v>
      </c>
      <c r="Z219" s="2341"/>
      <c r="AA219" s="907"/>
      <c r="AB219" s="505"/>
      <c r="AC219" s="370"/>
    </row>
    <row r="220" spans="1:29" ht="22.5" customHeight="1">
      <c r="A220" s="2627"/>
      <c r="B220" s="1145"/>
      <c r="C220" s="1126"/>
      <c r="D220" s="466"/>
      <c r="E220" s="1134" t="s">
        <v>55</v>
      </c>
      <c r="F220" s="1141">
        <f>Y220</f>
        <v>600</v>
      </c>
      <c r="G220" s="1139">
        <v>600</v>
      </c>
      <c r="H220" s="1147"/>
      <c r="I220" s="1127"/>
      <c r="J220" s="2643" t="s">
        <v>113</v>
      </c>
      <c r="K220" s="2624"/>
      <c r="L220" s="2624"/>
      <c r="M220" s="2624"/>
      <c r="N220" s="2624"/>
      <c r="O220" s="2624"/>
      <c r="P220" s="1675"/>
      <c r="Q220" s="2644">
        <v>10</v>
      </c>
      <c r="R220" s="2630" t="s">
        <v>3517</v>
      </c>
      <c r="S220" s="2644">
        <v>10000</v>
      </c>
      <c r="T220" s="2644" t="s">
        <v>0</v>
      </c>
      <c r="U220" s="1675"/>
      <c r="V220" s="2644">
        <v>6</v>
      </c>
      <c r="W220" s="2644" t="s">
        <v>3</v>
      </c>
      <c r="X220" s="1140" t="s">
        <v>3499</v>
      </c>
      <c r="Y220" s="1142">
        <f t="shared" ref="Y220" si="72">S220*V220*Q220/1000</f>
        <v>600</v>
      </c>
      <c r="Z220" s="2341"/>
      <c r="AA220" s="907"/>
      <c r="AB220" s="505"/>
      <c r="AC220" s="370"/>
    </row>
    <row r="221" spans="1:29" ht="22.5" customHeight="1">
      <c r="A221" s="2627"/>
      <c r="B221" s="1145"/>
      <c r="C221" s="1126"/>
      <c r="D221" s="3275" t="s">
        <v>3545</v>
      </c>
      <c r="E221" s="3276"/>
      <c r="F221" s="499">
        <f>SUM(F222:F234)</f>
        <v>50000</v>
      </c>
      <c r="G221" s="499">
        <f>SUM(G222:G234)</f>
        <v>50000</v>
      </c>
      <c r="H221" s="1132">
        <f>F221-G221</f>
        <v>0</v>
      </c>
      <c r="I221" s="1127"/>
      <c r="J221" s="2670"/>
      <c r="K221" s="2618"/>
      <c r="L221" s="2618"/>
      <c r="M221" s="2618"/>
      <c r="N221" s="2618"/>
      <c r="O221" s="2618"/>
      <c r="P221" s="2618"/>
      <c r="Q221" s="485"/>
      <c r="R221" s="484"/>
      <c r="S221" s="520"/>
      <c r="T221" s="1364"/>
      <c r="U221" s="2635"/>
      <c r="V221" s="521"/>
      <c r="W221" s="1364"/>
      <c r="X221" s="375"/>
      <c r="Y221" s="377"/>
      <c r="Z221" s="1777"/>
      <c r="AA221" s="907"/>
      <c r="AB221" s="505"/>
      <c r="AC221" s="370"/>
    </row>
    <row r="222" spans="1:29" ht="22.5" customHeight="1">
      <c r="A222" s="2627"/>
      <c r="B222" s="1145"/>
      <c r="C222" s="1126"/>
      <c r="D222" s="367"/>
      <c r="E222" s="389" t="s">
        <v>3519</v>
      </c>
      <c r="F222" s="1141">
        <f>Y222</f>
        <v>12500</v>
      </c>
      <c r="G222" s="1139">
        <v>12500</v>
      </c>
      <c r="H222" s="1147"/>
      <c r="I222" s="1127"/>
      <c r="J222" s="2643" t="s">
        <v>3546</v>
      </c>
      <c r="K222" s="2624"/>
      <c r="L222" s="2624"/>
      <c r="M222" s="2624"/>
      <c r="N222" s="2624"/>
      <c r="O222" s="2624"/>
      <c r="P222" s="1675"/>
      <c r="Q222" s="2644">
        <v>1</v>
      </c>
      <c r="R222" s="2630" t="s">
        <v>3517</v>
      </c>
      <c r="S222" s="2644">
        <v>2500000</v>
      </c>
      <c r="T222" s="2644" t="s">
        <v>3538</v>
      </c>
      <c r="U222" s="1675"/>
      <c r="V222" s="2644">
        <v>5</v>
      </c>
      <c r="W222" s="1671" t="s">
        <v>3547</v>
      </c>
      <c r="X222" s="397" t="s">
        <v>3499</v>
      </c>
      <c r="Y222" s="1142">
        <f t="shared" ref="Y222:Y224" si="73">+Z222/1000</f>
        <v>12500</v>
      </c>
      <c r="Z222" s="1128">
        <f>+V222*S222*Q222</f>
        <v>12500000</v>
      </c>
      <c r="AA222" s="907">
        <f t="shared" ref="AA222:AA228" si="74">F222*1000000</f>
        <v>12500000000</v>
      </c>
      <c r="AB222" s="505"/>
      <c r="AC222" s="370"/>
    </row>
    <row r="223" spans="1:29" ht="22.5" customHeight="1">
      <c r="A223" s="2627"/>
      <c r="B223" s="1145"/>
      <c r="C223" s="1126"/>
      <c r="D223" s="1131"/>
      <c r="E223" s="389" t="s">
        <v>3548</v>
      </c>
      <c r="F223" s="1141">
        <f t="shared" ref="F223:F229" si="75">Y223</f>
        <v>10000</v>
      </c>
      <c r="G223" s="1139">
        <v>10000</v>
      </c>
      <c r="H223" s="1147"/>
      <c r="I223" s="1127"/>
      <c r="J223" s="2643" t="s">
        <v>3549</v>
      </c>
      <c r="K223" s="2624"/>
      <c r="L223" s="2624"/>
      <c r="M223" s="2624"/>
      <c r="N223" s="2624"/>
      <c r="O223" s="2624"/>
      <c r="P223" s="1675"/>
      <c r="Q223" s="2644"/>
      <c r="R223" s="2630"/>
      <c r="S223" s="2644">
        <v>20000</v>
      </c>
      <c r="T223" s="2644" t="s">
        <v>3538</v>
      </c>
      <c r="U223" s="1675"/>
      <c r="V223" s="2644">
        <v>500</v>
      </c>
      <c r="W223" s="1671" t="s">
        <v>3550</v>
      </c>
      <c r="X223" s="397" t="s">
        <v>3499</v>
      </c>
      <c r="Y223" s="1142">
        <f t="shared" si="73"/>
        <v>10000</v>
      </c>
      <c r="Z223" s="1128">
        <f>S223*V223</f>
        <v>10000000</v>
      </c>
      <c r="AA223" s="907">
        <f t="shared" si="74"/>
        <v>10000000000</v>
      </c>
      <c r="AB223" s="505"/>
      <c r="AC223" s="370"/>
    </row>
    <row r="224" spans="1:29" ht="22.5" customHeight="1">
      <c r="A224" s="2627"/>
      <c r="B224" s="1145"/>
      <c r="C224" s="1126"/>
      <c r="D224" s="1131"/>
      <c r="E224" s="389" t="s">
        <v>3551</v>
      </c>
      <c r="F224" s="1141">
        <f t="shared" si="75"/>
        <v>1000</v>
      </c>
      <c r="G224" s="1139">
        <v>1000</v>
      </c>
      <c r="H224" s="1147"/>
      <c r="I224" s="1127"/>
      <c r="J224" s="2643" t="s">
        <v>3552</v>
      </c>
      <c r="K224" s="2624"/>
      <c r="L224" s="2624"/>
      <c r="M224" s="2624"/>
      <c r="N224" s="2624"/>
      <c r="O224" s="1673"/>
      <c r="P224" s="1675"/>
      <c r="Q224" s="2644"/>
      <c r="R224" s="2630"/>
      <c r="S224" s="2644">
        <v>250000</v>
      </c>
      <c r="T224" s="2644" t="s">
        <v>3538</v>
      </c>
      <c r="U224" s="1675"/>
      <c r="V224" s="2644">
        <v>4</v>
      </c>
      <c r="W224" s="1671" t="s">
        <v>3505</v>
      </c>
      <c r="X224" s="397" t="s">
        <v>3499</v>
      </c>
      <c r="Y224" s="1142">
        <f t="shared" si="73"/>
        <v>1000</v>
      </c>
      <c r="Z224" s="1128">
        <f>S224*V224</f>
        <v>1000000</v>
      </c>
      <c r="AA224" s="907">
        <f t="shared" si="74"/>
        <v>1000000000</v>
      </c>
      <c r="AB224" s="505"/>
      <c r="AC224" s="370"/>
    </row>
    <row r="225" spans="1:29" ht="22.5" customHeight="1">
      <c r="A225" s="2892"/>
      <c r="B225" s="1145"/>
      <c r="C225" s="1126"/>
      <c r="D225" s="1131"/>
      <c r="E225" s="389" t="s">
        <v>195</v>
      </c>
      <c r="F225" s="1141">
        <f t="shared" ref="F225" si="76">Y225</f>
        <v>5500</v>
      </c>
      <c r="G225" s="1139">
        <v>5500</v>
      </c>
      <c r="H225" s="1147"/>
      <c r="I225" s="1127"/>
      <c r="J225" s="2899" t="s">
        <v>729</v>
      </c>
      <c r="K225" s="2889"/>
      <c r="L225" s="2889"/>
      <c r="M225" s="2889"/>
      <c r="N225" s="2889"/>
      <c r="O225" s="2889"/>
      <c r="P225" s="1675"/>
      <c r="Q225" s="2900"/>
      <c r="R225" s="2895"/>
      <c r="S225" s="2900"/>
      <c r="T225" s="2900"/>
      <c r="U225" s="1675"/>
      <c r="V225" s="2900"/>
      <c r="W225" s="2900"/>
      <c r="X225" s="1140"/>
      <c r="Y225" s="1142">
        <f>+SUM(Y226:Y227)</f>
        <v>5500</v>
      </c>
      <c r="Z225" s="1128">
        <f>SUM(Z226:Z227)</f>
        <v>5500000</v>
      </c>
      <c r="AA225" s="907">
        <f t="shared" si="74"/>
        <v>5500000000</v>
      </c>
      <c r="AB225" s="505"/>
      <c r="AC225" s="370"/>
    </row>
    <row r="226" spans="1:29" ht="22.5" customHeight="1">
      <c r="A226" s="2892"/>
      <c r="B226" s="1145"/>
      <c r="C226" s="1126"/>
      <c r="D226" s="1131"/>
      <c r="E226" s="389"/>
      <c r="F226" s="1141"/>
      <c r="G226" s="1139"/>
      <c r="H226" s="1147"/>
      <c r="I226" s="1127"/>
      <c r="J226" s="2899" t="s">
        <v>3556</v>
      </c>
      <c r="K226" s="2889"/>
      <c r="L226" s="2889"/>
      <c r="M226" s="2889"/>
      <c r="N226" s="2889"/>
      <c r="O226" s="2889"/>
      <c r="P226" s="1675"/>
      <c r="Q226" s="2900"/>
      <c r="R226" s="2895"/>
      <c r="S226" s="2900">
        <v>5020000</v>
      </c>
      <c r="T226" s="2900" t="s">
        <v>264</v>
      </c>
      <c r="U226" s="1675"/>
      <c r="V226" s="2900">
        <v>1</v>
      </c>
      <c r="W226" s="2900" t="s">
        <v>977</v>
      </c>
      <c r="X226" s="1140" t="s">
        <v>266</v>
      </c>
      <c r="Y226" s="1142">
        <f>+Z226/1000</f>
        <v>5020</v>
      </c>
      <c r="Z226" s="1128">
        <f>+V226*S226</f>
        <v>5020000</v>
      </c>
      <c r="AA226" s="907">
        <f t="shared" si="74"/>
        <v>0</v>
      </c>
      <c r="AB226" s="505"/>
      <c r="AC226" s="370"/>
    </row>
    <row r="227" spans="1:29" ht="22.5" customHeight="1">
      <c r="A227" s="2892"/>
      <c r="B227" s="1145"/>
      <c r="C227" s="1126"/>
      <c r="D227" s="1131"/>
      <c r="E227" s="389"/>
      <c r="F227" s="1141"/>
      <c r="G227" s="1139"/>
      <c r="H227" s="1147"/>
      <c r="I227" s="1127"/>
      <c r="J227" s="2899" t="s">
        <v>3557</v>
      </c>
      <c r="K227" s="2889"/>
      <c r="L227" s="2889"/>
      <c r="M227" s="2889"/>
      <c r="N227" s="2889"/>
      <c r="O227" s="2889"/>
      <c r="P227" s="1675"/>
      <c r="Q227" s="2900">
        <v>2</v>
      </c>
      <c r="R227" s="2895" t="s">
        <v>33</v>
      </c>
      <c r="S227" s="2900">
        <v>30000</v>
      </c>
      <c r="T227" s="2900" t="s">
        <v>264</v>
      </c>
      <c r="U227" s="1675"/>
      <c r="V227" s="2900">
        <v>8</v>
      </c>
      <c r="W227" s="2900" t="s">
        <v>203</v>
      </c>
      <c r="X227" s="1140" t="s">
        <v>266</v>
      </c>
      <c r="Y227" s="1142">
        <f>+Z227/1000</f>
        <v>480</v>
      </c>
      <c r="Z227" s="1128">
        <f>S227*Q227*V227</f>
        <v>480000</v>
      </c>
      <c r="AA227" s="907">
        <f t="shared" si="74"/>
        <v>0</v>
      </c>
      <c r="AB227" s="505"/>
      <c r="AC227" s="370"/>
    </row>
    <row r="228" spans="1:29" ht="22.5" customHeight="1">
      <c r="A228" s="2892"/>
      <c r="B228" s="1145"/>
      <c r="C228" s="1126"/>
      <c r="D228" s="1131"/>
      <c r="E228" s="389" t="s">
        <v>269</v>
      </c>
      <c r="F228" s="1141">
        <f t="shared" ref="F228" si="77">Y228</f>
        <v>1000</v>
      </c>
      <c r="G228" s="1139">
        <v>1000</v>
      </c>
      <c r="H228" s="1147"/>
      <c r="I228" s="1127"/>
      <c r="J228" s="2899" t="s">
        <v>3555</v>
      </c>
      <c r="K228" s="1675"/>
      <c r="L228" s="1675"/>
      <c r="M228" s="1675"/>
      <c r="N228" s="1675"/>
      <c r="O228" s="1675"/>
      <c r="P228" s="1675"/>
      <c r="Q228" s="1675"/>
      <c r="R228" s="1675"/>
      <c r="S228" s="2900">
        <v>1000000</v>
      </c>
      <c r="T228" s="2357" t="s">
        <v>264</v>
      </c>
      <c r="U228" s="2357"/>
      <c r="V228" s="2357">
        <v>1</v>
      </c>
      <c r="W228" s="2357" t="s">
        <v>265</v>
      </c>
      <c r="X228" s="2357"/>
      <c r="Y228" s="494">
        <f>+Z228/1000</f>
        <v>1000</v>
      </c>
      <c r="Z228" s="1128">
        <f>+V228*S228</f>
        <v>1000000</v>
      </c>
      <c r="AA228" s="907">
        <f t="shared" si="74"/>
        <v>1000000000</v>
      </c>
      <c r="AB228" s="505"/>
      <c r="AC228" s="370"/>
    </row>
    <row r="229" spans="1:29" ht="22.5" customHeight="1">
      <c r="A229" s="2627"/>
      <c r="B229" s="1145"/>
      <c r="C229" s="1126"/>
      <c r="D229" s="1131"/>
      <c r="E229" s="389" t="s">
        <v>3541</v>
      </c>
      <c r="F229" s="1141">
        <f t="shared" si="75"/>
        <v>4500</v>
      </c>
      <c r="G229" s="1139">
        <v>4500</v>
      </c>
      <c r="H229" s="1147"/>
      <c r="I229" s="1127"/>
      <c r="J229" s="2643" t="s">
        <v>3553</v>
      </c>
      <c r="K229" s="2624"/>
      <c r="L229" s="2624"/>
      <c r="M229" s="2624"/>
      <c r="N229" s="2624"/>
      <c r="O229" s="2624"/>
      <c r="P229" s="1675"/>
      <c r="Q229" s="2644"/>
      <c r="R229" s="2630"/>
      <c r="S229" s="2644">
        <v>4500000</v>
      </c>
      <c r="T229" s="2644" t="s">
        <v>0</v>
      </c>
      <c r="U229" s="1675"/>
      <c r="V229" s="2644">
        <v>1</v>
      </c>
      <c r="W229" s="2644" t="s">
        <v>6</v>
      </c>
      <c r="X229" s="397" t="s">
        <v>3499</v>
      </c>
      <c r="Y229" s="1142">
        <f>+Z229/1000</f>
        <v>4500</v>
      </c>
      <c r="Z229" s="1128">
        <f>S229*V229</f>
        <v>4500000</v>
      </c>
      <c r="AA229" s="907">
        <f>F229*1000000</f>
        <v>4500000000</v>
      </c>
      <c r="AB229" s="505"/>
      <c r="AC229" s="370"/>
    </row>
    <row r="230" spans="1:29" ht="22.5" customHeight="1">
      <c r="A230" s="2627"/>
      <c r="B230" s="1145"/>
      <c r="C230" s="1126"/>
      <c r="D230" s="1131"/>
      <c r="E230" s="389" t="s">
        <v>3558</v>
      </c>
      <c r="F230" s="1141">
        <f t="shared" ref="F230" si="78">Y230</f>
        <v>15000</v>
      </c>
      <c r="G230" s="1139">
        <v>15000</v>
      </c>
      <c r="H230" s="1147"/>
      <c r="I230" s="1127"/>
      <c r="J230" s="2643" t="s">
        <v>8</v>
      </c>
      <c r="K230" s="2624"/>
      <c r="L230" s="2624"/>
      <c r="M230" s="2624"/>
      <c r="N230" s="2624"/>
      <c r="O230" s="2624"/>
      <c r="P230" s="1675"/>
      <c r="Q230" s="2644"/>
      <c r="R230" s="2630"/>
      <c r="S230" s="2644"/>
      <c r="T230" s="2644"/>
      <c r="U230" s="1675"/>
      <c r="V230" s="2644"/>
      <c r="W230" s="2644"/>
      <c r="X230" s="1140"/>
      <c r="Y230" s="1142">
        <f>SUM(Y231:Y233)</f>
        <v>15000</v>
      </c>
      <c r="Z230" s="1128">
        <v>3500000</v>
      </c>
      <c r="AA230" s="907">
        <f t="shared" ref="AA230:AA234" si="79">F230*1000000</f>
        <v>15000000000</v>
      </c>
      <c r="AB230" s="505"/>
      <c r="AC230" s="370"/>
    </row>
    <row r="231" spans="1:29" ht="22.5" customHeight="1">
      <c r="A231" s="2627"/>
      <c r="B231" s="1145"/>
      <c r="C231" s="1126"/>
      <c r="D231" s="1131"/>
      <c r="E231" s="389"/>
      <c r="F231" s="1141"/>
      <c r="G231" s="1139"/>
      <c r="H231" s="1147"/>
      <c r="I231" s="1127"/>
      <c r="J231" s="2643" t="s">
        <v>3559</v>
      </c>
      <c r="K231" s="2624"/>
      <c r="L231" s="2624"/>
      <c r="M231" s="2624"/>
      <c r="N231" s="2624"/>
      <c r="O231" s="2624"/>
      <c r="P231" s="1675"/>
      <c r="Q231" s="2644"/>
      <c r="R231" s="2630"/>
      <c r="S231" s="2644">
        <v>10000</v>
      </c>
      <c r="T231" s="2644" t="s">
        <v>0</v>
      </c>
      <c r="U231" s="1675"/>
      <c r="V231" s="2644">
        <v>700</v>
      </c>
      <c r="W231" s="2630" t="s">
        <v>3560</v>
      </c>
      <c r="X231" s="1140" t="s">
        <v>1</v>
      </c>
      <c r="Y231" s="1142">
        <f t="shared" ref="Y231:Y233" si="80">+Z231/1000</f>
        <v>7000</v>
      </c>
      <c r="Z231" s="1128">
        <f>S231*V231</f>
        <v>7000000</v>
      </c>
      <c r="AA231" s="907">
        <f t="shared" si="79"/>
        <v>0</v>
      </c>
      <c r="AB231" s="505"/>
      <c r="AC231" s="370"/>
    </row>
    <row r="232" spans="1:29" ht="22.5" customHeight="1">
      <c r="A232" s="2627"/>
      <c r="B232" s="1145"/>
      <c r="C232" s="1126"/>
      <c r="D232" s="1131"/>
      <c r="E232" s="389"/>
      <c r="F232" s="1141"/>
      <c r="G232" s="1139"/>
      <c r="H232" s="1147"/>
      <c r="I232" s="1127"/>
      <c r="J232" s="2643" t="s">
        <v>3561</v>
      </c>
      <c r="K232" s="2624"/>
      <c r="L232" s="2624"/>
      <c r="M232" s="2624"/>
      <c r="N232" s="2624"/>
      <c r="O232" s="2624"/>
      <c r="P232" s="1675"/>
      <c r="Q232" s="2644"/>
      <c r="R232" s="2630"/>
      <c r="S232" s="2644">
        <v>5000000</v>
      </c>
      <c r="T232" s="2644" t="s">
        <v>0</v>
      </c>
      <c r="U232" s="1675"/>
      <c r="V232" s="2644">
        <v>1</v>
      </c>
      <c r="W232" s="2644" t="s">
        <v>3527</v>
      </c>
      <c r="X232" s="1140" t="s">
        <v>1</v>
      </c>
      <c r="Y232" s="1142">
        <f t="shared" si="80"/>
        <v>5000</v>
      </c>
      <c r="Z232" s="1128">
        <f t="shared" ref="Z232:Z233" si="81">S232*V232</f>
        <v>5000000</v>
      </c>
      <c r="AA232" s="907">
        <f t="shared" si="79"/>
        <v>0</v>
      </c>
      <c r="AB232" s="505"/>
      <c r="AC232" s="370"/>
    </row>
    <row r="233" spans="1:29" ht="22.5" customHeight="1">
      <c r="A233" s="2627"/>
      <c r="B233" s="1145"/>
      <c r="C233" s="1126"/>
      <c r="D233" s="1131"/>
      <c r="E233" s="389"/>
      <c r="F233" s="1141"/>
      <c r="G233" s="1139"/>
      <c r="H233" s="1147"/>
      <c r="I233" s="1127"/>
      <c r="J233" s="2643" t="s">
        <v>3562</v>
      </c>
      <c r="K233" s="2624"/>
      <c r="L233" s="2624"/>
      <c r="M233" s="2624"/>
      <c r="N233" s="2624"/>
      <c r="O233" s="2624"/>
      <c r="P233" s="1675"/>
      <c r="Q233" s="2644"/>
      <c r="R233" s="2630"/>
      <c r="S233" s="2644">
        <v>3000000</v>
      </c>
      <c r="T233" s="2644" t="s">
        <v>0</v>
      </c>
      <c r="U233" s="1675"/>
      <c r="V233" s="2644">
        <v>1</v>
      </c>
      <c r="W233" s="2644" t="s">
        <v>3</v>
      </c>
      <c r="X233" s="1140" t="s">
        <v>1</v>
      </c>
      <c r="Y233" s="1142">
        <f t="shared" si="80"/>
        <v>3000</v>
      </c>
      <c r="Z233" s="1128">
        <f t="shared" si="81"/>
        <v>3000000</v>
      </c>
      <c r="AA233" s="907">
        <f t="shared" si="79"/>
        <v>0</v>
      </c>
      <c r="AB233" s="505"/>
      <c r="AC233" s="370"/>
    </row>
    <row r="234" spans="1:29" ht="22.5" customHeight="1">
      <c r="A234" s="2627"/>
      <c r="B234" s="1145"/>
      <c r="C234" s="1126"/>
      <c r="D234" s="1131"/>
      <c r="E234" s="389" t="s">
        <v>3563</v>
      </c>
      <c r="F234" s="1141">
        <f t="shared" ref="F234" si="82">Y234</f>
        <v>500</v>
      </c>
      <c r="G234" s="1139">
        <v>500</v>
      </c>
      <c r="H234" s="1147"/>
      <c r="I234" s="1127"/>
      <c r="J234" s="2643" t="s">
        <v>3564</v>
      </c>
      <c r="K234" s="2624"/>
      <c r="L234" s="2624"/>
      <c r="M234" s="2624"/>
      <c r="N234" s="2624"/>
      <c r="O234" s="2624"/>
      <c r="P234" s="2357"/>
      <c r="Q234" s="2644">
        <v>5</v>
      </c>
      <c r="R234" s="2630" t="s">
        <v>23</v>
      </c>
      <c r="S234" s="2644">
        <v>10000</v>
      </c>
      <c r="T234" s="2644" t="s">
        <v>0</v>
      </c>
      <c r="U234" s="2357"/>
      <c r="V234" s="2644">
        <v>10</v>
      </c>
      <c r="W234" s="2630" t="s">
        <v>3</v>
      </c>
      <c r="X234" s="397" t="s">
        <v>3499</v>
      </c>
      <c r="Y234" s="1142">
        <f>+Z234/1000</f>
        <v>500</v>
      </c>
      <c r="Z234" s="1128">
        <f>S234*V234*Q234</f>
        <v>500000</v>
      </c>
      <c r="AA234" s="907">
        <f t="shared" si="79"/>
        <v>500000000</v>
      </c>
      <c r="AB234" s="505"/>
      <c r="AC234" s="370"/>
    </row>
    <row r="235" spans="1:29" ht="22.5" customHeight="1">
      <c r="A235" s="2627"/>
      <c r="B235" s="1145"/>
      <c r="C235" s="2631" t="s">
        <v>3565</v>
      </c>
      <c r="D235" s="2614"/>
      <c r="E235" s="2602"/>
      <c r="F235" s="1153">
        <f>SUM(F236,F245,F294,F283,F257)</f>
        <v>262250</v>
      </c>
      <c r="G235" s="1153">
        <f>SUM(G236,G245,G294,G283,G257)</f>
        <v>262250</v>
      </c>
      <c r="H235" s="1132">
        <f>F235-G235</f>
        <v>0</v>
      </c>
      <c r="I235" s="1127"/>
      <c r="J235" s="501"/>
      <c r="K235" s="800"/>
      <c r="L235" s="800"/>
      <c r="M235" s="800"/>
      <c r="N235" s="800"/>
      <c r="O235" s="800"/>
      <c r="P235" s="800"/>
      <c r="Q235" s="857"/>
      <c r="R235" s="800"/>
      <c r="S235" s="800"/>
      <c r="T235" s="800"/>
      <c r="U235" s="800"/>
      <c r="V235" s="800"/>
      <c r="W235" s="800"/>
      <c r="X235" s="375"/>
      <c r="Y235" s="858"/>
      <c r="Z235" s="1128"/>
      <c r="AA235" s="907">
        <f t="shared" si="37"/>
        <v>262250000000</v>
      </c>
      <c r="AB235" s="505"/>
    </row>
    <row r="236" spans="1:29" ht="22.5" customHeight="1">
      <c r="A236" s="2627"/>
      <c r="B236" s="1892"/>
      <c r="C236" s="1126"/>
      <c r="D236" s="3275" t="s">
        <v>3566</v>
      </c>
      <c r="E236" s="3276"/>
      <c r="F236" s="499">
        <f>SUM(F237:F244)</f>
        <v>12000</v>
      </c>
      <c r="G236" s="499">
        <f>SUM(G237:G244)</f>
        <v>12000</v>
      </c>
      <c r="H236" s="361">
        <f>F236-G236</f>
        <v>0</v>
      </c>
      <c r="I236" s="1127"/>
      <c r="J236" s="501"/>
      <c r="K236" s="2635"/>
      <c r="L236" s="2635"/>
      <c r="M236" s="2635"/>
      <c r="N236" s="2635"/>
      <c r="O236" s="2635"/>
      <c r="P236" s="484"/>
      <c r="Q236" s="2635"/>
      <c r="R236" s="1146"/>
      <c r="S236" s="484"/>
      <c r="T236" s="2635"/>
      <c r="U236" s="2635"/>
      <c r="V236" s="484"/>
      <c r="W236" s="2635"/>
      <c r="X236" s="502"/>
      <c r="Y236" s="503"/>
      <c r="Z236" s="1128"/>
      <c r="AA236" s="907">
        <f t="shared" si="37"/>
        <v>12000000000</v>
      </c>
      <c r="AB236" s="505"/>
    </row>
    <row r="237" spans="1:29" ht="22.5" customHeight="1">
      <c r="A237" s="2627"/>
      <c r="B237" s="1892"/>
      <c r="C237" s="1126"/>
      <c r="D237" s="934"/>
      <c r="E237" s="1726" t="s">
        <v>3525</v>
      </c>
      <c r="F237" s="1141">
        <f>Y237</f>
        <v>500</v>
      </c>
      <c r="G237" s="1139">
        <v>500</v>
      </c>
      <c r="H237" s="1147"/>
      <c r="I237" s="1127"/>
      <c r="J237" s="2643" t="s">
        <v>3567</v>
      </c>
      <c r="K237" s="2624"/>
      <c r="L237" s="2624"/>
      <c r="M237" s="2624"/>
      <c r="N237" s="2624"/>
      <c r="O237" s="2624"/>
      <c r="P237" s="1675"/>
      <c r="Q237" s="2644"/>
      <c r="R237" s="2630"/>
      <c r="S237" s="2644">
        <v>500000</v>
      </c>
      <c r="T237" s="2644" t="s">
        <v>3538</v>
      </c>
      <c r="U237" s="1675"/>
      <c r="V237" s="2644">
        <v>1</v>
      </c>
      <c r="W237" s="1671" t="s">
        <v>3505</v>
      </c>
      <c r="X237" s="397" t="s">
        <v>1</v>
      </c>
      <c r="Y237" s="1142">
        <v>500</v>
      </c>
      <c r="Z237" s="990">
        <v>500000</v>
      </c>
      <c r="AA237" s="907">
        <f t="shared" si="37"/>
        <v>500000000</v>
      </c>
      <c r="AB237" s="505"/>
    </row>
    <row r="238" spans="1:29" ht="22.5" customHeight="1">
      <c r="A238" s="2627"/>
      <c r="B238" s="1892"/>
      <c r="C238" s="1126"/>
      <c r="D238" s="875"/>
      <c r="E238" s="389" t="s">
        <v>51</v>
      </c>
      <c r="F238" s="1141">
        <f>Y238</f>
        <v>5500</v>
      </c>
      <c r="G238" s="1139">
        <v>5500</v>
      </c>
      <c r="H238" s="1147"/>
      <c r="I238" s="1127"/>
      <c r="J238" s="2643" t="s">
        <v>3568</v>
      </c>
      <c r="K238" s="2624"/>
      <c r="L238" s="2624"/>
      <c r="M238" s="2624"/>
      <c r="N238" s="2624"/>
      <c r="O238" s="2624"/>
      <c r="P238" s="1675"/>
      <c r="Q238" s="2644"/>
      <c r="R238" s="2630"/>
      <c r="S238" s="2644"/>
      <c r="T238" s="2644"/>
      <c r="U238" s="1675"/>
      <c r="V238" s="2644"/>
      <c r="W238" s="1671"/>
      <c r="X238" s="397"/>
      <c r="Y238" s="1142">
        <f>Y239+Y240</f>
        <v>5500</v>
      </c>
      <c r="Z238" s="990">
        <f>Z239+Z240</f>
        <v>5500000</v>
      </c>
      <c r="AA238" s="907">
        <f t="shared" si="37"/>
        <v>5500000000</v>
      </c>
      <c r="AB238" s="505"/>
    </row>
    <row r="239" spans="1:29" ht="22.5" customHeight="1">
      <c r="A239" s="2627"/>
      <c r="B239" s="1145"/>
      <c r="C239" s="1126"/>
      <c r="D239" s="1131"/>
      <c r="E239" s="1675"/>
      <c r="F239" s="1141"/>
      <c r="G239" s="1139"/>
      <c r="H239" s="1147"/>
      <c r="I239" s="1127"/>
      <c r="J239" s="2763" t="s">
        <v>4856</v>
      </c>
      <c r="K239" s="2762"/>
      <c r="L239" s="2762"/>
      <c r="M239" s="2762"/>
      <c r="N239" s="2762"/>
      <c r="O239" s="2762"/>
      <c r="P239" s="1675"/>
      <c r="Q239" s="2644"/>
      <c r="R239" s="2630"/>
      <c r="S239" s="2644">
        <v>2500000</v>
      </c>
      <c r="T239" s="2644" t="s">
        <v>0</v>
      </c>
      <c r="U239" s="1675"/>
      <c r="V239" s="2644">
        <v>1</v>
      </c>
      <c r="W239" s="2630" t="s">
        <v>3</v>
      </c>
      <c r="X239" s="1140" t="s">
        <v>1</v>
      </c>
      <c r="Y239" s="1142">
        <f t="shared" ref="Y239:Y244" si="83">+Z239/1000</f>
        <v>2500</v>
      </c>
      <c r="Z239" s="990">
        <f>S239*V239</f>
        <v>2500000</v>
      </c>
      <c r="AA239" s="907">
        <f t="shared" si="37"/>
        <v>0</v>
      </c>
      <c r="AB239" s="505"/>
    </row>
    <row r="240" spans="1:29" ht="22.5" customHeight="1">
      <c r="A240" s="2627"/>
      <c r="B240" s="1145"/>
      <c r="C240" s="1126"/>
      <c r="D240" s="1131"/>
      <c r="E240" s="1675"/>
      <c r="F240" s="1141"/>
      <c r="G240" s="1139"/>
      <c r="H240" s="1147"/>
      <c r="I240" s="1127"/>
      <c r="J240" s="2763" t="s">
        <v>4857</v>
      </c>
      <c r="K240" s="2762"/>
      <c r="L240" s="2762"/>
      <c r="M240" s="2762"/>
      <c r="N240" s="2762"/>
      <c r="O240" s="2762"/>
      <c r="P240" s="1675"/>
      <c r="Q240" s="2644"/>
      <c r="R240" s="2630"/>
      <c r="S240" s="2644">
        <v>20000</v>
      </c>
      <c r="T240" s="2644" t="s">
        <v>3538</v>
      </c>
      <c r="U240" s="1675"/>
      <c r="V240" s="2644">
        <v>150</v>
      </c>
      <c r="W240" s="2630" t="s">
        <v>3501</v>
      </c>
      <c r="X240" s="765" t="s">
        <v>3499</v>
      </c>
      <c r="Y240" s="1142">
        <f t="shared" si="83"/>
        <v>3000</v>
      </c>
      <c r="Z240" s="990">
        <f>S240*V240</f>
        <v>3000000</v>
      </c>
      <c r="AA240" s="907">
        <f t="shared" si="37"/>
        <v>0</v>
      </c>
      <c r="AB240" s="505"/>
    </row>
    <row r="241" spans="1:29" ht="22.5" customHeight="1">
      <c r="A241" s="2627"/>
      <c r="B241" s="1145"/>
      <c r="C241" s="1126"/>
      <c r="D241" s="1144"/>
      <c r="E241" s="1134" t="s">
        <v>84</v>
      </c>
      <c r="F241" s="1141">
        <f>Y241</f>
        <v>400</v>
      </c>
      <c r="G241" s="1139">
        <v>400</v>
      </c>
      <c r="H241" s="1147"/>
      <c r="I241" s="1127"/>
      <c r="J241" s="2643" t="s">
        <v>3569</v>
      </c>
      <c r="K241" s="2624"/>
      <c r="L241" s="2624"/>
      <c r="M241" s="2624"/>
      <c r="N241" s="2624"/>
      <c r="O241" s="2624"/>
      <c r="P241" s="1675"/>
      <c r="Q241" s="2644">
        <v>10</v>
      </c>
      <c r="R241" s="2630" t="s">
        <v>28</v>
      </c>
      <c r="S241" s="2644">
        <v>20000</v>
      </c>
      <c r="T241" s="2644" t="s">
        <v>0</v>
      </c>
      <c r="U241" s="1675"/>
      <c r="V241" s="2644">
        <v>2</v>
      </c>
      <c r="W241" s="2644" t="s">
        <v>25</v>
      </c>
      <c r="X241" s="1140" t="s">
        <v>1</v>
      </c>
      <c r="Y241" s="1142">
        <f t="shared" si="83"/>
        <v>400</v>
      </c>
      <c r="Z241" s="990">
        <f>+S241*V241*Q241</f>
        <v>400000</v>
      </c>
      <c r="AA241" s="907">
        <f t="shared" si="37"/>
        <v>400000000</v>
      </c>
      <c r="AB241" s="505"/>
    </row>
    <row r="242" spans="1:29" s="1675" customFormat="1" ht="22.5" customHeight="1">
      <c r="A242" s="2627"/>
      <c r="B242" s="1145"/>
      <c r="C242" s="1126"/>
      <c r="D242" s="466"/>
      <c r="E242" s="1134" t="s">
        <v>52</v>
      </c>
      <c r="F242" s="1141">
        <f>Y242</f>
        <v>4000</v>
      </c>
      <c r="G242" s="1139">
        <v>4000</v>
      </c>
      <c r="H242" s="1147"/>
      <c r="I242" s="1127"/>
      <c r="J242" s="2643" t="s">
        <v>3570</v>
      </c>
      <c r="K242" s="2624"/>
      <c r="L242" s="2624"/>
      <c r="M242" s="2624"/>
      <c r="N242" s="2624"/>
      <c r="O242" s="2624"/>
      <c r="Q242" s="2644">
        <v>8</v>
      </c>
      <c r="R242" s="2630" t="s">
        <v>23</v>
      </c>
      <c r="S242" s="2644">
        <v>500000</v>
      </c>
      <c r="T242" s="2644" t="s">
        <v>0</v>
      </c>
      <c r="U242" s="2644"/>
      <c r="V242" s="2644">
        <v>1</v>
      </c>
      <c r="W242" s="2644" t="s">
        <v>3</v>
      </c>
      <c r="X242" s="1140" t="s">
        <v>1</v>
      </c>
      <c r="Y242" s="1142">
        <f t="shared" si="83"/>
        <v>4000</v>
      </c>
      <c r="Z242" s="990">
        <f>Q242*S242*V242</f>
        <v>4000000</v>
      </c>
      <c r="AA242" s="907">
        <f t="shared" si="37"/>
        <v>4000000000</v>
      </c>
      <c r="AB242" s="505"/>
    </row>
    <row r="243" spans="1:29" ht="22.5" customHeight="1">
      <c r="A243" s="2627"/>
      <c r="B243" s="1145"/>
      <c r="C243" s="1126"/>
      <c r="D243" s="466"/>
      <c r="E243" s="1134" t="s">
        <v>56</v>
      </c>
      <c r="F243" s="1141">
        <f>+Y243</f>
        <v>1100</v>
      </c>
      <c r="G243" s="1139">
        <v>1100</v>
      </c>
      <c r="H243" s="1147"/>
      <c r="I243" s="1127"/>
      <c r="J243" s="2643" t="s">
        <v>257</v>
      </c>
      <c r="K243" s="2624"/>
      <c r="L243" s="2624"/>
      <c r="M243" s="2624"/>
      <c r="N243" s="2624"/>
      <c r="O243" s="2624"/>
      <c r="P243" s="1675"/>
      <c r="Q243" s="2644"/>
      <c r="R243" s="2630"/>
      <c r="S243" s="2644">
        <v>110000</v>
      </c>
      <c r="T243" s="2644" t="s">
        <v>0</v>
      </c>
      <c r="U243" s="1675"/>
      <c r="V243" s="2644">
        <v>10</v>
      </c>
      <c r="W243" s="2644" t="s">
        <v>3</v>
      </c>
      <c r="X243" s="1140" t="s">
        <v>1</v>
      </c>
      <c r="Y243" s="1142">
        <f t="shared" si="83"/>
        <v>1100</v>
      </c>
      <c r="Z243" s="990">
        <f t="shared" ref="Z243" si="84">+S243*V243</f>
        <v>1100000</v>
      </c>
      <c r="AA243" s="907">
        <f t="shared" si="37"/>
        <v>1100000000</v>
      </c>
      <c r="AB243" s="505"/>
    </row>
    <row r="244" spans="1:29" ht="22.5" customHeight="1">
      <c r="A244" s="2627"/>
      <c r="B244" s="1145"/>
      <c r="C244" s="1126"/>
      <c r="D244" s="466"/>
      <c r="E244" s="855" t="s">
        <v>55</v>
      </c>
      <c r="F244" s="1141">
        <f t="shared" ref="F244" si="85">+Y244</f>
        <v>500</v>
      </c>
      <c r="G244" s="1139">
        <v>500</v>
      </c>
      <c r="H244" s="1147"/>
      <c r="I244" s="1127"/>
      <c r="J244" s="2643" t="s">
        <v>3571</v>
      </c>
      <c r="K244" s="2624"/>
      <c r="L244" s="2624"/>
      <c r="M244" s="2624"/>
      <c r="N244" s="2624"/>
      <c r="O244" s="2624"/>
      <c r="P244" s="1675"/>
      <c r="Q244" s="2644">
        <v>10</v>
      </c>
      <c r="R244" s="2630" t="s">
        <v>23</v>
      </c>
      <c r="S244" s="2644">
        <v>10000</v>
      </c>
      <c r="T244" s="2644" t="s">
        <v>0</v>
      </c>
      <c r="U244" s="1675"/>
      <c r="V244" s="2644">
        <v>5</v>
      </c>
      <c r="W244" s="1671" t="s">
        <v>3</v>
      </c>
      <c r="X244" s="397" t="s">
        <v>1</v>
      </c>
      <c r="Y244" s="1142">
        <f t="shared" si="83"/>
        <v>500</v>
      </c>
      <c r="Z244" s="990">
        <f>+S244*V244*Q244</f>
        <v>500000</v>
      </c>
      <c r="AA244" s="907">
        <f t="shared" si="37"/>
        <v>500000000</v>
      </c>
      <c r="AB244" s="505"/>
    </row>
    <row r="245" spans="1:29" ht="22.5" customHeight="1">
      <c r="A245" s="2627"/>
      <c r="B245" s="1892"/>
      <c r="C245" s="1126"/>
      <c r="D245" s="3275" t="s">
        <v>3572</v>
      </c>
      <c r="E245" s="3276"/>
      <c r="F245" s="499">
        <f>SUM(F246:F256)</f>
        <v>15000</v>
      </c>
      <c r="G245" s="499">
        <f>SUM(G246:G256)</f>
        <v>15000</v>
      </c>
      <c r="H245" s="1132">
        <f>F245-G245</f>
        <v>0</v>
      </c>
      <c r="I245" s="1127"/>
      <c r="J245" s="501"/>
      <c r="K245" s="2896"/>
      <c r="L245" s="2896"/>
      <c r="M245" s="2896"/>
      <c r="N245" s="2896"/>
      <c r="O245" s="2896"/>
      <c r="P245" s="484"/>
      <c r="Q245" s="2896"/>
      <c r="R245" s="1146"/>
      <c r="S245" s="484"/>
      <c r="T245" s="2896"/>
      <c r="U245" s="2896"/>
      <c r="V245" s="484"/>
      <c r="W245" s="2896"/>
      <c r="X245" s="502"/>
      <c r="Y245" s="503"/>
      <c r="Z245" s="1128">
        <f>SUM(Z250:Z256)</f>
        <v>11800000</v>
      </c>
      <c r="AA245" s="907">
        <f t="shared" si="37"/>
        <v>15000000000</v>
      </c>
      <c r="AB245" s="505"/>
    </row>
    <row r="246" spans="1:29" ht="22.5" customHeight="1">
      <c r="A246" s="2627"/>
      <c r="B246" s="1892"/>
      <c r="C246" s="1126"/>
      <c r="D246" s="2636"/>
      <c r="E246" s="1134" t="s">
        <v>3525</v>
      </c>
      <c r="F246" s="1470">
        <f t="shared" ref="F246:F251" si="86">+Y246</f>
        <v>1000</v>
      </c>
      <c r="G246" s="1139">
        <v>1000</v>
      </c>
      <c r="H246" s="338"/>
      <c r="I246" s="1127"/>
      <c r="J246" s="2899" t="s">
        <v>3567</v>
      </c>
      <c r="K246" s="2889"/>
      <c r="L246" s="2889"/>
      <c r="M246" s="2889"/>
      <c r="N246" s="2889"/>
      <c r="O246" s="2889"/>
      <c r="P246" s="1675"/>
      <c r="Q246" s="2889"/>
      <c r="R246" s="2895"/>
      <c r="S246" s="2900">
        <v>500000</v>
      </c>
      <c r="T246" s="2889" t="s">
        <v>3538</v>
      </c>
      <c r="U246" s="1675"/>
      <c r="V246" s="2900">
        <v>2</v>
      </c>
      <c r="W246" s="2889" t="s">
        <v>3505</v>
      </c>
      <c r="X246" s="1140" t="s">
        <v>3499</v>
      </c>
      <c r="Y246" s="1142">
        <f>+Z246/1000</f>
        <v>1000</v>
      </c>
      <c r="Z246" s="1128">
        <f>S246*V246</f>
        <v>1000000</v>
      </c>
      <c r="AA246" s="907">
        <f t="shared" si="37"/>
        <v>1000000000</v>
      </c>
      <c r="AB246" s="505"/>
    </row>
    <row r="247" spans="1:29" ht="22.5" customHeight="1">
      <c r="A247" s="2627"/>
      <c r="B247" s="1145"/>
      <c r="C247" s="1126"/>
      <c r="D247" s="1148"/>
      <c r="E247" s="1134" t="s">
        <v>3548</v>
      </c>
      <c r="F247" s="1470">
        <f t="shared" si="86"/>
        <v>4000</v>
      </c>
      <c r="G247" s="1139">
        <v>4000</v>
      </c>
      <c r="H247" s="338"/>
      <c r="I247" s="1127"/>
      <c r="J247" s="2899" t="s">
        <v>3573</v>
      </c>
      <c r="K247" s="2889"/>
      <c r="L247" s="2889"/>
      <c r="M247" s="2889"/>
      <c r="N247" s="2889"/>
      <c r="O247" s="2889"/>
      <c r="P247" s="1675"/>
      <c r="Q247" s="2900"/>
      <c r="R247" s="2895"/>
      <c r="S247" s="2900">
        <v>20000</v>
      </c>
      <c r="T247" s="2900" t="s">
        <v>3538</v>
      </c>
      <c r="U247" s="1675"/>
      <c r="V247" s="2900">
        <v>200</v>
      </c>
      <c r="W247" s="2900" t="s">
        <v>3574</v>
      </c>
      <c r="X247" s="1140" t="s">
        <v>3499</v>
      </c>
      <c r="Y247" s="1142">
        <f>+Z247/1000</f>
        <v>4000</v>
      </c>
      <c r="Z247" s="1128">
        <f>S247*V247</f>
        <v>4000000</v>
      </c>
      <c r="AA247" s="907">
        <f t="shared" si="37"/>
        <v>4000000000</v>
      </c>
      <c r="AB247" s="505"/>
    </row>
    <row r="248" spans="1:29" ht="22.5" customHeight="1">
      <c r="A248" s="2627"/>
      <c r="B248" s="1145"/>
      <c r="C248" s="1126"/>
      <c r="D248" s="1148"/>
      <c r="E248" s="1134" t="s">
        <v>3551</v>
      </c>
      <c r="F248" s="1470">
        <f t="shared" si="86"/>
        <v>500</v>
      </c>
      <c r="G248" s="1139">
        <v>500</v>
      </c>
      <c r="H248" s="338"/>
      <c r="I248" s="1127"/>
      <c r="J248" s="2899" t="s">
        <v>114</v>
      </c>
      <c r="K248" s="2889"/>
      <c r="L248" s="2889"/>
      <c r="M248" s="2889"/>
      <c r="N248" s="2889"/>
      <c r="O248" s="2889"/>
      <c r="P248" s="1675"/>
      <c r="Q248" s="2900"/>
      <c r="R248" s="2895"/>
      <c r="S248" s="2900">
        <v>500000</v>
      </c>
      <c r="T248" s="2900" t="s">
        <v>0</v>
      </c>
      <c r="U248" s="1675"/>
      <c r="V248" s="2900">
        <v>1</v>
      </c>
      <c r="W248" s="2895" t="s">
        <v>3527</v>
      </c>
      <c r="X248" s="1140" t="s">
        <v>3499</v>
      </c>
      <c r="Y248" s="1142">
        <v>500</v>
      </c>
      <c r="Z248" s="1128">
        <f>S248*V248</f>
        <v>500000</v>
      </c>
      <c r="AA248" s="907">
        <f t="shared" si="37"/>
        <v>500000000</v>
      </c>
      <c r="AB248" s="505"/>
      <c r="AC248" s="357" t="s">
        <v>3575</v>
      </c>
    </row>
    <row r="249" spans="1:29" ht="22.5" customHeight="1">
      <c r="A249" s="2627"/>
      <c r="B249" s="1145"/>
      <c r="C249" s="1126"/>
      <c r="D249" s="1148"/>
      <c r="E249" s="1134" t="s">
        <v>3544</v>
      </c>
      <c r="F249" s="1470">
        <f t="shared" si="86"/>
        <v>400</v>
      </c>
      <c r="G249" s="1139">
        <v>400</v>
      </c>
      <c r="H249" s="338"/>
      <c r="I249" s="1127"/>
      <c r="J249" s="2899" t="s">
        <v>3576</v>
      </c>
      <c r="K249" s="2889"/>
      <c r="L249" s="2889"/>
      <c r="M249" s="2889"/>
      <c r="N249" s="2889"/>
      <c r="O249" s="2889"/>
      <c r="P249" s="1675"/>
      <c r="Q249" s="2900">
        <v>2</v>
      </c>
      <c r="R249" s="2895" t="s">
        <v>23</v>
      </c>
      <c r="S249" s="2900">
        <v>20000</v>
      </c>
      <c r="T249" s="2900" t="s">
        <v>0</v>
      </c>
      <c r="U249" s="1675"/>
      <c r="V249" s="2900">
        <v>10</v>
      </c>
      <c r="W249" s="1671" t="s">
        <v>3</v>
      </c>
      <c r="X249" s="397" t="s">
        <v>3499</v>
      </c>
      <c r="Y249" s="1142">
        <f>+Z249/1000</f>
        <v>400</v>
      </c>
      <c r="Z249" s="1128">
        <f>S249*V249*Q249</f>
        <v>400000</v>
      </c>
      <c r="AA249" s="907">
        <f t="shared" si="37"/>
        <v>400000000</v>
      </c>
      <c r="AB249" s="505"/>
    </row>
    <row r="250" spans="1:29" ht="22.9" customHeight="1">
      <c r="A250" s="2627"/>
      <c r="B250" s="1145"/>
      <c r="C250" s="1126"/>
      <c r="D250" s="1131"/>
      <c r="E250" s="1134" t="s">
        <v>3554</v>
      </c>
      <c r="F250" s="1470">
        <f t="shared" si="86"/>
        <v>3000</v>
      </c>
      <c r="G250" s="1139">
        <v>3000</v>
      </c>
      <c r="H250" s="338"/>
      <c r="I250" s="1127"/>
      <c r="J250" s="2899" t="s">
        <v>3570</v>
      </c>
      <c r="K250" s="2889"/>
      <c r="L250" s="2889"/>
      <c r="M250" s="2889"/>
      <c r="N250" s="2889"/>
      <c r="O250" s="2889"/>
      <c r="P250" s="1675"/>
      <c r="Q250" s="2900">
        <v>6</v>
      </c>
      <c r="R250" s="2895" t="s">
        <v>23</v>
      </c>
      <c r="S250" s="2900">
        <v>500000</v>
      </c>
      <c r="T250" s="2900" t="s">
        <v>0</v>
      </c>
      <c r="U250" s="1675"/>
      <c r="V250" s="2900">
        <v>1</v>
      </c>
      <c r="W250" s="1671" t="s">
        <v>3</v>
      </c>
      <c r="X250" s="397" t="s">
        <v>3499</v>
      </c>
      <c r="Y250" s="1142">
        <f>+Z250/1000</f>
        <v>3000</v>
      </c>
      <c r="Z250" s="1128">
        <f>S250*V250*Q250</f>
        <v>3000000</v>
      </c>
      <c r="AA250" s="907">
        <f t="shared" si="37"/>
        <v>3000000000</v>
      </c>
      <c r="AB250" s="505"/>
    </row>
    <row r="251" spans="1:29" ht="22.9" customHeight="1">
      <c r="A251" s="2627"/>
      <c r="B251" s="1145"/>
      <c r="C251" s="1126"/>
      <c r="D251" s="1148"/>
      <c r="E251" s="1134" t="s">
        <v>3541</v>
      </c>
      <c r="F251" s="1470">
        <f t="shared" si="86"/>
        <v>2700</v>
      </c>
      <c r="G251" s="1139">
        <v>2700</v>
      </c>
      <c r="H251" s="338"/>
      <c r="I251" s="1127"/>
      <c r="J251" s="2899" t="s">
        <v>3568</v>
      </c>
      <c r="K251" s="2889"/>
      <c r="L251" s="2889"/>
      <c r="M251" s="2889"/>
      <c r="N251" s="2889"/>
      <c r="O251" s="2889"/>
      <c r="P251" s="1675"/>
      <c r="Q251" s="2900"/>
      <c r="R251" s="2895"/>
      <c r="S251" s="408"/>
      <c r="T251" s="2900"/>
      <c r="U251" s="1675"/>
      <c r="V251" s="2900"/>
      <c r="W251" s="1671"/>
      <c r="X251" s="397"/>
      <c r="Y251" s="1142">
        <f t="shared" ref="Y251:Y255" si="87">+Z251/1000</f>
        <v>2700</v>
      </c>
      <c r="Z251" s="1128">
        <f>SUM(Z252:Z253)</f>
        <v>2700000</v>
      </c>
      <c r="AA251" s="907">
        <f t="shared" si="37"/>
        <v>2700000000</v>
      </c>
      <c r="AB251" s="505"/>
    </row>
    <row r="252" spans="1:29" ht="22.9" customHeight="1">
      <c r="A252" s="2627"/>
      <c r="B252" s="1145"/>
      <c r="C252" s="1126"/>
      <c r="D252" s="1148"/>
      <c r="E252" s="1134"/>
      <c r="F252" s="1141"/>
      <c r="G252" s="1139"/>
      <c r="H252" s="338"/>
      <c r="I252" s="1127"/>
      <c r="J252" s="2899" t="s">
        <v>3577</v>
      </c>
      <c r="K252" s="2889"/>
      <c r="L252" s="2889"/>
      <c r="M252" s="2889"/>
      <c r="N252" s="2889"/>
      <c r="O252" s="2889"/>
      <c r="P252" s="1675"/>
      <c r="Q252" s="2900"/>
      <c r="R252" s="2895"/>
      <c r="S252" s="408">
        <v>1200000</v>
      </c>
      <c r="T252" s="2900" t="s">
        <v>3538</v>
      </c>
      <c r="U252" s="1675"/>
      <c r="V252" s="2900">
        <v>1</v>
      </c>
      <c r="W252" s="1671" t="s">
        <v>3527</v>
      </c>
      <c r="X252" s="397" t="s">
        <v>3499</v>
      </c>
      <c r="Y252" s="1142">
        <f t="shared" si="87"/>
        <v>1200</v>
      </c>
      <c r="Z252" s="1128">
        <f>S252*V252</f>
        <v>1200000</v>
      </c>
      <c r="AA252" s="907">
        <f t="shared" si="37"/>
        <v>0</v>
      </c>
      <c r="AB252" s="505"/>
    </row>
    <row r="253" spans="1:29" ht="22.9" customHeight="1">
      <c r="A253" s="2627"/>
      <c r="B253" s="1145"/>
      <c r="C253" s="1126"/>
      <c r="D253" s="466"/>
      <c r="E253" s="1134"/>
      <c r="F253" s="1141"/>
      <c r="G253" s="2671"/>
      <c r="H253" s="338"/>
      <c r="I253" s="1127"/>
      <c r="J253" s="2899" t="s">
        <v>3578</v>
      </c>
      <c r="K253" s="2889"/>
      <c r="L253" s="2889"/>
      <c r="M253" s="2889"/>
      <c r="N253" s="2889"/>
      <c r="O253" s="2889"/>
      <c r="P253" s="1675"/>
      <c r="Q253" s="2900"/>
      <c r="R253" s="2895"/>
      <c r="S253" s="408">
        <v>1500000</v>
      </c>
      <c r="T253" s="2900" t="s">
        <v>3538</v>
      </c>
      <c r="U253" s="1675"/>
      <c r="V253" s="2900">
        <v>1</v>
      </c>
      <c r="W253" s="1671" t="s">
        <v>3527</v>
      </c>
      <c r="X253" s="397" t="s">
        <v>3499</v>
      </c>
      <c r="Y253" s="1142">
        <f t="shared" si="87"/>
        <v>1500</v>
      </c>
      <c r="Z253" s="1128">
        <f>S253*V253</f>
        <v>1500000</v>
      </c>
      <c r="AA253" s="907">
        <f t="shared" si="37"/>
        <v>0</v>
      </c>
      <c r="AB253" s="505"/>
    </row>
    <row r="254" spans="1:29" ht="22.9" customHeight="1">
      <c r="A254" s="2892"/>
      <c r="B254" s="1145"/>
      <c r="C254" s="1126"/>
      <c r="D254" s="466"/>
      <c r="E254" s="1134" t="s">
        <v>223</v>
      </c>
      <c r="F254" s="1470">
        <f>+Y254</f>
        <v>400</v>
      </c>
      <c r="G254" s="1139">
        <v>400</v>
      </c>
      <c r="H254" s="338"/>
      <c r="I254" s="1127"/>
      <c r="J254" s="2899" t="s">
        <v>3580</v>
      </c>
      <c r="K254" s="2889"/>
      <c r="L254" s="2889"/>
      <c r="M254" s="2889"/>
      <c r="N254" s="2889"/>
      <c r="O254" s="2889"/>
      <c r="P254" s="1675"/>
      <c r="Q254" s="1675"/>
      <c r="R254" s="2900"/>
      <c r="S254" s="2900">
        <v>400000</v>
      </c>
      <c r="T254" s="2900" t="s">
        <v>264</v>
      </c>
      <c r="U254" s="2900"/>
      <c r="V254" s="2900">
        <v>1</v>
      </c>
      <c r="W254" s="2900" t="s">
        <v>265</v>
      </c>
      <c r="X254" s="1140" t="s">
        <v>266</v>
      </c>
      <c r="Y254" s="1142">
        <f t="shared" si="87"/>
        <v>400</v>
      </c>
      <c r="Z254" s="1128">
        <f t="shared" ref="Z254" si="88">S254*V254</f>
        <v>400000</v>
      </c>
      <c r="AA254" s="907">
        <f t="shared" si="37"/>
        <v>400000000</v>
      </c>
      <c r="AB254" s="505"/>
    </row>
    <row r="255" spans="1:29" ht="22.9" customHeight="1">
      <c r="A255" s="2627"/>
      <c r="B255" s="1145"/>
      <c r="C255" s="1126"/>
      <c r="D255" s="466"/>
      <c r="E255" s="1134" t="s">
        <v>3581</v>
      </c>
      <c r="F255" s="1470">
        <f>+Y255</f>
        <v>2500</v>
      </c>
      <c r="G255" s="1139">
        <v>2500</v>
      </c>
      <c r="H255" s="338"/>
      <c r="I255" s="1127"/>
      <c r="J255" s="2899" t="s">
        <v>3582</v>
      </c>
      <c r="K255" s="2889"/>
      <c r="L255" s="2889"/>
      <c r="M255" s="2889"/>
      <c r="N255" s="2889"/>
      <c r="O255" s="2889"/>
      <c r="P255" s="1675"/>
      <c r="Q255" s="2900"/>
      <c r="R255" s="2895"/>
      <c r="S255" s="2900">
        <v>500000</v>
      </c>
      <c r="T255" s="2900" t="s">
        <v>3538</v>
      </c>
      <c r="U255" s="1675"/>
      <c r="V255" s="2900">
        <v>5</v>
      </c>
      <c r="W255" s="2900" t="s">
        <v>3505</v>
      </c>
      <c r="X255" s="1140" t="s">
        <v>3499</v>
      </c>
      <c r="Y255" s="1142">
        <f t="shared" si="87"/>
        <v>2500</v>
      </c>
      <c r="Z255" s="1128">
        <f t="shared" ref="Z255" si="89">S255*V255</f>
        <v>2500000</v>
      </c>
      <c r="AA255" s="907">
        <f t="shared" si="37"/>
        <v>2500000000</v>
      </c>
      <c r="AB255" s="505"/>
    </row>
    <row r="256" spans="1:29" ht="22.9" customHeight="1">
      <c r="A256" s="2627"/>
      <c r="B256" s="1145"/>
      <c r="C256" s="1126"/>
      <c r="D256" s="466"/>
      <c r="E256" s="1134" t="s">
        <v>3563</v>
      </c>
      <c r="F256" s="1141">
        <f>SUM(Y256)</f>
        <v>500</v>
      </c>
      <c r="G256" s="1139">
        <v>500</v>
      </c>
      <c r="H256" s="1147"/>
      <c r="I256" s="1127"/>
      <c r="J256" s="2899" t="s">
        <v>3583</v>
      </c>
      <c r="K256" s="2889"/>
      <c r="L256" s="2889"/>
      <c r="M256" s="2889"/>
      <c r="N256" s="2889"/>
      <c r="O256" s="2889"/>
      <c r="P256" s="1675"/>
      <c r="Q256" s="2900">
        <v>5</v>
      </c>
      <c r="R256" s="2895" t="s">
        <v>3517</v>
      </c>
      <c r="S256" s="2900">
        <v>10000</v>
      </c>
      <c r="T256" s="2900" t="s">
        <v>3538</v>
      </c>
      <c r="U256" s="1675"/>
      <c r="V256" s="2900">
        <v>10</v>
      </c>
      <c r="W256" s="2895" t="s">
        <v>3505</v>
      </c>
      <c r="X256" s="1140" t="s">
        <v>3499</v>
      </c>
      <c r="Y256" s="1142">
        <f>SUM(S256*Q256*V256)/1000</f>
        <v>500</v>
      </c>
      <c r="Z256" s="1128">
        <f>+S256*V256*Q256</f>
        <v>500000</v>
      </c>
      <c r="AA256" s="907">
        <f t="shared" si="37"/>
        <v>500000000</v>
      </c>
      <c r="AB256" s="505"/>
    </row>
    <row r="257" spans="1:33" ht="22.9" customHeight="1">
      <c r="A257" s="2627"/>
      <c r="B257" s="1145"/>
      <c r="C257" s="1126"/>
      <c r="D257" s="3275" t="s">
        <v>3584</v>
      </c>
      <c r="E257" s="3276"/>
      <c r="F257" s="499">
        <f>SUM(F258:F282)</f>
        <v>190250</v>
      </c>
      <c r="G257" s="499">
        <f>SUM(G258:G282)</f>
        <v>190250</v>
      </c>
      <c r="H257" s="1132">
        <f>F257-G257</f>
        <v>0</v>
      </c>
      <c r="I257" s="1127"/>
      <c r="J257" s="501"/>
      <c r="K257" s="2635"/>
      <c r="L257" s="2635"/>
      <c r="M257" s="2635"/>
      <c r="N257" s="2635"/>
      <c r="O257" s="2635"/>
      <c r="P257" s="484"/>
      <c r="Q257" s="2635"/>
      <c r="R257" s="1146"/>
      <c r="S257" s="484"/>
      <c r="T257" s="2635"/>
      <c r="U257" s="2635"/>
      <c r="V257" s="484"/>
      <c r="W257" s="2635"/>
      <c r="X257" s="502"/>
      <c r="Y257" s="503"/>
      <c r="Z257" s="2341">
        <f>Z258+Z261+Z262+Z263+Z266+Z267+Z274+Z279+Z280+Z281+Z282</f>
        <v>190250000</v>
      </c>
      <c r="AA257" s="907">
        <f t="shared" si="37"/>
        <v>190250000000</v>
      </c>
      <c r="AB257" s="505"/>
    </row>
    <row r="258" spans="1:33" ht="22.9" customHeight="1">
      <c r="A258" s="2627"/>
      <c r="B258" s="1892"/>
      <c r="C258" s="1126"/>
      <c r="D258" s="1148"/>
      <c r="E258" s="1134" t="s">
        <v>3519</v>
      </c>
      <c r="F258" s="1141">
        <f>Y258</f>
        <v>98400</v>
      </c>
      <c r="G258" s="1139">
        <v>98400</v>
      </c>
      <c r="H258" s="338"/>
      <c r="I258" s="1127"/>
      <c r="J258" s="2643" t="s">
        <v>3568</v>
      </c>
      <c r="K258" s="2624"/>
      <c r="L258" s="2624"/>
      <c r="M258" s="2624"/>
      <c r="N258" s="2624"/>
      <c r="O258" s="2624"/>
      <c r="P258" s="1675"/>
      <c r="Q258" s="1675"/>
      <c r="R258" s="2644"/>
      <c r="S258" s="2630"/>
      <c r="T258" s="2644"/>
      <c r="U258" s="2644"/>
      <c r="V258" s="2644"/>
      <c r="W258" s="2644"/>
      <c r="X258" s="1140"/>
      <c r="Y258" s="1142">
        <f t="shared" ref="Y258:Y266" si="90">+Z258/1000</f>
        <v>98400</v>
      </c>
      <c r="Z258" s="1128">
        <f>SUM(Z259:Z260)</f>
        <v>98400000</v>
      </c>
      <c r="AA258" s="907">
        <f t="shared" si="37"/>
        <v>98400000000</v>
      </c>
      <c r="AB258" s="505"/>
    </row>
    <row r="259" spans="1:33" ht="22.9" customHeight="1">
      <c r="A259" s="2627"/>
      <c r="B259" s="1145"/>
      <c r="C259" s="1126"/>
      <c r="D259" s="1148"/>
      <c r="E259" s="1134"/>
      <c r="F259" s="1141"/>
      <c r="G259" s="1139"/>
      <c r="H259" s="338"/>
      <c r="I259" s="1127"/>
      <c r="J259" s="2643" t="s">
        <v>3585</v>
      </c>
      <c r="K259" s="2624"/>
      <c r="L259" s="2624"/>
      <c r="M259" s="2624"/>
      <c r="N259" s="2624"/>
      <c r="O259" s="2624"/>
      <c r="P259" s="1675"/>
      <c r="Q259" s="2644">
        <v>2</v>
      </c>
      <c r="R259" s="2630" t="s">
        <v>3517</v>
      </c>
      <c r="S259" s="2644">
        <v>2500000</v>
      </c>
      <c r="T259" s="2644" t="s">
        <v>3538</v>
      </c>
      <c r="U259" s="1675"/>
      <c r="V259" s="2644">
        <v>12</v>
      </c>
      <c r="W259" s="1671" t="s">
        <v>3547</v>
      </c>
      <c r="X259" s="397" t="s">
        <v>3499</v>
      </c>
      <c r="Y259" s="1142">
        <f t="shared" si="90"/>
        <v>60000</v>
      </c>
      <c r="Z259" s="1128">
        <f>Q259*S259*V259</f>
        <v>60000000</v>
      </c>
      <c r="AA259" s="907">
        <f t="shared" si="37"/>
        <v>0</v>
      </c>
      <c r="AB259" s="505"/>
    </row>
    <row r="260" spans="1:33" ht="22.9" customHeight="1">
      <c r="A260" s="2627"/>
      <c r="B260" s="1145"/>
      <c r="C260" s="1126"/>
      <c r="D260" s="1148"/>
      <c r="E260" s="1134"/>
      <c r="F260" s="1141"/>
      <c r="G260" s="1139"/>
      <c r="H260" s="338"/>
      <c r="I260" s="1127"/>
      <c r="J260" s="2643" t="s">
        <v>3586</v>
      </c>
      <c r="K260" s="2624"/>
      <c r="L260" s="2624"/>
      <c r="M260" s="2624"/>
      <c r="N260" s="2624"/>
      <c r="O260" s="2624"/>
      <c r="P260" s="1675"/>
      <c r="Q260" s="2644">
        <v>2</v>
      </c>
      <c r="R260" s="2630" t="s">
        <v>3517</v>
      </c>
      <c r="S260" s="2644">
        <v>1600000</v>
      </c>
      <c r="T260" s="2644" t="s">
        <v>3538</v>
      </c>
      <c r="U260" s="1675"/>
      <c r="V260" s="2644">
        <v>12</v>
      </c>
      <c r="W260" s="1671" t="s">
        <v>3547</v>
      </c>
      <c r="X260" s="397" t="s">
        <v>3499</v>
      </c>
      <c r="Y260" s="1142">
        <f t="shared" si="90"/>
        <v>38400</v>
      </c>
      <c r="Z260" s="1128">
        <f>S260*V260*Q260</f>
        <v>38400000</v>
      </c>
      <c r="AA260" s="907">
        <f t="shared" si="37"/>
        <v>0</v>
      </c>
      <c r="AB260" s="505"/>
      <c r="AC260" s="843"/>
      <c r="AD260" s="843">
        <v>861000</v>
      </c>
      <c r="AE260" s="843">
        <f>SUM(AA260:AD260)</f>
        <v>861000</v>
      </c>
      <c r="AF260" s="949">
        <f>+AE260/12</f>
        <v>71750</v>
      </c>
      <c r="AG260" s="1975">
        <v>2200000</v>
      </c>
    </row>
    <row r="261" spans="1:33" ht="22.9" customHeight="1">
      <c r="A261" s="2627"/>
      <c r="B261" s="1145"/>
      <c r="C261" s="1126"/>
      <c r="D261" s="1144"/>
      <c r="E261" s="1134" t="s">
        <v>3548</v>
      </c>
      <c r="F261" s="1141">
        <f>Y261</f>
        <v>8000</v>
      </c>
      <c r="G261" s="1139">
        <v>8000</v>
      </c>
      <c r="H261" s="338"/>
      <c r="I261" s="1127"/>
      <c r="J261" s="2643" t="s">
        <v>115</v>
      </c>
      <c r="K261" s="2624"/>
      <c r="L261" s="2624"/>
      <c r="M261" s="2624"/>
      <c r="N261" s="2624"/>
      <c r="O261" s="2624"/>
      <c r="P261" s="1675"/>
      <c r="Q261" s="2644"/>
      <c r="R261" s="2630"/>
      <c r="S261" s="2644">
        <v>8000000</v>
      </c>
      <c r="T261" s="2644" t="s">
        <v>3538</v>
      </c>
      <c r="U261" s="1675"/>
      <c r="V261" s="2644">
        <v>1</v>
      </c>
      <c r="W261" s="1671" t="s">
        <v>3505</v>
      </c>
      <c r="X261" s="397" t="s">
        <v>3499</v>
      </c>
      <c r="Y261" s="1142">
        <f t="shared" si="90"/>
        <v>8000</v>
      </c>
      <c r="Z261" s="1128">
        <f>S261*V261</f>
        <v>8000000</v>
      </c>
      <c r="AA261" s="907">
        <f t="shared" si="37"/>
        <v>8000000000</v>
      </c>
      <c r="AB261" s="505"/>
    </row>
    <row r="262" spans="1:33" ht="22.9" customHeight="1">
      <c r="A262" s="2627"/>
      <c r="B262" s="1145"/>
      <c r="C262" s="1126"/>
      <c r="D262" s="1131"/>
      <c r="E262" s="1134" t="s">
        <v>3587</v>
      </c>
      <c r="F262" s="1141">
        <f>Y262</f>
        <v>500</v>
      </c>
      <c r="G262" s="1139">
        <v>500</v>
      </c>
      <c r="H262" s="338"/>
      <c r="I262" s="1127"/>
      <c r="J262" s="2643" t="s">
        <v>116</v>
      </c>
      <c r="K262" s="2624"/>
      <c r="L262" s="2624"/>
      <c r="M262" s="2624"/>
      <c r="N262" s="2624"/>
      <c r="O262" s="2624"/>
      <c r="P262" s="1675"/>
      <c r="Q262" s="2644"/>
      <c r="R262" s="2630"/>
      <c r="S262" s="2644">
        <v>500000</v>
      </c>
      <c r="T262" s="2644" t="s">
        <v>0</v>
      </c>
      <c r="U262" s="1675"/>
      <c r="V262" s="2644">
        <v>1</v>
      </c>
      <c r="W262" s="2644" t="s">
        <v>6</v>
      </c>
      <c r="X262" s="397" t="s">
        <v>3499</v>
      </c>
      <c r="Y262" s="1142">
        <f t="shared" si="90"/>
        <v>500</v>
      </c>
      <c r="Z262" s="1128">
        <f>S262*V262</f>
        <v>500000</v>
      </c>
      <c r="AA262" s="907">
        <f t="shared" si="37"/>
        <v>500000000</v>
      </c>
      <c r="AB262" s="505"/>
    </row>
    <row r="263" spans="1:33" ht="22.9" customHeight="1">
      <c r="A263" s="2627"/>
      <c r="B263" s="1145"/>
      <c r="C263" s="1126"/>
      <c r="D263" s="1131"/>
      <c r="E263" s="389" t="s">
        <v>3551</v>
      </c>
      <c r="F263" s="1141">
        <f>Y263</f>
        <v>6000</v>
      </c>
      <c r="G263" s="1139">
        <v>6000</v>
      </c>
      <c r="H263" s="338"/>
      <c r="I263" s="1127"/>
      <c r="J263" s="2643" t="s">
        <v>8</v>
      </c>
      <c r="K263" s="2624"/>
      <c r="L263" s="2624"/>
      <c r="M263" s="2624"/>
      <c r="N263" s="2624"/>
      <c r="O263" s="1673"/>
      <c r="P263" s="1675"/>
      <c r="Q263" s="2644"/>
      <c r="R263" s="2630"/>
      <c r="S263" s="1672"/>
      <c r="T263" s="1671"/>
      <c r="U263" s="1671"/>
      <c r="V263" s="1671"/>
      <c r="W263" s="1671"/>
      <c r="X263" s="1140"/>
      <c r="Y263" s="1142">
        <f t="shared" si="90"/>
        <v>6000</v>
      </c>
      <c r="Z263" s="1128">
        <f>SUM(Z264:Z265)</f>
        <v>6000000</v>
      </c>
      <c r="AA263" s="907">
        <f t="shared" si="37"/>
        <v>6000000000</v>
      </c>
      <c r="AB263" s="505"/>
    </row>
    <row r="264" spans="1:33" ht="22.9" customHeight="1">
      <c r="A264" s="2627"/>
      <c r="B264" s="1145"/>
      <c r="C264" s="1126"/>
      <c r="D264" s="1131"/>
      <c r="E264" s="389"/>
      <c r="F264" s="1141"/>
      <c r="G264" s="1139"/>
      <c r="H264" s="338"/>
      <c r="I264" s="1127"/>
      <c r="J264" s="2643" t="s">
        <v>3588</v>
      </c>
      <c r="K264" s="2624"/>
      <c r="L264" s="2624"/>
      <c r="M264" s="2624"/>
      <c r="N264" s="2624"/>
      <c r="O264" s="1673"/>
      <c r="P264" s="1675"/>
      <c r="Q264" s="2644"/>
      <c r="R264" s="2630"/>
      <c r="S264" s="2644">
        <v>1000000</v>
      </c>
      <c r="T264" s="2644" t="s">
        <v>0</v>
      </c>
      <c r="U264" s="1675"/>
      <c r="V264" s="2644">
        <v>2</v>
      </c>
      <c r="W264" s="2644" t="s">
        <v>3</v>
      </c>
      <c r="X264" s="397" t="s">
        <v>3499</v>
      </c>
      <c r="Y264" s="1142">
        <f t="shared" si="90"/>
        <v>2000</v>
      </c>
      <c r="Z264" s="1128">
        <f>S264*V264</f>
        <v>2000000</v>
      </c>
      <c r="AA264" s="907">
        <f t="shared" si="37"/>
        <v>0</v>
      </c>
      <c r="AB264" s="505"/>
    </row>
    <row r="265" spans="1:33" ht="22.9" customHeight="1">
      <c r="A265" s="2627"/>
      <c r="B265" s="1145"/>
      <c r="C265" s="1126"/>
      <c r="D265" s="1131"/>
      <c r="E265" s="389"/>
      <c r="F265" s="1141"/>
      <c r="G265" s="1139"/>
      <c r="H265" s="338"/>
      <c r="I265" s="1127"/>
      <c r="J265" s="2643" t="s">
        <v>3524</v>
      </c>
      <c r="K265" s="2624"/>
      <c r="L265" s="2624"/>
      <c r="M265" s="2624"/>
      <c r="N265" s="2624"/>
      <c r="O265" s="1673"/>
      <c r="P265" s="1675"/>
      <c r="Q265" s="2644">
        <v>20</v>
      </c>
      <c r="R265" s="2630" t="s">
        <v>23</v>
      </c>
      <c r="S265" s="2644">
        <v>1000</v>
      </c>
      <c r="T265" s="2644" t="s">
        <v>0</v>
      </c>
      <c r="U265" s="1675"/>
      <c r="V265" s="2644">
        <v>200</v>
      </c>
      <c r="W265" s="2644" t="s">
        <v>3</v>
      </c>
      <c r="X265" s="397" t="s">
        <v>3499</v>
      </c>
      <c r="Y265" s="1142">
        <f t="shared" si="90"/>
        <v>4000</v>
      </c>
      <c r="Z265" s="1128">
        <f>S265*V265*Q265</f>
        <v>4000000</v>
      </c>
      <c r="AA265" s="907">
        <f t="shared" ref="AA265:AA282" si="91">F265*1000000</f>
        <v>0</v>
      </c>
      <c r="AB265" s="505"/>
    </row>
    <row r="266" spans="1:33" ht="22.9" customHeight="1">
      <c r="A266" s="2627"/>
      <c r="B266" s="1145"/>
      <c r="C266" s="1126"/>
      <c r="D266" s="1131"/>
      <c r="E266" s="1134" t="s">
        <v>3544</v>
      </c>
      <c r="F266" s="1141">
        <f>Y266</f>
        <v>1000</v>
      </c>
      <c r="G266" s="1139">
        <v>1000</v>
      </c>
      <c r="H266" s="338"/>
      <c r="I266" s="1127"/>
      <c r="J266" s="2643" t="s">
        <v>117</v>
      </c>
      <c r="K266" s="2624"/>
      <c r="L266" s="2624"/>
      <c r="M266" s="2624"/>
      <c r="N266" s="2624"/>
      <c r="O266" s="2624"/>
      <c r="P266" s="1675"/>
      <c r="Q266" s="2644">
        <v>2</v>
      </c>
      <c r="R266" s="2630" t="s">
        <v>23</v>
      </c>
      <c r="S266" s="2644">
        <v>25000</v>
      </c>
      <c r="T266" s="2644" t="s">
        <v>0</v>
      </c>
      <c r="U266" s="1675"/>
      <c r="V266" s="2644">
        <v>20</v>
      </c>
      <c r="W266" s="2644" t="s">
        <v>3505</v>
      </c>
      <c r="X266" s="397" t="s">
        <v>3499</v>
      </c>
      <c r="Y266" s="1142">
        <f t="shared" si="90"/>
        <v>1000</v>
      </c>
      <c r="Z266" s="1128">
        <f>Q266*S266*V266</f>
        <v>1000000</v>
      </c>
      <c r="AA266" s="907">
        <f t="shared" si="91"/>
        <v>1000000000</v>
      </c>
      <c r="AB266" s="505"/>
    </row>
    <row r="267" spans="1:33" ht="22.9" customHeight="1">
      <c r="A267" s="2627"/>
      <c r="B267" s="1145"/>
      <c r="C267" s="1126"/>
      <c r="D267" s="1148"/>
      <c r="E267" s="1134" t="s">
        <v>3554</v>
      </c>
      <c r="F267" s="1141">
        <f>Y267</f>
        <v>26000</v>
      </c>
      <c r="G267" s="1139">
        <v>26000</v>
      </c>
      <c r="H267" s="338"/>
      <c r="I267" s="1127"/>
      <c r="J267" s="2643" t="s">
        <v>8</v>
      </c>
      <c r="K267" s="1675"/>
      <c r="L267" s="1675"/>
      <c r="M267" s="1675"/>
      <c r="N267" s="1675"/>
      <c r="O267" s="1675"/>
      <c r="P267" s="1675"/>
      <c r="Q267" s="1675"/>
      <c r="R267" s="1675"/>
      <c r="S267" s="2644"/>
      <c r="T267" s="1675"/>
      <c r="U267" s="1675"/>
      <c r="V267" s="1675"/>
      <c r="W267" s="1675"/>
      <c r="X267" s="1675"/>
      <c r="Y267" s="494">
        <f>Y268+Y269+Y270+Y271+Y272+Y273</f>
        <v>26000</v>
      </c>
      <c r="Z267" s="1128">
        <f>Z268+Z269+Z270+Z271+Z272+Z273</f>
        <v>26000000</v>
      </c>
      <c r="AA267" s="907">
        <f t="shared" si="91"/>
        <v>26000000000</v>
      </c>
      <c r="AB267" s="505"/>
    </row>
    <row r="268" spans="1:33" ht="22.9" customHeight="1">
      <c r="A268" s="2627"/>
      <c r="B268" s="1145"/>
      <c r="C268" s="1126"/>
      <c r="D268" s="1148"/>
      <c r="E268" s="1134"/>
      <c r="F268" s="1141"/>
      <c r="G268" s="1139"/>
      <c r="H268" s="338"/>
      <c r="I268" s="1127"/>
      <c r="J268" s="2643" t="s">
        <v>3589</v>
      </c>
      <c r="K268" s="2357"/>
      <c r="L268" s="2357"/>
      <c r="M268" s="2357"/>
      <c r="N268" s="2357"/>
      <c r="O268" s="2357"/>
      <c r="P268" s="2357"/>
      <c r="Q268" s="2357">
        <v>1</v>
      </c>
      <c r="R268" s="2357" t="s">
        <v>3517</v>
      </c>
      <c r="S268" s="2644">
        <v>100000</v>
      </c>
      <c r="T268" s="2357" t="s">
        <v>3538</v>
      </c>
      <c r="U268" s="2357"/>
      <c r="V268" s="2357">
        <v>80</v>
      </c>
      <c r="W268" s="2357" t="s">
        <v>3505</v>
      </c>
      <c r="X268" s="2357"/>
      <c r="Y268" s="494">
        <f>+Z268/1000</f>
        <v>8000</v>
      </c>
      <c r="Z268" s="1128">
        <f>S268*V268*Q268</f>
        <v>8000000</v>
      </c>
      <c r="AA268" s="907">
        <f t="shared" si="91"/>
        <v>0</v>
      </c>
      <c r="AB268" s="505"/>
    </row>
    <row r="269" spans="1:33" ht="22.9" customHeight="1">
      <c r="A269" s="2627"/>
      <c r="B269" s="1145"/>
      <c r="C269" s="1126"/>
      <c r="D269" s="1148"/>
      <c r="E269" s="1134"/>
      <c r="F269" s="1141"/>
      <c r="G269" s="1139"/>
      <c r="H269" s="338"/>
      <c r="I269" s="1127"/>
      <c r="J269" s="2629" t="s">
        <v>3590</v>
      </c>
      <c r="K269" s="2357"/>
      <c r="L269" s="2357"/>
      <c r="M269" s="2357"/>
      <c r="N269" s="2357"/>
      <c r="O269" s="2357"/>
      <c r="P269" s="2357"/>
      <c r="Q269" s="2357">
        <v>1</v>
      </c>
      <c r="R269" s="2357" t="s">
        <v>3517</v>
      </c>
      <c r="S269" s="2644">
        <v>65000</v>
      </c>
      <c r="T269" s="2357" t="s">
        <v>3538</v>
      </c>
      <c r="U269" s="2357"/>
      <c r="V269" s="2357">
        <v>80</v>
      </c>
      <c r="W269" s="2357" t="s">
        <v>3505</v>
      </c>
      <c r="X269" s="2357"/>
      <c r="Y269" s="494">
        <f>+Z269/1000</f>
        <v>5200</v>
      </c>
      <c r="Z269" s="1128">
        <f>S269*V269*Q269</f>
        <v>5200000</v>
      </c>
      <c r="AA269" s="907">
        <f t="shared" si="91"/>
        <v>0</v>
      </c>
      <c r="AB269" s="505"/>
    </row>
    <row r="270" spans="1:33" ht="22.9" customHeight="1">
      <c r="A270" s="2627"/>
      <c r="B270" s="1145"/>
      <c r="C270" s="1126"/>
      <c r="D270" s="1148"/>
      <c r="E270" s="1134"/>
      <c r="F270" s="1141"/>
      <c r="G270" s="1139"/>
      <c r="H270" s="338"/>
      <c r="I270" s="1127"/>
      <c r="J270" s="2643" t="s">
        <v>3591</v>
      </c>
      <c r="K270" s="2624"/>
      <c r="L270" s="2624"/>
      <c r="M270" s="2624"/>
      <c r="N270" s="2624"/>
      <c r="O270" s="2624"/>
      <c r="P270" s="2357"/>
      <c r="Q270" s="2357"/>
      <c r="R270" s="2644"/>
      <c r="S270" s="2644">
        <v>50000</v>
      </c>
      <c r="T270" s="2644" t="s">
        <v>0</v>
      </c>
      <c r="U270" s="2357"/>
      <c r="V270" s="2644">
        <v>20</v>
      </c>
      <c r="W270" s="2644" t="s">
        <v>3507</v>
      </c>
      <c r="X270" s="397" t="s">
        <v>3499</v>
      </c>
      <c r="Y270" s="1142">
        <f>+Z270/1000</f>
        <v>1000</v>
      </c>
      <c r="Z270" s="1128">
        <f>S270*V270</f>
        <v>1000000</v>
      </c>
      <c r="AA270" s="907">
        <f t="shared" si="91"/>
        <v>0</v>
      </c>
      <c r="AB270" s="505"/>
    </row>
    <row r="271" spans="1:33" ht="22.9" customHeight="1">
      <c r="A271" s="2627"/>
      <c r="B271" s="1145"/>
      <c r="C271" s="1126"/>
      <c r="D271" s="1145"/>
      <c r="E271" s="1134"/>
      <c r="F271" s="1141"/>
      <c r="G271" s="1115"/>
      <c r="H271" s="338"/>
      <c r="I271" s="1127"/>
      <c r="J271" s="2643" t="s">
        <v>3592</v>
      </c>
      <c r="K271" s="2624"/>
      <c r="L271" s="2624"/>
      <c r="M271" s="2624"/>
      <c r="N271" s="2624"/>
      <c r="O271" s="2624"/>
      <c r="P271" s="2357"/>
      <c r="Q271" s="2357"/>
      <c r="R271" s="2644"/>
      <c r="S271" s="2644">
        <v>5000000</v>
      </c>
      <c r="T271" s="2644" t="s">
        <v>3538</v>
      </c>
      <c r="U271" s="2357"/>
      <c r="V271" s="2644">
        <v>1</v>
      </c>
      <c r="W271" s="2644" t="s">
        <v>3505</v>
      </c>
      <c r="X271" s="397" t="s">
        <v>1</v>
      </c>
      <c r="Y271" s="1142">
        <f t="shared" ref="Y271:Y279" si="92">+Z271/1000</f>
        <v>5000</v>
      </c>
      <c r="Z271" s="1128">
        <f>S271*V271</f>
        <v>5000000</v>
      </c>
      <c r="AA271" s="907">
        <f t="shared" si="91"/>
        <v>0</v>
      </c>
      <c r="AB271" s="505"/>
    </row>
    <row r="272" spans="1:33" s="1675" customFormat="1" ht="22.9" customHeight="1">
      <c r="A272" s="2627"/>
      <c r="B272" s="1145"/>
      <c r="C272" s="1126"/>
      <c r="D272" s="1148"/>
      <c r="E272" s="1134"/>
      <c r="F272" s="1141"/>
      <c r="G272" s="1139"/>
      <c r="H272" s="338"/>
      <c r="I272" s="1127"/>
      <c r="J272" s="2643" t="s">
        <v>3593</v>
      </c>
      <c r="K272" s="2624"/>
      <c r="L272" s="2624"/>
      <c r="M272" s="2624"/>
      <c r="N272" s="2624"/>
      <c r="O272" s="2624"/>
      <c r="P272" s="2357"/>
      <c r="Q272" s="2357"/>
      <c r="R272" s="2644"/>
      <c r="S272" s="2644">
        <v>2900000</v>
      </c>
      <c r="T272" s="2644" t="s">
        <v>3538</v>
      </c>
      <c r="U272" s="2357"/>
      <c r="V272" s="2644">
        <v>2</v>
      </c>
      <c r="W272" s="2644" t="s">
        <v>3510</v>
      </c>
      <c r="X272" s="397" t="s">
        <v>1</v>
      </c>
      <c r="Y272" s="1142">
        <f>+Z272/1000</f>
        <v>5800</v>
      </c>
      <c r="Z272" s="1128">
        <f>S272*V272</f>
        <v>5800000</v>
      </c>
      <c r="AA272" s="907">
        <f t="shared" si="91"/>
        <v>0</v>
      </c>
      <c r="AB272" s="505"/>
    </row>
    <row r="273" spans="1:28" s="1675" customFormat="1" ht="22.9" customHeight="1">
      <c r="A273" s="2627"/>
      <c r="B273" s="1145"/>
      <c r="C273" s="1126"/>
      <c r="D273" s="1148"/>
      <c r="E273" s="1134"/>
      <c r="F273" s="1141"/>
      <c r="G273" s="1139"/>
      <c r="H273" s="338"/>
      <c r="I273" s="1127"/>
      <c r="J273" s="2643" t="s">
        <v>3594</v>
      </c>
      <c r="K273" s="2624"/>
      <c r="L273" s="2624"/>
      <c r="M273" s="2624"/>
      <c r="N273" s="2624"/>
      <c r="O273" s="2624"/>
      <c r="P273" s="2357"/>
      <c r="Q273" s="2357"/>
      <c r="R273" s="2644"/>
      <c r="S273" s="2644">
        <v>200000</v>
      </c>
      <c r="T273" s="2644" t="s">
        <v>3538</v>
      </c>
      <c r="U273" s="2357"/>
      <c r="V273" s="2644">
        <v>5</v>
      </c>
      <c r="W273" s="2644" t="s">
        <v>3510</v>
      </c>
      <c r="X273" s="397" t="s">
        <v>1</v>
      </c>
      <c r="Y273" s="1142">
        <f t="shared" si="92"/>
        <v>1000</v>
      </c>
      <c r="Z273" s="1128">
        <f>S273*V273</f>
        <v>1000000</v>
      </c>
      <c r="AA273" s="907">
        <f t="shared" si="91"/>
        <v>0</v>
      </c>
      <c r="AB273" s="505"/>
    </row>
    <row r="274" spans="1:28" ht="22.9" customHeight="1">
      <c r="A274" s="2627"/>
      <c r="B274" s="1145"/>
      <c r="C274" s="1126"/>
      <c r="D274" s="1148"/>
      <c r="E274" s="1134" t="s">
        <v>3541</v>
      </c>
      <c r="F274" s="1141">
        <f>Y274</f>
        <v>43300</v>
      </c>
      <c r="G274" s="1139">
        <v>43300</v>
      </c>
      <c r="H274" s="338"/>
      <c r="I274" s="1127"/>
      <c r="J274" s="2643" t="s">
        <v>8</v>
      </c>
      <c r="K274" s="2624"/>
      <c r="L274" s="2624"/>
      <c r="M274" s="2624"/>
      <c r="N274" s="2624"/>
      <c r="O274" s="2624"/>
      <c r="P274" s="2357"/>
      <c r="Q274" s="2644"/>
      <c r="R274" s="2630"/>
      <c r="S274" s="2644"/>
      <c r="T274" s="2644"/>
      <c r="U274" s="2357"/>
      <c r="V274" s="2644"/>
      <c r="W274" s="2644"/>
      <c r="X274" s="1140"/>
      <c r="Y274" s="1142">
        <f t="shared" si="92"/>
        <v>43300</v>
      </c>
      <c r="Z274" s="1128">
        <f>SUM(Z275:Z278)</f>
        <v>43300000</v>
      </c>
      <c r="AA274" s="907">
        <f t="shared" si="91"/>
        <v>43300000000</v>
      </c>
      <c r="AB274" s="505"/>
    </row>
    <row r="275" spans="1:28" ht="22.9" customHeight="1">
      <c r="A275" s="2627"/>
      <c r="B275" s="1145"/>
      <c r="C275" s="1126"/>
      <c r="D275" s="1148"/>
      <c r="E275" s="465"/>
      <c r="F275" s="1141"/>
      <c r="G275" s="1139"/>
      <c r="H275" s="338"/>
      <c r="I275" s="1127"/>
      <c r="J275" s="2623" t="s">
        <v>3595</v>
      </c>
      <c r="K275" s="2624"/>
      <c r="L275" s="2624"/>
      <c r="M275" s="2624"/>
      <c r="N275" s="506"/>
      <c r="O275" s="1671"/>
      <c r="P275" s="2357"/>
      <c r="Q275" s="1671"/>
      <c r="R275" s="1671"/>
      <c r="S275" s="1672">
        <v>9300000</v>
      </c>
      <c r="T275" s="1671" t="s">
        <v>0</v>
      </c>
      <c r="U275" s="1671"/>
      <c r="V275" s="1671">
        <v>1</v>
      </c>
      <c r="W275" s="1671" t="s">
        <v>3</v>
      </c>
      <c r="X275" s="397" t="s">
        <v>1</v>
      </c>
      <c r="Y275" s="1142">
        <f t="shared" si="92"/>
        <v>9300</v>
      </c>
      <c r="Z275" s="1128">
        <f>S275*V275</f>
        <v>9300000</v>
      </c>
      <c r="AA275" s="907">
        <f t="shared" si="91"/>
        <v>0</v>
      </c>
      <c r="AB275" s="505"/>
    </row>
    <row r="276" spans="1:28" ht="22.9" customHeight="1">
      <c r="A276" s="2627"/>
      <c r="B276" s="1145"/>
      <c r="C276" s="1126"/>
      <c r="D276" s="1131"/>
      <c r="E276" s="1134"/>
      <c r="F276" s="1141"/>
      <c r="G276" s="1139"/>
      <c r="H276" s="338"/>
      <c r="I276" s="1127"/>
      <c r="J276" s="3430" t="s">
        <v>3596</v>
      </c>
      <c r="K276" s="3431"/>
      <c r="L276" s="3431"/>
      <c r="M276" s="3431"/>
      <c r="N276" s="3431"/>
      <c r="O276" s="1673" t="s">
        <v>19</v>
      </c>
      <c r="P276" s="2357" t="s">
        <v>19</v>
      </c>
      <c r="Q276" s="2644"/>
      <c r="R276" s="2630"/>
      <c r="S276" s="2644">
        <v>2000000</v>
      </c>
      <c r="T276" s="2644" t="s">
        <v>0</v>
      </c>
      <c r="U276" s="2357"/>
      <c r="V276" s="2644">
        <v>2</v>
      </c>
      <c r="W276" s="2644" t="s">
        <v>3</v>
      </c>
      <c r="X276" s="1140" t="s">
        <v>1</v>
      </c>
      <c r="Y276" s="1142">
        <f t="shared" si="92"/>
        <v>4000</v>
      </c>
      <c r="Z276" s="1128">
        <f>S276*V276</f>
        <v>4000000</v>
      </c>
      <c r="AA276" s="907">
        <f t="shared" si="91"/>
        <v>0</v>
      </c>
      <c r="AB276" s="505"/>
    </row>
    <row r="277" spans="1:28" ht="22.9" customHeight="1">
      <c r="A277" s="2627"/>
      <c r="B277" s="1145"/>
      <c r="C277" s="1126"/>
      <c r="D277" s="1131"/>
      <c r="E277" s="1134"/>
      <c r="F277" s="1141"/>
      <c r="G277" s="1139"/>
      <c r="H277" s="338"/>
      <c r="I277" s="1127"/>
      <c r="J277" s="2643" t="s">
        <v>3597</v>
      </c>
      <c r="K277" s="2624"/>
      <c r="L277" s="2624"/>
      <c r="M277" s="2624"/>
      <c r="N277" s="2624"/>
      <c r="O277" s="1673"/>
      <c r="P277" s="2357"/>
      <c r="Q277" s="1671"/>
      <c r="R277" s="1671"/>
      <c r="S277" s="1672">
        <v>25000000</v>
      </c>
      <c r="T277" s="1671" t="s">
        <v>0</v>
      </c>
      <c r="U277" s="1671"/>
      <c r="V277" s="1671">
        <v>1</v>
      </c>
      <c r="W277" s="1671" t="s">
        <v>6</v>
      </c>
      <c r="X277" s="397" t="s">
        <v>1</v>
      </c>
      <c r="Y277" s="1142">
        <f t="shared" si="92"/>
        <v>25000</v>
      </c>
      <c r="Z277" s="1128">
        <f>S277*V277</f>
        <v>25000000</v>
      </c>
      <c r="AA277" s="907">
        <f t="shared" si="91"/>
        <v>0</v>
      </c>
      <c r="AB277" s="505"/>
    </row>
    <row r="278" spans="1:28" ht="22.9" customHeight="1">
      <c r="A278" s="2627"/>
      <c r="B278" s="1145"/>
      <c r="C278" s="1126"/>
      <c r="D278" s="1131"/>
      <c r="E278" s="1134"/>
      <c r="F278" s="1141"/>
      <c r="G278" s="1139"/>
      <c r="H278" s="338"/>
      <c r="I278" s="1127"/>
      <c r="J278" s="2643" t="s">
        <v>3598</v>
      </c>
      <c r="K278" s="2624"/>
      <c r="L278" s="2624"/>
      <c r="M278" s="2624"/>
      <c r="N278" s="2624"/>
      <c r="O278" s="1673"/>
      <c r="P278" s="2357"/>
      <c r="Q278" s="1671"/>
      <c r="R278" s="1671"/>
      <c r="S278" s="1672">
        <v>5000000</v>
      </c>
      <c r="T278" s="1671" t="s">
        <v>0</v>
      </c>
      <c r="U278" s="1671"/>
      <c r="V278" s="1671">
        <v>1</v>
      </c>
      <c r="W278" s="1671" t="s">
        <v>6</v>
      </c>
      <c r="X278" s="397" t="s">
        <v>1</v>
      </c>
      <c r="Y278" s="1142">
        <f t="shared" si="92"/>
        <v>5000</v>
      </c>
      <c r="Z278" s="1128">
        <f>S278*V278</f>
        <v>5000000</v>
      </c>
      <c r="AA278" s="907">
        <f t="shared" si="91"/>
        <v>0</v>
      </c>
      <c r="AB278" s="505"/>
    </row>
    <row r="279" spans="1:28" ht="22.9" customHeight="1">
      <c r="A279" s="2627"/>
      <c r="B279" s="1145"/>
      <c r="C279" s="1126"/>
      <c r="D279" s="1131"/>
      <c r="E279" s="1134" t="s">
        <v>3599</v>
      </c>
      <c r="F279" s="1141">
        <f t="shared" ref="F279:F284" si="93">Y279</f>
        <v>4400</v>
      </c>
      <c r="G279" s="1139">
        <v>4400</v>
      </c>
      <c r="H279" s="338"/>
      <c r="I279" s="1127"/>
      <c r="J279" s="2643" t="s">
        <v>3600</v>
      </c>
      <c r="K279" s="2624"/>
      <c r="L279" s="2624"/>
      <c r="M279" s="2624"/>
      <c r="N279" s="2624"/>
      <c r="O279" s="2624"/>
      <c r="P279" s="2357"/>
      <c r="Q279" s="2644">
        <v>1</v>
      </c>
      <c r="R279" s="2630" t="s">
        <v>81</v>
      </c>
      <c r="S279" s="2644">
        <v>1100000</v>
      </c>
      <c r="T279" s="2644" t="s">
        <v>0</v>
      </c>
      <c r="U279" s="2357"/>
      <c r="V279" s="2644">
        <v>4</v>
      </c>
      <c r="W279" s="1671" t="s">
        <v>2</v>
      </c>
      <c r="X279" s="397" t="s">
        <v>3499</v>
      </c>
      <c r="Y279" s="1142">
        <f t="shared" si="92"/>
        <v>4400</v>
      </c>
      <c r="Z279" s="1128">
        <f>S279*V279*Q279</f>
        <v>4400000</v>
      </c>
      <c r="AA279" s="907">
        <f t="shared" si="91"/>
        <v>4400000000</v>
      </c>
      <c r="AB279" s="505"/>
    </row>
    <row r="280" spans="1:28" ht="22.9" customHeight="1">
      <c r="A280" s="2627"/>
      <c r="B280" s="1145"/>
      <c r="C280" s="1126"/>
      <c r="D280" s="1131"/>
      <c r="E280" s="389" t="s">
        <v>3503</v>
      </c>
      <c r="F280" s="1141">
        <f t="shared" si="93"/>
        <v>450</v>
      </c>
      <c r="G280" s="1139">
        <v>450</v>
      </c>
      <c r="H280" s="338"/>
      <c r="I280" s="1127"/>
      <c r="J280" s="2643" t="s">
        <v>3601</v>
      </c>
      <c r="K280" s="2624"/>
      <c r="L280" s="2624"/>
      <c r="M280" s="2624"/>
      <c r="N280" s="2624"/>
      <c r="O280" s="2624"/>
      <c r="P280" s="2357"/>
      <c r="Q280" s="2644"/>
      <c r="R280" s="2630"/>
      <c r="S280" s="2644">
        <v>450000</v>
      </c>
      <c r="T280" s="2644" t="s">
        <v>3538</v>
      </c>
      <c r="U280" s="2357"/>
      <c r="V280" s="2644">
        <v>1</v>
      </c>
      <c r="W280" s="2630" t="s">
        <v>3527</v>
      </c>
      <c r="X280" s="397" t="s">
        <v>1</v>
      </c>
      <c r="Y280" s="1142">
        <f>+Z280/1000</f>
        <v>450</v>
      </c>
      <c r="Z280" s="1128">
        <f>S280*V280</f>
        <v>450000</v>
      </c>
      <c r="AA280" s="907">
        <f t="shared" si="91"/>
        <v>450000000</v>
      </c>
      <c r="AB280" s="505"/>
    </row>
    <row r="281" spans="1:28" ht="22.9" customHeight="1">
      <c r="A281" s="2627"/>
      <c r="B281" s="1145"/>
      <c r="C281" s="1126"/>
      <c r="D281" s="1131"/>
      <c r="E281" s="389" t="s">
        <v>3581</v>
      </c>
      <c r="F281" s="1141">
        <f t="shared" si="93"/>
        <v>2000</v>
      </c>
      <c r="G281" s="1139">
        <v>2000</v>
      </c>
      <c r="H281" s="338"/>
      <c r="I281" s="1127"/>
      <c r="J281" s="2643" t="s">
        <v>3602</v>
      </c>
      <c r="K281" s="2624"/>
      <c r="L281" s="2624"/>
      <c r="M281" s="2624"/>
      <c r="N281" s="2624"/>
      <c r="O281" s="2624"/>
      <c r="P281" s="2357"/>
      <c r="Q281" s="2644"/>
      <c r="R281" s="2630"/>
      <c r="S281" s="2644">
        <v>2000000</v>
      </c>
      <c r="T281" s="2644" t="s">
        <v>3538</v>
      </c>
      <c r="U281" s="2357"/>
      <c r="V281" s="2644">
        <v>1</v>
      </c>
      <c r="W281" s="2630" t="s">
        <v>3527</v>
      </c>
      <c r="X281" s="397" t="s">
        <v>1</v>
      </c>
      <c r="Y281" s="1142">
        <f>+Z281/1000</f>
        <v>2000</v>
      </c>
      <c r="Z281" s="1128">
        <f>S281*V281</f>
        <v>2000000</v>
      </c>
      <c r="AA281" s="907">
        <f t="shared" si="91"/>
        <v>2000000000</v>
      </c>
      <c r="AB281" s="505"/>
    </row>
    <row r="282" spans="1:28" ht="22.9" customHeight="1">
      <c r="A282" s="2627"/>
      <c r="B282" s="1145"/>
      <c r="C282" s="1154"/>
      <c r="D282" s="453"/>
      <c r="E282" s="389" t="s">
        <v>3563</v>
      </c>
      <c r="F282" s="1141">
        <f t="shared" si="93"/>
        <v>200</v>
      </c>
      <c r="G282" s="1139">
        <v>200</v>
      </c>
      <c r="H282" s="338"/>
      <c r="I282" s="1127"/>
      <c r="J282" s="2643" t="s">
        <v>3564</v>
      </c>
      <c r="K282" s="2624"/>
      <c r="L282" s="2624"/>
      <c r="M282" s="2624"/>
      <c r="N282" s="2624"/>
      <c r="O282" s="2624"/>
      <c r="P282" s="2357"/>
      <c r="Q282" s="2644">
        <v>5</v>
      </c>
      <c r="R282" s="2630" t="s">
        <v>23</v>
      </c>
      <c r="S282" s="2644">
        <v>10000</v>
      </c>
      <c r="T282" s="2644" t="s">
        <v>0</v>
      </c>
      <c r="U282" s="2357"/>
      <c r="V282" s="2644">
        <v>4</v>
      </c>
      <c r="W282" s="2630" t="s">
        <v>3</v>
      </c>
      <c r="X282" s="397" t="s">
        <v>3499</v>
      </c>
      <c r="Y282" s="1142">
        <f>+Z282/1000</f>
        <v>200</v>
      </c>
      <c r="Z282" s="1128">
        <f>S282*V282*Q282</f>
        <v>200000</v>
      </c>
      <c r="AA282" s="907">
        <f t="shared" si="91"/>
        <v>200000000</v>
      </c>
      <c r="AB282" s="505"/>
    </row>
    <row r="283" spans="1:28" ht="22.9" customHeight="1">
      <c r="A283" s="2627"/>
      <c r="B283" s="1145"/>
      <c r="C283" s="1126"/>
      <c r="D283" s="3275" t="s">
        <v>3603</v>
      </c>
      <c r="E283" s="3276"/>
      <c r="F283" s="499">
        <f>SUM(F284:F293)</f>
        <v>30000</v>
      </c>
      <c r="G283" s="499">
        <f>SUM(G284:G293)</f>
        <v>30000</v>
      </c>
      <c r="H283" s="1132">
        <f>F283-G283</f>
        <v>0</v>
      </c>
      <c r="I283" s="1127"/>
      <c r="J283" s="501"/>
      <c r="K283" s="2635"/>
      <c r="L283" s="2635"/>
      <c r="M283" s="2635"/>
      <c r="N283" s="2635"/>
      <c r="O283" s="2635"/>
      <c r="P283" s="484"/>
      <c r="Q283" s="2635"/>
      <c r="R283" s="1146"/>
      <c r="S283" s="484"/>
      <c r="T283" s="2635"/>
      <c r="U283" s="2635"/>
      <c r="V283" s="484"/>
      <c r="W283" s="2635"/>
      <c r="X283" s="502"/>
      <c r="Y283" s="503"/>
      <c r="Z283" s="1128"/>
      <c r="AA283" s="907">
        <f t="shared" ref="AA283:AA325" si="94">F283*1000000</f>
        <v>30000000000</v>
      </c>
      <c r="AB283" s="505"/>
    </row>
    <row r="284" spans="1:28" ht="22.9" customHeight="1">
      <c r="A284" s="2627"/>
      <c r="B284" s="1145"/>
      <c r="C284" s="1126"/>
      <c r="D284" s="1131"/>
      <c r="E284" s="1134" t="s">
        <v>3548</v>
      </c>
      <c r="F284" s="1141">
        <f t="shared" si="93"/>
        <v>2000</v>
      </c>
      <c r="G284" s="1139">
        <v>2000</v>
      </c>
      <c r="H284" s="1147"/>
      <c r="I284" s="1127"/>
      <c r="J284" s="2763" t="s">
        <v>1888</v>
      </c>
      <c r="K284" s="2624"/>
      <c r="L284" s="2624"/>
      <c r="M284" s="2624"/>
      <c r="N284" s="2624"/>
      <c r="O284" s="2624"/>
      <c r="P284" s="1675"/>
      <c r="Q284" s="2764">
        <v>1</v>
      </c>
      <c r="R284" s="2760" t="s">
        <v>619</v>
      </c>
      <c r="S284" s="2764">
        <v>20000</v>
      </c>
      <c r="T284" s="2764" t="s">
        <v>264</v>
      </c>
      <c r="U284" s="1675"/>
      <c r="V284" s="2764">
        <v>100</v>
      </c>
      <c r="W284" s="1671" t="s">
        <v>694</v>
      </c>
      <c r="X284" s="2672" t="s">
        <v>266</v>
      </c>
      <c r="Y284" s="1142">
        <f t="shared" ref="Y284" si="95">+Z284/1000</f>
        <v>2000</v>
      </c>
      <c r="Z284" s="1128">
        <f>V284*S284*Q284</f>
        <v>2000000</v>
      </c>
      <c r="AA284" s="907"/>
      <c r="AB284" s="505"/>
    </row>
    <row r="285" spans="1:28" ht="22.9" customHeight="1">
      <c r="A285" s="2627"/>
      <c r="B285" s="1145"/>
      <c r="C285" s="1126"/>
      <c r="D285" s="1148"/>
      <c r="E285" s="1134" t="s">
        <v>3551</v>
      </c>
      <c r="F285" s="1703">
        <f>Y285</f>
        <v>5200</v>
      </c>
      <c r="G285" s="1139">
        <v>5200</v>
      </c>
      <c r="H285" s="1147"/>
      <c r="I285" s="1127"/>
      <c r="J285" s="2643" t="s">
        <v>3568</v>
      </c>
      <c r="K285" s="2624"/>
      <c r="L285" s="2624"/>
      <c r="M285" s="2624"/>
      <c r="N285" s="2624"/>
      <c r="O285" s="2624"/>
      <c r="P285" s="1675"/>
      <c r="Q285" s="2644"/>
      <c r="R285" s="2630"/>
      <c r="S285" s="408"/>
      <c r="T285" s="2644"/>
      <c r="U285" s="1675"/>
      <c r="V285" s="2644"/>
      <c r="W285" s="2630"/>
      <c r="X285" s="397"/>
      <c r="Y285" s="1142">
        <f t="shared" ref="Y285:Y293" si="96">+Z285/1000</f>
        <v>5200</v>
      </c>
      <c r="Z285" s="1128">
        <f>Z286+Z287</f>
        <v>5200000</v>
      </c>
      <c r="AA285" s="907"/>
      <c r="AB285" s="505"/>
    </row>
    <row r="286" spans="1:28" ht="22.9" customHeight="1">
      <c r="A286" s="2627"/>
      <c r="B286" s="1145"/>
      <c r="C286" s="1126"/>
      <c r="D286" s="1148"/>
      <c r="E286" s="1134"/>
      <c r="F286" s="1703"/>
      <c r="G286" s="1139"/>
      <c r="H286" s="1147"/>
      <c r="I286" s="1127"/>
      <c r="J286" s="2761" t="s">
        <v>4805</v>
      </c>
      <c r="K286" s="2762"/>
      <c r="L286" s="2762"/>
      <c r="M286" s="2762"/>
      <c r="N286" s="2624"/>
      <c r="O286" s="2624"/>
      <c r="P286" s="1675"/>
      <c r="Q286" s="2644">
        <v>30</v>
      </c>
      <c r="R286" s="2630" t="s">
        <v>3517</v>
      </c>
      <c r="S286" s="408">
        <v>1000</v>
      </c>
      <c r="T286" s="2644" t="s">
        <v>3538</v>
      </c>
      <c r="U286" s="2357"/>
      <c r="V286" s="2644">
        <v>100</v>
      </c>
      <c r="W286" s="2630" t="s">
        <v>3505</v>
      </c>
      <c r="X286" s="2672" t="s">
        <v>3499</v>
      </c>
      <c r="Y286" s="1142">
        <f>Z286/1000</f>
        <v>3000</v>
      </c>
      <c r="Z286" s="1128">
        <f>Q286*S286*V286</f>
        <v>3000000</v>
      </c>
      <c r="AA286" s="907"/>
      <c r="AB286" s="505"/>
    </row>
    <row r="287" spans="1:28" ht="22.9" customHeight="1">
      <c r="A287" s="2627"/>
      <c r="B287" s="1145"/>
      <c r="C287" s="1126"/>
      <c r="D287" s="1148"/>
      <c r="E287" s="1134"/>
      <c r="F287" s="1703"/>
      <c r="G287" s="1139"/>
      <c r="H287" s="1147"/>
      <c r="I287" s="1127"/>
      <c r="J287" s="2761" t="s">
        <v>4806</v>
      </c>
      <c r="K287" s="2762"/>
      <c r="L287" s="2762"/>
      <c r="M287" s="2624"/>
      <c r="N287" s="2624"/>
      <c r="O287" s="2624"/>
      <c r="P287" s="1675"/>
      <c r="Q287" s="2644">
        <v>4</v>
      </c>
      <c r="R287" s="2630" t="s">
        <v>3605</v>
      </c>
      <c r="S287" s="408">
        <v>550000</v>
      </c>
      <c r="T287" s="2644" t="s">
        <v>3538</v>
      </c>
      <c r="U287" s="1675"/>
      <c r="V287" s="2644">
        <v>1</v>
      </c>
      <c r="W287" s="2630" t="s">
        <v>3527</v>
      </c>
      <c r="X287" s="2672" t="s">
        <v>3499</v>
      </c>
      <c r="Y287" s="1142">
        <f t="shared" si="96"/>
        <v>2200</v>
      </c>
      <c r="Z287" s="1128">
        <f>Q287*S287*V287</f>
        <v>2200000</v>
      </c>
      <c r="AA287" s="907"/>
      <c r="AB287" s="505"/>
    </row>
    <row r="288" spans="1:28" ht="22.9" customHeight="1">
      <c r="A288" s="2892"/>
      <c r="B288" s="1145"/>
      <c r="C288" s="1126"/>
      <c r="D288" s="1148"/>
      <c r="E288" s="1134" t="s">
        <v>195</v>
      </c>
      <c r="F288" s="1141">
        <f>Y288</f>
        <v>800</v>
      </c>
      <c r="G288" s="1139">
        <v>800</v>
      </c>
      <c r="H288" s="338"/>
      <c r="I288" s="1127"/>
      <c r="J288" s="2899" t="s">
        <v>1304</v>
      </c>
      <c r="K288" s="2889"/>
      <c r="L288" s="2889"/>
      <c r="M288" s="2889"/>
      <c r="N288" s="2889"/>
      <c r="O288" s="2889"/>
      <c r="P288" s="1675"/>
      <c r="Q288" s="2900">
        <v>20</v>
      </c>
      <c r="R288" s="2895" t="s">
        <v>202</v>
      </c>
      <c r="S288" s="408">
        <v>20000</v>
      </c>
      <c r="T288" s="2900" t="s">
        <v>264</v>
      </c>
      <c r="U288" s="1675"/>
      <c r="V288" s="2900">
        <v>2</v>
      </c>
      <c r="W288" s="1671" t="s">
        <v>220</v>
      </c>
      <c r="X288" s="2672" t="s">
        <v>266</v>
      </c>
      <c r="Y288" s="1142">
        <f t="shared" ref="Y288" si="97">+Z288/1000</f>
        <v>800</v>
      </c>
      <c r="Z288" s="1128">
        <f>Q288*S288*V288</f>
        <v>800000</v>
      </c>
      <c r="AA288" s="907"/>
      <c r="AB288" s="505"/>
    </row>
    <row r="289" spans="1:28" ht="22.9" customHeight="1">
      <c r="A289" s="2627"/>
      <c r="B289" s="1145"/>
      <c r="C289" s="1126"/>
      <c r="D289" s="1148"/>
      <c r="E289" s="1134" t="s">
        <v>3554</v>
      </c>
      <c r="F289" s="1703">
        <f>Y289</f>
        <v>8500</v>
      </c>
      <c r="G289" s="1139">
        <v>8500</v>
      </c>
      <c r="H289" s="338"/>
      <c r="I289" s="1127"/>
      <c r="J289" s="2643" t="s">
        <v>3568</v>
      </c>
      <c r="K289" s="2624"/>
      <c r="L289" s="2624"/>
      <c r="M289" s="2624"/>
      <c r="N289" s="2624"/>
      <c r="O289" s="2624"/>
      <c r="P289" s="1675"/>
      <c r="Q289" s="1675"/>
      <c r="R289" s="1675"/>
      <c r="S289" s="1675"/>
      <c r="T289" s="1675"/>
      <c r="U289" s="1675"/>
      <c r="V289" s="1675"/>
      <c r="W289" s="1675"/>
      <c r="X289" s="1387"/>
      <c r="Y289" s="1142">
        <f t="shared" si="96"/>
        <v>8500</v>
      </c>
      <c r="Z289" s="2673">
        <f>Z290+Z291</f>
        <v>8500000</v>
      </c>
      <c r="AA289" s="907"/>
      <c r="AB289" s="505"/>
    </row>
    <row r="290" spans="1:28" ht="22.9" customHeight="1">
      <c r="A290" s="2627"/>
      <c r="B290" s="1145"/>
      <c r="C290" s="1126"/>
      <c r="D290" s="1148"/>
      <c r="E290" s="1134"/>
      <c r="F290" s="1703"/>
      <c r="G290" s="1139"/>
      <c r="H290" s="338"/>
      <c r="I290" s="1127"/>
      <c r="J290" s="2761" t="s">
        <v>2730</v>
      </c>
      <c r="K290" s="2762"/>
      <c r="L290" s="2762"/>
      <c r="M290" s="2624"/>
      <c r="N290" s="2624"/>
      <c r="O290" s="2624"/>
      <c r="P290" s="1675"/>
      <c r="Q290" s="2644">
        <v>1</v>
      </c>
      <c r="R290" s="2630" t="s">
        <v>3517</v>
      </c>
      <c r="S290" s="408">
        <v>100000</v>
      </c>
      <c r="T290" s="2644" t="s">
        <v>3538</v>
      </c>
      <c r="U290" s="1675"/>
      <c r="V290" s="2644">
        <v>50</v>
      </c>
      <c r="W290" s="1671" t="s">
        <v>3505</v>
      </c>
      <c r="X290" s="2672" t="s">
        <v>3499</v>
      </c>
      <c r="Y290" s="1142">
        <f>+Z290/1000</f>
        <v>5000</v>
      </c>
      <c r="Z290" s="1128">
        <f>Q290*S290*V290</f>
        <v>5000000</v>
      </c>
      <c r="AA290" s="907"/>
      <c r="AB290" s="505"/>
    </row>
    <row r="291" spans="1:28" ht="22.9" customHeight="1">
      <c r="A291" s="2627"/>
      <c r="B291" s="1145"/>
      <c r="C291" s="1126"/>
      <c r="D291" s="1148"/>
      <c r="E291" s="1134"/>
      <c r="F291" s="1703"/>
      <c r="G291" s="1139"/>
      <c r="H291" s="338"/>
      <c r="I291" s="1127"/>
      <c r="J291" s="2761" t="s">
        <v>3530</v>
      </c>
      <c r="K291" s="2762"/>
      <c r="L291" s="2762"/>
      <c r="M291" s="2624"/>
      <c r="N291" s="2624"/>
      <c r="O291" s="2624"/>
      <c r="P291" s="1675"/>
      <c r="Q291" s="2644">
        <v>1</v>
      </c>
      <c r="R291" s="2630" t="s">
        <v>3517</v>
      </c>
      <c r="S291" s="408">
        <v>70000</v>
      </c>
      <c r="T291" s="2644" t="s">
        <v>3538</v>
      </c>
      <c r="U291" s="1675"/>
      <c r="V291" s="2644">
        <v>50</v>
      </c>
      <c r="W291" s="1671" t="s">
        <v>3505</v>
      </c>
      <c r="X291" s="2672" t="s">
        <v>3499</v>
      </c>
      <c r="Y291" s="1142">
        <f>+Z291/1000</f>
        <v>3500</v>
      </c>
      <c r="Z291" s="1128">
        <f>Q291*S291*V291</f>
        <v>3500000</v>
      </c>
      <c r="AA291" s="907"/>
      <c r="AB291" s="505"/>
    </row>
    <row r="292" spans="1:28" ht="22.9" customHeight="1">
      <c r="A292" s="2627"/>
      <c r="B292" s="1145"/>
      <c r="C292" s="1126"/>
      <c r="D292" s="466"/>
      <c r="E292" s="1134" t="s">
        <v>3541</v>
      </c>
      <c r="F292" s="1141">
        <f>Y292</f>
        <v>13000</v>
      </c>
      <c r="G292" s="1139">
        <v>13000</v>
      </c>
      <c r="H292" s="338"/>
      <c r="I292" s="1127"/>
      <c r="J292" s="2899" t="s">
        <v>5752</v>
      </c>
      <c r="K292" s="2624"/>
      <c r="L292" s="2624"/>
      <c r="M292" s="2624"/>
      <c r="N292" s="2624"/>
      <c r="O292" s="2624"/>
      <c r="P292" s="1675"/>
      <c r="Q292" s="2644">
        <v>2</v>
      </c>
      <c r="R292" s="2630" t="s">
        <v>3604</v>
      </c>
      <c r="S292" s="408">
        <v>3250</v>
      </c>
      <c r="T292" s="2644" t="s">
        <v>3538</v>
      </c>
      <c r="U292" s="1675"/>
      <c r="V292" s="2644">
        <v>2000</v>
      </c>
      <c r="W292" s="1671" t="s">
        <v>3606</v>
      </c>
      <c r="X292" s="2672" t="s">
        <v>3499</v>
      </c>
      <c r="Y292" s="1142">
        <f t="shared" si="96"/>
        <v>13000</v>
      </c>
      <c r="Z292" s="1128">
        <f>Q292*S292*V292</f>
        <v>13000000</v>
      </c>
      <c r="AA292" s="907"/>
      <c r="AB292" s="505"/>
    </row>
    <row r="293" spans="1:28" ht="22.9" customHeight="1">
      <c r="A293" s="2627"/>
      <c r="B293" s="1145"/>
      <c r="C293" s="1126"/>
      <c r="D293" s="1131"/>
      <c r="E293" s="1134" t="s">
        <v>3563</v>
      </c>
      <c r="F293" s="1141">
        <f>Y293</f>
        <v>500</v>
      </c>
      <c r="G293" s="1139">
        <v>500</v>
      </c>
      <c r="H293" s="1147"/>
      <c r="I293" s="1127"/>
      <c r="J293" s="2899" t="s">
        <v>5751</v>
      </c>
      <c r="K293" s="2624"/>
      <c r="L293" s="2624"/>
      <c r="M293" s="2624"/>
      <c r="N293" s="2624"/>
      <c r="O293" s="2624"/>
      <c r="P293" s="1675"/>
      <c r="Q293" s="2644">
        <v>10</v>
      </c>
      <c r="R293" s="2630" t="s">
        <v>3605</v>
      </c>
      <c r="S293" s="408">
        <v>10000</v>
      </c>
      <c r="T293" s="2644" t="s">
        <v>3538</v>
      </c>
      <c r="U293" s="1675"/>
      <c r="V293" s="2644">
        <v>5</v>
      </c>
      <c r="W293" s="2630" t="s">
        <v>3510</v>
      </c>
      <c r="X293" s="765" t="s">
        <v>3499</v>
      </c>
      <c r="Y293" s="1142">
        <f t="shared" si="96"/>
        <v>500</v>
      </c>
      <c r="Z293" s="1128">
        <f>Q293*S293*V293</f>
        <v>500000</v>
      </c>
      <c r="AA293" s="907"/>
      <c r="AB293" s="505"/>
    </row>
    <row r="294" spans="1:28" ht="22.9" customHeight="1">
      <c r="A294" s="2627"/>
      <c r="B294" s="1145"/>
      <c r="C294" s="1126"/>
      <c r="D294" s="3421" t="s">
        <v>3607</v>
      </c>
      <c r="E294" s="3421"/>
      <c r="F294" s="499">
        <f>SUM(F295:F296)</f>
        <v>15000</v>
      </c>
      <c r="G294" s="499">
        <f>SUM(G295:G296)</f>
        <v>15000</v>
      </c>
      <c r="H294" s="1132">
        <f>F294-G294</f>
        <v>0</v>
      </c>
      <c r="I294" s="1127"/>
      <c r="J294" s="501"/>
      <c r="K294" s="2635"/>
      <c r="L294" s="2635"/>
      <c r="M294" s="2635"/>
      <c r="N294" s="2635"/>
      <c r="O294" s="2635"/>
      <c r="P294" s="484"/>
      <c r="Q294" s="2635"/>
      <c r="R294" s="1146"/>
      <c r="S294" s="484"/>
      <c r="T294" s="2635"/>
      <c r="U294" s="2635"/>
      <c r="V294" s="484"/>
      <c r="W294" s="2635"/>
      <c r="X294" s="502"/>
      <c r="Y294" s="503"/>
      <c r="Z294" s="1128"/>
      <c r="AA294" s="907">
        <f t="shared" si="94"/>
        <v>15000000000</v>
      </c>
      <c r="AB294" s="505"/>
    </row>
    <row r="295" spans="1:28" ht="22.9" customHeight="1">
      <c r="A295" s="2627"/>
      <c r="B295" s="1145"/>
      <c r="C295" s="1126"/>
      <c r="D295" s="1131"/>
      <c r="E295" s="1154" t="s">
        <v>3544</v>
      </c>
      <c r="F295" s="1141">
        <f>Y295</f>
        <v>14000</v>
      </c>
      <c r="G295" s="1141">
        <v>14000</v>
      </c>
      <c r="H295" s="523"/>
      <c r="I295" s="473"/>
      <c r="J295" s="348" t="s">
        <v>5753</v>
      </c>
      <c r="K295" s="2357"/>
      <c r="L295" s="2357"/>
      <c r="M295" s="2357"/>
      <c r="N295" s="2357"/>
      <c r="O295" s="2357"/>
      <c r="P295" s="2357"/>
      <c r="Q295" s="408">
        <v>2</v>
      </c>
      <c r="R295" s="2628" t="s">
        <v>3517</v>
      </c>
      <c r="S295" s="524">
        <v>3500000</v>
      </c>
      <c r="T295" s="466" t="s">
        <v>0</v>
      </c>
      <c r="U295" s="2357"/>
      <c r="V295" s="2644">
        <v>2</v>
      </c>
      <c r="W295" s="2644" t="s">
        <v>3</v>
      </c>
      <c r="X295" s="525" t="s">
        <v>1</v>
      </c>
      <c r="Y295" s="1674">
        <f t="shared" ref="Y295:Y296" si="98">Z295/1000</f>
        <v>14000</v>
      </c>
      <c r="Z295" s="1098">
        <f>Q295*S295*V295</f>
        <v>14000000</v>
      </c>
      <c r="AA295" s="907">
        <f t="shared" si="94"/>
        <v>14000000000</v>
      </c>
      <c r="AB295" s="505"/>
    </row>
    <row r="296" spans="1:28" ht="22.9" customHeight="1">
      <c r="A296" s="2627"/>
      <c r="B296" s="1145"/>
      <c r="C296" s="1126"/>
      <c r="D296" s="1131"/>
      <c r="E296" s="1154" t="s">
        <v>3581</v>
      </c>
      <c r="F296" s="1141">
        <f>Y296</f>
        <v>1000</v>
      </c>
      <c r="G296" s="1141">
        <v>1000</v>
      </c>
      <c r="H296" s="523"/>
      <c r="I296" s="473"/>
      <c r="J296" s="3373" t="s">
        <v>5754</v>
      </c>
      <c r="K296" s="3374"/>
      <c r="L296" s="3374"/>
      <c r="M296" s="3374"/>
      <c r="N296" s="2620"/>
      <c r="O296" s="2620"/>
      <c r="P296" s="2620"/>
      <c r="Q296" s="372"/>
      <c r="R296" s="1128"/>
      <c r="S296" s="524">
        <v>1000000</v>
      </c>
      <c r="T296" s="466" t="s">
        <v>0</v>
      </c>
      <c r="U296" s="2357"/>
      <c r="V296" s="366">
        <v>1</v>
      </c>
      <c r="W296" s="466" t="s">
        <v>3505</v>
      </c>
      <c r="X296" s="525" t="s">
        <v>1</v>
      </c>
      <c r="Y296" s="1674">
        <f t="shared" si="98"/>
        <v>1000</v>
      </c>
      <c r="Z296" s="1823">
        <f t="shared" ref="Z296" si="99">S296*V296</f>
        <v>1000000</v>
      </c>
      <c r="AA296" s="907">
        <f t="shared" si="94"/>
        <v>1000000000</v>
      </c>
      <c r="AB296" s="505"/>
    </row>
    <row r="297" spans="1:28" ht="22.9" customHeight="1">
      <c r="A297" s="2627"/>
      <c r="B297" s="1145"/>
      <c r="C297" s="3427" t="s">
        <v>2978</v>
      </c>
      <c r="D297" s="3428"/>
      <c r="E297" s="3429"/>
      <c r="F297" s="2907">
        <f>SUM(F298)</f>
        <v>90000</v>
      </c>
      <c r="G297" s="2907">
        <f>SUM(G298)</f>
        <v>90000</v>
      </c>
      <c r="H297" s="689">
        <f>F297-G297</f>
        <v>0</v>
      </c>
      <c r="I297" s="1164"/>
      <c r="J297" s="889"/>
      <c r="K297" s="2912"/>
      <c r="L297" s="2912"/>
      <c r="M297" s="2912"/>
      <c r="N297" s="2912"/>
      <c r="O297" s="2912"/>
      <c r="P297" s="2379"/>
      <c r="Q297" s="732"/>
      <c r="R297" s="890"/>
      <c r="S297" s="732"/>
      <c r="T297" s="732"/>
      <c r="U297" s="2379"/>
      <c r="V297" s="732"/>
      <c r="W297" s="732"/>
      <c r="X297" s="891"/>
      <c r="Y297" s="2445"/>
      <c r="Z297" s="1128"/>
      <c r="AA297" s="907">
        <f t="shared" si="94"/>
        <v>90000000000</v>
      </c>
      <c r="AB297" s="505"/>
    </row>
    <row r="298" spans="1:28" ht="22.9" customHeight="1">
      <c r="A298" s="2627"/>
      <c r="B298" s="1145"/>
      <c r="C298" s="508"/>
      <c r="D298" s="3280" t="s">
        <v>2411</v>
      </c>
      <c r="E298" s="3282"/>
      <c r="F298" s="3016">
        <f>SUM(F299:F308)</f>
        <v>90000</v>
      </c>
      <c r="G298" s="3016">
        <f>SUM(G299:G308)</f>
        <v>90000</v>
      </c>
      <c r="H298" s="3017">
        <f>F298-G298</f>
        <v>0</v>
      </c>
      <c r="I298" s="1164"/>
      <c r="J298" s="2369"/>
      <c r="K298" s="2640"/>
      <c r="L298" s="2640"/>
      <c r="M298" s="2640"/>
      <c r="N298" s="2640"/>
      <c r="O298" s="2640"/>
      <c r="P298" s="731"/>
      <c r="Q298" s="2640"/>
      <c r="R298" s="2379"/>
      <c r="S298" s="731"/>
      <c r="T298" s="2640"/>
      <c r="U298" s="2640"/>
      <c r="V298" s="731"/>
      <c r="W298" s="2640"/>
      <c r="X298" s="2370"/>
      <c r="Y298" s="696"/>
      <c r="Z298" s="1128"/>
      <c r="AA298" s="907">
        <f t="shared" si="94"/>
        <v>90000000000</v>
      </c>
      <c r="AB298" s="505"/>
    </row>
    <row r="299" spans="1:28" ht="22.9" customHeight="1">
      <c r="A299" s="2627"/>
      <c r="B299" s="1145"/>
      <c r="C299" s="508"/>
      <c r="D299" s="2373"/>
      <c r="E299" s="510" t="s">
        <v>590</v>
      </c>
      <c r="F299" s="511">
        <f t="shared" ref="F299:F302" si="100">+Y299</f>
        <v>6344.9999999999991</v>
      </c>
      <c r="G299" s="512">
        <v>6345</v>
      </c>
      <c r="H299" s="513"/>
      <c r="I299" s="1164"/>
      <c r="J299" s="514" t="s">
        <v>3608</v>
      </c>
      <c r="K299" s="2880"/>
      <c r="L299" s="2880"/>
      <c r="M299" s="2880"/>
      <c r="N299" s="2880"/>
      <c r="O299" s="2880"/>
      <c r="P299" s="515"/>
      <c r="Q299" s="2946"/>
      <c r="R299" s="2887"/>
      <c r="S299" s="3018">
        <v>10575000000</v>
      </c>
      <c r="T299" s="516" t="s">
        <v>273</v>
      </c>
      <c r="U299" s="515"/>
      <c r="V299" s="2946">
        <v>5.9999999999999995E-4</v>
      </c>
      <c r="W299" s="516"/>
      <c r="X299" s="517" t="s">
        <v>266</v>
      </c>
      <c r="Y299" s="2383">
        <f>+Z299/1000</f>
        <v>6344.9999999999991</v>
      </c>
      <c r="Z299" s="1128">
        <f>+S299*V299</f>
        <v>6344999.9999999991</v>
      </c>
      <c r="AA299" s="907">
        <f t="shared" si="94"/>
        <v>6344999999.999999</v>
      </c>
      <c r="AB299" s="505"/>
    </row>
    <row r="300" spans="1:28" ht="22.9" customHeight="1">
      <c r="A300" s="2627"/>
      <c r="B300" s="1145"/>
      <c r="C300" s="508"/>
      <c r="D300" s="2373"/>
      <c r="E300" s="510" t="s">
        <v>224</v>
      </c>
      <c r="F300" s="511">
        <f t="shared" si="100"/>
        <v>1492</v>
      </c>
      <c r="G300" s="512">
        <v>2292</v>
      </c>
      <c r="H300" s="513">
        <f t="shared" ref="H300" si="101">F300-G300</f>
        <v>-800</v>
      </c>
      <c r="I300" s="1164"/>
      <c r="J300" s="514" t="s">
        <v>3609</v>
      </c>
      <c r="K300" s="2880"/>
      <c r="L300" s="2880"/>
      <c r="M300" s="2880"/>
      <c r="N300" s="2880"/>
      <c r="O300" s="2880"/>
      <c r="P300" s="515"/>
      <c r="Q300" s="516"/>
      <c r="R300" s="2887"/>
      <c r="S300" s="516">
        <v>298400</v>
      </c>
      <c r="T300" s="516" t="s">
        <v>264</v>
      </c>
      <c r="U300" s="515"/>
      <c r="V300" s="516">
        <v>5</v>
      </c>
      <c r="W300" s="516" t="s">
        <v>203</v>
      </c>
      <c r="X300" s="517" t="s">
        <v>266</v>
      </c>
      <c r="Y300" s="2383">
        <f>+Z300/1000</f>
        <v>1492</v>
      </c>
      <c r="Z300" s="1128">
        <f>S300*V300</f>
        <v>1492000</v>
      </c>
      <c r="AA300" s="907">
        <f t="shared" si="94"/>
        <v>1492000000</v>
      </c>
      <c r="AB300" s="505"/>
    </row>
    <row r="301" spans="1:28" ht="22.9" customHeight="1">
      <c r="A301" s="2627"/>
      <c r="B301" s="1145"/>
      <c r="C301" s="508"/>
      <c r="D301" s="2373"/>
      <c r="E301" s="510" t="s">
        <v>195</v>
      </c>
      <c r="F301" s="511">
        <f t="shared" si="100"/>
        <v>300</v>
      </c>
      <c r="G301" s="512">
        <v>3302</v>
      </c>
      <c r="H301" s="513">
        <f>F301-G301</f>
        <v>-3002</v>
      </c>
      <c r="I301" s="1164"/>
      <c r="J301" s="514" t="s">
        <v>5546</v>
      </c>
      <c r="K301" s="2880"/>
      <c r="L301" s="2880"/>
      <c r="M301" s="2880"/>
      <c r="N301" s="2880"/>
      <c r="O301" s="2880"/>
      <c r="P301" s="515"/>
      <c r="Q301" s="516"/>
      <c r="R301" s="2887"/>
      <c r="S301" s="516">
        <v>30000</v>
      </c>
      <c r="T301" s="516" t="s">
        <v>264</v>
      </c>
      <c r="U301" s="515"/>
      <c r="V301" s="516">
        <v>10</v>
      </c>
      <c r="W301" s="516" t="s">
        <v>203</v>
      </c>
      <c r="X301" s="517" t="s">
        <v>266</v>
      </c>
      <c r="Y301" s="2383">
        <f>+Z301/1000</f>
        <v>300</v>
      </c>
      <c r="Z301" s="1128">
        <f>S301*V301</f>
        <v>300000</v>
      </c>
      <c r="AA301" s="907">
        <f t="shared" si="94"/>
        <v>300000000</v>
      </c>
      <c r="AB301" s="505"/>
    </row>
    <row r="302" spans="1:28" ht="22.9" customHeight="1">
      <c r="A302" s="2627"/>
      <c r="B302" s="1145"/>
      <c r="C302" s="508"/>
      <c r="D302" s="2373"/>
      <c r="E302" s="510" t="s">
        <v>268</v>
      </c>
      <c r="F302" s="511">
        <f t="shared" si="100"/>
        <v>0</v>
      </c>
      <c r="G302" s="512">
        <v>6331</v>
      </c>
      <c r="H302" s="513">
        <f t="shared" ref="H302:H308" si="102">F302-G302</f>
        <v>-6331</v>
      </c>
      <c r="I302" s="1164"/>
      <c r="J302" s="514" t="s">
        <v>5124</v>
      </c>
      <c r="K302" s="2880"/>
      <c r="L302" s="2880"/>
      <c r="M302" s="2880"/>
      <c r="N302" s="2880"/>
      <c r="O302" s="2880"/>
      <c r="P302" s="515"/>
      <c r="Q302" s="516"/>
      <c r="R302" s="2887"/>
      <c r="S302" s="516"/>
      <c r="T302" s="516"/>
      <c r="U302" s="515"/>
      <c r="V302" s="516"/>
      <c r="W302" s="516"/>
      <c r="X302" s="517"/>
      <c r="Y302" s="2383"/>
      <c r="Z302" s="1128">
        <f>S302*Q302*V302</f>
        <v>0</v>
      </c>
      <c r="AA302" s="907">
        <f t="shared" si="94"/>
        <v>0</v>
      </c>
      <c r="AB302" s="505"/>
    </row>
    <row r="303" spans="1:28" ht="22.9" customHeight="1">
      <c r="A303" s="2892"/>
      <c r="B303" s="1145"/>
      <c r="C303" s="508"/>
      <c r="D303" s="2373"/>
      <c r="E303" s="510" t="s">
        <v>21</v>
      </c>
      <c r="F303" s="511">
        <f>+Y303</f>
        <v>1000</v>
      </c>
      <c r="G303" s="512">
        <v>0</v>
      </c>
      <c r="H303" s="513">
        <f t="shared" si="102"/>
        <v>1000</v>
      </c>
      <c r="I303" s="1164"/>
      <c r="J303" s="514" t="s">
        <v>5833</v>
      </c>
      <c r="K303" s="2880"/>
      <c r="L303" s="2880"/>
      <c r="M303" s="2880"/>
      <c r="N303" s="2880"/>
      <c r="O303" s="2880"/>
      <c r="P303" s="515"/>
      <c r="Q303" s="2946"/>
      <c r="R303" s="2887"/>
      <c r="S303" s="3018">
        <v>1000000</v>
      </c>
      <c r="T303" s="516" t="s">
        <v>273</v>
      </c>
      <c r="U303" s="515"/>
      <c r="V303" s="516">
        <v>1</v>
      </c>
      <c r="W303" s="516" t="s">
        <v>203</v>
      </c>
      <c r="X303" s="517" t="s">
        <v>266</v>
      </c>
      <c r="Y303" s="2383">
        <f>+Z303/1000</f>
        <v>1000</v>
      </c>
      <c r="Z303" s="1128">
        <f>+V303*S303</f>
        <v>1000000</v>
      </c>
      <c r="AA303" s="907">
        <f t="shared" si="94"/>
        <v>1000000000</v>
      </c>
      <c r="AB303" s="505"/>
    </row>
    <row r="304" spans="1:28" ht="22.9" customHeight="1">
      <c r="A304" s="2627"/>
      <c r="B304" s="1145"/>
      <c r="C304" s="508"/>
      <c r="D304" s="2373"/>
      <c r="E304" s="510" t="s">
        <v>269</v>
      </c>
      <c r="F304" s="511">
        <f t="shared" ref="F304:F308" si="103">+Y304</f>
        <v>30000</v>
      </c>
      <c r="G304" s="512">
        <v>32000</v>
      </c>
      <c r="H304" s="513">
        <f t="shared" si="102"/>
        <v>-2000</v>
      </c>
      <c r="I304" s="1164"/>
      <c r="J304" s="514" t="s">
        <v>729</v>
      </c>
      <c r="K304" s="2880"/>
      <c r="L304" s="2880"/>
      <c r="M304" s="2880"/>
      <c r="N304" s="2880"/>
      <c r="O304" s="2880"/>
      <c r="P304" s="515"/>
      <c r="Q304" s="516"/>
      <c r="R304" s="2887"/>
      <c r="S304" s="516"/>
      <c r="T304" s="516"/>
      <c r="U304" s="515"/>
      <c r="V304" s="516"/>
      <c r="W304" s="516"/>
      <c r="X304" s="517"/>
      <c r="Y304" s="2383">
        <f>+SUM(Y305:Y306)</f>
        <v>30000</v>
      </c>
      <c r="Z304" s="1128">
        <f>Z305+Z306</f>
        <v>30000000</v>
      </c>
      <c r="AA304" s="907">
        <f t="shared" si="94"/>
        <v>30000000000</v>
      </c>
      <c r="AB304" s="505"/>
    </row>
    <row r="305" spans="1:29" ht="22.9" customHeight="1">
      <c r="A305" s="2627"/>
      <c r="B305" s="1145"/>
      <c r="C305" s="508"/>
      <c r="D305" s="2373"/>
      <c r="E305" s="510"/>
      <c r="F305" s="511"/>
      <c r="G305" s="512"/>
      <c r="H305" s="513"/>
      <c r="I305" s="1164"/>
      <c r="J305" s="514" t="s">
        <v>3610</v>
      </c>
      <c r="K305" s="2880"/>
      <c r="L305" s="2880"/>
      <c r="M305" s="2880"/>
      <c r="N305" s="2880"/>
      <c r="O305" s="2880"/>
      <c r="P305" s="515"/>
      <c r="Q305" s="516"/>
      <c r="R305" s="2887"/>
      <c r="S305" s="516">
        <v>27600000</v>
      </c>
      <c r="T305" s="516" t="s">
        <v>264</v>
      </c>
      <c r="U305" s="515"/>
      <c r="V305" s="516">
        <v>1</v>
      </c>
      <c r="W305" s="516" t="s">
        <v>977</v>
      </c>
      <c r="X305" s="517" t="s">
        <v>266</v>
      </c>
      <c r="Y305" s="2383">
        <f>+Z305/1000</f>
        <v>27600</v>
      </c>
      <c r="Z305" s="1128">
        <f>S305*V305</f>
        <v>27600000</v>
      </c>
      <c r="AA305" s="907">
        <f t="shared" si="94"/>
        <v>0</v>
      </c>
      <c r="AB305" s="505"/>
    </row>
    <row r="306" spans="1:29" ht="22.9" customHeight="1">
      <c r="A306" s="2627"/>
      <c r="B306" s="1145"/>
      <c r="C306" s="508"/>
      <c r="D306" s="2373"/>
      <c r="E306" s="510"/>
      <c r="F306" s="511"/>
      <c r="G306" s="512"/>
      <c r="H306" s="513"/>
      <c r="I306" s="1164"/>
      <c r="J306" s="514" t="s">
        <v>3611</v>
      </c>
      <c r="K306" s="2880"/>
      <c r="L306" s="2880"/>
      <c r="M306" s="2880"/>
      <c r="N306" s="2880"/>
      <c r="O306" s="2880"/>
      <c r="P306" s="515"/>
      <c r="Q306" s="516">
        <v>6</v>
      </c>
      <c r="R306" s="2887" t="s">
        <v>33</v>
      </c>
      <c r="S306" s="516">
        <v>200000</v>
      </c>
      <c r="T306" s="516" t="s">
        <v>264</v>
      </c>
      <c r="U306" s="515"/>
      <c r="V306" s="516">
        <v>2</v>
      </c>
      <c r="W306" s="516" t="s">
        <v>203</v>
      </c>
      <c r="X306" s="517" t="s">
        <v>266</v>
      </c>
      <c r="Y306" s="2383">
        <f>+Z306/1000</f>
        <v>2400</v>
      </c>
      <c r="Z306" s="1128">
        <f>Q306*S306*V306</f>
        <v>2400000</v>
      </c>
      <c r="AA306" s="907">
        <f t="shared" si="94"/>
        <v>0</v>
      </c>
      <c r="AB306" s="505"/>
    </row>
    <row r="307" spans="1:29" ht="22.9" customHeight="1">
      <c r="A307" s="2627"/>
      <c r="B307" s="1145"/>
      <c r="C307" s="508"/>
      <c r="D307" s="2373"/>
      <c r="E307" s="510" t="s">
        <v>287</v>
      </c>
      <c r="F307" s="511">
        <f t="shared" si="103"/>
        <v>50100</v>
      </c>
      <c r="G307" s="512">
        <v>38730</v>
      </c>
      <c r="H307" s="513">
        <f t="shared" si="102"/>
        <v>11370</v>
      </c>
      <c r="I307" s="1164"/>
      <c r="J307" s="514" t="s">
        <v>5545</v>
      </c>
      <c r="K307" s="2880"/>
      <c r="L307" s="2880"/>
      <c r="M307" s="2880"/>
      <c r="N307" s="2880"/>
      <c r="O307" s="2880"/>
      <c r="P307" s="515"/>
      <c r="Q307" s="516"/>
      <c r="R307" s="2887"/>
      <c r="S307" s="516">
        <v>25050000</v>
      </c>
      <c r="T307" s="516" t="s">
        <v>264</v>
      </c>
      <c r="U307" s="515"/>
      <c r="V307" s="516">
        <v>2</v>
      </c>
      <c r="W307" s="516" t="s">
        <v>5547</v>
      </c>
      <c r="X307" s="517" t="s">
        <v>266</v>
      </c>
      <c r="Y307" s="2383">
        <f t="shared" ref="Y307:Y308" si="104">+Z307/1000</f>
        <v>50100</v>
      </c>
      <c r="Z307" s="1128">
        <f>S307*V307</f>
        <v>50100000</v>
      </c>
      <c r="AA307" s="907">
        <f t="shared" si="94"/>
        <v>50100000000</v>
      </c>
      <c r="AB307" s="505"/>
    </row>
    <row r="308" spans="1:29" ht="22.9" customHeight="1">
      <c r="A308" s="2627"/>
      <c r="B308" s="1145"/>
      <c r="C308" s="508"/>
      <c r="D308" s="2373"/>
      <c r="E308" s="510" t="s">
        <v>211</v>
      </c>
      <c r="F308" s="511">
        <f t="shared" si="103"/>
        <v>763</v>
      </c>
      <c r="G308" s="512">
        <v>1000</v>
      </c>
      <c r="H308" s="513">
        <f t="shared" si="102"/>
        <v>-237</v>
      </c>
      <c r="I308" s="1164"/>
      <c r="J308" s="514" t="s">
        <v>5548</v>
      </c>
      <c r="K308" s="2880"/>
      <c r="L308" s="2880"/>
      <c r="M308" s="2880"/>
      <c r="N308" s="2880"/>
      <c r="O308" s="2880"/>
      <c r="P308" s="515"/>
      <c r="Q308" s="516">
        <v>5</v>
      </c>
      <c r="R308" s="2887" t="s">
        <v>33</v>
      </c>
      <c r="S308" s="516">
        <v>15260</v>
      </c>
      <c r="T308" s="516" t="s">
        <v>264</v>
      </c>
      <c r="U308" s="515"/>
      <c r="V308" s="516">
        <v>10</v>
      </c>
      <c r="W308" s="516" t="s">
        <v>203</v>
      </c>
      <c r="X308" s="517" t="s">
        <v>266</v>
      </c>
      <c r="Y308" s="2383">
        <f t="shared" si="104"/>
        <v>763</v>
      </c>
      <c r="Z308" s="1128">
        <f>Q308*S308*V308</f>
        <v>763000</v>
      </c>
      <c r="AA308" s="907">
        <f t="shared" si="94"/>
        <v>763000000</v>
      </c>
      <c r="AB308" s="505"/>
    </row>
    <row r="309" spans="1:29" ht="22.9" customHeight="1">
      <c r="A309" s="2627"/>
      <c r="B309" s="1145"/>
      <c r="C309" s="3411" t="s">
        <v>3612</v>
      </c>
      <c r="D309" s="3416"/>
      <c r="E309" s="3412"/>
      <c r="F309" s="1153">
        <f>+F310+F316+F325+F338+F346+F355</f>
        <v>315000</v>
      </c>
      <c r="G309" s="1153">
        <f>+G310+G316+G325+G338+G346+G355</f>
        <v>315000</v>
      </c>
      <c r="H309" s="1132">
        <f>F309-G309</f>
        <v>0</v>
      </c>
      <c r="I309" s="1127"/>
      <c r="J309" s="1135"/>
      <c r="K309" s="2598"/>
      <c r="L309" s="2598"/>
      <c r="M309" s="2598"/>
      <c r="N309" s="2598"/>
      <c r="O309" s="2598"/>
      <c r="P309" s="1146"/>
      <c r="Q309" s="1136"/>
      <c r="R309" s="1137"/>
      <c r="S309" s="1136"/>
      <c r="T309" s="1136"/>
      <c r="U309" s="1146"/>
      <c r="V309" s="1136"/>
      <c r="W309" s="1136"/>
      <c r="X309" s="1138"/>
      <c r="Y309" s="1168"/>
      <c r="Z309" s="1128"/>
      <c r="AA309" s="907">
        <f t="shared" si="94"/>
        <v>315000000000</v>
      </c>
      <c r="AB309" s="505"/>
    </row>
    <row r="310" spans="1:29" ht="22.9" customHeight="1">
      <c r="A310" s="2627"/>
      <c r="B310" s="1145"/>
      <c r="C310" s="1126"/>
      <c r="D310" s="3266" t="s">
        <v>3613</v>
      </c>
      <c r="E310" s="3267"/>
      <c r="F310" s="499">
        <f>SUM(F311:F315)</f>
        <v>150000</v>
      </c>
      <c r="G310" s="499">
        <f>SUM(G311:G315)</f>
        <v>150000</v>
      </c>
      <c r="H310" s="361">
        <f>F310-G310</f>
        <v>0</v>
      </c>
      <c r="I310" s="1127"/>
      <c r="J310" s="1135"/>
      <c r="K310" s="2598"/>
      <c r="L310" s="2598"/>
      <c r="M310" s="2598"/>
      <c r="N310" s="2598"/>
      <c r="O310" s="2598"/>
      <c r="P310" s="1146"/>
      <c r="Q310" s="1136"/>
      <c r="R310" s="1137"/>
      <c r="S310" s="1136"/>
      <c r="T310" s="1136"/>
      <c r="U310" s="1146"/>
      <c r="V310" s="1136"/>
      <c r="W310" s="1136"/>
      <c r="X310" s="1138"/>
      <c r="Y310" s="1168"/>
      <c r="Z310" s="1128">
        <f>SUM(Z311:Z315)</f>
        <v>0</v>
      </c>
      <c r="AA310" s="907">
        <f t="shared" si="94"/>
        <v>150000000000</v>
      </c>
      <c r="AB310" s="505"/>
    </row>
    <row r="311" spans="1:29" ht="22.9" customHeight="1">
      <c r="A311" s="2627"/>
      <c r="B311" s="1145"/>
      <c r="C311" s="1126"/>
      <c r="D311" s="1131"/>
      <c r="E311" s="1134" t="s">
        <v>3519</v>
      </c>
      <c r="F311" s="1141">
        <f t="shared" ref="F311:F315" si="105">+Y311</f>
        <v>143500</v>
      </c>
      <c r="G311" s="1139">
        <v>143500</v>
      </c>
      <c r="H311" s="1147"/>
      <c r="I311" s="1127"/>
      <c r="J311" s="2643" t="s">
        <v>3614</v>
      </c>
      <c r="K311" s="2624"/>
      <c r="L311" s="2624"/>
      <c r="M311" s="2624"/>
      <c r="N311" s="2624"/>
      <c r="O311" s="2624"/>
      <c r="P311" s="1675"/>
      <c r="Q311" s="2644">
        <v>7</v>
      </c>
      <c r="R311" s="2630" t="s">
        <v>3517</v>
      </c>
      <c r="S311" s="2644">
        <v>2500000</v>
      </c>
      <c r="T311" s="2644" t="s">
        <v>3538</v>
      </c>
      <c r="U311" s="1675"/>
      <c r="V311" s="2644">
        <v>8.1999999999999993</v>
      </c>
      <c r="W311" s="2630" t="s">
        <v>3615</v>
      </c>
      <c r="X311" s="1140" t="s">
        <v>3499</v>
      </c>
      <c r="Y311" s="1142">
        <f>SUM(S311*Q311*V311)/1000</f>
        <v>143500</v>
      </c>
      <c r="Z311" s="1128"/>
      <c r="AA311" s="907"/>
      <c r="AB311" s="505"/>
    </row>
    <row r="312" spans="1:29" ht="22.9" customHeight="1">
      <c r="A312" s="2892"/>
      <c r="B312" s="1145"/>
      <c r="C312" s="1126"/>
      <c r="D312" s="1131"/>
      <c r="E312" s="1134" t="s">
        <v>1830</v>
      </c>
      <c r="F312" s="1141">
        <f t="shared" ref="F312" si="106">+Y312</f>
        <v>1600</v>
      </c>
      <c r="G312" s="1139">
        <v>1600</v>
      </c>
      <c r="H312" s="1147"/>
      <c r="I312" s="1127"/>
      <c r="J312" s="2899" t="s">
        <v>3617</v>
      </c>
      <c r="K312" s="2889"/>
      <c r="L312" s="2889"/>
      <c r="M312" s="2889"/>
      <c r="N312" s="2889"/>
      <c r="O312" s="2889"/>
      <c r="P312" s="1675"/>
      <c r="Q312" s="2900">
        <v>16</v>
      </c>
      <c r="R312" s="2895" t="s">
        <v>33</v>
      </c>
      <c r="S312" s="2900">
        <v>100000</v>
      </c>
      <c r="T312" s="2900" t="s">
        <v>264</v>
      </c>
      <c r="U312" s="1675"/>
      <c r="V312" s="2900">
        <v>1</v>
      </c>
      <c r="W312" s="2895" t="s">
        <v>265</v>
      </c>
      <c r="X312" s="1140" t="s">
        <v>266</v>
      </c>
      <c r="Y312" s="1142">
        <f>SUM(S312*Q312*V312)/1000</f>
        <v>1600</v>
      </c>
      <c r="Z312" s="1128"/>
      <c r="AA312" s="907"/>
      <c r="AB312" s="505"/>
      <c r="AC312" s="2342"/>
    </row>
    <row r="313" spans="1:29" ht="22.9" customHeight="1">
      <c r="A313" s="2627"/>
      <c r="B313" s="1145"/>
      <c r="C313" s="1126"/>
      <c r="D313" s="1131"/>
      <c r="E313" s="1134" t="s">
        <v>3544</v>
      </c>
      <c r="F313" s="1141">
        <f t="shared" si="105"/>
        <v>200</v>
      </c>
      <c r="G313" s="1139">
        <v>200</v>
      </c>
      <c r="H313" s="1147"/>
      <c r="I313" s="1127"/>
      <c r="J313" s="2643" t="s">
        <v>3616</v>
      </c>
      <c r="K313" s="2624"/>
      <c r="L313" s="2624"/>
      <c r="M313" s="2624"/>
      <c r="N313" s="2624"/>
      <c r="O313" s="2624"/>
      <c r="P313" s="1675"/>
      <c r="Q313" s="2644">
        <v>2</v>
      </c>
      <c r="R313" s="2630" t="s">
        <v>3517</v>
      </c>
      <c r="S313" s="2644">
        <v>20000</v>
      </c>
      <c r="T313" s="2644" t="s">
        <v>3538</v>
      </c>
      <c r="U313" s="1675"/>
      <c r="V313" s="2644">
        <v>5</v>
      </c>
      <c r="W313" s="2630" t="s">
        <v>3505</v>
      </c>
      <c r="X313" s="1140" t="s">
        <v>3499</v>
      </c>
      <c r="Y313" s="1142">
        <f>SUM(S313*Q313*V313)/1000</f>
        <v>200</v>
      </c>
      <c r="Z313" s="1128"/>
      <c r="AA313" s="907"/>
      <c r="AB313" s="505"/>
    </row>
    <row r="314" spans="1:29" ht="22.9" customHeight="1">
      <c r="A314" s="2892"/>
      <c r="B314" s="1145"/>
      <c r="C314" s="1126"/>
      <c r="D314" s="1131"/>
      <c r="E314" s="1134" t="s">
        <v>269</v>
      </c>
      <c r="F314" s="1141">
        <f t="shared" ref="F314" si="107">+Y314</f>
        <v>4000</v>
      </c>
      <c r="G314" s="1139">
        <v>4000</v>
      </c>
      <c r="H314" s="1147"/>
      <c r="I314" s="1127"/>
      <c r="J314" s="2899" t="s">
        <v>3618</v>
      </c>
      <c r="K314" s="2889"/>
      <c r="L314" s="2889"/>
      <c r="M314" s="2889"/>
      <c r="N314" s="2889"/>
      <c r="O314" s="2889"/>
      <c r="P314" s="1675"/>
      <c r="Q314" s="2900">
        <v>2</v>
      </c>
      <c r="R314" s="2895" t="s">
        <v>33</v>
      </c>
      <c r="S314" s="2900">
        <v>200000</v>
      </c>
      <c r="T314" s="2900" t="s">
        <v>264</v>
      </c>
      <c r="U314" s="1675"/>
      <c r="V314" s="2900">
        <v>10</v>
      </c>
      <c r="W314" s="2895" t="s">
        <v>265</v>
      </c>
      <c r="X314" s="1140" t="s">
        <v>266</v>
      </c>
      <c r="Y314" s="1142">
        <f>SUM(S314*Q314*V314)/1000</f>
        <v>4000</v>
      </c>
      <c r="Z314" s="1128"/>
      <c r="AA314" s="907"/>
      <c r="AB314" s="505"/>
    </row>
    <row r="315" spans="1:29" ht="22.9" customHeight="1">
      <c r="A315" s="2627"/>
      <c r="B315" s="1145"/>
      <c r="C315" s="1126"/>
      <c r="D315" s="1131"/>
      <c r="E315" s="1134" t="s">
        <v>3563</v>
      </c>
      <c r="F315" s="1141">
        <f t="shared" si="105"/>
        <v>700</v>
      </c>
      <c r="G315" s="1139">
        <v>700</v>
      </c>
      <c r="H315" s="1147"/>
      <c r="I315" s="1127"/>
      <c r="J315" s="2643" t="s">
        <v>3583</v>
      </c>
      <c r="K315" s="2624"/>
      <c r="L315" s="2624"/>
      <c r="M315" s="2624"/>
      <c r="N315" s="2624"/>
      <c r="O315" s="2624"/>
      <c r="P315" s="1675"/>
      <c r="Q315" s="2644">
        <v>10</v>
      </c>
      <c r="R315" s="2630" t="s">
        <v>3517</v>
      </c>
      <c r="S315" s="2644">
        <v>10000</v>
      </c>
      <c r="T315" s="2644" t="s">
        <v>3538</v>
      </c>
      <c r="U315" s="1675"/>
      <c r="V315" s="2644">
        <v>7</v>
      </c>
      <c r="W315" s="2630" t="s">
        <v>3505</v>
      </c>
      <c r="X315" s="1140" t="s">
        <v>3499</v>
      </c>
      <c r="Y315" s="1142">
        <f>SUM(S315*Q315*V315)/1000</f>
        <v>700</v>
      </c>
      <c r="Z315" s="1128"/>
      <c r="AA315" s="907"/>
      <c r="AB315" s="505"/>
      <c r="AC315" s="2342"/>
    </row>
    <row r="316" spans="1:29" ht="22.9" customHeight="1">
      <c r="A316" s="2627"/>
      <c r="B316" s="1145"/>
      <c r="C316" s="1126"/>
      <c r="D316" s="3266" t="s">
        <v>3619</v>
      </c>
      <c r="E316" s="3267"/>
      <c r="F316" s="499">
        <f>+SUM(F317:F324)</f>
        <v>10000</v>
      </c>
      <c r="G316" s="499">
        <f>+SUM(G317:G324)</f>
        <v>10000</v>
      </c>
      <c r="H316" s="1132">
        <f>F316-G316</f>
        <v>0</v>
      </c>
      <c r="I316" s="1127"/>
      <c r="J316" s="501"/>
      <c r="K316" s="2635"/>
      <c r="L316" s="2635"/>
      <c r="M316" s="2635"/>
      <c r="N316" s="2635"/>
      <c r="O316" s="2635"/>
      <c r="P316" s="484"/>
      <c r="Q316" s="2635"/>
      <c r="R316" s="1146"/>
      <c r="S316" s="484"/>
      <c r="T316" s="2635"/>
      <c r="U316" s="2635"/>
      <c r="V316" s="484"/>
      <c r="W316" s="2635"/>
      <c r="X316" s="502"/>
      <c r="Y316" s="503"/>
      <c r="Z316" s="1128"/>
      <c r="AA316" s="907">
        <f t="shared" si="94"/>
        <v>10000000000</v>
      </c>
      <c r="AB316" s="505"/>
    </row>
    <row r="317" spans="1:29" ht="22.9" customHeight="1">
      <c r="A317" s="2627"/>
      <c r="B317" s="1145"/>
      <c r="C317" s="1126"/>
      <c r="D317" s="1131"/>
      <c r="E317" s="1134" t="s">
        <v>51</v>
      </c>
      <c r="F317" s="1141">
        <f t="shared" ref="F317:F326" si="108">+Y317</f>
        <v>2100</v>
      </c>
      <c r="G317" s="1139">
        <v>2100</v>
      </c>
      <c r="H317" s="1147"/>
      <c r="I317" s="1127"/>
      <c r="J317" s="2643" t="s">
        <v>3620</v>
      </c>
      <c r="K317" s="2624"/>
      <c r="L317" s="2624"/>
      <c r="M317" s="2624"/>
      <c r="N317" s="2624"/>
      <c r="O317" s="2624"/>
      <c r="P317" s="1675"/>
      <c r="Q317" s="2644"/>
      <c r="R317" s="2630"/>
      <c r="S317" s="2644">
        <v>300000</v>
      </c>
      <c r="T317" s="2644" t="s">
        <v>3538</v>
      </c>
      <c r="U317" s="1675"/>
      <c r="V317" s="2644">
        <v>7</v>
      </c>
      <c r="W317" s="2644" t="s">
        <v>3539</v>
      </c>
      <c r="X317" s="1140" t="s">
        <v>3499</v>
      </c>
      <c r="Y317" s="1142">
        <f t="shared" ref="Y317:Y324" si="109">+Z317/1000</f>
        <v>2100</v>
      </c>
      <c r="Z317" s="1128">
        <f>S317*V317</f>
        <v>2100000</v>
      </c>
      <c r="AA317" s="907">
        <f t="shared" si="94"/>
        <v>2100000000</v>
      </c>
      <c r="AB317" s="505"/>
    </row>
    <row r="318" spans="1:29" ht="22.9" customHeight="1">
      <c r="A318" s="2627"/>
      <c r="B318" s="1145"/>
      <c r="C318" s="1126"/>
      <c r="D318" s="466"/>
      <c r="E318" s="1134" t="s">
        <v>73</v>
      </c>
      <c r="F318" s="1141">
        <f t="shared" si="108"/>
        <v>400</v>
      </c>
      <c r="G318" s="1139">
        <v>400</v>
      </c>
      <c r="H318" s="1147"/>
      <c r="I318" s="1127"/>
      <c r="J318" s="2643" t="s">
        <v>3621</v>
      </c>
      <c r="K318" s="2624"/>
      <c r="L318" s="2624"/>
      <c r="M318" s="2624"/>
      <c r="N318" s="2624"/>
      <c r="O318" s="2624"/>
      <c r="P318" s="1675"/>
      <c r="Q318" s="2644"/>
      <c r="R318" s="2630"/>
      <c r="S318" s="2644">
        <v>400000</v>
      </c>
      <c r="T318" s="2644" t="s">
        <v>3538</v>
      </c>
      <c r="U318" s="1675"/>
      <c r="V318" s="2644">
        <v>1</v>
      </c>
      <c r="W318" s="2644" t="s">
        <v>3539</v>
      </c>
      <c r="X318" s="1140" t="s">
        <v>3499</v>
      </c>
      <c r="Y318" s="1142">
        <f t="shared" si="109"/>
        <v>400</v>
      </c>
      <c r="Z318" s="1128">
        <f t="shared" ref="Z318:Z324" si="110">S318*V318</f>
        <v>400000</v>
      </c>
      <c r="AA318" s="907">
        <f t="shared" si="94"/>
        <v>400000000</v>
      </c>
      <c r="AB318" s="505"/>
    </row>
    <row r="319" spans="1:29" s="1675" customFormat="1" ht="22.9" customHeight="1">
      <c r="A319" s="2627"/>
      <c r="B319" s="1145"/>
      <c r="C319" s="1126"/>
      <c r="D319" s="466"/>
      <c r="E319" s="1134" t="s">
        <v>3544</v>
      </c>
      <c r="F319" s="1141">
        <f t="shared" si="108"/>
        <v>400</v>
      </c>
      <c r="G319" s="1139">
        <v>400</v>
      </c>
      <c r="H319" s="1147"/>
      <c r="I319" s="1127"/>
      <c r="J319" s="2643" t="s">
        <v>3622</v>
      </c>
      <c r="K319" s="2624"/>
      <c r="L319" s="2624"/>
      <c r="M319" s="2624"/>
      <c r="N319" s="2624"/>
      <c r="O319" s="2624"/>
      <c r="Q319" s="2644">
        <v>1</v>
      </c>
      <c r="R319" s="2630" t="s">
        <v>3517</v>
      </c>
      <c r="S319" s="2644">
        <v>20000</v>
      </c>
      <c r="T319" s="2644" t="s">
        <v>3538</v>
      </c>
      <c r="V319" s="2644">
        <v>20</v>
      </c>
      <c r="W319" s="2644" t="s">
        <v>3539</v>
      </c>
      <c r="X319" s="1140" t="s">
        <v>3499</v>
      </c>
      <c r="Y319" s="1142">
        <f t="shared" si="109"/>
        <v>400</v>
      </c>
      <c r="Z319" s="1128">
        <f t="shared" si="110"/>
        <v>400000</v>
      </c>
      <c r="AA319" s="907">
        <f t="shared" si="94"/>
        <v>400000000</v>
      </c>
      <c r="AB319" s="505"/>
    </row>
    <row r="320" spans="1:29" s="1675" customFormat="1" ht="22.9" customHeight="1">
      <c r="A320" s="2627"/>
      <c r="B320" s="1145"/>
      <c r="C320" s="1126"/>
      <c r="D320" s="1148"/>
      <c r="E320" s="1134" t="s">
        <v>64</v>
      </c>
      <c r="F320" s="1141">
        <f t="shared" si="108"/>
        <v>600</v>
      </c>
      <c r="G320" s="1139">
        <v>600</v>
      </c>
      <c r="H320" s="1147"/>
      <c r="I320" s="1127"/>
      <c r="J320" s="2643" t="s">
        <v>3623</v>
      </c>
      <c r="K320" s="2624"/>
      <c r="L320" s="2624"/>
      <c r="M320" s="2624"/>
      <c r="N320" s="2624"/>
      <c r="O320" s="2624"/>
      <c r="Q320" s="1309"/>
      <c r="R320" s="2630"/>
      <c r="S320" s="2644">
        <v>300000</v>
      </c>
      <c r="T320" s="2644" t="s">
        <v>3538</v>
      </c>
      <c r="V320" s="2644">
        <v>2</v>
      </c>
      <c r="W320" s="2644" t="s">
        <v>3539</v>
      </c>
      <c r="X320" s="1140" t="s">
        <v>3499</v>
      </c>
      <c r="Y320" s="1142">
        <f t="shared" si="109"/>
        <v>600</v>
      </c>
      <c r="Z320" s="1128">
        <f t="shared" si="110"/>
        <v>600000</v>
      </c>
      <c r="AA320" s="907">
        <f t="shared" si="94"/>
        <v>600000000</v>
      </c>
      <c r="AB320" s="505"/>
    </row>
    <row r="321" spans="1:28" s="1675" customFormat="1" ht="22.9" customHeight="1">
      <c r="A321" s="2627"/>
      <c r="B321" s="1145"/>
      <c r="C321" s="1126"/>
      <c r="D321" s="1148"/>
      <c r="E321" s="1134" t="s">
        <v>3541</v>
      </c>
      <c r="F321" s="1141">
        <f t="shared" si="108"/>
        <v>5100</v>
      </c>
      <c r="G321" s="1139">
        <v>5100</v>
      </c>
      <c r="H321" s="1147"/>
      <c r="I321" s="1127"/>
      <c r="J321" s="2643" t="s">
        <v>3568</v>
      </c>
      <c r="K321" s="2624"/>
      <c r="L321" s="2624"/>
      <c r="M321" s="2624"/>
      <c r="N321" s="2624"/>
      <c r="O321" s="2624"/>
      <c r="Q321" s="2644"/>
      <c r="R321" s="2630"/>
      <c r="S321" s="2644"/>
      <c r="T321" s="2644"/>
      <c r="V321" s="2644"/>
      <c r="W321" s="2644"/>
      <c r="X321" s="1140"/>
      <c r="Y321" s="1142">
        <f>+SUM(Y322:Y323)</f>
        <v>5100</v>
      </c>
      <c r="Z321" s="1128">
        <f t="shared" si="110"/>
        <v>0</v>
      </c>
      <c r="AA321" s="907">
        <f t="shared" si="94"/>
        <v>5100000000</v>
      </c>
      <c r="AB321" s="505"/>
    </row>
    <row r="322" spans="1:28" s="1675" customFormat="1" ht="22.9" customHeight="1">
      <c r="A322" s="2627"/>
      <c r="B322" s="1145"/>
      <c r="C322" s="1126"/>
      <c r="D322" s="1148"/>
      <c r="E322" s="1134"/>
      <c r="F322" s="1141"/>
      <c r="G322" s="1139"/>
      <c r="H322" s="1147"/>
      <c r="I322" s="1127"/>
      <c r="J322" s="2643" t="s">
        <v>3624</v>
      </c>
      <c r="K322" s="2624"/>
      <c r="L322" s="2624"/>
      <c r="M322" s="2624"/>
      <c r="N322" s="2624"/>
      <c r="O322" s="2624"/>
      <c r="Q322" s="2644"/>
      <c r="R322" s="2630"/>
      <c r="S322" s="2644">
        <v>1000000</v>
      </c>
      <c r="T322" s="2644" t="s">
        <v>3538</v>
      </c>
      <c r="V322" s="2644">
        <v>3</v>
      </c>
      <c r="W322" s="2644" t="s">
        <v>3505</v>
      </c>
      <c r="X322" s="1140" t="s">
        <v>3499</v>
      </c>
      <c r="Y322" s="1142">
        <f t="shared" si="109"/>
        <v>3000</v>
      </c>
      <c r="Z322" s="1128">
        <f t="shared" si="110"/>
        <v>3000000</v>
      </c>
      <c r="AA322" s="907">
        <f t="shared" si="94"/>
        <v>0</v>
      </c>
      <c r="AB322" s="505"/>
    </row>
    <row r="323" spans="1:28" s="1675" customFormat="1" ht="22.9" customHeight="1">
      <c r="A323" s="2627"/>
      <c r="B323" s="1145"/>
      <c r="C323" s="1126"/>
      <c r="D323" s="1148"/>
      <c r="E323" s="1134"/>
      <c r="F323" s="1141"/>
      <c r="G323" s="1139"/>
      <c r="H323" s="1147"/>
      <c r="I323" s="1127"/>
      <c r="J323" s="2643" t="s">
        <v>3625</v>
      </c>
      <c r="K323" s="2624"/>
      <c r="L323" s="2624"/>
      <c r="M323" s="2624"/>
      <c r="N323" s="2624"/>
      <c r="O323" s="2624"/>
      <c r="Q323" s="2644"/>
      <c r="R323" s="2630"/>
      <c r="S323" s="2644">
        <v>300000</v>
      </c>
      <c r="T323" s="2644" t="s">
        <v>3538</v>
      </c>
      <c r="V323" s="2644">
        <v>7</v>
      </c>
      <c r="W323" s="2644" t="s">
        <v>3505</v>
      </c>
      <c r="X323" s="1140" t="s">
        <v>3499</v>
      </c>
      <c r="Y323" s="1142">
        <f t="shared" si="109"/>
        <v>2100</v>
      </c>
      <c r="Z323" s="1128">
        <f t="shared" si="110"/>
        <v>2100000</v>
      </c>
      <c r="AA323" s="907">
        <f t="shared" si="94"/>
        <v>0</v>
      </c>
      <c r="AB323" s="505"/>
    </row>
    <row r="324" spans="1:28" s="1675" customFormat="1" ht="22.9" customHeight="1">
      <c r="A324" s="2627"/>
      <c r="B324" s="1145"/>
      <c r="C324" s="1126"/>
      <c r="D324" s="1148"/>
      <c r="E324" s="1134" t="s">
        <v>3581</v>
      </c>
      <c r="F324" s="1141">
        <f t="shared" si="108"/>
        <v>1400</v>
      </c>
      <c r="G324" s="1139">
        <v>1400</v>
      </c>
      <c r="H324" s="1147"/>
      <c r="I324" s="1127"/>
      <c r="J324" s="2643" t="s">
        <v>3626</v>
      </c>
      <c r="K324" s="2624"/>
      <c r="L324" s="2624"/>
      <c r="M324" s="2624"/>
      <c r="N324" s="2624"/>
      <c r="O324" s="2624"/>
      <c r="Q324" s="2644"/>
      <c r="R324" s="2630"/>
      <c r="S324" s="2644">
        <v>700000</v>
      </c>
      <c r="T324" s="2644" t="s">
        <v>3538</v>
      </c>
      <c r="V324" s="2644">
        <v>2</v>
      </c>
      <c r="W324" s="2644" t="s">
        <v>3539</v>
      </c>
      <c r="X324" s="1140" t="s">
        <v>3499</v>
      </c>
      <c r="Y324" s="1142">
        <f t="shared" si="109"/>
        <v>1400</v>
      </c>
      <c r="Z324" s="1128">
        <f t="shared" si="110"/>
        <v>1400000</v>
      </c>
      <c r="AA324" s="907">
        <f t="shared" si="94"/>
        <v>1400000000</v>
      </c>
      <c r="AB324" s="505"/>
    </row>
    <row r="325" spans="1:28" ht="22.9" customHeight="1">
      <c r="A325" s="2627"/>
      <c r="B325" s="1145"/>
      <c r="C325" s="1126"/>
      <c r="D325" s="3275" t="s">
        <v>3627</v>
      </c>
      <c r="E325" s="3276"/>
      <c r="F325" s="499">
        <f>SUM(F326:F337)</f>
        <v>65000</v>
      </c>
      <c r="G325" s="499">
        <f>SUM(G326:G337)</f>
        <v>65000</v>
      </c>
      <c r="H325" s="1132">
        <f>F325-G325</f>
        <v>0</v>
      </c>
      <c r="I325" s="1127"/>
      <c r="J325" s="501"/>
      <c r="K325" s="2635"/>
      <c r="L325" s="2635"/>
      <c r="M325" s="2635"/>
      <c r="N325" s="2635"/>
      <c r="O325" s="2635"/>
      <c r="P325" s="484"/>
      <c r="Q325" s="2635"/>
      <c r="R325" s="1146"/>
      <c r="S325" s="484"/>
      <c r="T325" s="2635"/>
      <c r="U325" s="2635"/>
      <c r="V325" s="484"/>
      <c r="W325" s="2635"/>
      <c r="X325" s="502"/>
      <c r="Y325" s="503"/>
      <c r="Z325" s="1128">
        <f>+Z326+Z329+Z333+Z332+Z327+Z328+Z337</f>
        <v>0</v>
      </c>
      <c r="AA325" s="907">
        <f t="shared" si="94"/>
        <v>65000000000</v>
      </c>
      <c r="AB325" s="505"/>
    </row>
    <row r="326" spans="1:28" ht="22.9" customHeight="1">
      <c r="A326" s="2627"/>
      <c r="B326" s="1145"/>
      <c r="C326" s="1126"/>
      <c r="D326" s="1148"/>
      <c r="E326" s="1134" t="s">
        <v>3628</v>
      </c>
      <c r="F326" s="1141">
        <f t="shared" si="108"/>
        <v>30000</v>
      </c>
      <c r="G326" s="1139">
        <v>30000</v>
      </c>
      <c r="H326" s="1147"/>
      <c r="I326" s="1127"/>
      <c r="J326" s="2643" t="s">
        <v>258</v>
      </c>
      <c r="K326" s="2624"/>
      <c r="L326" s="2624"/>
      <c r="M326" s="2624"/>
      <c r="N326" s="2624"/>
      <c r="O326" s="2624"/>
      <c r="P326" s="1675"/>
      <c r="Q326" s="2644">
        <v>1</v>
      </c>
      <c r="R326" s="2630" t="s">
        <v>23</v>
      </c>
      <c r="S326" s="2644">
        <v>2500000</v>
      </c>
      <c r="T326" s="2644" t="s">
        <v>0</v>
      </c>
      <c r="U326" s="1675"/>
      <c r="V326" s="2644">
        <v>12</v>
      </c>
      <c r="W326" s="2644" t="s">
        <v>26</v>
      </c>
      <c r="X326" s="1140" t="s">
        <v>1</v>
      </c>
      <c r="Y326" s="1142">
        <f>Q326*S326*V326/1000</f>
        <v>30000</v>
      </c>
      <c r="Z326" s="1128"/>
      <c r="AA326" s="907"/>
      <c r="AB326" s="505"/>
    </row>
    <row r="327" spans="1:28" ht="22.9" customHeight="1">
      <c r="A327" s="2627"/>
      <c r="B327" s="1145"/>
      <c r="C327" s="1126"/>
      <c r="D327" s="1131"/>
      <c r="E327" s="1134" t="s">
        <v>3551</v>
      </c>
      <c r="F327" s="1141">
        <f>+Y327</f>
        <v>1440</v>
      </c>
      <c r="G327" s="1139">
        <v>1440</v>
      </c>
      <c r="H327" s="1147"/>
      <c r="I327" s="1127"/>
      <c r="J327" s="2643" t="s">
        <v>262</v>
      </c>
      <c r="K327" s="2624"/>
      <c r="L327" s="2624"/>
      <c r="M327" s="2624"/>
      <c r="N327" s="2624"/>
      <c r="O327" s="2624"/>
      <c r="P327" s="1675"/>
      <c r="Q327" s="2644"/>
      <c r="R327" s="2630"/>
      <c r="S327" s="2644">
        <v>120000</v>
      </c>
      <c r="T327" s="2644" t="s">
        <v>0</v>
      </c>
      <c r="U327" s="1675"/>
      <c r="V327" s="2644">
        <v>12</v>
      </c>
      <c r="W327" s="2630" t="s">
        <v>3</v>
      </c>
      <c r="X327" s="1140" t="s">
        <v>1</v>
      </c>
      <c r="Y327" s="1142">
        <f>S327*V327/1000</f>
        <v>1440</v>
      </c>
      <c r="Z327" s="1128"/>
      <c r="AA327" s="907"/>
      <c r="AB327" s="505"/>
    </row>
    <row r="328" spans="1:28" s="1675" customFormat="1" ht="22.9" customHeight="1">
      <c r="A328" s="2627"/>
      <c r="B328" s="1145"/>
      <c r="C328" s="1126"/>
      <c r="D328" s="1131"/>
      <c r="E328" s="1134" t="s">
        <v>3544</v>
      </c>
      <c r="F328" s="1141">
        <f>+Y328</f>
        <v>600</v>
      </c>
      <c r="G328" s="1139">
        <v>600</v>
      </c>
      <c r="H328" s="1147"/>
      <c r="I328" s="1127"/>
      <c r="J328" s="2643" t="s">
        <v>261</v>
      </c>
      <c r="K328" s="2624"/>
      <c r="L328" s="2624"/>
      <c r="M328" s="2624"/>
      <c r="N328" s="2624"/>
      <c r="O328" s="2624"/>
      <c r="Q328" s="2644">
        <v>10</v>
      </c>
      <c r="R328" s="2630" t="s">
        <v>28</v>
      </c>
      <c r="S328" s="2644">
        <v>30000</v>
      </c>
      <c r="T328" s="2644" t="s">
        <v>0</v>
      </c>
      <c r="V328" s="2644">
        <v>2</v>
      </c>
      <c r="W328" s="2644" t="s">
        <v>25</v>
      </c>
      <c r="X328" s="1140" t="s">
        <v>1</v>
      </c>
      <c r="Y328" s="1142">
        <f>Q328*S328*V328/1000</f>
        <v>600</v>
      </c>
      <c r="Z328" s="1128"/>
      <c r="AA328" s="907"/>
      <c r="AB328" s="505"/>
    </row>
    <row r="329" spans="1:28" s="1675" customFormat="1" ht="22.9" customHeight="1">
      <c r="A329" s="2627"/>
      <c r="B329" s="1145"/>
      <c r="C329" s="1126"/>
      <c r="D329" s="1148"/>
      <c r="E329" s="1134" t="s">
        <v>3554</v>
      </c>
      <c r="F329" s="1141">
        <f t="shared" ref="F329:F337" si="111">+Y329</f>
        <v>27060</v>
      </c>
      <c r="G329" s="1139">
        <v>27060</v>
      </c>
      <c r="H329" s="1147"/>
      <c r="I329" s="1127"/>
      <c r="J329" s="2643" t="s">
        <v>3568</v>
      </c>
      <c r="K329" s="2624"/>
      <c r="L329" s="2624"/>
      <c r="M329" s="2624"/>
      <c r="N329" s="2624"/>
      <c r="O329" s="2624"/>
      <c r="Q329" s="2644"/>
      <c r="R329" s="2630"/>
      <c r="S329" s="2644"/>
      <c r="T329" s="2644"/>
      <c r="V329" s="2644"/>
      <c r="W329" s="2644"/>
      <c r="X329" s="1140"/>
      <c r="Y329" s="1142">
        <f>+SUM(Y330:Y331)</f>
        <v>27060</v>
      </c>
      <c r="Z329" s="1128"/>
      <c r="AA329" s="907"/>
      <c r="AB329" s="505"/>
    </row>
    <row r="330" spans="1:28" ht="22.9" customHeight="1">
      <c r="A330" s="2627"/>
      <c r="B330" s="1145"/>
      <c r="C330" s="1126"/>
      <c r="D330" s="1148"/>
      <c r="E330" s="1134"/>
      <c r="F330" s="1141"/>
      <c r="G330" s="1139"/>
      <c r="H330" s="1147"/>
      <c r="I330" s="1127"/>
      <c r="J330" s="2643" t="s">
        <v>3629</v>
      </c>
      <c r="K330" s="2624"/>
      <c r="L330" s="2624"/>
      <c r="M330" s="2624"/>
      <c r="N330" s="2624"/>
      <c r="O330" s="2624"/>
      <c r="P330" s="1675"/>
      <c r="Q330" s="2644">
        <v>35</v>
      </c>
      <c r="R330" s="2630" t="s">
        <v>23</v>
      </c>
      <c r="S330" s="2644">
        <v>18000</v>
      </c>
      <c r="T330" s="2644" t="s">
        <v>0</v>
      </c>
      <c r="U330" s="1675"/>
      <c r="V330" s="2644">
        <v>42</v>
      </c>
      <c r="W330" s="2644" t="s">
        <v>60</v>
      </c>
      <c r="X330" s="1140" t="s">
        <v>1</v>
      </c>
      <c r="Y330" s="1142">
        <f>Q330*S330*V330/1000</f>
        <v>26460</v>
      </c>
      <c r="Z330" s="1128"/>
      <c r="AA330" s="907"/>
      <c r="AB330" s="505"/>
    </row>
    <row r="331" spans="1:28" ht="22.9" customHeight="1">
      <c r="A331" s="475"/>
      <c r="B331" s="1145"/>
      <c r="C331" s="1126"/>
      <c r="D331" s="1131"/>
      <c r="E331" s="1134"/>
      <c r="F331" s="1141"/>
      <c r="G331" s="1139"/>
      <c r="H331" s="1147"/>
      <c r="I331" s="1127"/>
      <c r="J331" s="2643" t="s">
        <v>3630</v>
      </c>
      <c r="K331" s="2624"/>
      <c r="L331" s="2624"/>
      <c r="M331" s="2624"/>
      <c r="N331" s="2624"/>
      <c r="O331" s="2624"/>
      <c r="P331" s="1675"/>
      <c r="Q331" s="2644">
        <v>1</v>
      </c>
      <c r="R331" s="2630" t="s">
        <v>23</v>
      </c>
      <c r="S331" s="2644">
        <v>300000</v>
      </c>
      <c r="T331" s="2644" t="s">
        <v>0</v>
      </c>
      <c r="U331" s="1675"/>
      <c r="V331" s="2644">
        <v>2</v>
      </c>
      <c r="W331" s="2644" t="s">
        <v>3</v>
      </c>
      <c r="X331" s="1140" t="s">
        <v>1</v>
      </c>
      <c r="Y331" s="1142">
        <f>Q331*S331*V331/1000</f>
        <v>600</v>
      </c>
      <c r="Z331" s="1128"/>
      <c r="AA331" s="907"/>
      <c r="AB331" s="505"/>
    </row>
    <row r="332" spans="1:28" ht="22.9" customHeight="1">
      <c r="A332" s="2627"/>
      <c r="B332" s="1145"/>
      <c r="C332" s="1126"/>
      <c r="D332" s="1131"/>
      <c r="E332" s="1134" t="s">
        <v>3579</v>
      </c>
      <c r="F332" s="1141">
        <f>+Y332</f>
        <v>1000</v>
      </c>
      <c r="G332" s="1139">
        <v>1000</v>
      </c>
      <c r="H332" s="1147"/>
      <c r="I332" s="1127"/>
      <c r="J332" s="2643" t="s">
        <v>3631</v>
      </c>
      <c r="K332" s="2624"/>
      <c r="L332" s="2624"/>
      <c r="M332" s="2624"/>
      <c r="N332" s="2624"/>
      <c r="O332" s="2624"/>
      <c r="P332" s="1675"/>
      <c r="Q332" s="2644"/>
      <c r="R332" s="2630"/>
      <c r="S332" s="2644">
        <v>500000</v>
      </c>
      <c r="T332" s="2644" t="s">
        <v>0</v>
      </c>
      <c r="U332" s="1675"/>
      <c r="V332" s="2644">
        <v>2</v>
      </c>
      <c r="W332" s="2630" t="s">
        <v>3</v>
      </c>
      <c r="X332" s="1140" t="s">
        <v>1</v>
      </c>
      <c r="Y332" s="1142">
        <f>S332*V332/1000</f>
        <v>1000</v>
      </c>
      <c r="Z332" s="1128"/>
      <c r="AA332" s="907"/>
      <c r="AB332" s="505"/>
    </row>
    <row r="333" spans="1:28" s="1675" customFormat="1" ht="22.9" customHeight="1">
      <c r="A333" s="475"/>
      <c r="B333" s="1145"/>
      <c r="C333" s="1126"/>
      <c r="D333" s="1131"/>
      <c r="E333" s="1134" t="s">
        <v>3558</v>
      </c>
      <c r="F333" s="1141">
        <f t="shared" si="111"/>
        <v>3500</v>
      </c>
      <c r="G333" s="1139">
        <v>3500</v>
      </c>
      <c r="H333" s="1147"/>
      <c r="I333" s="1127"/>
      <c r="J333" s="2643" t="s">
        <v>8</v>
      </c>
      <c r="K333" s="2624"/>
      <c r="L333" s="2624"/>
      <c r="M333" s="2624"/>
      <c r="N333" s="2624"/>
      <c r="O333" s="2624"/>
      <c r="Q333" s="2644"/>
      <c r="R333" s="2630"/>
      <c r="S333" s="2644"/>
      <c r="T333" s="2644"/>
      <c r="V333" s="2644"/>
      <c r="W333" s="2644"/>
      <c r="X333" s="1140"/>
      <c r="Y333" s="1142">
        <f>SUM(Y334:Y336)</f>
        <v>3500</v>
      </c>
      <c r="Z333" s="1128"/>
      <c r="AA333" s="907"/>
      <c r="AB333" s="505"/>
    </row>
    <row r="334" spans="1:28" ht="22.9" customHeight="1">
      <c r="A334" s="2627"/>
      <c r="B334" s="1145"/>
      <c r="C334" s="1126"/>
      <c r="D334" s="1131"/>
      <c r="E334" s="389"/>
      <c r="F334" s="1141"/>
      <c r="G334" s="1139"/>
      <c r="H334" s="1147"/>
      <c r="I334" s="1127"/>
      <c r="J334" s="2643" t="s">
        <v>259</v>
      </c>
      <c r="K334" s="2624"/>
      <c r="L334" s="2624"/>
      <c r="M334" s="2624"/>
      <c r="N334" s="2624"/>
      <c r="O334" s="2624"/>
      <c r="P334" s="1675"/>
      <c r="Q334" s="2644"/>
      <c r="R334" s="2630"/>
      <c r="S334" s="2644">
        <v>800000</v>
      </c>
      <c r="T334" s="2644" t="s">
        <v>0</v>
      </c>
      <c r="U334" s="1675"/>
      <c r="V334" s="2644">
        <v>2</v>
      </c>
      <c r="W334" s="2630" t="s">
        <v>3</v>
      </c>
      <c r="X334" s="1140" t="s">
        <v>1</v>
      </c>
      <c r="Y334" s="1142">
        <f>S334*V334/1000</f>
        <v>1600</v>
      </c>
      <c r="Z334" s="1128"/>
      <c r="AA334" s="907"/>
      <c r="AB334" s="505"/>
    </row>
    <row r="335" spans="1:28" ht="22.9" customHeight="1">
      <c r="A335" s="2627"/>
      <c r="B335" s="1145"/>
      <c r="C335" s="1126"/>
      <c r="D335" s="1131"/>
      <c r="E335" s="1134"/>
      <c r="F335" s="1141"/>
      <c r="G335" s="1139"/>
      <c r="H335" s="1147"/>
      <c r="I335" s="1127"/>
      <c r="J335" s="2643" t="s">
        <v>260</v>
      </c>
      <c r="K335" s="2624"/>
      <c r="L335" s="2624"/>
      <c r="M335" s="2624"/>
      <c r="N335" s="2624"/>
      <c r="O335" s="2624"/>
      <c r="P335" s="1675"/>
      <c r="Q335" s="2644"/>
      <c r="R335" s="2630"/>
      <c r="S335" s="2644">
        <v>500000</v>
      </c>
      <c r="T335" s="2644" t="s">
        <v>0</v>
      </c>
      <c r="U335" s="1675"/>
      <c r="V335" s="2644">
        <v>2</v>
      </c>
      <c r="W335" s="2644" t="s">
        <v>3</v>
      </c>
      <c r="X335" s="1140" t="s">
        <v>1</v>
      </c>
      <c r="Y335" s="1142">
        <f>S335*V335/1000</f>
        <v>1000</v>
      </c>
      <c r="Z335" s="1128"/>
      <c r="AA335" s="907"/>
      <c r="AB335" s="505"/>
    </row>
    <row r="336" spans="1:28" ht="22.9" customHeight="1">
      <c r="A336" s="2627"/>
      <c r="B336" s="1145"/>
      <c r="C336" s="1126"/>
      <c r="D336" s="1131"/>
      <c r="E336" s="1134"/>
      <c r="F336" s="1141"/>
      <c r="G336" s="1139"/>
      <c r="H336" s="1147"/>
      <c r="I336" s="1127"/>
      <c r="J336" s="2643" t="s">
        <v>3632</v>
      </c>
      <c r="K336" s="2624"/>
      <c r="L336" s="2624"/>
      <c r="M336" s="2624"/>
      <c r="N336" s="2624"/>
      <c r="O336" s="2624"/>
      <c r="P336" s="1675"/>
      <c r="Q336" s="2644"/>
      <c r="R336" s="2630"/>
      <c r="S336" s="2644">
        <v>900000</v>
      </c>
      <c r="T336" s="2644" t="s">
        <v>0</v>
      </c>
      <c r="U336" s="1675"/>
      <c r="V336" s="2644">
        <v>1</v>
      </c>
      <c r="W336" s="2644" t="s">
        <v>3</v>
      </c>
      <c r="X336" s="1140" t="s">
        <v>1</v>
      </c>
      <c r="Y336" s="1142">
        <f>S336*V336/1000</f>
        <v>900</v>
      </c>
      <c r="Z336" s="1128"/>
      <c r="AA336" s="907"/>
      <c r="AB336" s="505"/>
    </row>
    <row r="337" spans="1:28" s="1675" customFormat="1" ht="22.9" customHeight="1">
      <c r="A337" s="2627"/>
      <c r="B337" s="1145"/>
      <c r="C337" s="1126"/>
      <c r="D337" s="1131"/>
      <c r="E337" s="1134" t="s">
        <v>3563</v>
      </c>
      <c r="F337" s="1141">
        <f t="shared" si="111"/>
        <v>1400</v>
      </c>
      <c r="G337" s="1139">
        <v>1400</v>
      </c>
      <c r="H337" s="1147"/>
      <c r="I337" s="1127"/>
      <c r="J337" s="2643" t="s">
        <v>3633</v>
      </c>
      <c r="K337" s="2624"/>
      <c r="L337" s="2624"/>
      <c r="M337" s="2624"/>
      <c r="N337" s="2624"/>
      <c r="O337" s="2624"/>
      <c r="Q337" s="2644">
        <v>35</v>
      </c>
      <c r="R337" s="2630" t="s">
        <v>3517</v>
      </c>
      <c r="S337" s="2644">
        <v>10000</v>
      </c>
      <c r="T337" s="2644" t="s">
        <v>0</v>
      </c>
      <c r="V337" s="2644">
        <v>4</v>
      </c>
      <c r="W337" s="2630" t="s">
        <v>3</v>
      </c>
      <c r="X337" s="1140" t="s">
        <v>1</v>
      </c>
      <c r="Y337" s="1142">
        <f>Q337*S337*V337/1000</f>
        <v>1400</v>
      </c>
      <c r="Z337" s="1128"/>
      <c r="AA337" s="907"/>
      <c r="AB337" s="505"/>
    </row>
    <row r="338" spans="1:28" s="1675" customFormat="1" ht="21.6" customHeight="1">
      <c r="A338" s="2627"/>
      <c r="B338" s="1145"/>
      <c r="C338" s="1126"/>
      <c r="D338" s="3421" t="s">
        <v>3634</v>
      </c>
      <c r="E338" s="3421"/>
      <c r="F338" s="499">
        <f>SUM(F339:F345)</f>
        <v>10000</v>
      </c>
      <c r="G338" s="499">
        <f>SUM(G339:G345)</f>
        <v>10000</v>
      </c>
      <c r="H338" s="1132">
        <f>F338-G338</f>
        <v>0</v>
      </c>
      <c r="I338" s="1127"/>
      <c r="J338" s="501"/>
      <c r="K338" s="2896"/>
      <c r="L338" s="2896"/>
      <c r="M338" s="2896"/>
      <c r="N338" s="2896"/>
      <c r="O338" s="2896"/>
      <c r="P338" s="484"/>
      <c r="Q338" s="2896"/>
      <c r="R338" s="1146"/>
      <c r="S338" s="484"/>
      <c r="T338" s="2896"/>
      <c r="U338" s="2896"/>
      <c r="V338" s="484"/>
      <c r="W338" s="2896"/>
      <c r="X338" s="502"/>
      <c r="Y338" s="503"/>
      <c r="Z338" s="1128">
        <f>Z341+Z344+Z339</f>
        <v>6050000</v>
      </c>
      <c r="AA338" s="907">
        <f t="shared" ref="AA338:AA371" si="112">F338*1000000</f>
        <v>10000000000</v>
      </c>
      <c r="AB338" s="505"/>
    </row>
    <row r="339" spans="1:28" ht="21.6" customHeight="1">
      <c r="A339" s="2627"/>
      <c r="B339" s="1145"/>
      <c r="C339" s="1126"/>
      <c r="D339" s="1131"/>
      <c r="E339" s="1134" t="s">
        <v>950</v>
      </c>
      <c r="F339" s="1141">
        <f>Y339</f>
        <v>1750</v>
      </c>
      <c r="G339" s="1139">
        <v>2040</v>
      </c>
      <c r="H339" s="1147">
        <f t="shared" ref="H339:H345" si="113">F339-G339</f>
        <v>-290</v>
      </c>
      <c r="I339" s="1127" t="s">
        <v>3512</v>
      </c>
      <c r="J339" s="2899" t="s">
        <v>5589</v>
      </c>
      <c r="K339" s="2889"/>
      <c r="L339" s="2889"/>
      <c r="M339" s="2889"/>
      <c r="N339" s="2889"/>
      <c r="O339" s="2889"/>
      <c r="P339" s="1675"/>
      <c r="Q339" s="2900"/>
      <c r="R339" s="2895"/>
      <c r="S339" s="2900">
        <v>350000</v>
      </c>
      <c r="T339" s="2900" t="s">
        <v>5454</v>
      </c>
      <c r="U339" s="1675"/>
      <c r="V339" s="2900">
        <v>5</v>
      </c>
      <c r="W339" s="2900" t="s">
        <v>5542</v>
      </c>
      <c r="X339" s="1140" t="s">
        <v>5456</v>
      </c>
      <c r="Y339" s="1142">
        <f t="shared" ref="Y339:Y344" si="114">Z339/1000</f>
        <v>1750</v>
      </c>
      <c r="Z339" s="1128">
        <f t="shared" ref="Z339" si="115">S339*V339</f>
        <v>1750000</v>
      </c>
      <c r="AA339" s="907">
        <f t="shared" si="112"/>
        <v>1750000000</v>
      </c>
      <c r="AB339" s="505"/>
    </row>
    <row r="340" spans="1:28" ht="21.6" customHeight="1">
      <c r="A340" s="2892"/>
      <c r="B340" s="1145"/>
      <c r="C340" s="1126"/>
      <c r="D340" s="1131"/>
      <c r="E340" s="1134" t="s">
        <v>195</v>
      </c>
      <c r="F340" s="1141">
        <f t="shared" ref="F340" si="116">Y340</f>
        <v>200</v>
      </c>
      <c r="G340" s="1139">
        <v>360</v>
      </c>
      <c r="H340" s="1147">
        <f t="shared" ref="H340" si="117">F340-G340</f>
        <v>-160</v>
      </c>
      <c r="I340" s="1127"/>
      <c r="J340" s="2899" t="s">
        <v>5593</v>
      </c>
      <c r="K340" s="2889"/>
      <c r="L340" s="2889"/>
      <c r="M340" s="2889"/>
      <c r="N340" s="2889"/>
      <c r="O340" s="2889"/>
      <c r="P340" s="1675"/>
      <c r="Q340" s="2900">
        <v>2</v>
      </c>
      <c r="R340" s="2895" t="s">
        <v>5462</v>
      </c>
      <c r="S340" s="2900">
        <v>20000</v>
      </c>
      <c r="T340" s="2900" t="s">
        <v>5454</v>
      </c>
      <c r="U340" s="1675"/>
      <c r="V340" s="2900">
        <v>5</v>
      </c>
      <c r="W340" s="2900" t="s">
        <v>5542</v>
      </c>
      <c r="X340" s="1140" t="s">
        <v>5456</v>
      </c>
      <c r="Y340" s="1142">
        <f t="shared" ref="Y340" si="118">Z340/1000</f>
        <v>200</v>
      </c>
      <c r="Z340" s="1128">
        <f>Q340*S340*V340</f>
        <v>200000</v>
      </c>
      <c r="AA340" s="907"/>
      <c r="AB340" s="505"/>
    </row>
    <row r="341" spans="1:28" ht="21.6" customHeight="1">
      <c r="A341" s="2627"/>
      <c r="B341" s="1145"/>
      <c r="C341" s="1126"/>
      <c r="D341" s="1131"/>
      <c r="E341" s="1134" t="s">
        <v>2925</v>
      </c>
      <c r="F341" s="1141">
        <f t="shared" ref="F341:F345" si="119">Y341</f>
        <v>3700</v>
      </c>
      <c r="G341" s="1139">
        <v>3700</v>
      </c>
      <c r="H341" s="1147"/>
      <c r="I341" s="1127"/>
      <c r="J341" s="2899" t="s">
        <v>5590</v>
      </c>
      <c r="K341" s="2889"/>
      <c r="L341" s="2889"/>
      <c r="M341" s="2889"/>
      <c r="N341" s="2889"/>
      <c r="O341" s="2889"/>
      <c r="P341" s="1675"/>
      <c r="Q341" s="2900"/>
      <c r="R341" s="2895"/>
      <c r="S341" s="2900">
        <v>370000</v>
      </c>
      <c r="T341" s="2900" t="s">
        <v>5454</v>
      </c>
      <c r="U341" s="1675"/>
      <c r="V341" s="2900">
        <v>10</v>
      </c>
      <c r="W341" s="2900" t="s">
        <v>5542</v>
      </c>
      <c r="X341" s="1140" t="s">
        <v>5456</v>
      </c>
      <c r="Y341" s="1142">
        <f t="shared" si="114"/>
        <v>3700</v>
      </c>
      <c r="Z341" s="1128">
        <f>S341*V341</f>
        <v>3700000</v>
      </c>
      <c r="AA341" s="907">
        <f t="shared" si="112"/>
        <v>3700000000</v>
      </c>
      <c r="AB341" s="505"/>
    </row>
    <row r="342" spans="1:28" ht="21.6" customHeight="1">
      <c r="A342" s="2892"/>
      <c r="B342" s="1145"/>
      <c r="C342" s="1126"/>
      <c r="D342" s="1131"/>
      <c r="E342" s="1134" t="s">
        <v>269</v>
      </c>
      <c r="F342" s="1141">
        <f t="shared" si="119"/>
        <v>1450</v>
      </c>
      <c r="G342" s="1139">
        <v>3000</v>
      </c>
      <c r="H342" s="1147">
        <f t="shared" si="113"/>
        <v>-1550</v>
      </c>
      <c r="I342" s="1127"/>
      <c r="J342" s="2899" t="s">
        <v>5591</v>
      </c>
      <c r="K342" s="2889"/>
      <c r="L342" s="2889"/>
      <c r="M342" s="2889"/>
      <c r="N342" s="2889"/>
      <c r="O342" s="2889"/>
      <c r="P342" s="1675"/>
      <c r="Q342" s="2900" t="s">
        <v>5543</v>
      </c>
      <c r="R342" s="2895" t="s">
        <v>5543</v>
      </c>
      <c r="S342" s="2900">
        <v>72500</v>
      </c>
      <c r="T342" s="2900" t="s">
        <v>5454</v>
      </c>
      <c r="U342" s="1675"/>
      <c r="V342" s="2900">
        <v>20</v>
      </c>
      <c r="W342" s="2900" t="s">
        <v>5592</v>
      </c>
      <c r="X342" s="1140" t="s">
        <v>5456</v>
      </c>
      <c r="Y342" s="1142">
        <f t="shared" si="114"/>
        <v>1450</v>
      </c>
      <c r="Z342" s="1128">
        <f t="shared" ref="Z342" si="120">S342*V342</f>
        <v>1450000</v>
      </c>
      <c r="AA342" s="907"/>
      <c r="AB342" s="505"/>
    </row>
    <row r="343" spans="1:28" ht="21.6" customHeight="1">
      <c r="A343" s="2892"/>
      <c r="B343" s="1145"/>
      <c r="C343" s="1126"/>
      <c r="D343" s="1131"/>
      <c r="E343" s="1134" t="s">
        <v>5597</v>
      </c>
      <c r="F343" s="1141">
        <f t="shared" si="119"/>
        <v>2000</v>
      </c>
      <c r="G343" s="1139">
        <v>0</v>
      </c>
      <c r="H343" s="1147">
        <f t="shared" si="113"/>
        <v>2000</v>
      </c>
      <c r="I343" s="1127"/>
      <c r="J343" s="2900" t="s">
        <v>5596</v>
      </c>
      <c r="K343" s="2889"/>
      <c r="L343" s="2889"/>
      <c r="M343" s="2889"/>
      <c r="N343" s="2889"/>
      <c r="O343" s="2889"/>
      <c r="P343" s="1675"/>
      <c r="Q343" s="2900">
        <v>2</v>
      </c>
      <c r="R343" s="2895" t="s">
        <v>5462</v>
      </c>
      <c r="S343" s="2900">
        <v>200000</v>
      </c>
      <c r="T343" s="2900" t="s">
        <v>5454</v>
      </c>
      <c r="U343" s="1675"/>
      <c r="V343" s="2900">
        <v>5</v>
      </c>
      <c r="W343" s="2900" t="s">
        <v>5542</v>
      </c>
      <c r="X343" s="1140" t="s">
        <v>5456</v>
      </c>
      <c r="Y343" s="1142">
        <v>2000</v>
      </c>
      <c r="Z343" s="1128">
        <f>Q343*S343*V343</f>
        <v>2000000</v>
      </c>
      <c r="AA343" s="907"/>
      <c r="AB343" s="505"/>
    </row>
    <row r="344" spans="1:28" ht="21.6" customHeight="1">
      <c r="A344" s="2627"/>
      <c r="B344" s="1145"/>
      <c r="C344" s="1126"/>
      <c r="D344" s="1131"/>
      <c r="E344" s="1134" t="s">
        <v>297</v>
      </c>
      <c r="F344" s="1141">
        <f t="shared" si="119"/>
        <v>600</v>
      </c>
      <c r="G344" s="1139">
        <v>300</v>
      </c>
      <c r="H344" s="1147">
        <f t="shared" si="113"/>
        <v>300</v>
      </c>
      <c r="I344" s="1127"/>
      <c r="J344" s="2900" t="s">
        <v>5594</v>
      </c>
      <c r="K344" s="2889"/>
      <c r="L344" s="2889"/>
      <c r="M344" s="2889"/>
      <c r="N344" s="2889"/>
      <c r="O344" s="2889"/>
      <c r="P344" s="1675"/>
      <c r="Q344" s="2900"/>
      <c r="R344" s="2895"/>
      <c r="S344" s="2900">
        <v>30000</v>
      </c>
      <c r="T344" s="2900" t="s">
        <v>5454</v>
      </c>
      <c r="U344" s="1675"/>
      <c r="V344" s="2900">
        <v>20</v>
      </c>
      <c r="W344" s="2900" t="s">
        <v>5542</v>
      </c>
      <c r="X344" s="1140" t="s">
        <v>5456</v>
      </c>
      <c r="Y344" s="1142">
        <f t="shared" si="114"/>
        <v>600</v>
      </c>
      <c r="Z344" s="1128">
        <f>S344*V344</f>
        <v>600000</v>
      </c>
      <c r="AA344" s="907">
        <f t="shared" si="112"/>
        <v>600000000</v>
      </c>
      <c r="AB344" s="505"/>
    </row>
    <row r="345" spans="1:28" ht="21.6" customHeight="1">
      <c r="A345" s="2627"/>
      <c r="B345" s="1145"/>
      <c r="C345" s="1126"/>
      <c r="D345" s="1131"/>
      <c r="E345" s="1134" t="s">
        <v>271</v>
      </c>
      <c r="F345" s="1141">
        <f t="shared" si="119"/>
        <v>300</v>
      </c>
      <c r="G345" s="1139">
        <v>600</v>
      </c>
      <c r="H345" s="1147">
        <f t="shared" si="113"/>
        <v>-300</v>
      </c>
      <c r="I345" s="1127"/>
      <c r="J345" s="516" t="s">
        <v>5595</v>
      </c>
      <c r="K345" s="2880"/>
      <c r="L345" s="2880"/>
      <c r="M345" s="2880"/>
      <c r="N345" s="2880"/>
      <c r="O345" s="2880"/>
      <c r="P345" s="515"/>
      <c r="Q345" s="516">
        <v>6</v>
      </c>
      <c r="R345" s="2887" t="s">
        <v>5462</v>
      </c>
      <c r="S345" s="516">
        <v>10000</v>
      </c>
      <c r="T345" s="516" t="s">
        <v>5454</v>
      </c>
      <c r="U345" s="515"/>
      <c r="V345" s="516">
        <v>5</v>
      </c>
      <c r="W345" s="516" t="s">
        <v>5542</v>
      </c>
      <c r="X345" s="517" t="s">
        <v>5456</v>
      </c>
      <c r="Y345" s="2383">
        <f>Z345/1000</f>
        <v>300</v>
      </c>
      <c r="Z345" s="1128">
        <f>Q345*S345*V345</f>
        <v>300000</v>
      </c>
      <c r="AA345" s="907">
        <f t="shared" si="112"/>
        <v>300000000</v>
      </c>
      <c r="AB345" s="505"/>
    </row>
    <row r="346" spans="1:28" ht="21.6" customHeight="1">
      <c r="A346" s="2627"/>
      <c r="B346" s="1145"/>
      <c r="C346" s="1126"/>
      <c r="D346" s="3275" t="s">
        <v>3635</v>
      </c>
      <c r="E346" s="3276"/>
      <c r="F346" s="499">
        <f>SUM(F347:F354)</f>
        <v>30000</v>
      </c>
      <c r="G346" s="499">
        <f>SUM(G347:G354)</f>
        <v>30000</v>
      </c>
      <c r="H346" s="1132">
        <f>F346-G346</f>
        <v>0</v>
      </c>
      <c r="I346" s="1127"/>
      <c r="J346" s="501"/>
      <c r="K346" s="2896"/>
      <c r="L346" s="2896"/>
      <c r="M346" s="2896"/>
      <c r="N346" s="2896"/>
      <c r="O346" s="2896"/>
      <c r="P346" s="484"/>
      <c r="Q346" s="2896"/>
      <c r="R346" s="1146"/>
      <c r="S346" s="484"/>
      <c r="T346" s="2896"/>
      <c r="U346" s="2896"/>
      <c r="V346" s="484"/>
      <c r="W346" s="2896"/>
      <c r="X346" s="502"/>
      <c r="Y346" s="503"/>
      <c r="Z346" s="2874"/>
      <c r="AA346" s="907">
        <f t="shared" si="112"/>
        <v>30000000000</v>
      </c>
      <c r="AB346" s="505"/>
    </row>
    <row r="347" spans="1:28" ht="21.6" customHeight="1">
      <c r="A347" s="2627"/>
      <c r="B347" s="1145"/>
      <c r="C347" s="1154"/>
      <c r="D347" s="1144"/>
      <c r="E347" s="1134" t="s">
        <v>118</v>
      </c>
      <c r="F347" s="1141">
        <f>+Y347</f>
        <v>12000</v>
      </c>
      <c r="G347" s="1139">
        <v>12000</v>
      </c>
      <c r="H347" s="1147"/>
      <c r="I347" s="1127"/>
      <c r="J347" s="2899" t="s">
        <v>5092</v>
      </c>
      <c r="K347" s="2889"/>
      <c r="L347" s="2889"/>
      <c r="M347" s="2889"/>
      <c r="N347" s="2889"/>
      <c r="O347" s="2889"/>
      <c r="P347" s="1675"/>
      <c r="Q347" s="2900"/>
      <c r="R347" s="2895"/>
      <c r="S347" s="2900"/>
      <c r="T347" s="2900"/>
      <c r="U347" s="1675"/>
      <c r="V347" s="2900"/>
      <c r="W347" s="2900"/>
      <c r="X347" s="1140"/>
      <c r="Y347" s="1142">
        <f t="shared" ref="Y347" si="121">+Z347/1000</f>
        <v>12000</v>
      </c>
      <c r="Z347" s="2874">
        <f>Z348+Z349</f>
        <v>12000000</v>
      </c>
      <c r="AA347" s="907"/>
      <c r="AB347" s="505"/>
    </row>
    <row r="348" spans="1:28" ht="21.6" customHeight="1">
      <c r="A348" s="2627"/>
      <c r="B348" s="1145"/>
      <c r="C348" s="1154"/>
      <c r="D348" s="1144"/>
      <c r="E348" s="489"/>
      <c r="F348" s="1141"/>
      <c r="G348" s="1139"/>
      <c r="H348" s="1147"/>
      <c r="I348" s="1127"/>
      <c r="J348" s="2899" t="s">
        <v>119</v>
      </c>
      <c r="K348" s="2889"/>
      <c r="L348" s="2889"/>
      <c r="M348" s="2889"/>
      <c r="N348" s="2889"/>
      <c r="O348" s="2889"/>
      <c r="P348" s="1675"/>
      <c r="Q348" s="2900"/>
      <c r="R348" s="2895"/>
      <c r="S348" s="2900">
        <v>2000000</v>
      </c>
      <c r="T348" s="2900" t="s">
        <v>0</v>
      </c>
      <c r="U348" s="1675"/>
      <c r="V348" s="2900">
        <v>3</v>
      </c>
      <c r="W348" s="2900" t="s">
        <v>3</v>
      </c>
      <c r="X348" s="1140" t="s">
        <v>5098</v>
      </c>
      <c r="Y348" s="1142">
        <f>SUM(S348*V348/1000)</f>
        <v>6000</v>
      </c>
      <c r="Z348" s="2874">
        <f>V348*S348</f>
        <v>6000000</v>
      </c>
      <c r="AA348" s="907"/>
      <c r="AB348" s="505"/>
    </row>
    <row r="349" spans="1:28" ht="21.6" customHeight="1">
      <c r="A349" s="2858"/>
      <c r="B349" s="1145"/>
      <c r="C349" s="1154"/>
      <c r="D349" s="1144"/>
      <c r="E349" s="1134"/>
      <c r="F349" s="1141"/>
      <c r="G349" s="1139"/>
      <c r="H349" s="1147"/>
      <c r="I349" s="1127"/>
      <c r="J349" s="2899" t="s">
        <v>120</v>
      </c>
      <c r="K349" s="2889"/>
      <c r="L349" s="2889"/>
      <c r="M349" s="2889"/>
      <c r="N349" s="2889"/>
      <c r="O349" s="2889"/>
      <c r="P349" s="1675"/>
      <c r="Q349" s="2900"/>
      <c r="R349" s="2895"/>
      <c r="S349" s="2900">
        <v>1000000</v>
      </c>
      <c r="T349" s="2900" t="s">
        <v>0</v>
      </c>
      <c r="U349" s="1675"/>
      <c r="V349" s="2900">
        <v>6</v>
      </c>
      <c r="W349" s="2900" t="s">
        <v>3</v>
      </c>
      <c r="X349" s="1140" t="s">
        <v>5098</v>
      </c>
      <c r="Y349" s="1142">
        <f>SUM(S349*V349/1000)</f>
        <v>6000</v>
      </c>
      <c r="Z349" s="2874">
        <f>V349*S349</f>
        <v>6000000</v>
      </c>
      <c r="AA349" s="907"/>
      <c r="AB349" s="505"/>
    </row>
    <row r="350" spans="1:28" ht="21.6" customHeight="1">
      <c r="A350" s="2627"/>
      <c r="B350" s="1145"/>
      <c r="C350" s="1154"/>
      <c r="D350" s="1144"/>
      <c r="E350" s="1134" t="s">
        <v>51</v>
      </c>
      <c r="F350" s="1141">
        <f t="shared" ref="F350:F354" si="122">+Y350</f>
        <v>8000</v>
      </c>
      <c r="G350" s="1139">
        <v>10000</v>
      </c>
      <c r="H350" s="1147">
        <f>F350-G350</f>
        <v>-2000</v>
      </c>
      <c r="I350" s="1127"/>
      <c r="J350" s="2899" t="s">
        <v>5208</v>
      </c>
      <c r="K350" s="2889"/>
      <c r="L350" s="2889"/>
      <c r="M350" s="2889"/>
      <c r="N350" s="2889"/>
      <c r="O350" s="2889"/>
      <c r="P350" s="1675"/>
      <c r="Q350" s="2900">
        <v>2</v>
      </c>
      <c r="R350" s="2895" t="s">
        <v>5209</v>
      </c>
      <c r="S350" s="2900">
        <v>4000000</v>
      </c>
      <c r="T350" s="2900" t="s">
        <v>0</v>
      </c>
      <c r="U350" s="1675"/>
      <c r="V350" s="2900">
        <v>1</v>
      </c>
      <c r="W350" s="2900" t="s">
        <v>5110</v>
      </c>
      <c r="X350" s="1140" t="s">
        <v>5098</v>
      </c>
      <c r="Y350" s="1142">
        <f t="shared" ref="Y350:Y354" si="123">+Z350/1000</f>
        <v>8000</v>
      </c>
      <c r="Z350" s="2874">
        <f>Q350*S350*V350</f>
        <v>8000000</v>
      </c>
      <c r="AA350" s="907"/>
      <c r="AB350" s="505"/>
    </row>
    <row r="351" spans="1:28" ht="21.6" customHeight="1">
      <c r="A351" s="2627"/>
      <c r="B351" s="1145"/>
      <c r="C351" s="1154"/>
      <c r="D351" s="1144"/>
      <c r="E351" s="1134" t="s">
        <v>571</v>
      </c>
      <c r="F351" s="1141">
        <f t="shared" si="122"/>
        <v>0</v>
      </c>
      <c r="G351" s="1139">
        <v>4000</v>
      </c>
      <c r="H351" s="1147">
        <f t="shared" ref="H351:H354" si="124">F351-G351</f>
        <v>-4000</v>
      </c>
      <c r="I351" s="1127"/>
      <c r="J351" s="2899" t="s">
        <v>5124</v>
      </c>
      <c r="K351" s="2889"/>
      <c r="L351" s="2889"/>
      <c r="M351" s="2889"/>
      <c r="N351" s="2889"/>
      <c r="O351" s="2889"/>
      <c r="P351" s="1675"/>
      <c r="Q351" s="2900"/>
      <c r="R351" s="2895"/>
      <c r="S351" s="2900"/>
      <c r="T351" s="2900"/>
      <c r="U351" s="1675"/>
      <c r="V351" s="2900"/>
      <c r="W351" s="2900"/>
      <c r="X351" s="1140"/>
      <c r="Y351" s="1142"/>
      <c r="Z351" s="2874"/>
      <c r="AA351" s="907"/>
      <c r="AB351" s="505"/>
    </row>
    <row r="352" spans="1:28" ht="21.6" customHeight="1">
      <c r="A352" s="2627"/>
      <c r="B352" s="1145"/>
      <c r="C352" s="1126"/>
      <c r="D352" s="1131"/>
      <c r="E352" s="1134" t="s">
        <v>1106</v>
      </c>
      <c r="F352" s="1141">
        <f t="shared" si="122"/>
        <v>4000</v>
      </c>
      <c r="G352" s="1139">
        <v>0</v>
      </c>
      <c r="H352" s="1147">
        <f t="shared" si="124"/>
        <v>4000</v>
      </c>
      <c r="I352" s="1127"/>
      <c r="J352" s="2899" t="s">
        <v>5210</v>
      </c>
      <c r="K352" s="2889"/>
      <c r="L352" s="2889"/>
      <c r="M352" s="2889"/>
      <c r="N352" s="2889"/>
      <c r="O352" s="2889"/>
      <c r="P352" s="1675"/>
      <c r="Q352" s="2900"/>
      <c r="R352" s="2895"/>
      <c r="S352" s="2900">
        <v>400000</v>
      </c>
      <c r="T352" s="2900" t="s">
        <v>0</v>
      </c>
      <c r="U352" s="1675"/>
      <c r="V352" s="2900">
        <v>10</v>
      </c>
      <c r="W352" s="2900" t="s">
        <v>5180</v>
      </c>
      <c r="X352" s="1140" t="s">
        <v>5098</v>
      </c>
      <c r="Y352" s="1142">
        <f t="shared" ref="Y352" si="125">+Z352/1000</f>
        <v>4000</v>
      </c>
      <c r="Z352" s="2874">
        <f t="shared" ref="Z352:Z354" si="126">V352*S352</f>
        <v>4000000</v>
      </c>
      <c r="AA352" s="907"/>
      <c r="AB352" s="505"/>
    </row>
    <row r="353" spans="1:29" ht="21.6" customHeight="1">
      <c r="A353" s="2627"/>
      <c r="B353" s="1145"/>
      <c r="C353" s="1154"/>
      <c r="D353" s="1144"/>
      <c r="E353" s="1134" t="s">
        <v>64</v>
      </c>
      <c r="F353" s="1141">
        <f t="shared" si="122"/>
        <v>2000</v>
      </c>
      <c r="G353" s="1139">
        <v>2000</v>
      </c>
      <c r="H353" s="1147"/>
      <c r="I353" s="1127"/>
      <c r="J353" s="2899" t="s">
        <v>121</v>
      </c>
      <c r="K353" s="2889"/>
      <c r="L353" s="2889"/>
      <c r="M353" s="2889"/>
      <c r="N353" s="2889"/>
      <c r="O353" s="2889"/>
      <c r="P353" s="1675"/>
      <c r="Q353" s="2900"/>
      <c r="R353" s="2895"/>
      <c r="S353" s="2900">
        <v>500000</v>
      </c>
      <c r="T353" s="2900" t="s">
        <v>0</v>
      </c>
      <c r="U353" s="1675"/>
      <c r="V353" s="2900">
        <v>4</v>
      </c>
      <c r="W353" s="2900" t="s">
        <v>3</v>
      </c>
      <c r="X353" s="1140" t="s">
        <v>5098</v>
      </c>
      <c r="Y353" s="1142">
        <f t="shared" si="123"/>
        <v>2000</v>
      </c>
      <c r="Z353" s="2874">
        <f t="shared" si="126"/>
        <v>2000000</v>
      </c>
      <c r="AA353" s="907"/>
      <c r="AB353" s="505"/>
    </row>
    <row r="354" spans="1:29" ht="21.6" customHeight="1">
      <c r="A354" s="2627"/>
      <c r="B354" s="1145"/>
      <c r="C354" s="1154"/>
      <c r="D354" s="2291"/>
      <c r="E354" s="855" t="s">
        <v>56</v>
      </c>
      <c r="F354" s="1141">
        <f t="shared" si="122"/>
        <v>4000</v>
      </c>
      <c r="G354" s="455">
        <v>2000</v>
      </c>
      <c r="H354" s="1147">
        <f t="shared" si="124"/>
        <v>2000</v>
      </c>
      <c r="I354" s="1127"/>
      <c r="J354" s="1627" t="s">
        <v>122</v>
      </c>
      <c r="K354" s="2883"/>
      <c r="L354" s="2883"/>
      <c r="M354" s="2883"/>
      <c r="N354" s="2883"/>
      <c r="O354" s="2883"/>
      <c r="P354" s="1626"/>
      <c r="Q354" s="459"/>
      <c r="R354" s="457"/>
      <c r="S354" s="459">
        <v>800000</v>
      </c>
      <c r="T354" s="459" t="s">
        <v>0</v>
      </c>
      <c r="U354" s="1626"/>
      <c r="V354" s="459">
        <v>5</v>
      </c>
      <c r="W354" s="459" t="s">
        <v>3</v>
      </c>
      <c r="X354" s="460" t="s">
        <v>5098</v>
      </c>
      <c r="Y354" s="558">
        <f t="shared" si="123"/>
        <v>4000</v>
      </c>
      <c r="Z354" s="2874">
        <f t="shared" si="126"/>
        <v>4000000</v>
      </c>
      <c r="AA354" s="907"/>
      <c r="AB354" s="505"/>
    </row>
    <row r="355" spans="1:29" ht="21.6" customHeight="1">
      <c r="A355" s="2627"/>
      <c r="B355" s="1145"/>
      <c r="C355" s="1126"/>
      <c r="D355" s="3275" t="s">
        <v>3636</v>
      </c>
      <c r="E355" s="3276"/>
      <c r="F355" s="499">
        <f>F356</f>
        <v>50000</v>
      </c>
      <c r="G355" s="499">
        <f>G356</f>
        <v>50000</v>
      </c>
      <c r="H355" s="1132">
        <f>F355-G355</f>
        <v>0</v>
      </c>
      <c r="I355" s="1127"/>
      <c r="J355" s="1129"/>
      <c r="K355" s="2639"/>
      <c r="L355" s="2639"/>
      <c r="M355" s="2639"/>
      <c r="N355" s="2639"/>
      <c r="O355" s="2639"/>
      <c r="P355" s="1130"/>
      <c r="Q355" s="2639"/>
      <c r="R355" s="1626"/>
      <c r="S355" s="1130"/>
      <c r="T355" s="2639"/>
      <c r="U355" s="2639"/>
      <c r="V355" s="1130"/>
      <c r="W355" s="2639"/>
      <c r="X355" s="1157"/>
      <c r="Y355" s="503"/>
      <c r="Z355" s="1128"/>
      <c r="AA355" s="907">
        <f t="shared" si="112"/>
        <v>50000000000</v>
      </c>
      <c r="AB355" s="505"/>
    </row>
    <row r="356" spans="1:29" ht="21.6" customHeight="1">
      <c r="A356" s="2627"/>
      <c r="B356" s="1145"/>
      <c r="C356" s="1154"/>
      <c r="D356" s="2637"/>
      <c r="E356" s="2599" t="s">
        <v>3541</v>
      </c>
      <c r="F356" s="499">
        <f>Y356</f>
        <v>50000</v>
      </c>
      <c r="G356" s="499">
        <v>50000</v>
      </c>
      <c r="H356" s="361"/>
      <c r="I356" s="1127"/>
      <c r="J356" s="2643" t="s">
        <v>3637</v>
      </c>
      <c r="K356" s="2624"/>
      <c r="L356" s="2624"/>
      <c r="M356" s="2624"/>
      <c r="N356" s="2624"/>
      <c r="O356" s="1673"/>
      <c r="P356" s="1675"/>
      <c r="Q356" s="2644">
        <v>1575</v>
      </c>
      <c r="R356" s="2630" t="s">
        <v>3638</v>
      </c>
      <c r="S356" s="2644">
        <v>31746.031746031746</v>
      </c>
      <c r="T356" s="2644" t="s">
        <v>3639</v>
      </c>
      <c r="U356" s="1675"/>
      <c r="V356" s="2644">
        <v>1</v>
      </c>
      <c r="W356" s="2630" t="s">
        <v>3539</v>
      </c>
      <c r="X356" s="1140" t="s">
        <v>3499</v>
      </c>
      <c r="Y356" s="1142">
        <f t="shared" ref="Y356" si="127">+Z356/1000</f>
        <v>50000</v>
      </c>
      <c r="Z356" s="1128">
        <f>Q356*S356*V356</f>
        <v>50000000</v>
      </c>
      <c r="AA356" s="907"/>
      <c r="AB356" s="505">
        <f>Z356/Q356</f>
        <v>31746.031746031746</v>
      </c>
    </row>
    <row r="357" spans="1:29" ht="21.6" customHeight="1">
      <c r="A357" s="2627"/>
      <c r="B357" s="1145"/>
      <c r="C357" s="3411" t="s">
        <v>3640</v>
      </c>
      <c r="D357" s="3416"/>
      <c r="E357" s="3412"/>
      <c r="F357" s="1153">
        <f>F358</f>
        <v>55000</v>
      </c>
      <c r="G357" s="1153">
        <f>G358</f>
        <v>55000</v>
      </c>
      <c r="H357" s="361">
        <f>F357-G357</f>
        <v>0</v>
      </c>
      <c r="I357" s="1127"/>
      <c r="J357" s="1135"/>
      <c r="K357" s="2598"/>
      <c r="L357" s="2598"/>
      <c r="M357" s="2598"/>
      <c r="N357" s="2598"/>
      <c r="O357" s="2598"/>
      <c r="P357" s="1146"/>
      <c r="Q357" s="1136"/>
      <c r="R357" s="1137"/>
      <c r="S357" s="1136"/>
      <c r="T357" s="1136"/>
      <c r="U357" s="1146"/>
      <c r="V357" s="1136"/>
      <c r="W357" s="1136"/>
      <c r="X357" s="1138"/>
      <c r="Y357" s="1168"/>
      <c r="Z357" s="1128"/>
      <c r="AA357" s="907">
        <f t="shared" si="112"/>
        <v>55000000000</v>
      </c>
      <c r="AB357" s="505"/>
    </row>
    <row r="358" spans="1:29" ht="21.6" customHeight="1">
      <c r="A358" s="2627"/>
      <c r="B358" s="1145"/>
      <c r="C358" s="1126"/>
      <c r="D358" s="3273" t="s">
        <v>3640</v>
      </c>
      <c r="E358" s="3274"/>
      <c r="F358" s="1156">
        <f>SUM(F359:F365)</f>
        <v>55000</v>
      </c>
      <c r="G358" s="1156">
        <f>SUM(G359:G365)</f>
        <v>55000</v>
      </c>
      <c r="H358" s="361">
        <f>F358-G358</f>
        <v>0</v>
      </c>
      <c r="I358" s="1127"/>
      <c r="J358" s="1129"/>
      <c r="K358" s="2639"/>
      <c r="L358" s="2639"/>
      <c r="M358" s="2639"/>
      <c r="N358" s="2639"/>
      <c r="O358" s="2639"/>
      <c r="P358" s="1130"/>
      <c r="Q358" s="2639"/>
      <c r="R358" s="1626"/>
      <c r="S358" s="1130"/>
      <c r="T358" s="2639"/>
      <c r="U358" s="2639"/>
      <c r="V358" s="1130"/>
      <c r="W358" s="2639"/>
      <c r="X358" s="1157"/>
      <c r="Y358" s="1158"/>
      <c r="Z358" s="1128">
        <f>AB358</f>
        <v>0</v>
      </c>
      <c r="AA358" s="907">
        <f t="shared" si="112"/>
        <v>55000000000</v>
      </c>
      <c r="AB358" s="505"/>
    </row>
    <row r="359" spans="1:29" ht="21.6" customHeight="1">
      <c r="A359" s="2627"/>
      <c r="B359" s="1145"/>
      <c r="C359" s="1126"/>
      <c r="D359" s="1148"/>
      <c r="E359" s="1134" t="s">
        <v>3628</v>
      </c>
      <c r="F359" s="1141">
        <f>+Y359</f>
        <v>30000</v>
      </c>
      <c r="G359" s="1139">
        <v>30000</v>
      </c>
      <c r="H359" s="1147"/>
      <c r="I359" s="1127"/>
      <c r="J359" s="2643" t="s">
        <v>3641</v>
      </c>
      <c r="K359" s="2624"/>
      <c r="L359" s="2624"/>
      <c r="M359" s="2624"/>
      <c r="N359" s="2624"/>
      <c r="O359" s="2624"/>
      <c r="P359" s="1675"/>
      <c r="Q359" s="2644">
        <v>1</v>
      </c>
      <c r="R359" s="2630" t="s">
        <v>23</v>
      </c>
      <c r="S359" s="2644">
        <v>2500000</v>
      </c>
      <c r="T359" s="2644" t="s">
        <v>0</v>
      </c>
      <c r="U359" s="1675"/>
      <c r="V359" s="2644">
        <v>12</v>
      </c>
      <c r="W359" s="2644" t="s">
        <v>26</v>
      </c>
      <c r="X359" s="1140" t="s">
        <v>1</v>
      </c>
      <c r="Y359" s="1142">
        <f t="shared" ref="Y359:Y365" si="128">+Z359/1000</f>
        <v>30000</v>
      </c>
      <c r="Z359" s="1128">
        <f>Q359*S359*V359</f>
        <v>30000000</v>
      </c>
      <c r="AA359" s="907">
        <f t="shared" si="112"/>
        <v>30000000000</v>
      </c>
      <c r="AB359" s="505"/>
    </row>
    <row r="360" spans="1:29" s="1675" customFormat="1" ht="21.6" customHeight="1">
      <c r="A360" s="2627"/>
      <c r="B360" s="1145"/>
      <c r="C360" s="1126"/>
      <c r="D360" s="1131"/>
      <c r="E360" s="1134" t="s">
        <v>3642</v>
      </c>
      <c r="F360" s="1141">
        <f t="shared" ref="F360:F365" si="129">+Y360</f>
        <v>500</v>
      </c>
      <c r="G360" s="1139">
        <v>500</v>
      </c>
      <c r="H360" s="1147"/>
      <c r="I360" s="1127"/>
      <c r="J360" s="2643" t="s">
        <v>3643</v>
      </c>
      <c r="K360" s="2624"/>
      <c r="L360" s="2624"/>
      <c r="M360" s="2624"/>
      <c r="N360" s="2624"/>
      <c r="O360" s="2624"/>
      <c r="Q360" s="2644"/>
      <c r="R360" s="2630"/>
      <c r="S360" s="2644">
        <v>500000</v>
      </c>
      <c r="T360" s="2644" t="s">
        <v>0</v>
      </c>
      <c r="V360" s="2644">
        <v>1</v>
      </c>
      <c r="W360" s="2630" t="s">
        <v>3</v>
      </c>
      <c r="X360" s="1140" t="s">
        <v>1</v>
      </c>
      <c r="Y360" s="1142">
        <f t="shared" si="128"/>
        <v>500</v>
      </c>
      <c r="Z360" s="1128">
        <f t="shared" ref="Z360" si="130">S360*V360</f>
        <v>500000</v>
      </c>
      <c r="AA360" s="907">
        <f t="shared" si="112"/>
        <v>500000000</v>
      </c>
      <c r="AB360" s="505"/>
    </row>
    <row r="361" spans="1:29" s="1675" customFormat="1" ht="21.6" customHeight="1">
      <c r="A361" s="2627"/>
      <c r="B361" s="1145"/>
      <c r="C361" s="1126"/>
      <c r="D361" s="1131"/>
      <c r="E361" s="1134" t="s">
        <v>3551</v>
      </c>
      <c r="F361" s="1141">
        <f>+Y361</f>
        <v>500</v>
      </c>
      <c r="G361" s="1139">
        <v>500</v>
      </c>
      <c r="H361" s="1147"/>
      <c r="I361" s="1127"/>
      <c r="J361" s="2643" t="s">
        <v>262</v>
      </c>
      <c r="K361" s="2624"/>
      <c r="L361" s="2624"/>
      <c r="M361" s="2624"/>
      <c r="N361" s="2624"/>
      <c r="O361" s="2624"/>
      <c r="Q361" s="2644"/>
      <c r="R361" s="2630"/>
      <c r="S361" s="2644">
        <v>250000</v>
      </c>
      <c r="T361" s="2644" t="s">
        <v>0</v>
      </c>
      <c r="V361" s="2644">
        <v>2</v>
      </c>
      <c r="W361" s="2630" t="s">
        <v>3</v>
      </c>
      <c r="X361" s="1140" t="s">
        <v>1</v>
      </c>
      <c r="Y361" s="1142">
        <f>+Z361/1000</f>
        <v>500</v>
      </c>
      <c r="Z361" s="1128">
        <f>S361*V361</f>
        <v>500000</v>
      </c>
      <c r="AA361" s="907">
        <f t="shared" si="112"/>
        <v>500000000</v>
      </c>
      <c r="AB361" s="505"/>
    </row>
    <row r="362" spans="1:29" ht="21.6" customHeight="1">
      <c r="A362" s="2892"/>
      <c r="B362" s="1145"/>
      <c r="C362" s="1154"/>
      <c r="D362" s="1144"/>
      <c r="E362" s="1134" t="s">
        <v>708</v>
      </c>
      <c r="F362" s="1141">
        <f t="shared" ref="F362:F363" si="131">+Y362</f>
        <v>22800</v>
      </c>
      <c r="G362" s="1139">
        <v>22800</v>
      </c>
      <c r="H362" s="1147"/>
      <c r="I362" s="1127"/>
      <c r="J362" s="2899" t="s">
        <v>2587</v>
      </c>
      <c r="K362" s="2889"/>
      <c r="L362" s="2889"/>
      <c r="M362" s="2889"/>
      <c r="N362" s="2889"/>
      <c r="O362" s="2889"/>
      <c r="P362" s="1675"/>
      <c r="Q362" s="2900"/>
      <c r="R362" s="2895"/>
      <c r="S362" s="2900">
        <v>1900000</v>
      </c>
      <c r="T362" s="2900" t="s">
        <v>0</v>
      </c>
      <c r="U362" s="1675"/>
      <c r="V362" s="2900">
        <v>12</v>
      </c>
      <c r="W362" s="2900" t="s">
        <v>200</v>
      </c>
      <c r="X362" s="1140" t="s">
        <v>266</v>
      </c>
      <c r="Y362" s="1142">
        <f t="shared" ref="Y362:Y363" si="132">+Z362/1000</f>
        <v>22800</v>
      </c>
      <c r="Z362" s="1128">
        <f>S362*V362</f>
        <v>22800000</v>
      </c>
      <c r="AA362" s="907">
        <f t="shared" ref="AA362:AA363" si="133">F362*1000000</f>
        <v>22800000000</v>
      </c>
      <c r="AB362" s="505">
        <v>22800000</v>
      </c>
      <c r="AC362" s="370">
        <f>AB362/V362</f>
        <v>1900000</v>
      </c>
    </row>
    <row r="363" spans="1:29" s="1675" customFormat="1" ht="21.6" customHeight="1">
      <c r="A363" s="2892"/>
      <c r="B363" s="1145"/>
      <c r="C363" s="1126"/>
      <c r="D363" s="1131"/>
      <c r="E363" s="1134" t="s">
        <v>269</v>
      </c>
      <c r="F363" s="1141">
        <f t="shared" si="131"/>
        <v>300</v>
      </c>
      <c r="G363" s="1139">
        <v>300</v>
      </c>
      <c r="H363" s="1147"/>
      <c r="I363" s="1127"/>
      <c r="J363" s="2899" t="s">
        <v>3645</v>
      </c>
      <c r="K363" s="2889"/>
      <c r="L363" s="2889"/>
      <c r="M363" s="2889"/>
      <c r="N363" s="2889"/>
      <c r="O363" s="2889"/>
      <c r="Q363" s="2900"/>
      <c r="R363" s="2895"/>
      <c r="S363" s="2900">
        <v>300000</v>
      </c>
      <c r="T363" s="2900" t="s">
        <v>0</v>
      </c>
      <c r="V363" s="2900">
        <v>1</v>
      </c>
      <c r="W363" s="2895" t="s">
        <v>3</v>
      </c>
      <c r="X363" s="1140" t="s">
        <v>1</v>
      </c>
      <c r="Y363" s="1142">
        <f t="shared" si="132"/>
        <v>300</v>
      </c>
      <c r="Z363" s="1128">
        <f>S363*V363</f>
        <v>300000</v>
      </c>
      <c r="AA363" s="907">
        <f t="shared" si="133"/>
        <v>300000000</v>
      </c>
      <c r="AB363" s="505"/>
    </row>
    <row r="364" spans="1:29" s="1675" customFormat="1" ht="21.6" customHeight="1">
      <c r="A364" s="2627"/>
      <c r="B364" s="1145"/>
      <c r="C364" s="1126"/>
      <c r="D364" s="1131"/>
      <c r="E364" s="1134" t="s">
        <v>3579</v>
      </c>
      <c r="F364" s="1141">
        <f t="shared" si="129"/>
        <v>660</v>
      </c>
      <c r="G364" s="1139">
        <v>660</v>
      </c>
      <c r="H364" s="1147"/>
      <c r="I364" s="1127"/>
      <c r="J364" s="2643" t="s">
        <v>3644</v>
      </c>
      <c r="K364" s="2624"/>
      <c r="L364" s="2624"/>
      <c r="M364" s="2624"/>
      <c r="N364" s="2624"/>
      <c r="O364" s="2624"/>
      <c r="Q364" s="2644"/>
      <c r="R364" s="2630"/>
      <c r="S364" s="2644">
        <v>55000</v>
      </c>
      <c r="T364" s="2644" t="s">
        <v>0</v>
      </c>
      <c r="V364" s="2644">
        <v>12</v>
      </c>
      <c r="W364" s="2644" t="s">
        <v>3521</v>
      </c>
      <c r="X364" s="1140" t="s">
        <v>1</v>
      </c>
      <c r="Y364" s="1142">
        <f t="shared" si="128"/>
        <v>660</v>
      </c>
      <c r="Z364" s="1128">
        <f>S364*V364</f>
        <v>660000</v>
      </c>
      <c r="AA364" s="907">
        <f t="shared" si="112"/>
        <v>660000000</v>
      </c>
      <c r="AB364" s="505"/>
    </row>
    <row r="365" spans="1:29" s="1675" customFormat="1" ht="21.6" customHeight="1">
      <c r="A365" s="2627"/>
      <c r="B365" s="1145"/>
      <c r="C365" s="1126"/>
      <c r="D365" s="1131"/>
      <c r="E365" s="1134" t="s">
        <v>3503</v>
      </c>
      <c r="F365" s="1141">
        <f t="shared" si="129"/>
        <v>240</v>
      </c>
      <c r="G365" s="1139">
        <v>240</v>
      </c>
      <c r="H365" s="1147"/>
      <c r="I365" s="1127"/>
      <c r="J365" s="2643" t="s">
        <v>3646</v>
      </c>
      <c r="K365" s="2624"/>
      <c r="L365" s="2624"/>
      <c r="M365" s="2624"/>
      <c r="N365" s="2624"/>
      <c r="O365" s="2624"/>
      <c r="Q365" s="2644"/>
      <c r="R365" s="2630"/>
      <c r="S365" s="2644">
        <v>20000</v>
      </c>
      <c r="T365" s="2644" t="s">
        <v>0</v>
      </c>
      <c r="V365" s="2644">
        <v>12</v>
      </c>
      <c r="W365" s="2630" t="s">
        <v>3521</v>
      </c>
      <c r="X365" s="1140" t="s">
        <v>1</v>
      </c>
      <c r="Y365" s="1142">
        <f t="shared" si="128"/>
        <v>240</v>
      </c>
      <c r="Z365" s="1128">
        <f>S365*V365</f>
        <v>240000</v>
      </c>
      <c r="AA365" s="907">
        <f t="shared" si="112"/>
        <v>240000000</v>
      </c>
      <c r="AB365" s="505"/>
    </row>
    <row r="366" spans="1:29" ht="21.6" customHeight="1">
      <c r="A366" s="2627"/>
      <c r="B366" s="1145"/>
      <c r="C366" s="3411" t="s">
        <v>3647</v>
      </c>
      <c r="D366" s="3416"/>
      <c r="E366" s="3412"/>
      <c r="F366" s="1153">
        <f>+F367+F372</f>
        <v>870000</v>
      </c>
      <c r="G366" s="1153">
        <f>+G367+G372</f>
        <v>10000</v>
      </c>
      <c r="H366" s="1132">
        <f>F366-G366</f>
        <v>860000</v>
      </c>
      <c r="I366" s="1127"/>
      <c r="J366" s="1135"/>
      <c r="K366" s="2876"/>
      <c r="L366" s="2876"/>
      <c r="M366" s="2876"/>
      <c r="N366" s="2876"/>
      <c r="O366" s="2876"/>
      <c r="P366" s="1146"/>
      <c r="Q366" s="1136"/>
      <c r="R366" s="1137"/>
      <c r="S366" s="1136"/>
      <c r="T366" s="1136"/>
      <c r="U366" s="1146"/>
      <c r="V366" s="1136"/>
      <c r="W366" s="1136"/>
      <c r="X366" s="1138"/>
      <c r="Y366" s="1168"/>
      <c r="Z366" s="353"/>
      <c r="AA366" s="907"/>
      <c r="AB366" s="505"/>
    </row>
    <row r="367" spans="1:29" ht="21.6" customHeight="1">
      <c r="A367" s="2627"/>
      <c r="B367" s="1145"/>
      <c r="C367" s="1126"/>
      <c r="D367" s="3273" t="s">
        <v>3648</v>
      </c>
      <c r="E367" s="3274"/>
      <c r="F367" s="1156">
        <f>SUM(F368:F371)</f>
        <v>10000</v>
      </c>
      <c r="G367" s="1156">
        <f>SUM(G368:G371)</f>
        <v>10000</v>
      </c>
      <c r="H367" s="361">
        <f>F367-G367</f>
        <v>0</v>
      </c>
      <c r="I367" s="1127"/>
      <c r="J367" s="1129"/>
      <c r="K367" s="2639"/>
      <c r="L367" s="2639"/>
      <c r="M367" s="2639"/>
      <c r="N367" s="2639"/>
      <c r="O367" s="2639"/>
      <c r="P367" s="1130"/>
      <c r="Q367" s="2639"/>
      <c r="R367" s="1626"/>
      <c r="S367" s="1130"/>
      <c r="T367" s="2639"/>
      <c r="U367" s="2639"/>
      <c r="V367" s="1130"/>
      <c r="W367" s="2639"/>
      <c r="X367" s="1157"/>
      <c r="Y367" s="1158"/>
      <c r="Z367" s="2341">
        <f>Z369+Z371+Z370+Z368</f>
        <v>10000000</v>
      </c>
      <c r="AA367" s="907">
        <f t="shared" si="112"/>
        <v>10000000000</v>
      </c>
      <c r="AB367" s="505"/>
    </row>
    <row r="368" spans="1:29" ht="21.6" customHeight="1">
      <c r="A368" s="475"/>
      <c r="B368" s="1145"/>
      <c r="C368" s="1126"/>
      <c r="D368" s="1131"/>
      <c r="E368" s="1134" t="s">
        <v>3544</v>
      </c>
      <c r="F368" s="1141">
        <f>+Y368</f>
        <v>400</v>
      </c>
      <c r="G368" s="1139">
        <v>400</v>
      </c>
      <c r="H368" s="1147"/>
      <c r="I368" s="1127"/>
      <c r="J368" s="2643" t="s">
        <v>3649</v>
      </c>
      <c r="K368" s="2624"/>
      <c r="L368" s="2624"/>
      <c r="M368" s="2624"/>
      <c r="N368" s="2624"/>
      <c r="O368" s="2624"/>
      <c r="P368" s="1675"/>
      <c r="Q368" s="2644">
        <v>2</v>
      </c>
      <c r="R368" s="2630" t="s">
        <v>3517</v>
      </c>
      <c r="S368" s="2644">
        <v>20000</v>
      </c>
      <c r="T368" s="2644" t="s">
        <v>3538</v>
      </c>
      <c r="U368" s="1675"/>
      <c r="V368" s="2644">
        <v>10</v>
      </c>
      <c r="W368" s="2644" t="s">
        <v>3539</v>
      </c>
      <c r="X368" s="1140" t="s">
        <v>3499</v>
      </c>
      <c r="Y368" s="1142">
        <f t="shared" ref="Y368:Y371" si="134">+Z368/1000</f>
        <v>400</v>
      </c>
      <c r="Z368" s="1128">
        <f>S368*V368*Q368</f>
        <v>400000</v>
      </c>
      <c r="AA368" s="907">
        <f t="shared" si="112"/>
        <v>400000000</v>
      </c>
      <c r="AB368" s="505"/>
    </row>
    <row r="369" spans="1:28" ht="21.6" customHeight="1">
      <c r="A369" s="475"/>
      <c r="B369" s="1145"/>
      <c r="C369" s="1126"/>
      <c r="D369" s="1131"/>
      <c r="E369" s="1134" t="s">
        <v>3650</v>
      </c>
      <c r="F369" s="1141">
        <f>+Y369</f>
        <v>5000</v>
      </c>
      <c r="G369" s="1139">
        <v>5000</v>
      </c>
      <c r="H369" s="1147"/>
      <c r="I369" s="1127"/>
      <c r="J369" s="2643" t="s">
        <v>3651</v>
      </c>
      <c r="K369" s="2624"/>
      <c r="L369" s="2624"/>
      <c r="M369" s="2624"/>
      <c r="N369" s="2624"/>
      <c r="O369" s="1673"/>
      <c r="P369" s="1675"/>
      <c r="Q369" s="2900">
        <v>10</v>
      </c>
      <c r="R369" s="2895" t="s">
        <v>756</v>
      </c>
      <c r="S369" s="2644">
        <v>50000</v>
      </c>
      <c r="T369" s="2644" t="s">
        <v>3538</v>
      </c>
      <c r="U369" s="1675"/>
      <c r="V369" s="2644">
        <v>10</v>
      </c>
      <c r="W369" s="2630" t="s">
        <v>3539</v>
      </c>
      <c r="X369" s="1140" t="s">
        <v>3499</v>
      </c>
      <c r="Y369" s="1142">
        <f t="shared" si="134"/>
        <v>5000</v>
      </c>
      <c r="Z369" s="1128">
        <f>S369*V369*Q369</f>
        <v>5000000</v>
      </c>
      <c r="AA369" s="907">
        <f t="shared" si="112"/>
        <v>5000000000</v>
      </c>
      <c r="AB369" s="505"/>
    </row>
    <row r="370" spans="1:28" ht="21.6" customHeight="1">
      <c r="A370" s="475"/>
      <c r="B370" s="1145"/>
      <c r="C370" s="1126"/>
      <c r="D370" s="1131"/>
      <c r="E370" s="1134" t="s">
        <v>3558</v>
      </c>
      <c r="F370" s="1141">
        <f>+Y370</f>
        <v>4100</v>
      </c>
      <c r="G370" s="1139">
        <v>4100</v>
      </c>
      <c r="H370" s="1147"/>
      <c r="I370" s="1127"/>
      <c r="J370" s="2643" t="s">
        <v>3652</v>
      </c>
      <c r="K370" s="2624"/>
      <c r="L370" s="2624"/>
      <c r="M370" s="2624"/>
      <c r="N370" s="2624"/>
      <c r="O370" s="2624"/>
      <c r="P370" s="1675"/>
      <c r="Q370" s="2644"/>
      <c r="R370" s="2630"/>
      <c r="S370" s="2644">
        <v>410000</v>
      </c>
      <c r="T370" s="2644" t="s">
        <v>3538</v>
      </c>
      <c r="U370" s="1675"/>
      <c r="V370" s="2644">
        <v>10</v>
      </c>
      <c r="W370" s="2630" t="s">
        <v>3539</v>
      </c>
      <c r="X370" s="1140" t="s">
        <v>3499</v>
      </c>
      <c r="Y370" s="1142">
        <f t="shared" si="134"/>
        <v>4100</v>
      </c>
      <c r="Z370" s="1128">
        <f>+S370*V370</f>
        <v>4100000</v>
      </c>
      <c r="AA370" s="907">
        <f t="shared" si="112"/>
        <v>4100000000</v>
      </c>
      <c r="AB370" s="505"/>
    </row>
    <row r="371" spans="1:28" ht="21.6" customHeight="1">
      <c r="A371" s="475"/>
      <c r="B371" s="1145"/>
      <c r="C371" s="1126"/>
      <c r="D371" s="1131"/>
      <c r="E371" s="1134" t="s">
        <v>3563</v>
      </c>
      <c r="F371" s="1141">
        <f>+Y371</f>
        <v>500</v>
      </c>
      <c r="G371" s="1139">
        <v>500</v>
      </c>
      <c r="H371" s="1147"/>
      <c r="I371" s="1127"/>
      <c r="J371" s="2643" t="s">
        <v>3653</v>
      </c>
      <c r="K371" s="2624"/>
      <c r="L371" s="2624"/>
      <c r="M371" s="2624"/>
      <c r="N371" s="2624"/>
      <c r="O371" s="1673"/>
      <c r="P371" s="1675"/>
      <c r="Q371" s="2644">
        <v>10</v>
      </c>
      <c r="R371" s="2630" t="s">
        <v>3654</v>
      </c>
      <c r="S371" s="2644">
        <v>10000</v>
      </c>
      <c r="T371" s="2644" t="s">
        <v>3538</v>
      </c>
      <c r="U371" s="1675"/>
      <c r="V371" s="2644">
        <v>5</v>
      </c>
      <c r="W371" s="2630" t="s">
        <v>3539</v>
      </c>
      <c r="X371" s="1140" t="s">
        <v>3499</v>
      </c>
      <c r="Y371" s="1142">
        <f t="shared" si="134"/>
        <v>500</v>
      </c>
      <c r="Z371" s="1128">
        <f>+S371*V371*Q371</f>
        <v>500000</v>
      </c>
      <c r="AA371" s="907">
        <f t="shared" si="112"/>
        <v>500000000</v>
      </c>
      <c r="AB371" s="505"/>
    </row>
    <row r="372" spans="1:28" ht="21.6" customHeight="1">
      <c r="A372" s="2781"/>
      <c r="B372" s="1145"/>
      <c r="C372" s="1126"/>
      <c r="D372" s="3275" t="s">
        <v>4920</v>
      </c>
      <c r="E372" s="3276"/>
      <c r="F372" s="499">
        <f>SUM(F373:F399)</f>
        <v>860000</v>
      </c>
      <c r="G372" s="499">
        <f>SUM(G373:G399)</f>
        <v>0</v>
      </c>
      <c r="H372" s="1132">
        <f>F372-G372</f>
        <v>860000</v>
      </c>
      <c r="I372" s="1127"/>
      <c r="J372" s="501"/>
      <c r="K372" s="2799"/>
      <c r="L372" s="2799"/>
      <c r="M372" s="2799"/>
      <c r="N372" s="2799"/>
      <c r="O372" s="2799"/>
      <c r="P372" s="484"/>
      <c r="Q372" s="2799"/>
      <c r="R372" s="1146"/>
      <c r="S372" s="484"/>
      <c r="T372" s="2799"/>
      <c r="U372" s="2799"/>
      <c r="V372" s="484"/>
      <c r="W372" s="2799"/>
      <c r="X372" s="502"/>
      <c r="Y372" s="503"/>
      <c r="Z372" s="2341"/>
      <c r="AA372" s="907"/>
      <c r="AB372" s="505"/>
    </row>
    <row r="373" spans="1:28" ht="21.6" customHeight="1">
      <c r="A373" s="2781"/>
      <c r="B373" s="1145"/>
      <c r="C373" s="1154"/>
      <c r="D373" s="934"/>
      <c r="E373" s="434" t="s">
        <v>4909</v>
      </c>
      <c r="F373" s="2749">
        <f>Y373</f>
        <v>117000</v>
      </c>
      <c r="G373" s="2749"/>
      <c r="H373" s="338">
        <f>F373-G373</f>
        <v>117000</v>
      </c>
      <c r="I373" s="1127"/>
      <c r="J373" s="2802" t="s">
        <v>8</v>
      </c>
      <c r="K373" s="2800"/>
      <c r="L373" s="2800"/>
      <c r="M373" s="2800"/>
      <c r="N373" s="2800"/>
      <c r="O373" s="2800"/>
      <c r="P373" s="2800"/>
      <c r="Q373" s="2800"/>
      <c r="R373" s="405"/>
      <c r="S373" s="2803"/>
      <c r="T373" s="2803"/>
      <c r="U373" s="2803"/>
      <c r="V373" s="2803"/>
      <c r="W373" s="2803"/>
      <c r="X373" s="1140"/>
      <c r="Y373" s="1674">
        <f>SUM(Y374:Y375)</f>
        <v>117000</v>
      </c>
      <c r="Z373" s="2341">
        <f>Z374+Z375</f>
        <v>117000000</v>
      </c>
      <c r="AA373" s="907"/>
      <c r="AB373" s="505"/>
    </row>
    <row r="374" spans="1:28" ht="21.6" customHeight="1">
      <c r="A374" s="2781"/>
      <c r="B374" s="1145"/>
      <c r="C374" s="1154"/>
      <c r="D374" s="875"/>
      <c r="E374" s="542"/>
      <c r="F374" s="2749"/>
      <c r="G374" s="2749"/>
      <c r="H374" s="338"/>
      <c r="I374" s="1127"/>
      <c r="J374" s="2345" t="s">
        <v>6088</v>
      </c>
      <c r="K374" s="1672"/>
      <c r="L374" s="1672"/>
      <c r="M374" s="1672"/>
      <c r="N374" s="1672"/>
      <c r="O374" s="1672"/>
      <c r="P374" s="1672"/>
      <c r="Q374" s="1672">
        <v>2</v>
      </c>
      <c r="R374" s="1672" t="s">
        <v>4869</v>
      </c>
      <c r="S374" s="1672">
        <v>4000000</v>
      </c>
      <c r="T374" s="1672" t="s">
        <v>4874</v>
      </c>
      <c r="U374" s="1672"/>
      <c r="V374" s="1672">
        <v>9</v>
      </c>
      <c r="W374" s="1672" t="s">
        <v>4888</v>
      </c>
      <c r="X374" s="1323" t="s">
        <v>4864</v>
      </c>
      <c r="Y374" s="636">
        <f t="shared" ref="Y374:Y376" si="135">Z374/1000</f>
        <v>72000</v>
      </c>
      <c r="Z374" s="2341">
        <f>Q374*S374*V374</f>
        <v>72000000</v>
      </c>
      <c r="AA374" s="907"/>
      <c r="AB374" s="505"/>
    </row>
    <row r="375" spans="1:28" ht="21.6" customHeight="1">
      <c r="A375" s="2781"/>
      <c r="B375" s="1145"/>
      <c r="C375" s="1154"/>
      <c r="D375" s="875"/>
      <c r="E375" s="470"/>
      <c r="F375" s="2749"/>
      <c r="G375" s="2749"/>
      <c r="H375" s="338"/>
      <c r="I375" s="1127"/>
      <c r="J375" s="2345" t="s">
        <v>6089</v>
      </c>
      <c r="K375" s="1672"/>
      <c r="L375" s="1672"/>
      <c r="M375" s="1672"/>
      <c r="N375" s="1672"/>
      <c r="O375" s="1672"/>
      <c r="P375" s="1672"/>
      <c r="Q375" s="1672">
        <v>2</v>
      </c>
      <c r="R375" s="1672" t="s">
        <v>4869</v>
      </c>
      <c r="S375" s="1672">
        <v>2500000</v>
      </c>
      <c r="T375" s="1672" t="s">
        <v>4874</v>
      </c>
      <c r="U375" s="1672"/>
      <c r="V375" s="1672">
        <v>9</v>
      </c>
      <c r="W375" s="1672" t="s">
        <v>4888</v>
      </c>
      <c r="X375" s="1323" t="s">
        <v>4864</v>
      </c>
      <c r="Y375" s="636">
        <f t="shared" si="135"/>
        <v>45000</v>
      </c>
      <c r="Z375" s="2341">
        <f>Q375*S375*V375</f>
        <v>45000000</v>
      </c>
      <c r="AA375" s="907"/>
      <c r="AB375" s="505"/>
    </row>
    <row r="376" spans="1:28" ht="21.6" customHeight="1">
      <c r="A376" s="2781"/>
      <c r="B376" s="1145"/>
      <c r="C376" s="1154"/>
      <c r="D376" s="875"/>
      <c r="E376" s="1126" t="s">
        <v>4910</v>
      </c>
      <c r="F376" s="2749">
        <f>Y376</f>
        <v>50000</v>
      </c>
      <c r="G376" s="2749"/>
      <c r="H376" s="338">
        <f>F376-G376</f>
        <v>50000</v>
      </c>
      <c r="I376" s="1127"/>
      <c r="J376" s="2345" t="s">
        <v>4889</v>
      </c>
      <c r="K376" s="1672"/>
      <c r="L376" s="1672"/>
      <c r="M376" s="1672"/>
      <c r="N376" s="1672"/>
      <c r="O376" s="1672"/>
      <c r="P376" s="1672"/>
      <c r="Q376" s="1672"/>
      <c r="R376" s="1672"/>
      <c r="S376" s="1672">
        <v>50000000</v>
      </c>
      <c r="T376" s="1672" t="s">
        <v>4874</v>
      </c>
      <c r="U376" s="1672"/>
      <c r="V376" s="1672">
        <v>1</v>
      </c>
      <c r="W376" s="1672" t="s">
        <v>4878</v>
      </c>
      <c r="X376" s="1323" t="s">
        <v>4864</v>
      </c>
      <c r="Y376" s="636">
        <f t="shared" si="135"/>
        <v>50000</v>
      </c>
      <c r="Z376" s="2341">
        <f>S376*V376</f>
        <v>50000000</v>
      </c>
      <c r="AA376" s="907"/>
      <c r="AB376" s="505"/>
    </row>
    <row r="377" spans="1:28" ht="21.6" customHeight="1">
      <c r="A377" s="2781"/>
      <c r="B377" s="1145"/>
      <c r="C377" s="1154"/>
      <c r="D377" s="875"/>
      <c r="E377" s="2357" t="s">
        <v>4911</v>
      </c>
      <c r="F377" s="2749">
        <f>Y377</f>
        <v>37000</v>
      </c>
      <c r="G377" s="2749"/>
      <c r="H377" s="338">
        <f>F377-G377</f>
        <v>37000</v>
      </c>
      <c r="I377" s="1127"/>
      <c r="J377" s="2345" t="s">
        <v>4881</v>
      </c>
      <c r="K377" s="1672"/>
      <c r="L377" s="1672"/>
      <c r="M377" s="1672"/>
      <c r="N377" s="1672"/>
      <c r="O377" s="1672"/>
      <c r="P377" s="1672"/>
      <c r="Q377" s="1672"/>
      <c r="R377" s="1672"/>
      <c r="S377" s="1672"/>
      <c r="T377" s="1672"/>
      <c r="U377" s="1672"/>
      <c r="V377" s="1672"/>
      <c r="W377" s="1672"/>
      <c r="X377" s="1672"/>
      <c r="Y377" s="1674">
        <f>SUM(Y378:Y380)</f>
        <v>37000</v>
      </c>
      <c r="Z377" s="2341">
        <f>Z378+Z379+Z380</f>
        <v>37000000</v>
      </c>
      <c r="AA377" s="907"/>
      <c r="AB377" s="505"/>
    </row>
    <row r="378" spans="1:28" ht="21.6" customHeight="1">
      <c r="A378" s="2781"/>
      <c r="B378" s="1145"/>
      <c r="C378" s="1154"/>
      <c r="D378" s="875"/>
      <c r="E378" s="1126"/>
      <c r="F378" s="2749"/>
      <c r="G378" s="2749"/>
      <c r="H378" s="338"/>
      <c r="I378" s="1127"/>
      <c r="J378" s="2345" t="s">
        <v>6090</v>
      </c>
      <c r="K378" s="1672"/>
      <c r="L378" s="1672"/>
      <c r="M378" s="1672"/>
      <c r="N378" s="1672"/>
      <c r="O378" s="1672"/>
      <c r="P378" s="1672"/>
      <c r="Q378" s="1672"/>
      <c r="R378" s="1672"/>
      <c r="S378" s="1672">
        <v>20000</v>
      </c>
      <c r="T378" s="1672" t="s">
        <v>4874</v>
      </c>
      <c r="U378" s="1672"/>
      <c r="V378" s="1672">
        <v>1000</v>
      </c>
      <c r="W378" s="1672" t="s">
        <v>4890</v>
      </c>
      <c r="X378" s="1323" t="s">
        <v>4864</v>
      </c>
      <c r="Y378" s="636">
        <f t="shared" ref="Y378:Y381" si="136">Z378/1000</f>
        <v>20000</v>
      </c>
      <c r="Z378" s="2341">
        <f t="shared" ref="Z378:Z386" si="137">S378*V378</f>
        <v>20000000</v>
      </c>
      <c r="AA378" s="907"/>
      <c r="AB378" s="505"/>
    </row>
    <row r="379" spans="1:28" ht="21.6" customHeight="1">
      <c r="A379" s="2781"/>
      <c r="B379" s="1145"/>
      <c r="C379" s="1154"/>
      <c r="D379" s="875"/>
      <c r="E379" s="1126"/>
      <c r="F379" s="2749"/>
      <c r="G379" s="2749"/>
      <c r="H379" s="338"/>
      <c r="I379" s="1127"/>
      <c r="J379" s="2345" t="s">
        <v>6091</v>
      </c>
      <c r="K379" s="1672"/>
      <c r="L379" s="1672"/>
      <c r="M379" s="1672"/>
      <c r="N379" s="1672"/>
      <c r="O379" s="1672"/>
      <c r="P379" s="1672"/>
      <c r="Q379" s="1672"/>
      <c r="R379" s="1672"/>
      <c r="S379" s="1672">
        <v>10000000</v>
      </c>
      <c r="T379" s="1672" t="s">
        <v>4874</v>
      </c>
      <c r="U379" s="1672"/>
      <c r="V379" s="1672">
        <v>1</v>
      </c>
      <c r="W379" s="1672" t="s">
        <v>4877</v>
      </c>
      <c r="X379" s="1323" t="s">
        <v>4864</v>
      </c>
      <c r="Y379" s="636">
        <f t="shared" si="136"/>
        <v>10000</v>
      </c>
      <c r="Z379" s="2341">
        <f t="shared" si="137"/>
        <v>10000000</v>
      </c>
      <c r="AA379" s="907"/>
      <c r="AB379" s="505"/>
    </row>
    <row r="380" spans="1:28" ht="21.6" customHeight="1">
      <c r="A380" s="2781"/>
      <c r="B380" s="1145"/>
      <c r="C380" s="1154"/>
      <c r="D380" s="875"/>
      <c r="E380" s="1126"/>
      <c r="F380" s="2749"/>
      <c r="G380" s="2749"/>
      <c r="H380" s="338"/>
      <c r="I380" s="1127"/>
      <c r="J380" s="2345" t="s">
        <v>6092</v>
      </c>
      <c r="K380" s="1672"/>
      <c r="L380" s="1672"/>
      <c r="M380" s="1672"/>
      <c r="N380" s="1672"/>
      <c r="O380" s="1672"/>
      <c r="P380" s="1672"/>
      <c r="Q380" s="1672"/>
      <c r="R380" s="1672"/>
      <c r="S380" s="1672">
        <v>7000000</v>
      </c>
      <c r="T380" s="1672" t="s">
        <v>4874</v>
      </c>
      <c r="U380" s="1672"/>
      <c r="V380" s="1672">
        <v>1</v>
      </c>
      <c r="W380" s="1672" t="s">
        <v>4878</v>
      </c>
      <c r="X380" s="1323" t="s">
        <v>4864</v>
      </c>
      <c r="Y380" s="636">
        <f t="shared" si="136"/>
        <v>7000</v>
      </c>
      <c r="Z380" s="2341">
        <f t="shared" si="137"/>
        <v>7000000</v>
      </c>
      <c r="AA380" s="907"/>
      <c r="AB380" s="505"/>
    </row>
    <row r="381" spans="1:28" ht="21.6" customHeight="1">
      <c r="A381" s="2781"/>
      <c r="B381" s="1145"/>
      <c r="C381" s="1154"/>
      <c r="D381" s="875"/>
      <c r="E381" s="1126" t="s">
        <v>4912</v>
      </c>
      <c r="F381" s="2749">
        <f t="shared" ref="F381:F382" si="138">Y381</f>
        <v>5000</v>
      </c>
      <c r="G381" s="2749"/>
      <c r="H381" s="338">
        <f t="shared" ref="H381:H382" si="139">F381-G381</f>
        <v>5000</v>
      </c>
      <c r="I381" s="1127"/>
      <c r="J381" s="2345" t="s">
        <v>4891</v>
      </c>
      <c r="K381" s="1672"/>
      <c r="L381" s="1672"/>
      <c r="M381" s="1672"/>
      <c r="N381" s="1672"/>
      <c r="O381" s="1672"/>
      <c r="P381" s="1672"/>
      <c r="Q381" s="1672"/>
      <c r="R381" s="1672"/>
      <c r="S381" s="1672">
        <v>5000000</v>
      </c>
      <c r="T381" s="1672" t="s">
        <v>4874</v>
      </c>
      <c r="U381" s="1672"/>
      <c r="V381" s="1672">
        <v>1</v>
      </c>
      <c r="W381" s="1672" t="s">
        <v>4877</v>
      </c>
      <c r="X381" s="1323" t="s">
        <v>4864</v>
      </c>
      <c r="Y381" s="636">
        <f t="shared" si="136"/>
        <v>5000</v>
      </c>
      <c r="Z381" s="2341">
        <f t="shared" si="137"/>
        <v>5000000</v>
      </c>
      <c r="AA381" s="907"/>
      <c r="AB381" s="505"/>
    </row>
    <row r="382" spans="1:28" ht="21.6" customHeight="1">
      <c r="A382" s="2781"/>
      <c r="B382" s="1145"/>
      <c r="C382" s="1154"/>
      <c r="D382" s="875"/>
      <c r="E382" s="542" t="s">
        <v>4913</v>
      </c>
      <c r="F382" s="2749">
        <f t="shared" si="138"/>
        <v>27000</v>
      </c>
      <c r="G382" s="2749"/>
      <c r="H382" s="338">
        <f t="shared" si="139"/>
        <v>27000</v>
      </c>
      <c r="I382" s="1127"/>
      <c r="J382" s="2802" t="s">
        <v>8</v>
      </c>
      <c r="K382" s="2800"/>
      <c r="L382" s="2800"/>
      <c r="M382" s="2800"/>
      <c r="N382" s="2800"/>
      <c r="O382" s="2800"/>
      <c r="P382" s="2800"/>
      <c r="Q382" s="2800"/>
      <c r="R382" s="405"/>
      <c r="S382" s="2803"/>
      <c r="T382" s="2803"/>
      <c r="U382" s="2803"/>
      <c r="V382" s="2803"/>
      <c r="W382" s="2803"/>
      <c r="X382" s="1140"/>
      <c r="Y382" s="1674">
        <f>SUM(Y383:Y384)</f>
        <v>27000</v>
      </c>
      <c r="Z382" s="2341">
        <f>Z383+Z384</f>
        <v>27000000</v>
      </c>
      <c r="AA382" s="907"/>
      <c r="AB382" s="505"/>
    </row>
    <row r="383" spans="1:28" ht="21.6" customHeight="1">
      <c r="A383" s="2781"/>
      <c r="B383" s="1145"/>
      <c r="C383" s="1154"/>
      <c r="D383" s="875"/>
      <c r="E383" s="470"/>
      <c r="F383" s="2749"/>
      <c r="G383" s="2749"/>
      <c r="H383" s="338"/>
      <c r="I383" s="1127"/>
      <c r="J383" s="2345" t="s">
        <v>6093</v>
      </c>
      <c r="K383" s="1672"/>
      <c r="L383" s="1672"/>
      <c r="M383" s="1672"/>
      <c r="N383" s="1672"/>
      <c r="O383" s="1672"/>
      <c r="P383" s="1672"/>
      <c r="Q383" s="1672"/>
      <c r="R383" s="1672"/>
      <c r="S383" s="1672">
        <v>6000000</v>
      </c>
      <c r="T383" s="1672" t="s">
        <v>4874</v>
      </c>
      <c r="U383" s="1672"/>
      <c r="V383" s="1672">
        <v>2</v>
      </c>
      <c r="W383" s="1672" t="s">
        <v>4878</v>
      </c>
      <c r="X383" s="1323" t="s">
        <v>4866</v>
      </c>
      <c r="Y383" s="636">
        <f t="shared" ref="Y383:Y384" si="140">Z383/1000</f>
        <v>12000</v>
      </c>
      <c r="Z383" s="2341">
        <f t="shared" si="137"/>
        <v>12000000</v>
      </c>
      <c r="AA383" s="907"/>
      <c r="AB383" s="505"/>
    </row>
    <row r="384" spans="1:28" ht="21.6" customHeight="1">
      <c r="A384" s="2781"/>
      <c r="B384" s="1145"/>
      <c r="C384" s="1154"/>
      <c r="D384" s="875"/>
      <c r="E384" s="470"/>
      <c r="F384" s="2749"/>
      <c r="G384" s="2749"/>
      <c r="H384" s="338"/>
      <c r="I384" s="1127"/>
      <c r="J384" s="2345" t="s">
        <v>6094</v>
      </c>
      <c r="K384" s="1672"/>
      <c r="L384" s="1672"/>
      <c r="M384" s="1672"/>
      <c r="N384" s="1672"/>
      <c r="O384" s="1672"/>
      <c r="P384" s="1672"/>
      <c r="Q384" s="1672"/>
      <c r="R384" s="1672"/>
      <c r="S384" s="1672">
        <v>5000000</v>
      </c>
      <c r="T384" s="1672" t="s">
        <v>4892</v>
      </c>
      <c r="U384" s="1672"/>
      <c r="V384" s="1672">
        <v>3</v>
      </c>
      <c r="W384" s="1672" t="s">
        <v>4893</v>
      </c>
      <c r="X384" s="1323" t="s">
        <v>4894</v>
      </c>
      <c r="Y384" s="636">
        <f t="shared" si="140"/>
        <v>15000</v>
      </c>
      <c r="Z384" s="2341">
        <f t="shared" si="137"/>
        <v>15000000</v>
      </c>
      <c r="AA384" s="907"/>
      <c r="AB384" s="505"/>
    </row>
    <row r="385" spans="1:28" ht="22.5" customHeight="1">
      <c r="A385" s="475"/>
      <c r="B385" s="1145"/>
      <c r="C385" s="1154"/>
      <c r="D385" s="1131"/>
      <c r="E385" s="1126" t="s">
        <v>4871</v>
      </c>
      <c r="F385" s="2749">
        <f>Y385</f>
        <v>15000</v>
      </c>
      <c r="G385" s="1139"/>
      <c r="H385" s="338">
        <f>F385-G385</f>
        <v>15000</v>
      </c>
      <c r="I385" s="1127"/>
      <c r="J385" s="2345" t="s">
        <v>4895</v>
      </c>
      <c r="K385" s="1672"/>
      <c r="L385" s="1672"/>
      <c r="M385" s="1672"/>
      <c r="N385" s="1672"/>
      <c r="O385" s="1672"/>
      <c r="P385" s="1672"/>
      <c r="Q385" s="1672"/>
      <c r="R385" s="1672"/>
      <c r="S385" s="1672"/>
      <c r="T385" s="1672"/>
      <c r="U385" s="1672"/>
      <c r="V385" s="1672"/>
      <c r="W385" s="1672"/>
      <c r="X385" s="1323"/>
      <c r="Y385" s="1674">
        <f>SUM(Y386:Y387)</f>
        <v>15000</v>
      </c>
      <c r="Z385" s="1128">
        <f>Z386+Z387</f>
        <v>15000000</v>
      </c>
      <c r="AA385" s="907"/>
      <c r="AB385" s="505"/>
    </row>
    <row r="386" spans="1:28" ht="22.5" customHeight="1">
      <c r="A386" s="475"/>
      <c r="B386" s="1145"/>
      <c r="C386" s="1154"/>
      <c r="D386" s="1131"/>
      <c r="E386" s="1126"/>
      <c r="F386" s="1141"/>
      <c r="G386" s="1139"/>
      <c r="H386" s="1147"/>
      <c r="I386" s="1127"/>
      <c r="J386" s="2345" t="s">
        <v>6095</v>
      </c>
      <c r="K386" s="1672"/>
      <c r="L386" s="1672"/>
      <c r="M386" s="1672"/>
      <c r="N386" s="1672"/>
      <c r="O386" s="1672"/>
      <c r="P386" s="1672"/>
      <c r="Q386" s="1672"/>
      <c r="R386" s="1672"/>
      <c r="S386" s="1672">
        <v>4000000</v>
      </c>
      <c r="T386" s="1672" t="s">
        <v>4892</v>
      </c>
      <c r="U386" s="1672"/>
      <c r="V386" s="1672">
        <v>3</v>
      </c>
      <c r="W386" s="1672" t="s">
        <v>4896</v>
      </c>
      <c r="X386" s="1323" t="s">
        <v>4897</v>
      </c>
      <c r="Y386" s="636">
        <f t="shared" ref="Y386:Y387" si="141">Z386/1000</f>
        <v>12000</v>
      </c>
      <c r="Z386" s="2341">
        <f t="shared" si="137"/>
        <v>12000000</v>
      </c>
      <c r="AA386" s="907"/>
      <c r="AB386" s="505"/>
    </row>
    <row r="387" spans="1:28" ht="22.5" customHeight="1">
      <c r="A387" s="475"/>
      <c r="B387" s="1145"/>
      <c r="C387" s="1154"/>
      <c r="D387" s="1131"/>
      <c r="E387" s="1126"/>
      <c r="F387" s="1141"/>
      <c r="G387" s="1139"/>
      <c r="H387" s="338"/>
      <c r="I387" s="1127"/>
      <c r="J387" s="2345" t="s">
        <v>2195</v>
      </c>
      <c r="K387" s="1672"/>
      <c r="L387" s="1672"/>
      <c r="M387" s="1672"/>
      <c r="N387" s="1672"/>
      <c r="O387" s="1672"/>
      <c r="P387" s="1672"/>
      <c r="Q387" s="1672">
        <v>10</v>
      </c>
      <c r="R387" s="1672" t="s">
        <v>4898</v>
      </c>
      <c r="S387" s="1672">
        <v>30000</v>
      </c>
      <c r="T387" s="1672" t="s">
        <v>4892</v>
      </c>
      <c r="U387" s="1672"/>
      <c r="V387" s="1672">
        <v>10</v>
      </c>
      <c r="W387" s="1672" t="s">
        <v>4899</v>
      </c>
      <c r="X387" s="1323" t="s">
        <v>4897</v>
      </c>
      <c r="Y387" s="636">
        <f t="shared" si="141"/>
        <v>3000</v>
      </c>
      <c r="Z387" s="2341">
        <f>Q387*S387*V387</f>
        <v>3000000</v>
      </c>
      <c r="AA387" s="907"/>
      <c r="AB387" s="505"/>
    </row>
    <row r="388" spans="1:28" ht="22.5" customHeight="1">
      <c r="A388" s="475"/>
      <c r="B388" s="1145"/>
      <c r="C388" s="1154"/>
      <c r="D388" s="1131"/>
      <c r="E388" s="1126" t="s">
        <v>4914</v>
      </c>
      <c r="F388" s="2749">
        <f>Y388</f>
        <v>50000</v>
      </c>
      <c r="G388" s="1139"/>
      <c r="H388" s="338">
        <f>F388-G388</f>
        <v>50000</v>
      </c>
      <c r="I388" s="1127"/>
      <c r="J388" s="2345" t="s">
        <v>4895</v>
      </c>
      <c r="K388" s="1672"/>
      <c r="L388" s="1672"/>
      <c r="M388" s="1672"/>
      <c r="N388" s="1672"/>
      <c r="O388" s="1672"/>
      <c r="P388" s="1672"/>
      <c r="Q388" s="1672"/>
      <c r="R388" s="1672"/>
      <c r="S388" s="1672"/>
      <c r="T388" s="1672"/>
      <c r="U388" s="1672"/>
      <c r="V388" s="1672"/>
      <c r="W388" s="1672"/>
      <c r="X388" s="1323"/>
      <c r="Y388" s="1674">
        <f>SUM(Y389:Y391)</f>
        <v>50000</v>
      </c>
      <c r="Z388" s="1128">
        <f>Z389+Z390+Z391</f>
        <v>50000000</v>
      </c>
      <c r="AA388" s="907"/>
      <c r="AB388" s="505"/>
    </row>
    <row r="389" spans="1:28" ht="22.5" customHeight="1">
      <c r="B389" s="1955"/>
      <c r="D389" s="1955"/>
      <c r="E389" s="1126"/>
      <c r="F389" s="1955"/>
      <c r="G389" s="2187"/>
      <c r="H389" s="1324"/>
      <c r="I389" s="1127"/>
      <c r="J389" s="2345" t="s">
        <v>3197</v>
      </c>
      <c r="K389" s="1672"/>
      <c r="L389" s="1672"/>
      <c r="M389" s="1672"/>
      <c r="N389" s="1672"/>
      <c r="O389" s="1672"/>
      <c r="P389" s="1672"/>
      <c r="Q389" s="1672">
        <v>3</v>
      </c>
      <c r="R389" s="1672" t="s">
        <v>4898</v>
      </c>
      <c r="S389" s="1672">
        <v>2000000</v>
      </c>
      <c r="T389" s="1672" t="s">
        <v>4892</v>
      </c>
      <c r="U389" s="1672"/>
      <c r="V389" s="1672">
        <v>2</v>
      </c>
      <c r="W389" s="1672" t="s">
        <v>4900</v>
      </c>
      <c r="X389" s="1323" t="s">
        <v>4897</v>
      </c>
      <c r="Y389" s="636">
        <f t="shared" ref="Y389:Y391" si="142">Z389/1000</f>
        <v>12000</v>
      </c>
      <c r="Z389" s="2341">
        <f t="shared" ref="Z389:Z390" si="143">Q389*S389*V389</f>
        <v>12000000</v>
      </c>
    </row>
    <row r="390" spans="1:28" ht="22.5" customHeight="1">
      <c r="B390" s="1955"/>
      <c r="D390" s="1955"/>
      <c r="E390" s="1126"/>
      <c r="F390" s="1955"/>
      <c r="G390" s="2187"/>
      <c r="H390" s="849"/>
      <c r="I390" s="1127"/>
      <c r="J390" s="2345" t="s">
        <v>6096</v>
      </c>
      <c r="K390" s="1672"/>
      <c r="L390" s="1672"/>
      <c r="M390" s="1672"/>
      <c r="N390" s="1672"/>
      <c r="O390" s="1672"/>
      <c r="P390" s="1672"/>
      <c r="Q390" s="1672">
        <v>3</v>
      </c>
      <c r="R390" s="1672" t="s">
        <v>4898</v>
      </c>
      <c r="S390" s="1672">
        <v>200000</v>
      </c>
      <c r="T390" s="1672" t="s">
        <v>4892</v>
      </c>
      <c r="U390" s="1672"/>
      <c r="V390" s="1672">
        <v>5</v>
      </c>
      <c r="W390" s="1672" t="s">
        <v>4899</v>
      </c>
      <c r="X390" s="1323" t="s">
        <v>4897</v>
      </c>
      <c r="Y390" s="636">
        <f t="shared" si="142"/>
        <v>3000</v>
      </c>
      <c r="Z390" s="2341">
        <f t="shared" si="143"/>
        <v>3000000</v>
      </c>
    </row>
    <row r="391" spans="1:28" ht="22.5" customHeight="1">
      <c r="B391" s="1955"/>
      <c r="D391" s="1955"/>
      <c r="E391" s="1126"/>
      <c r="F391" s="1955"/>
      <c r="G391" s="2187"/>
      <c r="H391" s="849"/>
      <c r="I391" s="1127"/>
      <c r="J391" s="2345" t="s">
        <v>6097</v>
      </c>
      <c r="K391" s="1672"/>
      <c r="L391" s="1672"/>
      <c r="M391" s="1672"/>
      <c r="N391" s="1672"/>
      <c r="O391" s="1672"/>
      <c r="P391" s="1672"/>
      <c r="Q391" s="1672"/>
      <c r="R391" s="1672"/>
      <c r="S391" s="1672">
        <v>35000000</v>
      </c>
      <c r="T391" s="1672" t="s">
        <v>4892</v>
      </c>
      <c r="U391" s="1672"/>
      <c r="V391" s="1672">
        <v>1</v>
      </c>
      <c r="W391" s="1672" t="s">
        <v>4899</v>
      </c>
      <c r="X391" s="1323" t="s">
        <v>4897</v>
      </c>
      <c r="Y391" s="636">
        <f t="shared" si="142"/>
        <v>35000</v>
      </c>
      <c r="Z391" s="2341">
        <f>S391*V391</f>
        <v>35000000</v>
      </c>
    </row>
    <row r="392" spans="1:28" ht="22.5" customHeight="1">
      <c r="B392" s="1955"/>
      <c r="D392" s="1955"/>
      <c r="E392" s="1126" t="s">
        <v>4915</v>
      </c>
      <c r="F392" s="2749">
        <f>Y392</f>
        <v>450000</v>
      </c>
      <c r="G392" s="2187"/>
      <c r="H392" s="338">
        <f>F392-G392</f>
        <v>450000</v>
      </c>
      <c r="I392" s="1127"/>
      <c r="J392" s="2345" t="s">
        <v>4895</v>
      </c>
      <c r="K392" s="1672"/>
      <c r="L392" s="1672"/>
      <c r="M392" s="1672"/>
      <c r="N392" s="1672"/>
      <c r="O392" s="1672"/>
      <c r="P392" s="1672"/>
      <c r="Q392" s="1672"/>
      <c r="R392" s="1672"/>
      <c r="S392" s="1672"/>
      <c r="T392" s="1672"/>
      <c r="U392" s="1672"/>
      <c r="V392" s="1672"/>
      <c r="W392" s="1672"/>
      <c r="X392" s="1323"/>
      <c r="Y392" s="1674">
        <f>SUM(Y393:Y395)</f>
        <v>450000</v>
      </c>
      <c r="Z392" s="2842">
        <f>Z393+Z394+Z395</f>
        <v>450000000</v>
      </c>
    </row>
    <row r="393" spans="1:28" ht="22.5" customHeight="1">
      <c r="B393" s="1955"/>
      <c r="D393" s="1955"/>
      <c r="E393" s="1126"/>
      <c r="F393" s="1955"/>
      <c r="G393" s="2187"/>
      <c r="H393" s="849"/>
      <c r="I393" s="1127"/>
      <c r="J393" s="2345" t="s">
        <v>6098</v>
      </c>
      <c r="K393" s="1672"/>
      <c r="L393" s="1672"/>
      <c r="M393" s="1672"/>
      <c r="N393" s="1672"/>
      <c r="O393" s="1672"/>
      <c r="P393" s="1672"/>
      <c r="Q393" s="1672"/>
      <c r="R393" s="1672"/>
      <c r="S393" s="1672">
        <v>250000000</v>
      </c>
      <c r="T393" s="1672" t="s">
        <v>4892</v>
      </c>
      <c r="U393" s="1672"/>
      <c r="V393" s="1672">
        <v>1</v>
      </c>
      <c r="W393" s="1672" t="s">
        <v>4893</v>
      </c>
      <c r="X393" s="1323" t="s">
        <v>4897</v>
      </c>
      <c r="Y393" s="636">
        <f t="shared" ref="Y393:Y399" si="144">Z393/1000</f>
        <v>250000</v>
      </c>
      <c r="Z393" s="2341">
        <f t="shared" ref="Z393:Z399" si="145">S393*V393</f>
        <v>250000000</v>
      </c>
    </row>
    <row r="394" spans="1:28" ht="22.5" customHeight="1">
      <c r="B394" s="1955"/>
      <c r="D394" s="1955"/>
      <c r="E394" s="1126"/>
      <c r="F394" s="1955"/>
      <c r="G394" s="2187"/>
      <c r="I394" s="1127"/>
      <c r="J394" s="2345" t="s">
        <v>3849</v>
      </c>
      <c r="K394" s="1672"/>
      <c r="L394" s="1672"/>
      <c r="M394" s="1672"/>
      <c r="N394" s="1672"/>
      <c r="O394" s="1672"/>
      <c r="P394" s="1672"/>
      <c r="Q394" s="1672"/>
      <c r="R394" s="1672"/>
      <c r="S394" s="1672">
        <v>10000000</v>
      </c>
      <c r="T394" s="1672" t="s">
        <v>4901</v>
      </c>
      <c r="U394" s="1672"/>
      <c r="V394" s="1672">
        <v>5</v>
      </c>
      <c r="W394" s="1672" t="s">
        <v>4902</v>
      </c>
      <c r="X394" s="1323" t="s">
        <v>4903</v>
      </c>
      <c r="Y394" s="636">
        <f t="shared" si="144"/>
        <v>50000</v>
      </c>
      <c r="Z394" s="2341">
        <f t="shared" si="145"/>
        <v>50000000</v>
      </c>
    </row>
    <row r="395" spans="1:28" ht="22.5" customHeight="1">
      <c r="B395" s="1955"/>
      <c r="D395" s="1955"/>
      <c r="E395" s="1126"/>
      <c r="F395" s="1955"/>
      <c r="G395" s="2187"/>
      <c r="I395" s="1127"/>
      <c r="J395" s="2345" t="s">
        <v>6099</v>
      </c>
      <c r="K395" s="1672"/>
      <c r="L395" s="1672"/>
      <c r="M395" s="1672"/>
      <c r="N395" s="1672"/>
      <c r="O395" s="1672"/>
      <c r="P395" s="1672"/>
      <c r="Q395" s="1672"/>
      <c r="R395" s="1672"/>
      <c r="S395" s="1672">
        <v>150000000</v>
      </c>
      <c r="T395" s="1672" t="s">
        <v>4901</v>
      </c>
      <c r="U395" s="1672"/>
      <c r="V395" s="1672">
        <v>1</v>
      </c>
      <c r="W395" s="1672" t="s">
        <v>4902</v>
      </c>
      <c r="X395" s="1323" t="s">
        <v>4903</v>
      </c>
      <c r="Y395" s="636">
        <f t="shared" si="144"/>
        <v>150000</v>
      </c>
      <c r="Z395" s="2341">
        <f t="shared" si="145"/>
        <v>150000000</v>
      </c>
    </row>
    <row r="396" spans="1:28" ht="22.5" customHeight="1">
      <c r="B396" s="1955"/>
      <c r="D396" s="1955"/>
      <c r="E396" s="1126" t="s">
        <v>4916</v>
      </c>
      <c r="F396" s="2749">
        <f t="shared" ref="F396:F399" si="146">Y396</f>
        <v>30000</v>
      </c>
      <c r="G396" s="2187"/>
      <c r="H396" s="338">
        <f t="shared" ref="H396:H399" si="147">F396-G396</f>
        <v>30000</v>
      </c>
      <c r="I396" s="1127"/>
      <c r="J396" s="2345" t="s">
        <v>4904</v>
      </c>
      <c r="K396" s="1672"/>
      <c r="L396" s="1672"/>
      <c r="M396" s="1672"/>
      <c r="N396" s="1672"/>
      <c r="O396" s="1672"/>
      <c r="P396" s="1672"/>
      <c r="Q396" s="1672"/>
      <c r="R396" s="1672"/>
      <c r="S396" s="1672">
        <v>30000000</v>
      </c>
      <c r="T396" s="1672" t="s">
        <v>4901</v>
      </c>
      <c r="U396" s="1672"/>
      <c r="V396" s="1672">
        <v>1</v>
      </c>
      <c r="W396" s="1672" t="s">
        <v>4902</v>
      </c>
      <c r="X396" s="1323" t="s">
        <v>4903</v>
      </c>
      <c r="Y396" s="636">
        <f t="shared" si="144"/>
        <v>30000</v>
      </c>
      <c r="Z396" s="2341">
        <f t="shared" si="145"/>
        <v>30000000</v>
      </c>
    </row>
    <row r="397" spans="1:28" ht="22.5" customHeight="1">
      <c r="B397" s="1955"/>
      <c r="D397" s="1955"/>
      <c r="E397" s="1126" t="s">
        <v>4917</v>
      </c>
      <c r="F397" s="2749">
        <f t="shared" si="146"/>
        <v>3000</v>
      </c>
      <c r="G397" s="1955"/>
      <c r="H397" s="338">
        <f t="shared" si="147"/>
        <v>3000</v>
      </c>
      <c r="I397" s="1127"/>
      <c r="J397" s="2345" t="s">
        <v>4905</v>
      </c>
      <c r="K397" s="1672"/>
      <c r="L397" s="1672"/>
      <c r="M397" s="1672"/>
      <c r="N397" s="1672"/>
      <c r="O397" s="1672"/>
      <c r="P397" s="1672"/>
      <c r="Q397" s="1672"/>
      <c r="R397" s="1672"/>
      <c r="S397" s="1672">
        <v>3000000</v>
      </c>
      <c r="T397" s="1672" t="s">
        <v>4901</v>
      </c>
      <c r="U397" s="1672"/>
      <c r="V397" s="1672">
        <v>1</v>
      </c>
      <c r="W397" s="1672" t="s">
        <v>4902</v>
      </c>
      <c r="X397" s="1323" t="s">
        <v>4903</v>
      </c>
      <c r="Y397" s="636">
        <f>Z397/1000</f>
        <v>3000</v>
      </c>
      <c r="Z397" s="2341">
        <f t="shared" si="145"/>
        <v>3000000</v>
      </c>
    </row>
    <row r="398" spans="1:28" ht="22.5" customHeight="1">
      <c r="B398" s="1955"/>
      <c r="D398" s="1955"/>
      <c r="E398" s="1126" t="s">
        <v>4918</v>
      </c>
      <c r="F398" s="2749">
        <f t="shared" si="146"/>
        <v>70000</v>
      </c>
      <c r="G398" s="1955"/>
      <c r="H398" s="338">
        <f t="shared" si="147"/>
        <v>70000</v>
      </c>
      <c r="I398" s="1127"/>
      <c r="J398" s="2345" t="s">
        <v>4906</v>
      </c>
      <c r="K398" s="1672"/>
      <c r="L398" s="1672"/>
      <c r="M398" s="1672"/>
      <c r="N398" s="1672"/>
      <c r="O398" s="1672"/>
      <c r="P398" s="1672"/>
      <c r="Q398" s="1672"/>
      <c r="R398" s="1672"/>
      <c r="S398" s="1672">
        <v>70000000</v>
      </c>
      <c r="T398" s="1672" t="s">
        <v>4901</v>
      </c>
      <c r="U398" s="1672"/>
      <c r="V398" s="1672">
        <v>1</v>
      </c>
      <c r="W398" s="1672" t="s">
        <v>4907</v>
      </c>
      <c r="X398" s="1323" t="s">
        <v>4903</v>
      </c>
      <c r="Y398" s="636">
        <f>Z398/1000</f>
        <v>70000</v>
      </c>
      <c r="Z398" s="2341">
        <f t="shared" si="145"/>
        <v>70000000</v>
      </c>
    </row>
    <row r="399" spans="1:28" ht="22.5" customHeight="1">
      <c r="B399" s="1955"/>
      <c r="D399" s="1955"/>
      <c r="E399" s="1126" t="s">
        <v>4919</v>
      </c>
      <c r="F399" s="2749">
        <f t="shared" si="146"/>
        <v>6000</v>
      </c>
      <c r="G399" s="1955"/>
      <c r="H399" s="338">
        <f t="shared" si="147"/>
        <v>6000</v>
      </c>
      <c r="I399" s="1127"/>
      <c r="J399" s="2345" t="s">
        <v>4908</v>
      </c>
      <c r="K399" s="1672"/>
      <c r="L399" s="1672"/>
      <c r="M399" s="1672"/>
      <c r="N399" s="1672"/>
      <c r="O399" s="1672"/>
      <c r="P399" s="1672"/>
      <c r="Q399" s="1672"/>
      <c r="R399" s="1672"/>
      <c r="S399" s="1672">
        <v>200000</v>
      </c>
      <c r="T399" s="1672" t="s">
        <v>4892</v>
      </c>
      <c r="U399" s="1672"/>
      <c r="V399" s="1672">
        <v>30</v>
      </c>
      <c r="W399" s="1672" t="s">
        <v>4900</v>
      </c>
      <c r="X399" s="1323" t="s">
        <v>4897</v>
      </c>
      <c r="Y399" s="636">
        <f t="shared" si="144"/>
        <v>6000</v>
      </c>
      <c r="Z399" s="2341">
        <f t="shared" si="145"/>
        <v>6000000</v>
      </c>
    </row>
    <row r="400" spans="1:28">
      <c r="F400" s="1675"/>
    </row>
  </sheetData>
  <autoFilter ref="A4:AG365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40">
    <mergeCell ref="C110:E110"/>
    <mergeCell ref="A1:Y1"/>
    <mergeCell ref="A3:E3"/>
    <mergeCell ref="F3:F4"/>
    <mergeCell ref="G3:G4"/>
    <mergeCell ref="H3:H4"/>
    <mergeCell ref="J3:Y4"/>
    <mergeCell ref="A5:E5"/>
    <mergeCell ref="C7:E7"/>
    <mergeCell ref="D8:E8"/>
    <mergeCell ref="D20:E20"/>
    <mergeCell ref="D108:E108"/>
    <mergeCell ref="C297:E297"/>
    <mergeCell ref="J296:M296"/>
    <mergeCell ref="D112:E112"/>
    <mergeCell ref="D123:E123"/>
    <mergeCell ref="D160:E160"/>
    <mergeCell ref="D169:E169"/>
    <mergeCell ref="D187:E187"/>
    <mergeCell ref="D245:E245"/>
    <mergeCell ref="D257:E257"/>
    <mergeCell ref="D236:E236"/>
    <mergeCell ref="J276:N276"/>
    <mergeCell ref="D283:E283"/>
    <mergeCell ref="D372:E372"/>
    <mergeCell ref="D221:E221"/>
    <mergeCell ref="D214:E214"/>
    <mergeCell ref="D346:E346"/>
    <mergeCell ref="C357:E357"/>
    <mergeCell ref="D358:E358"/>
    <mergeCell ref="C366:E366"/>
    <mergeCell ref="D367:E367"/>
    <mergeCell ref="D355:E355"/>
    <mergeCell ref="D298:E298"/>
    <mergeCell ref="C309:E309"/>
    <mergeCell ref="D310:E310"/>
    <mergeCell ref="D316:E316"/>
    <mergeCell ref="D325:E325"/>
    <mergeCell ref="D338:E338"/>
    <mergeCell ref="D294:E294"/>
  </mergeCells>
  <phoneticPr fontId="19" type="noConversion"/>
  <printOptions horizontalCentered="1"/>
  <pageMargins left="0.31496062992125984" right="0.31496062992125984" top="0.55118110236220474" bottom="0.51181102362204722" header="0.31496062992125984" footer="0.31496062992125984"/>
  <pageSetup paperSize="9" scale="48" fitToHeight="100" orientation="landscape" r:id="rId1"/>
  <rowBreaks count="1" manualBreakCount="1">
    <brk id="159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449"/>
  <sheetViews>
    <sheetView view="pageBreakPreview" zoomScale="70" zoomScaleNormal="70" zoomScaleSheetLayoutView="70" workbookViewId="0">
      <pane ySplit="6" topLeftCell="A7" activePane="bottomLeft" state="frozen"/>
      <selection activeCell="A3" sqref="A3:F3"/>
      <selection pane="bottomLeft" activeCell="P414" sqref="P414"/>
    </sheetView>
  </sheetViews>
  <sheetFormatPr defaultRowHeight="21.75" customHeight="1"/>
  <cols>
    <col min="1" max="4" width="6.88671875" style="1155" customWidth="1"/>
    <col min="5" max="5" width="16.33203125" style="1155" bestFit="1" customWidth="1"/>
    <col min="6" max="6" width="12.33203125" style="881" bestFit="1" customWidth="1"/>
    <col min="7" max="7" width="13.77734375" style="881" customWidth="1"/>
    <col min="8" max="8" width="13.77734375" style="772" customWidth="1"/>
    <col min="9" max="9" width="1.77734375" style="2278" customWidth="1"/>
    <col min="10" max="10" width="2.88671875" style="743" customWidth="1"/>
    <col min="11" max="11" width="2" style="743" customWidth="1"/>
    <col min="12" max="14" width="8.77734375" style="743" customWidth="1"/>
    <col min="15" max="16" width="7.77734375" style="743" customWidth="1"/>
    <col min="17" max="17" width="7.77734375" style="744" customWidth="1"/>
    <col min="18" max="18" width="11.6640625" style="1155" customWidth="1"/>
    <col min="19" max="19" width="14.77734375" style="1155" customWidth="1"/>
    <col min="20" max="23" width="6.88671875" style="1155" customWidth="1"/>
    <col min="24" max="24" width="3" style="882" customWidth="1"/>
    <col min="25" max="25" width="16.77734375" style="745" customWidth="1"/>
    <col min="26" max="26" width="16.77734375" style="1155" customWidth="1"/>
    <col min="27" max="27" width="23.44140625" style="1143" bestFit="1" customWidth="1"/>
    <col min="28" max="28" width="15.33203125" style="1143" bestFit="1" customWidth="1"/>
    <col min="29" max="29" width="12.44140625" style="1143" bestFit="1" customWidth="1"/>
    <col min="30" max="30" width="12.44140625" style="1155" bestFit="1" customWidth="1"/>
    <col min="31" max="31" width="12.44140625" style="1155" customWidth="1"/>
    <col min="32" max="32" width="11.6640625" style="1155" customWidth="1"/>
    <col min="33" max="33" width="9.6640625" style="1155" bestFit="1" customWidth="1"/>
    <col min="34" max="16384" width="8.88671875" style="1155"/>
  </cols>
  <sheetData>
    <row r="1" spans="1:29" ht="27" customHeight="1">
      <c r="A1" s="3250" t="s">
        <v>5060</v>
      </c>
      <c r="B1" s="3250"/>
      <c r="C1" s="3250"/>
      <c r="D1" s="3250"/>
      <c r="E1" s="3250"/>
      <c r="F1" s="3250"/>
      <c r="G1" s="3250"/>
      <c r="H1" s="3250"/>
      <c r="I1" s="3250"/>
      <c r="J1" s="3250"/>
      <c r="K1" s="3250"/>
      <c r="L1" s="3250"/>
      <c r="M1" s="3250"/>
      <c r="N1" s="3250"/>
      <c r="O1" s="3250"/>
      <c r="P1" s="3250"/>
      <c r="Q1" s="3250"/>
      <c r="R1" s="3250"/>
      <c r="S1" s="3250"/>
      <c r="T1" s="3250"/>
      <c r="U1" s="3250"/>
      <c r="V1" s="3250"/>
      <c r="W1" s="3250"/>
      <c r="X1" s="3250"/>
      <c r="Y1" s="3250"/>
      <c r="Z1" s="645"/>
      <c r="AA1" s="275"/>
    </row>
    <row r="2" spans="1:29" s="2278" customFormat="1" ht="15" customHeight="1" thickBot="1">
      <c r="A2" s="646"/>
      <c r="B2" s="646"/>
      <c r="C2" s="646"/>
      <c r="D2" s="646" t="s">
        <v>267</v>
      </c>
      <c r="E2" s="646"/>
      <c r="F2" s="867"/>
      <c r="G2" s="772"/>
      <c r="H2" s="772" t="s">
        <v>1691</v>
      </c>
      <c r="J2" s="646" t="s">
        <v>267</v>
      </c>
      <c r="K2" s="646"/>
      <c r="L2" s="648" t="s">
        <v>267</v>
      </c>
      <c r="M2" s="646"/>
      <c r="N2" s="646"/>
      <c r="O2" s="646"/>
      <c r="P2" s="649"/>
      <c r="Q2" s="650"/>
      <c r="X2" s="525"/>
      <c r="Y2" s="354" t="s">
        <v>1691</v>
      </c>
      <c r="AA2" s="275"/>
      <c r="AB2" s="275"/>
      <c r="AC2" s="275"/>
    </row>
    <row r="3" spans="1:29" ht="23.25" customHeight="1">
      <c r="A3" s="3251" t="s">
        <v>188</v>
      </c>
      <c r="B3" s="3252"/>
      <c r="C3" s="3252"/>
      <c r="D3" s="3252"/>
      <c r="E3" s="3435"/>
      <c r="F3" s="3254" t="s">
        <v>151</v>
      </c>
      <c r="G3" s="3256" t="s">
        <v>1692</v>
      </c>
      <c r="H3" s="3432" t="s">
        <v>189</v>
      </c>
      <c r="I3" s="473"/>
      <c r="J3" s="3260" t="s">
        <v>190</v>
      </c>
      <c r="K3" s="3261"/>
      <c r="L3" s="3261"/>
      <c r="M3" s="3261"/>
      <c r="N3" s="3261"/>
      <c r="O3" s="3261"/>
      <c r="P3" s="3261"/>
      <c r="Q3" s="3261"/>
      <c r="R3" s="3261"/>
      <c r="S3" s="3261"/>
      <c r="T3" s="3261"/>
      <c r="U3" s="3261"/>
      <c r="V3" s="3261"/>
      <c r="W3" s="3261"/>
      <c r="X3" s="3261"/>
      <c r="Y3" s="3262"/>
      <c r="Z3" s="343"/>
      <c r="AA3" s="275"/>
    </row>
    <row r="4" spans="1:29" s="657" customFormat="1" ht="21.75" customHeight="1" thickBot="1">
      <c r="A4" s="652" t="s">
        <v>216</v>
      </c>
      <c r="B4" s="653" t="s">
        <v>444</v>
      </c>
      <c r="C4" s="654" t="s">
        <v>191</v>
      </c>
      <c r="D4" s="654" t="s">
        <v>205</v>
      </c>
      <c r="E4" s="654" t="s">
        <v>815</v>
      </c>
      <c r="F4" s="3255"/>
      <c r="G4" s="3257"/>
      <c r="H4" s="3433"/>
      <c r="I4" s="655"/>
      <c r="J4" s="3263"/>
      <c r="K4" s="3264"/>
      <c r="L4" s="3264"/>
      <c r="M4" s="3264"/>
      <c r="N4" s="3264"/>
      <c r="O4" s="3264"/>
      <c r="P4" s="3264"/>
      <c r="Q4" s="3264"/>
      <c r="R4" s="3264"/>
      <c r="S4" s="3264"/>
      <c r="T4" s="3264"/>
      <c r="U4" s="3264"/>
      <c r="V4" s="3264"/>
      <c r="W4" s="3264"/>
      <c r="X4" s="3264"/>
      <c r="Y4" s="3265"/>
      <c r="Z4" s="2288"/>
      <c r="AA4" s="275"/>
      <c r="AB4" s="1143"/>
      <c r="AC4" s="1143"/>
    </row>
    <row r="5" spans="1:29" s="657" customFormat="1" ht="22.5" customHeight="1" thickBot="1">
      <c r="A5" s="3268" t="s">
        <v>206</v>
      </c>
      <c r="B5" s="3269"/>
      <c r="C5" s="3269"/>
      <c r="D5" s="3269"/>
      <c r="E5" s="3270"/>
      <c r="F5" s="1959">
        <f>+F6</f>
        <v>3407015.6</v>
      </c>
      <c r="G5" s="1959">
        <f>+G6</f>
        <v>3387016</v>
      </c>
      <c r="H5" s="838">
        <f>F5-G5</f>
        <v>19999.600000000093</v>
      </c>
      <c r="I5" s="655"/>
      <c r="J5" s="2251"/>
      <c r="K5" s="2252"/>
      <c r="L5" s="2252"/>
      <c r="M5" s="2252"/>
      <c r="N5" s="2252"/>
      <c r="O5" s="2252"/>
      <c r="P5" s="2252"/>
      <c r="Q5" s="2252"/>
      <c r="R5" s="2252"/>
      <c r="S5" s="2252"/>
      <c r="T5" s="2252"/>
      <c r="U5" s="2252"/>
      <c r="V5" s="2252"/>
      <c r="W5" s="2252"/>
      <c r="X5" s="2252"/>
      <c r="Y5" s="2253"/>
      <c r="Z5" s="2288"/>
      <c r="AA5" s="275"/>
      <c r="AB5" s="1143"/>
      <c r="AC5" s="1143"/>
    </row>
    <row r="6" spans="1:29" s="2278" customFormat="1" ht="22.5" customHeight="1" thickBot="1">
      <c r="A6" s="775"/>
      <c r="B6" s="776" t="s">
        <v>206</v>
      </c>
      <c r="C6" s="777"/>
      <c r="D6" s="777"/>
      <c r="E6" s="778"/>
      <c r="F6" s="1959">
        <f>+F7+F89</f>
        <v>3407015.6</v>
      </c>
      <c r="G6" s="1959">
        <f>+G7+G89</f>
        <v>3387016</v>
      </c>
      <c r="H6" s="838">
        <f>F6-G6</f>
        <v>19999.600000000093</v>
      </c>
      <c r="I6" s="1960" t="e">
        <f>SUM(I7+#REF!)</f>
        <v>#REF!</v>
      </c>
      <c r="J6" s="1961"/>
      <c r="K6" s="1962"/>
      <c r="L6" s="1962"/>
      <c r="M6" s="1962"/>
      <c r="N6" s="1962"/>
      <c r="O6" s="1962"/>
      <c r="P6" s="1963"/>
      <c r="Q6" s="1964"/>
      <c r="R6" s="1338"/>
      <c r="S6" s="1337"/>
      <c r="T6" s="1336"/>
      <c r="U6" s="1337"/>
      <c r="V6" s="1336"/>
      <c r="W6" s="1336"/>
      <c r="X6" s="1965"/>
      <c r="Y6" s="1966"/>
      <c r="Z6" s="983"/>
      <c r="AA6" s="275"/>
      <c r="AB6" s="275"/>
      <c r="AC6" s="275"/>
    </row>
    <row r="7" spans="1:29" s="1975" customFormat="1" ht="22.5" customHeight="1">
      <c r="A7" s="923"/>
      <c r="B7" s="1967"/>
      <c r="C7" s="3361" t="s">
        <v>817</v>
      </c>
      <c r="D7" s="3362"/>
      <c r="E7" s="3363"/>
      <c r="F7" s="787">
        <f>F8+F21+F85</f>
        <v>2099000</v>
      </c>
      <c r="G7" s="787">
        <f>G8+G21+G85</f>
        <v>2099000</v>
      </c>
      <c r="H7" s="788">
        <f>F7-G7</f>
        <v>0</v>
      </c>
      <c r="I7" s="473"/>
      <c r="J7" s="1968"/>
      <c r="K7" s="1969"/>
      <c r="L7" s="1969"/>
      <c r="M7" s="1969"/>
      <c r="N7" s="1969"/>
      <c r="O7" s="1969"/>
      <c r="P7" s="1970"/>
      <c r="Q7" s="1971"/>
      <c r="R7" s="2270"/>
      <c r="S7" s="792"/>
      <c r="T7" s="791"/>
      <c r="U7" s="792"/>
      <c r="V7" s="791"/>
      <c r="W7" s="791"/>
      <c r="X7" s="1972"/>
      <c r="Y7" s="1973"/>
      <c r="Z7" s="983"/>
      <c r="AA7" s="275"/>
      <c r="AB7" s="1974"/>
      <c r="AC7" s="1974"/>
    </row>
    <row r="8" spans="1:29" ht="21.95" customHeight="1">
      <c r="A8" s="475"/>
      <c r="B8" s="335"/>
      <c r="C8" s="1126"/>
      <c r="D8" s="3364" t="s">
        <v>604</v>
      </c>
      <c r="E8" s="3365"/>
      <c r="F8" s="373">
        <f>+F9+F16+F17</f>
        <v>849000</v>
      </c>
      <c r="G8" s="373">
        <f>+G9+G16+G17</f>
        <v>849000</v>
      </c>
      <c r="H8" s="1132">
        <f>F8-G8</f>
        <v>0</v>
      </c>
      <c r="I8" s="473"/>
      <c r="J8" s="796"/>
      <c r="K8" s="797"/>
      <c r="L8" s="797"/>
      <c r="M8" s="797"/>
      <c r="N8" s="797"/>
      <c r="O8" s="797"/>
      <c r="P8" s="798"/>
      <c r="Q8" s="799"/>
      <c r="R8" s="2267"/>
      <c r="S8" s="800"/>
      <c r="T8" s="2276"/>
      <c r="U8" s="800"/>
      <c r="V8" s="2276"/>
      <c r="W8" s="2276"/>
      <c r="X8" s="905"/>
      <c r="Y8" s="801"/>
      <c r="Z8" s="503" t="e">
        <f>+Z9+#REF!+#REF!</f>
        <v>#REF!</v>
      </c>
      <c r="AA8" s="275"/>
      <c r="AB8" s="505"/>
      <c r="AC8" s="505"/>
    </row>
    <row r="9" spans="1:29" ht="21.95" customHeight="1">
      <c r="A9" s="475"/>
      <c r="B9" s="335"/>
      <c r="C9" s="1126"/>
      <c r="D9" s="1126"/>
      <c r="E9" s="465" t="s">
        <v>1435</v>
      </c>
      <c r="F9" s="598">
        <f>+Y9</f>
        <v>686960</v>
      </c>
      <c r="G9" s="598">
        <v>686960</v>
      </c>
      <c r="H9" s="352"/>
      <c r="I9" s="473"/>
      <c r="J9" s="802" t="s">
        <v>194</v>
      </c>
      <c r="K9" s="803"/>
      <c r="L9" s="803"/>
      <c r="M9" s="803"/>
      <c r="N9" s="649"/>
      <c r="O9" s="649"/>
      <c r="P9" s="803"/>
      <c r="Q9" s="804"/>
      <c r="R9" s="1671"/>
      <c r="S9" s="1671"/>
      <c r="T9" s="1671"/>
      <c r="U9" s="1671"/>
      <c r="V9" s="1671"/>
      <c r="W9" s="1671"/>
      <c r="X9" s="397"/>
      <c r="Y9" s="874">
        <f>+INT(Z9/1000)</f>
        <v>686960</v>
      </c>
      <c r="Z9" s="355">
        <f>+Z10+Z12+Z14</f>
        <v>686960000</v>
      </c>
      <c r="AA9" s="275"/>
      <c r="AB9" s="505"/>
      <c r="AC9" s="505"/>
    </row>
    <row r="10" spans="1:29" ht="21.95" customHeight="1">
      <c r="A10" s="2274"/>
      <c r="B10" s="1145"/>
      <c r="C10" s="470"/>
      <c r="D10" s="1126"/>
      <c r="E10" s="465"/>
      <c r="F10" s="598"/>
      <c r="G10" s="598"/>
      <c r="H10" s="404"/>
      <c r="I10" s="473"/>
      <c r="J10" s="802" t="s">
        <v>227</v>
      </c>
      <c r="K10" s="805"/>
      <c r="L10" s="646"/>
      <c r="M10" s="646"/>
      <c r="N10" s="649"/>
      <c r="O10" s="649"/>
      <c r="P10" s="803"/>
      <c r="Q10" s="804" t="s">
        <v>601</v>
      </c>
      <c r="R10" s="1671" t="s">
        <v>267</v>
      </c>
      <c r="S10" s="806"/>
      <c r="T10" s="1671"/>
      <c r="U10" s="1671"/>
      <c r="V10" s="1671"/>
      <c r="W10" s="1671"/>
      <c r="X10" s="397"/>
      <c r="Y10" s="874">
        <f t="shared" ref="Y10:Y17" si="0">+Z10/1000</f>
        <v>588000</v>
      </c>
      <c r="Z10" s="355">
        <f>SUM(Z11:Z11)</f>
        <v>588000000</v>
      </c>
      <c r="AA10" s="275"/>
      <c r="AB10" s="505"/>
      <c r="AC10" s="505"/>
    </row>
    <row r="11" spans="1:29" ht="21.95" customHeight="1">
      <c r="A11" s="2274"/>
      <c r="B11" s="1145"/>
      <c r="C11" s="470"/>
      <c r="D11" s="1126"/>
      <c r="E11" s="465"/>
      <c r="F11" s="598"/>
      <c r="G11" s="598"/>
      <c r="H11" s="404"/>
      <c r="I11" s="473"/>
      <c r="J11" s="802"/>
      <c r="K11" s="807" t="s">
        <v>3681</v>
      </c>
      <c r="L11" s="646"/>
      <c r="M11" s="646"/>
      <c r="N11" s="808"/>
      <c r="O11" s="803"/>
      <c r="P11" s="803"/>
      <c r="Q11" s="804" t="s">
        <v>820</v>
      </c>
      <c r="R11" s="1671" t="s">
        <v>464</v>
      </c>
      <c r="S11" s="1672">
        <v>3769230.769230769</v>
      </c>
      <c r="T11" s="1671" t="s">
        <v>354</v>
      </c>
      <c r="U11" s="1671"/>
      <c r="V11" s="1671">
        <v>12</v>
      </c>
      <c r="W11" s="1671" t="s">
        <v>198</v>
      </c>
      <c r="X11" s="397" t="s">
        <v>565</v>
      </c>
      <c r="Y11" s="874">
        <f t="shared" si="0"/>
        <v>588000</v>
      </c>
      <c r="Z11" s="1674">
        <f>S11*Q11*V11</f>
        <v>588000000</v>
      </c>
      <c r="AA11" s="275"/>
      <c r="AB11" s="505"/>
      <c r="AC11" s="505"/>
    </row>
    <row r="12" spans="1:29" ht="21.95" customHeight="1">
      <c r="A12" s="2274"/>
      <c r="B12" s="1145"/>
      <c r="C12" s="470"/>
      <c r="D12" s="1126"/>
      <c r="E12" s="465"/>
      <c r="F12" s="598"/>
      <c r="G12" s="598"/>
      <c r="H12" s="404"/>
      <c r="I12" s="473"/>
      <c r="J12" s="802" t="s">
        <v>1125</v>
      </c>
      <c r="K12" s="805"/>
      <c r="L12" s="646"/>
      <c r="M12" s="646"/>
      <c r="N12" s="808"/>
      <c r="O12" s="803"/>
      <c r="P12" s="803"/>
      <c r="Q12" s="804"/>
      <c r="R12" s="2282"/>
      <c r="S12" s="1671"/>
      <c r="T12" s="2282"/>
      <c r="U12" s="1671"/>
      <c r="V12" s="1671"/>
      <c r="W12" s="1671"/>
      <c r="X12" s="397"/>
      <c r="Y12" s="874">
        <f t="shared" si="0"/>
        <v>74400</v>
      </c>
      <c r="Z12" s="1674">
        <f>SUM(Z13:Z13)</f>
        <v>74400000</v>
      </c>
      <c r="AA12" s="275"/>
      <c r="AB12" s="505"/>
      <c r="AC12" s="505"/>
    </row>
    <row r="13" spans="1:29" ht="21.95" customHeight="1">
      <c r="A13" s="2274"/>
      <c r="B13" s="1145"/>
      <c r="C13" s="470"/>
      <c r="D13" s="1126"/>
      <c r="E13" s="465"/>
      <c r="F13" s="598"/>
      <c r="G13" s="598"/>
      <c r="H13" s="404"/>
      <c r="I13" s="473"/>
      <c r="J13" s="802"/>
      <c r="K13" s="807" t="s">
        <v>3681</v>
      </c>
      <c r="L13" s="646"/>
      <c r="M13" s="646"/>
      <c r="N13" s="808"/>
      <c r="O13" s="803"/>
      <c r="P13" s="803"/>
      <c r="Q13" s="804" t="s">
        <v>820</v>
      </c>
      <c r="R13" s="1671" t="s">
        <v>464</v>
      </c>
      <c r="S13" s="1672">
        <v>476923.07692307694</v>
      </c>
      <c r="T13" s="1671" t="s">
        <v>354</v>
      </c>
      <c r="U13" s="1671"/>
      <c r="V13" s="1671">
        <v>12</v>
      </c>
      <c r="W13" s="1671" t="s">
        <v>198</v>
      </c>
      <c r="X13" s="397" t="s">
        <v>565</v>
      </c>
      <c r="Y13" s="874">
        <f t="shared" si="0"/>
        <v>74400</v>
      </c>
      <c r="Z13" s="1674">
        <f>ROUNDUP(S13*Q13*V13,-3)</f>
        <v>74400000</v>
      </c>
      <c r="AA13" s="275"/>
      <c r="AB13" s="505"/>
      <c r="AC13" s="505"/>
    </row>
    <row r="14" spans="1:29" ht="21.95" customHeight="1">
      <c r="A14" s="2274"/>
      <c r="B14" s="1145"/>
      <c r="C14" s="470"/>
      <c r="D14" s="1126"/>
      <c r="E14" s="465"/>
      <c r="F14" s="598"/>
      <c r="G14" s="598"/>
      <c r="H14" s="404"/>
      <c r="I14" s="473"/>
      <c r="J14" s="802" t="s">
        <v>1126</v>
      </c>
      <c r="K14" s="805"/>
      <c r="L14" s="646"/>
      <c r="M14" s="646"/>
      <c r="N14" s="808"/>
      <c r="O14" s="803"/>
      <c r="P14" s="803"/>
      <c r="Q14" s="804"/>
      <c r="R14" s="2282"/>
      <c r="S14" s="1671"/>
      <c r="T14" s="2282"/>
      <c r="U14" s="1671"/>
      <c r="V14" s="1671"/>
      <c r="W14" s="1671"/>
      <c r="X14" s="397"/>
      <c r="Y14" s="874">
        <f t="shared" si="0"/>
        <v>24560</v>
      </c>
      <c r="Z14" s="1674">
        <f>SUM(Z15:Z15)</f>
        <v>24560000</v>
      </c>
      <c r="AA14" s="275"/>
      <c r="AB14" s="505"/>
      <c r="AC14" s="505"/>
    </row>
    <row r="15" spans="1:29" ht="21.95" customHeight="1">
      <c r="A15" s="2274"/>
      <c r="B15" s="1145"/>
      <c r="C15" s="470"/>
      <c r="D15" s="1126"/>
      <c r="E15" s="465"/>
      <c r="F15" s="598"/>
      <c r="G15" s="598"/>
      <c r="H15" s="404"/>
      <c r="I15" s="473"/>
      <c r="J15" s="802"/>
      <c r="K15" s="807" t="s">
        <v>3681</v>
      </c>
      <c r="L15" s="646"/>
      <c r="M15" s="646"/>
      <c r="N15" s="808"/>
      <c r="O15" s="803"/>
      <c r="P15" s="803"/>
      <c r="Q15" s="804" t="s">
        <v>820</v>
      </c>
      <c r="R15" s="1671" t="s">
        <v>464</v>
      </c>
      <c r="S15" s="1672">
        <v>1889230.7692307692</v>
      </c>
      <c r="T15" s="1671" t="s">
        <v>354</v>
      </c>
      <c r="U15" s="1671"/>
      <c r="V15" s="1671">
        <v>1</v>
      </c>
      <c r="W15" s="1671" t="s">
        <v>196</v>
      </c>
      <c r="X15" s="397" t="s">
        <v>565</v>
      </c>
      <c r="Y15" s="874">
        <f t="shared" si="0"/>
        <v>24560</v>
      </c>
      <c r="Z15" s="1674">
        <f>ROUNDUP(S15*Q15*V15,-3)</f>
        <v>24560000</v>
      </c>
      <c r="AA15" s="275"/>
      <c r="AB15" s="505"/>
      <c r="AC15" s="505"/>
    </row>
    <row r="16" spans="1:29" ht="21.95" customHeight="1">
      <c r="A16" s="2274"/>
      <c r="B16" s="1145"/>
      <c r="C16" s="470"/>
      <c r="D16" s="1126"/>
      <c r="E16" s="809" t="s">
        <v>714</v>
      </c>
      <c r="F16" s="1683">
        <f>Y16</f>
        <v>82800</v>
      </c>
      <c r="G16" s="613">
        <v>82800</v>
      </c>
      <c r="H16" s="1132"/>
      <c r="I16" s="473"/>
      <c r="J16" s="811" t="s">
        <v>3657</v>
      </c>
      <c r="K16" s="812"/>
      <c r="L16" s="1953"/>
      <c r="M16" s="1953"/>
      <c r="N16" s="813"/>
      <c r="O16" s="813"/>
      <c r="P16" s="812"/>
      <c r="Q16" s="814"/>
      <c r="R16" s="815"/>
      <c r="S16" s="450">
        <f>+Z11+Z13</f>
        <v>662400000</v>
      </c>
      <c r="T16" s="815" t="s">
        <v>759</v>
      </c>
      <c r="U16" s="816">
        <v>12</v>
      </c>
      <c r="V16" s="815" t="s">
        <v>678</v>
      </c>
      <c r="W16" s="817">
        <v>1.5</v>
      </c>
      <c r="X16" s="906" t="s">
        <v>565</v>
      </c>
      <c r="Y16" s="1976">
        <f t="shared" si="0"/>
        <v>82800</v>
      </c>
      <c r="Z16" s="355">
        <f>+(S16/U16*W16)</f>
        <v>82800000</v>
      </c>
      <c r="AA16" s="275"/>
      <c r="AB16" s="505"/>
      <c r="AC16" s="505"/>
    </row>
    <row r="17" spans="1:29" ht="21.95" customHeight="1">
      <c r="A17" s="2274"/>
      <c r="B17" s="1145"/>
      <c r="C17" s="470"/>
      <c r="D17" s="1126"/>
      <c r="E17" s="809" t="s">
        <v>334</v>
      </c>
      <c r="F17" s="613">
        <f>Y17</f>
        <v>79240</v>
      </c>
      <c r="G17" s="613">
        <v>79240</v>
      </c>
      <c r="H17" s="810"/>
      <c r="I17" s="473"/>
      <c r="J17" s="811" t="s">
        <v>194</v>
      </c>
      <c r="K17" s="812"/>
      <c r="L17" s="812"/>
      <c r="M17" s="812"/>
      <c r="N17" s="813"/>
      <c r="O17" s="813"/>
      <c r="P17" s="812"/>
      <c r="Q17" s="814"/>
      <c r="R17" s="815"/>
      <c r="S17" s="815"/>
      <c r="T17" s="815"/>
      <c r="U17" s="815"/>
      <c r="V17" s="815"/>
      <c r="W17" s="815"/>
      <c r="X17" s="906"/>
      <c r="Y17" s="1976">
        <f t="shared" si="0"/>
        <v>79240</v>
      </c>
      <c r="Z17" s="1881">
        <f>SUM(Z19:Z20)</f>
        <v>79240000</v>
      </c>
      <c r="AA17" s="275"/>
      <c r="AB17" s="505"/>
      <c r="AC17" s="505"/>
    </row>
    <row r="18" spans="1:29" s="357" customFormat="1" ht="21.95" customHeight="1">
      <c r="A18" s="2274"/>
      <c r="B18" s="1145"/>
      <c r="C18" s="470"/>
      <c r="D18" s="1126"/>
      <c r="E18" s="465"/>
      <c r="F18" s="598"/>
      <c r="G18" s="598"/>
      <c r="H18" s="404"/>
      <c r="I18" s="473"/>
      <c r="J18" s="1670" t="s">
        <v>679</v>
      </c>
      <c r="K18" s="803"/>
      <c r="L18" s="803"/>
      <c r="M18" s="803"/>
      <c r="N18" s="649"/>
      <c r="O18" s="649"/>
      <c r="P18" s="803"/>
      <c r="Q18" s="804"/>
      <c r="R18" s="1671"/>
      <c r="S18" s="1671"/>
      <c r="T18" s="1671"/>
      <c r="U18" s="1671"/>
      <c r="V18" s="1671"/>
      <c r="W18" s="1671"/>
      <c r="X18" s="397"/>
      <c r="Y18" s="874"/>
      <c r="Z18" s="355"/>
      <c r="AA18" s="275"/>
      <c r="AB18" s="1882"/>
      <c r="AC18" s="1882"/>
    </row>
    <row r="19" spans="1:29" s="357" customFormat="1" ht="21.95" customHeight="1">
      <c r="A19" s="1670"/>
      <c r="B19" s="465"/>
      <c r="C19" s="413"/>
      <c r="D19" s="1126"/>
      <c r="E19" s="465"/>
      <c r="F19" s="598"/>
      <c r="G19" s="598"/>
      <c r="H19" s="404"/>
      <c r="I19" s="473"/>
      <c r="J19" s="802" t="s">
        <v>3679</v>
      </c>
      <c r="K19" s="803"/>
      <c r="L19" s="803"/>
      <c r="M19" s="803"/>
      <c r="N19" s="649"/>
      <c r="O19" s="803"/>
      <c r="P19" s="803"/>
      <c r="Q19" s="804"/>
      <c r="R19" s="1671"/>
      <c r="S19" s="1672">
        <f>+S16</f>
        <v>662400000</v>
      </c>
      <c r="T19" s="1671" t="s">
        <v>354</v>
      </c>
      <c r="U19" s="1671"/>
      <c r="V19" s="818">
        <v>0.1</v>
      </c>
      <c r="W19" s="1671"/>
      <c r="X19" s="397" t="s">
        <v>565</v>
      </c>
      <c r="Y19" s="874">
        <f>+Z19/1000</f>
        <v>66240</v>
      </c>
      <c r="Z19" s="355">
        <f>ROUNDUP(S19*V19,-3)</f>
        <v>66240000</v>
      </c>
      <c r="AA19" s="275"/>
      <c r="AB19" s="1882"/>
      <c r="AC19" s="1882"/>
    </row>
    <row r="20" spans="1:29" ht="21.95" customHeight="1">
      <c r="A20" s="2274"/>
      <c r="B20" s="1145"/>
      <c r="C20" s="470"/>
      <c r="D20" s="359"/>
      <c r="E20" s="819"/>
      <c r="F20" s="597"/>
      <c r="G20" s="597"/>
      <c r="H20" s="820"/>
      <c r="I20" s="473"/>
      <c r="J20" s="821" t="s">
        <v>3680</v>
      </c>
      <c r="K20" s="822"/>
      <c r="L20" s="822"/>
      <c r="M20" s="822"/>
      <c r="N20" s="823"/>
      <c r="O20" s="823"/>
      <c r="P20" s="822"/>
      <c r="Q20" s="824"/>
      <c r="R20" s="371"/>
      <c r="S20" s="458">
        <v>1000000</v>
      </c>
      <c r="T20" s="371" t="s">
        <v>354</v>
      </c>
      <c r="U20" s="371"/>
      <c r="V20" s="825">
        <v>13</v>
      </c>
      <c r="W20" s="371" t="s">
        <v>220</v>
      </c>
      <c r="X20" s="426" t="s">
        <v>565</v>
      </c>
      <c r="Y20" s="1910">
        <f>+Z20/1000</f>
        <v>13000</v>
      </c>
      <c r="Z20" s="364">
        <f>ROUNDUP(S20*V20,-3)</f>
        <v>13000000</v>
      </c>
      <c r="AA20" s="275"/>
      <c r="AB20" s="505"/>
      <c r="AC20" s="505"/>
    </row>
    <row r="21" spans="1:29" ht="21.95" customHeight="1">
      <c r="A21" s="2274"/>
      <c r="B21" s="1145"/>
      <c r="C21" s="470"/>
      <c r="D21" s="3284" t="s">
        <v>725</v>
      </c>
      <c r="E21" s="3285"/>
      <c r="F21" s="1683">
        <f>SUM(F22:F84)</f>
        <v>1239600</v>
      </c>
      <c r="G21" s="1683">
        <f>SUM(G22:G84)</f>
        <v>1239600</v>
      </c>
      <c r="H21" s="1132">
        <f>F21-G21</f>
        <v>0</v>
      </c>
      <c r="I21" s="473"/>
      <c r="J21" s="1977"/>
      <c r="K21" s="1978"/>
      <c r="L21" s="1978"/>
      <c r="M21" s="1978"/>
      <c r="N21" s="1978"/>
      <c r="O21" s="1978"/>
      <c r="P21" s="1978"/>
      <c r="Q21" s="1979"/>
      <c r="R21" s="827"/>
      <c r="S21" s="2289"/>
      <c r="T21" s="827"/>
      <c r="U21" s="2289"/>
      <c r="V21" s="827"/>
      <c r="W21" s="2289"/>
      <c r="X21" s="2289"/>
      <c r="Y21" s="1910"/>
      <c r="Z21" s="1128"/>
      <c r="AA21" s="275"/>
      <c r="AB21" s="275"/>
    </row>
    <row r="22" spans="1:29" ht="21.95" customHeight="1">
      <c r="A22" s="2274"/>
      <c r="B22" s="1145"/>
      <c r="C22" s="470"/>
      <c r="D22" s="1126"/>
      <c r="E22" s="828" t="s">
        <v>2445</v>
      </c>
      <c r="F22" s="438">
        <f>Y22</f>
        <v>3250</v>
      </c>
      <c r="G22" s="438">
        <v>3250</v>
      </c>
      <c r="H22" s="908"/>
      <c r="I22" s="829"/>
      <c r="J22" s="830" t="s">
        <v>3357</v>
      </c>
      <c r="K22" s="371"/>
      <c r="L22" s="371"/>
      <c r="M22" s="371"/>
      <c r="N22" s="458"/>
      <c r="O22" s="371"/>
      <c r="P22" s="371"/>
      <c r="Q22" s="368"/>
      <c r="R22" s="371"/>
      <c r="S22" s="458">
        <v>250000</v>
      </c>
      <c r="T22" s="371" t="s">
        <v>354</v>
      </c>
      <c r="U22" s="371"/>
      <c r="V22" s="1885">
        <v>13</v>
      </c>
      <c r="W22" s="371" t="s">
        <v>220</v>
      </c>
      <c r="X22" s="426" t="s">
        <v>565</v>
      </c>
      <c r="Y22" s="345">
        <f>+Z22/1000</f>
        <v>3250</v>
      </c>
      <c r="Z22" s="1671">
        <f>S22*V22</f>
        <v>3250000</v>
      </c>
      <c r="AA22" s="275"/>
      <c r="AB22" s="275"/>
    </row>
    <row r="23" spans="1:29" ht="21.95" customHeight="1">
      <c r="A23" s="2274"/>
      <c r="B23" s="1145"/>
      <c r="C23" s="470"/>
      <c r="D23" s="1145"/>
      <c r="E23" s="809" t="s">
        <v>738</v>
      </c>
      <c r="F23" s="613">
        <f>+Y23</f>
        <v>1300</v>
      </c>
      <c r="G23" s="613">
        <v>1300</v>
      </c>
      <c r="H23" s="810"/>
      <c r="I23" s="473"/>
      <c r="J23" s="802" t="s">
        <v>2448</v>
      </c>
      <c r="K23" s="803"/>
      <c r="L23" s="803"/>
      <c r="M23" s="803"/>
      <c r="N23" s="649"/>
      <c r="O23" s="803"/>
      <c r="P23" s="803"/>
      <c r="Q23" s="804"/>
      <c r="R23" s="1671"/>
      <c r="S23" s="1672">
        <v>100000</v>
      </c>
      <c r="T23" s="1671" t="s">
        <v>354</v>
      </c>
      <c r="U23" s="1671"/>
      <c r="V23" s="1671">
        <v>13</v>
      </c>
      <c r="W23" s="1671" t="s">
        <v>220</v>
      </c>
      <c r="X23" s="397" t="s">
        <v>565</v>
      </c>
      <c r="Y23" s="874">
        <f t="shared" ref="Y23:Y72" si="1">+Z23/1000</f>
        <v>1300</v>
      </c>
      <c r="Z23" s="1671">
        <f>S23*V23</f>
        <v>1300000</v>
      </c>
      <c r="AA23" s="275"/>
      <c r="AB23" s="275"/>
    </row>
    <row r="24" spans="1:29" ht="21.95" customHeight="1">
      <c r="A24" s="2274"/>
      <c r="B24" s="1145"/>
      <c r="C24" s="470"/>
      <c r="D24" s="1145"/>
      <c r="E24" s="809" t="s">
        <v>572</v>
      </c>
      <c r="F24" s="613">
        <f>+Y24</f>
        <v>100000</v>
      </c>
      <c r="G24" s="613">
        <v>100000</v>
      </c>
      <c r="H24" s="810"/>
      <c r="I24" s="473"/>
      <c r="J24" s="1980" t="s">
        <v>1127</v>
      </c>
      <c r="K24" s="1981"/>
      <c r="L24" s="1981"/>
      <c r="M24" s="1981"/>
      <c r="N24" s="1982"/>
      <c r="O24" s="1982"/>
      <c r="P24" s="1981"/>
      <c r="Q24" s="1983"/>
      <c r="R24" s="462"/>
      <c r="S24" s="399">
        <v>100000000</v>
      </c>
      <c r="T24" s="462" t="s">
        <v>354</v>
      </c>
      <c r="U24" s="462"/>
      <c r="V24" s="462">
        <v>1</v>
      </c>
      <c r="W24" s="462" t="s">
        <v>460</v>
      </c>
      <c r="X24" s="430" t="s">
        <v>565</v>
      </c>
      <c r="Y24" s="801">
        <f>+Z24/1000</f>
        <v>100000</v>
      </c>
      <c r="Z24" s="1671">
        <f>S24*V24</f>
        <v>100000000</v>
      </c>
      <c r="AA24" s="275"/>
      <c r="AB24" s="275"/>
    </row>
    <row r="25" spans="1:29" ht="21.95" customHeight="1">
      <c r="A25" s="2274"/>
      <c r="B25" s="1145"/>
      <c r="C25" s="470"/>
      <c r="D25" s="1145"/>
      <c r="E25" s="809" t="s">
        <v>199</v>
      </c>
      <c r="F25" s="613">
        <f>+Y25</f>
        <v>3000</v>
      </c>
      <c r="G25" s="613">
        <v>3000</v>
      </c>
      <c r="H25" s="810"/>
      <c r="I25" s="473"/>
      <c r="J25" s="811" t="s">
        <v>194</v>
      </c>
      <c r="K25" s="812"/>
      <c r="L25" s="812"/>
      <c r="M25" s="812"/>
      <c r="N25" s="813"/>
      <c r="O25" s="812"/>
      <c r="P25" s="812"/>
      <c r="Q25" s="814"/>
      <c r="R25" s="815"/>
      <c r="S25" s="450"/>
      <c r="T25" s="815"/>
      <c r="U25" s="815"/>
      <c r="V25" s="815"/>
      <c r="W25" s="815"/>
      <c r="X25" s="906"/>
      <c r="Y25" s="1976">
        <f t="shared" si="1"/>
        <v>3000</v>
      </c>
      <c r="Z25" s="1671">
        <f>SUM(Z26:Z28)</f>
        <v>3000000</v>
      </c>
      <c r="AA25" s="275"/>
      <c r="AB25" s="275"/>
    </row>
    <row r="26" spans="1:29" ht="21.95" customHeight="1">
      <c r="A26" s="2274"/>
      <c r="B26" s="1145"/>
      <c r="C26" s="470"/>
      <c r="D26" s="1145"/>
      <c r="E26" s="465"/>
      <c r="F26" s="598"/>
      <c r="G26" s="598"/>
      <c r="H26" s="404"/>
      <c r="I26" s="473"/>
      <c r="J26" s="802" t="s">
        <v>1128</v>
      </c>
      <c r="K26" s="803"/>
      <c r="L26" s="803"/>
      <c r="M26" s="803"/>
      <c r="N26" s="649"/>
      <c r="O26" s="803"/>
      <c r="P26" s="803"/>
      <c r="Q26" s="804"/>
      <c r="R26" s="1671"/>
      <c r="S26" s="1672">
        <v>1000000</v>
      </c>
      <c r="T26" s="1671" t="s">
        <v>354</v>
      </c>
      <c r="U26" s="1671"/>
      <c r="V26" s="1671">
        <v>1</v>
      </c>
      <c r="W26" s="1671" t="s">
        <v>710</v>
      </c>
      <c r="X26" s="397" t="s">
        <v>565</v>
      </c>
      <c r="Y26" s="874">
        <f t="shared" si="1"/>
        <v>1000</v>
      </c>
      <c r="Z26" s="1671">
        <f>S26*V26</f>
        <v>1000000</v>
      </c>
      <c r="AA26" s="275"/>
      <c r="AB26" s="275"/>
    </row>
    <row r="27" spans="1:29" ht="21.95" customHeight="1">
      <c r="A27" s="2274"/>
      <c r="B27" s="1145"/>
      <c r="C27" s="470"/>
      <c r="D27" s="1145"/>
      <c r="E27" s="465"/>
      <c r="F27" s="598"/>
      <c r="G27" s="598"/>
      <c r="H27" s="404"/>
      <c r="I27" s="473"/>
      <c r="J27" s="802" t="s">
        <v>2449</v>
      </c>
      <c r="K27" s="803"/>
      <c r="L27" s="803"/>
      <c r="M27" s="803"/>
      <c r="N27" s="649"/>
      <c r="O27" s="803"/>
      <c r="P27" s="803"/>
      <c r="Q27" s="804"/>
      <c r="R27" s="1671"/>
      <c r="S27" s="1672">
        <v>1000000</v>
      </c>
      <c r="T27" s="1671" t="s">
        <v>354</v>
      </c>
      <c r="U27" s="1671"/>
      <c r="V27" s="1671">
        <v>1</v>
      </c>
      <c r="W27" s="1671" t="s">
        <v>710</v>
      </c>
      <c r="X27" s="397" t="s">
        <v>565</v>
      </c>
      <c r="Y27" s="874">
        <f>+Z27/1000</f>
        <v>1000</v>
      </c>
      <c r="Z27" s="1671">
        <f>S27*V27</f>
        <v>1000000</v>
      </c>
      <c r="AA27" s="275"/>
      <c r="AB27" s="275"/>
    </row>
    <row r="28" spans="1:29" ht="21.95" customHeight="1">
      <c r="A28" s="2274"/>
      <c r="B28" s="1145"/>
      <c r="C28" s="470"/>
      <c r="D28" s="1145"/>
      <c r="E28" s="465"/>
      <c r="F28" s="598"/>
      <c r="G28" s="598"/>
      <c r="H28" s="404"/>
      <c r="I28" s="473"/>
      <c r="J28" s="802" t="s">
        <v>585</v>
      </c>
      <c r="K28" s="803"/>
      <c r="L28" s="803"/>
      <c r="M28" s="803"/>
      <c r="N28" s="649"/>
      <c r="O28" s="803"/>
      <c r="P28" s="803"/>
      <c r="Q28" s="804"/>
      <c r="R28" s="1671"/>
      <c r="S28" s="1672">
        <v>1000000</v>
      </c>
      <c r="T28" s="1671" t="s">
        <v>354</v>
      </c>
      <c r="U28" s="1671"/>
      <c r="V28" s="1671">
        <v>1</v>
      </c>
      <c r="W28" s="1671" t="s">
        <v>710</v>
      </c>
      <c r="X28" s="397" t="s">
        <v>565</v>
      </c>
      <c r="Y28" s="874">
        <f t="shared" si="1"/>
        <v>1000</v>
      </c>
      <c r="Z28" s="1671">
        <f>S28*V28</f>
        <v>1000000</v>
      </c>
      <c r="AA28" s="275"/>
      <c r="AB28" s="275"/>
    </row>
    <row r="29" spans="1:29" ht="21.95" customHeight="1">
      <c r="A29" s="2274"/>
      <c r="B29" s="1145"/>
      <c r="C29" s="470"/>
      <c r="D29" s="1145"/>
      <c r="E29" s="809" t="s">
        <v>590</v>
      </c>
      <c r="F29" s="613">
        <f>+Y29</f>
        <v>3500</v>
      </c>
      <c r="G29" s="613">
        <v>3500</v>
      </c>
      <c r="H29" s="810"/>
      <c r="I29" s="473"/>
      <c r="J29" s="1980" t="s">
        <v>1129</v>
      </c>
      <c r="K29" s="1981"/>
      <c r="L29" s="1981"/>
      <c r="M29" s="1981"/>
      <c r="N29" s="1982"/>
      <c r="O29" s="1981"/>
      <c r="P29" s="1981"/>
      <c r="Q29" s="1983"/>
      <c r="R29" s="462"/>
      <c r="S29" s="399">
        <v>3500000</v>
      </c>
      <c r="T29" s="462" t="s">
        <v>354</v>
      </c>
      <c r="U29" s="462"/>
      <c r="V29" s="462">
        <v>1</v>
      </c>
      <c r="W29" s="462" t="s">
        <v>460</v>
      </c>
      <c r="X29" s="430" t="s">
        <v>565</v>
      </c>
      <c r="Y29" s="801">
        <f t="shared" si="1"/>
        <v>3500</v>
      </c>
      <c r="Z29" s="1671">
        <f>S29*V29</f>
        <v>3500000</v>
      </c>
      <c r="AA29" s="275"/>
      <c r="AB29" s="275"/>
    </row>
    <row r="30" spans="1:29" ht="21.95" customHeight="1">
      <c r="A30" s="2274"/>
      <c r="B30" s="1145"/>
      <c r="C30" s="470"/>
      <c r="D30" s="1145"/>
      <c r="E30" s="809" t="s">
        <v>584</v>
      </c>
      <c r="F30" s="613">
        <f>+Y30</f>
        <v>6000</v>
      </c>
      <c r="G30" s="613">
        <v>6000</v>
      </c>
      <c r="H30" s="810"/>
      <c r="I30" s="473"/>
      <c r="J30" s="802" t="s">
        <v>194</v>
      </c>
      <c r="K30" s="803"/>
      <c r="L30" s="803"/>
      <c r="M30" s="803"/>
      <c r="N30" s="649"/>
      <c r="O30" s="649"/>
      <c r="P30" s="803"/>
      <c r="Q30" s="804"/>
      <c r="R30" s="1671"/>
      <c r="S30" s="1671"/>
      <c r="T30" s="1671"/>
      <c r="U30" s="1671"/>
      <c r="V30" s="1671"/>
      <c r="W30" s="1671"/>
      <c r="X30" s="397"/>
      <c r="Y30" s="874">
        <f t="shared" si="1"/>
        <v>6000</v>
      </c>
      <c r="Z30" s="1671">
        <f>SUM(Z31:Z32)</f>
        <v>6000000</v>
      </c>
      <c r="AA30" s="275"/>
      <c r="AB30" s="275"/>
    </row>
    <row r="31" spans="1:29" ht="21.95" customHeight="1">
      <c r="A31" s="2274"/>
      <c r="B31" s="1145"/>
      <c r="C31" s="470"/>
      <c r="D31" s="1145"/>
      <c r="E31" s="465"/>
      <c r="F31" s="598"/>
      <c r="G31" s="598"/>
      <c r="H31" s="404"/>
      <c r="I31" s="473"/>
      <c r="J31" s="802" t="s">
        <v>2450</v>
      </c>
      <c r="K31" s="803"/>
      <c r="L31" s="803"/>
      <c r="M31" s="803"/>
      <c r="N31" s="649"/>
      <c r="O31" s="803"/>
      <c r="P31" s="803"/>
      <c r="Q31" s="804"/>
      <c r="R31" s="1671"/>
      <c r="S31" s="1672">
        <v>100000</v>
      </c>
      <c r="T31" s="1671" t="s">
        <v>354</v>
      </c>
      <c r="U31" s="1671"/>
      <c r="V31" s="1671">
        <v>12</v>
      </c>
      <c r="W31" s="1671" t="s">
        <v>198</v>
      </c>
      <c r="X31" s="397" t="s">
        <v>565</v>
      </c>
      <c r="Y31" s="874">
        <f t="shared" si="1"/>
        <v>1200</v>
      </c>
      <c r="Z31" s="1671">
        <f>+S31*V31</f>
        <v>1200000</v>
      </c>
      <c r="AA31" s="275"/>
      <c r="AB31" s="275"/>
    </row>
    <row r="32" spans="1:29" ht="21.95" customHeight="1">
      <c r="A32" s="2274"/>
      <c r="B32" s="1145"/>
      <c r="C32" s="470"/>
      <c r="D32" s="1145"/>
      <c r="E32" s="465"/>
      <c r="F32" s="598"/>
      <c r="G32" s="598"/>
      <c r="H32" s="404"/>
      <c r="I32" s="473"/>
      <c r="J32" s="802" t="s">
        <v>2451</v>
      </c>
      <c r="K32" s="803"/>
      <c r="L32" s="803"/>
      <c r="M32" s="803"/>
      <c r="N32" s="649"/>
      <c r="O32" s="803"/>
      <c r="P32" s="803"/>
      <c r="Q32" s="824" t="s">
        <v>586</v>
      </c>
      <c r="R32" s="371" t="s">
        <v>843</v>
      </c>
      <c r="S32" s="1672">
        <v>200000</v>
      </c>
      <c r="T32" s="1671" t="s">
        <v>354</v>
      </c>
      <c r="U32" s="1671"/>
      <c r="V32" s="1671">
        <v>12</v>
      </c>
      <c r="W32" s="1671" t="s">
        <v>198</v>
      </c>
      <c r="X32" s="397" t="s">
        <v>565</v>
      </c>
      <c r="Y32" s="874">
        <f t="shared" si="1"/>
        <v>4800</v>
      </c>
      <c r="Z32" s="1671">
        <f>+S32*V32*Q32</f>
        <v>4800000</v>
      </c>
      <c r="AA32" s="275"/>
      <c r="AB32" s="275"/>
    </row>
    <row r="33" spans="1:29" ht="21.95" customHeight="1">
      <c r="A33" s="2274"/>
      <c r="B33" s="1145"/>
      <c r="C33" s="470"/>
      <c r="D33" s="1145"/>
      <c r="E33" s="809" t="s">
        <v>294</v>
      </c>
      <c r="F33" s="613">
        <f>+Y33</f>
        <v>13175</v>
      </c>
      <c r="G33" s="613">
        <v>13175</v>
      </c>
      <c r="H33" s="352"/>
      <c r="I33" s="473"/>
      <c r="J33" s="811" t="s">
        <v>194</v>
      </c>
      <c r="K33" s="812"/>
      <c r="L33" s="812"/>
      <c r="M33" s="812"/>
      <c r="N33" s="813"/>
      <c r="O33" s="813"/>
      <c r="P33" s="812"/>
      <c r="Q33" s="814"/>
      <c r="R33" s="815"/>
      <c r="S33" s="815"/>
      <c r="T33" s="815"/>
      <c r="U33" s="815"/>
      <c r="V33" s="815"/>
      <c r="W33" s="815"/>
      <c r="X33" s="906"/>
      <c r="Y33" s="1976">
        <f t="shared" si="1"/>
        <v>13175</v>
      </c>
      <c r="Z33" s="1671">
        <f>SUM(Z34:Z37)</f>
        <v>13175000</v>
      </c>
      <c r="AA33" s="275"/>
      <c r="AB33" s="275"/>
    </row>
    <row r="34" spans="1:29" s="2278" customFormat="1" ht="21.95" customHeight="1">
      <c r="A34" s="2274"/>
      <c r="B34" s="1145"/>
      <c r="C34" s="470"/>
      <c r="D34" s="1145"/>
      <c r="E34" s="465"/>
      <c r="F34" s="598"/>
      <c r="G34" s="598"/>
      <c r="H34" s="404"/>
      <c r="I34" s="473"/>
      <c r="J34" s="802" t="s">
        <v>1130</v>
      </c>
      <c r="K34" s="803"/>
      <c r="L34" s="803"/>
      <c r="M34" s="803"/>
      <c r="N34" s="649"/>
      <c r="O34" s="803"/>
      <c r="P34" s="803"/>
      <c r="Q34" s="804"/>
      <c r="R34" s="1671"/>
      <c r="S34" s="1672">
        <v>2600000</v>
      </c>
      <c r="T34" s="1671" t="s">
        <v>354</v>
      </c>
      <c r="U34" s="1671"/>
      <c r="V34" s="1671">
        <v>4</v>
      </c>
      <c r="W34" s="1671" t="s">
        <v>460</v>
      </c>
      <c r="X34" s="397" t="s">
        <v>565</v>
      </c>
      <c r="Y34" s="874">
        <f t="shared" si="1"/>
        <v>10400</v>
      </c>
      <c r="Z34" s="1671">
        <f>+S34*V34</f>
        <v>10400000</v>
      </c>
      <c r="AA34" s="275"/>
      <c r="AB34" s="275"/>
      <c r="AC34" s="275"/>
    </row>
    <row r="35" spans="1:29" s="2278" customFormat="1" ht="21.95" customHeight="1">
      <c r="A35" s="2274"/>
      <c r="B35" s="1145"/>
      <c r="C35" s="470"/>
      <c r="D35" s="1145"/>
      <c r="E35" s="465"/>
      <c r="F35" s="598"/>
      <c r="G35" s="598"/>
      <c r="H35" s="404"/>
      <c r="I35" s="473"/>
      <c r="J35" s="802" t="s">
        <v>2452</v>
      </c>
      <c r="K35" s="803"/>
      <c r="L35" s="803"/>
      <c r="M35" s="803"/>
      <c r="N35" s="649"/>
      <c r="O35" s="803"/>
      <c r="P35" s="803"/>
      <c r="Q35" s="804"/>
      <c r="R35" s="1671"/>
      <c r="S35" s="1672">
        <v>370000</v>
      </c>
      <c r="T35" s="1671" t="s">
        <v>354</v>
      </c>
      <c r="U35" s="1671"/>
      <c r="V35" s="1671">
        <v>2</v>
      </c>
      <c r="W35" s="1671" t="s">
        <v>460</v>
      </c>
      <c r="X35" s="397" t="s">
        <v>565</v>
      </c>
      <c r="Y35" s="874">
        <f>+Z35/1000</f>
        <v>740</v>
      </c>
      <c r="Z35" s="1671">
        <f>+S35*V35</f>
        <v>740000</v>
      </c>
      <c r="AA35" s="275"/>
      <c r="AB35" s="275"/>
      <c r="AC35" s="275"/>
    </row>
    <row r="36" spans="1:29" ht="21.95" customHeight="1">
      <c r="A36" s="2274"/>
      <c r="B36" s="1145"/>
      <c r="C36" s="470"/>
      <c r="D36" s="1145"/>
      <c r="E36" s="465"/>
      <c r="F36" s="598"/>
      <c r="G36" s="598"/>
      <c r="H36" s="404"/>
      <c r="I36" s="473"/>
      <c r="J36" s="802" t="s">
        <v>1131</v>
      </c>
      <c r="K36" s="803"/>
      <c r="L36" s="803"/>
      <c r="M36" s="803"/>
      <c r="N36" s="649"/>
      <c r="O36" s="803"/>
      <c r="P36" s="803"/>
      <c r="Q36" s="804"/>
      <c r="R36" s="1671"/>
      <c r="S36" s="1672">
        <v>435000</v>
      </c>
      <c r="T36" s="1671" t="s">
        <v>354</v>
      </c>
      <c r="U36" s="1671"/>
      <c r="V36" s="1671">
        <v>1</v>
      </c>
      <c r="W36" s="1671" t="s">
        <v>460</v>
      </c>
      <c r="X36" s="397" t="s">
        <v>565</v>
      </c>
      <c r="Y36" s="874">
        <f>+Z36/1000</f>
        <v>435</v>
      </c>
      <c r="Z36" s="1671">
        <f>+S36*V36</f>
        <v>435000</v>
      </c>
      <c r="AA36" s="275"/>
      <c r="AB36" s="275"/>
    </row>
    <row r="37" spans="1:29" ht="21.95" customHeight="1">
      <c r="A37" s="2274"/>
      <c r="B37" s="1145"/>
      <c r="C37" s="470"/>
      <c r="D37" s="1145"/>
      <c r="E37" s="465"/>
      <c r="F37" s="598"/>
      <c r="G37" s="598"/>
      <c r="H37" s="404"/>
      <c r="I37" s="473"/>
      <c r="J37" s="802" t="s">
        <v>1132</v>
      </c>
      <c r="K37" s="803"/>
      <c r="L37" s="803"/>
      <c r="M37" s="803"/>
      <c r="N37" s="649"/>
      <c r="O37" s="803"/>
      <c r="P37" s="803"/>
      <c r="Q37" s="804"/>
      <c r="R37" s="1671"/>
      <c r="S37" s="1672">
        <v>400000</v>
      </c>
      <c r="T37" s="1671" t="s">
        <v>354</v>
      </c>
      <c r="U37" s="1671"/>
      <c r="V37" s="1671">
        <v>4</v>
      </c>
      <c r="W37" s="1671" t="s">
        <v>2453</v>
      </c>
      <c r="X37" s="397" t="s">
        <v>565</v>
      </c>
      <c r="Y37" s="874">
        <f>+Z37/1000</f>
        <v>1600</v>
      </c>
      <c r="Z37" s="1671">
        <f>+S37*V37</f>
        <v>1600000</v>
      </c>
      <c r="AA37" s="275"/>
      <c r="AB37" s="275"/>
    </row>
    <row r="38" spans="1:29" s="2278" customFormat="1" ht="21.95" customHeight="1">
      <c r="A38" s="2274"/>
      <c r="B38" s="1145"/>
      <c r="C38" s="470"/>
      <c r="D38" s="1145"/>
      <c r="E38" s="809" t="s">
        <v>224</v>
      </c>
      <c r="F38" s="613">
        <f>+Y38</f>
        <v>28340</v>
      </c>
      <c r="G38" s="613">
        <v>28340</v>
      </c>
      <c r="H38" s="810"/>
      <c r="I38" s="473"/>
      <c r="J38" s="811" t="s">
        <v>194</v>
      </c>
      <c r="K38" s="812"/>
      <c r="L38" s="812"/>
      <c r="M38" s="812"/>
      <c r="N38" s="813"/>
      <c r="O38" s="813"/>
      <c r="P38" s="812"/>
      <c r="Q38" s="814"/>
      <c r="R38" s="815"/>
      <c r="S38" s="815"/>
      <c r="T38" s="815"/>
      <c r="U38" s="815"/>
      <c r="V38" s="815"/>
      <c r="W38" s="815"/>
      <c r="X38" s="906"/>
      <c r="Y38" s="1976">
        <f>SUM(Y39:Y44)</f>
        <v>28340</v>
      </c>
      <c r="Z38" s="1671">
        <f>SUM(Z39:Z44)</f>
        <v>28340000</v>
      </c>
      <c r="AA38" s="275"/>
      <c r="AB38" s="275"/>
      <c r="AC38" s="275"/>
    </row>
    <row r="39" spans="1:29" s="2278" customFormat="1" ht="21.95" customHeight="1">
      <c r="A39" s="2274"/>
      <c r="B39" s="1145"/>
      <c r="C39" s="470"/>
      <c r="D39" s="1145"/>
      <c r="E39" s="465"/>
      <c r="F39" s="598"/>
      <c r="G39" s="598"/>
      <c r="H39" s="404"/>
      <c r="I39" s="473"/>
      <c r="J39" s="802" t="s">
        <v>761</v>
      </c>
      <c r="K39" s="803"/>
      <c r="L39" s="803"/>
      <c r="M39" s="803"/>
      <c r="N39" s="649"/>
      <c r="O39" s="803"/>
      <c r="P39" s="803"/>
      <c r="Q39" s="804" t="s">
        <v>747</v>
      </c>
      <c r="R39" s="1671" t="s">
        <v>853</v>
      </c>
      <c r="S39" s="1672">
        <v>25416.666666666664</v>
      </c>
      <c r="T39" s="1671" t="s">
        <v>354</v>
      </c>
      <c r="U39" s="1671"/>
      <c r="V39" s="1671">
        <v>12</v>
      </c>
      <c r="W39" s="1671" t="s">
        <v>198</v>
      </c>
      <c r="X39" s="397" t="s">
        <v>565</v>
      </c>
      <c r="Y39" s="874">
        <f t="shared" ref="Y39:Y44" si="2">+Z39/1000</f>
        <v>3049.9999999999995</v>
      </c>
      <c r="Z39" s="1671">
        <f>S39*Q39*V39</f>
        <v>3049999.9999999995</v>
      </c>
      <c r="AA39" s="275"/>
      <c r="AB39" s="275"/>
      <c r="AC39" s="275"/>
    </row>
    <row r="40" spans="1:29" s="2278" customFormat="1" ht="21.95" customHeight="1">
      <c r="A40" s="2274"/>
      <c r="B40" s="1145"/>
      <c r="C40" s="470"/>
      <c r="D40" s="1145"/>
      <c r="E40" s="465"/>
      <c r="F40" s="598"/>
      <c r="G40" s="598"/>
      <c r="H40" s="404"/>
      <c r="I40" s="473"/>
      <c r="J40" s="1984" t="s">
        <v>1133</v>
      </c>
      <c r="K40" s="807"/>
      <c r="L40" s="807"/>
      <c r="M40" s="807"/>
      <c r="N40" s="1985"/>
      <c r="O40" s="803"/>
      <c r="P40" s="803"/>
      <c r="Q40" s="804" t="s">
        <v>587</v>
      </c>
      <c r="R40" s="1671" t="s">
        <v>740</v>
      </c>
      <c r="S40" s="1672">
        <v>4972.2222222222217</v>
      </c>
      <c r="T40" s="1671" t="s">
        <v>354</v>
      </c>
      <c r="U40" s="1671"/>
      <c r="V40" s="1671">
        <v>12</v>
      </c>
      <c r="W40" s="1671" t="s">
        <v>198</v>
      </c>
      <c r="X40" s="397" t="s">
        <v>565</v>
      </c>
      <c r="Y40" s="874">
        <f t="shared" si="2"/>
        <v>1789.9999999999998</v>
      </c>
      <c r="Z40" s="1671">
        <f>S40*V40*Q40</f>
        <v>1789999.9999999998</v>
      </c>
      <c r="AA40" s="275"/>
      <c r="AB40" s="275"/>
      <c r="AC40" s="275"/>
    </row>
    <row r="41" spans="1:29" s="2278" customFormat="1" ht="21.95" customHeight="1">
      <c r="A41" s="2274"/>
      <c r="B41" s="1145"/>
      <c r="C41" s="470"/>
      <c r="D41" s="1145"/>
      <c r="E41" s="465"/>
      <c r="F41" s="598"/>
      <c r="G41" s="598"/>
      <c r="H41" s="404"/>
      <c r="I41" s="473"/>
      <c r="J41" s="1984" t="s">
        <v>588</v>
      </c>
      <c r="K41" s="807"/>
      <c r="L41" s="807"/>
      <c r="M41" s="807"/>
      <c r="N41" s="1985"/>
      <c r="O41" s="803"/>
      <c r="P41" s="803"/>
      <c r="Q41" s="804" t="s">
        <v>586</v>
      </c>
      <c r="R41" s="1671" t="s">
        <v>741</v>
      </c>
      <c r="S41" s="1672">
        <v>200000</v>
      </c>
      <c r="T41" s="1671" t="s">
        <v>354</v>
      </c>
      <c r="U41" s="1671"/>
      <c r="V41" s="1671">
        <v>4</v>
      </c>
      <c r="W41" s="1671" t="s">
        <v>593</v>
      </c>
      <c r="X41" s="397" t="s">
        <v>565</v>
      </c>
      <c r="Y41" s="874">
        <f t="shared" si="2"/>
        <v>1600</v>
      </c>
      <c r="Z41" s="1671">
        <f>S41*V41*Q41</f>
        <v>1600000</v>
      </c>
      <c r="AA41" s="275"/>
      <c r="AB41" s="275"/>
      <c r="AC41" s="275"/>
    </row>
    <row r="42" spans="1:29" ht="21.95" customHeight="1">
      <c r="A42" s="2274"/>
      <c r="B42" s="1145"/>
      <c r="C42" s="470"/>
      <c r="D42" s="1145"/>
      <c r="E42" s="465"/>
      <c r="F42" s="598"/>
      <c r="G42" s="598"/>
      <c r="H42" s="404"/>
      <c r="I42" s="473"/>
      <c r="J42" s="1984" t="s">
        <v>1134</v>
      </c>
      <c r="K42" s="807"/>
      <c r="L42" s="807"/>
      <c r="M42" s="807"/>
      <c r="N42" s="1985"/>
      <c r="O42" s="803"/>
      <c r="P42" s="803"/>
      <c r="Q42" s="1986">
        <v>50000</v>
      </c>
      <c r="R42" s="1671" t="s">
        <v>769</v>
      </c>
      <c r="S42" s="1672">
        <v>34</v>
      </c>
      <c r="T42" s="1671" t="s">
        <v>354</v>
      </c>
      <c r="U42" s="1671"/>
      <c r="V42" s="1671">
        <v>3</v>
      </c>
      <c r="W42" s="1671" t="s">
        <v>460</v>
      </c>
      <c r="X42" s="397" t="s">
        <v>565</v>
      </c>
      <c r="Y42" s="874">
        <f t="shared" si="2"/>
        <v>5100</v>
      </c>
      <c r="Z42" s="1671">
        <f>S42*V42*Q42</f>
        <v>5100000</v>
      </c>
      <c r="AA42" s="275"/>
      <c r="AB42" s="275"/>
    </row>
    <row r="43" spans="1:29" ht="21.95" customHeight="1">
      <c r="A43" s="2274"/>
      <c r="B43" s="1145"/>
      <c r="C43" s="470"/>
      <c r="D43" s="1145"/>
      <c r="E43" s="465"/>
      <c r="F43" s="598"/>
      <c r="G43" s="598"/>
      <c r="H43" s="404"/>
      <c r="I43" s="473"/>
      <c r="J43" s="1984" t="s">
        <v>1135</v>
      </c>
      <c r="K43" s="807"/>
      <c r="L43" s="807"/>
      <c r="M43" s="807"/>
      <c r="N43" s="1985"/>
      <c r="O43" s="803"/>
      <c r="P43" s="803"/>
      <c r="Q43" s="1314"/>
      <c r="R43" s="1671"/>
      <c r="S43" s="1672">
        <v>100000</v>
      </c>
      <c r="T43" s="1671" t="s">
        <v>354</v>
      </c>
      <c r="U43" s="1671"/>
      <c r="V43" s="1671">
        <v>12</v>
      </c>
      <c r="W43" s="1671" t="s">
        <v>198</v>
      </c>
      <c r="X43" s="397" t="s">
        <v>565</v>
      </c>
      <c r="Y43" s="874">
        <f t="shared" si="2"/>
        <v>1200</v>
      </c>
      <c r="Z43" s="1671">
        <f>S43*V43</f>
        <v>1200000</v>
      </c>
      <c r="AA43" s="275"/>
      <c r="AB43" s="275"/>
    </row>
    <row r="44" spans="1:29" ht="21.95" customHeight="1">
      <c r="A44" s="2274"/>
      <c r="B44" s="1145"/>
      <c r="C44" s="470"/>
      <c r="D44" s="1145"/>
      <c r="E44" s="819"/>
      <c r="F44" s="597"/>
      <c r="G44" s="597"/>
      <c r="H44" s="820"/>
      <c r="I44" s="473"/>
      <c r="J44" s="821" t="s">
        <v>2454</v>
      </c>
      <c r="K44" s="1907"/>
      <c r="L44" s="1907"/>
      <c r="M44" s="1907"/>
      <c r="N44" s="1987"/>
      <c r="O44" s="822"/>
      <c r="P44" s="822"/>
      <c r="Q44" s="1320"/>
      <c r="R44" s="371"/>
      <c r="S44" s="458">
        <v>1300000</v>
      </c>
      <c r="T44" s="371" t="s">
        <v>354</v>
      </c>
      <c r="U44" s="371"/>
      <c r="V44" s="371">
        <v>12</v>
      </c>
      <c r="W44" s="371" t="s">
        <v>198</v>
      </c>
      <c r="X44" s="426" t="s">
        <v>565</v>
      </c>
      <c r="Y44" s="1910">
        <f t="shared" si="2"/>
        <v>15600</v>
      </c>
      <c r="Z44" s="1671">
        <f>S44*V44</f>
        <v>15600000</v>
      </c>
      <c r="AA44" s="275"/>
      <c r="AB44" s="275"/>
    </row>
    <row r="45" spans="1:29" s="2278" customFormat="1" ht="20.85" customHeight="1">
      <c r="A45" s="2274"/>
      <c r="B45" s="1145"/>
      <c r="D45" s="1145"/>
      <c r="E45" s="465" t="s">
        <v>709</v>
      </c>
      <c r="F45" s="598">
        <f>Y45</f>
        <v>167760</v>
      </c>
      <c r="G45" s="598">
        <v>167760</v>
      </c>
      <c r="H45" s="404"/>
      <c r="I45" s="473"/>
      <c r="J45" s="802" t="s">
        <v>194</v>
      </c>
      <c r="K45" s="803"/>
      <c r="L45" s="803"/>
      <c r="M45" s="803"/>
      <c r="N45" s="649"/>
      <c r="O45" s="649"/>
      <c r="P45" s="803"/>
      <c r="Q45" s="804"/>
      <c r="R45" s="1671"/>
      <c r="S45" s="1671"/>
      <c r="T45" s="1671"/>
      <c r="U45" s="1671"/>
      <c r="V45" s="1671"/>
      <c r="W45" s="1671"/>
      <c r="X45" s="397"/>
      <c r="Y45" s="874">
        <f t="shared" si="1"/>
        <v>167760</v>
      </c>
      <c r="Z45" s="1671">
        <f>SUM(Z46:Z48)</f>
        <v>167760000</v>
      </c>
      <c r="AA45" s="275"/>
      <c r="AB45" s="275"/>
      <c r="AC45" s="275"/>
    </row>
    <row r="46" spans="1:29" s="2278" customFormat="1" ht="20.85" customHeight="1">
      <c r="A46" s="2274"/>
      <c r="B46" s="1145"/>
      <c r="D46" s="1145"/>
      <c r="E46" s="465"/>
      <c r="F46" s="598"/>
      <c r="G46" s="598"/>
      <c r="H46" s="404"/>
      <c r="I46" s="473"/>
      <c r="J46" s="802" t="s">
        <v>742</v>
      </c>
      <c r="K46" s="803"/>
      <c r="L46" s="803"/>
      <c r="M46" s="803"/>
      <c r="N46" s="649"/>
      <c r="O46" s="803"/>
      <c r="P46" s="803"/>
      <c r="Q46" s="804"/>
      <c r="R46" s="1671"/>
      <c r="S46" s="1672">
        <v>9800000</v>
      </c>
      <c r="T46" s="1671" t="s">
        <v>354</v>
      </c>
      <c r="U46" s="1671"/>
      <c r="V46" s="1671">
        <v>12</v>
      </c>
      <c r="W46" s="1671" t="s">
        <v>198</v>
      </c>
      <c r="X46" s="397" t="s">
        <v>565</v>
      </c>
      <c r="Y46" s="874">
        <f t="shared" si="1"/>
        <v>117600</v>
      </c>
      <c r="Z46" s="1671">
        <f>S46*V46</f>
        <v>117600000</v>
      </c>
      <c r="AA46" s="275"/>
      <c r="AB46" s="275"/>
      <c r="AC46" s="275"/>
    </row>
    <row r="47" spans="1:29" ht="20.85" customHeight="1">
      <c r="A47" s="2274"/>
      <c r="B47" s="1145"/>
      <c r="C47" s="470"/>
      <c r="D47" s="1145"/>
      <c r="E47" s="465"/>
      <c r="F47" s="598"/>
      <c r="G47" s="598"/>
      <c r="H47" s="404"/>
      <c r="I47" s="473"/>
      <c r="J47" s="802" t="s">
        <v>1136</v>
      </c>
      <c r="K47" s="803"/>
      <c r="L47" s="803"/>
      <c r="M47" s="803"/>
      <c r="N47" s="649"/>
      <c r="O47" s="803"/>
      <c r="P47" s="803"/>
      <c r="Q47" s="804"/>
      <c r="R47" s="1671"/>
      <c r="S47" s="1672">
        <v>380000</v>
      </c>
      <c r="T47" s="1671" t="s">
        <v>354</v>
      </c>
      <c r="U47" s="1671"/>
      <c r="V47" s="1671">
        <v>12</v>
      </c>
      <c r="W47" s="1671" t="s">
        <v>198</v>
      </c>
      <c r="X47" s="397" t="s">
        <v>565</v>
      </c>
      <c r="Y47" s="874">
        <f t="shared" si="1"/>
        <v>4560</v>
      </c>
      <c r="Z47" s="1671">
        <f>S47*V47</f>
        <v>4560000</v>
      </c>
      <c r="AA47" s="275"/>
      <c r="AB47" s="275"/>
    </row>
    <row r="48" spans="1:29" ht="20.85" customHeight="1">
      <c r="A48" s="2274"/>
      <c r="B48" s="1145"/>
      <c r="C48" s="470"/>
      <c r="D48" s="1145"/>
      <c r="E48" s="819"/>
      <c r="F48" s="597"/>
      <c r="G48" s="597"/>
      <c r="H48" s="820"/>
      <c r="I48" s="473"/>
      <c r="J48" s="912" t="s">
        <v>1137</v>
      </c>
      <c r="K48" s="822"/>
      <c r="L48" s="822"/>
      <c r="M48" s="822"/>
      <c r="N48" s="823"/>
      <c r="O48" s="823"/>
      <c r="P48" s="822"/>
      <c r="Q48" s="824"/>
      <c r="R48" s="371"/>
      <c r="S48" s="458">
        <v>3800000</v>
      </c>
      <c r="T48" s="371" t="s">
        <v>354</v>
      </c>
      <c r="U48" s="371"/>
      <c r="V48" s="371">
        <v>12</v>
      </c>
      <c r="W48" s="371" t="s">
        <v>198</v>
      </c>
      <c r="X48" s="426" t="s">
        <v>565</v>
      </c>
      <c r="Y48" s="1910">
        <f t="shared" si="1"/>
        <v>45600</v>
      </c>
      <c r="Z48" s="1671">
        <f>S48*V48</f>
        <v>45600000</v>
      </c>
      <c r="AA48" s="275"/>
      <c r="AB48" s="275"/>
    </row>
    <row r="49" spans="1:31" ht="20.85" customHeight="1">
      <c r="A49" s="2274"/>
      <c r="B49" s="1145"/>
      <c r="C49" s="470"/>
      <c r="D49" s="1126" t="s">
        <v>267</v>
      </c>
      <c r="E49" s="2278" t="s">
        <v>871</v>
      </c>
      <c r="F49" s="1904">
        <f>Y49</f>
        <v>10515</v>
      </c>
      <c r="G49" s="598">
        <v>10515</v>
      </c>
      <c r="H49" s="404"/>
      <c r="I49" s="473"/>
      <c r="J49" s="802" t="s">
        <v>194</v>
      </c>
      <c r="K49" s="803"/>
      <c r="L49" s="803"/>
      <c r="M49" s="803"/>
      <c r="N49" s="649"/>
      <c r="O49" s="649"/>
      <c r="P49" s="803"/>
      <c r="Q49" s="804"/>
      <c r="R49" s="1671"/>
      <c r="S49" s="1671"/>
      <c r="T49" s="1671"/>
      <c r="U49" s="1671"/>
      <c r="V49" s="1671"/>
      <c r="W49" s="1671"/>
      <c r="X49" s="397" t="s">
        <v>629</v>
      </c>
      <c r="Y49" s="874">
        <f t="shared" si="1"/>
        <v>10515</v>
      </c>
      <c r="Z49" s="1671">
        <f>SUM(Z50:Z51)</f>
        <v>10515000</v>
      </c>
      <c r="AA49" s="275"/>
      <c r="AB49" s="275"/>
    </row>
    <row r="50" spans="1:31" s="2278" customFormat="1" ht="20.85" customHeight="1">
      <c r="A50" s="2274"/>
      <c r="B50" s="1145"/>
      <c r="C50" s="470"/>
      <c r="D50" s="1126"/>
      <c r="F50" s="1904"/>
      <c r="G50" s="598"/>
      <c r="H50" s="404"/>
      <c r="I50" s="473"/>
      <c r="J50" s="802" t="s">
        <v>744</v>
      </c>
      <c r="K50" s="803"/>
      <c r="L50" s="803"/>
      <c r="M50" s="803"/>
      <c r="N50" s="649"/>
      <c r="O50" s="649"/>
      <c r="P50" s="803"/>
      <c r="Q50" s="804"/>
      <c r="R50" s="1671"/>
      <c r="S50" s="1671">
        <v>700000</v>
      </c>
      <c r="T50" s="1671" t="s">
        <v>354</v>
      </c>
      <c r="U50" s="1671"/>
      <c r="V50" s="1671">
        <v>12</v>
      </c>
      <c r="W50" s="1671" t="s">
        <v>198</v>
      </c>
      <c r="X50" s="397" t="s">
        <v>629</v>
      </c>
      <c r="Y50" s="874">
        <f t="shared" si="1"/>
        <v>8400</v>
      </c>
      <c r="Z50" s="1671">
        <f>S50*V50</f>
        <v>8400000</v>
      </c>
      <c r="AA50" s="275"/>
      <c r="AB50" s="275"/>
      <c r="AC50" s="275"/>
    </row>
    <row r="51" spans="1:31" ht="20.85" customHeight="1">
      <c r="A51" s="2274"/>
      <c r="B51" s="1145"/>
      <c r="C51" s="470"/>
      <c r="D51" s="1145"/>
      <c r="E51" s="819" t="s">
        <v>267</v>
      </c>
      <c r="F51" s="597" t="s">
        <v>267</v>
      </c>
      <c r="G51" s="597" t="s">
        <v>19</v>
      </c>
      <c r="H51" s="820"/>
      <c r="I51" s="473"/>
      <c r="J51" s="1906" t="s">
        <v>2455</v>
      </c>
      <c r="K51" s="1907"/>
      <c r="L51" s="1907"/>
      <c r="M51" s="1907"/>
      <c r="N51" s="1908"/>
      <c r="O51" s="1908"/>
      <c r="P51" s="1908"/>
      <c r="Q51" s="1979"/>
      <c r="R51" s="457"/>
      <c r="S51" s="458">
        <v>2114500000</v>
      </c>
      <c r="T51" s="371" t="s">
        <v>354</v>
      </c>
      <c r="U51" s="371"/>
      <c r="V51" s="1988">
        <v>0.10002364625206904</v>
      </c>
      <c r="W51" s="371" t="s">
        <v>627</v>
      </c>
      <c r="X51" s="426" t="s">
        <v>565</v>
      </c>
      <c r="Y51" s="1910">
        <f t="shared" si="1"/>
        <v>2115</v>
      </c>
      <c r="Z51" s="1671">
        <f>S51*V51/100</f>
        <v>2115000</v>
      </c>
      <c r="AA51" s="275"/>
      <c r="AB51" s="275"/>
      <c r="AE51" s="1989"/>
    </row>
    <row r="52" spans="1:31" ht="20.85" customHeight="1">
      <c r="A52" s="2274"/>
      <c r="B52" s="1145"/>
      <c r="C52" s="470"/>
      <c r="D52" s="1145"/>
      <c r="E52" s="465" t="s">
        <v>195</v>
      </c>
      <c r="F52" s="1904">
        <f>Y52</f>
        <v>12057</v>
      </c>
      <c r="G52" s="598">
        <v>12057</v>
      </c>
      <c r="H52" s="404"/>
      <c r="I52" s="473"/>
      <c r="J52" s="802" t="s">
        <v>194</v>
      </c>
      <c r="K52" s="803"/>
      <c r="L52" s="803"/>
      <c r="M52" s="803"/>
      <c r="N52" s="649"/>
      <c r="O52" s="649"/>
      <c r="P52" s="803"/>
      <c r="Q52" s="804"/>
      <c r="R52" s="1671"/>
      <c r="S52" s="1671"/>
      <c r="T52" s="1671"/>
      <c r="U52" s="1671"/>
      <c r="V52" s="1671"/>
      <c r="W52" s="1671"/>
      <c r="X52" s="397"/>
      <c r="Y52" s="874">
        <f t="shared" si="1"/>
        <v>12057</v>
      </c>
      <c r="Z52" s="1671">
        <f>SUM(Z53:Z55)</f>
        <v>12057000</v>
      </c>
      <c r="AA52" s="275"/>
      <c r="AB52" s="275"/>
    </row>
    <row r="53" spans="1:31" s="2278" customFormat="1" ht="20.85" customHeight="1">
      <c r="A53" s="2274"/>
      <c r="B53" s="1145"/>
      <c r="C53" s="470"/>
      <c r="D53" s="1145"/>
      <c r="E53" s="465" t="s">
        <v>267</v>
      </c>
      <c r="F53" s="598"/>
      <c r="G53" s="598"/>
      <c r="H53" s="404"/>
      <c r="I53" s="473"/>
      <c r="J53" s="802" t="s">
        <v>226</v>
      </c>
      <c r="K53" s="803"/>
      <c r="L53" s="803"/>
      <c r="M53" s="803"/>
      <c r="N53" s="649"/>
      <c r="O53" s="804" t="s">
        <v>770</v>
      </c>
      <c r="P53" s="803" t="s">
        <v>202</v>
      </c>
      <c r="Q53" s="804" t="s">
        <v>1138</v>
      </c>
      <c r="R53" s="1671" t="s">
        <v>464</v>
      </c>
      <c r="S53" s="1672">
        <v>15000</v>
      </c>
      <c r="T53" s="1671" t="s">
        <v>354</v>
      </c>
      <c r="U53" s="1671"/>
      <c r="V53" s="1671">
        <v>12</v>
      </c>
      <c r="W53" s="1671" t="s">
        <v>198</v>
      </c>
      <c r="X53" s="397" t="s">
        <v>565</v>
      </c>
      <c r="Y53" s="874">
        <f t="shared" si="1"/>
        <v>10800</v>
      </c>
      <c r="Z53" s="1671">
        <f>ROUNDUP(O53*S53*Q53*V53,-3)</f>
        <v>10800000</v>
      </c>
      <c r="AA53" s="275"/>
      <c r="AB53" s="275"/>
      <c r="AC53" s="275"/>
    </row>
    <row r="54" spans="1:31" ht="20.85" customHeight="1">
      <c r="A54" s="2274"/>
      <c r="B54" s="1145"/>
      <c r="C54" s="470"/>
      <c r="D54" s="1145"/>
      <c r="E54" s="465"/>
      <c r="F54" s="598"/>
      <c r="G54" s="598"/>
      <c r="H54" s="404"/>
      <c r="I54" s="473"/>
      <c r="J54" s="802" t="s">
        <v>2456</v>
      </c>
      <c r="K54" s="803"/>
      <c r="L54" s="803"/>
      <c r="M54" s="803"/>
      <c r="N54" s="649"/>
      <c r="O54" s="1314">
        <v>2000</v>
      </c>
      <c r="P54" s="803" t="s">
        <v>354</v>
      </c>
      <c r="Q54" s="804" t="s">
        <v>1139</v>
      </c>
      <c r="R54" s="506" t="s">
        <v>746</v>
      </c>
      <c r="S54" s="1671">
        <v>5</v>
      </c>
      <c r="T54" s="1671" t="s">
        <v>202</v>
      </c>
      <c r="U54" s="1671"/>
      <c r="V54" s="1671">
        <v>12</v>
      </c>
      <c r="W54" s="1671" t="s">
        <v>198</v>
      </c>
      <c r="X54" s="397" t="s">
        <v>565</v>
      </c>
      <c r="Y54" s="874">
        <f t="shared" si="1"/>
        <v>720</v>
      </c>
      <c r="Z54" s="1671">
        <f>O54*Q54*S54*V54</f>
        <v>720000</v>
      </c>
      <c r="AA54" s="275"/>
      <c r="AB54" s="275"/>
    </row>
    <row r="55" spans="1:31" ht="20.85" customHeight="1">
      <c r="A55" s="2274"/>
      <c r="B55" s="1145"/>
      <c r="C55" s="470"/>
      <c r="D55" s="1145"/>
      <c r="E55" s="819"/>
      <c r="F55" s="597"/>
      <c r="G55" s="597"/>
      <c r="H55" s="820"/>
      <c r="I55" s="473"/>
      <c r="J55" s="912" t="s">
        <v>748</v>
      </c>
      <c r="K55" s="822"/>
      <c r="L55" s="822"/>
      <c r="M55" s="822"/>
      <c r="N55" s="823"/>
      <c r="O55" s="1320">
        <v>2237.5</v>
      </c>
      <c r="P55" s="822" t="s">
        <v>354</v>
      </c>
      <c r="Q55" s="824" t="s">
        <v>1140</v>
      </c>
      <c r="R55" s="371" t="s">
        <v>296</v>
      </c>
      <c r="S55" s="371">
        <v>20</v>
      </c>
      <c r="T55" s="371" t="s">
        <v>202</v>
      </c>
      <c r="U55" s="371"/>
      <c r="V55" s="371">
        <v>12</v>
      </c>
      <c r="W55" s="371" t="s">
        <v>198</v>
      </c>
      <c r="X55" s="426" t="s">
        <v>565</v>
      </c>
      <c r="Y55" s="1910">
        <f t="shared" si="1"/>
        <v>537</v>
      </c>
      <c r="Z55" s="1671">
        <f>O55*Q55*S55*V55</f>
        <v>537000</v>
      </c>
      <c r="AA55" s="275"/>
      <c r="AB55" s="275"/>
    </row>
    <row r="56" spans="1:31" ht="20.85" customHeight="1">
      <c r="A56" s="2274"/>
      <c r="B56" s="1145"/>
      <c r="C56" s="470"/>
      <c r="D56" s="1145"/>
      <c r="E56" s="465" t="s">
        <v>573</v>
      </c>
      <c r="F56" s="598">
        <f>ROUNDUP(+Z56/1000,0)</f>
        <v>101124</v>
      </c>
      <c r="G56" s="598">
        <v>101124</v>
      </c>
      <c r="H56" s="404"/>
      <c r="I56" s="473"/>
      <c r="J56" s="802" t="s">
        <v>194</v>
      </c>
      <c r="K56" s="803"/>
      <c r="L56" s="803"/>
      <c r="M56" s="803"/>
      <c r="N56" s="649"/>
      <c r="O56" s="803"/>
      <c r="P56" s="803"/>
      <c r="Q56" s="804"/>
      <c r="R56" s="1671"/>
      <c r="S56" s="1672"/>
      <c r="T56" s="1671"/>
      <c r="U56" s="1671"/>
      <c r="V56" s="1671"/>
      <c r="W56" s="1671"/>
      <c r="X56" s="397"/>
      <c r="Y56" s="874">
        <f t="shared" si="1"/>
        <v>101124</v>
      </c>
      <c r="Z56" s="1671">
        <f>SUM(Z57:Z58)</f>
        <v>101124000</v>
      </c>
      <c r="AA56" s="275"/>
      <c r="AB56" s="275"/>
    </row>
    <row r="57" spans="1:31" ht="20.85" customHeight="1">
      <c r="A57" s="2274"/>
      <c r="B57" s="1145"/>
      <c r="C57" s="470"/>
      <c r="D57" s="1145"/>
      <c r="E57" s="465"/>
      <c r="F57" s="598"/>
      <c r="G57" s="598"/>
      <c r="H57" s="404"/>
      <c r="I57" s="473"/>
      <c r="J57" s="1670" t="s">
        <v>1141</v>
      </c>
      <c r="K57" s="1671"/>
      <c r="L57" s="1671"/>
      <c r="M57" s="1671"/>
      <c r="N57" s="1672"/>
      <c r="O57" s="1671"/>
      <c r="P57" s="1671"/>
      <c r="Q57" s="1673">
        <v>1860</v>
      </c>
      <c r="R57" s="1671" t="s">
        <v>763</v>
      </c>
      <c r="S57" s="1672">
        <v>26700</v>
      </c>
      <c r="T57" s="1671" t="s">
        <v>354</v>
      </c>
      <c r="U57" s="1671"/>
      <c r="V57" s="1671">
        <v>2</v>
      </c>
      <c r="W57" s="1671" t="s">
        <v>460</v>
      </c>
      <c r="X57" s="397" t="s">
        <v>565</v>
      </c>
      <c r="Y57" s="874">
        <f>+Z57/1000</f>
        <v>99324</v>
      </c>
      <c r="Z57" s="1671">
        <f>+Q57*S57*V57</f>
        <v>99324000</v>
      </c>
      <c r="AA57" s="275"/>
      <c r="AB57" s="275"/>
    </row>
    <row r="58" spans="1:31" s="2278" customFormat="1" ht="20.85" customHeight="1">
      <c r="A58" s="2274"/>
      <c r="B58" s="1145"/>
      <c r="C58" s="470"/>
      <c r="D58" s="1145"/>
      <c r="E58" s="465"/>
      <c r="F58" s="598"/>
      <c r="G58" s="598"/>
      <c r="H58" s="404"/>
      <c r="I58" s="473"/>
      <c r="J58" s="830" t="s">
        <v>1142</v>
      </c>
      <c r="K58" s="1671"/>
      <c r="L58" s="1671"/>
      <c r="M58" s="1671"/>
      <c r="N58" s="1672"/>
      <c r="O58" s="1671"/>
      <c r="P58" s="1671"/>
      <c r="Q58" s="1673">
        <v>1</v>
      </c>
      <c r="R58" s="1671" t="s">
        <v>741</v>
      </c>
      <c r="S58" s="1672">
        <v>150000</v>
      </c>
      <c r="T58" s="1671" t="s">
        <v>1143</v>
      </c>
      <c r="U58" s="1671"/>
      <c r="V58" s="1671">
        <v>12</v>
      </c>
      <c r="W58" s="1671" t="s">
        <v>201</v>
      </c>
      <c r="X58" s="397" t="s">
        <v>629</v>
      </c>
      <c r="Y58" s="874">
        <f>+Z58/1000</f>
        <v>1800</v>
      </c>
      <c r="Z58" s="1671">
        <f>+Q58*S58*V58</f>
        <v>1800000</v>
      </c>
      <c r="AA58" s="275"/>
      <c r="AB58" s="275"/>
      <c r="AC58" s="275"/>
    </row>
    <row r="59" spans="1:31" ht="20.85" customHeight="1">
      <c r="A59" s="2274"/>
      <c r="B59" s="1145"/>
      <c r="C59" s="470"/>
      <c r="D59" s="1145"/>
      <c r="E59" s="809" t="s">
        <v>219</v>
      </c>
      <c r="F59" s="613">
        <f>Y59</f>
        <v>2050</v>
      </c>
      <c r="G59" s="613">
        <v>2050</v>
      </c>
      <c r="H59" s="810"/>
      <c r="I59" s="473"/>
      <c r="J59" s="811" t="s">
        <v>194</v>
      </c>
      <c r="K59" s="812"/>
      <c r="L59" s="812"/>
      <c r="M59" s="812"/>
      <c r="N59" s="813"/>
      <c r="O59" s="813"/>
      <c r="P59" s="812"/>
      <c r="Q59" s="814"/>
      <c r="R59" s="815"/>
      <c r="S59" s="815"/>
      <c r="T59" s="815"/>
      <c r="U59" s="815"/>
      <c r="V59" s="815"/>
      <c r="W59" s="815"/>
      <c r="X59" s="906"/>
      <c r="Y59" s="1976">
        <f t="shared" si="1"/>
        <v>2050</v>
      </c>
      <c r="Z59" s="1671">
        <f>SUM(Z60:Z61)</f>
        <v>2050000</v>
      </c>
      <c r="AA59" s="275"/>
      <c r="AB59" s="275"/>
    </row>
    <row r="60" spans="1:31" ht="20.85" customHeight="1">
      <c r="A60" s="2274"/>
      <c r="B60" s="1145"/>
      <c r="C60" s="470"/>
      <c r="D60" s="1145"/>
      <c r="E60" s="465"/>
      <c r="F60" s="598"/>
      <c r="G60" s="598"/>
      <c r="H60" s="404"/>
      <c r="I60" s="473"/>
      <c r="J60" s="802" t="s">
        <v>762</v>
      </c>
      <c r="K60" s="803"/>
      <c r="L60" s="803"/>
      <c r="M60" s="803"/>
      <c r="N60" s="649"/>
      <c r="O60" s="803"/>
      <c r="P60" s="803"/>
      <c r="Q60" s="804" t="s">
        <v>747</v>
      </c>
      <c r="R60" s="1671" t="s">
        <v>225</v>
      </c>
      <c r="S60" s="1672">
        <v>15000</v>
      </c>
      <c r="T60" s="1671" t="s">
        <v>354</v>
      </c>
      <c r="U60" s="1671"/>
      <c r="V60" s="1671">
        <v>12</v>
      </c>
      <c r="W60" s="1671" t="s">
        <v>198</v>
      </c>
      <c r="X60" s="397" t="s">
        <v>565</v>
      </c>
      <c r="Y60" s="874">
        <f t="shared" si="1"/>
        <v>1800</v>
      </c>
      <c r="Z60" s="1671">
        <f>S60*Q60*V60</f>
        <v>1800000</v>
      </c>
      <c r="AA60" s="275"/>
      <c r="AB60" s="275"/>
    </row>
    <row r="61" spans="1:31" ht="20.85" customHeight="1">
      <c r="A61" s="2274"/>
      <c r="B61" s="1145"/>
      <c r="C61" s="470"/>
      <c r="D61" s="1145"/>
      <c r="E61" s="819"/>
      <c r="F61" s="597"/>
      <c r="G61" s="597"/>
      <c r="H61" s="820"/>
      <c r="I61" s="473"/>
      <c r="J61" s="912" t="s">
        <v>1144</v>
      </c>
      <c r="K61" s="822"/>
      <c r="L61" s="822"/>
      <c r="M61" s="822"/>
      <c r="N61" s="823"/>
      <c r="O61" s="822"/>
      <c r="P61" s="822"/>
      <c r="Q61" s="824" t="s">
        <v>770</v>
      </c>
      <c r="R61" s="371" t="s">
        <v>619</v>
      </c>
      <c r="S61" s="458">
        <v>50000</v>
      </c>
      <c r="T61" s="371" t="s">
        <v>354</v>
      </c>
      <c r="U61" s="371"/>
      <c r="V61" s="371">
        <v>1</v>
      </c>
      <c r="W61" s="371" t="s">
        <v>460</v>
      </c>
      <c r="X61" s="426" t="s">
        <v>565</v>
      </c>
      <c r="Y61" s="1910">
        <f t="shared" si="1"/>
        <v>250</v>
      </c>
      <c r="Z61" s="1671">
        <f>S61*Q61*V61</f>
        <v>250000</v>
      </c>
      <c r="AA61" s="275"/>
      <c r="AB61" s="275"/>
    </row>
    <row r="62" spans="1:31" ht="20.85" customHeight="1">
      <c r="A62" s="2274"/>
      <c r="B62" s="1145"/>
      <c r="C62" s="470"/>
      <c r="D62" s="1145"/>
      <c r="E62" s="465" t="s">
        <v>571</v>
      </c>
      <c r="F62" s="598">
        <f>Y62</f>
        <v>12270</v>
      </c>
      <c r="G62" s="598">
        <v>12270</v>
      </c>
      <c r="H62" s="352"/>
      <c r="I62" s="473"/>
      <c r="J62" s="802" t="s">
        <v>194</v>
      </c>
      <c r="K62" s="803"/>
      <c r="L62" s="803"/>
      <c r="M62" s="803"/>
      <c r="N62" s="649"/>
      <c r="O62" s="649"/>
      <c r="P62" s="803"/>
      <c r="Q62" s="804"/>
      <c r="R62" s="1671"/>
      <c r="S62" s="1671"/>
      <c r="T62" s="1671"/>
      <c r="U62" s="1671"/>
      <c r="V62" s="1671"/>
      <c r="W62" s="1671"/>
      <c r="X62" s="397"/>
      <c r="Y62" s="874">
        <f t="shared" si="1"/>
        <v>12270</v>
      </c>
      <c r="Z62" s="1671">
        <f>SUM(Z63:Z68)</f>
        <v>12270000</v>
      </c>
      <c r="AA62" s="275"/>
      <c r="AB62" s="275"/>
    </row>
    <row r="63" spans="1:31" ht="20.85" customHeight="1">
      <c r="A63" s="2274"/>
      <c r="B63" s="1145"/>
      <c r="C63" s="470"/>
      <c r="D63" s="1145"/>
      <c r="E63" s="465"/>
      <c r="F63" s="598"/>
      <c r="G63" s="598"/>
      <c r="H63" s="404"/>
      <c r="I63" s="473"/>
      <c r="J63" s="802" t="s">
        <v>2457</v>
      </c>
      <c r="K63" s="803"/>
      <c r="L63" s="803"/>
      <c r="M63" s="803"/>
      <c r="N63" s="649"/>
      <c r="O63" s="803"/>
      <c r="P63" s="803"/>
      <c r="Q63" s="804" t="s">
        <v>1145</v>
      </c>
      <c r="R63" s="1671" t="s">
        <v>718</v>
      </c>
      <c r="S63" s="1672">
        <v>2000</v>
      </c>
      <c r="T63" s="1671" t="s">
        <v>354</v>
      </c>
      <c r="U63" s="1671"/>
      <c r="V63" s="1671">
        <v>12</v>
      </c>
      <c r="W63" s="1671" t="s">
        <v>198</v>
      </c>
      <c r="X63" s="397" t="s">
        <v>565</v>
      </c>
      <c r="Y63" s="874">
        <f t="shared" si="1"/>
        <v>1200</v>
      </c>
      <c r="Z63" s="1671">
        <f>ROUNDUP(S63*Q63*V63,-3)</f>
        <v>1200000</v>
      </c>
      <c r="AA63" s="275"/>
      <c r="AB63" s="275"/>
    </row>
    <row r="64" spans="1:31" ht="20.85" customHeight="1">
      <c r="A64" s="2274"/>
      <c r="B64" s="1145"/>
      <c r="C64" s="470"/>
      <c r="D64" s="1145"/>
      <c r="E64" s="465"/>
      <c r="F64" s="598"/>
      <c r="G64" s="598"/>
      <c r="H64" s="404"/>
      <c r="I64" s="473"/>
      <c r="J64" s="802" t="s">
        <v>1146</v>
      </c>
      <c r="K64" s="803"/>
      <c r="L64" s="803"/>
      <c r="M64" s="803"/>
      <c r="N64" s="649"/>
      <c r="O64" s="803"/>
      <c r="P64" s="803"/>
      <c r="Q64" s="804" t="s">
        <v>747</v>
      </c>
      <c r="R64" s="1671" t="s">
        <v>464</v>
      </c>
      <c r="S64" s="1672">
        <v>200000</v>
      </c>
      <c r="T64" s="1671" t="s">
        <v>354</v>
      </c>
      <c r="U64" s="1671"/>
      <c r="V64" s="1671">
        <v>1</v>
      </c>
      <c r="W64" s="1671" t="s">
        <v>460</v>
      </c>
      <c r="X64" s="397" t="s">
        <v>565</v>
      </c>
      <c r="Y64" s="874">
        <f t="shared" si="1"/>
        <v>2000</v>
      </c>
      <c r="Z64" s="1671">
        <f>S64*Q64*V64</f>
        <v>2000000</v>
      </c>
      <c r="AA64" s="275"/>
      <c r="AB64" s="275"/>
    </row>
    <row r="65" spans="1:29" ht="20.85" customHeight="1">
      <c r="A65" s="2274"/>
      <c r="B65" s="1145"/>
      <c r="C65" s="470"/>
      <c r="D65" s="1145"/>
      <c r="E65" s="465"/>
      <c r="F65" s="598"/>
      <c r="G65" s="598"/>
      <c r="H65" s="404"/>
      <c r="I65" s="473"/>
      <c r="J65" s="802" t="s">
        <v>2458</v>
      </c>
      <c r="K65" s="803"/>
      <c r="L65" s="803"/>
      <c r="M65" s="803"/>
      <c r="N65" s="649"/>
      <c r="O65" s="803"/>
      <c r="P65" s="803"/>
      <c r="Q65" s="804"/>
      <c r="R65" s="1671"/>
      <c r="S65" s="1672">
        <v>60000</v>
      </c>
      <c r="T65" s="1671" t="s">
        <v>354</v>
      </c>
      <c r="U65" s="1671"/>
      <c r="V65" s="1671">
        <v>12</v>
      </c>
      <c r="W65" s="1671" t="s">
        <v>201</v>
      </c>
      <c r="X65" s="397" t="s">
        <v>629</v>
      </c>
      <c r="Y65" s="874">
        <f t="shared" si="1"/>
        <v>720</v>
      </c>
      <c r="Z65" s="1671">
        <f>S65*V65</f>
        <v>720000</v>
      </c>
      <c r="AA65" s="275"/>
      <c r="AB65" s="275"/>
    </row>
    <row r="66" spans="1:29" ht="20.85" customHeight="1">
      <c r="A66" s="2274"/>
      <c r="B66" s="1145"/>
      <c r="C66" s="470"/>
      <c r="D66" s="1145"/>
      <c r="E66" s="465"/>
      <c r="F66" s="598"/>
      <c r="G66" s="598"/>
      <c r="H66" s="404"/>
      <c r="I66" s="473"/>
      <c r="J66" s="802" t="s">
        <v>1147</v>
      </c>
      <c r="K66" s="803"/>
      <c r="L66" s="803"/>
      <c r="M66" s="803"/>
      <c r="N66" s="649"/>
      <c r="O66" s="803"/>
      <c r="P66" s="803"/>
      <c r="Q66" s="804" t="s">
        <v>601</v>
      </c>
      <c r="R66" s="1671" t="s">
        <v>601</v>
      </c>
      <c r="S66" s="1672">
        <v>500000</v>
      </c>
      <c r="T66" s="1671" t="s">
        <v>354</v>
      </c>
      <c r="U66" s="1671"/>
      <c r="V66" s="1671">
        <v>12</v>
      </c>
      <c r="W66" s="1671" t="s">
        <v>201</v>
      </c>
      <c r="X66" s="397" t="s">
        <v>629</v>
      </c>
      <c r="Y66" s="874">
        <f t="shared" si="1"/>
        <v>6000</v>
      </c>
      <c r="Z66" s="1671">
        <f>S66*V66</f>
        <v>6000000</v>
      </c>
      <c r="AA66" s="275"/>
      <c r="AB66" s="275"/>
    </row>
    <row r="67" spans="1:29" ht="20.85" customHeight="1">
      <c r="A67" s="2274"/>
      <c r="B67" s="1145"/>
      <c r="C67" s="470"/>
      <c r="D67" s="471"/>
      <c r="E67" s="1990"/>
      <c r="F67" s="1991"/>
      <c r="G67" s="1991"/>
      <c r="H67" s="1992"/>
      <c r="I67" s="473"/>
      <c r="J67" s="802" t="s">
        <v>1148</v>
      </c>
      <c r="K67" s="803"/>
      <c r="L67" s="803"/>
      <c r="M67" s="803"/>
      <c r="N67" s="649"/>
      <c r="O67" s="803"/>
      <c r="P67" s="803"/>
      <c r="Q67" s="804" t="s">
        <v>601</v>
      </c>
      <c r="R67" s="1671" t="s">
        <v>267</v>
      </c>
      <c r="S67" s="1672">
        <v>1000000</v>
      </c>
      <c r="T67" s="1671" t="s">
        <v>354</v>
      </c>
      <c r="U67" s="1671"/>
      <c r="V67" s="1671">
        <v>1</v>
      </c>
      <c r="W67" s="1671" t="s">
        <v>203</v>
      </c>
      <c r="X67" s="397" t="s">
        <v>629</v>
      </c>
      <c r="Y67" s="874">
        <f t="shared" si="1"/>
        <v>1000</v>
      </c>
      <c r="Z67" s="1671">
        <f>V67*S67</f>
        <v>1000000</v>
      </c>
      <c r="AA67" s="275"/>
      <c r="AB67" s="275"/>
    </row>
    <row r="68" spans="1:29" s="2278" customFormat="1" ht="20.85" customHeight="1">
      <c r="A68" s="2274"/>
      <c r="B68" s="1145"/>
      <c r="C68" s="470"/>
      <c r="D68" s="1145"/>
      <c r="E68" s="819"/>
      <c r="F68" s="597"/>
      <c r="G68" s="597"/>
      <c r="H68" s="820"/>
      <c r="I68" s="473"/>
      <c r="J68" s="912" t="s">
        <v>1149</v>
      </c>
      <c r="K68" s="822"/>
      <c r="L68" s="822"/>
      <c r="M68" s="822"/>
      <c r="N68" s="823"/>
      <c r="O68" s="822"/>
      <c r="P68" s="822"/>
      <c r="Q68" s="824" t="s">
        <v>601</v>
      </c>
      <c r="R68" s="371" t="s">
        <v>267</v>
      </c>
      <c r="S68" s="458">
        <v>1350000</v>
      </c>
      <c r="T68" s="371" t="s">
        <v>354</v>
      </c>
      <c r="U68" s="371"/>
      <c r="V68" s="371">
        <v>1</v>
      </c>
      <c r="W68" s="371" t="s">
        <v>203</v>
      </c>
      <c r="X68" s="426" t="s">
        <v>629</v>
      </c>
      <c r="Y68" s="1910">
        <f t="shared" si="1"/>
        <v>1350</v>
      </c>
      <c r="Z68" s="1671">
        <f>V68*S68</f>
        <v>1350000</v>
      </c>
      <c r="AA68" s="275"/>
      <c r="AB68" s="275"/>
      <c r="AC68" s="275"/>
    </row>
    <row r="69" spans="1:29" s="2278" customFormat="1" ht="20.85" customHeight="1">
      <c r="A69" s="2274"/>
      <c r="B69" s="1145"/>
      <c r="C69" s="470"/>
      <c r="D69" s="1145"/>
      <c r="E69" s="465" t="s">
        <v>631</v>
      </c>
      <c r="F69" s="598">
        <f>ROUNDUP(+Z69/1000,0)</f>
        <v>717819</v>
      </c>
      <c r="G69" s="598">
        <v>717819</v>
      </c>
      <c r="H69" s="404"/>
      <c r="I69" s="473"/>
      <c r="J69" s="802" t="s">
        <v>194</v>
      </c>
      <c r="K69" s="803"/>
      <c r="L69" s="803"/>
      <c r="M69" s="803"/>
      <c r="N69" s="649"/>
      <c r="O69" s="649"/>
      <c r="P69" s="803"/>
      <c r="Q69" s="804"/>
      <c r="R69" s="1671"/>
      <c r="S69" s="1671"/>
      <c r="T69" s="1671"/>
      <c r="U69" s="1671"/>
      <c r="V69" s="1671"/>
      <c r="W69" s="1671"/>
      <c r="X69" s="397"/>
      <c r="Y69" s="874">
        <f t="shared" si="1"/>
        <v>717819</v>
      </c>
      <c r="Z69" s="1671">
        <f>SUM(Z70:Z72)</f>
        <v>717819000</v>
      </c>
      <c r="AA69" s="275"/>
      <c r="AB69" s="275"/>
      <c r="AC69" s="275"/>
    </row>
    <row r="70" spans="1:29" s="2278" customFormat="1" ht="20.85" customHeight="1">
      <c r="A70" s="2274"/>
      <c r="B70" s="1145"/>
      <c r="C70" s="470"/>
      <c r="D70" s="1145"/>
      <c r="E70" s="465"/>
      <c r="F70" s="598"/>
      <c r="G70" s="598"/>
      <c r="H70" s="404"/>
      <c r="I70" s="473"/>
      <c r="J70" s="802" t="s">
        <v>2459</v>
      </c>
      <c r="K70" s="1993"/>
      <c r="L70" s="1993"/>
      <c r="M70" s="1993"/>
      <c r="N70" s="649"/>
      <c r="O70" s="803"/>
      <c r="P70" s="803"/>
      <c r="Q70" s="804"/>
      <c r="R70" s="1671"/>
      <c r="S70" s="1672">
        <v>665681000</v>
      </c>
      <c r="T70" s="1671" t="s">
        <v>354</v>
      </c>
      <c r="U70" s="1671"/>
      <c r="V70" s="1671">
        <v>1</v>
      </c>
      <c r="W70" s="1671" t="s">
        <v>1150</v>
      </c>
      <c r="X70" s="397" t="s">
        <v>565</v>
      </c>
      <c r="Y70" s="874">
        <f t="shared" si="1"/>
        <v>665681</v>
      </c>
      <c r="Z70" s="1671">
        <f>S70*V70</f>
        <v>665681000</v>
      </c>
      <c r="AA70" s="275"/>
      <c r="AB70" s="275"/>
      <c r="AC70" s="275"/>
    </row>
    <row r="71" spans="1:29" s="2278" customFormat="1" ht="20.85" customHeight="1">
      <c r="A71" s="2274"/>
      <c r="B71" s="1145"/>
      <c r="C71" s="470"/>
      <c r="D71" s="1145"/>
      <c r="E71" s="465"/>
      <c r="F71" s="598"/>
      <c r="G71" s="598"/>
      <c r="H71" s="404"/>
      <c r="I71" s="473"/>
      <c r="J71" s="802" t="s">
        <v>1151</v>
      </c>
      <c r="K71" s="1993"/>
      <c r="L71" s="1993"/>
      <c r="M71" s="1993"/>
      <c r="N71" s="649"/>
      <c r="O71" s="803"/>
      <c r="P71" s="803"/>
      <c r="Q71" s="804"/>
      <c r="R71" s="1671"/>
      <c r="S71" s="1672">
        <f>2800000+200000</f>
        <v>3000000</v>
      </c>
      <c r="T71" s="1671" t="s">
        <v>354</v>
      </c>
      <c r="U71" s="1671"/>
      <c r="V71" s="1671">
        <v>12</v>
      </c>
      <c r="W71" s="1671" t="s">
        <v>198</v>
      </c>
      <c r="X71" s="397" t="s">
        <v>565</v>
      </c>
      <c r="Y71" s="874">
        <f t="shared" si="1"/>
        <v>36000</v>
      </c>
      <c r="Z71" s="1671">
        <f>S71*V71</f>
        <v>36000000</v>
      </c>
      <c r="AA71" s="275"/>
      <c r="AB71" s="275"/>
      <c r="AC71" s="275"/>
    </row>
    <row r="72" spans="1:29" s="1995" customFormat="1" ht="20.85" customHeight="1">
      <c r="A72" s="2274"/>
      <c r="B72" s="1145"/>
      <c r="C72" s="470"/>
      <c r="D72" s="1145"/>
      <c r="E72" s="465"/>
      <c r="F72" s="598"/>
      <c r="G72" s="598"/>
      <c r="H72" s="404"/>
      <c r="I72" s="1994"/>
      <c r="J72" s="802" t="s">
        <v>2460</v>
      </c>
      <c r="K72" s="803"/>
      <c r="L72" s="803"/>
      <c r="M72" s="803"/>
      <c r="N72" s="649"/>
      <c r="O72" s="803"/>
      <c r="P72" s="803"/>
      <c r="Q72" s="804"/>
      <c r="R72" s="1671"/>
      <c r="S72" s="1672">
        <v>8069000</v>
      </c>
      <c r="T72" s="1671" t="s">
        <v>354</v>
      </c>
      <c r="U72" s="1671"/>
      <c r="V72" s="1671">
        <v>2</v>
      </c>
      <c r="W72" s="1671" t="s">
        <v>460</v>
      </c>
      <c r="X72" s="397" t="s">
        <v>565</v>
      </c>
      <c r="Y72" s="874">
        <f t="shared" si="1"/>
        <v>16138</v>
      </c>
      <c r="Z72" s="1671">
        <f>S72*V72</f>
        <v>16138000</v>
      </c>
      <c r="AA72" s="275"/>
      <c r="AB72" s="1647"/>
      <c r="AC72" s="1647"/>
    </row>
    <row r="73" spans="1:29" ht="20.85" customHeight="1">
      <c r="A73" s="2274"/>
      <c r="B73" s="1145"/>
      <c r="C73" s="470"/>
      <c r="D73" s="1145"/>
      <c r="E73" s="809" t="s">
        <v>768</v>
      </c>
      <c r="F73" s="613">
        <f>Y73</f>
        <v>20160</v>
      </c>
      <c r="G73" s="613">
        <v>20160</v>
      </c>
      <c r="H73" s="810"/>
      <c r="I73" s="473"/>
      <c r="J73" s="811" t="s">
        <v>194</v>
      </c>
      <c r="K73" s="812"/>
      <c r="L73" s="812"/>
      <c r="M73" s="812"/>
      <c r="N73" s="813"/>
      <c r="O73" s="813"/>
      <c r="P73" s="812"/>
      <c r="Q73" s="814"/>
      <c r="R73" s="815"/>
      <c r="S73" s="815"/>
      <c r="T73" s="815"/>
      <c r="U73" s="815"/>
      <c r="V73" s="815"/>
      <c r="W73" s="815"/>
      <c r="X73" s="906"/>
      <c r="Y73" s="1976">
        <f>SUM(Y74:Y75)</f>
        <v>20160</v>
      </c>
      <c r="Z73" s="1671">
        <f>SUM(Z74:Z75)</f>
        <v>20160000</v>
      </c>
      <c r="AA73" s="275"/>
      <c r="AB73" s="275"/>
    </row>
    <row r="74" spans="1:29" ht="20.85" customHeight="1">
      <c r="A74" s="2274"/>
      <c r="B74" s="1145"/>
      <c r="C74" s="470"/>
      <c r="D74" s="1145"/>
      <c r="E74" s="465"/>
      <c r="F74" s="598"/>
      <c r="G74" s="598"/>
      <c r="H74" s="404"/>
      <c r="I74" s="473"/>
      <c r="J74" s="802" t="s">
        <v>1152</v>
      </c>
      <c r="K74" s="803"/>
      <c r="L74" s="803"/>
      <c r="M74" s="803"/>
      <c r="N74" s="649"/>
      <c r="O74" s="649"/>
      <c r="P74" s="803"/>
      <c r="Q74" s="804" t="s">
        <v>1140</v>
      </c>
      <c r="R74" s="1671" t="s">
        <v>741</v>
      </c>
      <c r="S74" s="1672">
        <v>800000</v>
      </c>
      <c r="T74" s="1671" t="s">
        <v>354</v>
      </c>
      <c r="U74" s="1671"/>
      <c r="V74" s="1671">
        <v>12</v>
      </c>
      <c r="W74" s="1671" t="s">
        <v>198</v>
      </c>
      <c r="X74" s="397" t="s">
        <v>565</v>
      </c>
      <c r="Y74" s="874">
        <f t="shared" ref="Y74:Y83" si="3">+Z74/1000</f>
        <v>9600</v>
      </c>
      <c r="Z74" s="1671">
        <f>S74*V74*Q74</f>
        <v>9600000</v>
      </c>
      <c r="AA74" s="275"/>
      <c r="AB74" s="275"/>
    </row>
    <row r="75" spans="1:29" ht="20.85" customHeight="1">
      <c r="A75" s="2274"/>
      <c r="B75" s="1145"/>
      <c r="C75" s="470"/>
      <c r="D75" s="1145"/>
      <c r="E75" s="819"/>
      <c r="F75" s="597"/>
      <c r="G75" s="597"/>
      <c r="H75" s="820"/>
      <c r="I75" s="473"/>
      <c r="J75" s="912" t="s">
        <v>2461</v>
      </c>
      <c r="K75" s="822"/>
      <c r="L75" s="822"/>
      <c r="M75" s="822"/>
      <c r="N75" s="823"/>
      <c r="O75" s="823"/>
      <c r="P75" s="822"/>
      <c r="Q75" s="824" t="s">
        <v>586</v>
      </c>
      <c r="R75" s="371" t="s">
        <v>741</v>
      </c>
      <c r="S75" s="458">
        <v>440000</v>
      </c>
      <c r="T75" s="371" t="s">
        <v>354</v>
      </c>
      <c r="U75" s="371"/>
      <c r="V75" s="371">
        <v>12</v>
      </c>
      <c r="W75" s="371" t="s">
        <v>201</v>
      </c>
      <c r="X75" s="426" t="s">
        <v>565</v>
      </c>
      <c r="Y75" s="1910">
        <f t="shared" si="3"/>
        <v>10560</v>
      </c>
      <c r="Z75" s="1671">
        <f>S75*V75*Q75</f>
        <v>10560000</v>
      </c>
      <c r="AA75" s="275"/>
      <c r="AB75" s="275"/>
    </row>
    <row r="76" spans="1:29" s="2278" customFormat="1" ht="20.85" customHeight="1">
      <c r="A76" s="2274"/>
      <c r="B76" s="1145"/>
      <c r="C76" s="470"/>
      <c r="D76" s="1145"/>
      <c r="E76" s="809" t="s">
        <v>910</v>
      </c>
      <c r="F76" s="613">
        <f>ROUNDUP(+Z76/1000,0)</f>
        <v>14400</v>
      </c>
      <c r="G76" s="613">
        <v>14400</v>
      </c>
      <c r="H76" s="810"/>
      <c r="I76" s="473"/>
      <c r="J76" s="811" t="s">
        <v>194</v>
      </c>
      <c r="K76" s="812"/>
      <c r="L76" s="812"/>
      <c r="M76" s="812"/>
      <c r="N76" s="813"/>
      <c r="O76" s="813"/>
      <c r="P76" s="812"/>
      <c r="Q76" s="814"/>
      <c r="R76" s="815"/>
      <c r="S76" s="815"/>
      <c r="T76" s="815"/>
      <c r="U76" s="815"/>
      <c r="V76" s="815"/>
      <c r="W76" s="815"/>
      <c r="X76" s="906"/>
      <c r="Y76" s="1976">
        <f t="shared" si="3"/>
        <v>14400</v>
      </c>
      <c r="Z76" s="1671">
        <f>SUM(Z77:Z78)</f>
        <v>14400000</v>
      </c>
      <c r="AA76" s="275"/>
      <c r="AB76" s="275"/>
      <c r="AC76" s="275"/>
    </row>
    <row r="77" spans="1:29" s="2278" customFormat="1" ht="20.85" customHeight="1">
      <c r="A77" s="2274"/>
      <c r="B77" s="1145"/>
      <c r="C77" s="470"/>
      <c r="D77" s="1145"/>
      <c r="E77" s="465"/>
      <c r="F77" s="598"/>
      <c r="G77" s="598"/>
      <c r="H77" s="404"/>
      <c r="I77" s="473"/>
      <c r="J77" s="802" t="s">
        <v>764</v>
      </c>
      <c r="K77" s="803"/>
      <c r="L77" s="803"/>
      <c r="M77" s="803"/>
      <c r="N77" s="649"/>
      <c r="O77" s="803"/>
      <c r="P77" s="803"/>
      <c r="Q77" s="804">
        <v>1</v>
      </c>
      <c r="R77" s="1671" t="s">
        <v>464</v>
      </c>
      <c r="S77" s="1672">
        <v>600000</v>
      </c>
      <c r="T77" s="1671" t="s">
        <v>354</v>
      </c>
      <c r="U77" s="1671"/>
      <c r="V77" s="1671">
        <v>12</v>
      </c>
      <c r="W77" s="1671" t="s">
        <v>198</v>
      </c>
      <c r="X77" s="397" t="s">
        <v>565</v>
      </c>
      <c r="Y77" s="874">
        <f t="shared" si="3"/>
        <v>7200</v>
      </c>
      <c r="Z77" s="1671">
        <f>S77*Q77*V77</f>
        <v>7200000</v>
      </c>
      <c r="AA77" s="275"/>
      <c r="AB77" s="275"/>
      <c r="AC77" s="275"/>
    </row>
    <row r="78" spans="1:29" s="2278" customFormat="1" ht="20.85" customHeight="1">
      <c r="A78" s="2274"/>
      <c r="B78" s="1145"/>
      <c r="C78" s="470"/>
      <c r="D78" s="1145"/>
      <c r="E78" s="465"/>
      <c r="F78" s="598"/>
      <c r="G78" s="598"/>
      <c r="H78" s="404"/>
      <c r="I78" s="473"/>
      <c r="J78" s="802" t="s">
        <v>730</v>
      </c>
      <c r="K78" s="803"/>
      <c r="L78" s="803"/>
      <c r="M78" s="803"/>
      <c r="N78" s="649"/>
      <c r="O78" s="803"/>
      <c r="P78" s="803"/>
      <c r="Q78" s="804" t="s">
        <v>586</v>
      </c>
      <c r="R78" s="1671" t="s">
        <v>464</v>
      </c>
      <c r="S78" s="1672">
        <v>300000</v>
      </c>
      <c r="T78" s="1671" t="s">
        <v>354</v>
      </c>
      <c r="U78" s="1671"/>
      <c r="V78" s="1671">
        <v>12</v>
      </c>
      <c r="W78" s="1671" t="s">
        <v>2</v>
      </c>
      <c r="X78" s="397" t="s">
        <v>565</v>
      </c>
      <c r="Y78" s="874">
        <f t="shared" si="3"/>
        <v>7200</v>
      </c>
      <c r="Z78" s="1671">
        <f>S78*V78*Q78</f>
        <v>7200000</v>
      </c>
      <c r="AA78" s="275"/>
      <c r="AB78" s="275"/>
      <c r="AC78" s="275"/>
    </row>
    <row r="79" spans="1:29" s="2278" customFormat="1" ht="20.85" customHeight="1">
      <c r="A79" s="2274"/>
      <c r="B79" s="1145"/>
      <c r="C79" s="470"/>
      <c r="D79" s="1145"/>
      <c r="E79" s="809" t="s">
        <v>370</v>
      </c>
      <c r="F79" s="613">
        <f>ROUNDUP(+Z79/1000,0)</f>
        <v>20880</v>
      </c>
      <c r="G79" s="613">
        <v>20880</v>
      </c>
      <c r="H79" s="810"/>
      <c r="I79" s="473"/>
      <c r="J79" s="811" t="s">
        <v>194</v>
      </c>
      <c r="K79" s="812"/>
      <c r="L79" s="812"/>
      <c r="M79" s="812"/>
      <c r="N79" s="813"/>
      <c r="O79" s="812"/>
      <c r="P79" s="812"/>
      <c r="Q79" s="814"/>
      <c r="R79" s="815"/>
      <c r="S79" s="450"/>
      <c r="T79" s="815"/>
      <c r="U79" s="815"/>
      <c r="V79" s="815"/>
      <c r="W79" s="815"/>
      <c r="X79" s="906"/>
      <c r="Y79" s="1976">
        <f t="shared" si="3"/>
        <v>20880</v>
      </c>
      <c r="Z79" s="1671">
        <f>SUM(Z80:Z83)</f>
        <v>20880000</v>
      </c>
      <c r="AA79" s="275"/>
      <c r="AB79" s="275"/>
      <c r="AC79" s="275"/>
    </row>
    <row r="80" spans="1:29" s="2278" customFormat="1" ht="20.85" customHeight="1">
      <c r="A80" s="2274"/>
      <c r="B80" s="1145"/>
      <c r="C80" s="470"/>
      <c r="D80" s="1145"/>
      <c r="E80" s="2293"/>
      <c r="F80" s="598"/>
      <c r="G80" s="598"/>
      <c r="H80" s="404"/>
      <c r="I80" s="473"/>
      <c r="J80" s="802" t="s">
        <v>1153</v>
      </c>
      <c r="K80" s="803"/>
      <c r="L80" s="803"/>
      <c r="M80" s="803"/>
      <c r="N80" s="649"/>
      <c r="O80" s="803"/>
      <c r="P80" s="803"/>
      <c r="Q80" s="804"/>
      <c r="R80" s="1671"/>
      <c r="S80" s="1672">
        <v>100000</v>
      </c>
      <c r="T80" s="1671" t="s">
        <v>354</v>
      </c>
      <c r="U80" s="1671"/>
      <c r="V80" s="1671">
        <v>12</v>
      </c>
      <c r="W80" s="1671" t="s">
        <v>198</v>
      </c>
      <c r="X80" s="397" t="s">
        <v>565</v>
      </c>
      <c r="Y80" s="874">
        <f t="shared" si="3"/>
        <v>1200</v>
      </c>
      <c r="Z80" s="1671">
        <f>S80*V80</f>
        <v>1200000</v>
      </c>
      <c r="AA80" s="275"/>
      <c r="AB80" s="275"/>
      <c r="AC80" s="275"/>
    </row>
    <row r="81" spans="1:29" s="2278" customFormat="1" ht="20.85" customHeight="1">
      <c r="A81" s="2274"/>
      <c r="B81" s="1145"/>
      <c r="C81" s="470"/>
      <c r="D81" s="1145"/>
      <c r="E81" s="465"/>
      <c r="F81" s="598"/>
      <c r="G81" s="598"/>
      <c r="H81" s="404"/>
      <c r="I81" s="473"/>
      <c r="J81" s="802" t="s">
        <v>2462</v>
      </c>
      <c r="K81" s="803"/>
      <c r="L81" s="803"/>
      <c r="M81" s="803"/>
      <c r="N81" s="649"/>
      <c r="O81" s="803"/>
      <c r="P81" s="803"/>
      <c r="Q81" s="804"/>
      <c r="R81" s="1671"/>
      <c r="S81" s="1672">
        <v>1500000</v>
      </c>
      <c r="T81" s="1671" t="s">
        <v>354</v>
      </c>
      <c r="U81" s="1671"/>
      <c r="V81" s="1671">
        <v>12</v>
      </c>
      <c r="W81" s="1671" t="s">
        <v>198</v>
      </c>
      <c r="X81" s="397" t="s">
        <v>565</v>
      </c>
      <c r="Y81" s="874">
        <f t="shared" si="3"/>
        <v>18000</v>
      </c>
      <c r="Z81" s="1671">
        <f>S81*V81</f>
        <v>18000000</v>
      </c>
      <c r="AA81" s="275"/>
      <c r="AB81" s="275"/>
      <c r="AC81" s="275"/>
    </row>
    <row r="82" spans="1:29" s="2278" customFormat="1" ht="20.85" customHeight="1">
      <c r="A82" s="2274"/>
      <c r="B82" s="1145"/>
      <c r="C82" s="470"/>
      <c r="D82" s="1145"/>
      <c r="E82" s="465"/>
      <c r="F82" s="598"/>
      <c r="G82" s="598"/>
      <c r="H82" s="404"/>
      <c r="I82" s="473"/>
      <c r="J82" s="802" t="s">
        <v>1154</v>
      </c>
      <c r="K82" s="803"/>
      <c r="L82" s="803"/>
      <c r="M82" s="803"/>
      <c r="N82" s="649"/>
      <c r="O82" s="803"/>
      <c r="P82" s="803"/>
      <c r="Q82" s="804"/>
      <c r="R82" s="1671"/>
      <c r="S82" s="1672">
        <v>80000</v>
      </c>
      <c r="T82" s="1671" t="s">
        <v>354</v>
      </c>
      <c r="U82" s="1671"/>
      <c r="V82" s="1671">
        <v>12</v>
      </c>
      <c r="W82" s="1671" t="s">
        <v>198</v>
      </c>
      <c r="X82" s="397" t="s">
        <v>565</v>
      </c>
      <c r="Y82" s="874">
        <f t="shared" si="3"/>
        <v>960</v>
      </c>
      <c r="Z82" s="1671">
        <f>S82*V82</f>
        <v>960000</v>
      </c>
      <c r="AA82" s="275"/>
      <c r="AB82" s="275"/>
      <c r="AC82" s="275"/>
    </row>
    <row r="83" spans="1:29" s="2278" customFormat="1" ht="20.85" customHeight="1">
      <c r="A83" s="2274"/>
      <c r="B83" s="1145"/>
      <c r="C83" s="470"/>
      <c r="D83" s="1145"/>
      <c r="E83" s="465"/>
      <c r="F83" s="598"/>
      <c r="G83" s="598"/>
      <c r="H83" s="404"/>
      <c r="I83" s="473"/>
      <c r="J83" s="802" t="s">
        <v>1155</v>
      </c>
      <c r="K83" s="803"/>
      <c r="L83" s="803"/>
      <c r="M83" s="803"/>
      <c r="N83" s="649"/>
      <c r="O83" s="803"/>
      <c r="P83" s="803"/>
      <c r="Q83" s="804">
        <v>1</v>
      </c>
      <c r="R83" s="1671" t="s">
        <v>296</v>
      </c>
      <c r="S83" s="1672">
        <v>60000</v>
      </c>
      <c r="T83" s="1671" t="s">
        <v>354</v>
      </c>
      <c r="U83" s="1671"/>
      <c r="V83" s="1671">
        <v>12</v>
      </c>
      <c r="W83" s="1671" t="s">
        <v>198</v>
      </c>
      <c r="X83" s="397" t="s">
        <v>565</v>
      </c>
      <c r="Y83" s="874">
        <f t="shared" si="3"/>
        <v>720</v>
      </c>
      <c r="Z83" s="1671">
        <f>ROUNDUP(S83*Q83*V83,-3)</f>
        <v>720000</v>
      </c>
      <c r="AA83" s="275"/>
      <c r="AB83" s="275"/>
      <c r="AC83" s="275"/>
    </row>
    <row r="84" spans="1:29" ht="20.85" customHeight="1">
      <c r="A84" s="2274"/>
      <c r="B84" s="1145"/>
      <c r="C84" s="470"/>
      <c r="D84" s="471"/>
      <c r="E84" s="762" t="s">
        <v>575</v>
      </c>
      <c r="F84" s="1683">
        <f>ROUNDUP(+Z84/1000,0)</f>
        <v>2000</v>
      </c>
      <c r="G84" s="1683">
        <v>2000</v>
      </c>
      <c r="H84" s="468"/>
      <c r="I84" s="473"/>
      <c r="J84" s="1980" t="s">
        <v>3658</v>
      </c>
      <c r="K84" s="1981"/>
      <c r="L84" s="1981"/>
      <c r="M84" s="1981"/>
      <c r="N84" s="1982"/>
      <c r="O84" s="1982"/>
      <c r="P84" s="1981"/>
      <c r="Q84" s="1983" t="s">
        <v>1156</v>
      </c>
      <c r="R84" s="462" t="s">
        <v>202</v>
      </c>
      <c r="S84" s="399">
        <v>10000</v>
      </c>
      <c r="T84" s="462" t="s">
        <v>354</v>
      </c>
      <c r="U84" s="462"/>
      <c r="V84" s="462">
        <v>10</v>
      </c>
      <c r="W84" s="462" t="s">
        <v>220</v>
      </c>
      <c r="X84" s="430" t="s">
        <v>565</v>
      </c>
      <c r="Y84" s="801">
        <f>+Z84/1000</f>
        <v>2000</v>
      </c>
      <c r="Z84" s="1671">
        <f>SUM(Q84*S84*V84)</f>
        <v>2000000</v>
      </c>
      <c r="AA84" s="275"/>
      <c r="AB84" s="275"/>
    </row>
    <row r="85" spans="1:29" s="2278" customFormat="1" ht="20.85" customHeight="1">
      <c r="A85" s="2274"/>
      <c r="B85" s="1145"/>
      <c r="C85" s="470"/>
      <c r="D85" s="3284" t="s">
        <v>731</v>
      </c>
      <c r="E85" s="3285"/>
      <c r="F85" s="373">
        <f>SUM(F86:F86)</f>
        <v>10400</v>
      </c>
      <c r="G85" s="373">
        <f>SUM(G86:G86)</f>
        <v>10400</v>
      </c>
      <c r="H85" s="1132">
        <f>F85-G85</f>
        <v>0</v>
      </c>
      <c r="I85" s="473"/>
      <c r="J85" s="1901"/>
      <c r="K85" s="1902"/>
      <c r="L85" s="1902"/>
      <c r="M85" s="1902"/>
      <c r="N85" s="1902"/>
      <c r="O85" s="1902"/>
      <c r="P85" s="1902"/>
      <c r="Q85" s="799"/>
      <c r="R85" s="376"/>
      <c r="S85" s="375"/>
      <c r="T85" s="376"/>
      <c r="U85" s="375"/>
      <c r="V85" s="376"/>
      <c r="W85" s="375"/>
      <c r="X85" s="375"/>
      <c r="Y85" s="801"/>
      <c r="Z85" s="1128">
        <f>+Z86</f>
        <v>0</v>
      </c>
      <c r="AA85" s="275"/>
      <c r="AB85" s="275"/>
      <c r="AC85" s="275"/>
    </row>
    <row r="86" spans="1:29" ht="20.85" customHeight="1">
      <c r="A86" s="2274"/>
      <c r="B86" s="1145"/>
      <c r="C86" s="470"/>
      <c r="D86" s="350"/>
      <c r="E86" s="350" t="s">
        <v>734</v>
      </c>
      <c r="F86" s="351">
        <f>+Y86</f>
        <v>10400</v>
      </c>
      <c r="G86" s="351">
        <v>10400</v>
      </c>
      <c r="H86" s="352"/>
      <c r="I86" s="1994"/>
      <c r="J86" s="1996" t="s">
        <v>3659</v>
      </c>
      <c r="K86" s="1997"/>
      <c r="L86" s="1997"/>
      <c r="M86" s="1997"/>
      <c r="N86" s="1953"/>
      <c r="O86" s="1953"/>
      <c r="P86" s="1953"/>
      <c r="Q86" s="1998"/>
      <c r="R86" s="449"/>
      <c r="S86" s="1672"/>
      <c r="T86" s="451"/>
      <c r="U86" s="451"/>
      <c r="V86" s="451"/>
      <c r="W86" s="451"/>
      <c r="X86" s="397"/>
      <c r="Y86" s="1976">
        <f>SUM(Y87:Y88)</f>
        <v>10400</v>
      </c>
      <c r="Z86" s="867">
        <f>S86*V86</f>
        <v>0</v>
      </c>
      <c r="AA86" s="275"/>
      <c r="AB86" s="275"/>
    </row>
    <row r="87" spans="1:29" ht="20.85" customHeight="1">
      <c r="A87" s="2274"/>
      <c r="B87" s="1145"/>
      <c r="C87" s="470"/>
      <c r="D87" s="1145"/>
      <c r="E87" s="2293"/>
      <c r="F87" s="598"/>
      <c r="G87" s="598"/>
      <c r="H87" s="404"/>
      <c r="I87" s="1994"/>
      <c r="J87" s="1903" t="s">
        <v>1157</v>
      </c>
      <c r="K87" s="807"/>
      <c r="L87" s="807"/>
      <c r="M87" s="807"/>
      <c r="N87" s="646"/>
      <c r="O87" s="646"/>
      <c r="P87" s="646"/>
      <c r="Q87" s="650"/>
      <c r="R87" s="2262"/>
      <c r="S87" s="1672">
        <v>800000</v>
      </c>
      <c r="T87" s="2288" t="s">
        <v>354</v>
      </c>
      <c r="U87" s="2288" t="s">
        <v>601</v>
      </c>
      <c r="V87" s="2288">
        <v>10</v>
      </c>
      <c r="W87" s="2288" t="s">
        <v>2463</v>
      </c>
      <c r="X87" s="397" t="s">
        <v>565</v>
      </c>
      <c r="Y87" s="874">
        <f>Z87/1000</f>
        <v>8000</v>
      </c>
      <c r="Z87" s="1671">
        <f>S87*V87</f>
        <v>8000000</v>
      </c>
      <c r="AA87" s="275"/>
      <c r="AB87" s="275"/>
    </row>
    <row r="88" spans="1:29" ht="20.85" customHeight="1" thickBot="1">
      <c r="A88" s="2274"/>
      <c r="B88" s="1145"/>
      <c r="C88" s="1999"/>
      <c r="D88" s="476"/>
      <c r="E88" s="477"/>
      <c r="F88" s="976"/>
      <c r="G88" s="976"/>
      <c r="H88" s="977"/>
      <c r="I88" s="1994"/>
      <c r="J88" s="2000" t="s">
        <v>2464</v>
      </c>
      <c r="K88" s="2001"/>
      <c r="L88" s="2001"/>
      <c r="M88" s="2001"/>
      <c r="N88" s="2002"/>
      <c r="O88" s="2002"/>
      <c r="P88" s="2002"/>
      <c r="Q88" s="2003"/>
      <c r="R88" s="564"/>
      <c r="S88" s="480">
        <v>300000</v>
      </c>
      <c r="T88" s="1162" t="s">
        <v>354</v>
      </c>
      <c r="U88" s="1162"/>
      <c r="V88" s="1162">
        <v>8</v>
      </c>
      <c r="W88" s="1162" t="s">
        <v>707</v>
      </c>
      <c r="X88" s="1163" t="s">
        <v>565</v>
      </c>
      <c r="Y88" s="2004">
        <f t="shared" ref="Y88" si="4">Z88/1000</f>
        <v>2400</v>
      </c>
      <c r="Z88" s="1671">
        <f>S88*V88</f>
        <v>2400000</v>
      </c>
      <c r="AA88" s="275"/>
      <c r="AB88" s="275"/>
    </row>
    <row r="89" spans="1:29" s="844" customFormat="1" ht="22.5" customHeight="1" thickBot="1">
      <c r="A89" s="2005" t="s">
        <v>601</v>
      </c>
      <c r="B89" s="2006"/>
      <c r="C89" s="3310" t="s">
        <v>766</v>
      </c>
      <c r="D89" s="3310"/>
      <c r="E89" s="3311"/>
      <c r="F89" s="1959">
        <f>+F90+F129+F198+F241+F272+F331+F320</f>
        <v>1308015.6000000001</v>
      </c>
      <c r="G89" s="1959">
        <f>+G90+G129+G198+G241+G272+G331+G320</f>
        <v>1288016</v>
      </c>
      <c r="H89" s="838">
        <f>+F89-G89</f>
        <v>19999.600000000093</v>
      </c>
      <c r="I89" s="473"/>
      <c r="J89" s="2007"/>
      <c r="K89" s="777"/>
      <c r="L89" s="927"/>
      <c r="M89" s="927"/>
      <c r="N89" s="927"/>
      <c r="O89" s="927"/>
      <c r="P89" s="927"/>
      <c r="Q89" s="928"/>
      <c r="R89" s="928"/>
      <c r="S89" s="927"/>
      <c r="T89" s="927"/>
      <c r="U89" s="927"/>
      <c r="V89" s="927"/>
      <c r="W89" s="927"/>
      <c r="X89" s="2258"/>
      <c r="Y89" s="2008"/>
      <c r="Z89" s="929"/>
      <c r="AA89" s="275"/>
      <c r="AB89" s="949"/>
      <c r="AC89" s="949"/>
    </row>
    <row r="90" spans="1:29" ht="22.5" customHeight="1">
      <c r="A90" s="2274"/>
      <c r="B90" s="1145"/>
      <c r="C90" s="2285" t="s">
        <v>2465</v>
      </c>
      <c r="D90" s="2285"/>
      <c r="E90" s="2280"/>
      <c r="F90" s="2009">
        <f>+F110+F120+F91</f>
        <v>120000</v>
      </c>
      <c r="G90" s="2009">
        <f>+G110+G120+G91</f>
        <v>120000</v>
      </c>
      <c r="H90" s="361">
        <f>F90-G90</f>
        <v>0</v>
      </c>
      <c r="I90" s="473"/>
      <c r="J90" s="1906"/>
      <c r="K90" s="1907"/>
      <c r="L90" s="1907"/>
      <c r="M90" s="1907"/>
      <c r="N90" s="1908"/>
      <c r="O90" s="1908"/>
      <c r="P90" s="1908"/>
      <c r="Q90" s="824"/>
      <c r="R90" s="371"/>
      <c r="S90" s="458"/>
      <c r="T90" s="371"/>
      <c r="U90" s="371"/>
      <c r="V90" s="371"/>
      <c r="W90" s="371"/>
      <c r="X90" s="426"/>
      <c r="Y90" s="1910"/>
      <c r="Z90" s="2010"/>
      <c r="AA90" s="275"/>
    </row>
    <row r="91" spans="1:29" s="2278" customFormat="1" ht="22.5" customHeight="1">
      <c r="A91" s="2274"/>
      <c r="B91" s="1145"/>
      <c r="C91" s="470"/>
      <c r="D91" s="3284" t="s">
        <v>771</v>
      </c>
      <c r="E91" s="3285"/>
      <c r="F91" s="373">
        <f>SUM(F92:F109)</f>
        <v>40000</v>
      </c>
      <c r="G91" s="373">
        <f>SUM(G92:G109)</f>
        <v>40000</v>
      </c>
      <c r="H91" s="1132">
        <f>F91-G91</f>
        <v>0</v>
      </c>
      <c r="I91" s="473"/>
      <c r="J91" s="1901"/>
      <c r="K91" s="1902"/>
      <c r="L91" s="1902"/>
      <c r="M91" s="1902"/>
      <c r="N91" s="1902"/>
      <c r="O91" s="1902"/>
      <c r="P91" s="1902"/>
      <c r="Q91" s="799"/>
      <c r="R91" s="376"/>
      <c r="S91" s="375"/>
      <c r="T91" s="376"/>
      <c r="U91" s="375"/>
      <c r="V91" s="376"/>
      <c r="W91" s="375"/>
      <c r="X91" s="375"/>
      <c r="Y91" s="801"/>
      <c r="Z91" s="503">
        <f>Z92+Z93+Z94+Z95+Z96+Z101+Z105+Z106+Z107+Z108+Z109</f>
        <v>40000000</v>
      </c>
      <c r="AA91" s="275"/>
      <c r="AB91" s="275"/>
      <c r="AC91" s="275"/>
    </row>
    <row r="92" spans="1:29" s="2278" customFormat="1" ht="22.5" customHeight="1">
      <c r="A92" s="2274"/>
      <c r="B92" s="1145"/>
      <c r="C92" s="470"/>
      <c r="D92" s="1154"/>
      <c r="E92" s="1126" t="s">
        <v>74</v>
      </c>
      <c r="F92" s="351">
        <f>+Y92</f>
        <v>600</v>
      </c>
      <c r="G92" s="337">
        <v>600</v>
      </c>
      <c r="H92" s="338"/>
      <c r="I92" s="473"/>
      <c r="J92" s="802" t="s">
        <v>3660</v>
      </c>
      <c r="K92" s="807"/>
      <c r="L92" s="807"/>
      <c r="M92" s="807"/>
      <c r="N92" s="646"/>
      <c r="O92" s="646"/>
      <c r="P92" s="646"/>
      <c r="Q92" s="804" t="s">
        <v>311</v>
      </c>
      <c r="R92" s="1671" t="s">
        <v>123</v>
      </c>
      <c r="S92" s="1672">
        <v>75000</v>
      </c>
      <c r="T92" s="1671" t="s">
        <v>0</v>
      </c>
      <c r="U92" s="1671"/>
      <c r="V92" s="1671">
        <v>8</v>
      </c>
      <c r="W92" s="1671" t="s">
        <v>60</v>
      </c>
      <c r="X92" s="397" t="s">
        <v>1</v>
      </c>
      <c r="Y92" s="874">
        <f t="shared" ref="Y92:Y109" si="5">+Z92/1000</f>
        <v>600</v>
      </c>
      <c r="Z92" s="355">
        <f>Q92*S92*V92</f>
        <v>600000</v>
      </c>
      <c r="AA92" s="275"/>
      <c r="AB92" s="275"/>
      <c r="AC92" s="275"/>
    </row>
    <row r="93" spans="1:29" s="2278" customFormat="1" ht="22.5" customHeight="1">
      <c r="A93" s="2274"/>
      <c r="B93" s="1145"/>
      <c r="D93" s="1126"/>
      <c r="E93" s="470" t="s">
        <v>118</v>
      </c>
      <c r="F93" s="598">
        <f>+Y93</f>
        <v>1500</v>
      </c>
      <c r="G93" s="337">
        <v>1500</v>
      </c>
      <c r="H93" s="338"/>
      <c r="I93" s="473"/>
      <c r="J93" s="1903" t="s">
        <v>307</v>
      </c>
      <c r="K93" s="807"/>
      <c r="L93" s="807"/>
      <c r="M93" s="807"/>
      <c r="N93" s="646"/>
      <c r="O93" s="646"/>
      <c r="P93" s="646"/>
      <c r="Q93" s="408"/>
      <c r="R93" s="2262"/>
      <c r="S93" s="1672">
        <v>1500000</v>
      </c>
      <c r="T93" s="1671" t="s">
        <v>0</v>
      </c>
      <c r="U93" s="1671"/>
      <c r="V93" s="1671">
        <v>1</v>
      </c>
      <c r="W93" s="1671" t="s">
        <v>3</v>
      </c>
      <c r="X93" s="397" t="s">
        <v>1</v>
      </c>
      <c r="Y93" s="874">
        <f t="shared" si="5"/>
        <v>1500</v>
      </c>
      <c r="Z93" s="355">
        <f>S93*V93</f>
        <v>1500000</v>
      </c>
      <c r="AA93" s="275"/>
      <c r="AB93" s="275"/>
      <c r="AC93" s="275"/>
    </row>
    <row r="94" spans="1:29" ht="22.5" customHeight="1">
      <c r="A94" s="2274"/>
      <c r="B94" s="1145"/>
      <c r="C94" s="470"/>
      <c r="D94" s="1126"/>
      <c r="E94" s="1126" t="s">
        <v>51</v>
      </c>
      <c r="F94" s="598">
        <f t="shared" ref="F94:F96" si="6">+Y94</f>
        <v>7000</v>
      </c>
      <c r="G94" s="337">
        <v>7000</v>
      </c>
      <c r="H94" s="338"/>
      <c r="I94" s="473"/>
      <c r="J94" s="1903" t="s">
        <v>772</v>
      </c>
      <c r="K94" s="807"/>
      <c r="L94" s="807"/>
      <c r="M94" s="807"/>
      <c r="N94" s="646"/>
      <c r="O94" s="646"/>
      <c r="P94" s="646"/>
      <c r="Q94" s="650"/>
      <c r="R94" s="2262"/>
      <c r="S94" s="408">
        <v>14000</v>
      </c>
      <c r="T94" s="2288" t="s">
        <v>0</v>
      </c>
      <c r="U94" s="2288"/>
      <c r="V94" s="2288">
        <v>500</v>
      </c>
      <c r="W94" s="2288" t="s">
        <v>63</v>
      </c>
      <c r="X94" s="1140" t="s">
        <v>1</v>
      </c>
      <c r="Y94" s="874">
        <f t="shared" si="5"/>
        <v>7000</v>
      </c>
      <c r="Z94" s="355">
        <f t="shared" ref="Z94:Z95" si="7">S94*V94</f>
        <v>7000000</v>
      </c>
      <c r="AA94" s="275"/>
    </row>
    <row r="95" spans="1:29" ht="22.5" customHeight="1">
      <c r="A95" s="2274"/>
      <c r="B95" s="1145"/>
      <c r="C95" s="470"/>
      <c r="D95" s="1126"/>
      <c r="E95" s="1126" t="s">
        <v>73</v>
      </c>
      <c r="F95" s="598">
        <f t="shared" si="6"/>
        <v>1350</v>
      </c>
      <c r="G95" s="337">
        <v>1350</v>
      </c>
      <c r="H95" s="338"/>
      <c r="I95" s="473"/>
      <c r="J95" s="1903" t="s">
        <v>773</v>
      </c>
      <c r="K95" s="807"/>
      <c r="L95" s="807"/>
      <c r="M95" s="807"/>
      <c r="N95" s="646"/>
      <c r="O95" s="646"/>
      <c r="P95" s="646"/>
      <c r="Q95" s="650"/>
      <c r="R95" s="2262"/>
      <c r="S95" s="1672">
        <v>150000</v>
      </c>
      <c r="T95" s="1671" t="s">
        <v>0</v>
      </c>
      <c r="U95" s="1671"/>
      <c r="V95" s="1671">
        <v>9</v>
      </c>
      <c r="W95" s="1671" t="s">
        <v>3</v>
      </c>
      <c r="X95" s="397" t="s">
        <v>1</v>
      </c>
      <c r="Y95" s="874">
        <f t="shared" si="5"/>
        <v>1350</v>
      </c>
      <c r="Z95" s="355">
        <f t="shared" si="7"/>
        <v>1350000</v>
      </c>
      <c r="AA95" s="275"/>
    </row>
    <row r="96" spans="1:29" ht="22.5" customHeight="1">
      <c r="A96" s="2274"/>
      <c r="B96" s="1145"/>
      <c r="C96" s="470"/>
      <c r="D96" s="1126"/>
      <c r="E96" s="875" t="s">
        <v>84</v>
      </c>
      <c r="F96" s="598">
        <f t="shared" si="6"/>
        <v>9050</v>
      </c>
      <c r="G96" s="337">
        <v>9050</v>
      </c>
      <c r="H96" s="338"/>
      <c r="I96" s="473"/>
      <c r="J96" s="1903" t="s">
        <v>8</v>
      </c>
      <c r="K96" s="807"/>
      <c r="L96" s="807"/>
      <c r="M96" s="807"/>
      <c r="N96" s="646"/>
      <c r="O96" s="646"/>
      <c r="P96" s="646"/>
      <c r="Q96" s="650"/>
      <c r="R96" s="2262"/>
      <c r="S96" s="2262" t="s">
        <v>19</v>
      </c>
      <c r="T96" s="2288" t="s">
        <v>19</v>
      </c>
      <c r="U96" s="2288" t="s">
        <v>19</v>
      </c>
      <c r="V96" s="2288" t="s">
        <v>19</v>
      </c>
      <c r="W96" s="2288" t="s">
        <v>19</v>
      </c>
      <c r="X96" s="1140" t="s">
        <v>19</v>
      </c>
      <c r="Y96" s="874">
        <f t="shared" si="5"/>
        <v>9050</v>
      </c>
      <c r="Z96" s="1324">
        <f>SUM(Z97:Z100)</f>
        <v>9050000</v>
      </c>
      <c r="AA96" s="275"/>
    </row>
    <row r="97" spans="1:29" ht="22.5" customHeight="1">
      <c r="A97" s="2274"/>
      <c r="B97" s="1145"/>
      <c r="C97" s="470"/>
      <c r="D97" s="1126"/>
      <c r="E97" s="1126"/>
      <c r="F97" s="598"/>
      <c r="G97" s="337"/>
      <c r="H97" s="338"/>
      <c r="I97" s="473"/>
      <c r="J97" s="1903" t="s">
        <v>774</v>
      </c>
      <c r="K97" s="807"/>
      <c r="L97" s="807"/>
      <c r="M97" s="807"/>
      <c r="N97" s="646"/>
      <c r="O97" s="646"/>
      <c r="P97" s="646"/>
      <c r="Q97" s="650" t="s">
        <v>775</v>
      </c>
      <c r="R97" s="2262" t="s">
        <v>123</v>
      </c>
      <c r="S97" s="1672">
        <v>1400000</v>
      </c>
      <c r="T97" s="1671" t="s">
        <v>0</v>
      </c>
      <c r="U97" s="1671"/>
      <c r="V97" s="1671">
        <v>1</v>
      </c>
      <c r="W97" s="1671" t="s">
        <v>3</v>
      </c>
      <c r="X97" s="397" t="s">
        <v>1</v>
      </c>
      <c r="Y97" s="874">
        <f t="shared" si="5"/>
        <v>5600</v>
      </c>
      <c r="Z97" s="355">
        <f>Q97*S97*V97</f>
        <v>5600000</v>
      </c>
      <c r="AA97" s="275"/>
    </row>
    <row r="98" spans="1:29" ht="22.5" customHeight="1">
      <c r="A98" s="2274"/>
      <c r="B98" s="1145"/>
      <c r="C98" s="470"/>
      <c r="D98" s="470"/>
      <c r="E98" s="1126"/>
      <c r="F98" s="598"/>
      <c r="G98" s="337"/>
      <c r="H98" s="338"/>
      <c r="I98" s="473"/>
      <c r="J98" s="1903" t="s">
        <v>776</v>
      </c>
      <c r="K98" s="807"/>
      <c r="L98" s="807"/>
      <c r="M98" s="807"/>
      <c r="N98" s="646"/>
      <c r="O98" s="646"/>
      <c r="P98" s="646"/>
      <c r="Q98" s="1905">
        <v>4</v>
      </c>
      <c r="R98" s="2262" t="s">
        <v>123</v>
      </c>
      <c r="S98" s="1672">
        <v>150000</v>
      </c>
      <c r="T98" s="1671" t="s">
        <v>0</v>
      </c>
      <c r="U98" s="1671"/>
      <c r="V98" s="1671">
        <v>4</v>
      </c>
      <c r="W98" s="1671" t="s">
        <v>306</v>
      </c>
      <c r="X98" s="397" t="s">
        <v>1</v>
      </c>
      <c r="Y98" s="874">
        <f t="shared" si="5"/>
        <v>2400</v>
      </c>
      <c r="Z98" s="355">
        <f t="shared" ref="Z98:Z100" si="8">Q98*S98*V98</f>
        <v>2400000</v>
      </c>
      <c r="AA98" s="275"/>
    </row>
    <row r="99" spans="1:29" ht="22.5" customHeight="1">
      <c r="A99" s="2274"/>
      <c r="B99" s="1145"/>
      <c r="C99" s="470"/>
      <c r="D99" s="470"/>
      <c r="E99" s="1126"/>
      <c r="F99" s="598"/>
      <c r="G99" s="337"/>
      <c r="H99" s="338"/>
      <c r="I99" s="473"/>
      <c r="J99" s="1903" t="s">
        <v>777</v>
      </c>
      <c r="K99" s="807"/>
      <c r="L99" s="807"/>
      <c r="M99" s="807"/>
      <c r="N99" s="646"/>
      <c r="O99" s="646"/>
      <c r="P99" s="646"/>
      <c r="Q99" s="1905">
        <v>4</v>
      </c>
      <c r="R99" s="2262" t="s">
        <v>123</v>
      </c>
      <c r="S99" s="1672">
        <v>50000</v>
      </c>
      <c r="T99" s="1671" t="s">
        <v>0</v>
      </c>
      <c r="U99" s="1671"/>
      <c r="V99" s="1671">
        <v>5</v>
      </c>
      <c r="W99" s="1671" t="s">
        <v>60</v>
      </c>
      <c r="X99" s="397" t="s">
        <v>1</v>
      </c>
      <c r="Y99" s="874">
        <f t="shared" si="5"/>
        <v>1000</v>
      </c>
      <c r="Z99" s="355">
        <f t="shared" si="8"/>
        <v>1000000</v>
      </c>
      <c r="AA99" s="275"/>
    </row>
    <row r="100" spans="1:29" s="2278" customFormat="1" ht="22.5" customHeight="1">
      <c r="A100" s="2274"/>
      <c r="B100" s="1145"/>
      <c r="C100" s="470"/>
      <c r="D100" s="1126"/>
      <c r="E100" s="1126"/>
      <c r="F100" s="598"/>
      <c r="G100" s="337"/>
      <c r="H100" s="338"/>
      <c r="I100" s="473"/>
      <c r="J100" s="1903" t="s">
        <v>778</v>
      </c>
      <c r="K100" s="807"/>
      <c r="L100" s="807"/>
      <c r="M100" s="807"/>
      <c r="N100" s="646"/>
      <c r="O100" s="646"/>
      <c r="P100" s="646"/>
      <c r="Q100" s="1905">
        <v>1</v>
      </c>
      <c r="R100" s="2262" t="s">
        <v>123</v>
      </c>
      <c r="S100" s="1672">
        <v>25000</v>
      </c>
      <c r="T100" s="1671" t="s">
        <v>0</v>
      </c>
      <c r="U100" s="1671"/>
      <c r="V100" s="1671">
        <v>2</v>
      </c>
      <c r="W100" s="1671" t="s">
        <v>60</v>
      </c>
      <c r="X100" s="397" t="s">
        <v>1</v>
      </c>
      <c r="Y100" s="874">
        <f t="shared" si="5"/>
        <v>50</v>
      </c>
      <c r="Z100" s="355">
        <f t="shared" si="8"/>
        <v>50000</v>
      </c>
      <c r="AA100" s="275"/>
      <c r="AB100" s="275"/>
      <c r="AC100" s="275"/>
    </row>
    <row r="101" spans="1:29" s="2278" customFormat="1" ht="22.5" customHeight="1">
      <c r="A101" s="2274"/>
      <c r="B101" s="1145"/>
      <c r="C101" s="470"/>
      <c r="D101" s="1126"/>
      <c r="E101" s="1126" t="s">
        <v>52</v>
      </c>
      <c r="F101" s="598">
        <f>+Y101</f>
        <v>11500</v>
      </c>
      <c r="G101" s="337">
        <v>11500</v>
      </c>
      <c r="H101" s="338"/>
      <c r="I101" s="473"/>
      <c r="J101" s="1903" t="s">
        <v>8</v>
      </c>
      <c r="K101" s="807"/>
      <c r="L101" s="807"/>
      <c r="M101" s="807"/>
      <c r="N101" s="646"/>
      <c r="O101" s="646"/>
      <c r="P101" s="646"/>
      <c r="Q101" s="650"/>
      <c r="R101" s="2262"/>
      <c r="S101" s="2262" t="s">
        <v>19</v>
      </c>
      <c r="T101" s="2288" t="s">
        <v>19</v>
      </c>
      <c r="U101" s="2288" t="s">
        <v>19</v>
      </c>
      <c r="V101" s="2288" t="s">
        <v>19</v>
      </c>
      <c r="W101" s="2288" t="s">
        <v>19</v>
      </c>
      <c r="X101" s="1140" t="s">
        <v>19</v>
      </c>
      <c r="Y101" s="874">
        <f t="shared" si="5"/>
        <v>11500</v>
      </c>
      <c r="Z101" s="1324">
        <f>SUM(Z102:Z104)</f>
        <v>11500000</v>
      </c>
      <c r="AA101" s="275"/>
      <c r="AB101" s="275"/>
      <c r="AC101" s="275"/>
    </row>
    <row r="102" spans="1:29" s="2278" customFormat="1" ht="22.5" customHeight="1">
      <c r="A102" s="348"/>
      <c r="B102" s="1126"/>
      <c r="C102" s="470"/>
      <c r="E102" s="1126"/>
      <c r="F102" s="772"/>
      <c r="G102" s="403"/>
      <c r="H102" s="338"/>
      <c r="I102" s="473"/>
      <c r="J102" s="1903" t="s">
        <v>779</v>
      </c>
      <c r="K102" s="807"/>
      <c r="L102" s="807"/>
      <c r="M102" s="807"/>
      <c r="N102" s="646"/>
      <c r="O102" s="646"/>
      <c r="P102" s="646"/>
      <c r="Q102" s="1905"/>
      <c r="R102" s="2262"/>
      <c r="S102" s="1672">
        <v>50000</v>
      </c>
      <c r="T102" s="1671" t="s">
        <v>0</v>
      </c>
      <c r="U102" s="1671"/>
      <c r="V102" s="1905">
        <v>40</v>
      </c>
      <c r="W102" s="2262" t="s">
        <v>305</v>
      </c>
      <c r="X102" s="397" t="s">
        <v>1</v>
      </c>
      <c r="Y102" s="874">
        <f t="shared" si="5"/>
        <v>2000</v>
      </c>
      <c r="Z102" s="355">
        <f>S102*V102</f>
        <v>2000000</v>
      </c>
      <c r="AA102" s="275"/>
      <c r="AB102" s="275"/>
      <c r="AC102" s="275"/>
    </row>
    <row r="103" spans="1:29" ht="22.5" customHeight="1">
      <c r="A103" s="348"/>
      <c r="B103" s="1126"/>
      <c r="C103" s="470"/>
      <c r="D103" s="2278"/>
      <c r="E103" s="1126"/>
      <c r="F103" s="772"/>
      <c r="G103" s="403"/>
      <c r="H103" s="338"/>
      <c r="I103" s="473"/>
      <c r="J103" s="1903" t="s">
        <v>780</v>
      </c>
      <c r="K103" s="807"/>
      <c r="L103" s="807"/>
      <c r="M103" s="807"/>
      <c r="N103" s="646"/>
      <c r="O103" s="646"/>
      <c r="P103" s="646"/>
      <c r="Q103" s="1905"/>
      <c r="R103" s="2262"/>
      <c r="S103" s="1672">
        <v>30000</v>
      </c>
      <c r="T103" s="1671" t="s">
        <v>0</v>
      </c>
      <c r="U103" s="1671"/>
      <c r="V103" s="1905">
        <v>50</v>
      </c>
      <c r="W103" s="2262" t="s">
        <v>305</v>
      </c>
      <c r="X103" s="397" t="s">
        <v>1</v>
      </c>
      <c r="Y103" s="874">
        <f t="shared" si="5"/>
        <v>1500</v>
      </c>
      <c r="Z103" s="355">
        <f t="shared" ref="Z103:Z106" si="9">S103*V103</f>
        <v>1500000</v>
      </c>
      <c r="AA103" s="275"/>
    </row>
    <row r="104" spans="1:29" ht="22.5" customHeight="1">
      <c r="A104" s="2274"/>
      <c r="B104" s="1145"/>
      <c r="C104" s="470"/>
      <c r="D104" s="1126"/>
      <c r="E104" s="1126"/>
      <c r="F104" s="598"/>
      <c r="G104" s="337"/>
      <c r="H104" s="338"/>
      <c r="I104" s="473"/>
      <c r="J104" s="1903" t="s">
        <v>781</v>
      </c>
      <c r="K104" s="807"/>
      <c r="L104" s="807"/>
      <c r="M104" s="807"/>
      <c r="N104" s="646"/>
      <c r="O104" s="646"/>
      <c r="P104" s="646"/>
      <c r="Q104" s="650"/>
      <c r="R104" s="2262"/>
      <c r="S104" s="1672">
        <v>1000000</v>
      </c>
      <c r="T104" s="1671" t="s">
        <v>0</v>
      </c>
      <c r="U104" s="1671"/>
      <c r="V104" s="1671">
        <v>8</v>
      </c>
      <c r="W104" s="1671" t="s">
        <v>69</v>
      </c>
      <c r="X104" s="397" t="s">
        <v>1</v>
      </c>
      <c r="Y104" s="874">
        <f t="shared" si="5"/>
        <v>8000</v>
      </c>
      <c r="Z104" s="355">
        <f t="shared" si="9"/>
        <v>8000000</v>
      </c>
      <c r="AA104" s="275"/>
    </row>
    <row r="105" spans="1:29" ht="22.5" customHeight="1">
      <c r="A105" s="2274"/>
      <c r="B105" s="1145"/>
      <c r="C105" s="470"/>
      <c r="D105" s="2278"/>
      <c r="E105" s="1126" t="s">
        <v>65</v>
      </c>
      <c r="F105" s="598">
        <f t="shared" ref="F105:F109" si="10">+Y105</f>
        <v>4000</v>
      </c>
      <c r="G105" s="337">
        <v>4000</v>
      </c>
      <c r="H105" s="338"/>
      <c r="I105" s="473"/>
      <c r="J105" s="1903" t="s">
        <v>782</v>
      </c>
      <c r="K105" s="807"/>
      <c r="L105" s="807"/>
      <c r="M105" s="807"/>
      <c r="N105" s="646"/>
      <c r="O105" s="646"/>
      <c r="P105" s="646"/>
      <c r="Q105" s="1905"/>
      <c r="R105" s="2262"/>
      <c r="S105" s="1672">
        <v>1000000</v>
      </c>
      <c r="T105" s="1671" t="s">
        <v>0</v>
      </c>
      <c r="U105" s="1671"/>
      <c r="V105" s="1702">
        <v>4</v>
      </c>
      <c r="W105" s="1671" t="s">
        <v>783</v>
      </c>
      <c r="X105" s="397" t="s">
        <v>1</v>
      </c>
      <c r="Y105" s="874">
        <f t="shared" si="5"/>
        <v>4000</v>
      </c>
      <c r="Z105" s="355">
        <f t="shared" si="9"/>
        <v>4000000</v>
      </c>
      <c r="AA105" s="275"/>
    </row>
    <row r="106" spans="1:29" s="2278" customFormat="1" ht="22.5" customHeight="1">
      <c r="A106" s="2274"/>
      <c r="B106" s="1145"/>
      <c r="C106" s="470"/>
      <c r="D106" s="470"/>
      <c r="E106" s="1126" t="s">
        <v>64</v>
      </c>
      <c r="F106" s="598">
        <f t="shared" si="10"/>
        <v>2000</v>
      </c>
      <c r="G106" s="337">
        <v>2000</v>
      </c>
      <c r="H106" s="338"/>
      <c r="I106" s="473"/>
      <c r="J106" s="1903" t="s">
        <v>784</v>
      </c>
      <c r="K106" s="807"/>
      <c r="L106" s="807"/>
      <c r="M106" s="807"/>
      <c r="N106" s="646"/>
      <c r="O106" s="646"/>
      <c r="P106" s="646"/>
      <c r="Q106" s="1905"/>
      <c r="R106" s="2262"/>
      <c r="S106" s="1672">
        <v>2000000</v>
      </c>
      <c r="T106" s="1671" t="s">
        <v>0</v>
      </c>
      <c r="U106" s="1671"/>
      <c r="V106" s="1671">
        <v>1</v>
      </c>
      <c r="W106" s="1671" t="s">
        <v>3</v>
      </c>
      <c r="X106" s="397" t="s">
        <v>1</v>
      </c>
      <c r="Y106" s="874">
        <f t="shared" si="5"/>
        <v>2000</v>
      </c>
      <c r="Z106" s="355">
        <f t="shared" si="9"/>
        <v>2000000</v>
      </c>
      <c r="AA106" s="275"/>
      <c r="AB106" s="275"/>
      <c r="AC106" s="275"/>
    </row>
    <row r="107" spans="1:29" s="2278" customFormat="1" ht="22.5" customHeight="1">
      <c r="A107" s="2274"/>
      <c r="B107" s="1145"/>
      <c r="C107" s="470"/>
      <c r="D107" s="1126"/>
      <c r="E107" s="1126" t="s">
        <v>54</v>
      </c>
      <c r="F107" s="598">
        <f t="shared" si="10"/>
        <v>1000</v>
      </c>
      <c r="G107" s="337">
        <v>1000</v>
      </c>
      <c r="H107" s="338"/>
      <c r="I107" s="473"/>
      <c r="J107" s="1903" t="s">
        <v>785</v>
      </c>
      <c r="K107" s="807"/>
      <c r="L107" s="807"/>
      <c r="M107" s="807"/>
      <c r="N107" s="646"/>
      <c r="O107" s="646"/>
      <c r="P107" s="646"/>
      <c r="Q107" s="1905">
        <v>100</v>
      </c>
      <c r="R107" s="2262" t="s">
        <v>124</v>
      </c>
      <c r="S107" s="408">
        <v>10000</v>
      </c>
      <c r="T107" s="2288" t="s">
        <v>0</v>
      </c>
      <c r="U107" s="2288"/>
      <c r="V107" s="2288">
        <v>1</v>
      </c>
      <c r="W107" s="2288" t="s">
        <v>3</v>
      </c>
      <c r="X107" s="1140" t="s">
        <v>1</v>
      </c>
      <c r="Y107" s="874">
        <f t="shared" si="5"/>
        <v>1000</v>
      </c>
      <c r="Z107" s="355">
        <f>Q107*S107*V107</f>
        <v>1000000</v>
      </c>
      <c r="AA107" s="275"/>
      <c r="AB107" s="275"/>
      <c r="AC107" s="275"/>
    </row>
    <row r="108" spans="1:29" s="2278" customFormat="1" ht="22.5" customHeight="1">
      <c r="A108" s="2274"/>
      <c r="B108" s="1145"/>
      <c r="C108" s="470"/>
      <c r="E108" s="465" t="s">
        <v>56</v>
      </c>
      <c r="F108" s="598">
        <f t="shared" si="10"/>
        <v>1000</v>
      </c>
      <c r="G108" s="337">
        <v>1000</v>
      </c>
      <c r="H108" s="338"/>
      <c r="I108" s="473"/>
      <c r="J108" s="1903" t="s">
        <v>786</v>
      </c>
      <c r="K108" s="807"/>
      <c r="L108" s="807"/>
      <c r="M108" s="807"/>
      <c r="N108" s="646"/>
      <c r="O108" s="646"/>
      <c r="P108" s="646"/>
      <c r="Q108" s="1905">
        <v>100</v>
      </c>
      <c r="R108" s="2262" t="s">
        <v>123</v>
      </c>
      <c r="S108" s="1672">
        <v>5000</v>
      </c>
      <c r="T108" s="2288" t="s">
        <v>0</v>
      </c>
      <c r="U108" s="2288" t="s">
        <v>19</v>
      </c>
      <c r="V108" s="2288">
        <v>2</v>
      </c>
      <c r="W108" s="2288" t="s">
        <v>3</v>
      </c>
      <c r="X108" s="1140" t="s">
        <v>1</v>
      </c>
      <c r="Y108" s="874">
        <f t="shared" si="5"/>
        <v>1000</v>
      </c>
      <c r="Z108" s="355">
        <f t="shared" ref="Z108:Z109" si="11">Q108*S108*V108</f>
        <v>1000000</v>
      </c>
      <c r="AA108" s="275"/>
      <c r="AB108" s="275"/>
      <c r="AC108" s="275"/>
    </row>
    <row r="109" spans="1:29" ht="22.5" customHeight="1">
      <c r="A109" s="2274"/>
      <c r="B109" s="1145"/>
      <c r="C109" s="470"/>
      <c r="D109" s="1126"/>
      <c r="E109" s="1126" t="s">
        <v>55</v>
      </c>
      <c r="F109" s="598">
        <f t="shared" si="10"/>
        <v>1000</v>
      </c>
      <c r="G109" s="337">
        <v>1000</v>
      </c>
      <c r="H109" s="338"/>
      <c r="I109" s="473"/>
      <c r="J109" s="802" t="s">
        <v>787</v>
      </c>
      <c r="K109" s="803"/>
      <c r="L109" s="803"/>
      <c r="M109" s="803"/>
      <c r="N109" s="649"/>
      <c r="O109" s="649"/>
      <c r="P109" s="803"/>
      <c r="Q109" s="804" t="s">
        <v>788</v>
      </c>
      <c r="R109" s="1671" t="s">
        <v>28</v>
      </c>
      <c r="S109" s="1672">
        <v>10000</v>
      </c>
      <c r="T109" s="1671" t="s">
        <v>0</v>
      </c>
      <c r="U109" s="1671"/>
      <c r="V109" s="1671">
        <v>5</v>
      </c>
      <c r="W109" s="1671" t="s">
        <v>25</v>
      </c>
      <c r="X109" s="397" t="s">
        <v>1</v>
      </c>
      <c r="Y109" s="874">
        <f t="shared" si="5"/>
        <v>1000</v>
      </c>
      <c r="Z109" s="355">
        <f t="shared" si="11"/>
        <v>1000000</v>
      </c>
      <c r="AA109" s="275"/>
    </row>
    <row r="110" spans="1:29" s="2278" customFormat="1" ht="22.5" customHeight="1">
      <c r="A110" s="2274"/>
      <c r="B110" s="1145"/>
      <c r="C110" s="470"/>
      <c r="D110" s="3284" t="s">
        <v>2466</v>
      </c>
      <c r="E110" s="3285"/>
      <c r="F110" s="2011">
        <f>SUM(F111:F119)</f>
        <v>20000</v>
      </c>
      <c r="G110" s="2011">
        <f>SUM(G111:G119)</f>
        <v>20000</v>
      </c>
      <c r="H110" s="1132">
        <f>F110-G110</f>
        <v>0</v>
      </c>
      <c r="I110" s="473"/>
      <c r="J110" s="1901"/>
      <c r="K110" s="1902"/>
      <c r="L110" s="1902"/>
      <c r="M110" s="1902"/>
      <c r="N110" s="1902"/>
      <c r="O110" s="1902"/>
      <c r="P110" s="1902"/>
      <c r="Q110" s="799"/>
      <c r="R110" s="2012"/>
      <c r="S110" s="375"/>
      <c r="T110" s="2012"/>
      <c r="U110" s="375"/>
      <c r="V110" s="2012"/>
      <c r="W110" s="375"/>
      <c r="X110" s="375"/>
      <c r="Y110" s="801"/>
      <c r="Z110" s="2013"/>
      <c r="AA110" s="275"/>
      <c r="AB110" s="275"/>
      <c r="AC110" s="275"/>
    </row>
    <row r="111" spans="1:29" s="2305" customFormat="1" ht="22.5" customHeight="1">
      <c r="A111" s="2303"/>
      <c r="B111" s="1145"/>
      <c r="C111" s="470"/>
      <c r="D111" s="2396"/>
      <c r="E111" s="508" t="s">
        <v>51</v>
      </c>
      <c r="F111" s="598">
        <f t="shared" ref="F111:F113" si="12">+Y111</f>
        <v>7500</v>
      </c>
      <c r="G111" s="1689">
        <v>7500</v>
      </c>
      <c r="H111" s="767"/>
      <c r="I111" s="533"/>
      <c r="J111" s="2390" t="s">
        <v>772</v>
      </c>
      <c r="K111" s="2391"/>
      <c r="L111" s="2391"/>
      <c r="M111" s="2391"/>
      <c r="N111" s="2392"/>
      <c r="O111" s="2392"/>
      <c r="P111" s="2392"/>
      <c r="Q111" s="2393"/>
      <c r="R111" s="1778"/>
      <c r="S111" s="727">
        <v>15000</v>
      </c>
      <c r="T111" s="516" t="s">
        <v>0</v>
      </c>
      <c r="U111" s="516"/>
      <c r="V111" s="516">
        <v>500</v>
      </c>
      <c r="W111" s="516" t="s">
        <v>63</v>
      </c>
      <c r="X111" s="517" t="s">
        <v>1</v>
      </c>
      <c r="Y111" s="2394">
        <f t="shared" ref="Y111:Y119" si="13">+Z111/1000</f>
        <v>7500</v>
      </c>
      <c r="Z111" s="637">
        <f t="shared" ref="Z111:Z112" si="14">S111*V111</f>
        <v>7500000</v>
      </c>
      <c r="AA111" s="275"/>
      <c r="AB111" s="275"/>
      <c r="AC111" s="275"/>
    </row>
    <row r="112" spans="1:29" s="2305" customFormat="1" ht="22.5" customHeight="1">
      <c r="A112" s="2303"/>
      <c r="B112" s="1145"/>
      <c r="C112" s="470"/>
      <c r="D112" s="1684"/>
      <c r="E112" s="508" t="s">
        <v>73</v>
      </c>
      <c r="F112" s="598">
        <f t="shared" si="12"/>
        <v>500</v>
      </c>
      <c r="G112" s="767">
        <v>500</v>
      </c>
      <c r="H112" s="767"/>
      <c r="I112" s="533"/>
      <c r="J112" s="2390" t="s">
        <v>3661</v>
      </c>
      <c r="K112" s="2391"/>
      <c r="L112" s="2391"/>
      <c r="M112" s="2391"/>
      <c r="N112" s="2392"/>
      <c r="O112" s="2392"/>
      <c r="P112" s="2392"/>
      <c r="Q112" s="2393"/>
      <c r="R112" s="1778"/>
      <c r="S112" s="1686">
        <v>500000</v>
      </c>
      <c r="T112" s="1685" t="s">
        <v>0</v>
      </c>
      <c r="U112" s="1685"/>
      <c r="V112" s="1685">
        <v>1</v>
      </c>
      <c r="W112" s="1685" t="s">
        <v>3</v>
      </c>
      <c r="X112" s="1687" t="s">
        <v>1</v>
      </c>
      <c r="Y112" s="2394">
        <f t="shared" si="13"/>
        <v>500</v>
      </c>
      <c r="Z112" s="637">
        <f t="shared" si="14"/>
        <v>500000</v>
      </c>
      <c r="AA112" s="275"/>
      <c r="AB112" s="275"/>
      <c r="AC112" s="275"/>
    </row>
    <row r="113" spans="1:29" s="2305" customFormat="1" ht="22.5" customHeight="1">
      <c r="A113" s="2303"/>
      <c r="B113" s="1145"/>
      <c r="C113" s="470"/>
      <c r="D113" s="1684"/>
      <c r="E113" s="2388" t="s">
        <v>84</v>
      </c>
      <c r="F113" s="598">
        <f t="shared" si="12"/>
        <v>5000</v>
      </c>
      <c r="G113" s="767">
        <v>5000</v>
      </c>
      <c r="H113" s="767"/>
      <c r="I113" s="533"/>
      <c r="J113" s="2390" t="s">
        <v>3662</v>
      </c>
      <c r="K113" s="2391"/>
      <c r="L113" s="2391"/>
      <c r="M113" s="2391"/>
      <c r="N113" s="2392"/>
      <c r="O113" s="2392"/>
      <c r="P113" s="2392"/>
      <c r="Q113" s="2393" t="s">
        <v>586</v>
      </c>
      <c r="R113" s="2621" t="s">
        <v>123</v>
      </c>
      <c r="S113" s="1686">
        <v>2500000</v>
      </c>
      <c r="T113" s="1685" t="s">
        <v>0</v>
      </c>
      <c r="U113" s="1685"/>
      <c r="V113" s="1685">
        <v>1</v>
      </c>
      <c r="W113" s="1685" t="s">
        <v>3</v>
      </c>
      <c r="X113" s="1687" t="s">
        <v>1</v>
      </c>
      <c r="Y113" s="2394">
        <f t="shared" ref="Y113" si="15">+Z113/1000</f>
        <v>5000</v>
      </c>
      <c r="Z113" s="637">
        <f>Q113*S113*V113</f>
        <v>5000000</v>
      </c>
      <c r="AA113" s="275"/>
      <c r="AB113" s="275"/>
      <c r="AC113" s="275"/>
    </row>
    <row r="114" spans="1:29" s="2305" customFormat="1" ht="22.5" customHeight="1">
      <c r="A114" s="2303"/>
      <c r="B114" s="1145"/>
      <c r="C114" s="470"/>
      <c r="D114" s="1684"/>
      <c r="E114" s="508" t="s">
        <v>52</v>
      </c>
      <c r="F114" s="598">
        <f>+Y114</f>
        <v>6400</v>
      </c>
      <c r="G114" s="767">
        <v>6400</v>
      </c>
      <c r="H114" s="767"/>
      <c r="I114" s="533"/>
      <c r="J114" s="2390" t="s">
        <v>8</v>
      </c>
      <c r="K114" s="2391"/>
      <c r="L114" s="2391"/>
      <c r="M114" s="2391"/>
      <c r="N114" s="2392"/>
      <c r="O114" s="2392"/>
      <c r="P114" s="2392"/>
      <c r="Q114" s="2393"/>
      <c r="R114" s="1778"/>
      <c r="S114" s="1778" t="s">
        <v>19</v>
      </c>
      <c r="T114" s="516" t="s">
        <v>19</v>
      </c>
      <c r="U114" s="516" t="s">
        <v>19</v>
      </c>
      <c r="V114" s="516" t="s">
        <v>19</v>
      </c>
      <c r="W114" s="516" t="s">
        <v>19</v>
      </c>
      <c r="X114" s="517" t="s">
        <v>19</v>
      </c>
      <c r="Y114" s="2394">
        <f t="shared" si="13"/>
        <v>6400</v>
      </c>
      <c r="Z114" s="2372">
        <f>SUM(Z115:Z117)</f>
        <v>6400000</v>
      </c>
      <c r="AA114" s="275"/>
      <c r="AB114" s="275"/>
      <c r="AC114" s="275"/>
    </row>
    <row r="115" spans="1:29" s="2305" customFormat="1" ht="22.5" customHeight="1">
      <c r="A115" s="2303"/>
      <c r="B115" s="1145"/>
      <c r="C115" s="470"/>
      <c r="D115" s="1684"/>
      <c r="E115" s="508"/>
      <c r="F115" s="767"/>
      <c r="G115" s="767"/>
      <c r="H115" s="767"/>
      <c r="I115" s="533"/>
      <c r="J115" s="2390" t="s">
        <v>779</v>
      </c>
      <c r="K115" s="2391"/>
      <c r="L115" s="2391"/>
      <c r="M115" s="2391"/>
      <c r="N115" s="2392"/>
      <c r="O115" s="2392"/>
      <c r="P115" s="2392"/>
      <c r="Q115" s="2395"/>
      <c r="R115" s="1778"/>
      <c r="S115" s="1686">
        <v>50000</v>
      </c>
      <c r="T115" s="1685" t="s">
        <v>0</v>
      </c>
      <c r="U115" s="1685"/>
      <c r="V115" s="2395">
        <v>40</v>
      </c>
      <c r="W115" s="1778" t="s">
        <v>305</v>
      </c>
      <c r="X115" s="1687" t="s">
        <v>1</v>
      </c>
      <c r="Y115" s="2394">
        <f t="shared" si="13"/>
        <v>2000</v>
      </c>
      <c r="Z115" s="637">
        <f>S115*V115</f>
        <v>2000000</v>
      </c>
      <c r="AA115" s="275"/>
      <c r="AB115" s="275"/>
      <c r="AC115" s="275"/>
    </row>
    <row r="116" spans="1:29" s="2305" customFormat="1" ht="22.5" customHeight="1">
      <c r="A116" s="2303"/>
      <c r="B116" s="1145"/>
      <c r="C116" s="470"/>
      <c r="D116" s="1684"/>
      <c r="E116" s="508"/>
      <c r="F116" s="767"/>
      <c r="G116" s="767"/>
      <c r="H116" s="767"/>
      <c r="I116" s="533"/>
      <c r="J116" s="2390" t="s">
        <v>780</v>
      </c>
      <c r="K116" s="2391"/>
      <c r="L116" s="2391"/>
      <c r="M116" s="2391"/>
      <c r="N116" s="2392"/>
      <c r="O116" s="2392"/>
      <c r="P116" s="2392"/>
      <c r="Q116" s="2395"/>
      <c r="R116" s="1778"/>
      <c r="S116" s="1686">
        <v>30000</v>
      </c>
      <c r="T116" s="1685" t="s">
        <v>0</v>
      </c>
      <c r="U116" s="1685"/>
      <c r="V116" s="2395">
        <v>80</v>
      </c>
      <c r="W116" s="1778" t="s">
        <v>305</v>
      </c>
      <c r="X116" s="1687" t="s">
        <v>1</v>
      </c>
      <c r="Y116" s="2394">
        <f t="shared" si="13"/>
        <v>2400</v>
      </c>
      <c r="Z116" s="637">
        <f t="shared" ref="Z116:Z117" si="16">S116*V116</f>
        <v>2400000</v>
      </c>
      <c r="AA116" s="275"/>
      <c r="AB116" s="275"/>
      <c r="AC116" s="275"/>
    </row>
    <row r="117" spans="1:29" s="2305" customFormat="1" ht="22.5" customHeight="1">
      <c r="A117" s="2303"/>
      <c r="B117" s="1145"/>
      <c r="C117" s="470"/>
      <c r="D117" s="1684"/>
      <c r="E117" s="508"/>
      <c r="F117" s="767"/>
      <c r="G117" s="767"/>
      <c r="H117" s="767"/>
      <c r="I117" s="533"/>
      <c r="J117" s="2390" t="s">
        <v>2785</v>
      </c>
      <c r="K117" s="2391"/>
      <c r="L117" s="2391"/>
      <c r="M117" s="2391"/>
      <c r="N117" s="2392"/>
      <c r="O117" s="2392"/>
      <c r="P117" s="2392"/>
      <c r="Q117" s="2393"/>
      <c r="R117" s="1778"/>
      <c r="S117" s="1686">
        <v>500000</v>
      </c>
      <c r="T117" s="1685" t="s">
        <v>0</v>
      </c>
      <c r="U117" s="1685"/>
      <c r="V117" s="1685">
        <v>4</v>
      </c>
      <c r="W117" s="1685" t="s">
        <v>697</v>
      </c>
      <c r="X117" s="1687" t="s">
        <v>1</v>
      </c>
      <c r="Y117" s="2394">
        <f t="shared" si="13"/>
        <v>2000</v>
      </c>
      <c r="Z117" s="637">
        <f t="shared" si="16"/>
        <v>2000000</v>
      </c>
      <c r="AA117" s="275"/>
      <c r="AB117" s="275"/>
      <c r="AC117" s="275"/>
    </row>
    <row r="118" spans="1:29" s="2305" customFormat="1" ht="22.5" customHeight="1">
      <c r="A118" s="2303"/>
      <c r="B118" s="1145"/>
      <c r="C118" s="470"/>
      <c r="D118" s="1684"/>
      <c r="E118" s="508" t="s">
        <v>54</v>
      </c>
      <c r="F118" s="598">
        <f t="shared" ref="F118:F119" si="17">+Y118</f>
        <v>300</v>
      </c>
      <c r="G118" s="767">
        <v>300</v>
      </c>
      <c r="H118" s="767"/>
      <c r="I118" s="533"/>
      <c r="J118" s="2390" t="s">
        <v>2786</v>
      </c>
      <c r="K118" s="2391"/>
      <c r="L118" s="2391"/>
      <c r="M118" s="2391"/>
      <c r="N118" s="2392"/>
      <c r="O118" s="2392"/>
      <c r="P118" s="2392"/>
      <c r="Q118" s="2395">
        <v>30</v>
      </c>
      <c r="R118" s="1778" t="s">
        <v>2787</v>
      </c>
      <c r="S118" s="727">
        <v>10000</v>
      </c>
      <c r="T118" s="516" t="s">
        <v>0</v>
      </c>
      <c r="U118" s="516"/>
      <c r="V118" s="516">
        <v>1</v>
      </c>
      <c r="W118" s="516" t="s">
        <v>3</v>
      </c>
      <c r="X118" s="517" t="s">
        <v>1</v>
      </c>
      <c r="Y118" s="2394">
        <f t="shared" si="13"/>
        <v>300</v>
      </c>
      <c r="Z118" s="637">
        <f>Q118*S118*V118</f>
        <v>300000</v>
      </c>
      <c r="AA118" s="275"/>
      <c r="AB118" s="275"/>
      <c r="AC118" s="275"/>
    </row>
    <row r="119" spans="1:29" s="2305" customFormat="1" ht="22.5" customHeight="1">
      <c r="A119" s="2303"/>
      <c r="B119" s="1145"/>
      <c r="C119" s="470"/>
      <c r="D119" s="2397"/>
      <c r="E119" s="620" t="s">
        <v>2788</v>
      </c>
      <c r="F119" s="598">
        <f t="shared" si="17"/>
        <v>300</v>
      </c>
      <c r="G119" s="863">
        <v>300</v>
      </c>
      <c r="H119" s="767"/>
      <c r="I119" s="533"/>
      <c r="J119" s="2390" t="s">
        <v>786</v>
      </c>
      <c r="K119" s="2391"/>
      <c r="L119" s="2391"/>
      <c r="M119" s="2391"/>
      <c r="N119" s="2392"/>
      <c r="O119" s="2392"/>
      <c r="P119" s="2392"/>
      <c r="Q119" s="2395">
        <v>5</v>
      </c>
      <c r="R119" s="1778" t="s">
        <v>123</v>
      </c>
      <c r="S119" s="1686">
        <v>10000</v>
      </c>
      <c r="T119" s="516" t="s">
        <v>0</v>
      </c>
      <c r="U119" s="516" t="s">
        <v>19</v>
      </c>
      <c r="V119" s="516">
        <v>6</v>
      </c>
      <c r="W119" s="516" t="s">
        <v>3</v>
      </c>
      <c r="X119" s="517" t="s">
        <v>1</v>
      </c>
      <c r="Y119" s="2394">
        <f t="shared" si="13"/>
        <v>300</v>
      </c>
      <c r="Z119" s="637">
        <f t="shared" ref="Z119" si="18">Q119*S119*V119</f>
        <v>300000</v>
      </c>
      <c r="AA119" s="275"/>
      <c r="AB119" s="275"/>
      <c r="AC119" s="275"/>
    </row>
    <row r="120" spans="1:29" s="2278" customFormat="1" ht="22.5" customHeight="1">
      <c r="A120" s="2274"/>
      <c r="B120" s="1145"/>
      <c r="C120" s="470"/>
      <c r="D120" s="3358" t="s">
        <v>2789</v>
      </c>
      <c r="E120" s="3359"/>
      <c r="F120" s="1165">
        <f>SUM(F121:F128)</f>
        <v>60000</v>
      </c>
      <c r="G120" s="1165">
        <f>SUM(G121:G128)</f>
        <v>60000</v>
      </c>
      <c r="H120" s="689">
        <f t="shared" ref="H120" si="19">F120-G120</f>
        <v>0</v>
      </c>
      <c r="I120" s="533"/>
      <c r="J120" s="2398"/>
      <c r="K120" s="2399"/>
      <c r="L120" s="2399"/>
      <c r="M120" s="2399"/>
      <c r="N120" s="2399"/>
      <c r="O120" s="2399"/>
      <c r="P120" s="2399"/>
      <c r="Q120" s="693"/>
      <c r="R120" s="2400"/>
      <c r="S120" s="2384"/>
      <c r="T120" s="2400"/>
      <c r="U120" s="2384"/>
      <c r="V120" s="2400"/>
      <c r="W120" s="2384"/>
      <c r="X120" s="2384"/>
      <c r="Y120" s="695"/>
      <c r="Z120" s="696">
        <v>0</v>
      </c>
      <c r="AA120" s="275"/>
      <c r="AB120" s="275"/>
      <c r="AC120" s="275"/>
    </row>
    <row r="121" spans="1:29" s="2305" customFormat="1" ht="22.5" customHeight="1">
      <c r="A121" s="2303"/>
      <c r="B121" s="1145"/>
      <c r="C121" s="1126"/>
      <c r="D121" s="2396"/>
      <c r="E121" s="508" t="s">
        <v>51</v>
      </c>
      <c r="F121" s="598">
        <f t="shared" ref="F121:F123" si="20">+Y121</f>
        <v>42000</v>
      </c>
      <c r="G121" s="1689">
        <v>42000</v>
      </c>
      <c r="H121" s="767"/>
      <c r="I121" s="533"/>
      <c r="J121" s="2390" t="s">
        <v>772</v>
      </c>
      <c r="K121" s="2391"/>
      <c r="L121" s="2391"/>
      <c r="M121" s="2391"/>
      <c r="N121" s="2392"/>
      <c r="O121" s="2392"/>
      <c r="P121" s="2392"/>
      <c r="Q121" s="2393" t="s">
        <v>2790</v>
      </c>
      <c r="R121" s="1778" t="s">
        <v>2791</v>
      </c>
      <c r="S121" s="727">
        <v>20000</v>
      </c>
      <c r="T121" s="516" t="s">
        <v>0</v>
      </c>
      <c r="U121" s="516"/>
      <c r="V121" s="516">
        <v>700</v>
      </c>
      <c r="W121" s="516" t="s">
        <v>63</v>
      </c>
      <c r="X121" s="517" t="s">
        <v>1</v>
      </c>
      <c r="Y121" s="2394">
        <f t="shared" ref="Y121:Y128" si="21">+Z121/1000</f>
        <v>42000</v>
      </c>
      <c r="Z121" s="637">
        <f>S121*V121*Q121</f>
        <v>42000000</v>
      </c>
      <c r="AA121" s="275"/>
      <c r="AB121" s="275"/>
      <c r="AC121" s="275"/>
    </row>
    <row r="122" spans="1:29" s="2305" customFormat="1" ht="22.5" customHeight="1">
      <c r="A122" s="2303"/>
      <c r="B122" s="1145"/>
      <c r="C122" s="1126"/>
      <c r="D122" s="1684"/>
      <c r="E122" s="508" t="s">
        <v>73</v>
      </c>
      <c r="F122" s="598">
        <f t="shared" si="20"/>
        <v>500</v>
      </c>
      <c r="G122" s="767">
        <v>500</v>
      </c>
      <c r="H122" s="767"/>
      <c r="I122" s="533"/>
      <c r="J122" s="2390" t="s">
        <v>773</v>
      </c>
      <c r="K122" s="2391"/>
      <c r="L122" s="2391"/>
      <c r="M122" s="2391"/>
      <c r="N122" s="2392"/>
      <c r="O122" s="2392"/>
      <c r="P122" s="2392"/>
      <c r="Q122" s="2393"/>
      <c r="R122" s="1778"/>
      <c r="S122" s="1686">
        <v>500000</v>
      </c>
      <c r="T122" s="1685" t="s">
        <v>0</v>
      </c>
      <c r="U122" s="1685"/>
      <c r="V122" s="1685">
        <v>1</v>
      </c>
      <c r="W122" s="1685" t="s">
        <v>3</v>
      </c>
      <c r="X122" s="1687" t="s">
        <v>1</v>
      </c>
      <c r="Y122" s="2394">
        <f t="shared" si="21"/>
        <v>500</v>
      </c>
      <c r="Z122" s="637">
        <f t="shared" ref="Z122" si="22">S122*V122</f>
        <v>500000</v>
      </c>
      <c r="AA122" s="275"/>
      <c r="AB122" s="275"/>
      <c r="AC122" s="275"/>
    </row>
    <row r="123" spans="1:29" s="2305" customFormat="1" ht="22.5" customHeight="1">
      <c r="A123" s="2303"/>
      <c r="B123" s="1145"/>
      <c r="C123" s="1126"/>
      <c r="D123" s="1684"/>
      <c r="E123" s="508" t="s">
        <v>52</v>
      </c>
      <c r="F123" s="598">
        <f t="shared" si="20"/>
        <v>10000</v>
      </c>
      <c r="G123" s="767">
        <v>10000</v>
      </c>
      <c r="H123" s="767"/>
      <c r="I123" s="533"/>
      <c r="J123" s="2390" t="s">
        <v>8</v>
      </c>
      <c r="K123" s="2391"/>
      <c r="L123" s="2391"/>
      <c r="M123" s="2391"/>
      <c r="N123" s="2392"/>
      <c r="O123" s="2392"/>
      <c r="P123" s="2392"/>
      <c r="Q123" s="2393"/>
      <c r="R123" s="1778"/>
      <c r="S123" s="1778" t="s">
        <v>19</v>
      </c>
      <c r="T123" s="516" t="s">
        <v>19</v>
      </c>
      <c r="U123" s="516" t="s">
        <v>19</v>
      </c>
      <c r="V123" s="516" t="s">
        <v>19</v>
      </c>
      <c r="W123" s="516" t="s">
        <v>19</v>
      </c>
      <c r="X123" s="517" t="s">
        <v>19</v>
      </c>
      <c r="Y123" s="2394">
        <f t="shared" si="21"/>
        <v>10000</v>
      </c>
      <c r="Z123" s="2372">
        <f>SUM(Z124:Z125)</f>
        <v>10000000</v>
      </c>
      <c r="AA123" s="275"/>
      <c r="AB123" s="275"/>
      <c r="AC123" s="275"/>
    </row>
    <row r="124" spans="1:29" s="2305" customFormat="1" ht="22.5" customHeight="1">
      <c r="A124" s="2303"/>
      <c r="B124" s="1145"/>
      <c r="C124" s="1126"/>
      <c r="D124" s="1684"/>
      <c r="E124" s="508"/>
      <c r="F124" s="767"/>
      <c r="G124" s="767"/>
      <c r="H124" s="767"/>
      <c r="I124" s="533"/>
      <c r="J124" s="2390" t="s">
        <v>779</v>
      </c>
      <c r="K124" s="2391"/>
      <c r="L124" s="2391"/>
      <c r="M124" s="2391"/>
      <c r="N124" s="2392"/>
      <c r="O124" s="2392"/>
      <c r="P124" s="2392"/>
      <c r="Q124" s="2395"/>
      <c r="R124" s="1778"/>
      <c r="S124" s="1686">
        <v>50000</v>
      </c>
      <c r="T124" s="1685" t="s">
        <v>0</v>
      </c>
      <c r="U124" s="1685"/>
      <c r="V124" s="2395">
        <v>140</v>
      </c>
      <c r="W124" s="1778" t="s">
        <v>305</v>
      </c>
      <c r="X124" s="1687" t="s">
        <v>1</v>
      </c>
      <c r="Y124" s="2394">
        <f t="shared" si="21"/>
        <v>7000</v>
      </c>
      <c r="Z124" s="637">
        <f>S124*V124</f>
        <v>7000000</v>
      </c>
      <c r="AA124" s="275"/>
      <c r="AB124" s="275"/>
      <c r="AC124" s="275"/>
    </row>
    <row r="125" spans="1:29" s="2305" customFormat="1" ht="22.5" customHeight="1">
      <c r="A125" s="2303"/>
      <c r="B125" s="1145"/>
      <c r="C125" s="1126"/>
      <c r="D125" s="1684"/>
      <c r="E125" s="508"/>
      <c r="F125" s="767"/>
      <c r="G125" s="767"/>
      <c r="H125" s="767"/>
      <c r="I125" s="533"/>
      <c r="J125" s="2390" t="s">
        <v>780</v>
      </c>
      <c r="K125" s="2391"/>
      <c r="L125" s="2391"/>
      <c r="M125" s="2391"/>
      <c r="N125" s="2392"/>
      <c r="O125" s="2392"/>
      <c r="P125" s="2392"/>
      <c r="Q125" s="2395"/>
      <c r="R125" s="1778"/>
      <c r="S125" s="1686">
        <v>30000</v>
      </c>
      <c r="T125" s="1685" t="s">
        <v>0</v>
      </c>
      <c r="U125" s="1685"/>
      <c r="V125" s="2395">
        <v>100</v>
      </c>
      <c r="W125" s="1778" t="s">
        <v>305</v>
      </c>
      <c r="X125" s="1687" t="s">
        <v>1</v>
      </c>
      <c r="Y125" s="2394">
        <f t="shared" si="21"/>
        <v>3000</v>
      </c>
      <c r="Z125" s="637">
        <f t="shared" ref="Z125" si="23">S125*V125</f>
        <v>3000000</v>
      </c>
      <c r="AA125" s="275"/>
      <c r="AB125" s="275"/>
      <c r="AC125" s="275"/>
    </row>
    <row r="126" spans="1:29" s="2305" customFormat="1" ht="22.5" customHeight="1">
      <c r="A126" s="2303"/>
      <c r="B126" s="1145"/>
      <c r="C126" s="1126"/>
      <c r="D126" s="1684"/>
      <c r="E126" s="508" t="s">
        <v>2792</v>
      </c>
      <c r="F126" s="598">
        <f t="shared" ref="F126:F128" si="24">+Y126</f>
        <v>6000</v>
      </c>
      <c r="G126" s="767">
        <v>6000</v>
      </c>
      <c r="H126" s="767"/>
      <c r="I126" s="533"/>
      <c r="J126" s="2390" t="s">
        <v>2793</v>
      </c>
      <c r="K126" s="2391"/>
      <c r="L126" s="2391"/>
      <c r="M126" s="2391"/>
      <c r="N126" s="2392"/>
      <c r="O126" s="2392"/>
      <c r="P126" s="2392"/>
      <c r="Q126" s="2395">
        <v>3</v>
      </c>
      <c r="R126" s="1778" t="s">
        <v>2791</v>
      </c>
      <c r="S126" s="727">
        <v>2000000</v>
      </c>
      <c r="T126" s="516" t="s">
        <v>0</v>
      </c>
      <c r="U126" s="516"/>
      <c r="V126" s="516">
        <v>1</v>
      </c>
      <c r="W126" s="516" t="s">
        <v>3</v>
      </c>
      <c r="X126" s="517" t="s">
        <v>1</v>
      </c>
      <c r="Y126" s="2394">
        <f t="shared" si="21"/>
        <v>6000</v>
      </c>
      <c r="Z126" s="637">
        <f>Q126*S126*V126</f>
        <v>6000000</v>
      </c>
      <c r="AA126" s="275"/>
      <c r="AB126" s="275"/>
      <c r="AC126" s="275"/>
    </row>
    <row r="127" spans="1:29" s="2305" customFormat="1" ht="22.5" customHeight="1">
      <c r="A127" s="2303"/>
      <c r="B127" s="1145"/>
      <c r="C127" s="1126"/>
      <c r="D127" s="1684"/>
      <c r="E127" s="508" t="s">
        <v>54</v>
      </c>
      <c r="F127" s="598">
        <f t="shared" si="24"/>
        <v>1000</v>
      </c>
      <c r="G127" s="767">
        <v>1000</v>
      </c>
      <c r="H127" s="767"/>
      <c r="I127" s="533"/>
      <c r="J127" s="2390" t="s">
        <v>2786</v>
      </c>
      <c r="K127" s="2391"/>
      <c r="L127" s="2391"/>
      <c r="M127" s="2391"/>
      <c r="N127" s="2392"/>
      <c r="O127" s="2392"/>
      <c r="P127" s="2392"/>
      <c r="Q127" s="2395">
        <v>1</v>
      </c>
      <c r="R127" s="1778" t="s">
        <v>2787</v>
      </c>
      <c r="S127" s="727">
        <v>10000</v>
      </c>
      <c r="T127" s="516" t="s">
        <v>0</v>
      </c>
      <c r="U127" s="516"/>
      <c r="V127" s="516">
        <v>100</v>
      </c>
      <c r="W127" s="516" t="s">
        <v>3</v>
      </c>
      <c r="X127" s="517" t="s">
        <v>1</v>
      </c>
      <c r="Y127" s="2394">
        <f t="shared" si="21"/>
        <v>1000</v>
      </c>
      <c r="Z127" s="637">
        <f>Q127*S127*V127</f>
        <v>1000000</v>
      </c>
      <c r="AA127" s="275"/>
      <c r="AB127" s="275"/>
      <c r="AC127" s="275"/>
    </row>
    <row r="128" spans="1:29" s="2305" customFormat="1" ht="22.5" customHeight="1">
      <c r="A128" s="2303"/>
      <c r="B128" s="1145"/>
      <c r="C128" s="359"/>
      <c r="D128" s="2397"/>
      <c r="E128" s="620" t="s">
        <v>2788</v>
      </c>
      <c r="F128" s="598">
        <f t="shared" si="24"/>
        <v>500</v>
      </c>
      <c r="G128" s="863">
        <v>500</v>
      </c>
      <c r="H128" s="767"/>
      <c r="I128" s="533"/>
      <c r="J128" s="2390" t="s">
        <v>3663</v>
      </c>
      <c r="K128" s="2391"/>
      <c r="L128" s="2391"/>
      <c r="M128" s="2391"/>
      <c r="N128" s="2392"/>
      <c r="O128" s="2392"/>
      <c r="P128" s="2392"/>
      <c r="Q128" s="2395">
        <v>5</v>
      </c>
      <c r="R128" s="1778" t="s">
        <v>123</v>
      </c>
      <c r="S128" s="1686">
        <v>10000</v>
      </c>
      <c r="T128" s="516" t="s">
        <v>0</v>
      </c>
      <c r="U128" s="516" t="s">
        <v>19</v>
      </c>
      <c r="V128" s="516">
        <v>10</v>
      </c>
      <c r="W128" s="516" t="s">
        <v>3</v>
      </c>
      <c r="X128" s="517" t="s">
        <v>1</v>
      </c>
      <c r="Y128" s="2394">
        <f t="shared" si="21"/>
        <v>500</v>
      </c>
      <c r="Z128" s="637">
        <f t="shared" ref="Z128" si="25">Q128*S128*V128</f>
        <v>500000</v>
      </c>
      <c r="AA128" s="275"/>
      <c r="AB128" s="275"/>
      <c r="AC128" s="275"/>
    </row>
    <row r="129" spans="1:29" s="2278" customFormat="1" ht="21" customHeight="1">
      <c r="A129" s="2274"/>
      <c r="B129" s="1145"/>
      <c r="C129" s="2276" t="s">
        <v>2467</v>
      </c>
      <c r="D129" s="2276"/>
      <c r="E129" s="2273"/>
      <c r="F129" s="373">
        <f>+F130+F150+F181</f>
        <v>294015.59999999998</v>
      </c>
      <c r="G129" s="373">
        <f>+G130+G150+G181</f>
        <v>294016</v>
      </c>
      <c r="H129" s="1132">
        <f>F129-G129</f>
        <v>-0.40000000002328306</v>
      </c>
      <c r="I129" s="473"/>
      <c r="J129" s="796"/>
      <c r="K129" s="2014"/>
      <c r="L129" s="2014"/>
      <c r="M129" s="2014"/>
      <c r="N129" s="797"/>
      <c r="O129" s="797"/>
      <c r="P129" s="797"/>
      <c r="Q129" s="1983"/>
      <c r="R129" s="462"/>
      <c r="S129" s="399"/>
      <c r="T129" s="462"/>
      <c r="U129" s="462"/>
      <c r="V129" s="462"/>
      <c r="W129" s="462"/>
      <c r="X129" s="430"/>
      <c r="Y129" s="801"/>
      <c r="Z129" s="2015">
        <f>SUM(Z102:Z106)</f>
        <v>17500000</v>
      </c>
      <c r="AA129" s="275"/>
      <c r="AB129" s="275"/>
      <c r="AC129" s="275"/>
    </row>
    <row r="130" spans="1:29" s="2278" customFormat="1" ht="21" customHeight="1">
      <c r="A130" s="2274"/>
      <c r="B130" s="1145"/>
      <c r="C130" s="470"/>
      <c r="D130" s="2738" t="s">
        <v>316</v>
      </c>
      <c r="E130" s="2739"/>
      <c r="F130" s="863">
        <f>SUM(F131:F149)</f>
        <v>85000</v>
      </c>
      <c r="G130" s="863">
        <f>SUM(G131:G149)</f>
        <v>85000</v>
      </c>
      <c r="H130" s="689">
        <f>F130-G130</f>
        <v>0</v>
      </c>
      <c r="I130" s="533"/>
      <c r="J130" s="2398"/>
      <c r="K130" s="2399"/>
      <c r="L130" s="2399"/>
      <c r="M130" s="2399"/>
      <c r="N130" s="2399"/>
      <c r="O130" s="2399"/>
      <c r="P130" s="2399"/>
      <c r="Q130" s="693"/>
      <c r="R130" s="2400"/>
      <c r="S130" s="2384"/>
      <c r="T130" s="2400"/>
      <c r="U130" s="2384"/>
      <c r="V130" s="2400"/>
      <c r="W130" s="2384"/>
      <c r="X130" s="2384"/>
      <c r="Y130" s="695"/>
      <c r="Z130" s="696" t="e">
        <f>Z131+#REF!+#REF!+Z132+Z133+Z136+Z139+Z148+Z149</f>
        <v>#REF!</v>
      </c>
      <c r="AA130" s="275"/>
      <c r="AB130" s="275"/>
      <c r="AC130" s="275"/>
    </row>
    <row r="131" spans="1:29" s="2278" customFormat="1" ht="21" customHeight="1">
      <c r="A131" s="2274"/>
      <c r="B131" s="1145"/>
      <c r="C131" s="470"/>
      <c r="D131" s="2422"/>
      <c r="E131" s="508" t="s">
        <v>461</v>
      </c>
      <c r="F131" s="697">
        <f>Y131</f>
        <v>1200</v>
      </c>
      <c r="G131" s="767">
        <v>1200</v>
      </c>
      <c r="H131" s="2382"/>
      <c r="I131" s="533"/>
      <c r="J131" s="2390" t="s">
        <v>4807</v>
      </c>
      <c r="K131" s="2391"/>
      <c r="L131" s="2391"/>
      <c r="M131" s="2391"/>
      <c r="N131" s="2392"/>
      <c r="O131" s="2392"/>
      <c r="P131" s="2392"/>
      <c r="Q131" s="2393" t="s">
        <v>586</v>
      </c>
      <c r="R131" s="2756" t="s">
        <v>123</v>
      </c>
      <c r="S131" s="1686">
        <v>75000</v>
      </c>
      <c r="T131" s="1685" t="s">
        <v>0</v>
      </c>
      <c r="U131" s="1685"/>
      <c r="V131" s="1685">
        <v>8</v>
      </c>
      <c r="W131" s="1685" t="s">
        <v>693</v>
      </c>
      <c r="X131" s="1687" t="s">
        <v>1</v>
      </c>
      <c r="Y131" s="2394">
        <f t="shared" ref="Y131" si="26">+Z131/1000</f>
        <v>1200</v>
      </c>
      <c r="Z131" s="637">
        <f>Q131*S131*V131</f>
        <v>1200000</v>
      </c>
      <c r="AA131" s="275"/>
      <c r="AB131" s="275"/>
      <c r="AC131" s="275"/>
    </row>
    <row r="132" spans="1:29" s="2278" customFormat="1" ht="21" customHeight="1">
      <c r="A132" s="2274"/>
      <c r="B132" s="1145"/>
      <c r="C132" s="470"/>
      <c r="D132" s="508"/>
      <c r="E132" s="508" t="s">
        <v>24</v>
      </c>
      <c r="F132" s="697">
        <f t="shared" ref="F132:F133" si="27">+Y132</f>
        <v>2500</v>
      </c>
      <c r="G132" s="767">
        <v>2500</v>
      </c>
      <c r="H132" s="2382"/>
      <c r="I132" s="533"/>
      <c r="J132" s="2390" t="s">
        <v>789</v>
      </c>
      <c r="K132" s="2391"/>
      <c r="L132" s="2391"/>
      <c r="M132" s="2391"/>
      <c r="N132" s="2392"/>
      <c r="O132" s="2392"/>
      <c r="P132" s="2392"/>
      <c r="Q132" s="2393"/>
      <c r="R132" s="2721"/>
      <c r="S132" s="1686">
        <v>2500000</v>
      </c>
      <c r="T132" s="1685" t="s">
        <v>0</v>
      </c>
      <c r="U132" s="1685"/>
      <c r="V132" s="1685">
        <v>1</v>
      </c>
      <c r="W132" s="1685" t="s">
        <v>4699</v>
      </c>
      <c r="X132" s="1687" t="s">
        <v>1</v>
      </c>
      <c r="Y132" s="2394">
        <f t="shared" ref="Y132:Y149" si="28">+Z132/1000</f>
        <v>2500</v>
      </c>
      <c r="Z132" s="637">
        <f>S132*V132</f>
        <v>2500000</v>
      </c>
      <c r="AA132" s="275"/>
      <c r="AB132" s="275"/>
      <c r="AC132" s="275"/>
    </row>
    <row r="133" spans="1:29" s="2278" customFormat="1" ht="21" customHeight="1">
      <c r="A133" s="2274"/>
      <c r="B133" s="1145"/>
      <c r="C133" s="470"/>
      <c r="D133" s="508"/>
      <c r="E133" s="508" t="s">
        <v>4700</v>
      </c>
      <c r="F133" s="697">
        <f t="shared" si="27"/>
        <v>4800</v>
      </c>
      <c r="G133" s="767">
        <v>4800</v>
      </c>
      <c r="H133" s="2382"/>
      <c r="I133" s="533"/>
      <c r="J133" s="2390" t="s">
        <v>4701</v>
      </c>
      <c r="K133" s="2391"/>
      <c r="L133" s="2391"/>
      <c r="M133" s="2391"/>
      <c r="N133" s="2392"/>
      <c r="O133" s="2392"/>
      <c r="P133" s="2392"/>
      <c r="Q133" s="2393"/>
      <c r="R133" s="2721"/>
      <c r="S133" s="1686">
        <v>480000</v>
      </c>
      <c r="T133" s="1685" t="s">
        <v>0</v>
      </c>
      <c r="U133" s="1685"/>
      <c r="V133" s="1685">
        <v>10</v>
      </c>
      <c r="W133" s="1685" t="s">
        <v>4699</v>
      </c>
      <c r="X133" s="1687" t="s">
        <v>1</v>
      </c>
      <c r="Y133" s="2394">
        <f t="shared" si="28"/>
        <v>4800</v>
      </c>
      <c r="Z133" s="637">
        <f>S133*V133</f>
        <v>4800000</v>
      </c>
      <c r="AA133" s="275"/>
      <c r="AB133" s="275"/>
      <c r="AC133" s="275"/>
    </row>
    <row r="134" spans="1:29" s="2278" customFormat="1" ht="21" customHeight="1">
      <c r="A134" s="2274"/>
      <c r="B134" s="1145"/>
      <c r="C134" s="470"/>
      <c r="D134" s="508"/>
      <c r="E134" s="508" t="s">
        <v>75</v>
      </c>
      <c r="F134" s="697">
        <f>Y134</f>
        <v>12000</v>
      </c>
      <c r="G134" s="767">
        <v>12000</v>
      </c>
      <c r="H134" s="2382"/>
      <c r="I134" s="533"/>
      <c r="J134" s="2390" t="s">
        <v>8</v>
      </c>
      <c r="K134" s="2391"/>
      <c r="L134" s="2391"/>
      <c r="M134" s="2391"/>
      <c r="N134" s="2392"/>
      <c r="O134" s="2392"/>
      <c r="P134" s="2392"/>
      <c r="Q134" s="2393"/>
      <c r="R134" s="2721"/>
      <c r="S134" s="2721"/>
      <c r="T134" s="516" t="s">
        <v>19</v>
      </c>
      <c r="U134" s="516" t="s">
        <v>19</v>
      </c>
      <c r="V134" s="516" t="s">
        <v>19</v>
      </c>
      <c r="W134" s="516" t="s">
        <v>19</v>
      </c>
      <c r="X134" s="517" t="s">
        <v>19</v>
      </c>
      <c r="Y134" s="2394">
        <f t="shared" si="28"/>
        <v>12000</v>
      </c>
      <c r="Z134" s="2372">
        <f>SUM(Z135:Z136)</f>
        <v>12000000</v>
      </c>
      <c r="AA134" s="275"/>
      <c r="AB134" s="275"/>
      <c r="AC134" s="275"/>
    </row>
    <row r="135" spans="1:29" s="2278" customFormat="1" ht="21" customHeight="1">
      <c r="A135" s="2274"/>
      <c r="B135" s="1145"/>
      <c r="C135" s="470"/>
      <c r="D135" s="508"/>
      <c r="E135" s="508"/>
      <c r="F135" s="697"/>
      <c r="G135" s="767"/>
      <c r="H135" s="2382"/>
      <c r="I135" s="533"/>
      <c r="J135" s="2390" t="s">
        <v>5883</v>
      </c>
      <c r="K135" s="2391"/>
      <c r="L135" s="2391"/>
      <c r="M135" s="2391"/>
      <c r="N135" s="2392"/>
      <c r="O135" s="2392"/>
      <c r="P135" s="2392"/>
      <c r="Q135" s="2393"/>
      <c r="R135" s="2721"/>
      <c r="S135" s="1686">
        <v>500000</v>
      </c>
      <c r="T135" s="1685" t="s">
        <v>0</v>
      </c>
      <c r="U135" s="1685"/>
      <c r="V135" s="1685">
        <v>12</v>
      </c>
      <c r="W135" s="1685" t="s">
        <v>2</v>
      </c>
      <c r="X135" s="1687" t="s">
        <v>1</v>
      </c>
      <c r="Y135" s="2394">
        <f t="shared" si="28"/>
        <v>6000</v>
      </c>
      <c r="Z135" s="637">
        <f>S135*V135</f>
        <v>6000000</v>
      </c>
      <c r="AA135" s="275"/>
      <c r="AB135" s="275"/>
      <c r="AC135" s="275"/>
    </row>
    <row r="136" spans="1:29" s="2278" customFormat="1" ht="21" customHeight="1">
      <c r="A136" s="2274"/>
      <c r="B136" s="1145"/>
      <c r="C136" s="470"/>
      <c r="D136" s="2422"/>
      <c r="E136" s="508"/>
      <c r="F136" s="697"/>
      <c r="G136" s="767"/>
      <c r="H136" s="2382"/>
      <c r="I136" s="533"/>
      <c r="J136" s="2390" t="s">
        <v>5884</v>
      </c>
      <c r="K136" s="2391"/>
      <c r="L136" s="2391"/>
      <c r="M136" s="2391"/>
      <c r="N136" s="2392"/>
      <c r="O136" s="2392"/>
      <c r="P136" s="2392"/>
      <c r="Q136" s="2393"/>
      <c r="R136" s="2721"/>
      <c r="S136" s="1686">
        <v>500000</v>
      </c>
      <c r="T136" s="1685" t="s">
        <v>0</v>
      </c>
      <c r="U136" s="1685"/>
      <c r="V136" s="1685">
        <v>12</v>
      </c>
      <c r="W136" s="1685" t="s">
        <v>2</v>
      </c>
      <c r="X136" s="1687" t="s">
        <v>1</v>
      </c>
      <c r="Y136" s="2394">
        <f t="shared" si="28"/>
        <v>6000</v>
      </c>
      <c r="Z136" s="637">
        <f>S136*V136</f>
        <v>6000000</v>
      </c>
      <c r="AA136" s="275"/>
      <c r="AB136" s="275"/>
      <c r="AC136" s="275"/>
    </row>
    <row r="137" spans="1:29" ht="21" customHeight="1">
      <c r="A137" s="2274"/>
      <c r="B137" s="1145"/>
      <c r="C137" s="470"/>
      <c r="D137" s="2422"/>
      <c r="E137" s="508" t="s">
        <v>52</v>
      </c>
      <c r="F137" s="697">
        <f>Y137</f>
        <v>9000</v>
      </c>
      <c r="G137" s="767">
        <v>9000</v>
      </c>
      <c r="H137" s="2382"/>
      <c r="I137" s="533"/>
      <c r="J137" s="2390" t="s">
        <v>8</v>
      </c>
      <c r="K137" s="2391"/>
      <c r="L137" s="2391"/>
      <c r="M137" s="2391"/>
      <c r="N137" s="2392"/>
      <c r="O137" s="2392"/>
      <c r="P137" s="2392"/>
      <c r="Q137" s="2393"/>
      <c r="R137" s="2721"/>
      <c r="S137" s="2721"/>
      <c r="T137" s="516" t="s">
        <v>19</v>
      </c>
      <c r="U137" s="516" t="s">
        <v>19</v>
      </c>
      <c r="V137" s="516" t="s">
        <v>19</v>
      </c>
      <c r="W137" s="516" t="s">
        <v>19</v>
      </c>
      <c r="X137" s="517" t="s">
        <v>19</v>
      </c>
      <c r="Y137" s="2394">
        <f t="shared" si="28"/>
        <v>9000</v>
      </c>
      <c r="Z137" s="2372">
        <f>SUM(Z138:Z139)</f>
        <v>9000000</v>
      </c>
      <c r="AA137" s="275"/>
    </row>
    <row r="138" spans="1:29" ht="21" customHeight="1">
      <c r="A138" s="2274"/>
      <c r="B138" s="1145"/>
      <c r="C138" s="470"/>
      <c r="D138" s="508"/>
      <c r="E138" s="508"/>
      <c r="F138" s="697"/>
      <c r="G138" s="767"/>
      <c r="H138" s="2382"/>
      <c r="I138" s="533"/>
      <c r="J138" s="2390" t="s">
        <v>2798</v>
      </c>
      <c r="K138" s="2391"/>
      <c r="L138" s="2391"/>
      <c r="M138" s="2391"/>
      <c r="N138" s="2392"/>
      <c r="O138" s="2392"/>
      <c r="P138" s="2392"/>
      <c r="Q138" s="2395"/>
      <c r="R138" s="2721"/>
      <c r="S138" s="1686">
        <v>50000</v>
      </c>
      <c r="T138" s="1685" t="s">
        <v>0</v>
      </c>
      <c r="U138" s="1685"/>
      <c r="V138" s="1685">
        <v>100</v>
      </c>
      <c r="W138" s="1685" t="s">
        <v>305</v>
      </c>
      <c r="X138" s="1687" t="s">
        <v>1</v>
      </c>
      <c r="Y138" s="2394">
        <f t="shared" si="28"/>
        <v>5000</v>
      </c>
      <c r="Z138" s="637">
        <f>S138*V138</f>
        <v>5000000</v>
      </c>
      <c r="AA138" s="275"/>
    </row>
    <row r="139" spans="1:29" ht="21" customHeight="1">
      <c r="A139" s="2274"/>
      <c r="B139" s="1145"/>
      <c r="C139" s="470"/>
      <c r="D139" s="2422"/>
      <c r="E139" s="508"/>
      <c r="F139" s="697"/>
      <c r="G139" s="767"/>
      <c r="H139" s="2382"/>
      <c r="I139" s="533"/>
      <c r="J139" s="2390" t="s">
        <v>5882</v>
      </c>
      <c r="K139" s="2391"/>
      <c r="L139" s="2391"/>
      <c r="M139" s="2391"/>
      <c r="N139" s="2392"/>
      <c r="O139" s="2392"/>
      <c r="P139" s="2392"/>
      <c r="Q139" s="2393"/>
      <c r="R139" s="2721"/>
      <c r="S139" s="1686">
        <v>1000000</v>
      </c>
      <c r="T139" s="1685" t="s">
        <v>0</v>
      </c>
      <c r="U139" s="1685"/>
      <c r="V139" s="1685">
        <v>4</v>
      </c>
      <c r="W139" s="1685" t="s">
        <v>4699</v>
      </c>
      <c r="X139" s="1687" t="s">
        <v>1</v>
      </c>
      <c r="Y139" s="2394">
        <v>4000</v>
      </c>
      <c r="Z139" s="637">
        <f>S139*V139</f>
        <v>4000000</v>
      </c>
      <c r="AA139" s="275"/>
    </row>
    <row r="140" spans="1:29" ht="21" customHeight="1">
      <c r="A140" s="2274"/>
      <c r="B140" s="1145"/>
      <c r="C140" s="470"/>
      <c r="D140" s="2422"/>
      <c r="E140" s="508" t="s">
        <v>65</v>
      </c>
      <c r="F140" s="697">
        <f>Y140</f>
        <v>48000</v>
      </c>
      <c r="G140" s="767">
        <v>48000</v>
      </c>
      <c r="H140" s="2382"/>
      <c r="I140" s="533"/>
      <c r="J140" s="2390" t="s">
        <v>8</v>
      </c>
      <c r="K140" s="2391"/>
      <c r="L140" s="2391"/>
      <c r="M140" s="2391"/>
      <c r="N140" s="2392"/>
      <c r="O140" s="2392"/>
      <c r="P140" s="2392"/>
      <c r="Q140" s="2393"/>
      <c r="R140" s="2721"/>
      <c r="S140" s="2721" t="s">
        <v>19</v>
      </c>
      <c r="T140" s="516" t="s">
        <v>19</v>
      </c>
      <c r="U140" s="516" t="s">
        <v>19</v>
      </c>
      <c r="V140" s="516" t="s">
        <v>19</v>
      </c>
      <c r="W140" s="516" t="s">
        <v>19</v>
      </c>
      <c r="X140" s="517" t="s">
        <v>19</v>
      </c>
      <c r="Y140" s="2394">
        <f t="shared" si="28"/>
        <v>48000</v>
      </c>
      <c r="Z140" s="2372">
        <f>SUM(Z141:Z146)</f>
        <v>48000000</v>
      </c>
      <c r="AA140" s="275"/>
    </row>
    <row r="141" spans="1:29" ht="21" customHeight="1">
      <c r="A141" s="2274"/>
      <c r="B141" s="1145"/>
      <c r="C141" s="470"/>
      <c r="D141" s="2422"/>
      <c r="E141" s="508"/>
      <c r="F141" s="697"/>
      <c r="G141" s="767"/>
      <c r="H141" s="2382"/>
      <c r="I141" s="533"/>
      <c r="J141" s="2390" t="s">
        <v>4702</v>
      </c>
      <c r="K141" s="2391"/>
      <c r="L141" s="2391"/>
      <c r="M141" s="2391"/>
      <c r="N141" s="2392"/>
      <c r="O141" s="2392"/>
      <c r="P141" s="2392"/>
      <c r="Q141" s="2393"/>
      <c r="R141" s="2721"/>
      <c r="S141" s="1686">
        <v>3000000</v>
      </c>
      <c r="T141" s="1685" t="s">
        <v>0</v>
      </c>
      <c r="U141" s="1685"/>
      <c r="V141" s="1685">
        <v>2</v>
      </c>
      <c r="W141" s="1685" t="s">
        <v>4699</v>
      </c>
      <c r="X141" s="1687" t="s">
        <v>1</v>
      </c>
      <c r="Y141" s="2394">
        <f t="shared" si="28"/>
        <v>6000</v>
      </c>
      <c r="Z141" s="637">
        <f t="shared" ref="Z141:Z148" si="29">S141*V141</f>
        <v>6000000</v>
      </c>
      <c r="AA141" s="275"/>
    </row>
    <row r="142" spans="1:29" ht="21" customHeight="1">
      <c r="A142" s="2722"/>
      <c r="B142" s="1145"/>
      <c r="C142" s="470"/>
      <c r="D142" s="2422"/>
      <c r="E142" s="508"/>
      <c r="F142" s="697"/>
      <c r="G142" s="767"/>
      <c r="H142" s="2382"/>
      <c r="I142" s="533"/>
      <c r="J142" s="2390" t="s">
        <v>4703</v>
      </c>
      <c r="K142" s="2391"/>
      <c r="L142" s="2391"/>
      <c r="M142" s="2391"/>
      <c r="N142" s="2392"/>
      <c r="O142" s="2392"/>
      <c r="P142" s="2392"/>
      <c r="Q142" s="2393"/>
      <c r="R142" s="2721"/>
      <c r="S142" s="1686">
        <v>20000000</v>
      </c>
      <c r="T142" s="1685" t="s">
        <v>0</v>
      </c>
      <c r="U142" s="1685"/>
      <c r="V142" s="1685">
        <v>1</v>
      </c>
      <c r="W142" s="1685" t="s">
        <v>3</v>
      </c>
      <c r="X142" s="1687" t="s">
        <v>1</v>
      </c>
      <c r="Y142" s="2394">
        <f t="shared" si="28"/>
        <v>20000</v>
      </c>
      <c r="Z142" s="637">
        <f t="shared" si="29"/>
        <v>20000000</v>
      </c>
      <c r="AA142" s="275"/>
    </row>
    <row r="143" spans="1:29" ht="21" customHeight="1">
      <c r="A143" s="2722"/>
      <c r="B143" s="1145"/>
      <c r="C143" s="470"/>
      <c r="D143" s="2422"/>
      <c r="E143" s="508"/>
      <c r="F143" s="697"/>
      <c r="G143" s="767"/>
      <c r="H143" s="2382"/>
      <c r="I143" s="533"/>
      <c r="J143" s="2390" t="s">
        <v>4704</v>
      </c>
      <c r="K143" s="2391"/>
      <c r="L143" s="2391"/>
      <c r="M143" s="2391"/>
      <c r="N143" s="2392"/>
      <c r="O143" s="2392"/>
      <c r="P143" s="2392"/>
      <c r="Q143" s="2393"/>
      <c r="R143" s="2721"/>
      <c r="S143" s="1686">
        <v>10000000</v>
      </c>
      <c r="T143" s="1685" t="s">
        <v>0</v>
      </c>
      <c r="U143" s="1685"/>
      <c r="V143" s="1685">
        <v>1</v>
      </c>
      <c r="W143" s="1685" t="s">
        <v>4705</v>
      </c>
      <c r="X143" s="1687" t="s">
        <v>1</v>
      </c>
      <c r="Y143" s="2394">
        <f t="shared" si="28"/>
        <v>10000</v>
      </c>
      <c r="Z143" s="637">
        <f t="shared" si="29"/>
        <v>10000000</v>
      </c>
      <c r="AA143" s="275"/>
    </row>
    <row r="144" spans="1:29" ht="21" customHeight="1">
      <c r="A144" s="2274"/>
      <c r="B144" s="1145"/>
      <c r="C144" s="470"/>
      <c r="D144" s="508"/>
      <c r="E144" s="508"/>
      <c r="F144" s="697"/>
      <c r="G144" s="767"/>
      <c r="H144" s="2382"/>
      <c r="I144" s="533"/>
      <c r="J144" s="2390" t="s">
        <v>4706</v>
      </c>
      <c r="K144" s="2391"/>
      <c r="L144" s="2391"/>
      <c r="M144" s="2391"/>
      <c r="N144" s="2392"/>
      <c r="O144" s="2392"/>
      <c r="P144" s="2392"/>
      <c r="Q144" s="2393"/>
      <c r="R144" s="2721"/>
      <c r="S144" s="1686">
        <v>6000000</v>
      </c>
      <c r="T144" s="1685" t="s">
        <v>4707</v>
      </c>
      <c r="U144" s="1685"/>
      <c r="V144" s="1685">
        <v>1</v>
      </c>
      <c r="W144" s="1685" t="s">
        <v>4705</v>
      </c>
      <c r="X144" s="1687"/>
      <c r="Y144" s="2394">
        <v>6000</v>
      </c>
      <c r="Z144" s="637">
        <f t="shared" si="29"/>
        <v>6000000</v>
      </c>
      <c r="AA144" s="275"/>
    </row>
    <row r="145" spans="1:29" s="2278" customFormat="1" ht="21" customHeight="1">
      <c r="A145" s="2274"/>
      <c r="B145" s="1145"/>
      <c r="C145" s="470"/>
      <c r="D145" s="2422"/>
      <c r="E145" s="508"/>
      <c r="F145" s="697"/>
      <c r="G145" s="767"/>
      <c r="H145" s="2382"/>
      <c r="I145" s="533"/>
      <c r="J145" s="2390" t="s">
        <v>4708</v>
      </c>
      <c r="K145" s="2391"/>
      <c r="L145" s="2391"/>
      <c r="M145" s="2391"/>
      <c r="N145" s="2392"/>
      <c r="O145" s="2392"/>
      <c r="P145" s="2392"/>
      <c r="Q145" s="2393"/>
      <c r="R145" s="2721"/>
      <c r="S145" s="1686">
        <v>2000000</v>
      </c>
      <c r="T145" s="1685" t="s">
        <v>4707</v>
      </c>
      <c r="U145" s="1685"/>
      <c r="V145" s="1685">
        <v>2</v>
      </c>
      <c r="W145" s="1685" t="s">
        <v>4705</v>
      </c>
      <c r="X145" s="1687"/>
      <c r="Y145" s="2394">
        <v>2000</v>
      </c>
      <c r="Z145" s="637">
        <f t="shared" si="29"/>
        <v>4000000</v>
      </c>
      <c r="AA145" s="275"/>
      <c r="AB145" s="275"/>
      <c r="AC145" s="275"/>
    </row>
    <row r="146" spans="1:29" s="2278" customFormat="1" ht="21" customHeight="1">
      <c r="A146" s="2274"/>
      <c r="B146" s="1145"/>
      <c r="C146" s="470"/>
      <c r="D146" s="2422"/>
      <c r="E146" s="508"/>
      <c r="F146" s="697"/>
      <c r="G146" s="767"/>
      <c r="H146" s="2382"/>
      <c r="I146" s="533"/>
      <c r="J146" s="2390" t="s">
        <v>4709</v>
      </c>
      <c r="K146" s="2391"/>
      <c r="L146" s="2391"/>
      <c r="M146" s="2391"/>
      <c r="N146" s="2392"/>
      <c r="O146" s="2392"/>
      <c r="P146" s="2392"/>
      <c r="Q146" s="2393"/>
      <c r="R146" s="2721"/>
      <c r="S146" s="1686">
        <v>1000000</v>
      </c>
      <c r="T146" s="1685" t="s">
        <v>0</v>
      </c>
      <c r="U146" s="1685"/>
      <c r="V146" s="1685">
        <v>2</v>
      </c>
      <c r="W146" s="1685" t="s">
        <v>4699</v>
      </c>
      <c r="X146" s="1687" t="s">
        <v>1</v>
      </c>
      <c r="Y146" s="2394">
        <f t="shared" si="28"/>
        <v>2000</v>
      </c>
      <c r="Z146" s="637">
        <f t="shared" si="29"/>
        <v>2000000</v>
      </c>
      <c r="AA146" s="275"/>
      <c r="AB146" s="275"/>
      <c r="AC146" s="275"/>
    </row>
    <row r="147" spans="1:29" s="2278" customFormat="1" ht="21" customHeight="1">
      <c r="A147" s="2274"/>
      <c r="B147" s="1145"/>
      <c r="C147" s="470"/>
      <c r="D147" s="2422"/>
      <c r="E147" s="508" t="s">
        <v>4710</v>
      </c>
      <c r="F147" s="697">
        <f t="shared" ref="F147" si="30">Y147</f>
        <v>7000</v>
      </c>
      <c r="G147" s="767">
        <v>7000</v>
      </c>
      <c r="H147" s="2382"/>
      <c r="I147" s="533"/>
      <c r="J147" s="2390" t="s">
        <v>4711</v>
      </c>
      <c r="K147" s="2391"/>
      <c r="L147" s="2391"/>
      <c r="M147" s="2391"/>
      <c r="N147" s="2392"/>
      <c r="O147" s="2392"/>
      <c r="P147" s="2392"/>
      <c r="Q147" s="2393"/>
      <c r="R147" s="2721"/>
      <c r="S147" s="1686">
        <v>7000000</v>
      </c>
      <c r="T147" s="1685" t="s">
        <v>4707</v>
      </c>
      <c r="U147" s="1685"/>
      <c r="V147" s="1685">
        <v>1</v>
      </c>
      <c r="W147" s="1685" t="s">
        <v>4712</v>
      </c>
      <c r="X147" s="1687"/>
      <c r="Y147" s="2394">
        <v>7000</v>
      </c>
      <c r="Z147" s="637">
        <f t="shared" si="29"/>
        <v>7000000</v>
      </c>
      <c r="AA147" s="275"/>
      <c r="AB147" s="275"/>
      <c r="AC147" s="275"/>
    </row>
    <row r="148" spans="1:29" s="2278" customFormat="1" ht="21" customHeight="1">
      <c r="A148" s="2274"/>
      <c r="B148" s="1145"/>
      <c r="C148" s="470"/>
      <c r="D148" s="2422"/>
      <c r="E148" s="508" t="s">
        <v>4713</v>
      </c>
      <c r="F148" s="697">
        <f>Y148</f>
        <v>300</v>
      </c>
      <c r="G148" s="767">
        <v>300</v>
      </c>
      <c r="H148" s="2382"/>
      <c r="I148" s="533"/>
      <c r="J148" s="2390" t="s">
        <v>4714</v>
      </c>
      <c r="K148" s="2391"/>
      <c r="L148" s="2391"/>
      <c r="M148" s="2391"/>
      <c r="N148" s="2392"/>
      <c r="O148" s="2392"/>
      <c r="P148" s="2392"/>
      <c r="Q148" s="2395"/>
      <c r="R148" s="2721"/>
      <c r="S148" s="1686">
        <v>10000</v>
      </c>
      <c r="T148" s="1685" t="s">
        <v>0</v>
      </c>
      <c r="U148" s="1685"/>
      <c r="V148" s="1685">
        <v>30</v>
      </c>
      <c r="W148" s="1685" t="s">
        <v>4699</v>
      </c>
      <c r="X148" s="1687" t="s">
        <v>1</v>
      </c>
      <c r="Y148" s="2394">
        <f t="shared" si="28"/>
        <v>300</v>
      </c>
      <c r="Z148" s="637">
        <f t="shared" si="29"/>
        <v>300000</v>
      </c>
      <c r="AA148" s="275"/>
      <c r="AB148" s="275"/>
      <c r="AC148" s="275"/>
    </row>
    <row r="149" spans="1:29" s="2278" customFormat="1" ht="21" customHeight="1">
      <c r="A149" s="2274"/>
      <c r="B149" s="1145"/>
      <c r="C149" s="470"/>
      <c r="D149" s="2422"/>
      <c r="E149" s="2423" t="s">
        <v>55</v>
      </c>
      <c r="F149" s="697">
        <f t="shared" ref="F149" si="31">Y149</f>
        <v>200</v>
      </c>
      <c r="G149" s="863">
        <v>200</v>
      </c>
      <c r="H149" s="2382"/>
      <c r="I149" s="533"/>
      <c r="J149" s="2416" t="s">
        <v>4715</v>
      </c>
      <c r="K149" s="2417"/>
      <c r="L149" s="2417"/>
      <c r="M149" s="2417"/>
      <c r="N149" s="2418"/>
      <c r="O149" s="2418"/>
      <c r="P149" s="2418"/>
      <c r="Q149" s="2419">
        <v>2</v>
      </c>
      <c r="R149" s="2386" t="s">
        <v>123</v>
      </c>
      <c r="S149" s="710">
        <v>10000</v>
      </c>
      <c r="T149" s="709" t="s">
        <v>0</v>
      </c>
      <c r="U149" s="709"/>
      <c r="V149" s="709">
        <v>10</v>
      </c>
      <c r="W149" s="709" t="s">
        <v>3</v>
      </c>
      <c r="X149" s="725" t="s">
        <v>1</v>
      </c>
      <c r="Y149" s="2420">
        <f t="shared" si="28"/>
        <v>200</v>
      </c>
      <c r="Z149" s="712">
        <f>Q149*S149*V149</f>
        <v>200000</v>
      </c>
      <c r="AA149" s="275"/>
      <c r="AB149" s="275"/>
      <c r="AC149" s="275"/>
    </row>
    <row r="150" spans="1:29" ht="21" customHeight="1">
      <c r="A150" s="2274"/>
      <c r="B150" s="1145"/>
      <c r="C150" s="470"/>
      <c r="D150" s="3284" t="s">
        <v>2473</v>
      </c>
      <c r="E150" s="3285"/>
      <c r="F150" s="373">
        <f>SUM(F151:F180)</f>
        <v>156000</v>
      </c>
      <c r="G150" s="373">
        <f>SUM(G151:G180)</f>
        <v>156000</v>
      </c>
      <c r="H150" s="1132">
        <f>F150-G150</f>
        <v>0</v>
      </c>
      <c r="I150" s="473"/>
      <c r="J150" s="1901"/>
      <c r="K150" s="1902"/>
      <c r="L150" s="1902"/>
      <c r="M150" s="1902"/>
      <c r="N150" s="1902"/>
      <c r="O150" s="1902"/>
      <c r="P150" s="1902"/>
      <c r="Q150" s="799"/>
      <c r="R150" s="376"/>
      <c r="S150" s="375"/>
      <c r="T150" s="376"/>
      <c r="U150" s="375"/>
      <c r="V150" s="376"/>
      <c r="W150" s="375"/>
      <c r="X150" s="375"/>
      <c r="Y150" s="801"/>
      <c r="Z150" s="503"/>
      <c r="AA150" s="275"/>
    </row>
    <row r="151" spans="1:29" ht="21" customHeight="1">
      <c r="A151" s="2274"/>
      <c r="B151" s="1145"/>
      <c r="C151" s="470"/>
      <c r="D151" s="470"/>
      <c r="E151" s="508" t="s">
        <v>59</v>
      </c>
      <c r="F151" s="697">
        <f>Y151</f>
        <v>1950</v>
      </c>
      <c r="G151" s="767">
        <v>1950</v>
      </c>
      <c r="H151" s="2382"/>
      <c r="I151" s="533"/>
      <c r="J151" s="2390" t="s">
        <v>4807</v>
      </c>
      <c r="K151" s="2391"/>
      <c r="L151" s="2391"/>
      <c r="M151" s="2391"/>
      <c r="N151" s="2392"/>
      <c r="O151" s="2392"/>
      <c r="P151" s="2392"/>
      <c r="Q151" s="2395">
        <v>2</v>
      </c>
      <c r="R151" s="2887" t="s">
        <v>1367</v>
      </c>
      <c r="S151" s="1686">
        <v>75000</v>
      </c>
      <c r="T151" s="1685" t="s">
        <v>458</v>
      </c>
      <c r="U151" s="1685"/>
      <c r="V151" s="1685">
        <v>13</v>
      </c>
      <c r="W151" s="1685" t="s">
        <v>1072</v>
      </c>
      <c r="X151" s="1687" t="s">
        <v>465</v>
      </c>
      <c r="Y151" s="2394">
        <f t="shared" ref="Y151" si="32">+Z151/1000</f>
        <v>1950</v>
      </c>
      <c r="Z151" s="637">
        <f>S151*V151*Q151</f>
        <v>1950000</v>
      </c>
      <c r="AA151" s="275"/>
    </row>
    <row r="152" spans="1:29" ht="21" customHeight="1">
      <c r="A152" s="2274"/>
      <c r="B152" s="1145"/>
      <c r="C152" s="470"/>
      <c r="D152" s="470"/>
      <c r="E152" s="508" t="s">
        <v>1363</v>
      </c>
      <c r="F152" s="697">
        <f>Y152</f>
        <v>15000</v>
      </c>
      <c r="G152" s="767">
        <v>15000</v>
      </c>
      <c r="H152" s="2382"/>
      <c r="I152" s="533"/>
      <c r="J152" s="2390" t="s">
        <v>895</v>
      </c>
      <c r="K152" s="2391"/>
      <c r="L152" s="2391"/>
      <c r="M152" s="2391"/>
      <c r="N152" s="2392"/>
      <c r="O152" s="2392"/>
      <c r="P152" s="2392"/>
      <c r="Q152" s="2393"/>
      <c r="R152" s="2887"/>
      <c r="S152" s="2887" t="s">
        <v>601</v>
      </c>
      <c r="T152" s="516" t="s">
        <v>601</v>
      </c>
      <c r="U152" s="516" t="s">
        <v>601</v>
      </c>
      <c r="V152" s="516" t="s">
        <v>601</v>
      </c>
      <c r="W152" s="516" t="s">
        <v>601</v>
      </c>
      <c r="X152" s="517" t="s">
        <v>601</v>
      </c>
      <c r="Y152" s="2394">
        <f t="shared" ref="Y152:Y154" si="33">+Z152/1000</f>
        <v>15000</v>
      </c>
      <c r="Z152" s="2372">
        <f>SUM(Z153:Z154)</f>
        <v>15000000</v>
      </c>
      <c r="AA152" s="275"/>
    </row>
    <row r="153" spans="1:29" ht="21" customHeight="1">
      <c r="A153" s="2274"/>
      <c r="B153" s="1145"/>
      <c r="C153" s="470"/>
      <c r="D153" s="1126"/>
      <c r="E153" s="508"/>
      <c r="F153" s="697"/>
      <c r="G153" s="767"/>
      <c r="H153" s="2382"/>
      <c r="I153" s="533"/>
      <c r="J153" s="2390" t="s">
        <v>2480</v>
      </c>
      <c r="K153" s="2391"/>
      <c r="L153" s="2391"/>
      <c r="M153" s="2391"/>
      <c r="N153" s="2392"/>
      <c r="O153" s="2392"/>
      <c r="P153" s="2392"/>
      <c r="Q153" s="727">
        <v>1000</v>
      </c>
      <c r="R153" s="2887" t="s">
        <v>2293</v>
      </c>
      <c r="S153" s="1686">
        <v>10000</v>
      </c>
      <c r="T153" s="1685" t="s">
        <v>458</v>
      </c>
      <c r="U153" s="1685"/>
      <c r="V153" s="1685">
        <v>1</v>
      </c>
      <c r="W153" s="1685" t="s">
        <v>616</v>
      </c>
      <c r="X153" s="1687" t="s">
        <v>465</v>
      </c>
      <c r="Y153" s="2394">
        <f t="shared" si="33"/>
        <v>10000</v>
      </c>
      <c r="Z153" s="637">
        <f>Q153*S153*V153</f>
        <v>10000000</v>
      </c>
      <c r="AA153" s="275"/>
    </row>
    <row r="154" spans="1:29" ht="21" customHeight="1">
      <c r="A154" s="2858"/>
      <c r="B154" s="1145"/>
      <c r="C154" s="470"/>
      <c r="D154" s="470"/>
      <c r="E154" s="508"/>
      <c r="F154" s="697"/>
      <c r="G154" s="767"/>
      <c r="H154" s="2382"/>
      <c r="I154" s="533"/>
      <c r="J154" s="2390" t="s">
        <v>2482</v>
      </c>
      <c r="K154" s="2391"/>
      <c r="L154" s="2391"/>
      <c r="M154" s="2391"/>
      <c r="N154" s="2392"/>
      <c r="O154" s="2392"/>
      <c r="P154" s="2392"/>
      <c r="Q154" s="727">
        <v>1000</v>
      </c>
      <c r="R154" s="2887" t="s">
        <v>2293</v>
      </c>
      <c r="S154" s="1686">
        <v>5000</v>
      </c>
      <c r="T154" s="1685" t="s">
        <v>458</v>
      </c>
      <c r="U154" s="1685"/>
      <c r="V154" s="1685">
        <v>1</v>
      </c>
      <c r="W154" s="1685" t="s">
        <v>616</v>
      </c>
      <c r="X154" s="1687" t="s">
        <v>465</v>
      </c>
      <c r="Y154" s="2394">
        <f t="shared" si="33"/>
        <v>5000</v>
      </c>
      <c r="Z154" s="637">
        <f>Q154*S154*V154</f>
        <v>5000000</v>
      </c>
      <c r="AA154" s="275"/>
    </row>
    <row r="155" spans="1:29" ht="21" customHeight="1">
      <c r="A155" s="2858"/>
      <c r="B155" s="1145"/>
      <c r="C155" s="470"/>
      <c r="D155" s="470"/>
      <c r="E155" s="508" t="s">
        <v>963</v>
      </c>
      <c r="F155" s="697">
        <f t="shared" ref="F155" si="34">Y155</f>
        <v>5000</v>
      </c>
      <c r="G155" s="767">
        <v>5000</v>
      </c>
      <c r="H155" s="2382"/>
      <c r="I155" s="533"/>
      <c r="J155" s="2390" t="s">
        <v>3675</v>
      </c>
      <c r="K155" s="2391"/>
      <c r="L155" s="2391"/>
      <c r="M155" s="2391"/>
      <c r="N155" s="2392"/>
      <c r="O155" s="2392"/>
      <c r="P155" s="2392"/>
      <c r="Q155" s="2393"/>
      <c r="R155" s="2887"/>
      <c r="S155" s="1686">
        <v>100000</v>
      </c>
      <c r="T155" s="1685" t="s">
        <v>458</v>
      </c>
      <c r="U155" s="1685"/>
      <c r="V155" s="1685">
        <v>50</v>
      </c>
      <c r="W155" s="1685" t="s">
        <v>3</v>
      </c>
      <c r="X155" s="1687" t="s">
        <v>465</v>
      </c>
      <c r="Y155" s="2394">
        <f t="shared" ref="Y155" si="35">+Z155/1000</f>
        <v>5000</v>
      </c>
      <c r="Z155" s="637">
        <f>S155*V155</f>
        <v>5000000</v>
      </c>
      <c r="AA155" s="275"/>
    </row>
    <row r="156" spans="1:29" ht="21" customHeight="1">
      <c r="A156" s="2858"/>
      <c r="B156" s="1145"/>
      <c r="C156" s="470"/>
      <c r="D156" s="470"/>
      <c r="E156" s="2388" t="s">
        <v>462</v>
      </c>
      <c r="F156" s="697">
        <f>Y156</f>
        <v>4900</v>
      </c>
      <c r="G156" s="767">
        <v>2900</v>
      </c>
      <c r="H156" s="2382">
        <f t="shared" ref="H156" si="36">F156-G156</f>
        <v>2000</v>
      </c>
      <c r="I156" s="533"/>
      <c r="J156" s="2390" t="s">
        <v>8</v>
      </c>
      <c r="K156" s="2391"/>
      <c r="L156" s="2391"/>
      <c r="M156" s="2391"/>
      <c r="N156" s="2392"/>
      <c r="O156" s="2392"/>
      <c r="P156" s="2392"/>
      <c r="Q156" s="2393"/>
      <c r="R156" s="2887"/>
      <c r="S156" s="2887" t="s">
        <v>19</v>
      </c>
      <c r="T156" s="516" t="s">
        <v>19</v>
      </c>
      <c r="U156" s="516" t="s">
        <v>19</v>
      </c>
      <c r="V156" s="516" t="s">
        <v>19</v>
      </c>
      <c r="W156" s="516" t="s">
        <v>19</v>
      </c>
      <c r="X156" s="517" t="s">
        <v>19</v>
      </c>
      <c r="Y156" s="2394">
        <f>SUM(Y157:Y160)</f>
        <v>4900</v>
      </c>
      <c r="Z156" s="2372">
        <f>SUM(Z157:Z160)</f>
        <v>4900000</v>
      </c>
      <c r="AA156" s="275"/>
    </row>
    <row r="157" spans="1:29" ht="21" customHeight="1">
      <c r="A157" s="2858"/>
      <c r="B157" s="1145"/>
      <c r="C157" s="470"/>
      <c r="D157" s="470"/>
      <c r="E157" s="508"/>
      <c r="F157" s="697"/>
      <c r="G157" s="767"/>
      <c r="H157" s="2382"/>
      <c r="I157" s="533"/>
      <c r="J157" s="2390" t="s">
        <v>2484</v>
      </c>
      <c r="K157" s="2391"/>
      <c r="L157" s="2391"/>
      <c r="M157" s="2391"/>
      <c r="N157" s="2392"/>
      <c r="O157" s="2392"/>
      <c r="P157" s="2392"/>
      <c r="Q157" s="2393" t="s">
        <v>1140</v>
      </c>
      <c r="R157" s="2887" t="s">
        <v>123</v>
      </c>
      <c r="S157" s="1686">
        <v>3500000</v>
      </c>
      <c r="T157" s="1685" t="s">
        <v>0</v>
      </c>
      <c r="U157" s="1685"/>
      <c r="V157" s="1685">
        <v>1</v>
      </c>
      <c r="W157" s="1685" t="s">
        <v>3</v>
      </c>
      <c r="X157" s="1687" t="s">
        <v>1</v>
      </c>
      <c r="Y157" s="2394">
        <f>+Z157/1000</f>
        <v>3500</v>
      </c>
      <c r="Z157" s="637">
        <f>S157*Q157*V157</f>
        <v>3500000</v>
      </c>
      <c r="AA157" s="275"/>
    </row>
    <row r="158" spans="1:29" ht="21" customHeight="1">
      <c r="A158" s="2274"/>
      <c r="B158" s="1145"/>
      <c r="C158" s="470"/>
      <c r="D158" s="470"/>
      <c r="E158" s="508"/>
      <c r="F158" s="697"/>
      <c r="G158" s="767"/>
      <c r="H158" s="2382"/>
      <c r="I158" s="533"/>
      <c r="J158" s="2390" t="s">
        <v>2485</v>
      </c>
      <c r="K158" s="2391"/>
      <c r="L158" s="2391"/>
      <c r="M158" s="2391"/>
      <c r="N158" s="2392"/>
      <c r="O158" s="2392"/>
      <c r="P158" s="2392"/>
      <c r="Q158" s="2395">
        <v>1</v>
      </c>
      <c r="R158" s="2887" t="s">
        <v>123</v>
      </c>
      <c r="S158" s="1686">
        <v>150000</v>
      </c>
      <c r="T158" s="1685" t="s">
        <v>0</v>
      </c>
      <c r="U158" s="1685"/>
      <c r="V158" s="1685">
        <v>4</v>
      </c>
      <c r="W158" s="1685" t="s">
        <v>306</v>
      </c>
      <c r="X158" s="1687" t="s">
        <v>1</v>
      </c>
      <c r="Y158" s="2394">
        <f>+Z158/1000</f>
        <v>600</v>
      </c>
      <c r="Z158" s="637">
        <f>Q158*S158*V158</f>
        <v>600000</v>
      </c>
      <c r="AA158" s="275"/>
    </row>
    <row r="159" spans="1:29" ht="21" customHeight="1">
      <c r="A159" s="2274"/>
      <c r="B159" s="1145"/>
      <c r="C159" s="470"/>
      <c r="D159" s="1126"/>
      <c r="E159" s="508"/>
      <c r="F159" s="697"/>
      <c r="G159" s="767"/>
      <c r="H159" s="2382"/>
      <c r="I159" s="533"/>
      <c r="J159" s="2390" t="s">
        <v>2486</v>
      </c>
      <c r="K159" s="2391"/>
      <c r="L159" s="2391"/>
      <c r="M159" s="2391"/>
      <c r="N159" s="2392"/>
      <c r="O159" s="2392"/>
      <c r="P159" s="2392"/>
      <c r="Q159" s="2395">
        <v>1</v>
      </c>
      <c r="R159" s="2887" t="s">
        <v>123</v>
      </c>
      <c r="S159" s="1686">
        <v>50000</v>
      </c>
      <c r="T159" s="1685" t="s">
        <v>0</v>
      </c>
      <c r="U159" s="1685"/>
      <c r="V159" s="1685">
        <v>5</v>
      </c>
      <c r="W159" s="1685" t="s">
        <v>60</v>
      </c>
      <c r="X159" s="1687" t="s">
        <v>1</v>
      </c>
      <c r="Y159" s="2394">
        <f>+Z159/1000</f>
        <v>500</v>
      </c>
      <c r="Z159" s="637">
        <v>500000</v>
      </c>
      <c r="AA159" s="275"/>
    </row>
    <row r="160" spans="1:29" ht="21" customHeight="1">
      <c r="A160" s="2274"/>
      <c r="B160" s="1145"/>
      <c r="C160" s="470"/>
      <c r="D160" s="470"/>
      <c r="E160" s="508"/>
      <c r="F160" s="697"/>
      <c r="G160" s="767"/>
      <c r="H160" s="2382"/>
      <c r="I160" s="533"/>
      <c r="J160" s="2390" t="s">
        <v>2487</v>
      </c>
      <c r="K160" s="2391"/>
      <c r="L160" s="2391"/>
      <c r="M160" s="2391"/>
      <c r="N160" s="2392"/>
      <c r="O160" s="2392"/>
      <c r="P160" s="2392"/>
      <c r="Q160" s="2395">
        <v>2</v>
      </c>
      <c r="R160" s="2887" t="s">
        <v>123</v>
      </c>
      <c r="S160" s="1686">
        <v>25000</v>
      </c>
      <c r="T160" s="1685" t="s">
        <v>0</v>
      </c>
      <c r="U160" s="1685"/>
      <c r="V160" s="1685">
        <v>6</v>
      </c>
      <c r="W160" s="1685" t="s">
        <v>1072</v>
      </c>
      <c r="X160" s="1687" t="s">
        <v>1</v>
      </c>
      <c r="Y160" s="2394">
        <f>+Z160/1000</f>
        <v>300</v>
      </c>
      <c r="Z160" s="637">
        <f>Q160*S160*V160</f>
        <v>300000</v>
      </c>
      <c r="AA160" s="275"/>
    </row>
    <row r="161" spans="1:33" ht="21" customHeight="1">
      <c r="A161" s="2274"/>
      <c r="B161" s="1145"/>
      <c r="C161" s="470"/>
      <c r="D161" s="470"/>
      <c r="E161" s="508" t="s">
        <v>571</v>
      </c>
      <c r="F161" s="697">
        <f>Y161</f>
        <v>24800</v>
      </c>
      <c r="G161" s="767">
        <v>19800</v>
      </c>
      <c r="H161" s="2382">
        <f>F161-G161</f>
        <v>5000</v>
      </c>
      <c r="I161" s="533"/>
      <c r="J161" s="2390" t="s">
        <v>895</v>
      </c>
      <c r="K161" s="2391"/>
      <c r="L161" s="2391"/>
      <c r="M161" s="2391"/>
      <c r="N161" s="2392"/>
      <c r="O161" s="2392"/>
      <c r="P161" s="2392"/>
      <c r="Q161" s="2393"/>
      <c r="R161" s="2887"/>
      <c r="S161" s="2887" t="s">
        <v>601</v>
      </c>
      <c r="T161" s="516" t="s">
        <v>601</v>
      </c>
      <c r="U161" s="516" t="s">
        <v>601</v>
      </c>
      <c r="V161" s="516" t="s">
        <v>601</v>
      </c>
      <c r="W161" s="516" t="s">
        <v>601</v>
      </c>
      <c r="X161" s="517" t="s">
        <v>601</v>
      </c>
      <c r="Y161" s="2394">
        <f>SUM(Y162:Y165)</f>
        <v>24800</v>
      </c>
      <c r="Z161" s="2372">
        <f>SUM(Z162:Z165)</f>
        <v>24800000</v>
      </c>
      <c r="AA161" s="275"/>
    </row>
    <row r="162" spans="1:33" ht="21" customHeight="1">
      <c r="A162" s="2274"/>
      <c r="B162" s="1145"/>
      <c r="C162" s="470"/>
      <c r="D162" s="1126"/>
      <c r="E162" s="508"/>
      <c r="F162" s="697"/>
      <c r="G162" s="767"/>
      <c r="H162" s="2382"/>
      <c r="I162" s="533"/>
      <c r="J162" s="2390" t="s">
        <v>2489</v>
      </c>
      <c r="K162" s="2391"/>
      <c r="L162" s="2391"/>
      <c r="M162" s="2391"/>
      <c r="N162" s="2392"/>
      <c r="O162" s="2395"/>
      <c r="P162" s="2887"/>
      <c r="Q162" s="2395"/>
      <c r="R162" s="2887"/>
      <c r="S162" s="1686">
        <v>3000000</v>
      </c>
      <c r="T162" s="1685" t="s">
        <v>458</v>
      </c>
      <c r="U162" s="1685"/>
      <c r="V162" s="1685">
        <v>1</v>
      </c>
      <c r="W162" s="1685" t="s">
        <v>2490</v>
      </c>
      <c r="X162" s="1687" t="s">
        <v>465</v>
      </c>
      <c r="Y162" s="2394">
        <f t="shared" ref="Y162:Y180" si="37">+Z162/1000</f>
        <v>3000</v>
      </c>
      <c r="Z162" s="637">
        <f>SUM(S162*V162)</f>
        <v>3000000</v>
      </c>
      <c r="AA162" s="275"/>
    </row>
    <row r="163" spans="1:33" ht="21" customHeight="1">
      <c r="A163" s="2274"/>
      <c r="B163" s="1145"/>
      <c r="C163" s="470"/>
      <c r="D163" s="1126"/>
      <c r="E163" s="508"/>
      <c r="F163" s="697"/>
      <c r="G163" s="697"/>
      <c r="H163" s="2382"/>
      <c r="I163" s="533"/>
      <c r="J163" s="2390" t="s">
        <v>2491</v>
      </c>
      <c r="K163" s="2391"/>
      <c r="L163" s="2391"/>
      <c r="M163" s="2391"/>
      <c r="N163" s="2392"/>
      <c r="O163" s="2392"/>
      <c r="P163" s="2392"/>
      <c r="Q163" s="2395"/>
      <c r="R163" s="2887"/>
      <c r="S163" s="1686">
        <v>50000</v>
      </c>
      <c r="T163" s="1685" t="s">
        <v>458</v>
      </c>
      <c r="U163" s="1685"/>
      <c r="V163" s="1685">
        <v>24</v>
      </c>
      <c r="W163" s="1685" t="s">
        <v>305</v>
      </c>
      <c r="X163" s="1687" t="s">
        <v>465</v>
      </c>
      <c r="Y163" s="2394">
        <f t="shared" si="37"/>
        <v>1200</v>
      </c>
      <c r="Z163" s="637">
        <f>S163*V163</f>
        <v>1200000</v>
      </c>
      <c r="AA163" s="275"/>
    </row>
    <row r="164" spans="1:33" ht="21" customHeight="1">
      <c r="A164" s="2274"/>
      <c r="B164" s="1145"/>
      <c r="C164" s="470"/>
      <c r="D164" s="470"/>
      <c r="E164" s="508"/>
      <c r="F164" s="697"/>
      <c r="G164" s="767"/>
      <c r="H164" s="2382"/>
      <c r="I164" s="533"/>
      <c r="J164" s="2390" t="s">
        <v>2492</v>
      </c>
      <c r="K164" s="2391"/>
      <c r="L164" s="2391"/>
      <c r="M164" s="2391"/>
      <c r="N164" s="2392"/>
      <c r="O164" s="2392"/>
      <c r="P164" s="2392"/>
      <c r="Q164" s="2395"/>
      <c r="R164" s="2887"/>
      <c r="S164" s="1686">
        <v>30000</v>
      </c>
      <c r="T164" s="1685" t="s">
        <v>0</v>
      </c>
      <c r="U164" s="1685"/>
      <c r="V164" s="1685">
        <v>20</v>
      </c>
      <c r="W164" s="1685" t="s">
        <v>305</v>
      </c>
      <c r="X164" s="1687" t="s">
        <v>1</v>
      </c>
      <c r="Y164" s="2394">
        <f t="shared" si="37"/>
        <v>600</v>
      </c>
      <c r="Z164" s="637">
        <f>S164*V164</f>
        <v>600000</v>
      </c>
      <c r="AA164" s="275"/>
    </row>
    <row r="165" spans="1:33" ht="21" customHeight="1">
      <c r="A165" s="2274"/>
      <c r="B165" s="1145"/>
      <c r="C165" s="470"/>
      <c r="D165" s="470"/>
      <c r="E165" s="508"/>
      <c r="F165" s="697"/>
      <c r="G165" s="767"/>
      <c r="H165" s="2382"/>
      <c r="I165" s="533"/>
      <c r="J165" s="2390" t="s">
        <v>2493</v>
      </c>
      <c r="K165" s="2391"/>
      <c r="L165" s="2391"/>
      <c r="M165" s="2391"/>
      <c r="N165" s="2392"/>
      <c r="O165" s="2392"/>
      <c r="P165" s="2392"/>
      <c r="Q165" s="2393"/>
      <c r="R165" s="2887"/>
      <c r="S165" s="1686">
        <v>2000000</v>
      </c>
      <c r="T165" s="1685" t="s">
        <v>458</v>
      </c>
      <c r="U165" s="1685"/>
      <c r="V165" s="1685">
        <v>10</v>
      </c>
      <c r="W165" s="1685" t="s">
        <v>69</v>
      </c>
      <c r="X165" s="1687" t="s">
        <v>465</v>
      </c>
      <c r="Y165" s="2394">
        <f t="shared" si="37"/>
        <v>20000</v>
      </c>
      <c r="Z165" s="637">
        <f>S165*V165</f>
        <v>20000000</v>
      </c>
      <c r="AA165" s="275"/>
    </row>
    <row r="166" spans="1:33" ht="21" customHeight="1">
      <c r="A166" s="2274"/>
      <c r="B166" s="1145"/>
      <c r="C166" s="470"/>
      <c r="D166" s="470"/>
      <c r="E166" s="508" t="s">
        <v>631</v>
      </c>
      <c r="F166" s="697">
        <f>Y166</f>
        <v>71350</v>
      </c>
      <c r="G166" s="767">
        <v>79000</v>
      </c>
      <c r="H166" s="2382">
        <f>F166-G166</f>
        <v>-7650</v>
      </c>
      <c r="I166" s="533"/>
      <c r="J166" s="2390" t="s">
        <v>895</v>
      </c>
      <c r="K166" s="2391"/>
      <c r="L166" s="2391"/>
      <c r="M166" s="2391"/>
      <c r="N166" s="2392"/>
      <c r="O166" s="2392"/>
      <c r="P166" s="2392"/>
      <c r="Q166" s="2393"/>
      <c r="R166" s="2887"/>
      <c r="S166" s="2887" t="s">
        <v>601</v>
      </c>
      <c r="T166" s="516" t="s">
        <v>601</v>
      </c>
      <c r="U166" s="516" t="s">
        <v>601</v>
      </c>
      <c r="V166" s="516" t="s">
        <v>601</v>
      </c>
      <c r="W166" s="516" t="s">
        <v>601</v>
      </c>
      <c r="X166" s="1687"/>
      <c r="Y166" s="2394">
        <f t="shared" si="37"/>
        <v>71350</v>
      </c>
      <c r="Z166" s="2372">
        <f>SUM(Z167:Z172)</f>
        <v>71350000</v>
      </c>
      <c r="AA166" s="275"/>
    </row>
    <row r="167" spans="1:33" s="2278" customFormat="1" ht="21" customHeight="1">
      <c r="A167" s="2274"/>
      <c r="B167" s="1145"/>
      <c r="C167" s="470"/>
      <c r="D167" s="470"/>
      <c r="E167" s="508"/>
      <c r="F167" s="697"/>
      <c r="G167" s="767"/>
      <c r="H167" s="2382"/>
      <c r="I167" s="533"/>
      <c r="J167" s="2390" t="s">
        <v>2471</v>
      </c>
      <c r="K167" s="2391"/>
      <c r="L167" s="2391"/>
      <c r="M167" s="2391"/>
      <c r="N167" s="2392"/>
      <c r="O167" s="2392"/>
      <c r="P167" s="2392"/>
      <c r="Q167" s="2393"/>
      <c r="R167" s="2887"/>
      <c r="S167" s="1686">
        <v>500000</v>
      </c>
      <c r="T167" s="1685" t="s">
        <v>458</v>
      </c>
      <c r="U167" s="1685"/>
      <c r="V167" s="1685">
        <v>1</v>
      </c>
      <c r="W167" s="1685" t="s">
        <v>616</v>
      </c>
      <c r="X167" s="1687" t="s">
        <v>465</v>
      </c>
      <c r="Y167" s="2394">
        <f t="shared" si="37"/>
        <v>500</v>
      </c>
      <c r="Z167" s="637">
        <f t="shared" ref="Z167:Z172" si="38">S167*V167</f>
        <v>500000</v>
      </c>
      <c r="AA167" s="275"/>
      <c r="AB167" s="275"/>
      <c r="AC167" s="275"/>
    </row>
    <row r="168" spans="1:33" s="2357" customFormat="1" ht="21" customHeight="1">
      <c r="A168" s="2728"/>
      <c r="B168" s="1145"/>
      <c r="C168" s="470"/>
      <c r="D168" s="470"/>
      <c r="E168" s="508"/>
      <c r="F168" s="697"/>
      <c r="G168" s="767"/>
      <c r="H168" s="2382"/>
      <c r="I168" s="533"/>
      <c r="J168" s="2390" t="s">
        <v>2495</v>
      </c>
      <c r="K168" s="2391"/>
      <c r="L168" s="2391"/>
      <c r="M168" s="2391"/>
      <c r="N168" s="2392"/>
      <c r="O168" s="2392"/>
      <c r="P168" s="2392"/>
      <c r="Q168" s="2393"/>
      <c r="R168" s="2887"/>
      <c r="S168" s="1686">
        <v>1500000</v>
      </c>
      <c r="T168" s="1685" t="s">
        <v>458</v>
      </c>
      <c r="U168" s="1685"/>
      <c r="V168" s="1685">
        <v>1</v>
      </c>
      <c r="W168" s="1685" t="s">
        <v>616</v>
      </c>
      <c r="X168" s="1687" t="s">
        <v>465</v>
      </c>
      <c r="Y168" s="2394">
        <f t="shared" si="37"/>
        <v>1500</v>
      </c>
      <c r="Z168" s="637">
        <f t="shared" si="38"/>
        <v>1500000</v>
      </c>
      <c r="AA168" s="275"/>
      <c r="AB168" s="275"/>
      <c r="AC168" s="275"/>
    </row>
    <row r="169" spans="1:33" s="2278" customFormat="1" ht="21" customHeight="1">
      <c r="A169" s="2274"/>
      <c r="B169" s="1145"/>
      <c r="C169" s="470"/>
      <c r="D169" s="470"/>
      <c r="E169" s="508"/>
      <c r="F169" s="697"/>
      <c r="G169" s="767"/>
      <c r="H169" s="2382"/>
      <c r="I169" s="533"/>
      <c r="J169" s="2390" t="s">
        <v>5125</v>
      </c>
      <c r="K169" s="2391"/>
      <c r="L169" s="2391"/>
      <c r="M169" s="2391"/>
      <c r="N169" s="2392"/>
      <c r="O169" s="2392"/>
      <c r="P169" s="2392"/>
      <c r="Q169" s="2395"/>
      <c r="R169" s="2887"/>
      <c r="S169" s="1686">
        <v>10000000</v>
      </c>
      <c r="T169" s="1685" t="s">
        <v>458</v>
      </c>
      <c r="U169" s="1685"/>
      <c r="V169" s="1685">
        <v>4</v>
      </c>
      <c r="W169" s="1685" t="s">
        <v>49</v>
      </c>
      <c r="X169" s="1687" t="s">
        <v>465</v>
      </c>
      <c r="Y169" s="2394">
        <f t="shared" si="37"/>
        <v>40000</v>
      </c>
      <c r="Z169" s="637">
        <f t="shared" si="38"/>
        <v>40000000</v>
      </c>
      <c r="AA169" s="275"/>
      <c r="AB169" s="275"/>
      <c r="AC169" s="275"/>
    </row>
    <row r="170" spans="1:33" s="2278" customFormat="1" ht="19.5" customHeight="1">
      <c r="A170" s="2274"/>
      <c r="B170" s="1145"/>
      <c r="C170" s="470"/>
      <c r="D170" s="470"/>
      <c r="E170" s="508"/>
      <c r="F170" s="697"/>
      <c r="G170" s="767"/>
      <c r="H170" s="2382"/>
      <c r="I170" s="533"/>
      <c r="J170" s="2390" t="s">
        <v>5126</v>
      </c>
      <c r="K170" s="2391"/>
      <c r="L170" s="2391"/>
      <c r="M170" s="2391"/>
      <c r="N170" s="2392"/>
      <c r="O170" s="2392"/>
      <c r="P170" s="2392"/>
      <c r="Q170" s="2393"/>
      <c r="R170" s="2887"/>
      <c r="S170" s="1686">
        <v>20000000</v>
      </c>
      <c r="T170" s="1685" t="s">
        <v>458</v>
      </c>
      <c r="U170" s="1685"/>
      <c r="V170" s="1685">
        <v>1</v>
      </c>
      <c r="W170" s="1685" t="s">
        <v>616</v>
      </c>
      <c r="X170" s="1687" t="s">
        <v>465</v>
      </c>
      <c r="Y170" s="2394">
        <f t="shared" si="37"/>
        <v>20000</v>
      </c>
      <c r="Z170" s="637">
        <f t="shared" si="38"/>
        <v>20000000</v>
      </c>
      <c r="AA170" s="275"/>
      <c r="AB170" s="275"/>
      <c r="AC170" s="275"/>
      <c r="AD170" s="275"/>
      <c r="AE170" s="275"/>
      <c r="AF170" s="1675"/>
      <c r="AG170" s="1675"/>
    </row>
    <row r="171" spans="1:33" s="2278" customFormat="1" ht="19.5" customHeight="1">
      <c r="A171" s="2274"/>
      <c r="B171" s="1145"/>
      <c r="C171" s="470"/>
      <c r="D171" s="470"/>
      <c r="E171" s="508"/>
      <c r="F171" s="697"/>
      <c r="G171" s="767"/>
      <c r="H171" s="2382"/>
      <c r="I171" s="533"/>
      <c r="J171" s="2390" t="s">
        <v>5127</v>
      </c>
      <c r="K171" s="2391"/>
      <c r="L171" s="2391"/>
      <c r="M171" s="2391"/>
      <c r="N171" s="2392"/>
      <c r="O171" s="2392"/>
      <c r="P171" s="2392"/>
      <c r="Q171" s="2393"/>
      <c r="R171" s="2887"/>
      <c r="S171" s="1686">
        <v>1150000</v>
      </c>
      <c r="T171" s="1685" t="s">
        <v>458</v>
      </c>
      <c r="U171" s="1685"/>
      <c r="V171" s="1685">
        <v>1</v>
      </c>
      <c r="W171" s="1685" t="s">
        <v>616</v>
      </c>
      <c r="X171" s="1687" t="s">
        <v>465</v>
      </c>
      <c r="Y171" s="2394">
        <f t="shared" si="37"/>
        <v>1150</v>
      </c>
      <c r="Z171" s="637">
        <f t="shared" si="38"/>
        <v>1150000</v>
      </c>
      <c r="AA171" s="275"/>
      <c r="AB171" s="275"/>
      <c r="AC171" s="275"/>
    </row>
    <row r="172" spans="1:33" s="2278" customFormat="1" ht="19.5" customHeight="1">
      <c r="A172" s="2274"/>
      <c r="B172" s="1145"/>
      <c r="C172" s="470"/>
      <c r="D172" s="470"/>
      <c r="E172" s="508"/>
      <c r="F172" s="697"/>
      <c r="G172" s="767"/>
      <c r="H172" s="2382"/>
      <c r="I172" s="533"/>
      <c r="J172" s="2390" t="s">
        <v>4990</v>
      </c>
      <c r="K172" s="2391"/>
      <c r="L172" s="2391"/>
      <c r="M172" s="2391"/>
      <c r="N172" s="2392"/>
      <c r="O172" s="2392"/>
      <c r="P172" s="2392"/>
      <c r="Q172" s="2393"/>
      <c r="R172" s="2887"/>
      <c r="S172" s="1686">
        <v>8200000</v>
      </c>
      <c r="T172" s="1685" t="s">
        <v>458</v>
      </c>
      <c r="U172" s="1685"/>
      <c r="V172" s="1685">
        <v>1</v>
      </c>
      <c r="W172" s="1685" t="s">
        <v>6</v>
      </c>
      <c r="X172" s="1687" t="s">
        <v>465</v>
      </c>
      <c r="Y172" s="2394">
        <f t="shared" si="37"/>
        <v>8200</v>
      </c>
      <c r="Z172" s="637">
        <f t="shared" si="38"/>
        <v>8200000</v>
      </c>
      <c r="AA172" s="275"/>
      <c r="AB172" s="275"/>
      <c r="AC172" s="275"/>
    </row>
    <row r="173" spans="1:33" s="2278" customFormat="1" ht="23.85" customHeight="1">
      <c r="A173" s="2274"/>
      <c r="B173" s="1145"/>
      <c r="C173" s="470"/>
      <c r="D173" s="470"/>
      <c r="E173" s="508" t="s">
        <v>1059</v>
      </c>
      <c r="F173" s="697">
        <f>Y173</f>
        <v>28000</v>
      </c>
      <c r="G173" s="767">
        <v>28000</v>
      </c>
      <c r="H173" s="2382"/>
      <c r="I173" s="533"/>
      <c r="J173" s="2390" t="s">
        <v>895</v>
      </c>
      <c r="K173" s="2391"/>
      <c r="L173" s="2391"/>
      <c r="M173" s="2391"/>
      <c r="N173" s="2392"/>
      <c r="O173" s="2395"/>
      <c r="P173" s="2887"/>
      <c r="Q173" s="2395"/>
      <c r="R173" s="2887"/>
      <c r="S173" s="1686"/>
      <c r="T173" s="1685"/>
      <c r="U173" s="1685"/>
      <c r="V173" s="1685"/>
      <c r="W173" s="1685"/>
      <c r="X173" s="1687"/>
      <c r="Y173" s="2394">
        <f t="shared" si="37"/>
        <v>28000</v>
      </c>
      <c r="Z173" s="637">
        <f>SUM(Z174:Z175)</f>
        <v>28000000</v>
      </c>
      <c r="AA173" s="275"/>
      <c r="AB173" s="275"/>
      <c r="AC173" s="275"/>
    </row>
    <row r="174" spans="1:33" s="2278" customFormat="1" ht="23.85" customHeight="1">
      <c r="A174" s="2274"/>
      <c r="B174" s="1145"/>
      <c r="C174" s="470"/>
      <c r="D174" s="470"/>
      <c r="E174" s="508"/>
      <c r="F174" s="697"/>
      <c r="G174" s="767"/>
      <c r="H174" s="2382"/>
      <c r="I174" s="533"/>
      <c r="J174" s="2390" t="s">
        <v>2496</v>
      </c>
      <c r="K174" s="2391"/>
      <c r="L174" s="2391"/>
      <c r="M174" s="2391"/>
      <c r="N174" s="2392"/>
      <c r="O174" s="2395"/>
      <c r="P174" s="2887"/>
      <c r="Q174" s="2395">
        <v>1</v>
      </c>
      <c r="R174" s="2887" t="s">
        <v>18</v>
      </c>
      <c r="S174" s="1686">
        <v>500000</v>
      </c>
      <c r="T174" s="1685" t="s">
        <v>458</v>
      </c>
      <c r="U174" s="1685"/>
      <c r="V174" s="1685">
        <v>2</v>
      </c>
      <c r="W174" s="1685" t="s">
        <v>616</v>
      </c>
      <c r="X174" s="1687" t="s">
        <v>465</v>
      </c>
      <c r="Y174" s="2394">
        <f t="shared" si="37"/>
        <v>1000</v>
      </c>
      <c r="Z174" s="637">
        <f>Q174*S174*V174</f>
        <v>1000000</v>
      </c>
      <c r="AA174" s="275"/>
      <c r="AB174" s="275"/>
      <c r="AC174" s="275"/>
    </row>
    <row r="175" spans="1:33" s="2278" customFormat="1" ht="23.85" customHeight="1">
      <c r="A175" s="2274"/>
      <c r="B175" s="1145"/>
      <c r="C175" s="470"/>
      <c r="D175" s="470"/>
      <c r="E175" s="508"/>
      <c r="F175" s="697"/>
      <c r="G175" s="767"/>
      <c r="H175" s="2382"/>
      <c r="I175" s="533" t="s">
        <v>1070</v>
      </c>
      <c r="J175" s="2390" t="s">
        <v>2498</v>
      </c>
      <c r="K175" s="2391"/>
      <c r="L175" s="2391"/>
      <c r="M175" s="2391"/>
      <c r="N175" s="2392"/>
      <c r="O175" s="2395"/>
      <c r="P175" s="2887"/>
      <c r="Q175" s="2395"/>
      <c r="R175" s="2887"/>
      <c r="S175" s="1686">
        <v>27000000</v>
      </c>
      <c r="T175" s="1685" t="s">
        <v>458</v>
      </c>
      <c r="U175" s="1685"/>
      <c r="V175" s="1685">
        <v>1</v>
      </c>
      <c r="W175" s="1685" t="s">
        <v>616</v>
      </c>
      <c r="X175" s="1687" t="s">
        <v>1</v>
      </c>
      <c r="Y175" s="2394">
        <f t="shared" si="37"/>
        <v>27000</v>
      </c>
      <c r="Z175" s="637">
        <f>S175*V175</f>
        <v>27000000</v>
      </c>
      <c r="AA175" s="275"/>
      <c r="AB175" s="275"/>
      <c r="AC175" s="275"/>
    </row>
    <row r="176" spans="1:33" s="2278" customFormat="1" ht="23.85" customHeight="1">
      <c r="A176" s="2274"/>
      <c r="B176" s="1145"/>
      <c r="C176" s="470"/>
      <c r="D176" s="1126"/>
      <c r="E176" s="2422" t="s">
        <v>1276</v>
      </c>
      <c r="F176" s="697">
        <f t="shared" ref="F176:F177" si="39">Y176</f>
        <v>1000</v>
      </c>
      <c r="G176" s="767">
        <v>1000</v>
      </c>
      <c r="H176" s="2382"/>
      <c r="I176" s="533"/>
      <c r="J176" s="2390" t="s">
        <v>304</v>
      </c>
      <c r="K176" s="2391"/>
      <c r="L176" s="2391"/>
      <c r="M176" s="2391"/>
      <c r="N176" s="2392"/>
      <c r="O176" s="2392"/>
      <c r="P176" s="2392"/>
      <c r="Q176" s="2395">
        <v>10</v>
      </c>
      <c r="R176" s="2887" t="s">
        <v>124</v>
      </c>
      <c r="S176" s="1686">
        <v>100000</v>
      </c>
      <c r="T176" s="1685" t="s">
        <v>458</v>
      </c>
      <c r="U176" s="1685"/>
      <c r="V176" s="1685">
        <v>1</v>
      </c>
      <c r="W176" s="1685" t="s">
        <v>616</v>
      </c>
      <c r="X176" s="1687" t="s">
        <v>465</v>
      </c>
      <c r="Y176" s="2394">
        <f t="shared" si="37"/>
        <v>1000</v>
      </c>
      <c r="Z176" s="637">
        <f>Q176*S176*V176</f>
        <v>1000000</v>
      </c>
      <c r="AA176" s="275"/>
      <c r="AB176" s="275"/>
      <c r="AC176" s="275"/>
    </row>
    <row r="177" spans="1:29" s="2278" customFormat="1" ht="23.85" customHeight="1">
      <c r="A177" s="2274"/>
      <c r="B177" s="1145"/>
      <c r="C177" s="470"/>
      <c r="D177" s="1126"/>
      <c r="E177" s="508" t="s">
        <v>602</v>
      </c>
      <c r="F177" s="697">
        <f t="shared" si="39"/>
        <v>3000</v>
      </c>
      <c r="G177" s="767">
        <v>2350</v>
      </c>
      <c r="H177" s="2382">
        <f>F177-G177</f>
        <v>650</v>
      </c>
      <c r="I177" s="533"/>
      <c r="J177" s="2390" t="s">
        <v>895</v>
      </c>
      <c r="K177" s="2391"/>
      <c r="L177" s="2391"/>
      <c r="M177" s="2391"/>
      <c r="N177" s="2392"/>
      <c r="O177" s="2392"/>
      <c r="P177" s="2392"/>
      <c r="Q177" s="2395"/>
      <c r="R177" s="2887"/>
      <c r="S177" s="1686"/>
      <c r="T177" s="1685"/>
      <c r="U177" s="1685"/>
      <c r="V177" s="1685"/>
      <c r="W177" s="1685"/>
      <c r="X177" s="1687"/>
      <c r="Y177" s="2394">
        <f t="shared" si="37"/>
        <v>3000</v>
      </c>
      <c r="Z177" s="637">
        <f>SUM(Z178:Z179)</f>
        <v>3000000</v>
      </c>
      <c r="AA177" s="275"/>
      <c r="AB177" s="275"/>
      <c r="AC177" s="275"/>
    </row>
    <row r="178" spans="1:29" s="2278" customFormat="1" ht="23.85" customHeight="1">
      <c r="A178" s="2274"/>
      <c r="B178" s="1145"/>
      <c r="D178" s="1126"/>
      <c r="E178" s="2422"/>
      <c r="F178" s="697"/>
      <c r="G178" s="767"/>
      <c r="H178" s="2382"/>
      <c r="I178" s="533"/>
      <c r="J178" s="2390" t="s">
        <v>2499</v>
      </c>
      <c r="K178" s="2391"/>
      <c r="L178" s="2391"/>
      <c r="M178" s="2391"/>
      <c r="N178" s="2392"/>
      <c r="O178" s="2392"/>
      <c r="P178" s="2392"/>
      <c r="Q178" s="2395">
        <v>235</v>
      </c>
      <c r="R178" s="2887" t="s">
        <v>1367</v>
      </c>
      <c r="S178" s="1686">
        <v>10000</v>
      </c>
      <c r="T178" s="1685" t="s">
        <v>458</v>
      </c>
      <c r="U178" s="1685"/>
      <c r="V178" s="1685">
        <v>1</v>
      </c>
      <c r="W178" s="1685" t="s">
        <v>616</v>
      </c>
      <c r="X178" s="1687" t="s">
        <v>465</v>
      </c>
      <c r="Y178" s="2394">
        <f t="shared" si="37"/>
        <v>2350</v>
      </c>
      <c r="Z178" s="637">
        <f>S178*V178*Q178</f>
        <v>2350000</v>
      </c>
      <c r="AA178" s="275"/>
      <c r="AB178" s="275"/>
      <c r="AC178" s="275"/>
    </row>
    <row r="179" spans="1:29" s="2278" customFormat="1" ht="23.85" customHeight="1">
      <c r="A179" s="2274"/>
      <c r="B179" s="1145"/>
      <c r="D179" s="1154"/>
      <c r="E179" s="508"/>
      <c r="F179" s="697"/>
      <c r="G179" s="767"/>
      <c r="H179" s="2382"/>
      <c r="I179" s="533"/>
      <c r="J179" s="2390" t="s">
        <v>2500</v>
      </c>
      <c r="K179" s="2391"/>
      <c r="L179" s="2391"/>
      <c r="M179" s="2391"/>
      <c r="N179" s="2392"/>
      <c r="O179" s="2392"/>
      <c r="P179" s="2392"/>
      <c r="Q179" s="2395">
        <v>65</v>
      </c>
      <c r="R179" s="2887" t="s">
        <v>1367</v>
      </c>
      <c r="S179" s="1686">
        <v>10000</v>
      </c>
      <c r="T179" s="1685" t="s">
        <v>458</v>
      </c>
      <c r="U179" s="1685"/>
      <c r="V179" s="1685">
        <v>1</v>
      </c>
      <c r="W179" s="1685" t="s">
        <v>616</v>
      </c>
      <c r="X179" s="1687" t="s">
        <v>465</v>
      </c>
      <c r="Y179" s="2394">
        <f t="shared" si="37"/>
        <v>650</v>
      </c>
      <c r="Z179" s="637">
        <f>S179*V179*Q179</f>
        <v>650000</v>
      </c>
      <c r="AA179" s="275"/>
      <c r="AB179" s="275"/>
      <c r="AC179" s="275"/>
    </row>
    <row r="180" spans="1:29" s="2357" customFormat="1" ht="23.85" customHeight="1">
      <c r="A180" s="2858"/>
      <c r="B180" s="1145"/>
      <c r="D180" s="1154"/>
      <c r="E180" s="2423" t="s">
        <v>632</v>
      </c>
      <c r="F180" s="697">
        <f>Y180</f>
        <v>1000</v>
      </c>
      <c r="G180" s="767">
        <v>1000</v>
      </c>
      <c r="H180" s="2382"/>
      <c r="I180" s="533"/>
      <c r="J180" s="2416" t="s">
        <v>2502</v>
      </c>
      <c r="K180" s="2417"/>
      <c r="L180" s="2417"/>
      <c r="M180" s="2417"/>
      <c r="N180" s="2418"/>
      <c r="O180" s="2418"/>
      <c r="P180" s="2418"/>
      <c r="Q180" s="2419">
        <v>5</v>
      </c>
      <c r="R180" s="2386" t="s">
        <v>1367</v>
      </c>
      <c r="S180" s="710">
        <v>10000</v>
      </c>
      <c r="T180" s="709" t="s">
        <v>458</v>
      </c>
      <c r="U180" s="709"/>
      <c r="V180" s="709">
        <v>20</v>
      </c>
      <c r="W180" s="709" t="s">
        <v>616</v>
      </c>
      <c r="X180" s="725" t="s">
        <v>465</v>
      </c>
      <c r="Y180" s="2420">
        <f t="shared" si="37"/>
        <v>1000</v>
      </c>
      <c r="Z180" s="712">
        <f>S180*V180*Q180</f>
        <v>1000000</v>
      </c>
      <c r="AA180" s="275"/>
      <c r="AB180" s="275"/>
      <c r="AC180" s="275"/>
    </row>
    <row r="181" spans="1:29" s="2278" customFormat="1" ht="23.85" customHeight="1">
      <c r="A181" s="2274"/>
      <c r="B181" s="1145"/>
      <c r="C181" s="470"/>
      <c r="D181" s="2856" t="s">
        <v>3304</v>
      </c>
      <c r="E181" s="2857"/>
      <c r="F181" s="373">
        <f>SUM(F182:F197)</f>
        <v>53015.6</v>
      </c>
      <c r="G181" s="373">
        <f>SUM(G182:G197)</f>
        <v>53016</v>
      </c>
      <c r="H181" s="1132">
        <f>F181-G181</f>
        <v>-0.40000000000145519</v>
      </c>
      <c r="I181" s="473"/>
      <c r="J181" s="1901"/>
      <c r="K181" s="1902"/>
      <c r="L181" s="1902"/>
      <c r="M181" s="1902"/>
      <c r="N181" s="1902"/>
      <c r="O181" s="1902"/>
      <c r="P181" s="1902"/>
      <c r="Q181" s="799"/>
      <c r="R181" s="376"/>
      <c r="S181" s="375"/>
      <c r="T181" s="376"/>
      <c r="U181" s="375"/>
      <c r="V181" s="376"/>
      <c r="W181" s="375"/>
      <c r="X181" s="375"/>
      <c r="Y181" s="801"/>
      <c r="Z181" s="503"/>
      <c r="AA181" s="275"/>
      <c r="AB181" s="275"/>
      <c r="AC181" s="275"/>
    </row>
    <row r="182" spans="1:29" s="2278" customFormat="1" ht="23.85" customHeight="1">
      <c r="A182" s="2274"/>
      <c r="B182" s="1145"/>
      <c r="C182" s="470"/>
      <c r="D182" s="1126"/>
      <c r="E182" s="1154" t="s">
        <v>2478</v>
      </c>
      <c r="F182" s="598">
        <f t="shared" ref="F182:F186" si="40">+Y182</f>
        <v>5600</v>
      </c>
      <c r="G182" s="1899">
        <v>5600</v>
      </c>
      <c r="H182" s="338"/>
      <c r="I182" s="473"/>
      <c r="J182" s="2390" t="s">
        <v>2797</v>
      </c>
      <c r="K182" s="2391"/>
      <c r="L182" s="2391"/>
      <c r="M182" s="2391"/>
      <c r="N182" s="2392"/>
      <c r="O182" s="2392"/>
      <c r="P182" s="2392"/>
      <c r="Q182" s="727"/>
      <c r="R182" s="2374"/>
      <c r="S182" s="1686">
        <v>1400000</v>
      </c>
      <c r="T182" s="1685" t="s">
        <v>343</v>
      </c>
      <c r="U182" s="1685"/>
      <c r="V182" s="1685">
        <v>4</v>
      </c>
      <c r="W182" s="1685" t="s">
        <v>3</v>
      </c>
      <c r="X182" s="1687" t="s">
        <v>1</v>
      </c>
      <c r="Y182" s="2394">
        <f t="shared" ref="Y182:Y197" si="41">+Z182/1000</f>
        <v>5600</v>
      </c>
      <c r="Z182" s="637">
        <f>S182*V182</f>
        <v>5600000</v>
      </c>
      <c r="AA182" s="275"/>
      <c r="AB182" s="275"/>
      <c r="AC182" s="275"/>
    </row>
    <row r="183" spans="1:29" s="2357" customFormat="1" ht="23.85" customHeight="1">
      <c r="A183" s="2892"/>
      <c r="B183" s="1145"/>
      <c r="C183" s="470"/>
      <c r="D183" s="1126"/>
      <c r="E183" s="1154" t="s">
        <v>51</v>
      </c>
      <c r="F183" s="598">
        <f t="shared" ref="F183" si="42">+Y183</f>
        <v>800</v>
      </c>
      <c r="G183" s="1899">
        <v>800</v>
      </c>
      <c r="H183" s="338"/>
      <c r="I183" s="473"/>
      <c r="J183" s="2390" t="s">
        <v>2794</v>
      </c>
      <c r="K183" s="2391"/>
      <c r="L183" s="2391"/>
      <c r="M183" s="2391"/>
      <c r="N183" s="2392"/>
      <c r="O183" s="2392"/>
      <c r="P183" s="2392"/>
      <c r="Q183" s="727">
        <v>1000</v>
      </c>
      <c r="R183" s="2887" t="s">
        <v>225</v>
      </c>
      <c r="S183" s="1686">
        <v>200</v>
      </c>
      <c r="T183" s="1685" t="s">
        <v>264</v>
      </c>
      <c r="U183" s="1685"/>
      <c r="V183" s="1685">
        <v>4</v>
      </c>
      <c r="W183" s="1685" t="s">
        <v>3</v>
      </c>
      <c r="X183" s="1687" t="s">
        <v>1</v>
      </c>
      <c r="Y183" s="2394">
        <f t="shared" ref="Y183" si="43">+Z183/1000</f>
        <v>800</v>
      </c>
      <c r="Z183" s="637">
        <f>Q183*S183*V183</f>
        <v>800000</v>
      </c>
      <c r="AA183" s="275"/>
      <c r="AB183" s="275"/>
      <c r="AC183" s="275"/>
    </row>
    <row r="184" spans="1:29" ht="23.85" customHeight="1">
      <c r="A184" s="2274"/>
      <c r="B184" s="1145"/>
      <c r="C184" s="470"/>
      <c r="D184" s="1126"/>
      <c r="E184" s="1154" t="s">
        <v>24</v>
      </c>
      <c r="F184" s="598">
        <f t="shared" si="40"/>
        <v>500</v>
      </c>
      <c r="G184" s="1899">
        <v>500</v>
      </c>
      <c r="H184" s="338"/>
      <c r="I184" s="473"/>
      <c r="J184" s="2390" t="s">
        <v>789</v>
      </c>
      <c r="K184" s="2391"/>
      <c r="L184" s="2391"/>
      <c r="M184" s="2391"/>
      <c r="N184" s="2392"/>
      <c r="O184" s="2392"/>
      <c r="P184" s="2392"/>
      <c r="Q184" s="2393"/>
      <c r="R184" s="2374"/>
      <c r="S184" s="1686">
        <v>500000</v>
      </c>
      <c r="T184" s="1685" t="s">
        <v>0</v>
      </c>
      <c r="U184" s="1685"/>
      <c r="V184" s="1685">
        <v>1</v>
      </c>
      <c r="W184" s="1685" t="s">
        <v>567</v>
      </c>
      <c r="X184" s="1687" t="s">
        <v>1</v>
      </c>
      <c r="Y184" s="2394">
        <f t="shared" si="41"/>
        <v>500</v>
      </c>
      <c r="Z184" s="637">
        <f>S184*V184</f>
        <v>500000</v>
      </c>
      <c r="AA184" s="275"/>
    </row>
    <row r="185" spans="1:29" ht="23.85" customHeight="1">
      <c r="A185" s="2274"/>
      <c r="B185" s="1145"/>
      <c r="C185" s="470"/>
      <c r="D185" s="1126"/>
      <c r="E185" s="1154" t="s">
        <v>2469</v>
      </c>
      <c r="F185" s="598">
        <f t="shared" si="40"/>
        <v>1000</v>
      </c>
      <c r="G185" s="1899">
        <v>1000</v>
      </c>
      <c r="H185" s="338"/>
      <c r="I185" s="473"/>
      <c r="J185" s="2390" t="s">
        <v>2470</v>
      </c>
      <c r="K185" s="2391"/>
      <c r="L185" s="2391"/>
      <c r="M185" s="2391"/>
      <c r="N185" s="2392"/>
      <c r="O185" s="2392"/>
      <c r="P185" s="2392"/>
      <c r="Q185" s="2393"/>
      <c r="R185" s="2374"/>
      <c r="S185" s="1686">
        <v>100000</v>
      </c>
      <c r="T185" s="1685" t="s">
        <v>0</v>
      </c>
      <c r="U185" s="1685"/>
      <c r="V185" s="1685">
        <v>10</v>
      </c>
      <c r="W185" s="1685" t="s">
        <v>567</v>
      </c>
      <c r="X185" s="1687" t="s">
        <v>1</v>
      </c>
      <c r="Y185" s="2394">
        <f t="shared" si="41"/>
        <v>1000</v>
      </c>
      <c r="Z185" s="637">
        <f>S185*V185</f>
        <v>1000000</v>
      </c>
      <c r="AA185" s="275"/>
    </row>
    <row r="186" spans="1:29" ht="23.85" customHeight="1">
      <c r="A186" s="2274"/>
      <c r="B186" s="1145"/>
      <c r="C186" s="470"/>
      <c r="D186" s="470"/>
      <c r="E186" s="1154" t="s">
        <v>52</v>
      </c>
      <c r="F186" s="598">
        <f t="shared" si="40"/>
        <v>9000</v>
      </c>
      <c r="G186" s="1899">
        <v>9000</v>
      </c>
      <c r="H186" s="338"/>
      <c r="I186" s="473"/>
      <c r="J186" s="2390" t="s">
        <v>8</v>
      </c>
      <c r="K186" s="2391"/>
      <c r="L186" s="2391"/>
      <c r="M186" s="2391"/>
      <c r="N186" s="2392"/>
      <c r="O186" s="2392"/>
      <c r="P186" s="2392"/>
      <c r="Q186" s="2393"/>
      <c r="R186" s="2374"/>
      <c r="S186" s="2374"/>
      <c r="T186" s="516" t="s">
        <v>19</v>
      </c>
      <c r="U186" s="516" t="s">
        <v>19</v>
      </c>
      <c r="V186" s="516" t="s">
        <v>19</v>
      </c>
      <c r="W186" s="516" t="s">
        <v>19</v>
      </c>
      <c r="X186" s="517" t="s">
        <v>19</v>
      </c>
      <c r="Y186" s="2394">
        <f t="shared" si="41"/>
        <v>9000</v>
      </c>
      <c r="Z186" s="2372">
        <f>SUM(Z187:Z188)</f>
        <v>9000000</v>
      </c>
      <c r="AA186" s="275"/>
    </row>
    <row r="187" spans="1:29" ht="23.85" customHeight="1">
      <c r="A187" s="2274"/>
      <c r="B187" s="1145"/>
      <c r="C187" s="470"/>
      <c r="D187" s="470"/>
      <c r="E187" s="1154"/>
      <c r="F187" s="598"/>
      <c r="G187" s="1899"/>
      <c r="H187" s="338"/>
      <c r="I187" s="473"/>
      <c r="J187" s="2390" t="s">
        <v>2798</v>
      </c>
      <c r="K187" s="2391"/>
      <c r="L187" s="2391"/>
      <c r="M187" s="2391"/>
      <c r="N187" s="2392"/>
      <c r="O187" s="2392"/>
      <c r="P187" s="2392"/>
      <c r="Q187" s="727">
        <v>5</v>
      </c>
      <c r="R187" s="2374" t="s">
        <v>949</v>
      </c>
      <c r="S187" s="1686">
        <v>50000</v>
      </c>
      <c r="T187" s="1685" t="s">
        <v>0</v>
      </c>
      <c r="U187" s="1685"/>
      <c r="V187" s="1685">
        <v>4</v>
      </c>
      <c r="W187" s="1685" t="s">
        <v>567</v>
      </c>
      <c r="X187" s="1687" t="s">
        <v>1</v>
      </c>
      <c r="Y187" s="2394">
        <f t="shared" si="41"/>
        <v>1000</v>
      </c>
      <c r="Z187" s="637">
        <f>S187*V187*Q187</f>
        <v>1000000</v>
      </c>
      <c r="AA187" s="275"/>
    </row>
    <row r="188" spans="1:29" s="2278" customFormat="1" ht="23.85" customHeight="1">
      <c r="A188" s="2274"/>
      <c r="B188" s="1145"/>
      <c r="C188" s="470"/>
      <c r="D188" s="1126"/>
      <c r="E188" s="1154"/>
      <c r="F188" s="598"/>
      <c r="G188" s="1899"/>
      <c r="H188" s="338"/>
      <c r="I188" s="473"/>
      <c r="J188" s="2390" t="s">
        <v>2799</v>
      </c>
      <c r="K188" s="2391"/>
      <c r="L188" s="2391"/>
      <c r="M188" s="2391"/>
      <c r="N188" s="2392"/>
      <c r="O188" s="2392"/>
      <c r="P188" s="2392"/>
      <c r="Q188" s="2393"/>
      <c r="R188" s="2374"/>
      <c r="S188" s="1686">
        <v>2000000</v>
      </c>
      <c r="T188" s="1685" t="s">
        <v>0</v>
      </c>
      <c r="U188" s="1685"/>
      <c r="V188" s="1685">
        <v>4</v>
      </c>
      <c r="W188" s="1685" t="s">
        <v>567</v>
      </c>
      <c r="X188" s="1687" t="s">
        <v>1</v>
      </c>
      <c r="Y188" s="2394">
        <f t="shared" si="41"/>
        <v>8000</v>
      </c>
      <c r="Z188" s="637">
        <f>S188*V188</f>
        <v>8000000</v>
      </c>
      <c r="AA188" s="275"/>
      <c r="AB188" s="275"/>
      <c r="AC188" s="275"/>
    </row>
    <row r="189" spans="1:29" ht="23.85" customHeight="1">
      <c r="A189" s="2274"/>
      <c r="B189" s="1145"/>
      <c r="C189" s="470"/>
      <c r="D189" s="470"/>
      <c r="E189" s="1154" t="s">
        <v>65</v>
      </c>
      <c r="F189" s="598">
        <f>+Y189</f>
        <v>29615.599999999999</v>
      </c>
      <c r="G189" s="1899">
        <v>29616</v>
      </c>
      <c r="H189" s="338"/>
      <c r="I189" s="473"/>
      <c r="J189" s="2390" t="s">
        <v>8</v>
      </c>
      <c r="K189" s="2391"/>
      <c r="L189" s="2391"/>
      <c r="M189" s="2391"/>
      <c r="N189" s="2392"/>
      <c r="O189" s="2392"/>
      <c r="P189" s="2392"/>
      <c r="Q189" s="2393"/>
      <c r="R189" s="2374"/>
      <c r="S189" s="2374" t="s">
        <v>19</v>
      </c>
      <c r="T189" s="516" t="s">
        <v>19</v>
      </c>
      <c r="U189" s="516" t="s">
        <v>19</v>
      </c>
      <c r="V189" s="516" t="s">
        <v>19</v>
      </c>
      <c r="W189" s="516" t="s">
        <v>19</v>
      </c>
      <c r="X189" s="517" t="s">
        <v>19</v>
      </c>
      <c r="Y189" s="2394">
        <f t="shared" si="41"/>
        <v>29615.599999999999</v>
      </c>
      <c r="Z189" s="2372">
        <f>SUM(Z190:Z194)</f>
        <v>29615600</v>
      </c>
      <c r="AA189" s="275"/>
    </row>
    <row r="190" spans="1:29" ht="23.85" customHeight="1">
      <c r="A190" s="2274"/>
      <c r="B190" s="1145"/>
      <c r="C190" s="470"/>
      <c r="D190" s="470"/>
      <c r="E190" s="1154"/>
      <c r="F190" s="598"/>
      <c r="G190" s="1899"/>
      <c r="H190" s="338"/>
      <c r="I190" s="473"/>
      <c r="J190" s="2390" t="s">
        <v>790</v>
      </c>
      <c r="K190" s="2391"/>
      <c r="L190" s="2391"/>
      <c r="M190" s="2391"/>
      <c r="N190" s="2392"/>
      <c r="O190" s="2392"/>
      <c r="P190" s="2392"/>
      <c r="Q190" s="727"/>
      <c r="R190" s="2374"/>
      <c r="S190" s="1686">
        <v>500000</v>
      </c>
      <c r="T190" s="1685" t="s">
        <v>0</v>
      </c>
      <c r="U190" s="1685"/>
      <c r="V190" s="1685">
        <v>4</v>
      </c>
      <c r="W190" s="1685" t="s">
        <v>567</v>
      </c>
      <c r="X190" s="1687" t="s">
        <v>1</v>
      </c>
      <c r="Y190" s="2394">
        <f t="shared" si="41"/>
        <v>2000</v>
      </c>
      <c r="Z190" s="637">
        <f>S190*V190</f>
        <v>2000000</v>
      </c>
      <c r="AA190" s="275"/>
    </row>
    <row r="191" spans="1:29" ht="23.85" customHeight="1">
      <c r="A191" s="2274"/>
      <c r="B191" s="1145"/>
      <c r="C191" s="470"/>
      <c r="D191" s="470"/>
      <c r="E191" s="1154"/>
      <c r="F191" s="598"/>
      <c r="G191" s="1899"/>
      <c r="H191" s="338"/>
      <c r="I191" s="473"/>
      <c r="J191" s="2390" t="s">
        <v>791</v>
      </c>
      <c r="K191" s="2391"/>
      <c r="L191" s="2391"/>
      <c r="M191" s="2391"/>
      <c r="N191" s="2392"/>
      <c r="O191" s="2392"/>
      <c r="P191" s="2392"/>
      <c r="Q191" s="727"/>
      <c r="R191" s="2374"/>
      <c r="S191" s="1686">
        <v>5205200</v>
      </c>
      <c r="T191" s="1685" t="s">
        <v>0</v>
      </c>
      <c r="U191" s="1685"/>
      <c r="V191" s="1685">
        <v>3</v>
      </c>
      <c r="W191" s="1685" t="s">
        <v>567</v>
      </c>
      <c r="X191" s="1687" t="s">
        <v>1</v>
      </c>
      <c r="Y191" s="2394">
        <f t="shared" si="41"/>
        <v>15615.6</v>
      </c>
      <c r="Z191" s="637">
        <f t="shared" ref="Z191:Z196" si="44">S191*V191</f>
        <v>15615600</v>
      </c>
      <c r="AA191" s="275"/>
    </row>
    <row r="192" spans="1:29" ht="23.85" customHeight="1">
      <c r="A192" s="2274"/>
      <c r="B192" s="1145"/>
      <c r="C192" s="470"/>
      <c r="D192" s="470"/>
      <c r="E192" s="1154"/>
      <c r="F192" s="598"/>
      <c r="G192" s="1899"/>
      <c r="H192" s="338"/>
      <c r="I192" s="473"/>
      <c r="J192" s="2390" t="s">
        <v>792</v>
      </c>
      <c r="K192" s="2391"/>
      <c r="L192" s="2391"/>
      <c r="M192" s="2391"/>
      <c r="N192" s="2392"/>
      <c r="O192" s="2392"/>
      <c r="P192" s="2392"/>
      <c r="Q192" s="727">
        <v>20</v>
      </c>
      <c r="R192" s="2374" t="s">
        <v>2503</v>
      </c>
      <c r="S192" s="1686">
        <v>50000</v>
      </c>
      <c r="T192" s="1685" t="s">
        <v>0</v>
      </c>
      <c r="U192" s="1685"/>
      <c r="V192" s="1685">
        <v>4</v>
      </c>
      <c r="W192" s="1685" t="s">
        <v>567</v>
      </c>
      <c r="X192" s="1687" t="s">
        <v>1</v>
      </c>
      <c r="Y192" s="2394">
        <f t="shared" si="41"/>
        <v>4000</v>
      </c>
      <c r="Z192" s="637">
        <f>S192*V192*Q192</f>
        <v>4000000</v>
      </c>
      <c r="AA192" s="275"/>
    </row>
    <row r="193" spans="1:29" ht="23.85" customHeight="1">
      <c r="A193" s="2274"/>
      <c r="B193" s="1145"/>
      <c r="C193" s="470"/>
      <c r="D193" s="470"/>
      <c r="E193" s="1154"/>
      <c r="F193" s="598"/>
      <c r="G193" s="1899"/>
      <c r="H193" s="338"/>
      <c r="I193" s="473"/>
      <c r="J193" s="2390" t="s">
        <v>793</v>
      </c>
      <c r="K193" s="2391"/>
      <c r="L193" s="2391"/>
      <c r="M193" s="2391"/>
      <c r="N193" s="2392"/>
      <c r="O193" s="2392"/>
      <c r="P193" s="2392"/>
      <c r="Q193" s="727"/>
      <c r="R193" s="2374"/>
      <c r="S193" s="1686">
        <v>1000000</v>
      </c>
      <c r="T193" s="1685" t="s">
        <v>0</v>
      </c>
      <c r="U193" s="1685"/>
      <c r="V193" s="1685">
        <v>4</v>
      </c>
      <c r="W193" s="1685" t="s">
        <v>567</v>
      </c>
      <c r="X193" s="1687" t="s">
        <v>1</v>
      </c>
      <c r="Y193" s="2394">
        <f t="shared" si="41"/>
        <v>4000</v>
      </c>
      <c r="Z193" s="637">
        <f t="shared" si="44"/>
        <v>4000000</v>
      </c>
      <c r="AA193" s="275"/>
    </row>
    <row r="194" spans="1:29" ht="23.85" customHeight="1">
      <c r="A194" s="2274"/>
      <c r="B194" s="1145"/>
      <c r="C194" s="470"/>
      <c r="D194" s="470"/>
      <c r="E194" s="1154"/>
      <c r="F194" s="598"/>
      <c r="G194" s="1899"/>
      <c r="H194" s="338"/>
      <c r="I194" s="473"/>
      <c r="J194" s="2390" t="s">
        <v>794</v>
      </c>
      <c r="K194" s="2391"/>
      <c r="L194" s="2391"/>
      <c r="M194" s="2391"/>
      <c r="N194" s="2392"/>
      <c r="O194" s="2392"/>
      <c r="P194" s="2392"/>
      <c r="Q194" s="727"/>
      <c r="R194" s="2374"/>
      <c r="S194" s="1686">
        <v>1000000</v>
      </c>
      <c r="T194" s="1685" t="s">
        <v>0</v>
      </c>
      <c r="U194" s="1685"/>
      <c r="V194" s="1685">
        <v>4</v>
      </c>
      <c r="W194" s="1685" t="s">
        <v>567</v>
      </c>
      <c r="X194" s="1687" t="s">
        <v>1</v>
      </c>
      <c r="Y194" s="2394">
        <f t="shared" si="41"/>
        <v>4000</v>
      </c>
      <c r="Z194" s="637">
        <f t="shared" si="44"/>
        <v>4000000</v>
      </c>
      <c r="AA194" s="275"/>
    </row>
    <row r="195" spans="1:29" ht="23.85" customHeight="1">
      <c r="A195" s="2274"/>
      <c r="B195" s="1145"/>
      <c r="C195" s="470"/>
      <c r="D195" s="470"/>
      <c r="E195" s="1154" t="s">
        <v>2382</v>
      </c>
      <c r="F195" s="598">
        <f t="shared" ref="F195:F197" si="45">+Y195</f>
        <v>4800</v>
      </c>
      <c r="G195" s="1899">
        <v>4800</v>
      </c>
      <c r="H195" s="338"/>
      <c r="I195" s="473"/>
      <c r="J195" s="2390" t="s">
        <v>2800</v>
      </c>
      <c r="K195" s="2391"/>
      <c r="L195" s="2391"/>
      <c r="M195" s="2391"/>
      <c r="N195" s="2392"/>
      <c r="O195" s="2392"/>
      <c r="P195" s="2392"/>
      <c r="Q195" s="2395"/>
      <c r="R195" s="2374"/>
      <c r="S195" s="1686">
        <v>1200000</v>
      </c>
      <c r="T195" s="1685" t="s">
        <v>0</v>
      </c>
      <c r="U195" s="1685"/>
      <c r="V195" s="1685">
        <v>4</v>
      </c>
      <c r="W195" s="1685" t="s">
        <v>292</v>
      </c>
      <c r="X195" s="1687" t="s">
        <v>1</v>
      </c>
      <c r="Y195" s="2394">
        <f t="shared" si="41"/>
        <v>4800</v>
      </c>
      <c r="Z195" s="637">
        <f t="shared" si="44"/>
        <v>4800000</v>
      </c>
      <c r="AA195" s="275"/>
    </row>
    <row r="196" spans="1:29" ht="23.85" customHeight="1">
      <c r="A196" s="2274"/>
      <c r="B196" s="1145"/>
      <c r="C196" s="470"/>
      <c r="D196" s="470"/>
      <c r="E196" s="1154" t="s">
        <v>2385</v>
      </c>
      <c r="F196" s="598">
        <f t="shared" si="45"/>
        <v>1200</v>
      </c>
      <c r="G196" s="1899">
        <v>1200</v>
      </c>
      <c r="H196" s="338"/>
      <c r="I196" s="473"/>
      <c r="J196" s="2390" t="s">
        <v>2801</v>
      </c>
      <c r="K196" s="2391"/>
      <c r="L196" s="2391"/>
      <c r="M196" s="2391"/>
      <c r="N196" s="2392"/>
      <c r="O196" s="2392"/>
      <c r="P196" s="2392"/>
      <c r="Q196" s="2395"/>
      <c r="R196" s="2374"/>
      <c r="S196" s="1686">
        <v>300000</v>
      </c>
      <c r="T196" s="1685" t="s">
        <v>0</v>
      </c>
      <c r="U196" s="1685"/>
      <c r="V196" s="1685">
        <v>4</v>
      </c>
      <c r="W196" s="1685" t="s">
        <v>567</v>
      </c>
      <c r="X196" s="1687" t="s">
        <v>1</v>
      </c>
      <c r="Y196" s="2394">
        <f t="shared" si="41"/>
        <v>1200</v>
      </c>
      <c r="Z196" s="637">
        <f t="shared" si="44"/>
        <v>1200000</v>
      </c>
      <c r="AA196" s="275"/>
    </row>
    <row r="197" spans="1:29" s="2278" customFormat="1" ht="23.85" customHeight="1">
      <c r="A197" s="2274"/>
      <c r="B197" s="1145"/>
      <c r="C197" s="470"/>
      <c r="D197" s="470"/>
      <c r="E197" s="2279" t="s">
        <v>55</v>
      </c>
      <c r="F197" s="598">
        <f t="shared" si="45"/>
        <v>500</v>
      </c>
      <c r="G197" s="1900">
        <v>500</v>
      </c>
      <c r="H197" s="361"/>
      <c r="I197" s="473"/>
      <c r="J197" s="2416" t="s">
        <v>2795</v>
      </c>
      <c r="K197" s="2417"/>
      <c r="L197" s="2417"/>
      <c r="M197" s="2417"/>
      <c r="N197" s="2418"/>
      <c r="O197" s="2418"/>
      <c r="P197" s="2418"/>
      <c r="Q197" s="2419">
        <v>5</v>
      </c>
      <c r="R197" s="2386" t="s">
        <v>123</v>
      </c>
      <c r="S197" s="710">
        <v>10000</v>
      </c>
      <c r="T197" s="709" t="s">
        <v>0</v>
      </c>
      <c r="U197" s="709"/>
      <c r="V197" s="709">
        <v>10</v>
      </c>
      <c r="W197" s="709" t="s">
        <v>3</v>
      </c>
      <c r="X197" s="725" t="s">
        <v>1</v>
      </c>
      <c r="Y197" s="2420">
        <f t="shared" si="41"/>
        <v>500</v>
      </c>
      <c r="Z197" s="712">
        <f>Q197*S197*V197</f>
        <v>500000</v>
      </c>
      <c r="AA197" s="275"/>
      <c r="AB197" s="275"/>
      <c r="AC197" s="275"/>
    </row>
    <row r="198" spans="1:29" s="2278" customFormat="1" ht="23.85" customHeight="1">
      <c r="A198" s="2274"/>
      <c r="B198" s="1145"/>
      <c r="C198" s="2272" t="s">
        <v>2505</v>
      </c>
      <c r="D198" s="2276"/>
      <c r="E198" s="2273"/>
      <c r="F198" s="2011">
        <f>F199+F211+F223+F238</f>
        <v>130000</v>
      </c>
      <c r="G198" s="2011">
        <f>G199+G211+G223+G238</f>
        <v>130000</v>
      </c>
      <c r="H198" s="1132">
        <f>F198-G198</f>
        <v>0</v>
      </c>
      <c r="I198" s="473"/>
      <c r="J198" s="796"/>
      <c r="K198" s="2014"/>
      <c r="L198" s="2014"/>
      <c r="M198" s="2014"/>
      <c r="N198" s="797"/>
      <c r="O198" s="797"/>
      <c r="P198" s="797"/>
      <c r="Q198" s="1983"/>
      <c r="R198" s="462"/>
      <c r="S198" s="399"/>
      <c r="T198" s="462"/>
      <c r="U198" s="462"/>
      <c r="V198" s="462"/>
      <c r="W198" s="462"/>
      <c r="X198" s="430"/>
      <c r="Y198" s="801"/>
      <c r="Z198" s="2016"/>
      <c r="AA198" s="275"/>
      <c r="AB198" s="275"/>
      <c r="AC198" s="275"/>
    </row>
    <row r="199" spans="1:29" ht="23.85" customHeight="1">
      <c r="A199" s="2274"/>
      <c r="B199" s="1145"/>
      <c r="C199" s="470"/>
      <c r="D199" s="3284" t="s">
        <v>3303</v>
      </c>
      <c r="E199" s="3285"/>
      <c r="F199" s="373">
        <f>SUM(F200:F210)</f>
        <v>50000</v>
      </c>
      <c r="G199" s="373">
        <f>SUM(G200:G210)</f>
        <v>50000</v>
      </c>
      <c r="H199" s="1132">
        <f>F199-G199</f>
        <v>0</v>
      </c>
      <c r="I199" s="473"/>
      <c r="J199" s="1901"/>
      <c r="K199" s="1902"/>
      <c r="L199" s="1902"/>
      <c r="M199" s="1902"/>
      <c r="N199" s="1902"/>
      <c r="O199" s="1902"/>
      <c r="P199" s="1902"/>
      <c r="Q199" s="799"/>
      <c r="R199" s="376"/>
      <c r="S199" s="375"/>
      <c r="T199" s="376"/>
      <c r="U199" s="375"/>
      <c r="V199" s="376"/>
      <c r="W199" s="375"/>
      <c r="X199" s="375"/>
      <c r="Y199" s="801"/>
      <c r="Z199" s="858" t="e">
        <f>Z200+Z201+Z202+Z204+Z208+Z209+#REF!+Z210</f>
        <v>#REF!</v>
      </c>
      <c r="AA199" s="275"/>
    </row>
    <row r="200" spans="1:29" s="2278" customFormat="1" ht="23.85" customHeight="1">
      <c r="A200" s="2274"/>
      <c r="B200" s="1145"/>
      <c r="C200" s="470"/>
      <c r="D200" s="2275"/>
      <c r="E200" s="465" t="s">
        <v>2474</v>
      </c>
      <c r="F200" s="598">
        <f t="shared" ref="F200:F204" si="46">+Y200</f>
        <v>30000</v>
      </c>
      <c r="G200" s="337">
        <v>30000</v>
      </c>
      <c r="H200" s="338"/>
      <c r="I200" s="473"/>
      <c r="J200" s="802" t="s">
        <v>2506</v>
      </c>
      <c r="K200" s="807"/>
      <c r="L200" s="807"/>
      <c r="M200" s="807"/>
      <c r="N200" s="646"/>
      <c r="O200" s="646"/>
      <c r="P200" s="646"/>
      <c r="Q200" s="1905">
        <v>1</v>
      </c>
      <c r="R200" s="2262" t="s">
        <v>2476</v>
      </c>
      <c r="S200" s="1672">
        <v>2500000</v>
      </c>
      <c r="T200" s="1671" t="s">
        <v>1702</v>
      </c>
      <c r="U200" s="1671"/>
      <c r="V200" s="1671">
        <v>12</v>
      </c>
      <c r="W200" s="1671" t="s">
        <v>2507</v>
      </c>
      <c r="X200" s="397" t="s">
        <v>1703</v>
      </c>
      <c r="Y200" s="874">
        <f>+Z200/1000</f>
        <v>30000</v>
      </c>
      <c r="Z200" s="355">
        <f>S200*V200*Q200</f>
        <v>30000000</v>
      </c>
      <c r="AA200" s="275"/>
      <c r="AB200" s="275"/>
      <c r="AC200" s="275"/>
    </row>
    <row r="201" spans="1:29" s="2278" customFormat="1" ht="23.85" customHeight="1">
      <c r="A201" s="2274"/>
      <c r="B201" s="1145"/>
      <c r="C201" s="470"/>
      <c r="E201" s="1126" t="s">
        <v>2479</v>
      </c>
      <c r="F201" s="598">
        <f t="shared" si="46"/>
        <v>1100</v>
      </c>
      <c r="G201" s="337">
        <v>1100</v>
      </c>
      <c r="H201" s="338"/>
      <c r="I201" s="473"/>
      <c r="J201" s="802" t="s">
        <v>2508</v>
      </c>
      <c r="K201" s="807" t="s">
        <v>2509</v>
      </c>
      <c r="L201" s="807"/>
      <c r="M201" s="807"/>
      <c r="N201" s="646"/>
      <c r="O201" s="646"/>
      <c r="P201" s="646"/>
      <c r="Q201" s="1905">
        <v>550</v>
      </c>
      <c r="R201" s="2262" t="s">
        <v>2481</v>
      </c>
      <c r="S201" s="1672">
        <v>1000</v>
      </c>
      <c r="T201" s="1671" t="s">
        <v>1702</v>
      </c>
      <c r="U201" s="1671"/>
      <c r="V201" s="1671">
        <v>2</v>
      </c>
      <c r="W201" s="1671" t="s">
        <v>2510</v>
      </c>
      <c r="X201" s="397" t="s">
        <v>1703</v>
      </c>
      <c r="Y201" s="874">
        <f>+Z201/1000</f>
        <v>1100</v>
      </c>
      <c r="Z201" s="355">
        <f>S201*V201*Q201</f>
        <v>1100000</v>
      </c>
      <c r="AA201" s="275"/>
      <c r="AB201" s="275"/>
      <c r="AC201" s="275"/>
    </row>
    <row r="202" spans="1:29" s="2278" customFormat="1" ht="23.85" customHeight="1">
      <c r="A202" s="2274"/>
      <c r="B202" s="1145"/>
      <c r="C202" s="470"/>
      <c r="E202" s="1126" t="s">
        <v>2469</v>
      </c>
      <c r="F202" s="598">
        <f t="shared" si="46"/>
        <v>700</v>
      </c>
      <c r="G202" s="337">
        <v>700</v>
      </c>
      <c r="H202" s="338"/>
      <c r="I202" s="473"/>
      <c r="J202" s="1903" t="s">
        <v>2511</v>
      </c>
      <c r="K202" s="807"/>
      <c r="L202" s="807"/>
      <c r="M202" s="807"/>
      <c r="N202" s="646"/>
      <c r="O202" s="646"/>
      <c r="P202" s="646"/>
      <c r="Q202" s="1905">
        <v>1</v>
      </c>
      <c r="R202" s="2262" t="s">
        <v>2512</v>
      </c>
      <c r="S202" s="1672">
        <v>100000</v>
      </c>
      <c r="T202" s="1671" t="s">
        <v>1702</v>
      </c>
      <c r="U202" s="1671"/>
      <c r="V202" s="1671">
        <v>7</v>
      </c>
      <c r="W202" s="1671" t="s">
        <v>2513</v>
      </c>
      <c r="X202" s="397" t="s">
        <v>1703</v>
      </c>
      <c r="Y202" s="874">
        <f t="shared" ref="Y202:Y210" si="47">+Z202/1000</f>
        <v>700</v>
      </c>
      <c r="Z202" s="355">
        <f>Q202*S202*V202</f>
        <v>700000</v>
      </c>
      <c r="AA202" s="275"/>
      <c r="AB202" s="275"/>
      <c r="AC202" s="275"/>
    </row>
    <row r="203" spans="1:29" s="2357" customFormat="1" ht="23.85" customHeight="1">
      <c r="A203" s="2892"/>
      <c r="B203" s="1145"/>
      <c r="C203" s="470"/>
      <c r="E203" s="1126" t="s">
        <v>195</v>
      </c>
      <c r="F203" s="598">
        <f t="shared" si="46"/>
        <v>1000</v>
      </c>
      <c r="G203" s="337">
        <v>1000</v>
      </c>
      <c r="H203" s="338"/>
      <c r="I203" s="473"/>
      <c r="J203" s="1903" t="s">
        <v>2522</v>
      </c>
      <c r="K203" s="807"/>
      <c r="L203" s="807"/>
      <c r="M203" s="807"/>
      <c r="N203" s="646"/>
      <c r="O203" s="646"/>
      <c r="P203" s="646"/>
      <c r="Q203" s="650" t="s">
        <v>586</v>
      </c>
      <c r="R203" s="2895" t="s">
        <v>1367</v>
      </c>
      <c r="S203" s="1672">
        <v>50000</v>
      </c>
      <c r="T203" s="1671" t="s">
        <v>264</v>
      </c>
      <c r="U203" s="1671"/>
      <c r="V203" s="1671">
        <v>10</v>
      </c>
      <c r="W203" s="1671" t="s">
        <v>265</v>
      </c>
      <c r="X203" s="397" t="s">
        <v>266</v>
      </c>
      <c r="Y203" s="874">
        <f t="shared" ref="Y203" si="48">+Z203/1000</f>
        <v>1000</v>
      </c>
      <c r="Z203" s="1324">
        <f>Q203*S203*V203</f>
        <v>1000000</v>
      </c>
      <c r="AA203" s="275"/>
      <c r="AB203" s="275"/>
      <c r="AC203" s="275"/>
    </row>
    <row r="204" spans="1:29" s="2278" customFormat="1" ht="23.85" customHeight="1">
      <c r="A204" s="2274"/>
      <c r="B204" s="1145"/>
      <c r="C204" s="470"/>
      <c r="D204" s="1126"/>
      <c r="E204" s="1126" t="s">
        <v>2488</v>
      </c>
      <c r="F204" s="598">
        <f t="shared" si="46"/>
        <v>14500</v>
      </c>
      <c r="G204" s="337">
        <v>14500</v>
      </c>
      <c r="H204" s="338"/>
      <c r="I204" s="473"/>
      <c r="J204" s="1903" t="s">
        <v>1934</v>
      </c>
      <c r="K204" s="807"/>
      <c r="L204" s="807"/>
      <c r="M204" s="807"/>
      <c r="N204" s="646"/>
      <c r="O204" s="646"/>
      <c r="P204" s="646"/>
      <c r="Q204" s="1905"/>
      <c r="R204" s="2262"/>
      <c r="S204" s="1672"/>
      <c r="T204" s="1671"/>
      <c r="U204" s="1671"/>
      <c r="V204" s="1671"/>
      <c r="W204" s="1671"/>
      <c r="X204" s="397"/>
      <c r="Y204" s="874">
        <f t="shared" si="47"/>
        <v>14500</v>
      </c>
      <c r="Z204" s="355">
        <f>SUM(Z205:Z207)</f>
        <v>14500000</v>
      </c>
      <c r="AA204" s="275"/>
      <c r="AB204" s="275"/>
      <c r="AC204" s="275"/>
    </row>
    <row r="205" spans="1:29" s="2278" customFormat="1" ht="23.85" customHeight="1">
      <c r="A205" s="2274"/>
      <c r="B205" s="1145"/>
      <c r="C205" s="470"/>
      <c r="D205" s="2275"/>
      <c r="E205" s="465"/>
      <c r="F205" s="598"/>
      <c r="G205" s="598"/>
      <c r="H205" s="338"/>
      <c r="I205" s="473"/>
      <c r="J205" s="1903" t="s">
        <v>2514</v>
      </c>
      <c r="K205" s="807"/>
      <c r="L205" s="807"/>
      <c r="M205" s="807"/>
      <c r="N205" s="646"/>
      <c r="O205" s="646"/>
      <c r="P205" s="646"/>
      <c r="Q205" s="1905">
        <v>2</v>
      </c>
      <c r="R205" s="2262" t="s">
        <v>2476</v>
      </c>
      <c r="S205" s="1672">
        <v>100000</v>
      </c>
      <c r="T205" s="1671" t="s">
        <v>1702</v>
      </c>
      <c r="U205" s="1671"/>
      <c r="V205" s="1671">
        <v>45</v>
      </c>
      <c r="W205" s="1671" t="s">
        <v>1699</v>
      </c>
      <c r="X205" s="397" t="s">
        <v>1703</v>
      </c>
      <c r="Y205" s="874">
        <f t="shared" si="47"/>
        <v>9000</v>
      </c>
      <c r="Z205" s="355">
        <f>S205*V205*Q205</f>
        <v>9000000</v>
      </c>
      <c r="AA205" s="275"/>
      <c r="AB205" s="275"/>
      <c r="AC205" s="275"/>
    </row>
    <row r="206" spans="1:29" s="2278" customFormat="1" ht="23.85" customHeight="1">
      <c r="A206" s="2274"/>
      <c r="B206" s="1145"/>
      <c r="C206" s="470"/>
      <c r="D206" s="2275"/>
      <c r="E206" s="465"/>
      <c r="F206" s="598"/>
      <c r="G206" s="598"/>
      <c r="H206" s="338"/>
      <c r="I206" s="473"/>
      <c r="J206" s="1903" t="s">
        <v>2515</v>
      </c>
      <c r="K206" s="807"/>
      <c r="L206" s="807"/>
      <c r="M206" s="807"/>
      <c r="N206" s="646"/>
      <c r="O206" s="646"/>
      <c r="P206" s="646"/>
      <c r="Q206" s="1905">
        <v>1</v>
      </c>
      <c r="R206" s="2262" t="s">
        <v>2476</v>
      </c>
      <c r="S206" s="1672">
        <v>200000</v>
      </c>
      <c r="T206" s="1671" t="s">
        <v>1702</v>
      </c>
      <c r="U206" s="1671"/>
      <c r="V206" s="1671">
        <v>15</v>
      </c>
      <c r="W206" s="1671" t="s">
        <v>1699</v>
      </c>
      <c r="X206" s="397" t="s">
        <v>1703</v>
      </c>
      <c r="Y206" s="874">
        <f t="shared" si="47"/>
        <v>3000</v>
      </c>
      <c r="Z206" s="355">
        <f>S206*V206*Q206</f>
        <v>3000000</v>
      </c>
      <c r="AA206" s="275"/>
      <c r="AB206" s="275"/>
      <c r="AC206" s="275"/>
    </row>
    <row r="207" spans="1:29" s="2278" customFormat="1" ht="23.85" customHeight="1">
      <c r="A207" s="2274"/>
      <c r="B207" s="1145"/>
      <c r="C207" s="470"/>
      <c r="D207" s="2275"/>
      <c r="E207" s="465"/>
      <c r="F207" s="598"/>
      <c r="G207" s="598"/>
      <c r="H207" s="338"/>
      <c r="I207" s="473"/>
      <c r="J207" s="1903" t="s">
        <v>2516</v>
      </c>
      <c r="K207" s="807"/>
      <c r="L207" s="807"/>
      <c r="M207" s="807"/>
      <c r="N207" s="646"/>
      <c r="O207" s="646"/>
      <c r="P207" s="646"/>
      <c r="Q207" s="1905">
        <v>1</v>
      </c>
      <c r="R207" s="2262" t="s">
        <v>2476</v>
      </c>
      <c r="S207" s="1672">
        <v>2500000</v>
      </c>
      <c r="T207" s="1671" t="s">
        <v>1702</v>
      </c>
      <c r="U207" s="1671"/>
      <c r="V207" s="1671">
        <v>1</v>
      </c>
      <c r="W207" s="1671" t="s">
        <v>1937</v>
      </c>
      <c r="X207" s="397" t="s">
        <v>1703</v>
      </c>
      <c r="Y207" s="874">
        <f t="shared" si="47"/>
        <v>2500</v>
      </c>
      <c r="Z207" s="355">
        <f>S207*V207*Q207</f>
        <v>2500000</v>
      </c>
      <c r="AA207" s="275"/>
      <c r="AB207" s="275"/>
      <c r="AC207" s="275"/>
    </row>
    <row r="208" spans="1:29" ht="23.85" customHeight="1">
      <c r="A208" s="2274"/>
      <c r="B208" s="1145"/>
      <c r="C208" s="470"/>
      <c r="D208" s="2278"/>
      <c r="E208" s="1126" t="s">
        <v>2472</v>
      </c>
      <c r="F208" s="598">
        <f t="shared" ref="F208:F210" si="49">+Y208</f>
        <v>1000</v>
      </c>
      <c r="G208" s="337">
        <v>1000</v>
      </c>
      <c r="H208" s="338"/>
      <c r="I208" s="473"/>
      <c r="J208" s="802" t="s">
        <v>2517</v>
      </c>
      <c r="K208" s="807"/>
      <c r="L208" s="807"/>
      <c r="M208" s="807"/>
      <c r="N208" s="646"/>
      <c r="O208" s="646"/>
      <c r="P208" s="646"/>
      <c r="Q208" s="1905">
        <v>500</v>
      </c>
      <c r="R208" s="2262" t="s">
        <v>2518</v>
      </c>
      <c r="S208" s="1672">
        <v>1000</v>
      </c>
      <c r="T208" s="1671" t="s">
        <v>1702</v>
      </c>
      <c r="U208" s="1671"/>
      <c r="V208" s="1671">
        <v>2</v>
      </c>
      <c r="W208" s="1671" t="s">
        <v>1699</v>
      </c>
      <c r="X208" s="397" t="s">
        <v>1703</v>
      </c>
      <c r="Y208" s="874">
        <f t="shared" si="47"/>
        <v>1000</v>
      </c>
      <c r="Z208" s="355">
        <f>S208*V208*Q208</f>
        <v>1000000</v>
      </c>
      <c r="AA208" s="275"/>
    </row>
    <row r="209" spans="1:33" s="2278" customFormat="1" ht="23.85" customHeight="1">
      <c r="A209" s="2274"/>
      <c r="B209" s="1145"/>
      <c r="C209" s="470"/>
      <c r="E209" s="465" t="s">
        <v>2385</v>
      </c>
      <c r="F209" s="598">
        <f t="shared" si="49"/>
        <v>500</v>
      </c>
      <c r="G209" s="337">
        <v>500</v>
      </c>
      <c r="H209" s="338"/>
      <c r="I209" s="473"/>
      <c r="J209" s="1903" t="s">
        <v>2519</v>
      </c>
      <c r="K209" s="807"/>
      <c r="L209" s="807"/>
      <c r="M209" s="807"/>
      <c r="N209" s="646"/>
      <c r="O209" s="646"/>
      <c r="P209" s="646"/>
      <c r="Q209" s="1905">
        <v>10</v>
      </c>
      <c r="R209" s="2262" t="s">
        <v>2476</v>
      </c>
      <c r="S209" s="1672">
        <v>50000</v>
      </c>
      <c r="T209" s="2288" t="s">
        <v>2520</v>
      </c>
      <c r="U209" s="2288" t="s">
        <v>2475</v>
      </c>
      <c r="V209" s="2288">
        <v>1</v>
      </c>
      <c r="W209" s="2288" t="s">
        <v>2513</v>
      </c>
      <c r="X209" s="1140" t="s">
        <v>2521</v>
      </c>
      <c r="Y209" s="874">
        <f t="shared" si="47"/>
        <v>500</v>
      </c>
      <c r="Z209" s="1324">
        <f>Q209*S209*V209</f>
        <v>500000</v>
      </c>
      <c r="AA209" s="275"/>
      <c r="AB209" s="275"/>
      <c r="AC209" s="275"/>
    </row>
    <row r="210" spans="1:33" s="2278" customFormat="1" ht="23.85" customHeight="1">
      <c r="A210" s="2274"/>
      <c r="B210" s="1145"/>
      <c r="C210" s="470"/>
      <c r="E210" s="1126" t="s">
        <v>2501</v>
      </c>
      <c r="F210" s="598">
        <f t="shared" si="49"/>
        <v>1200</v>
      </c>
      <c r="G210" s="337">
        <v>1200</v>
      </c>
      <c r="H210" s="338"/>
      <c r="I210" s="473"/>
      <c r="J210" s="802" t="s">
        <v>2523</v>
      </c>
      <c r="K210" s="807"/>
      <c r="L210" s="807"/>
      <c r="M210" s="807"/>
      <c r="N210" s="646"/>
      <c r="O210" s="646"/>
      <c r="P210" s="646"/>
      <c r="Q210" s="1905">
        <v>10</v>
      </c>
      <c r="R210" s="2262" t="s">
        <v>2476</v>
      </c>
      <c r="S210" s="1672">
        <v>10000</v>
      </c>
      <c r="T210" s="1671" t="s">
        <v>1702</v>
      </c>
      <c r="U210" s="1671"/>
      <c r="V210" s="1671">
        <v>12</v>
      </c>
      <c r="W210" s="1671" t="s">
        <v>1699</v>
      </c>
      <c r="X210" s="397" t="s">
        <v>1703</v>
      </c>
      <c r="Y210" s="874">
        <f t="shared" si="47"/>
        <v>1200</v>
      </c>
      <c r="Z210" s="355">
        <f>S210*V210*Q210</f>
        <v>1200000</v>
      </c>
      <c r="AA210" s="275"/>
      <c r="AB210" s="275"/>
      <c r="AC210" s="275"/>
    </row>
    <row r="211" spans="1:33" ht="22.5" customHeight="1">
      <c r="A211" s="2274"/>
      <c r="B211" s="1145"/>
      <c r="C211" s="470"/>
      <c r="D211" s="3284" t="s">
        <v>2524</v>
      </c>
      <c r="E211" s="3285"/>
      <c r="F211" s="373">
        <f>SUM(F212:F222)</f>
        <v>50000</v>
      </c>
      <c r="G211" s="373">
        <f>SUM(G212:G222)</f>
        <v>50000</v>
      </c>
      <c r="H211" s="1132">
        <f>F211-G211</f>
        <v>0</v>
      </c>
      <c r="I211" s="473"/>
      <c r="J211" s="1901"/>
      <c r="K211" s="1902"/>
      <c r="L211" s="1902"/>
      <c r="M211" s="1902"/>
      <c r="N211" s="1902"/>
      <c r="O211" s="1902"/>
      <c r="P211" s="1902"/>
      <c r="Q211" s="799"/>
      <c r="R211" s="376"/>
      <c r="S211" s="375"/>
      <c r="T211" s="376"/>
      <c r="U211" s="375"/>
      <c r="V211" s="376"/>
      <c r="W211" s="375"/>
      <c r="X211" s="375"/>
      <c r="Y211" s="801"/>
      <c r="Z211" s="503"/>
      <c r="AA211" s="275"/>
    </row>
    <row r="212" spans="1:33" ht="22.5" customHeight="1">
      <c r="A212" s="2274"/>
      <c r="B212" s="1145"/>
      <c r="C212" s="470"/>
      <c r="D212" s="2275"/>
      <c r="E212" s="465" t="s">
        <v>2474</v>
      </c>
      <c r="F212" s="598">
        <f>+Y212</f>
        <v>30000</v>
      </c>
      <c r="G212" s="337">
        <v>30000</v>
      </c>
      <c r="H212" s="338"/>
      <c r="I212" s="473"/>
      <c r="J212" s="1903" t="s">
        <v>2506</v>
      </c>
      <c r="K212" s="807"/>
      <c r="L212" s="807"/>
      <c r="M212" s="807"/>
      <c r="N212" s="646"/>
      <c r="O212" s="646"/>
      <c r="P212" s="646"/>
      <c r="Q212" s="1905">
        <v>1</v>
      </c>
      <c r="R212" s="2262" t="s">
        <v>2476</v>
      </c>
      <c r="S212" s="1672">
        <v>2500000</v>
      </c>
      <c r="T212" s="1671" t="s">
        <v>1702</v>
      </c>
      <c r="U212" s="1671"/>
      <c r="V212" s="1671">
        <v>12</v>
      </c>
      <c r="W212" s="1671" t="s">
        <v>2507</v>
      </c>
      <c r="X212" s="397" t="s">
        <v>1703</v>
      </c>
      <c r="Y212" s="874">
        <f>+Z212/1000</f>
        <v>30000</v>
      </c>
      <c r="Z212" s="355">
        <f>S212*V212*Q212</f>
        <v>30000000</v>
      </c>
      <c r="AA212" s="275"/>
      <c r="AB212" s="275"/>
      <c r="AC212" s="275"/>
      <c r="AD212" s="275"/>
      <c r="AE212" s="275"/>
      <c r="AF212" s="1675"/>
      <c r="AG212" s="1675"/>
    </row>
    <row r="213" spans="1:33" s="2278" customFormat="1" ht="22.5" customHeight="1">
      <c r="A213" s="2274"/>
      <c r="B213" s="1145"/>
      <c r="C213" s="470"/>
      <c r="D213" s="2275"/>
      <c r="E213" s="465" t="s">
        <v>2479</v>
      </c>
      <c r="F213" s="598">
        <f>+Y213</f>
        <v>5000</v>
      </c>
      <c r="G213" s="337">
        <v>5000</v>
      </c>
      <c r="H213" s="338"/>
      <c r="I213" s="473"/>
      <c r="J213" s="1903" t="s">
        <v>1934</v>
      </c>
      <c r="K213" s="807"/>
      <c r="L213" s="807"/>
      <c r="M213" s="807"/>
      <c r="N213" s="646"/>
      <c r="O213" s="646"/>
      <c r="P213" s="646"/>
      <c r="Q213" s="650"/>
      <c r="R213" s="2262"/>
      <c r="S213" s="2262"/>
      <c r="T213" s="2288" t="s">
        <v>2475</v>
      </c>
      <c r="U213" s="2288" t="s">
        <v>2475</v>
      </c>
      <c r="V213" s="2288" t="s">
        <v>2475</v>
      </c>
      <c r="W213" s="2288" t="s">
        <v>2475</v>
      </c>
      <c r="X213" s="1140" t="s">
        <v>2475</v>
      </c>
      <c r="Y213" s="874">
        <f t="shared" ref="Y213:Y222" si="50">+Z213/1000</f>
        <v>5000</v>
      </c>
      <c r="Z213" s="1324">
        <f>SUM(Z214:Z215)</f>
        <v>5000000</v>
      </c>
      <c r="AA213" s="275"/>
      <c r="AB213" s="843"/>
      <c r="AC213" s="843"/>
      <c r="AD213" s="843"/>
      <c r="AE213" s="843"/>
      <c r="AF213" s="949"/>
      <c r="AG213" s="795"/>
    </row>
    <row r="214" spans="1:33" s="2278" customFormat="1" ht="22.5" customHeight="1">
      <c r="A214" s="2274"/>
      <c r="B214" s="1145"/>
      <c r="C214" s="470"/>
      <c r="D214" s="2275"/>
      <c r="E214" s="465"/>
      <c r="F214" s="598"/>
      <c r="G214" s="337"/>
      <c r="H214" s="338"/>
      <c r="I214" s="473"/>
      <c r="J214" s="1903" t="s">
        <v>2525</v>
      </c>
      <c r="K214" s="807"/>
      <c r="L214" s="807"/>
      <c r="M214" s="807"/>
      <c r="N214" s="646"/>
      <c r="O214" s="646"/>
      <c r="P214" s="646"/>
      <c r="Q214" s="1905">
        <v>250</v>
      </c>
      <c r="R214" s="2262" t="s">
        <v>2481</v>
      </c>
      <c r="S214" s="1672">
        <v>1000</v>
      </c>
      <c r="T214" s="1671" t="s">
        <v>1702</v>
      </c>
      <c r="U214" s="1671"/>
      <c r="V214" s="1671">
        <v>4</v>
      </c>
      <c r="W214" s="1671" t="s">
        <v>2510</v>
      </c>
      <c r="X214" s="397" t="s">
        <v>1703</v>
      </c>
      <c r="Y214" s="874">
        <f t="shared" si="50"/>
        <v>1000</v>
      </c>
      <c r="Z214" s="355">
        <f>S214*V214*Q214</f>
        <v>1000000</v>
      </c>
      <c r="AA214" s="275"/>
      <c r="AB214" s="843"/>
      <c r="AC214" s="843"/>
      <c r="AD214" s="843"/>
      <c r="AE214" s="843"/>
      <c r="AF214" s="949"/>
      <c r="AG214" s="795"/>
    </row>
    <row r="215" spans="1:33" s="2278" customFormat="1" ht="22.5" customHeight="1">
      <c r="A215" s="2274"/>
      <c r="B215" s="1145"/>
      <c r="C215" s="470"/>
      <c r="D215" s="2275"/>
      <c r="E215" s="465"/>
      <c r="F215" s="598"/>
      <c r="G215" s="337"/>
      <c r="H215" s="338"/>
      <c r="I215" s="473"/>
      <c r="J215" s="1903" t="s">
        <v>2526</v>
      </c>
      <c r="K215" s="807"/>
      <c r="L215" s="807"/>
      <c r="M215" s="807"/>
      <c r="N215" s="646"/>
      <c r="O215" s="646"/>
      <c r="P215" s="646"/>
      <c r="Q215" s="1905">
        <v>200</v>
      </c>
      <c r="R215" s="2262" t="s">
        <v>2481</v>
      </c>
      <c r="S215" s="1672">
        <v>20000</v>
      </c>
      <c r="T215" s="1671" t="s">
        <v>1702</v>
      </c>
      <c r="U215" s="1671"/>
      <c r="V215" s="1671">
        <v>1</v>
      </c>
      <c r="W215" s="1671" t="s">
        <v>1699</v>
      </c>
      <c r="X215" s="397" t="s">
        <v>1703</v>
      </c>
      <c r="Y215" s="874">
        <f t="shared" si="50"/>
        <v>4000</v>
      </c>
      <c r="Z215" s="355">
        <f>S215*V215*Q215</f>
        <v>4000000</v>
      </c>
      <c r="AA215" s="275"/>
      <c r="AB215" s="843"/>
      <c r="AC215" s="843"/>
      <c r="AD215" s="843"/>
      <c r="AE215" s="843"/>
      <c r="AF215" s="949"/>
      <c r="AG215" s="795"/>
    </row>
    <row r="216" spans="1:33" s="2278" customFormat="1" ht="22.5" customHeight="1">
      <c r="A216" s="2274"/>
      <c r="B216" s="1145"/>
      <c r="C216" s="470"/>
      <c r="E216" s="1126" t="s">
        <v>2469</v>
      </c>
      <c r="F216" s="598">
        <f t="shared" ref="F216:F217" si="51">+Y216</f>
        <v>1000</v>
      </c>
      <c r="G216" s="337">
        <v>1000</v>
      </c>
      <c r="H216" s="338"/>
      <c r="I216" s="473"/>
      <c r="J216" s="1903" t="s">
        <v>2527</v>
      </c>
      <c r="K216" s="807"/>
      <c r="L216" s="807"/>
      <c r="M216" s="807"/>
      <c r="N216" s="646"/>
      <c r="O216" s="646"/>
      <c r="P216" s="646"/>
      <c r="Q216" s="1905"/>
      <c r="R216" s="2262"/>
      <c r="S216" s="1672">
        <v>200000</v>
      </c>
      <c r="T216" s="1671" t="s">
        <v>1702</v>
      </c>
      <c r="U216" s="1671"/>
      <c r="V216" s="1671">
        <v>5</v>
      </c>
      <c r="W216" s="1671" t="s">
        <v>2528</v>
      </c>
      <c r="X216" s="397" t="s">
        <v>1703</v>
      </c>
      <c r="Y216" s="874">
        <f t="shared" si="50"/>
        <v>1000</v>
      </c>
      <c r="Z216" s="355">
        <f>S216*V216</f>
        <v>1000000</v>
      </c>
      <c r="AA216" s="275"/>
      <c r="AB216" s="275"/>
      <c r="AC216" s="275"/>
    </row>
    <row r="217" spans="1:33" s="2278" customFormat="1" ht="22.5" customHeight="1">
      <c r="A217" s="2274"/>
      <c r="B217" s="1145"/>
      <c r="C217" s="470"/>
      <c r="D217" s="471"/>
      <c r="E217" s="1126" t="s">
        <v>2488</v>
      </c>
      <c r="F217" s="598">
        <f t="shared" si="51"/>
        <v>9000</v>
      </c>
      <c r="G217" s="337">
        <v>9000</v>
      </c>
      <c r="H217" s="338"/>
      <c r="I217" s="473"/>
      <c r="J217" s="1903" t="s">
        <v>1934</v>
      </c>
      <c r="K217" s="807"/>
      <c r="L217" s="807"/>
      <c r="M217" s="807"/>
      <c r="N217" s="646"/>
      <c r="O217" s="646"/>
      <c r="P217" s="646"/>
      <c r="Q217" s="650"/>
      <c r="R217" s="2262"/>
      <c r="S217" s="2262"/>
      <c r="T217" s="2288" t="s">
        <v>2475</v>
      </c>
      <c r="U217" s="2288" t="s">
        <v>2475</v>
      </c>
      <c r="V217" s="2288" t="s">
        <v>2475</v>
      </c>
      <c r="W217" s="2288" t="s">
        <v>2475</v>
      </c>
      <c r="X217" s="1140" t="s">
        <v>2475</v>
      </c>
      <c r="Y217" s="874">
        <f t="shared" si="50"/>
        <v>9000</v>
      </c>
      <c r="Z217" s="1324">
        <f>SUM(Z218:Z219)</f>
        <v>9000000</v>
      </c>
      <c r="AA217" s="275"/>
      <c r="AB217" s="275"/>
      <c r="AC217" s="275"/>
    </row>
    <row r="218" spans="1:33" s="2278" customFormat="1" ht="22.5" customHeight="1">
      <c r="A218" s="2274"/>
      <c r="B218" s="1145"/>
      <c r="C218" s="470"/>
      <c r="D218" s="471"/>
      <c r="E218" s="1126"/>
      <c r="F218" s="598"/>
      <c r="G218" s="337"/>
      <c r="H218" s="338"/>
      <c r="I218" s="473"/>
      <c r="J218" s="1903" t="s">
        <v>2525</v>
      </c>
      <c r="K218" s="807"/>
      <c r="L218" s="807"/>
      <c r="M218" s="807"/>
      <c r="N218" s="646"/>
      <c r="O218" s="646"/>
      <c r="P218" s="646"/>
      <c r="Q218" s="1905">
        <v>2</v>
      </c>
      <c r="R218" s="2262" t="s">
        <v>2476</v>
      </c>
      <c r="S218" s="1672">
        <v>100000</v>
      </c>
      <c r="T218" s="1671" t="s">
        <v>1702</v>
      </c>
      <c r="U218" s="1671"/>
      <c r="V218" s="1671">
        <v>40</v>
      </c>
      <c r="W218" s="1671" t="s">
        <v>1699</v>
      </c>
      <c r="X218" s="397" t="s">
        <v>1703</v>
      </c>
      <c r="Y218" s="874">
        <f t="shared" si="50"/>
        <v>8000</v>
      </c>
      <c r="Z218" s="355">
        <f>S218*V218*Q218</f>
        <v>8000000</v>
      </c>
      <c r="AA218" s="275"/>
      <c r="AB218" s="275"/>
      <c r="AC218" s="275"/>
    </row>
    <row r="219" spans="1:33" s="2278" customFormat="1" ht="22.5" customHeight="1">
      <c r="A219" s="2274"/>
      <c r="B219" s="1145"/>
      <c r="C219" s="470"/>
      <c r="D219" s="471"/>
      <c r="E219" s="1126"/>
      <c r="F219" s="598"/>
      <c r="G219" s="337"/>
      <c r="H219" s="338"/>
      <c r="I219" s="473"/>
      <c r="J219" s="1903" t="s">
        <v>2529</v>
      </c>
      <c r="K219" s="807"/>
      <c r="L219" s="807"/>
      <c r="M219" s="807"/>
      <c r="N219" s="646"/>
      <c r="O219" s="646"/>
      <c r="P219" s="646"/>
      <c r="Q219" s="1905">
        <v>1</v>
      </c>
      <c r="R219" s="2262" t="s">
        <v>2476</v>
      </c>
      <c r="S219" s="1672">
        <v>200000</v>
      </c>
      <c r="T219" s="1671" t="s">
        <v>1702</v>
      </c>
      <c r="U219" s="1671"/>
      <c r="V219" s="1671">
        <v>5</v>
      </c>
      <c r="W219" s="1671" t="s">
        <v>1699</v>
      </c>
      <c r="X219" s="397" t="s">
        <v>1703</v>
      </c>
      <c r="Y219" s="874">
        <f t="shared" si="50"/>
        <v>1000</v>
      </c>
      <c r="Z219" s="355">
        <f>S219*V219*Q219</f>
        <v>1000000</v>
      </c>
      <c r="AA219" s="275"/>
      <c r="AB219" s="275"/>
      <c r="AC219" s="275"/>
    </row>
    <row r="220" spans="1:33" s="2278" customFormat="1" ht="22.5" customHeight="1">
      <c r="A220" s="2274"/>
      <c r="B220" s="1145"/>
      <c r="C220" s="470"/>
      <c r="D220" s="2275"/>
      <c r="E220" s="465" t="s">
        <v>2494</v>
      </c>
      <c r="F220" s="598">
        <f t="shared" ref="F220:F222" si="52">+Y220</f>
        <v>2500</v>
      </c>
      <c r="G220" s="337">
        <v>2500</v>
      </c>
      <c r="H220" s="338"/>
      <c r="I220" s="473"/>
      <c r="J220" s="1903" t="s">
        <v>2530</v>
      </c>
      <c r="K220" s="807"/>
      <c r="L220" s="807"/>
      <c r="M220" s="807"/>
      <c r="N220" s="646"/>
      <c r="O220" s="646"/>
      <c r="P220" s="646"/>
      <c r="Q220" s="1905">
        <v>1</v>
      </c>
      <c r="R220" s="2262" t="s">
        <v>2512</v>
      </c>
      <c r="S220" s="1672">
        <v>1250000</v>
      </c>
      <c r="T220" s="1671" t="s">
        <v>1702</v>
      </c>
      <c r="U220" s="1671"/>
      <c r="V220" s="1671">
        <v>2</v>
      </c>
      <c r="W220" s="1671" t="s">
        <v>1699</v>
      </c>
      <c r="X220" s="397" t="s">
        <v>1703</v>
      </c>
      <c r="Y220" s="874">
        <f>+Z220/1000</f>
        <v>2500</v>
      </c>
      <c r="Z220" s="355">
        <f>S220*V220*Q220</f>
        <v>2500000</v>
      </c>
      <c r="AA220" s="275"/>
      <c r="AB220" s="275"/>
      <c r="AC220" s="275"/>
    </row>
    <row r="221" spans="1:33" s="2278" customFormat="1" ht="22.5" customHeight="1">
      <c r="A221" s="2274"/>
      <c r="B221" s="1145"/>
      <c r="C221" s="470"/>
      <c r="E221" s="465" t="s">
        <v>2385</v>
      </c>
      <c r="F221" s="598">
        <f t="shared" si="52"/>
        <v>1500</v>
      </c>
      <c r="G221" s="337">
        <v>1500</v>
      </c>
      <c r="H221" s="338"/>
      <c r="I221" s="473"/>
      <c r="J221" s="1903" t="s">
        <v>2531</v>
      </c>
      <c r="K221" s="807"/>
      <c r="L221" s="807"/>
      <c r="M221" s="807"/>
      <c r="N221" s="646"/>
      <c r="O221" s="646"/>
      <c r="P221" s="646"/>
      <c r="Q221" s="1905">
        <v>30</v>
      </c>
      <c r="R221" s="2262" t="s">
        <v>2512</v>
      </c>
      <c r="S221" s="1672">
        <v>5000</v>
      </c>
      <c r="T221" s="1671" t="s">
        <v>1702</v>
      </c>
      <c r="U221" s="1671"/>
      <c r="V221" s="1671">
        <v>10</v>
      </c>
      <c r="W221" s="1671" t="s">
        <v>1699</v>
      </c>
      <c r="X221" s="397" t="s">
        <v>1703</v>
      </c>
      <c r="Y221" s="874">
        <f>+Z221/1000</f>
        <v>1500</v>
      </c>
      <c r="Z221" s="355">
        <f>S221*V221*Q221</f>
        <v>1500000</v>
      </c>
      <c r="AA221" s="275"/>
      <c r="AB221" s="275"/>
      <c r="AC221" s="275"/>
    </row>
    <row r="222" spans="1:33" s="2278" customFormat="1" ht="22.5" customHeight="1">
      <c r="A222" s="2274"/>
      <c r="B222" s="1145"/>
      <c r="C222" s="470"/>
      <c r="D222" s="2279"/>
      <c r="E222" s="359" t="s">
        <v>2501</v>
      </c>
      <c r="F222" s="598">
        <f t="shared" si="52"/>
        <v>1000</v>
      </c>
      <c r="G222" s="597">
        <v>1000</v>
      </c>
      <c r="H222" s="361"/>
      <c r="I222" s="473"/>
      <c r="J222" s="1906" t="s">
        <v>2523</v>
      </c>
      <c r="K222" s="1907"/>
      <c r="L222" s="1907"/>
      <c r="M222" s="1907"/>
      <c r="N222" s="1908"/>
      <c r="O222" s="1908"/>
      <c r="P222" s="1908"/>
      <c r="Q222" s="1909">
        <v>10</v>
      </c>
      <c r="R222" s="457" t="s">
        <v>2476</v>
      </c>
      <c r="S222" s="458">
        <v>10000</v>
      </c>
      <c r="T222" s="371" t="s">
        <v>1702</v>
      </c>
      <c r="U222" s="371"/>
      <c r="V222" s="371">
        <v>10</v>
      </c>
      <c r="W222" s="371" t="s">
        <v>1699</v>
      </c>
      <c r="X222" s="426" t="s">
        <v>1703</v>
      </c>
      <c r="Y222" s="1910">
        <f t="shared" si="50"/>
        <v>1000</v>
      </c>
      <c r="Z222" s="355">
        <f>S222*V222*Q222</f>
        <v>1000000</v>
      </c>
      <c r="AA222" s="275"/>
      <c r="AB222" s="275"/>
      <c r="AC222" s="275"/>
    </row>
    <row r="223" spans="1:33" s="2278" customFormat="1" ht="22.5" customHeight="1">
      <c r="A223" s="2274"/>
      <c r="B223" s="1145"/>
      <c r="C223" s="470"/>
      <c r="D223" s="3434" t="s">
        <v>2532</v>
      </c>
      <c r="E223" s="3357"/>
      <c r="F223" s="373">
        <f>SUM(F224:F237)</f>
        <v>15000</v>
      </c>
      <c r="G223" s="360">
        <f>SUM(G224:G237)</f>
        <v>15000</v>
      </c>
      <c r="H223" s="361">
        <f>F223-G223</f>
        <v>0</v>
      </c>
      <c r="I223" s="473"/>
      <c r="J223" s="1977"/>
      <c r="K223" s="1978"/>
      <c r="L223" s="1978"/>
      <c r="M223" s="1978"/>
      <c r="N223" s="1978"/>
      <c r="O223" s="1978"/>
      <c r="P223" s="1978"/>
      <c r="Q223" s="1979"/>
      <c r="R223" s="827"/>
      <c r="S223" s="2289"/>
      <c r="T223" s="827"/>
      <c r="U223" s="2289"/>
      <c r="V223" s="827"/>
      <c r="W223" s="2289"/>
      <c r="X223" s="2289"/>
      <c r="Y223" s="1910"/>
      <c r="Z223" s="503">
        <f>Z224+Z227+Z228+Z233+Z234+Z237</f>
        <v>15000000</v>
      </c>
      <c r="AA223" s="275"/>
      <c r="AB223" s="275"/>
      <c r="AC223" s="275"/>
    </row>
    <row r="224" spans="1:33" s="2278" customFormat="1" ht="22.5" customHeight="1">
      <c r="A224" s="2274"/>
      <c r="B224" s="1145"/>
      <c r="C224" s="470"/>
      <c r="D224" s="2275"/>
      <c r="E224" s="465" t="s">
        <v>2479</v>
      </c>
      <c r="F224" s="598">
        <f>+Y224</f>
        <v>1700</v>
      </c>
      <c r="G224" s="337">
        <v>1700</v>
      </c>
      <c r="H224" s="338"/>
      <c r="I224" s="473"/>
      <c r="J224" s="1903" t="s">
        <v>1934</v>
      </c>
      <c r="K224" s="807"/>
      <c r="L224" s="807"/>
      <c r="M224" s="807"/>
      <c r="N224" s="646"/>
      <c r="O224" s="646"/>
      <c r="P224" s="646"/>
      <c r="Q224" s="650"/>
      <c r="R224" s="2262"/>
      <c r="S224" s="2262" t="s">
        <v>2475</v>
      </c>
      <c r="T224" s="2288" t="s">
        <v>2475</v>
      </c>
      <c r="U224" s="2288" t="s">
        <v>2475</v>
      </c>
      <c r="V224" s="2288" t="s">
        <v>2475</v>
      </c>
      <c r="W224" s="2288" t="s">
        <v>2475</v>
      </c>
      <c r="X224" s="1140" t="s">
        <v>2475</v>
      </c>
      <c r="Y224" s="874">
        <f>+Y225+Y226</f>
        <v>1700</v>
      </c>
      <c r="Z224" s="1324">
        <f>SUM(Z225:Z226)</f>
        <v>1700000</v>
      </c>
      <c r="AA224" s="275"/>
      <c r="AB224" s="275"/>
      <c r="AC224" s="275"/>
    </row>
    <row r="225" spans="1:29" s="2278" customFormat="1" ht="22.5" customHeight="1">
      <c r="A225" s="2274"/>
      <c r="B225" s="1145"/>
      <c r="C225" s="470"/>
      <c r="D225" s="2275"/>
      <c r="E225" s="465"/>
      <c r="F225" s="598"/>
      <c r="G225" s="337"/>
      <c r="H225" s="338"/>
      <c r="I225" s="473"/>
      <c r="J225" s="1903" t="s">
        <v>2533</v>
      </c>
      <c r="K225" s="807"/>
      <c r="L225" s="807"/>
      <c r="M225" s="807"/>
      <c r="N225" s="646"/>
      <c r="O225" s="646"/>
      <c r="P225" s="646"/>
      <c r="Q225" s="1905">
        <v>50</v>
      </c>
      <c r="R225" s="2262" t="s">
        <v>2481</v>
      </c>
      <c r="S225" s="1672">
        <v>2000</v>
      </c>
      <c r="T225" s="1671" t="s">
        <v>1702</v>
      </c>
      <c r="U225" s="1671"/>
      <c r="V225" s="1671">
        <v>2</v>
      </c>
      <c r="W225" s="1671" t="s">
        <v>2510</v>
      </c>
      <c r="X225" s="397" t="s">
        <v>1703</v>
      </c>
      <c r="Y225" s="874">
        <f t="shared" ref="Y225:Y238" si="53">+Z225/1000</f>
        <v>200</v>
      </c>
      <c r="Z225" s="355">
        <f>S225*V225*Q225</f>
        <v>200000</v>
      </c>
      <c r="AA225" s="275"/>
      <c r="AB225" s="275"/>
      <c r="AC225" s="275"/>
    </row>
    <row r="226" spans="1:29" s="2278" customFormat="1" ht="22.5" customHeight="1">
      <c r="A226" s="2274"/>
      <c r="B226" s="1145"/>
      <c r="C226" s="470"/>
      <c r="D226" s="2275"/>
      <c r="E226" s="465"/>
      <c r="F226" s="598"/>
      <c r="G226" s="337"/>
      <c r="H226" s="338"/>
      <c r="I226" s="473"/>
      <c r="J226" s="1903" t="s">
        <v>2534</v>
      </c>
      <c r="K226" s="807"/>
      <c r="L226" s="807"/>
      <c r="M226" s="807"/>
      <c r="N226" s="646"/>
      <c r="O226" s="646"/>
      <c r="P226" s="646"/>
      <c r="Q226" s="1905">
        <v>150</v>
      </c>
      <c r="R226" s="2262" t="s">
        <v>2481</v>
      </c>
      <c r="S226" s="1672">
        <v>10000</v>
      </c>
      <c r="T226" s="1671" t="s">
        <v>1702</v>
      </c>
      <c r="U226" s="1671"/>
      <c r="V226" s="1671">
        <v>1</v>
      </c>
      <c r="W226" s="1671" t="s">
        <v>2510</v>
      </c>
      <c r="X226" s="397" t="s">
        <v>1703</v>
      </c>
      <c r="Y226" s="874">
        <f t="shared" si="53"/>
        <v>1500</v>
      </c>
      <c r="Z226" s="355">
        <f>S226*V226*Q226</f>
        <v>1500000</v>
      </c>
      <c r="AA226" s="275"/>
      <c r="AB226" s="275"/>
      <c r="AC226" s="275"/>
    </row>
    <row r="227" spans="1:29" s="2278" customFormat="1" ht="22.5" customHeight="1">
      <c r="A227" s="2274"/>
      <c r="B227" s="1145"/>
      <c r="C227" s="470"/>
      <c r="E227" s="1126" t="s">
        <v>2469</v>
      </c>
      <c r="F227" s="598">
        <f t="shared" ref="F227:F228" si="54">+Y227</f>
        <v>900</v>
      </c>
      <c r="G227" s="337">
        <v>900</v>
      </c>
      <c r="H227" s="338"/>
      <c r="I227" s="473"/>
      <c r="J227" s="1903" t="s">
        <v>2527</v>
      </c>
      <c r="K227" s="807"/>
      <c r="L227" s="807"/>
      <c r="M227" s="807"/>
      <c r="N227" s="646"/>
      <c r="O227" s="646"/>
      <c r="P227" s="646"/>
      <c r="Q227" s="1905"/>
      <c r="R227" s="2262"/>
      <c r="S227" s="1672">
        <v>300000</v>
      </c>
      <c r="T227" s="1671" t="s">
        <v>1702</v>
      </c>
      <c r="U227" s="1671"/>
      <c r="V227" s="1671">
        <v>3</v>
      </c>
      <c r="W227" s="1671" t="s">
        <v>2528</v>
      </c>
      <c r="X227" s="397" t="s">
        <v>1703</v>
      </c>
      <c r="Y227" s="874">
        <f t="shared" si="53"/>
        <v>900</v>
      </c>
      <c r="Z227" s="355">
        <f>S227*V227</f>
        <v>900000</v>
      </c>
      <c r="AA227" s="275"/>
      <c r="AB227" s="275"/>
      <c r="AC227" s="275"/>
    </row>
    <row r="228" spans="1:29" s="2278" customFormat="1" ht="22.5" customHeight="1">
      <c r="A228" s="2274"/>
      <c r="B228" s="1145"/>
      <c r="C228" s="470"/>
      <c r="D228" s="471"/>
      <c r="E228" s="1126" t="s">
        <v>2488</v>
      </c>
      <c r="F228" s="598">
        <f t="shared" si="54"/>
        <v>9400</v>
      </c>
      <c r="G228" s="337">
        <v>9400</v>
      </c>
      <c r="H228" s="338"/>
      <c r="I228" s="473"/>
      <c r="J228" s="1903" t="s">
        <v>1934</v>
      </c>
      <c r="K228" s="807"/>
      <c r="L228" s="807"/>
      <c r="M228" s="807"/>
      <c r="N228" s="646"/>
      <c r="O228" s="646"/>
      <c r="P228" s="646"/>
      <c r="Q228" s="650"/>
      <c r="R228" s="2262"/>
      <c r="S228" s="2262"/>
      <c r="T228" s="2288" t="s">
        <v>2475</v>
      </c>
      <c r="U228" s="2288" t="s">
        <v>2475</v>
      </c>
      <c r="V228" s="2288" t="s">
        <v>2475</v>
      </c>
      <c r="W228" s="2288" t="s">
        <v>2475</v>
      </c>
      <c r="X228" s="1140" t="s">
        <v>2475</v>
      </c>
      <c r="Y228" s="874">
        <f t="shared" si="53"/>
        <v>9400</v>
      </c>
      <c r="Z228" s="1324">
        <f>SUM(Z229:Z232)</f>
        <v>9400000</v>
      </c>
      <c r="AA228" s="275"/>
      <c r="AB228" s="275"/>
      <c r="AC228" s="275"/>
    </row>
    <row r="229" spans="1:29" s="2278" customFormat="1" ht="22.5" customHeight="1">
      <c r="A229" s="2274"/>
      <c r="B229" s="1145"/>
      <c r="C229" s="470"/>
      <c r="D229" s="471"/>
      <c r="E229" s="1126"/>
      <c r="F229" s="598"/>
      <c r="G229" s="337"/>
      <c r="H229" s="338"/>
      <c r="I229" s="473"/>
      <c r="J229" s="1903" t="s">
        <v>2535</v>
      </c>
      <c r="K229" s="807"/>
      <c r="L229" s="807"/>
      <c r="M229" s="807"/>
      <c r="N229" s="646"/>
      <c r="O229" s="646"/>
      <c r="P229" s="646"/>
      <c r="Q229" s="1905">
        <v>2</v>
      </c>
      <c r="R229" s="2262" t="s">
        <v>2476</v>
      </c>
      <c r="S229" s="1672">
        <v>200000</v>
      </c>
      <c r="T229" s="1671" t="s">
        <v>1702</v>
      </c>
      <c r="U229" s="1671"/>
      <c r="V229" s="1671">
        <v>5</v>
      </c>
      <c r="W229" s="1671" t="s">
        <v>1699</v>
      </c>
      <c r="X229" s="397" t="s">
        <v>1703</v>
      </c>
      <c r="Y229" s="874">
        <f t="shared" si="53"/>
        <v>2000</v>
      </c>
      <c r="Z229" s="355">
        <f>S229*V229*Q229</f>
        <v>2000000</v>
      </c>
      <c r="AA229" s="275"/>
      <c r="AB229" s="275"/>
      <c r="AC229" s="275"/>
    </row>
    <row r="230" spans="1:29" s="2278" customFormat="1" ht="22.5" customHeight="1">
      <c r="A230" s="2274"/>
      <c r="B230" s="1145"/>
      <c r="C230" s="470"/>
      <c r="D230" s="471"/>
      <c r="E230" s="1126"/>
      <c r="F230" s="598"/>
      <c r="G230" s="337"/>
      <c r="H230" s="338"/>
      <c r="I230" s="473"/>
      <c r="J230" s="1903" t="s">
        <v>2536</v>
      </c>
      <c r="K230" s="807"/>
      <c r="L230" s="807"/>
      <c r="M230" s="807"/>
      <c r="N230" s="646"/>
      <c r="O230" s="646"/>
      <c r="P230" s="646"/>
      <c r="Q230" s="1905">
        <v>1</v>
      </c>
      <c r="R230" s="2262" t="s">
        <v>2476</v>
      </c>
      <c r="S230" s="1672">
        <v>300000</v>
      </c>
      <c r="T230" s="1671" t="s">
        <v>1702</v>
      </c>
      <c r="U230" s="1671"/>
      <c r="V230" s="1671">
        <v>10</v>
      </c>
      <c r="W230" s="1671" t="s">
        <v>1699</v>
      </c>
      <c r="X230" s="397" t="s">
        <v>1703</v>
      </c>
      <c r="Y230" s="874">
        <f t="shared" si="53"/>
        <v>3000</v>
      </c>
      <c r="Z230" s="355">
        <f>S230*V230*Q230</f>
        <v>3000000</v>
      </c>
      <c r="AA230" s="275"/>
      <c r="AB230" s="275"/>
      <c r="AC230" s="275"/>
    </row>
    <row r="231" spans="1:29" s="2278" customFormat="1" ht="22.5" customHeight="1">
      <c r="A231" s="2274"/>
      <c r="B231" s="1145"/>
      <c r="C231" s="470"/>
      <c r="D231" s="471"/>
      <c r="E231" s="1126"/>
      <c r="F231" s="598"/>
      <c r="G231" s="337"/>
      <c r="H231" s="338"/>
      <c r="I231" s="473"/>
      <c r="J231" s="1903" t="s">
        <v>2537</v>
      </c>
      <c r="K231" s="807"/>
      <c r="L231" s="807"/>
      <c r="M231" s="807"/>
      <c r="N231" s="646"/>
      <c r="O231" s="646"/>
      <c r="P231" s="646"/>
      <c r="Q231" s="1905">
        <v>2</v>
      </c>
      <c r="R231" s="2262" t="s">
        <v>2476</v>
      </c>
      <c r="S231" s="1672">
        <v>200000</v>
      </c>
      <c r="T231" s="1671" t="s">
        <v>1702</v>
      </c>
      <c r="U231" s="1671"/>
      <c r="V231" s="1671">
        <v>5</v>
      </c>
      <c r="W231" s="1671" t="s">
        <v>1699</v>
      </c>
      <c r="X231" s="397" t="s">
        <v>1703</v>
      </c>
      <c r="Y231" s="874">
        <f t="shared" si="53"/>
        <v>2000</v>
      </c>
      <c r="Z231" s="355">
        <f>S231*V231*Q231</f>
        <v>2000000</v>
      </c>
      <c r="AA231" s="275"/>
      <c r="AB231" s="275"/>
      <c r="AC231" s="275"/>
    </row>
    <row r="232" spans="1:29" s="2278" customFormat="1" ht="22.5" customHeight="1">
      <c r="A232" s="2274"/>
      <c r="B232" s="1145"/>
      <c r="C232" s="470"/>
      <c r="D232" s="2275"/>
      <c r="E232" s="465"/>
      <c r="F232" s="598"/>
      <c r="G232" s="337"/>
      <c r="H232" s="338"/>
      <c r="I232" s="473"/>
      <c r="J232" s="1903" t="s">
        <v>2538</v>
      </c>
      <c r="K232" s="807"/>
      <c r="L232" s="807"/>
      <c r="M232" s="807"/>
      <c r="N232" s="646"/>
      <c r="O232" s="646"/>
      <c r="P232" s="646"/>
      <c r="Q232" s="1905">
        <v>48</v>
      </c>
      <c r="R232" s="2262" t="s">
        <v>2503</v>
      </c>
      <c r="S232" s="1672">
        <v>50000</v>
      </c>
      <c r="T232" s="1671" t="s">
        <v>1702</v>
      </c>
      <c r="U232" s="1671"/>
      <c r="V232" s="1671">
        <v>1</v>
      </c>
      <c r="W232" s="1671" t="s">
        <v>1699</v>
      </c>
      <c r="X232" s="397" t="s">
        <v>1703</v>
      </c>
      <c r="Y232" s="874">
        <f t="shared" si="53"/>
        <v>2400</v>
      </c>
      <c r="Z232" s="355">
        <f>S232*V232*Q232</f>
        <v>2400000</v>
      </c>
      <c r="AA232" s="275"/>
      <c r="AB232" s="275"/>
      <c r="AC232" s="275"/>
    </row>
    <row r="233" spans="1:29" s="2278" customFormat="1" ht="22.5" customHeight="1">
      <c r="A233" s="348"/>
      <c r="B233" s="1126"/>
      <c r="D233" s="1126"/>
      <c r="E233" s="1126" t="s">
        <v>2382</v>
      </c>
      <c r="F233" s="598">
        <f t="shared" ref="F233:F234" si="55">+Y233</f>
        <v>700</v>
      </c>
      <c r="G233" s="598">
        <v>700</v>
      </c>
      <c r="H233" s="338"/>
      <c r="I233" s="473"/>
      <c r="J233" s="1903" t="s">
        <v>2539</v>
      </c>
      <c r="K233" s="807"/>
      <c r="L233" s="807"/>
      <c r="M233" s="807"/>
      <c r="N233" s="646"/>
      <c r="O233" s="646"/>
      <c r="P233" s="646"/>
      <c r="Q233" s="1905">
        <v>1</v>
      </c>
      <c r="R233" s="2262" t="s">
        <v>2497</v>
      </c>
      <c r="S233" s="1672">
        <v>350000</v>
      </c>
      <c r="T233" s="1671" t="s">
        <v>1702</v>
      </c>
      <c r="U233" s="1671"/>
      <c r="V233" s="1671">
        <v>2</v>
      </c>
      <c r="W233" s="1671" t="s">
        <v>1699</v>
      </c>
      <c r="X233" s="397" t="s">
        <v>1703</v>
      </c>
      <c r="Y233" s="874">
        <f t="shared" si="53"/>
        <v>700</v>
      </c>
      <c r="Z233" s="355">
        <f>S233*V233*Q233</f>
        <v>700000</v>
      </c>
      <c r="AA233" s="275"/>
      <c r="AB233" s="275"/>
      <c r="AC233" s="275"/>
    </row>
    <row r="234" spans="1:29" s="2278" customFormat="1" ht="22.5" customHeight="1">
      <c r="A234" s="2274"/>
      <c r="B234" s="1145"/>
      <c r="C234" s="470"/>
      <c r="E234" s="465" t="s">
        <v>2385</v>
      </c>
      <c r="F234" s="598">
        <f t="shared" si="55"/>
        <v>1800</v>
      </c>
      <c r="G234" s="337">
        <v>1800</v>
      </c>
      <c r="H234" s="338"/>
      <c r="I234" s="473"/>
      <c r="J234" s="1903" t="s">
        <v>1934</v>
      </c>
      <c r="K234" s="807"/>
      <c r="L234" s="807"/>
      <c r="M234" s="807"/>
      <c r="N234" s="646"/>
      <c r="O234" s="646"/>
      <c r="P234" s="646"/>
      <c r="Q234" s="650"/>
      <c r="R234" s="2262"/>
      <c r="S234" s="2262" t="s">
        <v>2475</v>
      </c>
      <c r="T234" s="2288" t="s">
        <v>2475</v>
      </c>
      <c r="U234" s="2288" t="s">
        <v>2475</v>
      </c>
      <c r="V234" s="2288" t="s">
        <v>2475</v>
      </c>
      <c r="W234" s="2288" t="s">
        <v>2475</v>
      </c>
      <c r="X234" s="1140" t="s">
        <v>2475</v>
      </c>
      <c r="Y234" s="874">
        <f t="shared" si="53"/>
        <v>1800</v>
      </c>
      <c r="Z234" s="1324">
        <f>SUM(Z235:Z236)</f>
        <v>1800000</v>
      </c>
      <c r="AA234" s="275"/>
      <c r="AB234" s="275"/>
      <c r="AC234" s="275"/>
    </row>
    <row r="235" spans="1:29" s="2278" customFormat="1" ht="22.5" customHeight="1">
      <c r="A235" s="2274"/>
      <c r="B235" s="471"/>
      <c r="C235" s="1126"/>
      <c r="D235" s="470"/>
      <c r="E235" s="465"/>
      <c r="F235" s="598"/>
      <c r="G235" s="598"/>
      <c r="H235" s="338"/>
      <c r="I235" s="473"/>
      <c r="J235" s="1903" t="s">
        <v>2540</v>
      </c>
      <c r="K235" s="807"/>
      <c r="L235" s="807"/>
      <c r="M235" s="807"/>
      <c r="N235" s="646"/>
      <c r="O235" s="646"/>
      <c r="P235" s="646"/>
      <c r="Q235" s="650" t="s">
        <v>2541</v>
      </c>
      <c r="R235" s="2262" t="s">
        <v>2476</v>
      </c>
      <c r="S235" s="1672">
        <v>5000</v>
      </c>
      <c r="T235" s="1671" t="s">
        <v>1702</v>
      </c>
      <c r="U235" s="1671"/>
      <c r="V235" s="1671">
        <v>12</v>
      </c>
      <c r="W235" s="1671" t="s">
        <v>1699</v>
      </c>
      <c r="X235" s="397" t="s">
        <v>1703</v>
      </c>
      <c r="Y235" s="874">
        <f t="shared" si="53"/>
        <v>1200</v>
      </c>
      <c r="Z235" s="355">
        <f>S235*V235*Q235</f>
        <v>1200000</v>
      </c>
      <c r="AA235" s="275"/>
      <c r="AB235" s="275"/>
      <c r="AC235" s="275"/>
    </row>
    <row r="236" spans="1:29" s="2278" customFormat="1" ht="22.5" customHeight="1">
      <c r="A236" s="348"/>
      <c r="B236" s="1154"/>
      <c r="C236" s="1126"/>
      <c r="E236" s="465"/>
      <c r="F236" s="598"/>
      <c r="G236" s="337"/>
      <c r="H236" s="338"/>
      <c r="I236" s="473"/>
      <c r="J236" s="1903" t="s">
        <v>2542</v>
      </c>
      <c r="K236" s="807"/>
      <c r="L236" s="807"/>
      <c r="M236" s="807"/>
      <c r="N236" s="646"/>
      <c r="O236" s="646"/>
      <c r="P236" s="646"/>
      <c r="Q236" s="650" t="s">
        <v>2541</v>
      </c>
      <c r="R236" s="2262" t="s">
        <v>2476</v>
      </c>
      <c r="S236" s="1672">
        <v>5000</v>
      </c>
      <c r="T236" s="1671" t="s">
        <v>1702</v>
      </c>
      <c r="U236" s="1671"/>
      <c r="V236" s="1671">
        <v>6</v>
      </c>
      <c r="W236" s="1671" t="s">
        <v>1699</v>
      </c>
      <c r="X236" s="397" t="s">
        <v>1703</v>
      </c>
      <c r="Y236" s="874">
        <f t="shared" si="53"/>
        <v>600</v>
      </c>
      <c r="Z236" s="355">
        <f>Q236*S236*V236</f>
        <v>600000</v>
      </c>
      <c r="AA236" s="275"/>
      <c r="AB236" s="275"/>
      <c r="AC236" s="275"/>
    </row>
    <row r="237" spans="1:29" s="2278" customFormat="1" ht="22.5" customHeight="1">
      <c r="A237" s="348"/>
      <c r="B237" s="1154"/>
      <c r="C237" s="1126"/>
      <c r="D237" s="2285"/>
      <c r="E237" s="359" t="s">
        <v>2501</v>
      </c>
      <c r="F237" s="598">
        <f>+Y237</f>
        <v>500</v>
      </c>
      <c r="G237" s="597">
        <v>500</v>
      </c>
      <c r="H237" s="361"/>
      <c r="I237" s="473"/>
      <c r="J237" s="1906" t="s">
        <v>2523</v>
      </c>
      <c r="K237" s="2017"/>
      <c r="L237" s="2017"/>
      <c r="M237" s="2017"/>
      <c r="N237" s="2018"/>
      <c r="O237" s="2018"/>
      <c r="P237" s="2018"/>
      <c r="Q237" s="1909">
        <v>5</v>
      </c>
      <c r="R237" s="457" t="s">
        <v>2476</v>
      </c>
      <c r="S237" s="458">
        <v>10000</v>
      </c>
      <c r="T237" s="371" t="s">
        <v>1702</v>
      </c>
      <c r="U237" s="371"/>
      <c r="V237" s="371">
        <v>10</v>
      </c>
      <c r="W237" s="371" t="s">
        <v>1699</v>
      </c>
      <c r="X237" s="426" t="s">
        <v>1703</v>
      </c>
      <c r="Y237" s="1910">
        <f t="shared" si="53"/>
        <v>500</v>
      </c>
      <c r="Z237" s="355">
        <f>S237*V237*Q237</f>
        <v>500000</v>
      </c>
      <c r="AA237" s="275"/>
      <c r="AB237" s="275"/>
      <c r="AC237" s="275"/>
    </row>
    <row r="238" spans="1:29" s="2278" customFormat="1" ht="22.5" customHeight="1">
      <c r="A238" s="2274"/>
      <c r="B238" s="471"/>
      <c r="C238" s="1126"/>
      <c r="D238" s="3356" t="s">
        <v>2543</v>
      </c>
      <c r="E238" s="3357"/>
      <c r="F238" s="373">
        <f>SUM(F239:F240)</f>
        <v>15000</v>
      </c>
      <c r="G238" s="360">
        <f>SUM(G239:G240)</f>
        <v>15000</v>
      </c>
      <c r="H238" s="361">
        <f>F238-G238</f>
        <v>0</v>
      </c>
      <c r="I238" s="473"/>
      <c r="J238" s="1977"/>
      <c r="K238" s="1978"/>
      <c r="L238" s="1978"/>
      <c r="M238" s="1978"/>
      <c r="N238" s="1978"/>
      <c r="O238" s="1978"/>
      <c r="P238" s="1978"/>
      <c r="Q238" s="1979"/>
      <c r="R238" s="827"/>
      <c r="S238" s="2289"/>
      <c r="T238" s="827"/>
      <c r="U238" s="2289"/>
      <c r="V238" s="827"/>
      <c r="W238" s="2289"/>
      <c r="X238" s="2289"/>
      <c r="Y238" s="801">
        <f t="shared" si="53"/>
        <v>14000</v>
      </c>
      <c r="Z238" s="503">
        <f>Z239</f>
        <v>14000000</v>
      </c>
      <c r="AA238" s="275"/>
      <c r="AB238" s="275"/>
      <c r="AC238" s="275"/>
    </row>
    <row r="239" spans="1:29" s="2278" customFormat="1" ht="22.5" customHeight="1">
      <c r="A239" s="2274"/>
      <c r="B239" s="1145"/>
      <c r="D239" s="879"/>
      <c r="E239" s="1154" t="s">
        <v>1700</v>
      </c>
      <c r="F239" s="1141">
        <f>Y239</f>
        <v>14000</v>
      </c>
      <c r="G239" s="1141">
        <v>14000</v>
      </c>
      <c r="H239" s="523"/>
      <c r="I239" s="473"/>
      <c r="J239" s="348" t="s">
        <v>2544</v>
      </c>
      <c r="Q239" s="408">
        <v>2</v>
      </c>
      <c r="R239" s="2275" t="s">
        <v>1701</v>
      </c>
      <c r="S239" s="524">
        <v>3500000</v>
      </c>
      <c r="T239" s="466" t="s">
        <v>0</v>
      </c>
      <c r="V239" s="2288">
        <v>2</v>
      </c>
      <c r="W239" s="2288" t="s">
        <v>3</v>
      </c>
      <c r="X239" s="525" t="s">
        <v>1</v>
      </c>
      <c r="Y239" s="1976">
        <f t="shared" ref="Y239:Y240" si="56">Z239/1000</f>
        <v>14000</v>
      </c>
      <c r="Z239" s="1098">
        <f>Q239*S239*V239</f>
        <v>14000000</v>
      </c>
      <c r="AA239" s="275"/>
      <c r="AB239" s="275"/>
      <c r="AC239" s="275"/>
    </row>
    <row r="240" spans="1:29" s="2278" customFormat="1" ht="22.5" customHeight="1">
      <c r="A240" s="2274"/>
      <c r="B240" s="1145"/>
      <c r="D240" s="845"/>
      <c r="E240" s="1154" t="s">
        <v>2385</v>
      </c>
      <c r="F240" s="1141">
        <f>Y240</f>
        <v>1000</v>
      </c>
      <c r="G240" s="1141">
        <v>1000</v>
      </c>
      <c r="H240" s="523"/>
      <c r="I240" s="473"/>
      <c r="J240" s="3373" t="s">
        <v>2545</v>
      </c>
      <c r="K240" s="3374"/>
      <c r="L240" s="3374"/>
      <c r="M240" s="3374"/>
      <c r="N240" s="2266"/>
      <c r="O240" s="2266"/>
      <c r="P240" s="2266"/>
      <c r="Q240" s="372"/>
      <c r="R240" s="1128"/>
      <c r="S240" s="524">
        <v>1000000</v>
      </c>
      <c r="T240" s="466" t="s">
        <v>0</v>
      </c>
      <c r="V240" s="366">
        <v>1</v>
      </c>
      <c r="W240" s="466" t="s">
        <v>1699</v>
      </c>
      <c r="X240" s="525" t="s">
        <v>1</v>
      </c>
      <c r="Y240" s="1910">
        <f t="shared" si="56"/>
        <v>1000</v>
      </c>
      <c r="Z240" s="1098">
        <f t="shared" ref="Z240" si="57">S240*V240</f>
        <v>1000000</v>
      </c>
      <c r="AA240" s="275"/>
      <c r="AB240" s="275"/>
      <c r="AC240" s="275"/>
    </row>
    <row r="241" spans="1:29" s="2278" customFormat="1" ht="22.5" customHeight="1">
      <c r="A241" s="348"/>
      <c r="B241" s="1126"/>
      <c r="C241" s="2577" t="s">
        <v>2978</v>
      </c>
      <c r="D241" s="2276"/>
      <c r="E241" s="2273"/>
      <c r="F241" s="373">
        <f>+F267+F256+F242</f>
        <v>80000</v>
      </c>
      <c r="G241" s="373">
        <f>+G267+G256+G242</f>
        <v>80000</v>
      </c>
      <c r="H241" s="1132">
        <f>F241-G241</f>
        <v>0</v>
      </c>
      <c r="I241" s="473"/>
      <c r="J241" s="2019"/>
      <c r="K241" s="2020"/>
      <c r="L241" s="2020"/>
      <c r="M241" s="2020"/>
      <c r="N241" s="2021"/>
      <c r="O241" s="2021"/>
      <c r="P241" s="2021"/>
      <c r="Q241" s="2022"/>
      <c r="R241" s="2023"/>
      <c r="S241" s="1284"/>
      <c r="T241" s="2023"/>
      <c r="U241" s="2023"/>
      <c r="V241" s="2023"/>
      <c r="W241" s="2023"/>
      <c r="X241" s="2024"/>
      <c r="Y241" s="801"/>
      <c r="Z241" s="2016"/>
      <c r="AA241" s="275"/>
      <c r="AB241" s="275"/>
      <c r="AC241" s="275"/>
    </row>
    <row r="242" spans="1:29" s="2278" customFormat="1" ht="22.5" customHeight="1">
      <c r="A242" s="348"/>
      <c r="B242" s="1126"/>
      <c r="C242" s="470"/>
      <c r="D242" s="3284" t="s">
        <v>2546</v>
      </c>
      <c r="E242" s="3285"/>
      <c r="F242" s="373">
        <f>SUM(F243:F255)</f>
        <v>60000</v>
      </c>
      <c r="G242" s="373">
        <f>SUM(G243:G255)</f>
        <v>60000</v>
      </c>
      <c r="H242" s="1132">
        <f>F242-G242</f>
        <v>0</v>
      </c>
      <c r="I242" s="473"/>
      <c r="J242" s="1901"/>
      <c r="K242" s="1902"/>
      <c r="L242" s="1902"/>
      <c r="M242" s="1902"/>
      <c r="N242" s="1902"/>
      <c r="O242" s="1902"/>
      <c r="P242" s="1902"/>
      <c r="Q242" s="799"/>
      <c r="R242" s="376"/>
      <c r="S242" s="375"/>
      <c r="T242" s="376"/>
      <c r="U242" s="375"/>
      <c r="V242" s="376"/>
      <c r="W242" s="375"/>
      <c r="X242" s="375"/>
      <c r="Y242" s="801"/>
      <c r="Z242" s="503">
        <f>SUM(Z243, Z244, Z245, Z248, Z251, Z255,Z254)</f>
        <v>65000000</v>
      </c>
      <c r="AA242" s="275"/>
      <c r="AB242" s="275"/>
      <c r="AC242" s="275"/>
    </row>
    <row r="243" spans="1:29" s="2278" customFormat="1" ht="22.5" customHeight="1">
      <c r="A243" s="348"/>
      <c r="B243" s="1126"/>
      <c r="C243" s="470"/>
      <c r="D243" s="2275"/>
      <c r="E243" s="879" t="s">
        <v>2474</v>
      </c>
      <c r="F243" s="598">
        <f t="shared" ref="F243:F255" si="58">+Y243</f>
        <v>3000</v>
      </c>
      <c r="G243" s="337">
        <v>3000</v>
      </c>
      <c r="H243" s="338"/>
      <c r="I243" s="473"/>
      <c r="J243" s="802" t="s">
        <v>3656</v>
      </c>
      <c r="K243" s="807"/>
      <c r="L243" s="807"/>
      <c r="M243" s="807"/>
      <c r="N243" s="646"/>
      <c r="O243" s="646"/>
      <c r="P243" s="646"/>
      <c r="Q243" s="1905">
        <v>4</v>
      </c>
      <c r="R243" s="2630" t="s">
        <v>2476</v>
      </c>
      <c r="S243" s="1672">
        <v>75000</v>
      </c>
      <c r="T243" s="1671" t="s">
        <v>624</v>
      </c>
      <c r="U243" s="1671"/>
      <c r="V243" s="1671">
        <v>10</v>
      </c>
      <c r="W243" s="1671" t="s">
        <v>2477</v>
      </c>
      <c r="X243" s="397" t="s">
        <v>1703</v>
      </c>
      <c r="Y243" s="874">
        <f t="shared" ref="Y243" si="59">+Z243/1000</f>
        <v>3000</v>
      </c>
      <c r="Z243" s="355">
        <f>Q243*S243*V243</f>
        <v>3000000</v>
      </c>
      <c r="AA243" s="275"/>
      <c r="AB243" s="275"/>
      <c r="AC243" s="275"/>
    </row>
    <row r="244" spans="1:29" ht="22.5" customHeight="1">
      <c r="A244" s="2274"/>
      <c r="B244" s="1145"/>
      <c r="C244" s="470"/>
      <c r="D244" s="2278"/>
      <c r="E244" s="1126" t="s">
        <v>2483</v>
      </c>
      <c r="F244" s="598">
        <f t="shared" si="58"/>
        <v>16496</v>
      </c>
      <c r="G244" s="337">
        <v>16496</v>
      </c>
      <c r="H244" s="338"/>
      <c r="I244" s="473"/>
      <c r="J244" s="802" t="s">
        <v>3655</v>
      </c>
      <c r="K244" s="807"/>
      <c r="L244" s="807"/>
      <c r="M244" s="807"/>
      <c r="N244" s="646"/>
      <c r="O244" s="646"/>
      <c r="P244" s="646"/>
      <c r="Q244" s="1905"/>
      <c r="R244" s="2262"/>
      <c r="S244" s="1672">
        <v>16496000</v>
      </c>
      <c r="T244" s="1671" t="s">
        <v>1702</v>
      </c>
      <c r="U244" s="1671"/>
      <c r="V244" s="1671">
        <v>1</v>
      </c>
      <c r="W244" s="1671" t="s">
        <v>2513</v>
      </c>
      <c r="X244" s="397" t="s">
        <v>1703</v>
      </c>
      <c r="Y244" s="874">
        <f t="shared" ref="Y244:Y255" si="60">+Z244/1000</f>
        <v>16496</v>
      </c>
      <c r="Z244" s="355">
        <f>S244*V244</f>
        <v>16496000</v>
      </c>
      <c r="AA244" s="275"/>
    </row>
    <row r="245" spans="1:29" s="2278" customFormat="1" ht="22.5" customHeight="1">
      <c r="A245" s="2274"/>
      <c r="B245" s="1145"/>
      <c r="C245" s="470"/>
      <c r="E245" s="1126" t="s">
        <v>2469</v>
      </c>
      <c r="F245" s="598">
        <f t="shared" si="58"/>
        <v>3000</v>
      </c>
      <c r="G245" s="337">
        <v>3000</v>
      </c>
      <c r="H245" s="338"/>
      <c r="I245" s="896"/>
      <c r="J245" s="1903" t="s">
        <v>1934</v>
      </c>
      <c r="K245" s="807"/>
      <c r="L245" s="807"/>
      <c r="M245" s="807"/>
      <c r="N245" s="646"/>
      <c r="O245" s="646"/>
      <c r="P245" s="646"/>
      <c r="Q245" s="650"/>
      <c r="R245" s="2262"/>
      <c r="S245" s="2262" t="s">
        <v>2475</v>
      </c>
      <c r="T245" s="2288" t="s">
        <v>2475</v>
      </c>
      <c r="U245" s="2288" t="s">
        <v>2475</v>
      </c>
      <c r="V245" s="2288" t="s">
        <v>2475</v>
      </c>
      <c r="W245" s="2288" t="s">
        <v>2475</v>
      </c>
      <c r="X245" s="1140" t="s">
        <v>2475</v>
      </c>
      <c r="Y245" s="874">
        <f t="shared" si="60"/>
        <v>3000</v>
      </c>
      <c r="Z245" s="1324">
        <f>SUM(Z246:Z247)</f>
        <v>3000000</v>
      </c>
      <c r="AA245" s="275"/>
      <c r="AB245" s="275"/>
      <c r="AC245" s="275"/>
    </row>
    <row r="246" spans="1:29" s="2278" customFormat="1" ht="22.5" customHeight="1">
      <c r="A246" s="2274"/>
      <c r="B246" s="1145"/>
      <c r="C246" s="470"/>
      <c r="D246" s="1126"/>
      <c r="E246" s="1126"/>
      <c r="F246" s="598"/>
      <c r="G246" s="337"/>
      <c r="H246" s="338"/>
      <c r="I246" s="896"/>
      <c r="J246" s="1903" t="s">
        <v>2547</v>
      </c>
      <c r="K246" s="807"/>
      <c r="L246" s="807"/>
      <c r="M246" s="807"/>
      <c r="N246" s="646"/>
      <c r="O246" s="646"/>
      <c r="P246" s="646"/>
      <c r="Q246" s="1905"/>
      <c r="R246" s="2262"/>
      <c r="S246" s="1672">
        <v>500000</v>
      </c>
      <c r="T246" s="1671" t="s">
        <v>1702</v>
      </c>
      <c r="U246" s="1671"/>
      <c r="V246" s="1671">
        <v>3</v>
      </c>
      <c r="W246" s="1671" t="s">
        <v>1699</v>
      </c>
      <c r="X246" s="397" t="s">
        <v>1703</v>
      </c>
      <c r="Y246" s="874">
        <f t="shared" si="60"/>
        <v>1500</v>
      </c>
      <c r="Z246" s="355">
        <f>S246*V246</f>
        <v>1500000</v>
      </c>
      <c r="AA246" s="275"/>
      <c r="AB246" s="275"/>
      <c r="AC246" s="275"/>
    </row>
    <row r="247" spans="1:29" s="2278" customFormat="1" ht="22.5" customHeight="1">
      <c r="A247" s="2274"/>
      <c r="B247" s="1145"/>
      <c r="C247" s="470"/>
      <c r="D247" s="1126"/>
      <c r="E247" s="1126"/>
      <c r="F247" s="598"/>
      <c r="G247" s="337"/>
      <c r="H247" s="338"/>
      <c r="I247" s="473"/>
      <c r="J247" s="1903" t="s">
        <v>2548</v>
      </c>
      <c r="K247" s="807"/>
      <c r="L247" s="807"/>
      <c r="M247" s="807"/>
      <c r="N247" s="646"/>
      <c r="O247" s="646"/>
      <c r="P247" s="646"/>
      <c r="Q247" s="1905"/>
      <c r="R247" s="2262"/>
      <c r="S247" s="1672">
        <v>500000</v>
      </c>
      <c r="T247" s="1671" t="s">
        <v>1702</v>
      </c>
      <c r="U247" s="1671"/>
      <c r="V247" s="1671">
        <v>3</v>
      </c>
      <c r="W247" s="1671" t="s">
        <v>1699</v>
      </c>
      <c r="X247" s="397" t="s">
        <v>1703</v>
      </c>
      <c r="Y247" s="874">
        <f t="shared" si="60"/>
        <v>1500</v>
      </c>
      <c r="Z247" s="355">
        <f>S247*V247</f>
        <v>1500000</v>
      </c>
      <c r="AA247" s="275"/>
      <c r="AB247" s="275"/>
      <c r="AC247" s="275"/>
    </row>
    <row r="248" spans="1:29" s="2278" customFormat="1" ht="22.5" customHeight="1">
      <c r="A248" s="2274"/>
      <c r="B248" s="1145"/>
      <c r="C248" s="470"/>
      <c r="D248" s="470"/>
      <c r="E248" s="1126" t="s">
        <v>2549</v>
      </c>
      <c r="F248" s="598">
        <f t="shared" si="58"/>
        <v>15000</v>
      </c>
      <c r="G248" s="337">
        <v>15000</v>
      </c>
      <c r="H248" s="338"/>
      <c r="I248" s="473"/>
      <c r="J248" s="1903" t="s">
        <v>194</v>
      </c>
      <c r="K248" s="807"/>
      <c r="L248" s="807"/>
      <c r="M248" s="807"/>
      <c r="N248" s="646"/>
      <c r="O248" s="646"/>
      <c r="P248" s="646"/>
      <c r="Q248" s="650"/>
      <c r="R248" s="2262"/>
      <c r="S248" s="2262" t="s">
        <v>2475</v>
      </c>
      <c r="T248" s="2288" t="s">
        <v>2475</v>
      </c>
      <c r="U248" s="2288" t="s">
        <v>2475</v>
      </c>
      <c r="V248" s="2288" t="s">
        <v>2475</v>
      </c>
      <c r="W248" s="2288" t="s">
        <v>2475</v>
      </c>
      <c r="X248" s="1140" t="s">
        <v>2475</v>
      </c>
      <c r="Y248" s="874">
        <f t="shared" si="60"/>
        <v>15000</v>
      </c>
      <c r="Z248" s="1324">
        <f>SUM(Z249:Z250)</f>
        <v>15000000</v>
      </c>
      <c r="AA248" s="275"/>
      <c r="AB248" s="275"/>
      <c r="AC248" s="275"/>
    </row>
    <row r="249" spans="1:29" s="2278" customFormat="1" ht="22.5" customHeight="1">
      <c r="A249" s="2274"/>
      <c r="B249" s="1145"/>
      <c r="C249" s="470"/>
      <c r="D249" s="470"/>
      <c r="E249" s="1126"/>
      <c r="F249" s="598"/>
      <c r="G249" s="337"/>
      <c r="H249" s="338"/>
      <c r="I249" s="473"/>
      <c r="J249" s="1903" t="s">
        <v>3683</v>
      </c>
      <c r="K249" s="807"/>
      <c r="L249" s="807"/>
      <c r="M249" s="807"/>
      <c r="N249" s="646"/>
      <c r="O249" s="646"/>
      <c r="P249" s="646"/>
      <c r="Q249" s="650"/>
      <c r="R249" s="2262"/>
      <c r="S249" s="1672">
        <v>900000</v>
      </c>
      <c r="T249" s="1671" t="s">
        <v>1702</v>
      </c>
      <c r="U249" s="1671"/>
      <c r="V249" s="1671">
        <v>10</v>
      </c>
      <c r="W249" s="1671" t="s">
        <v>1699</v>
      </c>
      <c r="X249" s="397" t="s">
        <v>1703</v>
      </c>
      <c r="Y249" s="874">
        <f t="shared" si="60"/>
        <v>9000</v>
      </c>
      <c r="Z249" s="355">
        <f>S249*V249</f>
        <v>9000000</v>
      </c>
      <c r="AA249" s="275"/>
      <c r="AB249" s="275"/>
      <c r="AC249" s="275"/>
    </row>
    <row r="250" spans="1:29" s="2278" customFormat="1" ht="22.5" customHeight="1">
      <c r="A250" s="2274"/>
      <c r="B250" s="1145"/>
      <c r="C250" s="470"/>
      <c r="E250" s="1126"/>
      <c r="F250" s="598"/>
      <c r="G250" s="337"/>
      <c r="H250" s="338"/>
      <c r="I250" s="473"/>
      <c r="J250" s="1903" t="s">
        <v>2550</v>
      </c>
      <c r="K250" s="807"/>
      <c r="L250" s="807"/>
      <c r="M250" s="807"/>
      <c r="N250" s="646"/>
      <c r="O250" s="646"/>
      <c r="P250" s="646"/>
      <c r="Q250" s="1905"/>
      <c r="R250" s="2262"/>
      <c r="S250" s="1672">
        <v>3000000</v>
      </c>
      <c r="T250" s="1671" t="s">
        <v>1702</v>
      </c>
      <c r="U250" s="1671"/>
      <c r="V250" s="1671">
        <v>2</v>
      </c>
      <c r="W250" s="1671" t="s">
        <v>2504</v>
      </c>
      <c r="X250" s="397" t="s">
        <v>1703</v>
      </c>
      <c r="Y250" s="874">
        <f t="shared" si="60"/>
        <v>6000</v>
      </c>
      <c r="Z250" s="355">
        <f>S250*V250</f>
        <v>6000000</v>
      </c>
      <c r="AA250" s="275"/>
      <c r="AB250" s="275"/>
      <c r="AC250" s="275"/>
    </row>
    <row r="251" spans="1:29" s="2278" customFormat="1" ht="23.25" customHeight="1">
      <c r="A251" s="2274"/>
      <c r="B251" s="1145"/>
      <c r="C251" s="470"/>
      <c r="D251" s="2275"/>
      <c r="E251" s="465" t="s">
        <v>2494</v>
      </c>
      <c r="F251" s="598">
        <f t="shared" si="58"/>
        <v>22000</v>
      </c>
      <c r="G251" s="337">
        <v>22000</v>
      </c>
      <c r="H251" s="338"/>
      <c r="I251" s="473"/>
      <c r="J251" s="1903" t="s">
        <v>1934</v>
      </c>
      <c r="K251" s="807"/>
      <c r="L251" s="807"/>
      <c r="M251" s="807"/>
      <c r="N251" s="646"/>
      <c r="O251" s="646"/>
      <c r="P251" s="646"/>
      <c r="Q251" s="650"/>
      <c r="R251" s="2262"/>
      <c r="S251" s="2262" t="s">
        <v>2475</v>
      </c>
      <c r="T251" s="2288" t="s">
        <v>2475</v>
      </c>
      <c r="U251" s="2288" t="s">
        <v>2475</v>
      </c>
      <c r="V251" s="2288" t="s">
        <v>2475</v>
      </c>
      <c r="W251" s="2288" t="s">
        <v>2475</v>
      </c>
      <c r="X251" s="1140" t="s">
        <v>2475</v>
      </c>
      <c r="Y251" s="874">
        <f>+Z251/1000</f>
        <v>22000</v>
      </c>
      <c r="Z251" s="1324">
        <f>SUM(Z252:Z254)</f>
        <v>22000000</v>
      </c>
      <c r="AA251" s="275"/>
      <c r="AB251" s="275"/>
      <c r="AC251" s="275"/>
    </row>
    <row r="252" spans="1:29" s="2278" customFormat="1" ht="23.25" customHeight="1">
      <c r="A252" s="2274"/>
      <c r="B252" s="1145"/>
      <c r="C252" s="470"/>
      <c r="D252" s="2275"/>
      <c r="E252" s="465"/>
      <c r="F252" s="598"/>
      <c r="G252" s="598"/>
      <c r="H252" s="404"/>
      <c r="I252" s="473"/>
      <c r="J252" s="1903" t="s">
        <v>2551</v>
      </c>
      <c r="K252" s="807"/>
      <c r="L252" s="807"/>
      <c r="M252" s="807"/>
      <c r="N252" s="646"/>
      <c r="O252" s="646"/>
      <c r="P252" s="646"/>
      <c r="Q252" s="650"/>
      <c r="R252" s="2262"/>
      <c r="S252" s="1672">
        <v>4000000</v>
      </c>
      <c r="T252" s="1671" t="s">
        <v>1702</v>
      </c>
      <c r="U252" s="1671"/>
      <c r="V252" s="1671">
        <v>3</v>
      </c>
      <c r="W252" s="1671" t="s">
        <v>1699</v>
      </c>
      <c r="X252" s="397" t="s">
        <v>1703</v>
      </c>
      <c r="Y252" s="874">
        <f t="shared" si="60"/>
        <v>12000</v>
      </c>
      <c r="Z252" s="355">
        <f>S252*V252</f>
        <v>12000000</v>
      </c>
      <c r="AA252" s="275"/>
      <c r="AB252" s="275"/>
      <c r="AC252" s="275"/>
    </row>
    <row r="253" spans="1:29" s="2278" customFormat="1" ht="23.25" customHeight="1">
      <c r="A253" s="2274"/>
      <c r="B253" s="1145"/>
      <c r="C253" s="470"/>
      <c r="D253" s="2275"/>
      <c r="E253" s="465"/>
      <c r="F253" s="598"/>
      <c r="G253" s="598"/>
      <c r="H253" s="404"/>
      <c r="I253" s="473"/>
      <c r="J253" s="1903" t="s">
        <v>2552</v>
      </c>
      <c r="K253" s="807"/>
      <c r="L253" s="807"/>
      <c r="M253" s="807"/>
      <c r="N253" s="646"/>
      <c r="O253" s="646"/>
      <c r="P253" s="646"/>
      <c r="Q253" s="650"/>
      <c r="R253" s="2262"/>
      <c r="S253" s="1672">
        <v>1000000</v>
      </c>
      <c r="T253" s="1671" t="s">
        <v>1702</v>
      </c>
      <c r="U253" s="1671"/>
      <c r="V253" s="1671">
        <v>5</v>
      </c>
      <c r="W253" s="1671" t="s">
        <v>1699</v>
      </c>
      <c r="X253" s="397" t="s">
        <v>1703</v>
      </c>
      <c r="Y253" s="874">
        <f t="shared" si="60"/>
        <v>5000</v>
      </c>
      <c r="Z253" s="355">
        <f>S253*V253</f>
        <v>5000000</v>
      </c>
      <c r="AA253" s="275"/>
      <c r="AB253" s="275"/>
      <c r="AC253" s="275"/>
    </row>
    <row r="254" spans="1:29" s="2278" customFormat="1" ht="23.25" customHeight="1">
      <c r="A254" s="2274"/>
      <c r="B254" s="1145"/>
      <c r="C254" s="470"/>
      <c r="D254" s="2275"/>
      <c r="E254" s="465"/>
      <c r="F254" s="598"/>
      <c r="G254" s="598"/>
      <c r="H254" s="404"/>
      <c r="I254" s="473"/>
      <c r="J254" s="1903" t="s">
        <v>2553</v>
      </c>
      <c r="K254" s="807"/>
      <c r="L254" s="807"/>
      <c r="M254" s="807"/>
      <c r="N254" s="646"/>
      <c r="O254" s="646"/>
      <c r="P254" s="646"/>
      <c r="Q254" s="650"/>
      <c r="R254" s="2262"/>
      <c r="S254" s="1672">
        <v>1000000</v>
      </c>
      <c r="T254" s="1671" t="s">
        <v>1702</v>
      </c>
      <c r="U254" s="1671"/>
      <c r="V254" s="1671">
        <v>5</v>
      </c>
      <c r="W254" s="1671" t="s">
        <v>1699</v>
      </c>
      <c r="X254" s="397" t="s">
        <v>1703</v>
      </c>
      <c r="Y254" s="874">
        <f>+Z254/1000</f>
        <v>5000</v>
      </c>
      <c r="Z254" s="355">
        <f>S254*V254</f>
        <v>5000000</v>
      </c>
      <c r="AA254" s="275"/>
      <c r="AB254" s="275"/>
      <c r="AC254" s="275"/>
    </row>
    <row r="255" spans="1:29" s="2278" customFormat="1" ht="23.25" customHeight="1">
      <c r="A255" s="2274"/>
      <c r="B255" s="1145"/>
      <c r="C255" s="470"/>
      <c r="D255" s="2275"/>
      <c r="E255" s="465" t="s">
        <v>2501</v>
      </c>
      <c r="F255" s="598">
        <f t="shared" si="58"/>
        <v>504</v>
      </c>
      <c r="G255" s="598">
        <v>504</v>
      </c>
      <c r="H255" s="404"/>
      <c r="I255" s="473"/>
      <c r="J255" s="802" t="s">
        <v>3664</v>
      </c>
      <c r="K255" s="807"/>
      <c r="L255" s="807"/>
      <c r="M255" s="807"/>
      <c r="N255" s="646"/>
      <c r="O255" s="646"/>
      <c r="P255" s="646"/>
      <c r="Q255" s="1905">
        <v>6</v>
      </c>
      <c r="R255" s="2262" t="s">
        <v>2476</v>
      </c>
      <c r="S255" s="1672">
        <v>12000</v>
      </c>
      <c r="T255" s="1671" t="s">
        <v>1702</v>
      </c>
      <c r="U255" s="1671"/>
      <c r="V255" s="1671">
        <v>7</v>
      </c>
      <c r="W255" s="1671" t="s">
        <v>1699</v>
      </c>
      <c r="X255" s="397" t="s">
        <v>1703</v>
      </c>
      <c r="Y255" s="874">
        <f t="shared" si="60"/>
        <v>504</v>
      </c>
      <c r="Z255" s="355">
        <f>Q255*S255*V255</f>
        <v>504000</v>
      </c>
      <c r="AA255" s="275"/>
      <c r="AB255" s="275"/>
      <c r="AC255" s="275"/>
    </row>
    <row r="256" spans="1:29" s="2278" customFormat="1" ht="23.25" customHeight="1">
      <c r="A256" s="2274"/>
      <c r="B256" s="1145"/>
      <c r="C256" s="470"/>
      <c r="D256" s="3284" t="s">
        <v>2554</v>
      </c>
      <c r="E256" s="3285"/>
      <c r="F256" s="373">
        <f>SUM(F257:F266)</f>
        <v>10000</v>
      </c>
      <c r="G256" s="373">
        <f>SUM(G257:G266)</f>
        <v>10000</v>
      </c>
      <c r="H256" s="1132">
        <f>F256-G256</f>
        <v>0</v>
      </c>
      <c r="I256" s="473"/>
      <c r="J256" s="1901"/>
      <c r="K256" s="1902"/>
      <c r="L256" s="1902"/>
      <c r="M256" s="1902"/>
      <c r="N256" s="1902"/>
      <c r="O256" s="1902"/>
      <c r="P256" s="1902"/>
      <c r="Q256" s="799"/>
      <c r="R256" s="2012"/>
      <c r="S256" s="375"/>
      <c r="T256" s="2012"/>
      <c r="U256" s="375"/>
      <c r="V256" s="2012"/>
      <c r="W256" s="375"/>
      <c r="X256" s="375"/>
      <c r="Y256" s="801"/>
      <c r="Z256" s="2013">
        <f>Z257+Z258+Z259+Z265+Z266</f>
        <v>9140000</v>
      </c>
      <c r="AA256" s="275"/>
      <c r="AB256" s="275"/>
      <c r="AC256" s="275"/>
    </row>
    <row r="257" spans="1:29" s="2278" customFormat="1" ht="23.25" customHeight="1">
      <c r="A257" s="2274"/>
      <c r="B257" s="1145"/>
      <c r="C257" s="470"/>
      <c r="D257" s="1126"/>
      <c r="E257" s="508" t="s">
        <v>199</v>
      </c>
      <c r="F257" s="2734">
        <f>Y257</f>
        <v>4000</v>
      </c>
      <c r="G257" s="767">
        <v>4000</v>
      </c>
      <c r="H257" s="2382"/>
      <c r="I257" s="533"/>
      <c r="J257" s="2390" t="s">
        <v>4690</v>
      </c>
      <c r="K257" s="2391"/>
      <c r="L257" s="2391"/>
      <c r="M257" s="2391"/>
      <c r="N257" s="2392"/>
      <c r="O257" s="2392"/>
      <c r="P257" s="2392"/>
      <c r="Q257" s="2393"/>
      <c r="R257" s="2721"/>
      <c r="S257" s="727">
        <v>10000</v>
      </c>
      <c r="T257" s="516" t="s">
        <v>4691</v>
      </c>
      <c r="U257" s="516"/>
      <c r="V257" s="516">
        <v>400</v>
      </c>
      <c r="W257" s="516" t="s">
        <v>3574</v>
      </c>
      <c r="X257" s="517" t="s">
        <v>291</v>
      </c>
      <c r="Y257" s="2394">
        <f t="shared" ref="Y257:Y266" si="61">+Z257/1000</f>
        <v>4000</v>
      </c>
      <c r="Z257" s="2372">
        <f>S257*V257</f>
        <v>4000000</v>
      </c>
      <c r="AA257" s="275"/>
      <c r="AB257" s="275"/>
      <c r="AC257" s="275"/>
    </row>
    <row r="258" spans="1:29" ht="23.25" customHeight="1">
      <c r="A258" s="2274"/>
      <c r="B258" s="1145"/>
      <c r="C258" s="470"/>
      <c r="D258" s="1154"/>
      <c r="E258" s="508" t="s">
        <v>224</v>
      </c>
      <c r="F258" s="2734">
        <f t="shared" ref="F258:F259" si="62">Y258</f>
        <v>500</v>
      </c>
      <c r="G258" s="767">
        <v>500</v>
      </c>
      <c r="H258" s="2382"/>
      <c r="I258" s="533"/>
      <c r="J258" s="2390" t="s">
        <v>4855</v>
      </c>
      <c r="K258" s="2391"/>
      <c r="L258" s="2391"/>
      <c r="M258" s="2391"/>
      <c r="N258" s="2392"/>
      <c r="O258" s="2392"/>
      <c r="P258" s="2392"/>
      <c r="Q258" s="2395"/>
      <c r="R258" s="2721"/>
      <c r="S258" s="1686">
        <v>500000</v>
      </c>
      <c r="T258" s="1685" t="s">
        <v>4</v>
      </c>
      <c r="U258" s="1685"/>
      <c r="V258" s="1685">
        <v>1</v>
      </c>
      <c r="W258" s="1685" t="s">
        <v>463</v>
      </c>
      <c r="X258" s="1687" t="s">
        <v>5</v>
      </c>
      <c r="Y258" s="2394">
        <f t="shared" si="61"/>
        <v>500</v>
      </c>
      <c r="Z258" s="637">
        <f>S258*V258</f>
        <v>500000</v>
      </c>
      <c r="AA258" s="275"/>
    </row>
    <row r="259" spans="1:29" ht="23.25" customHeight="1">
      <c r="A259" s="2274"/>
      <c r="B259" s="1145"/>
      <c r="C259" s="470"/>
      <c r="D259" s="1126"/>
      <c r="E259" s="508" t="s">
        <v>1355</v>
      </c>
      <c r="F259" s="2734">
        <f t="shared" si="62"/>
        <v>3540</v>
      </c>
      <c r="G259" s="767">
        <v>3540</v>
      </c>
      <c r="H259" s="2382"/>
      <c r="I259" s="533"/>
      <c r="J259" s="2390" t="s">
        <v>589</v>
      </c>
      <c r="K259" s="2391"/>
      <c r="L259" s="2391"/>
      <c r="M259" s="2391"/>
      <c r="N259" s="2392"/>
      <c r="O259" s="2392"/>
      <c r="P259" s="2392"/>
      <c r="Q259" s="2393"/>
      <c r="R259" s="2721"/>
      <c r="S259" s="2721" t="s">
        <v>601</v>
      </c>
      <c r="T259" s="516" t="s">
        <v>601</v>
      </c>
      <c r="U259" s="516" t="s">
        <v>601</v>
      </c>
      <c r="V259" s="516" t="s">
        <v>601</v>
      </c>
      <c r="W259" s="516" t="s">
        <v>601</v>
      </c>
      <c r="X259" s="517" t="s">
        <v>601</v>
      </c>
      <c r="Y259" s="2394">
        <f t="shared" si="61"/>
        <v>3540</v>
      </c>
      <c r="Z259" s="2372">
        <f>SUM(Z260:Z261)</f>
        <v>3540000</v>
      </c>
      <c r="AA259" s="275"/>
    </row>
    <row r="260" spans="1:29" ht="23.25" customHeight="1">
      <c r="A260" s="2722"/>
      <c r="B260" s="1145"/>
      <c r="C260" s="470"/>
      <c r="D260" s="2357"/>
      <c r="E260" s="508"/>
      <c r="F260" s="2735"/>
      <c r="G260" s="767"/>
      <c r="H260" s="2382"/>
      <c r="I260" s="533"/>
      <c r="J260" s="2390" t="s">
        <v>4692</v>
      </c>
      <c r="K260" s="2391"/>
      <c r="L260" s="2391"/>
      <c r="M260" s="2391"/>
      <c r="N260" s="2392"/>
      <c r="O260" s="2392"/>
      <c r="P260" s="2392"/>
      <c r="Q260" s="2395"/>
      <c r="R260" s="2721"/>
      <c r="S260" s="1686">
        <v>650000</v>
      </c>
      <c r="T260" s="1685" t="s">
        <v>4</v>
      </c>
      <c r="U260" s="1685"/>
      <c r="V260" s="2395">
        <v>2</v>
      </c>
      <c r="W260" s="2721" t="s">
        <v>4693</v>
      </c>
      <c r="X260" s="1687" t="s">
        <v>5</v>
      </c>
      <c r="Y260" s="2394">
        <f t="shared" si="61"/>
        <v>1300</v>
      </c>
      <c r="Z260" s="637">
        <f>S260*V260</f>
        <v>1300000</v>
      </c>
      <c r="AA260" s="275"/>
    </row>
    <row r="261" spans="1:29" ht="23.25" customHeight="1">
      <c r="A261" s="2722"/>
      <c r="B261" s="1145"/>
      <c r="C261" s="470"/>
      <c r="D261" s="2357"/>
      <c r="E261" s="508"/>
      <c r="F261" s="2735"/>
      <c r="G261" s="767"/>
      <c r="H261" s="2382"/>
      <c r="I261" s="533"/>
      <c r="J261" s="2390" t="s">
        <v>4694</v>
      </c>
      <c r="K261" s="2391"/>
      <c r="L261" s="2391"/>
      <c r="M261" s="2391"/>
      <c r="N261" s="2392"/>
      <c r="O261" s="2392"/>
      <c r="P261" s="2392"/>
      <c r="Q261" s="2737">
        <v>2</v>
      </c>
      <c r="R261" s="1685" t="s">
        <v>1367</v>
      </c>
      <c r="S261" s="1686">
        <v>280000</v>
      </c>
      <c r="T261" s="1685" t="s">
        <v>4</v>
      </c>
      <c r="U261" s="1685"/>
      <c r="V261" s="2395">
        <v>4</v>
      </c>
      <c r="W261" s="2721" t="s">
        <v>693</v>
      </c>
      <c r="X261" s="1687" t="s">
        <v>5</v>
      </c>
      <c r="Y261" s="2394">
        <f t="shared" si="61"/>
        <v>2240</v>
      </c>
      <c r="Z261" s="637">
        <f>S261*V261*Q261</f>
        <v>2240000</v>
      </c>
      <c r="AA261" s="275"/>
    </row>
    <row r="262" spans="1:29" ht="23.25" customHeight="1">
      <c r="A262" s="2722"/>
      <c r="B262" s="1145"/>
      <c r="C262" s="470"/>
      <c r="D262" s="2357"/>
      <c r="E262" s="508" t="s">
        <v>884</v>
      </c>
      <c r="F262" s="2734">
        <f t="shared" ref="F262" si="63">Y262</f>
        <v>860</v>
      </c>
      <c r="G262" s="767">
        <v>860</v>
      </c>
      <c r="H262" s="2382"/>
      <c r="I262" s="533"/>
      <c r="J262" s="2390" t="s">
        <v>589</v>
      </c>
      <c r="K262" s="2391"/>
      <c r="L262" s="2391"/>
      <c r="M262" s="2391"/>
      <c r="N262" s="2392"/>
      <c r="O262" s="2392"/>
      <c r="P262" s="2392"/>
      <c r="Q262" s="2393"/>
      <c r="R262" s="2721"/>
      <c r="S262" s="2721" t="s">
        <v>601</v>
      </c>
      <c r="T262" s="516" t="s">
        <v>601</v>
      </c>
      <c r="U262" s="516" t="s">
        <v>601</v>
      </c>
      <c r="V262" s="516" t="s">
        <v>601</v>
      </c>
      <c r="W262" s="516" t="s">
        <v>601</v>
      </c>
      <c r="X262" s="517" t="s">
        <v>601</v>
      </c>
      <c r="Y262" s="2394">
        <f t="shared" si="61"/>
        <v>860</v>
      </c>
      <c r="Z262" s="2372">
        <f>SUM(Z263:Z264)</f>
        <v>860000</v>
      </c>
      <c r="AA262" s="275"/>
    </row>
    <row r="263" spans="1:29" s="2278" customFormat="1" ht="23.25" customHeight="1">
      <c r="A263" s="348"/>
      <c r="B263" s="1126"/>
      <c r="C263" s="470"/>
      <c r="E263" s="508"/>
      <c r="F263" s="2736"/>
      <c r="G263" s="873"/>
      <c r="H263" s="2382"/>
      <c r="I263" s="533"/>
      <c r="J263" s="2390" t="s">
        <v>4695</v>
      </c>
      <c r="K263" s="2391"/>
      <c r="L263" s="2391"/>
      <c r="M263" s="2391"/>
      <c r="N263" s="2392"/>
      <c r="O263" s="2392"/>
      <c r="P263" s="2392"/>
      <c r="Q263" s="2395"/>
      <c r="R263" s="2721"/>
      <c r="S263" s="1686">
        <v>50000</v>
      </c>
      <c r="T263" s="1685" t="s">
        <v>4</v>
      </c>
      <c r="U263" s="1685"/>
      <c r="V263" s="2395">
        <v>10</v>
      </c>
      <c r="W263" s="2721" t="s">
        <v>314</v>
      </c>
      <c r="X263" s="1687" t="s">
        <v>5</v>
      </c>
      <c r="Y263" s="2394">
        <f t="shared" si="61"/>
        <v>500</v>
      </c>
      <c r="Z263" s="637">
        <f>S263*V263</f>
        <v>500000</v>
      </c>
      <c r="AA263" s="275"/>
      <c r="AB263" s="275"/>
      <c r="AC263" s="275"/>
    </row>
    <row r="264" spans="1:29" s="2278" customFormat="1" ht="23.25" customHeight="1">
      <c r="A264" s="348"/>
      <c r="B264" s="1126"/>
      <c r="C264" s="470"/>
      <c r="E264" s="508"/>
      <c r="F264" s="2736"/>
      <c r="G264" s="873"/>
      <c r="H264" s="2382"/>
      <c r="I264" s="533"/>
      <c r="J264" s="2390" t="s">
        <v>4696</v>
      </c>
      <c r="K264" s="2391"/>
      <c r="L264" s="2391"/>
      <c r="M264" s="2391"/>
      <c r="N264" s="2392"/>
      <c r="O264" s="2392"/>
      <c r="P264" s="2392"/>
      <c r="Q264" s="2395"/>
      <c r="R264" s="2721"/>
      <c r="S264" s="1686">
        <v>30000</v>
      </c>
      <c r="T264" s="1685" t="s">
        <v>4</v>
      </c>
      <c r="U264" s="1685"/>
      <c r="V264" s="2395">
        <v>12</v>
      </c>
      <c r="W264" s="2721" t="s">
        <v>314</v>
      </c>
      <c r="X264" s="1687" t="s">
        <v>5</v>
      </c>
      <c r="Y264" s="2394">
        <f t="shared" si="61"/>
        <v>360</v>
      </c>
      <c r="Z264" s="637">
        <f>S264*V264</f>
        <v>360000</v>
      </c>
      <c r="AA264" s="275"/>
      <c r="AB264" s="275"/>
      <c r="AC264" s="275"/>
    </row>
    <row r="265" spans="1:29" s="2278" customFormat="1" ht="23.25" customHeight="1">
      <c r="A265" s="2274"/>
      <c r="B265" s="1145"/>
      <c r="C265" s="470"/>
      <c r="D265" s="1154"/>
      <c r="E265" s="508" t="s">
        <v>16</v>
      </c>
      <c r="F265" s="697">
        <f>ROUNDUP(+Z265/1000,0)</f>
        <v>800</v>
      </c>
      <c r="G265" s="767">
        <v>800</v>
      </c>
      <c r="H265" s="2382"/>
      <c r="I265" s="533"/>
      <c r="J265" s="698" t="s">
        <v>4697</v>
      </c>
      <c r="K265" s="2391"/>
      <c r="L265" s="2391"/>
      <c r="M265" s="2391"/>
      <c r="N265" s="2392"/>
      <c r="O265" s="2392"/>
      <c r="P265" s="2392"/>
      <c r="Q265" s="2395"/>
      <c r="R265" s="2721"/>
      <c r="S265" s="1686">
        <v>800000</v>
      </c>
      <c r="T265" s="1685" t="s">
        <v>4</v>
      </c>
      <c r="U265" s="1685"/>
      <c r="V265" s="1685">
        <v>1</v>
      </c>
      <c r="W265" s="1685" t="s">
        <v>68</v>
      </c>
      <c r="X265" s="1687" t="s">
        <v>5</v>
      </c>
      <c r="Y265" s="2394">
        <f t="shared" si="61"/>
        <v>800</v>
      </c>
      <c r="Z265" s="637">
        <f>S265*V265</f>
        <v>800000</v>
      </c>
      <c r="AA265" s="275"/>
      <c r="AB265" s="275"/>
      <c r="AC265" s="275"/>
    </row>
    <row r="266" spans="1:29" s="1975" customFormat="1" ht="23.25" customHeight="1">
      <c r="A266" s="2274"/>
      <c r="B266" s="1145"/>
      <c r="C266" s="2278"/>
      <c r="D266" s="1126"/>
      <c r="E266" s="508" t="s">
        <v>271</v>
      </c>
      <c r="F266" s="697">
        <f>ROUNDUP(+Z266/1000,0)</f>
        <v>300</v>
      </c>
      <c r="G266" s="767">
        <v>300</v>
      </c>
      <c r="H266" s="2382"/>
      <c r="I266" s="533"/>
      <c r="J266" s="698" t="s">
        <v>4698</v>
      </c>
      <c r="K266" s="2391"/>
      <c r="L266" s="2391"/>
      <c r="M266" s="2391"/>
      <c r="N266" s="2392"/>
      <c r="O266" s="2392"/>
      <c r="P266" s="2392"/>
      <c r="Q266" s="2737">
        <v>5</v>
      </c>
      <c r="R266" s="1685" t="s">
        <v>1367</v>
      </c>
      <c r="S266" s="1686">
        <v>10000</v>
      </c>
      <c r="T266" s="1685" t="s">
        <v>4</v>
      </c>
      <c r="U266" s="1685"/>
      <c r="V266" s="1685">
        <v>6</v>
      </c>
      <c r="W266" s="1685" t="s">
        <v>35</v>
      </c>
      <c r="X266" s="1687" t="s">
        <v>5</v>
      </c>
      <c r="Y266" s="2394">
        <f t="shared" si="61"/>
        <v>300</v>
      </c>
      <c r="Z266" s="637">
        <f>Q266*S266*V266</f>
        <v>300000</v>
      </c>
      <c r="AA266" s="275"/>
      <c r="AB266" s="1974"/>
      <c r="AC266" s="1974"/>
    </row>
    <row r="267" spans="1:29" ht="23.25" customHeight="1">
      <c r="A267" s="348"/>
      <c r="B267" s="1126"/>
      <c r="C267" s="470"/>
      <c r="D267" s="3284" t="s">
        <v>2557</v>
      </c>
      <c r="E267" s="3285"/>
      <c r="F267" s="373">
        <f>SUM(F268:F271)</f>
        <v>10000</v>
      </c>
      <c r="G267" s="373">
        <f>SUM(G268:G271)</f>
        <v>10000</v>
      </c>
      <c r="H267" s="1132">
        <f>F267-G267</f>
        <v>0</v>
      </c>
      <c r="I267" s="473"/>
      <c r="J267" s="1901"/>
      <c r="K267" s="1902"/>
      <c r="L267" s="1902"/>
      <c r="M267" s="1902"/>
      <c r="N267" s="1902"/>
      <c r="O267" s="1902"/>
      <c r="P267" s="1902"/>
      <c r="Q267" s="799"/>
      <c r="R267" s="2012"/>
      <c r="S267" s="375"/>
      <c r="T267" s="2012"/>
      <c r="U267" s="375"/>
      <c r="V267" s="2012"/>
      <c r="W267" s="375"/>
      <c r="X267" s="375"/>
      <c r="Y267" s="801"/>
      <c r="Z267" s="2013"/>
      <c r="AA267" s="275"/>
    </row>
    <row r="268" spans="1:29" ht="23.25" customHeight="1">
      <c r="A268" s="348"/>
      <c r="B268" s="1126"/>
      <c r="C268" s="470"/>
      <c r="D268" s="1126"/>
      <c r="E268" s="1126" t="s">
        <v>2479</v>
      </c>
      <c r="F268" s="1904">
        <f>ROUNDUP(+Z268/1000,0)</f>
        <v>5000</v>
      </c>
      <c r="G268" s="337">
        <v>5000</v>
      </c>
      <c r="H268" s="338"/>
      <c r="I268" s="473"/>
      <c r="J268" s="1903" t="s">
        <v>2555</v>
      </c>
      <c r="K268" s="807"/>
      <c r="L268" s="807"/>
      <c r="M268" s="807"/>
      <c r="N268" s="646"/>
      <c r="O268" s="646"/>
      <c r="P268" s="646"/>
      <c r="Q268" s="650"/>
      <c r="R268" s="2262"/>
      <c r="S268" s="408">
        <v>20000</v>
      </c>
      <c r="T268" s="2288" t="s">
        <v>2520</v>
      </c>
      <c r="U268" s="2288"/>
      <c r="V268" s="2288">
        <v>250</v>
      </c>
      <c r="W268" s="2288" t="s">
        <v>2556</v>
      </c>
      <c r="X268" s="1140" t="s">
        <v>2521</v>
      </c>
      <c r="Y268" s="874">
        <f t="shared" ref="Y268:Y271" si="64">+Z268/1000</f>
        <v>5000</v>
      </c>
      <c r="Z268" s="1324">
        <f>S268*V268</f>
        <v>5000000</v>
      </c>
      <c r="AA268" s="275"/>
    </row>
    <row r="269" spans="1:29" s="2278" customFormat="1" ht="23.25" customHeight="1">
      <c r="A269" s="348"/>
      <c r="B269" s="1126"/>
      <c r="C269" s="470"/>
      <c r="D269" s="1126"/>
      <c r="E269" s="1126" t="s">
        <v>2488</v>
      </c>
      <c r="F269" s="1904">
        <v>2000</v>
      </c>
      <c r="G269" s="337">
        <v>2000</v>
      </c>
      <c r="H269" s="338"/>
      <c r="I269" s="473"/>
      <c r="J269" s="1903" t="s">
        <v>3682</v>
      </c>
      <c r="K269" s="807"/>
      <c r="L269" s="807"/>
      <c r="M269" s="807"/>
      <c r="N269" s="646"/>
      <c r="O269" s="646"/>
      <c r="P269" s="646"/>
      <c r="Q269" s="1905"/>
      <c r="R269" s="2630"/>
      <c r="S269" s="1672">
        <v>50000</v>
      </c>
      <c r="T269" s="1671" t="s">
        <v>624</v>
      </c>
      <c r="U269" s="1671"/>
      <c r="V269" s="1905">
        <v>40</v>
      </c>
      <c r="W269" s="2630" t="s">
        <v>314</v>
      </c>
      <c r="X269" s="397" t="s">
        <v>1703</v>
      </c>
      <c r="Y269" s="874">
        <f t="shared" ref="Y269" si="65">+Z269/1000</f>
        <v>2000</v>
      </c>
      <c r="Z269" s="355">
        <f>S269*V269</f>
        <v>2000000</v>
      </c>
      <c r="AA269" s="275"/>
      <c r="AB269" s="275"/>
      <c r="AC269" s="275"/>
    </row>
    <row r="270" spans="1:29" s="2278" customFormat="1" ht="23.25" customHeight="1">
      <c r="A270" s="2274"/>
      <c r="B270" s="1145"/>
      <c r="C270" s="470"/>
      <c r="D270" s="1154"/>
      <c r="E270" s="1126" t="s">
        <v>2494</v>
      </c>
      <c r="F270" s="598">
        <v>2700</v>
      </c>
      <c r="G270" s="337">
        <v>2700</v>
      </c>
      <c r="H270" s="338"/>
      <c r="I270" s="473"/>
      <c r="J270" s="802" t="s">
        <v>3666</v>
      </c>
      <c r="K270" s="807"/>
      <c r="L270" s="807"/>
      <c r="M270" s="807"/>
      <c r="N270" s="646"/>
      <c r="O270" s="646"/>
      <c r="P270" s="646"/>
      <c r="Q270" s="1905"/>
      <c r="R270" s="2262"/>
      <c r="S270" s="1672">
        <v>2700000</v>
      </c>
      <c r="T270" s="1671" t="s">
        <v>1702</v>
      </c>
      <c r="U270" s="1671"/>
      <c r="V270" s="1671">
        <v>1</v>
      </c>
      <c r="W270" s="1671" t="s">
        <v>68</v>
      </c>
      <c r="X270" s="397" t="s">
        <v>1703</v>
      </c>
      <c r="Y270" s="874">
        <f t="shared" si="64"/>
        <v>2700</v>
      </c>
      <c r="Z270" s="355">
        <f>S270*V270</f>
        <v>2700000</v>
      </c>
      <c r="AA270" s="275"/>
      <c r="AB270" s="275"/>
      <c r="AC270" s="275"/>
    </row>
    <row r="271" spans="1:29" s="2278" customFormat="1" ht="23.25" customHeight="1">
      <c r="A271" s="2274"/>
      <c r="B271" s="1145"/>
      <c r="C271" s="470"/>
      <c r="D271" s="1126"/>
      <c r="E271" s="1126" t="s">
        <v>2501</v>
      </c>
      <c r="F271" s="598">
        <v>300</v>
      </c>
      <c r="G271" s="337">
        <v>300</v>
      </c>
      <c r="H271" s="338"/>
      <c r="I271" s="473"/>
      <c r="J271" s="802" t="s">
        <v>3665</v>
      </c>
      <c r="K271" s="807"/>
      <c r="L271" s="807"/>
      <c r="M271" s="807"/>
      <c r="N271" s="646"/>
      <c r="O271" s="646"/>
      <c r="P271" s="646"/>
      <c r="Q271" s="2026">
        <v>10</v>
      </c>
      <c r="R271" s="1671" t="s">
        <v>2476</v>
      </c>
      <c r="S271" s="1672">
        <v>10000</v>
      </c>
      <c r="T271" s="1671" t="s">
        <v>1702</v>
      </c>
      <c r="U271" s="1671"/>
      <c r="V271" s="1671">
        <v>3</v>
      </c>
      <c r="W271" s="1671" t="s">
        <v>1699</v>
      </c>
      <c r="X271" s="397" t="s">
        <v>1703</v>
      </c>
      <c r="Y271" s="874">
        <f t="shared" si="64"/>
        <v>300</v>
      </c>
      <c r="Z271" s="355">
        <f>Q271*S271*V271</f>
        <v>300000</v>
      </c>
      <c r="AA271" s="275"/>
      <c r="AB271" s="275"/>
      <c r="AC271" s="275"/>
    </row>
    <row r="272" spans="1:29" s="2278" customFormat="1" ht="23.25" customHeight="1">
      <c r="A272" s="785"/>
      <c r="B272" s="1340"/>
      <c r="C272" s="3416" t="s">
        <v>2558</v>
      </c>
      <c r="D272" s="3416"/>
      <c r="E272" s="3412"/>
      <c r="F272" s="1683">
        <f>+F273+F290+F310</f>
        <v>170000</v>
      </c>
      <c r="G272" s="1683">
        <f>+G273+G290+G310</f>
        <v>170000</v>
      </c>
      <c r="H272" s="1132">
        <f>F272-G272</f>
        <v>0</v>
      </c>
      <c r="I272" s="896"/>
      <c r="J272" s="2019"/>
      <c r="K272" s="2020"/>
      <c r="L272" s="2020"/>
      <c r="M272" s="2020"/>
      <c r="N272" s="2021"/>
      <c r="O272" s="2021"/>
      <c r="P272" s="2021"/>
      <c r="Q272" s="2027"/>
      <c r="R272" s="1283"/>
      <c r="S272" s="1284"/>
      <c r="T272" s="2023"/>
      <c r="U272" s="2023"/>
      <c r="V272" s="2023"/>
      <c r="W272" s="2023"/>
      <c r="X272" s="2024"/>
      <c r="Y272" s="2028"/>
      <c r="Z272" s="2016"/>
      <c r="AA272" s="275"/>
      <c r="AB272" s="275"/>
      <c r="AC272" s="275"/>
    </row>
    <row r="273" spans="1:29" s="2278" customFormat="1" ht="23.25" customHeight="1">
      <c r="A273" s="2274"/>
      <c r="B273" s="1145"/>
      <c r="C273" s="470"/>
      <c r="D273" s="3358" t="s">
        <v>5598</v>
      </c>
      <c r="E273" s="3359"/>
      <c r="F273" s="1165">
        <f>SUM(F274:F289)</f>
        <v>50000</v>
      </c>
      <c r="G273" s="1165">
        <f>SUM(G274:G289)</f>
        <v>50000</v>
      </c>
      <c r="H273" s="689">
        <f>F273-G273</f>
        <v>0</v>
      </c>
      <c r="I273" s="533"/>
      <c r="J273" s="2398"/>
      <c r="K273" s="2399"/>
      <c r="L273" s="2399"/>
      <c r="M273" s="2399"/>
      <c r="N273" s="2399"/>
      <c r="O273" s="2399"/>
      <c r="P273" s="2399"/>
      <c r="Q273" s="693"/>
      <c r="R273" s="3019"/>
      <c r="S273" s="2384"/>
      <c r="T273" s="3019"/>
      <c r="U273" s="2384"/>
      <c r="V273" s="3019"/>
      <c r="W273" s="2384"/>
      <c r="X273" s="2384"/>
      <c r="Y273" s="695"/>
      <c r="Z273" s="2013">
        <f>Z274+Z277+Z280+Z283+Z287+Z288+Z289</f>
        <v>50000000</v>
      </c>
      <c r="AA273" s="275"/>
      <c r="AB273" s="275"/>
      <c r="AC273" s="275"/>
    </row>
    <row r="274" spans="1:29" s="2278" customFormat="1" ht="23.25" customHeight="1">
      <c r="A274" s="2274"/>
      <c r="B274" s="1145"/>
      <c r="C274" s="470"/>
      <c r="D274" s="2724"/>
      <c r="E274" s="620" t="s">
        <v>74</v>
      </c>
      <c r="F274" s="697">
        <f>ROUNDUP(+Z274/1000,0)</f>
        <v>30750</v>
      </c>
      <c r="G274" s="697">
        <v>30750</v>
      </c>
      <c r="H274" s="2382"/>
      <c r="I274" s="533"/>
      <c r="J274" s="2390" t="s">
        <v>8</v>
      </c>
      <c r="K274" s="2391"/>
      <c r="L274" s="2391"/>
      <c r="M274" s="2391"/>
      <c r="N274" s="2392"/>
      <c r="O274" s="2392"/>
      <c r="P274" s="2392"/>
      <c r="Q274" s="2393"/>
      <c r="R274" s="2887"/>
      <c r="S274" s="2887" t="s">
        <v>19</v>
      </c>
      <c r="T274" s="516" t="s">
        <v>19</v>
      </c>
      <c r="U274" s="516" t="s">
        <v>19</v>
      </c>
      <c r="V274" s="516" t="s">
        <v>19</v>
      </c>
      <c r="W274" s="516" t="s">
        <v>19</v>
      </c>
      <c r="X274" s="517" t="s">
        <v>19</v>
      </c>
      <c r="Y274" s="2394">
        <f t="shared" ref="Y274:Y289" si="66">+Z274/1000</f>
        <v>30750</v>
      </c>
      <c r="Z274" s="1324">
        <f>SUM(Z275:Z276)</f>
        <v>30750000</v>
      </c>
      <c r="AA274" s="275"/>
      <c r="AB274" s="275"/>
      <c r="AC274" s="275"/>
    </row>
    <row r="275" spans="1:29" s="2278" customFormat="1" ht="23.25" customHeight="1">
      <c r="A275" s="2274"/>
      <c r="B275" s="1145"/>
      <c r="C275" s="470"/>
      <c r="D275" s="2724"/>
      <c r="E275" s="620"/>
      <c r="F275" s="697"/>
      <c r="G275" s="697"/>
      <c r="H275" s="2382"/>
      <c r="I275" s="533"/>
      <c r="J275" s="2390" t="s">
        <v>5599</v>
      </c>
      <c r="K275" s="2391"/>
      <c r="L275" s="2391"/>
      <c r="M275" s="2391"/>
      <c r="N275" s="2392"/>
      <c r="O275" s="2392"/>
      <c r="P275" s="2392"/>
      <c r="Q275" s="2421" t="s">
        <v>311</v>
      </c>
      <c r="R275" s="1685" t="s">
        <v>123</v>
      </c>
      <c r="S275" s="1686">
        <v>2500000</v>
      </c>
      <c r="T275" s="1685" t="s">
        <v>0</v>
      </c>
      <c r="U275" s="1685"/>
      <c r="V275" s="1685">
        <v>12</v>
      </c>
      <c r="W275" s="1685" t="s">
        <v>2</v>
      </c>
      <c r="X275" s="1687" t="s">
        <v>1</v>
      </c>
      <c r="Y275" s="2394">
        <f t="shared" si="66"/>
        <v>30000</v>
      </c>
      <c r="Z275" s="355">
        <f>Q275*S275*V275</f>
        <v>30000000</v>
      </c>
      <c r="AA275" s="275"/>
      <c r="AB275" s="275"/>
      <c r="AC275" s="275"/>
    </row>
    <row r="276" spans="1:29" s="2278" customFormat="1" ht="23.25" customHeight="1">
      <c r="A276" s="2274"/>
      <c r="B276" s="1145"/>
      <c r="C276" s="470"/>
      <c r="D276" s="2724"/>
      <c r="E276" s="620"/>
      <c r="F276" s="697"/>
      <c r="G276" s="697"/>
      <c r="H276" s="2382"/>
      <c r="I276" s="533"/>
      <c r="J276" s="2390" t="s">
        <v>5600</v>
      </c>
      <c r="K276" s="2391"/>
      <c r="L276" s="2391"/>
      <c r="M276" s="2391"/>
      <c r="N276" s="2392"/>
      <c r="O276" s="2392"/>
      <c r="P276" s="2392"/>
      <c r="Q276" s="2421" t="s">
        <v>311</v>
      </c>
      <c r="R276" s="1685" t="s">
        <v>123</v>
      </c>
      <c r="S276" s="1686">
        <v>75000</v>
      </c>
      <c r="T276" s="1685" t="s">
        <v>0</v>
      </c>
      <c r="U276" s="1685"/>
      <c r="V276" s="1685">
        <v>10</v>
      </c>
      <c r="W276" s="1685" t="s">
        <v>5544</v>
      </c>
      <c r="X276" s="1687" t="s">
        <v>1</v>
      </c>
      <c r="Y276" s="2394">
        <f t="shared" si="66"/>
        <v>750</v>
      </c>
      <c r="Z276" s="355">
        <f>Q276*S276*V276</f>
        <v>750000</v>
      </c>
      <c r="AA276" s="275"/>
      <c r="AB276" s="275"/>
      <c r="AC276" s="275"/>
    </row>
    <row r="277" spans="1:29" s="2278" customFormat="1" ht="23.25" customHeight="1">
      <c r="A277" s="2274"/>
      <c r="B277" s="1145"/>
      <c r="C277" s="470"/>
      <c r="D277" s="2724"/>
      <c r="E277" s="620" t="s">
        <v>73</v>
      </c>
      <c r="F277" s="697">
        <f>ROUNDUP(+Z277/1000,0)</f>
        <v>1030</v>
      </c>
      <c r="G277" s="697">
        <v>1030</v>
      </c>
      <c r="H277" s="2382"/>
      <c r="I277" s="533"/>
      <c r="J277" s="2390" t="s">
        <v>5453</v>
      </c>
      <c r="K277" s="2391"/>
      <c r="L277" s="2391"/>
      <c r="M277" s="2391"/>
      <c r="N277" s="2392"/>
      <c r="O277" s="2392"/>
      <c r="P277" s="2392"/>
      <c r="Q277" s="2393"/>
      <c r="R277" s="2887"/>
      <c r="S277" s="2887" t="s">
        <v>19</v>
      </c>
      <c r="T277" s="516" t="s">
        <v>19</v>
      </c>
      <c r="U277" s="516" t="s">
        <v>19</v>
      </c>
      <c r="V277" s="516" t="s">
        <v>19</v>
      </c>
      <c r="W277" s="516" t="s">
        <v>19</v>
      </c>
      <c r="X277" s="517" t="s">
        <v>19</v>
      </c>
      <c r="Y277" s="2394">
        <f t="shared" si="66"/>
        <v>1030</v>
      </c>
      <c r="Z277" s="1324">
        <f>SUM(Z278:Z279)</f>
        <v>1030000</v>
      </c>
      <c r="AA277" s="275"/>
      <c r="AB277" s="275"/>
      <c r="AC277" s="275"/>
    </row>
    <row r="278" spans="1:29" s="2278" customFormat="1" ht="23.25" customHeight="1">
      <c r="A278" s="2274"/>
      <c r="B278" s="1145"/>
      <c r="C278" s="470"/>
      <c r="D278" s="2724"/>
      <c r="E278" s="620"/>
      <c r="F278" s="697"/>
      <c r="G278" s="697"/>
      <c r="H278" s="2382"/>
      <c r="I278" s="533"/>
      <c r="J278" s="2390" t="s">
        <v>5601</v>
      </c>
      <c r="K278" s="2391"/>
      <c r="L278" s="2391"/>
      <c r="M278" s="2391"/>
      <c r="N278" s="2392"/>
      <c r="O278" s="2392"/>
      <c r="P278" s="2392"/>
      <c r="Q278" s="2421"/>
      <c r="R278" s="1685"/>
      <c r="S278" s="1686">
        <v>530000</v>
      </c>
      <c r="T278" s="1685" t="s">
        <v>0</v>
      </c>
      <c r="U278" s="1685"/>
      <c r="V278" s="1685">
        <v>1</v>
      </c>
      <c r="W278" s="1685" t="s">
        <v>6</v>
      </c>
      <c r="X278" s="1687" t="s">
        <v>1</v>
      </c>
      <c r="Y278" s="2394">
        <f t="shared" si="66"/>
        <v>530</v>
      </c>
      <c r="Z278" s="355">
        <f>S278*V278</f>
        <v>530000</v>
      </c>
      <c r="AA278" s="275"/>
      <c r="AB278" s="275"/>
      <c r="AC278" s="275"/>
    </row>
    <row r="279" spans="1:29" s="2278" customFormat="1" ht="23.25" customHeight="1">
      <c r="A279" s="2274"/>
      <c r="B279" s="1145"/>
      <c r="C279" s="470"/>
      <c r="D279" s="2724"/>
      <c r="E279" s="620"/>
      <c r="F279" s="697"/>
      <c r="G279" s="697"/>
      <c r="H279" s="2382"/>
      <c r="I279" s="533"/>
      <c r="J279" s="2390" t="s">
        <v>5602</v>
      </c>
      <c r="K279" s="2391"/>
      <c r="L279" s="2391"/>
      <c r="M279" s="2391"/>
      <c r="N279" s="2392"/>
      <c r="O279" s="2392"/>
      <c r="P279" s="2392"/>
      <c r="Q279" s="2421"/>
      <c r="R279" s="1685"/>
      <c r="S279" s="1686">
        <v>500000</v>
      </c>
      <c r="T279" s="1685" t="s">
        <v>0</v>
      </c>
      <c r="U279" s="1685"/>
      <c r="V279" s="1685">
        <v>1</v>
      </c>
      <c r="W279" s="1685" t="s">
        <v>58</v>
      </c>
      <c r="X279" s="1687" t="s">
        <v>1</v>
      </c>
      <c r="Y279" s="2394">
        <f t="shared" si="66"/>
        <v>500</v>
      </c>
      <c r="Z279" s="355">
        <f>S279*V279</f>
        <v>500000</v>
      </c>
      <c r="AA279" s="275"/>
      <c r="AB279" s="275"/>
      <c r="AC279" s="275"/>
    </row>
    <row r="280" spans="1:29" s="2278" customFormat="1" ht="23.25" customHeight="1">
      <c r="A280" s="2274"/>
      <c r="B280" s="1145"/>
      <c r="C280" s="470"/>
      <c r="D280" s="2724"/>
      <c r="E280" s="620" t="s">
        <v>106</v>
      </c>
      <c r="F280" s="697">
        <f>ROUNDUP(+Z280/1000,0)</f>
        <v>4000</v>
      </c>
      <c r="G280" s="697">
        <v>4000</v>
      </c>
      <c r="H280" s="2382"/>
      <c r="I280" s="533"/>
      <c r="J280" s="698" t="s">
        <v>5453</v>
      </c>
      <c r="K280" s="699"/>
      <c r="L280" s="699"/>
      <c r="M280" s="699"/>
      <c r="N280" s="2449"/>
      <c r="O280" s="2449"/>
      <c r="P280" s="699"/>
      <c r="Q280" s="2421"/>
      <c r="R280" s="1685"/>
      <c r="S280" s="1685"/>
      <c r="T280" s="1685"/>
      <c r="U280" s="1685"/>
      <c r="V280" s="1685"/>
      <c r="W280" s="1685"/>
      <c r="X280" s="1687"/>
      <c r="Y280" s="2394">
        <f t="shared" si="66"/>
        <v>4000</v>
      </c>
      <c r="Z280" s="355">
        <f>SUM(Z281:Z282)</f>
        <v>4000000</v>
      </c>
      <c r="AA280" s="275"/>
      <c r="AB280" s="275"/>
      <c r="AC280" s="275"/>
    </row>
    <row r="281" spans="1:29" ht="23.25" customHeight="1">
      <c r="A281" s="2274"/>
      <c r="B281" s="1145"/>
      <c r="C281" s="470"/>
      <c r="D281" s="2891"/>
      <c r="E281" s="620"/>
      <c r="F281" s="697"/>
      <c r="G281" s="697"/>
      <c r="H281" s="2382"/>
      <c r="I281" s="533"/>
      <c r="J281" s="698" t="s">
        <v>5603</v>
      </c>
      <c r="K281" s="699"/>
      <c r="L281" s="699"/>
      <c r="M281" s="699"/>
      <c r="N281" s="2449"/>
      <c r="O281" s="2449"/>
      <c r="P281" s="699"/>
      <c r="Q281" s="2737"/>
      <c r="R281" s="1685"/>
      <c r="S281" s="1686">
        <v>100000</v>
      </c>
      <c r="T281" s="1685" t="s">
        <v>0</v>
      </c>
      <c r="U281" s="1685"/>
      <c r="V281" s="1685">
        <v>10</v>
      </c>
      <c r="W281" s="1685" t="s">
        <v>125</v>
      </c>
      <c r="X281" s="1687" t="s">
        <v>1</v>
      </c>
      <c r="Y281" s="2394">
        <f t="shared" si="66"/>
        <v>1000</v>
      </c>
      <c r="Z281" s="355">
        <f>S281*V281</f>
        <v>1000000</v>
      </c>
      <c r="AA281" s="275"/>
    </row>
    <row r="282" spans="1:29" s="2278" customFormat="1" ht="23.25" customHeight="1">
      <c r="A282" s="2274"/>
      <c r="B282" s="1145"/>
      <c r="C282" s="470"/>
      <c r="D282" s="2724"/>
      <c r="E282" s="620"/>
      <c r="F282" s="697"/>
      <c r="G282" s="697"/>
      <c r="H282" s="700"/>
      <c r="I282" s="533"/>
      <c r="J282" s="698" t="s">
        <v>5604</v>
      </c>
      <c r="K282" s="699"/>
      <c r="L282" s="699"/>
      <c r="M282" s="699"/>
      <c r="N282" s="2449"/>
      <c r="O282" s="2449"/>
      <c r="P282" s="699"/>
      <c r="Q282" s="2737"/>
      <c r="R282" s="1685"/>
      <c r="S282" s="1686">
        <v>30000</v>
      </c>
      <c r="T282" s="1685" t="s">
        <v>0</v>
      </c>
      <c r="U282" s="1685"/>
      <c r="V282" s="1685">
        <v>100</v>
      </c>
      <c r="W282" s="1685" t="s">
        <v>108</v>
      </c>
      <c r="X282" s="1687" t="s">
        <v>1</v>
      </c>
      <c r="Y282" s="2394">
        <f t="shared" si="66"/>
        <v>3000</v>
      </c>
      <c r="Z282" s="355">
        <f>S282*V282</f>
        <v>3000000</v>
      </c>
      <c r="AA282" s="275"/>
      <c r="AB282" s="275"/>
      <c r="AC282" s="275"/>
    </row>
    <row r="283" spans="1:29" s="2278" customFormat="1" ht="23.25" customHeight="1">
      <c r="A283" s="2274"/>
      <c r="B283" s="1145"/>
      <c r="C283" s="470"/>
      <c r="D283" s="2724"/>
      <c r="E283" s="620" t="s">
        <v>65</v>
      </c>
      <c r="F283" s="697">
        <f>ROUNDUP(+Z283/1000,0)</f>
        <v>7720</v>
      </c>
      <c r="G283" s="697">
        <v>8720</v>
      </c>
      <c r="H283" s="2382">
        <f>F283-G283</f>
        <v>-1000</v>
      </c>
      <c r="I283" s="533"/>
      <c r="J283" s="2390" t="s">
        <v>8</v>
      </c>
      <c r="K283" s="2391"/>
      <c r="L283" s="2391"/>
      <c r="M283" s="2391"/>
      <c r="N283" s="2392"/>
      <c r="O283" s="2392"/>
      <c r="P283" s="2392"/>
      <c r="Q283" s="2393"/>
      <c r="R283" s="2887"/>
      <c r="S283" s="2887" t="s">
        <v>19</v>
      </c>
      <c r="T283" s="516" t="s">
        <v>19</v>
      </c>
      <c r="U283" s="516" t="s">
        <v>19</v>
      </c>
      <c r="V283" s="516" t="s">
        <v>19</v>
      </c>
      <c r="W283" s="516" t="s">
        <v>19</v>
      </c>
      <c r="X283" s="517" t="s">
        <v>19</v>
      </c>
      <c r="Y283" s="2394">
        <f t="shared" si="66"/>
        <v>7720</v>
      </c>
      <c r="Z283" s="1324">
        <f>SUM(Z284:Z286)</f>
        <v>7720000</v>
      </c>
      <c r="AA283" s="275"/>
      <c r="AB283" s="275"/>
      <c r="AC283" s="275"/>
    </row>
    <row r="284" spans="1:29" s="2278" customFormat="1" ht="23.25" customHeight="1">
      <c r="A284" s="2274"/>
      <c r="B284" s="1145"/>
      <c r="C284" s="470"/>
      <c r="D284" s="2724"/>
      <c r="E284" s="620"/>
      <c r="F284" s="697"/>
      <c r="G284" s="697"/>
      <c r="H284" s="700"/>
      <c r="I284" s="533"/>
      <c r="J284" s="2390" t="s">
        <v>5605</v>
      </c>
      <c r="K284" s="2391"/>
      <c r="L284" s="2391"/>
      <c r="M284" s="2391"/>
      <c r="N284" s="2392"/>
      <c r="O284" s="2395"/>
      <c r="P284" s="2887"/>
      <c r="Q284" s="2395"/>
      <c r="R284" s="2887"/>
      <c r="S284" s="1686">
        <v>500000</v>
      </c>
      <c r="T284" s="1685" t="s">
        <v>0</v>
      </c>
      <c r="U284" s="1685"/>
      <c r="V284" s="1685">
        <v>1</v>
      </c>
      <c r="W284" s="1685" t="s">
        <v>6</v>
      </c>
      <c r="X284" s="1687" t="s">
        <v>1</v>
      </c>
      <c r="Y284" s="2394">
        <f t="shared" si="66"/>
        <v>500</v>
      </c>
      <c r="Z284" s="355">
        <f>S284*V284</f>
        <v>500000</v>
      </c>
      <c r="AA284" s="275"/>
      <c r="AB284" s="275"/>
      <c r="AC284" s="275"/>
    </row>
    <row r="285" spans="1:29" s="2278" customFormat="1" ht="23.25" customHeight="1">
      <c r="A285" s="2274"/>
      <c r="B285" s="1145"/>
      <c r="C285" s="470"/>
      <c r="D285" s="2724"/>
      <c r="E285" s="620"/>
      <c r="F285" s="697"/>
      <c r="G285" s="697"/>
      <c r="H285" s="700"/>
      <c r="I285" s="533"/>
      <c r="J285" s="2390" t="s">
        <v>5606</v>
      </c>
      <c r="K285" s="2391"/>
      <c r="L285" s="2391"/>
      <c r="M285" s="2391"/>
      <c r="N285" s="2392"/>
      <c r="O285" s="2395"/>
      <c r="P285" s="2887"/>
      <c r="Q285" s="2395"/>
      <c r="R285" s="2887"/>
      <c r="S285" s="1686">
        <v>135000</v>
      </c>
      <c r="T285" s="1685" t="s">
        <v>0</v>
      </c>
      <c r="U285" s="1685"/>
      <c r="V285" s="1685">
        <v>12</v>
      </c>
      <c r="W285" s="1685" t="s">
        <v>5553</v>
      </c>
      <c r="X285" s="1687" t="s">
        <v>1</v>
      </c>
      <c r="Y285" s="2394">
        <f t="shared" si="66"/>
        <v>1620</v>
      </c>
      <c r="Z285" s="355">
        <f>S285*V285</f>
        <v>1620000</v>
      </c>
      <c r="AA285" s="275"/>
      <c r="AB285" s="275"/>
      <c r="AC285" s="275"/>
    </row>
    <row r="286" spans="1:29" s="2278" customFormat="1" ht="23.25" customHeight="1">
      <c r="A286" s="2274"/>
      <c r="B286" s="1145"/>
      <c r="C286" s="470"/>
      <c r="D286" s="2724"/>
      <c r="E286" s="620"/>
      <c r="F286" s="697"/>
      <c r="G286" s="697"/>
      <c r="H286" s="700"/>
      <c r="I286" s="533"/>
      <c r="J286" s="2390" t="s">
        <v>5607</v>
      </c>
      <c r="K286" s="2391"/>
      <c r="L286" s="2391"/>
      <c r="M286" s="2391"/>
      <c r="N286" s="2392"/>
      <c r="O286" s="2395"/>
      <c r="P286" s="2887"/>
      <c r="Q286" s="2395"/>
      <c r="R286" s="2887"/>
      <c r="S286" s="1686">
        <v>5600000</v>
      </c>
      <c r="T286" s="1685" t="s">
        <v>0</v>
      </c>
      <c r="U286" s="1685"/>
      <c r="V286" s="1685">
        <v>1</v>
      </c>
      <c r="W286" s="1685" t="s">
        <v>5457</v>
      </c>
      <c r="X286" s="1687" t="s">
        <v>1</v>
      </c>
      <c r="Y286" s="2394">
        <f t="shared" si="66"/>
        <v>5600</v>
      </c>
      <c r="Z286" s="355">
        <f>S286*V286</f>
        <v>5600000</v>
      </c>
      <c r="AA286" s="275"/>
      <c r="AB286" s="275"/>
      <c r="AC286" s="275"/>
    </row>
    <row r="287" spans="1:29" ht="23.25" customHeight="1">
      <c r="A287" s="2274"/>
      <c r="B287" s="1145"/>
      <c r="C287" s="470"/>
      <c r="D287" s="2894"/>
      <c r="E287" s="620" t="s">
        <v>64</v>
      </c>
      <c r="F287" s="697">
        <f>ROUNDUP(+Z287/1000,0)</f>
        <v>4500</v>
      </c>
      <c r="G287" s="697">
        <v>4500</v>
      </c>
      <c r="H287" s="2382"/>
      <c r="I287" s="533"/>
      <c r="J287" s="698" t="s">
        <v>5608</v>
      </c>
      <c r="K287" s="2391"/>
      <c r="L287" s="2391"/>
      <c r="M287" s="2391"/>
      <c r="N287" s="2392"/>
      <c r="O287" s="2392"/>
      <c r="P287" s="2392"/>
      <c r="Q287" s="2395"/>
      <c r="R287" s="2887"/>
      <c r="S287" s="1686">
        <v>375000</v>
      </c>
      <c r="T287" s="1685" t="s">
        <v>0</v>
      </c>
      <c r="U287" s="1685"/>
      <c r="V287" s="1685">
        <v>12</v>
      </c>
      <c r="W287" s="1685" t="s">
        <v>2</v>
      </c>
      <c r="X287" s="1687" t="s">
        <v>1</v>
      </c>
      <c r="Y287" s="2394">
        <f t="shared" si="66"/>
        <v>4500</v>
      </c>
      <c r="Z287" s="355">
        <f>S287*V287</f>
        <v>4500000</v>
      </c>
      <c r="AA287" s="275"/>
    </row>
    <row r="288" spans="1:29" ht="23.25" customHeight="1">
      <c r="A288" s="2274"/>
      <c r="B288" s="1145"/>
      <c r="C288" s="470"/>
      <c r="D288" s="2724"/>
      <c r="E288" s="620" t="s">
        <v>54</v>
      </c>
      <c r="F288" s="697">
        <f>ROUNDUP(+Z288/1000,0)</f>
        <v>1500</v>
      </c>
      <c r="G288" s="697">
        <v>500</v>
      </c>
      <c r="H288" s="2382">
        <f>F288-G288</f>
        <v>1000</v>
      </c>
      <c r="I288" s="533"/>
      <c r="J288" s="698" t="s">
        <v>795</v>
      </c>
      <c r="K288" s="2391"/>
      <c r="L288" s="2391"/>
      <c r="M288" s="2391"/>
      <c r="N288" s="2392"/>
      <c r="O288" s="2392"/>
      <c r="P288" s="2392"/>
      <c r="Q288" s="2395"/>
      <c r="R288" s="2887"/>
      <c r="S288" s="1686">
        <v>10000</v>
      </c>
      <c r="T288" s="1685" t="s">
        <v>0</v>
      </c>
      <c r="U288" s="1685"/>
      <c r="V288" s="1685">
        <v>150</v>
      </c>
      <c r="W288" s="1685" t="s">
        <v>3</v>
      </c>
      <c r="X288" s="1687" t="s">
        <v>1</v>
      </c>
      <c r="Y288" s="2394">
        <f t="shared" si="66"/>
        <v>1500</v>
      </c>
      <c r="Z288" s="355">
        <f>S288*V288</f>
        <v>1500000</v>
      </c>
      <c r="AA288" s="275"/>
    </row>
    <row r="289" spans="1:29" ht="23.25" customHeight="1">
      <c r="A289" s="2274"/>
      <c r="B289" s="1145"/>
      <c r="C289" s="470"/>
      <c r="D289" s="2724"/>
      <c r="E289" s="620" t="s">
        <v>56</v>
      </c>
      <c r="F289" s="697">
        <f>ROUNDUP(+Z289/1000,0)</f>
        <v>500</v>
      </c>
      <c r="G289" s="697">
        <v>500</v>
      </c>
      <c r="H289" s="2382"/>
      <c r="I289" s="533"/>
      <c r="J289" s="698" t="s">
        <v>796</v>
      </c>
      <c r="K289" s="2391"/>
      <c r="L289" s="2391"/>
      <c r="M289" s="2391"/>
      <c r="N289" s="2392"/>
      <c r="O289" s="2392"/>
      <c r="P289" s="2392"/>
      <c r="Q289" s="2395">
        <v>5</v>
      </c>
      <c r="R289" s="2887" t="s">
        <v>123</v>
      </c>
      <c r="S289" s="1686">
        <v>10000</v>
      </c>
      <c r="T289" s="1685" t="s">
        <v>0</v>
      </c>
      <c r="U289" s="1685"/>
      <c r="V289" s="1685">
        <v>10</v>
      </c>
      <c r="W289" s="1685" t="s">
        <v>3</v>
      </c>
      <c r="X289" s="1687" t="s">
        <v>1</v>
      </c>
      <c r="Y289" s="2394">
        <f t="shared" si="66"/>
        <v>500</v>
      </c>
      <c r="Z289" s="355">
        <f>Q289*S289*V289</f>
        <v>500000</v>
      </c>
      <c r="AA289" s="275"/>
    </row>
    <row r="290" spans="1:29" ht="22.15" customHeight="1">
      <c r="A290" s="2274"/>
      <c r="B290" s="1145"/>
      <c r="C290" s="470"/>
      <c r="D290" s="3284" t="s">
        <v>2559</v>
      </c>
      <c r="E290" s="3285"/>
      <c r="F290" s="599">
        <f>SUM(F291:F309)</f>
        <v>70000</v>
      </c>
      <c r="G290" s="599">
        <f>SUM(G291:G309)</f>
        <v>70000</v>
      </c>
      <c r="H290" s="1132">
        <f>F290-G290</f>
        <v>0</v>
      </c>
      <c r="I290" s="473"/>
      <c r="J290" s="1901"/>
      <c r="K290" s="1902"/>
      <c r="L290" s="1902"/>
      <c r="M290" s="1902"/>
      <c r="N290" s="1902"/>
      <c r="O290" s="1902"/>
      <c r="P290" s="1902"/>
      <c r="Q290" s="799"/>
      <c r="R290" s="376"/>
      <c r="S290" s="375"/>
      <c r="T290" s="376"/>
      <c r="U290" s="375"/>
      <c r="V290" s="376"/>
      <c r="W290" s="375"/>
      <c r="X290" s="375"/>
      <c r="Y290" s="801"/>
      <c r="Z290" s="503">
        <f>Z291+Z292+Z296+Z300+Z301+Z302+Z307+Z308+Z309+Z299</f>
        <v>73450000</v>
      </c>
      <c r="AA290" s="275"/>
    </row>
    <row r="291" spans="1:29" s="2278" customFormat="1" ht="22.15" customHeight="1">
      <c r="A291" s="2274"/>
      <c r="B291" s="1145"/>
      <c r="C291" s="470"/>
      <c r="D291" s="2357"/>
      <c r="E291" s="508" t="s">
        <v>59</v>
      </c>
      <c r="F291" s="697">
        <f>Y291</f>
        <v>30000</v>
      </c>
      <c r="G291" s="767">
        <v>30000</v>
      </c>
      <c r="H291" s="2448"/>
      <c r="I291" s="533"/>
      <c r="J291" s="698" t="s">
        <v>3668</v>
      </c>
      <c r="K291" s="2391"/>
      <c r="L291" s="2391"/>
      <c r="M291" s="2391"/>
      <c r="N291" s="2392"/>
      <c r="O291" s="2392"/>
      <c r="P291" s="2392"/>
      <c r="Q291" s="2395">
        <v>1</v>
      </c>
      <c r="R291" s="2887" t="s">
        <v>1367</v>
      </c>
      <c r="S291" s="1686">
        <v>2500000</v>
      </c>
      <c r="T291" s="1685" t="s">
        <v>458</v>
      </c>
      <c r="U291" s="1685"/>
      <c r="V291" s="1685">
        <v>12</v>
      </c>
      <c r="W291" s="1685" t="s">
        <v>49</v>
      </c>
      <c r="X291" s="1687" t="s">
        <v>465</v>
      </c>
      <c r="Y291" s="2394">
        <f>+Z291/1000</f>
        <v>30000</v>
      </c>
      <c r="Z291" s="637">
        <f>Q291*S291*V291</f>
        <v>30000000</v>
      </c>
      <c r="AA291" s="275"/>
      <c r="AB291" s="275"/>
      <c r="AC291" s="275"/>
    </row>
    <row r="292" spans="1:29" s="2278" customFormat="1" ht="22.15" customHeight="1">
      <c r="A292" s="2274"/>
      <c r="B292" s="1145"/>
      <c r="C292" s="470"/>
      <c r="D292" s="1126"/>
      <c r="E292" s="508" t="s">
        <v>572</v>
      </c>
      <c r="F292" s="697">
        <f>Y292</f>
        <v>21750</v>
      </c>
      <c r="G292" s="767">
        <v>24250</v>
      </c>
      <c r="H292" s="2382">
        <f>F292-G292</f>
        <v>-2500</v>
      </c>
      <c r="I292" s="533"/>
      <c r="J292" s="2390" t="s">
        <v>895</v>
      </c>
      <c r="K292" s="2391"/>
      <c r="L292" s="2391"/>
      <c r="M292" s="2391"/>
      <c r="N292" s="2392"/>
      <c r="O292" s="2392"/>
      <c r="P292" s="2392"/>
      <c r="Q292" s="2393"/>
      <c r="R292" s="2887"/>
      <c r="S292" s="2887" t="s">
        <v>601</v>
      </c>
      <c r="T292" s="516" t="s">
        <v>601</v>
      </c>
      <c r="U292" s="516" t="s">
        <v>601</v>
      </c>
      <c r="V292" s="516" t="s">
        <v>601</v>
      </c>
      <c r="W292" s="516" t="s">
        <v>601</v>
      </c>
      <c r="X292" s="517" t="s">
        <v>601</v>
      </c>
      <c r="Y292" s="2394">
        <f t="shared" ref="Y292:Y309" si="67">+Z292/1000</f>
        <v>21750</v>
      </c>
      <c r="Z292" s="2372">
        <f>SUM(Z293:Z295)</f>
        <v>21750000</v>
      </c>
      <c r="AA292" s="275"/>
      <c r="AB292" s="275"/>
      <c r="AC292" s="275"/>
    </row>
    <row r="293" spans="1:29" s="2029" customFormat="1" ht="22.15" customHeight="1">
      <c r="A293" s="2274"/>
      <c r="B293" s="1145"/>
      <c r="C293" s="470"/>
      <c r="D293" s="470"/>
      <c r="E293" s="508"/>
      <c r="F293" s="697"/>
      <c r="G293" s="767"/>
      <c r="H293" s="2382"/>
      <c r="I293" s="533"/>
      <c r="J293" s="2390" t="s">
        <v>2562</v>
      </c>
      <c r="K293" s="2391"/>
      <c r="L293" s="2391"/>
      <c r="M293" s="2391"/>
      <c r="N293" s="2392"/>
      <c r="O293" s="2392"/>
      <c r="P293" s="2392"/>
      <c r="Q293" s="2395"/>
      <c r="R293" s="2887"/>
      <c r="S293" s="1686">
        <v>975000</v>
      </c>
      <c r="T293" s="1685" t="s">
        <v>458</v>
      </c>
      <c r="U293" s="1685"/>
      <c r="V293" s="1685">
        <v>10</v>
      </c>
      <c r="W293" s="1685" t="s">
        <v>616</v>
      </c>
      <c r="X293" s="1687" t="s">
        <v>465</v>
      </c>
      <c r="Y293" s="2394">
        <f t="shared" si="67"/>
        <v>9750</v>
      </c>
      <c r="Z293" s="637">
        <f>S293*V293</f>
        <v>9750000</v>
      </c>
      <c r="AA293" s="275"/>
      <c r="AB293" s="843"/>
      <c r="AC293" s="843"/>
    </row>
    <row r="294" spans="1:29" ht="22.15" customHeight="1">
      <c r="A294" s="2274"/>
      <c r="B294" s="1145"/>
      <c r="C294" s="470"/>
      <c r="D294" s="470"/>
      <c r="E294" s="508"/>
      <c r="F294" s="697"/>
      <c r="G294" s="767"/>
      <c r="H294" s="2382"/>
      <c r="I294" s="533"/>
      <c r="J294" s="2390" t="s">
        <v>2563</v>
      </c>
      <c r="K294" s="2391"/>
      <c r="L294" s="2391"/>
      <c r="M294" s="2391"/>
      <c r="N294" s="2392"/>
      <c r="O294" s="2392"/>
      <c r="P294" s="2392"/>
      <c r="Q294" s="2395"/>
      <c r="R294" s="2887"/>
      <c r="S294" s="1686">
        <v>1400000</v>
      </c>
      <c r="T294" s="1685" t="s">
        <v>458</v>
      </c>
      <c r="U294" s="1685"/>
      <c r="V294" s="1685">
        <v>5</v>
      </c>
      <c r="W294" s="1685" t="s">
        <v>459</v>
      </c>
      <c r="X294" s="1687" t="s">
        <v>465</v>
      </c>
      <c r="Y294" s="2394">
        <f t="shared" si="67"/>
        <v>7000</v>
      </c>
      <c r="Z294" s="637">
        <f>S294*V294</f>
        <v>7000000</v>
      </c>
      <c r="AA294" s="275"/>
    </row>
    <row r="295" spans="1:29" ht="22.15" customHeight="1">
      <c r="A295" s="2274"/>
      <c r="B295" s="1145"/>
      <c r="C295" s="470"/>
      <c r="D295" s="470"/>
      <c r="E295" s="508"/>
      <c r="F295" s="697"/>
      <c r="G295" s="767"/>
      <c r="H295" s="2382"/>
      <c r="I295" s="533"/>
      <c r="J295" s="2390" t="s">
        <v>2564</v>
      </c>
      <c r="K295" s="2391"/>
      <c r="L295" s="2391"/>
      <c r="M295" s="2391"/>
      <c r="N295" s="2392"/>
      <c r="O295" s="2392"/>
      <c r="P295" s="2392"/>
      <c r="Q295" s="2395"/>
      <c r="R295" s="2887"/>
      <c r="S295" s="1686">
        <v>625000</v>
      </c>
      <c r="T295" s="1685" t="s">
        <v>458</v>
      </c>
      <c r="U295" s="1685"/>
      <c r="V295" s="1685">
        <v>8</v>
      </c>
      <c r="W295" s="1685" t="s">
        <v>459</v>
      </c>
      <c r="X295" s="1687" t="s">
        <v>465</v>
      </c>
      <c r="Y295" s="2394">
        <f t="shared" si="67"/>
        <v>5000</v>
      </c>
      <c r="Z295" s="637">
        <f>S295*V295</f>
        <v>5000000</v>
      </c>
      <c r="AA295" s="275"/>
    </row>
    <row r="296" spans="1:29" ht="22.15" customHeight="1">
      <c r="A296" s="2274"/>
      <c r="B296" s="1145"/>
      <c r="C296" s="470"/>
      <c r="D296" s="470"/>
      <c r="E296" s="508" t="s">
        <v>1363</v>
      </c>
      <c r="F296" s="697">
        <f>Y296</f>
        <v>3500</v>
      </c>
      <c r="G296" s="767">
        <v>5500</v>
      </c>
      <c r="H296" s="2382">
        <f>F296-G296</f>
        <v>-2000</v>
      </c>
      <c r="I296" s="533"/>
      <c r="J296" s="2390" t="s">
        <v>895</v>
      </c>
      <c r="K296" s="2391"/>
      <c r="L296" s="2391"/>
      <c r="M296" s="2391"/>
      <c r="N296" s="2392"/>
      <c r="O296" s="2392"/>
      <c r="P296" s="2392"/>
      <c r="Q296" s="727"/>
      <c r="R296" s="2887"/>
      <c r="S296" s="1686"/>
      <c r="T296" s="1685"/>
      <c r="U296" s="1685"/>
      <c r="V296" s="1685"/>
      <c r="W296" s="1685"/>
      <c r="X296" s="1687"/>
      <c r="Y296" s="2394">
        <f>+Z296/1000</f>
        <v>3500</v>
      </c>
      <c r="Z296" s="637">
        <f>SUM(Z297:Z298)</f>
        <v>3500000</v>
      </c>
      <c r="AA296" s="275"/>
    </row>
    <row r="297" spans="1:29" ht="22.15" customHeight="1">
      <c r="A297" s="2274"/>
      <c r="B297" s="1145"/>
      <c r="C297" s="470"/>
      <c r="D297" s="2357"/>
      <c r="E297" s="508"/>
      <c r="F297" s="697"/>
      <c r="G297" s="767"/>
      <c r="H297" s="2382"/>
      <c r="I297" s="533"/>
      <c r="J297" s="2390" t="s">
        <v>2565</v>
      </c>
      <c r="K297" s="2391"/>
      <c r="L297" s="2391"/>
      <c r="M297" s="2391"/>
      <c r="N297" s="2392"/>
      <c r="O297" s="2392"/>
      <c r="P297" s="2392"/>
      <c r="Q297" s="727">
        <v>10000</v>
      </c>
      <c r="R297" s="2887" t="s">
        <v>2293</v>
      </c>
      <c r="S297" s="1686">
        <v>150</v>
      </c>
      <c r="T297" s="1685" t="s">
        <v>458</v>
      </c>
      <c r="U297" s="1685"/>
      <c r="V297" s="1685">
        <v>1</v>
      </c>
      <c r="W297" s="1685" t="s">
        <v>616</v>
      </c>
      <c r="X297" s="1687" t="s">
        <v>465</v>
      </c>
      <c r="Y297" s="2394">
        <f t="shared" si="67"/>
        <v>1500</v>
      </c>
      <c r="Z297" s="637">
        <f>Q297*S297*V297</f>
        <v>1500000</v>
      </c>
      <c r="AA297" s="275"/>
    </row>
    <row r="298" spans="1:29" ht="22.15" customHeight="1">
      <c r="A298" s="2274"/>
      <c r="B298" s="1145"/>
      <c r="C298" s="470"/>
      <c r="D298" s="2357"/>
      <c r="E298" s="508"/>
      <c r="F298" s="697"/>
      <c r="G298" s="767"/>
      <c r="H298" s="2382"/>
      <c r="I298" s="533"/>
      <c r="J298" s="2390" t="s">
        <v>2566</v>
      </c>
      <c r="K298" s="2391"/>
      <c r="L298" s="2391"/>
      <c r="M298" s="2391"/>
      <c r="N298" s="2392"/>
      <c r="O298" s="2392"/>
      <c r="P298" s="2392"/>
      <c r="Q298" s="727">
        <v>40000</v>
      </c>
      <c r="R298" s="2887" t="s">
        <v>2293</v>
      </c>
      <c r="S298" s="1686">
        <v>50</v>
      </c>
      <c r="T298" s="1685" t="s">
        <v>458</v>
      </c>
      <c r="U298" s="1685"/>
      <c r="V298" s="1685">
        <v>1</v>
      </c>
      <c r="W298" s="1685" t="s">
        <v>616</v>
      </c>
      <c r="X298" s="1687" t="s">
        <v>465</v>
      </c>
      <c r="Y298" s="2394">
        <f t="shared" si="67"/>
        <v>2000</v>
      </c>
      <c r="Z298" s="637">
        <f>Q298*S298*V298</f>
        <v>2000000</v>
      </c>
      <c r="AA298" s="275"/>
    </row>
    <row r="299" spans="1:29" ht="22.15" customHeight="1">
      <c r="A299" s="2274"/>
      <c r="B299" s="1145"/>
      <c r="C299" s="470"/>
      <c r="D299" s="2357"/>
      <c r="E299" s="508" t="s">
        <v>963</v>
      </c>
      <c r="F299" s="697">
        <f t="shared" ref="F299:F301" si="68">Y299</f>
        <v>400</v>
      </c>
      <c r="G299" s="767">
        <v>900</v>
      </c>
      <c r="H299" s="2382">
        <f t="shared" ref="H299:H301" si="69">F299-G299</f>
        <v>-500</v>
      </c>
      <c r="I299" s="533"/>
      <c r="J299" s="698" t="s">
        <v>2567</v>
      </c>
      <c r="K299" s="2391"/>
      <c r="L299" s="2391"/>
      <c r="M299" s="2391"/>
      <c r="N299" s="2392"/>
      <c r="O299" s="2392"/>
      <c r="P299" s="2392"/>
      <c r="Q299" s="2395"/>
      <c r="R299" s="2887"/>
      <c r="S299" s="1686">
        <v>40000</v>
      </c>
      <c r="T299" s="1685" t="s">
        <v>458</v>
      </c>
      <c r="U299" s="1685"/>
      <c r="V299" s="1685">
        <v>10</v>
      </c>
      <c r="W299" s="1685" t="s">
        <v>616</v>
      </c>
      <c r="X299" s="1687" t="s">
        <v>465</v>
      </c>
      <c r="Y299" s="2394">
        <f t="shared" si="67"/>
        <v>400</v>
      </c>
      <c r="Z299" s="637">
        <f>S299*V299</f>
        <v>400000</v>
      </c>
      <c r="AA299" s="275"/>
    </row>
    <row r="300" spans="1:29" ht="22.15" customHeight="1">
      <c r="A300" s="2274"/>
      <c r="B300" s="1145"/>
      <c r="C300" s="470"/>
      <c r="D300" s="2357"/>
      <c r="E300" s="508" t="s">
        <v>462</v>
      </c>
      <c r="F300" s="697">
        <f t="shared" si="68"/>
        <v>550</v>
      </c>
      <c r="G300" s="767">
        <v>750</v>
      </c>
      <c r="H300" s="2382">
        <f t="shared" si="69"/>
        <v>-200</v>
      </c>
      <c r="I300" s="533"/>
      <c r="J300" s="698" t="s">
        <v>3669</v>
      </c>
      <c r="K300" s="2391"/>
      <c r="L300" s="2391"/>
      <c r="M300" s="2391"/>
      <c r="N300" s="2392"/>
      <c r="O300" s="2392"/>
      <c r="P300" s="2392"/>
      <c r="Q300" s="2395">
        <v>2</v>
      </c>
      <c r="R300" s="2887" t="s">
        <v>1367</v>
      </c>
      <c r="S300" s="1686">
        <v>25000</v>
      </c>
      <c r="T300" s="1685" t="s">
        <v>458</v>
      </c>
      <c r="U300" s="1685"/>
      <c r="V300" s="1685">
        <v>11</v>
      </c>
      <c r="W300" s="1685" t="s">
        <v>616</v>
      </c>
      <c r="X300" s="1687" t="s">
        <v>465</v>
      </c>
      <c r="Y300" s="2394">
        <f t="shared" si="67"/>
        <v>550</v>
      </c>
      <c r="Z300" s="637">
        <f>Q300*S300*V300</f>
        <v>550000</v>
      </c>
      <c r="AA300" s="275"/>
    </row>
    <row r="301" spans="1:29" ht="22.15" customHeight="1">
      <c r="A301" s="2274"/>
      <c r="B301" s="1145"/>
      <c r="C301" s="470"/>
      <c r="D301" s="2357"/>
      <c r="E301" s="508" t="s">
        <v>631</v>
      </c>
      <c r="F301" s="697">
        <f t="shared" si="68"/>
        <v>9500</v>
      </c>
      <c r="G301" s="767">
        <v>4500</v>
      </c>
      <c r="H301" s="2382">
        <f t="shared" si="69"/>
        <v>5000</v>
      </c>
      <c r="I301" s="533"/>
      <c r="J301" s="2427" t="s">
        <v>8</v>
      </c>
      <c r="K301" s="2427"/>
      <c r="L301" s="2427"/>
      <c r="M301" s="2427"/>
      <c r="N301" s="2427"/>
      <c r="O301" s="2427"/>
      <c r="P301" s="2427"/>
      <c r="Q301" s="2427"/>
      <c r="R301" s="2427"/>
      <c r="S301" s="2427"/>
      <c r="T301" s="2427"/>
      <c r="U301" s="2427"/>
      <c r="V301" s="2427"/>
      <c r="W301" s="2427"/>
      <c r="X301" s="2427"/>
      <c r="Y301" s="2394">
        <f>+Z301/1000</f>
        <v>9500</v>
      </c>
      <c r="Z301" s="637">
        <f>SUM(Z302:Z303)</f>
        <v>9500000</v>
      </c>
      <c r="AA301" s="275"/>
    </row>
    <row r="302" spans="1:29" s="2278" customFormat="1" ht="22.15" customHeight="1">
      <c r="A302" s="2274"/>
      <c r="B302" s="1145"/>
      <c r="C302" s="470"/>
      <c r="D302" s="471"/>
      <c r="E302" s="508"/>
      <c r="F302" s="697"/>
      <c r="G302" s="697"/>
      <c r="H302" s="2382"/>
      <c r="I302" s="533"/>
      <c r="J302" s="698" t="s">
        <v>1748</v>
      </c>
      <c r="K302" s="2391"/>
      <c r="L302" s="2391"/>
      <c r="M302" s="2391"/>
      <c r="N302" s="2392"/>
      <c r="O302" s="2392"/>
      <c r="P302" s="2392"/>
      <c r="Q302" s="2395"/>
      <c r="R302" s="2887"/>
      <c r="S302" s="1686">
        <v>15000</v>
      </c>
      <c r="T302" s="1685" t="s">
        <v>458</v>
      </c>
      <c r="U302" s="1685"/>
      <c r="V302" s="1685">
        <v>300</v>
      </c>
      <c r="W302" s="1685" t="s">
        <v>570</v>
      </c>
      <c r="X302" s="1687" t="s">
        <v>465</v>
      </c>
      <c r="Y302" s="2394">
        <f t="shared" si="67"/>
        <v>4500</v>
      </c>
      <c r="Z302" s="637">
        <f>S302*V302</f>
        <v>4500000</v>
      </c>
      <c r="AA302" s="275"/>
      <c r="AB302" s="275"/>
      <c r="AC302" s="275"/>
    </row>
    <row r="303" spans="1:29" s="2357" customFormat="1" ht="22.15" customHeight="1">
      <c r="A303" s="2858"/>
      <c r="B303" s="1145"/>
      <c r="C303" s="470"/>
      <c r="D303" s="471"/>
      <c r="E303" s="508"/>
      <c r="F303" s="697"/>
      <c r="G303" s="697"/>
      <c r="H303" s="2382"/>
      <c r="I303" s="533"/>
      <c r="J303" s="698" t="s">
        <v>5214</v>
      </c>
      <c r="K303" s="2391"/>
      <c r="L303" s="2391"/>
      <c r="M303" s="2391"/>
      <c r="N303" s="2392"/>
      <c r="O303" s="2392"/>
      <c r="P303" s="2392"/>
      <c r="Q303" s="2395">
        <v>5</v>
      </c>
      <c r="R303" s="2887" t="s">
        <v>1367</v>
      </c>
      <c r="S303" s="1686">
        <v>100000</v>
      </c>
      <c r="T303" s="1685" t="s">
        <v>458</v>
      </c>
      <c r="U303" s="1685"/>
      <c r="V303" s="1685">
        <v>10</v>
      </c>
      <c r="W303" s="1685" t="s">
        <v>616</v>
      </c>
      <c r="X303" s="1687" t="s">
        <v>465</v>
      </c>
      <c r="Y303" s="2394">
        <f t="shared" si="67"/>
        <v>5000</v>
      </c>
      <c r="Z303" s="637">
        <f>Q303*S303*V303</f>
        <v>5000000</v>
      </c>
      <c r="AA303" s="275"/>
      <c r="AB303" s="275"/>
      <c r="AC303" s="275"/>
    </row>
    <row r="304" spans="1:29" s="2357" customFormat="1" ht="22.15" customHeight="1">
      <c r="A304" s="2858"/>
      <c r="B304" s="1145"/>
      <c r="C304" s="470"/>
      <c r="D304" s="471"/>
      <c r="E304" s="620" t="s">
        <v>1059</v>
      </c>
      <c r="F304" s="697">
        <f>Y304</f>
        <v>1050</v>
      </c>
      <c r="G304" s="697">
        <v>1050</v>
      </c>
      <c r="H304" s="2382"/>
      <c r="I304" s="533"/>
      <c r="J304" s="2390" t="s">
        <v>8</v>
      </c>
      <c r="K304" s="2391"/>
      <c r="L304" s="2391"/>
      <c r="M304" s="2391"/>
      <c r="N304" s="2392"/>
      <c r="O304" s="2392"/>
      <c r="P304" s="2392"/>
      <c r="Q304" s="2393"/>
      <c r="R304" s="2887"/>
      <c r="S304" s="2887" t="s">
        <v>19</v>
      </c>
      <c r="T304" s="516" t="s">
        <v>19</v>
      </c>
      <c r="U304" s="516" t="s">
        <v>19</v>
      </c>
      <c r="V304" s="516" t="s">
        <v>19</v>
      </c>
      <c r="W304" s="516" t="s">
        <v>19</v>
      </c>
      <c r="X304" s="517" t="s">
        <v>19</v>
      </c>
      <c r="Y304" s="2394">
        <f>SUM(Y305:Y306)</f>
        <v>1050</v>
      </c>
      <c r="Z304" s="2372">
        <f>SUM(Z305,Z306)</f>
        <v>1050000</v>
      </c>
      <c r="AA304" s="275"/>
      <c r="AB304" s="275"/>
      <c r="AC304" s="275"/>
    </row>
    <row r="305" spans="1:29" s="2278" customFormat="1" ht="22.15" customHeight="1">
      <c r="A305" s="2274"/>
      <c r="B305" s="1145"/>
      <c r="C305" s="470"/>
      <c r="D305" s="471"/>
      <c r="E305" s="620"/>
      <c r="F305" s="697"/>
      <c r="G305" s="697"/>
      <c r="H305" s="2382"/>
      <c r="I305" s="533"/>
      <c r="J305" s="2390" t="s">
        <v>2568</v>
      </c>
      <c r="K305" s="2391"/>
      <c r="L305" s="2391"/>
      <c r="M305" s="2391"/>
      <c r="N305" s="2392"/>
      <c r="O305" s="2392"/>
      <c r="P305" s="2392"/>
      <c r="Q305" s="2395">
        <v>1</v>
      </c>
      <c r="R305" s="2887" t="s">
        <v>18</v>
      </c>
      <c r="S305" s="1686">
        <v>330000</v>
      </c>
      <c r="T305" s="1685" t="s">
        <v>0</v>
      </c>
      <c r="U305" s="1685"/>
      <c r="V305" s="1685">
        <v>3</v>
      </c>
      <c r="W305" s="1685" t="s">
        <v>3</v>
      </c>
      <c r="X305" s="1687" t="s">
        <v>1</v>
      </c>
      <c r="Y305" s="2394">
        <f>+Q305*S305*V305/1000</f>
        <v>990</v>
      </c>
      <c r="Z305" s="637">
        <f>Q305*S305*V305</f>
        <v>990000</v>
      </c>
      <c r="AA305" s="275"/>
      <c r="AB305" s="275"/>
      <c r="AC305" s="275"/>
    </row>
    <row r="306" spans="1:29" ht="22.15" customHeight="1">
      <c r="A306" s="2274"/>
      <c r="B306" s="1145"/>
      <c r="C306" s="470"/>
      <c r="D306" s="471"/>
      <c r="E306" s="620"/>
      <c r="F306" s="697"/>
      <c r="G306" s="697"/>
      <c r="H306" s="2382"/>
      <c r="I306" s="533"/>
      <c r="J306" s="2390" t="s">
        <v>2569</v>
      </c>
      <c r="K306" s="2391"/>
      <c r="L306" s="2391"/>
      <c r="M306" s="2391"/>
      <c r="N306" s="2392"/>
      <c r="O306" s="2392"/>
      <c r="P306" s="2392"/>
      <c r="Q306" s="2395">
        <v>1</v>
      </c>
      <c r="R306" s="2887" t="s">
        <v>718</v>
      </c>
      <c r="S306" s="1686">
        <v>60000</v>
      </c>
      <c r="T306" s="1685" t="s">
        <v>0</v>
      </c>
      <c r="U306" s="1685"/>
      <c r="V306" s="1685">
        <v>1</v>
      </c>
      <c r="W306" s="1685" t="s">
        <v>3</v>
      </c>
      <c r="X306" s="1687" t="s">
        <v>1</v>
      </c>
      <c r="Y306" s="2394">
        <f>+Q306*S306*V306/1000</f>
        <v>60</v>
      </c>
      <c r="Z306" s="637">
        <f>Q306*S306*V306</f>
        <v>60000</v>
      </c>
      <c r="AA306" s="275"/>
    </row>
    <row r="307" spans="1:29" ht="22.15" customHeight="1">
      <c r="A307" s="2274"/>
      <c r="B307" s="1145"/>
      <c r="C307" s="470"/>
      <c r="D307" s="471"/>
      <c r="E307" s="620" t="s">
        <v>1276</v>
      </c>
      <c r="F307" s="697">
        <f t="shared" ref="F307:F309" si="70">Y307</f>
        <v>700</v>
      </c>
      <c r="G307" s="697">
        <v>500</v>
      </c>
      <c r="H307" s="2382">
        <f>F307-G307</f>
        <v>200</v>
      </c>
      <c r="I307" s="533"/>
      <c r="J307" s="2390" t="s">
        <v>2570</v>
      </c>
      <c r="K307" s="2391"/>
      <c r="L307" s="2391"/>
      <c r="M307" s="2391"/>
      <c r="N307" s="2392"/>
      <c r="O307" s="2392"/>
      <c r="P307" s="2392"/>
      <c r="Q307" s="2735">
        <v>500</v>
      </c>
      <c r="R307" s="1685" t="s">
        <v>718</v>
      </c>
      <c r="S307" s="1686">
        <v>200</v>
      </c>
      <c r="T307" s="1685" t="s">
        <v>458</v>
      </c>
      <c r="U307" s="1685"/>
      <c r="V307" s="1685">
        <v>7</v>
      </c>
      <c r="W307" s="1685" t="s">
        <v>616</v>
      </c>
      <c r="X307" s="1687" t="s">
        <v>465</v>
      </c>
      <c r="Y307" s="2394">
        <f t="shared" si="67"/>
        <v>700</v>
      </c>
      <c r="Z307" s="637">
        <f>Q307*S307*V307</f>
        <v>700000</v>
      </c>
      <c r="AA307" s="275"/>
    </row>
    <row r="308" spans="1:29" ht="22.15" customHeight="1">
      <c r="A308" s="2274"/>
      <c r="B308" s="1145"/>
      <c r="C308" s="470"/>
      <c r="D308" s="471"/>
      <c r="E308" s="620" t="s">
        <v>602</v>
      </c>
      <c r="F308" s="697">
        <f t="shared" si="70"/>
        <v>2000</v>
      </c>
      <c r="G308" s="697">
        <v>2000</v>
      </c>
      <c r="H308" s="2382"/>
      <c r="I308" s="533"/>
      <c r="J308" s="2390" t="s">
        <v>2571</v>
      </c>
      <c r="K308" s="2391"/>
      <c r="L308" s="2391"/>
      <c r="M308" s="2391"/>
      <c r="N308" s="2392"/>
      <c r="O308" s="2392"/>
      <c r="P308" s="2392"/>
      <c r="Q308" s="2737">
        <v>50</v>
      </c>
      <c r="R308" s="1685" t="s">
        <v>1367</v>
      </c>
      <c r="S308" s="1686">
        <v>10000</v>
      </c>
      <c r="T308" s="1685" t="s">
        <v>458</v>
      </c>
      <c r="U308" s="1685"/>
      <c r="V308" s="1685">
        <v>4</v>
      </c>
      <c r="W308" s="1685" t="s">
        <v>616</v>
      </c>
      <c r="X308" s="1687" t="s">
        <v>465</v>
      </c>
      <c r="Y308" s="2394">
        <f t="shared" si="67"/>
        <v>2000</v>
      </c>
      <c r="Z308" s="637">
        <f>Q308*S308*V308</f>
        <v>2000000</v>
      </c>
      <c r="AA308" s="275"/>
    </row>
    <row r="309" spans="1:29" s="2278" customFormat="1" ht="22.15" customHeight="1">
      <c r="A309" s="2274"/>
      <c r="B309" s="1145"/>
      <c r="C309" s="470"/>
      <c r="D309" s="2898"/>
      <c r="E309" s="2423" t="s">
        <v>632</v>
      </c>
      <c r="F309" s="697">
        <f t="shared" si="70"/>
        <v>550</v>
      </c>
      <c r="G309" s="708">
        <v>550</v>
      </c>
      <c r="H309" s="3017"/>
      <c r="I309" s="533"/>
      <c r="J309" s="2416" t="s">
        <v>2572</v>
      </c>
      <c r="K309" s="2417"/>
      <c r="L309" s="2417"/>
      <c r="M309" s="2417"/>
      <c r="N309" s="2418"/>
      <c r="O309" s="2418"/>
      <c r="P309" s="2418"/>
      <c r="Q309" s="3020">
        <v>5</v>
      </c>
      <c r="R309" s="709" t="s">
        <v>1367</v>
      </c>
      <c r="S309" s="710">
        <v>11000</v>
      </c>
      <c r="T309" s="709" t="s">
        <v>458</v>
      </c>
      <c r="U309" s="709"/>
      <c r="V309" s="709">
        <v>10</v>
      </c>
      <c r="W309" s="709" t="s">
        <v>616</v>
      </c>
      <c r="X309" s="725" t="s">
        <v>465</v>
      </c>
      <c r="Y309" s="2420">
        <f t="shared" si="67"/>
        <v>550</v>
      </c>
      <c r="Z309" s="637">
        <f>Q309*S309*V309</f>
        <v>550000</v>
      </c>
      <c r="AA309" s="275"/>
      <c r="AB309" s="275"/>
      <c r="AC309" s="275"/>
    </row>
    <row r="310" spans="1:29" ht="22.15" customHeight="1">
      <c r="A310" s="2274"/>
      <c r="B310" s="1145"/>
      <c r="C310" s="470"/>
      <c r="D310" s="3434" t="s">
        <v>5755</v>
      </c>
      <c r="E310" s="3357"/>
      <c r="F310" s="373">
        <f>SUM(F311:F319)</f>
        <v>50000</v>
      </c>
      <c r="G310" s="360">
        <f>SUM(G311:G319)</f>
        <v>50000</v>
      </c>
      <c r="H310" s="361">
        <f>F310-G310</f>
        <v>0</v>
      </c>
      <c r="I310" s="473"/>
      <c r="J310" s="1977"/>
      <c r="K310" s="1978"/>
      <c r="L310" s="1978"/>
      <c r="M310" s="1978"/>
      <c r="N310" s="1978"/>
      <c r="O310" s="1978"/>
      <c r="P310" s="1978"/>
      <c r="Q310" s="1979"/>
      <c r="R310" s="827"/>
      <c r="S310" s="2289"/>
      <c r="T310" s="827"/>
      <c r="U310" s="2289"/>
      <c r="V310" s="827"/>
      <c r="W310" s="2289"/>
      <c r="X310" s="2289"/>
      <c r="Y310" s="1910"/>
      <c r="Z310" s="503">
        <f>Z311+Z312+Z313+Z314+Z318+Z319</f>
        <v>50000000</v>
      </c>
      <c r="AA310" s="275"/>
    </row>
    <row r="311" spans="1:29" ht="22.15" customHeight="1">
      <c r="A311" s="2274"/>
      <c r="B311" s="1145"/>
      <c r="C311" s="470"/>
      <c r="D311" s="471"/>
      <c r="E311" s="465" t="s">
        <v>1696</v>
      </c>
      <c r="F311" s="598">
        <f>ROUNDUP(+Z311/1000,0)</f>
        <v>30000</v>
      </c>
      <c r="G311" s="337">
        <v>30000</v>
      </c>
      <c r="H311" s="338"/>
      <c r="I311" s="473"/>
      <c r="J311" s="1903" t="s">
        <v>2573</v>
      </c>
      <c r="K311" s="807"/>
      <c r="L311" s="807"/>
      <c r="M311" s="807"/>
      <c r="N311" s="646"/>
      <c r="O311" s="646"/>
      <c r="P311" s="646"/>
      <c r="Q311" s="1905">
        <v>1</v>
      </c>
      <c r="R311" s="2262" t="s">
        <v>2560</v>
      </c>
      <c r="S311" s="1672">
        <v>2500000</v>
      </c>
      <c r="T311" s="1671" t="s">
        <v>1697</v>
      </c>
      <c r="U311" s="1671"/>
      <c r="V311" s="1671">
        <v>12</v>
      </c>
      <c r="W311" s="1671" t="s">
        <v>1716</v>
      </c>
      <c r="X311" s="397" t="s">
        <v>1698</v>
      </c>
      <c r="Y311" s="874">
        <f>+Z311/1000</f>
        <v>30000</v>
      </c>
      <c r="Z311" s="355">
        <f>S311*V311*Q311</f>
        <v>30000000</v>
      </c>
      <c r="AA311" s="275"/>
    </row>
    <row r="312" spans="1:29" ht="22.15" customHeight="1">
      <c r="A312" s="2274"/>
      <c r="B312" s="1145"/>
      <c r="C312" s="470"/>
      <c r="D312" s="471"/>
      <c r="E312" s="402" t="s">
        <v>51</v>
      </c>
      <c r="F312" s="598">
        <f>+Y312</f>
        <v>1000</v>
      </c>
      <c r="G312" s="598">
        <v>1000</v>
      </c>
      <c r="H312" s="338"/>
      <c r="I312" s="473"/>
      <c r="J312" s="802" t="s">
        <v>313</v>
      </c>
      <c r="K312" s="803"/>
      <c r="L312" s="803"/>
      <c r="M312" s="803"/>
      <c r="N312" s="649"/>
      <c r="O312" s="803"/>
      <c r="P312" s="803"/>
      <c r="Q312" s="804" t="s">
        <v>2574</v>
      </c>
      <c r="R312" s="1671" t="s">
        <v>108</v>
      </c>
      <c r="S312" s="1672">
        <v>10000</v>
      </c>
      <c r="T312" s="1671" t="s">
        <v>0</v>
      </c>
      <c r="U312" s="1671"/>
      <c r="V312" s="1671">
        <v>1</v>
      </c>
      <c r="W312" s="1671" t="s">
        <v>3</v>
      </c>
      <c r="X312" s="397" t="s">
        <v>1698</v>
      </c>
      <c r="Y312" s="874">
        <f>+Q312*S312*V312/1000</f>
        <v>1000</v>
      </c>
      <c r="Z312" s="2030">
        <f>Q312*S312*V312</f>
        <v>1000000</v>
      </c>
      <c r="AA312" s="275"/>
    </row>
    <row r="313" spans="1:29" s="2278" customFormat="1" ht="22.15" customHeight="1">
      <c r="A313" s="2274"/>
      <c r="B313" s="1145"/>
      <c r="D313" s="1145"/>
      <c r="E313" s="465" t="s">
        <v>73</v>
      </c>
      <c r="F313" s="598">
        <f>+Y313</f>
        <v>500</v>
      </c>
      <c r="G313" s="598">
        <v>500</v>
      </c>
      <c r="H313" s="338"/>
      <c r="I313" s="473"/>
      <c r="J313" s="802" t="s">
        <v>312</v>
      </c>
      <c r="K313" s="803"/>
      <c r="L313" s="803"/>
      <c r="M313" s="803"/>
      <c r="N313" s="649"/>
      <c r="O313" s="803"/>
      <c r="P313" s="803"/>
      <c r="Q313" s="804" t="s">
        <v>308</v>
      </c>
      <c r="R313" s="1671" t="s">
        <v>23</v>
      </c>
      <c r="S313" s="1672">
        <v>10000</v>
      </c>
      <c r="T313" s="1671" t="s">
        <v>0</v>
      </c>
      <c r="U313" s="1671"/>
      <c r="V313" s="1671">
        <v>5</v>
      </c>
      <c r="W313" s="1671" t="s">
        <v>3</v>
      </c>
      <c r="X313" s="397" t="s">
        <v>1698</v>
      </c>
      <c r="Y313" s="874">
        <f>+Q313*S313*V313/1000</f>
        <v>500</v>
      </c>
      <c r="Z313" s="2030">
        <f>Q313*S313*V313</f>
        <v>500000</v>
      </c>
      <c r="AA313" s="275"/>
      <c r="AB313" s="275"/>
      <c r="AC313" s="275"/>
    </row>
    <row r="314" spans="1:29" s="2278" customFormat="1" ht="22.15" customHeight="1">
      <c r="A314" s="2274"/>
      <c r="B314" s="1145"/>
      <c r="C314" s="470"/>
      <c r="D314" s="1126"/>
      <c r="E314" s="1126" t="s">
        <v>52</v>
      </c>
      <c r="F314" s="598">
        <f>+Y314</f>
        <v>13000</v>
      </c>
      <c r="G314" s="337">
        <v>13000</v>
      </c>
      <c r="H314" s="338"/>
      <c r="I314" s="473"/>
      <c r="J314" s="1903" t="s">
        <v>8</v>
      </c>
      <c r="K314" s="807"/>
      <c r="L314" s="807"/>
      <c r="M314" s="807"/>
      <c r="N314" s="646"/>
      <c r="O314" s="646"/>
      <c r="P314" s="646"/>
      <c r="Q314" s="650"/>
      <c r="R314" s="2262"/>
      <c r="S314" s="2262" t="s">
        <v>19</v>
      </c>
      <c r="T314" s="2288" t="s">
        <v>19</v>
      </c>
      <c r="U314" s="2288" t="s">
        <v>19</v>
      </c>
      <c r="V314" s="2288" t="s">
        <v>19</v>
      </c>
      <c r="W314" s="2288" t="s">
        <v>19</v>
      </c>
      <c r="X314" s="1140" t="s">
        <v>19</v>
      </c>
      <c r="Y314" s="874">
        <f>SUM(Y315:Y317)</f>
        <v>13000</v>
      </c>
      <c r="Z314" s="1324">
        <f>SUM(Z315:Z317)</f>
        <v>13000000</v>
      </c>
      <c r="AA314" s="275"/>
      <c r="AB314" s="275"/>
      <c r="AC314" s="275"/>
    </row>
    <row r="315" spans="1:29" s="2278" customFormat="1" ht="22.15" customHeight="1">
      <c r="A315" s="2274"/>
      <c r="B315" s="1145"/>
      <c r="C315" s="470"/>
      <c r="D315" s="470"/>
      <c r="E315" s="1126"/>
      <c r="F315" s="598"/>
      <c r="G315" s="337"/>
      <c r="H315" s="338"/>
      <c r="I315" s="473"/>
      <c r="J315" s="1903" t="s">
        <v>2575</v>
      </c>
      <c r="K315" s="807"/>
      <c r="L315" s="807"/>
      <c r="M315" s="807"/>
      <c r="N315" s="646"/>
      <c r="O315" s="646"/>
      <c r="P315" s="646"/>
      <c r="Q315" s="1905">
        <v>40</v>
      </c>
      <c r="R315" s="2262" t="s">
        <v>123</v>
      </c>
      <c r="S315" s="1672">
        <v>10000</v>
      </c>
      <c r="T315" s="1671" t="s">
        <v>0</v>
      </c>
      <c r="U315" s="1671"/>
      <c r="V315" s="1671">
        <v>24</v>
      </c>
      <c r="W315" s="1671" t="s">
        <v>3</v>
      </c>
      <c r="X315" s="397" t="s">
        <v>1</v>
      </c>
      <c r="Y315" s="874">
        <f>+Q315*S315*V315/1000</f>
        <v>9600</v>
      </c>
      <c r="Z315" s="355">
        <f>Q315*S315*V315</f>
        <v>9600000</v>
      </c>
      <c r="AA315" s="275"/>
      <c r="AB315" s="275"/>
      <c r="AC315" s="275"/>
    </row>
    <row r="316" spans="1:29" s="2278" customFormat="1" ht="22.15" customHeight="1">
      <c r="A316" s="2274"/>
      <c r="B316" s="1145"/>
      <c r="C316" s="470"/>
      <c r="D316" s="470"/>
      <c r="E316" s="1126"/>
      <c r="F316" s="598"/>
      <c r="G316" s="337"/>
      <c r="H316" s="338"/>
      <c r="I316" s="473"/>
      <c r="J316" s="1903" t="s">
        <v>2576</v>
      </c>
      <c r="K316" s="807"/>
      <c r="L316" s="807"/>
      <c r="M316" s="807"/>
      <c r="N316" s="646"/>
      <c r="O316" s="646"/>
      <c r="P316" s="646"/>
      <c r="Q316" s="1905">
        <v>1</v>
      </c>
      <c r="R316" s="2262" t="s">
        <v>123</v>
      </c>
      <c r="S316" s="1672">
        <v>300000</v>
      </c>
      <c r="T316" s="1671" t="s">
        <v>0</v>
      </c>
      <c r="U316" s="1671"/>
      <c r="V316" s="1671">
        <v>4</v>
      </c>
      <c r="W316" s="1671" t="s">
        <v>3</v>
      </c>
      <c r="X316" s="397" t="s">
        <v>1</v>
      </c>
      <c r="Y316" s="874">
        <f>+Q316*S316*V316/1000</f>
        <v>1200</v>
      </c>
      <c r="Z316" s="355">
        <f>Q316*S316*V316</f>
        <v>1200000</v>
      </c>
      <c r="AA316" s="275"/>
      <c r="AB316" s="275"/>
      <c r="AC316" s="275"/>
    </row>
    <row r="317" spans="1:29" s="2278" customFormat="1" ht="22.15" customHeight="1">
      <c r="A317" s="2274"/>
      <c r="B317" s="1145"/>
      <c r="C317" s="470"/>
      <c r="D317" s="470"/>
      <c r="E317" s="1126"/>
      <c r="F317" s="598"/>
      <c r="G317" s="337"/>
      <c r="H317" s="338"/>
      <c r="I317" s="473"/>
      <c r="J317" s="1903" t="s">
        <v>2577</v>
      </c>
      <c r="K317" s="807"/>
      <c r="L317" s="807"/>
      <c r="M317" s="807"/>
      <c r="N317" s="646"/>
      <c r="O317" s="646"/>
      <c r="P317" s="646"/>
      <c r="Q317" s="1905">
        <v>1</v>
      </c>
      <c r="R317" s="2262" t="s">
        <v>123</v>
      </c>
      <c r="S317" s="1672">
        <v>2200000</v>
      </c>
      <c r="T317" s="1671" t="s">
        <v>0</v>
      </c>
      <c r="U317" s="1671"/>
      <c r="V317" s="1671">
        <v>1</v>
      </c>
      <c r="W317" s="1671" t="s">
        <v>1716</v>
      </c>
      <c r="X317" s="397" t="s">
        <v>1</v>
      </c>
      <c r="Y317" s="874">
        <f>+Q317*S317*V317/1000</f>
        <v>2200</v>
      </c>
      <c r="Z317" s="355">
        <f>Q317*S317*V317</f>
        <v>2200000</v>
      </c>
      <c r="AA317" s="275"/>
      <c r="AB317" s="275"/>
      <c r="AC317" s="275"/>
    </row>
    <row r="318" spans="1:29" s="2278" customFormat="1" ht="22.15" customHeight="1">
      <c r="A318" s="2274"/>
      <c r="B318" s="1145"/>
      <c r="D318" s="1145"/>
      <c r="E318" s="402" t="s">
        <v>56</v>
      </c>
      <c r="F318" s="598">
        <f>+Y318</f>
        <v>5000</v>
      </c>
      <c r="G318" s="598">
        <v>5000</v>
      </c>
      <c r="H318" s="338"/>
      <c r="I318" s="473"/>
      <c r="J318" s="802" t="s">
        <v>310</v>
      </c>
      <c r="K318" s="803"/>
      <c r="L318" s="803"/>
      <c r="M318" s="803"/>
      <c r="N318" s="649"/>
      <c r="O318" s="803"/>
      <c r="P318" s="803"/>
      <c r="Q318" s="804" t="s">
        <v>2578</v>
      </c>
      <c r="R318" s="1671" t="s">
        <v>23</v>
      </c>
      <c r="S318" s="1672">
        <v>20000</v>
      </c>
      <c r="T318" s="1671" t="s">
        <v>0</v>
      </c>
      <c r="U318" s="1671"/>
      <c r="V318" s="1671">
        <v>5</v>
      </c>
      <c r="W318" s="1671" t="s">
        <v>3</v>
      </c>
      <c r="X318" s="397" t="s">
        <v>1</v>
      </c>
      <c r="Y318" s="874">
        <f>+Q318*S318*V318/1000</f>
        <v>5000</v>
      </c>
      <c r="Z318" s="355">
        <f>Q318*S318*V318</f>
        <v>5000000</v>
      </c>
      <c r="AA318" s="275"/>
      <c r="AB318" s="275"/>
      <c r="AC318" s="275"/>
    </row>
    <row r="319" spans="1:29" s="2278" customFormat="1" ht="22.15" customHeight="1">
      <c r="A319" s="2274"/>
      <c r="B319" s="1145"/>
      <c r="C319" s="470"/>
      <c r="D319" s="1145"/>
      <c r="E319" s="465" t="s">
        <v>55</v>
      </c>
      <c r="F319" s="598">
        <f>+Y319</f>
        <v>500</v>
      </c>
      <c r="G319" s="598">
        <v>500</v>
      </c>
      <c r="H319" s="338"/>
      <c r="I319" s="473"/>
      <c r="J319" s="802" t="s">
        <v>309</v>
      </c>
      <c r="K319" s="803"/>
      <c r="L319" s="803"/>
      <c r="M319" s="803"/>
      <c r="N319" s="649"/>
      <c r="O319" s="803"/>
      <c r="P319" s="803"/>
      <c r="Q319" s="804" t="s">
        <v>308</v>
      </c>
      <c r="R319" s="1671" t="s">
        <v>23</v>
      </c>
      <c r="S319" s="1672">
        <v>5000</v>
      </c>
      <c r="T319" s="1671" t="s">
        <v>0</v>
      </c>
      <c r="U319" s="1671"/>
      <c r="V319" s="1671">
        <v>10</v>
      </c>
      <c r="W319" s="1671" t="s">
        <v>3</v>
      </c>
      <c r="X319" s="397" t="s">
        <v>1</v>
      </c>
      <c r="Y319" s="874">
        <f>+Q319*S319*V319/1000</f>
        <v>500</v>
      </c>
      <c r="Z319" s="355">
        <f>Q319*S319*V319</f>
        <v>500000</v>
      </c>
      <c r="AA319" s="275"/>
      <c r="AB319" s="275"/>
      <c r="AC319" s="275"/>
    </row>
    <row r="320" spans="1:29" ht="22.15" customHeight="1">
      <c r="A320" s="2274"/>
      <c r="B320" s="1145"/>
      <c r="C320" s="3411" t="s">
        <v>2579</v>
      </c>
      <c r="D320" s="3416"/>
      <c r="E320" s="3412"/>
      <c r="F320" s="1153">
        <f>F321</f>
        <v>80000</v>
      </c>
      <c r="G320" s="1153">
        <f>G321</f>
        <v>80000</v>
      </c>
      <c r="H320" s="1132">
        <f>F320-G320</f>
        <v>0</v>
      </c>
      <c r="I320" s="1127"/>
      <c r="J320" s="1135"/>
      <c r="K320" s="2254"/>
      <c r="L320" s="2254"/>
      <c r="M320" s="2254"/>
      <c r="N320" s="2254"/>
      <c r="O320" s="2254"/>
      <c r="P320" s="1146"/>
      <c r="Q320" s="1136"/>
      <c r="R320" s="1137"/>
      <c r="S320" s="1136"/>
      <c r="T320" s="1136"/>
      <c r="U320" s="1146"/>
      <c r="V320" s="1136"/>
      <c r="W320" s="1136"/>
      <c r="X320" s="1138"/>
      <c r="Y320" s="801"/>
      <c r="Z320" s="503" t="e">
        <f>Z321</f>
        <v>#REF!</v>
      </c>
      <c r="AA320" s="275"/>
    </row>
    <row r="321" spans="1:29" s="2278" customFormat="1" ht="22.15" customHeight="1">
      <c r="A321" s="2274"/>
      <c r="B321" s="1145"/>
      <c r="C321" s="1126"/>
      <c r="D321" s="3275" t="s">
        <v>599</v>
      </c>
      <c r="E321" s="3276"/>
      <c r="F321" s="1156">
        <f>SUM(F322:F330)</f>
        <v>80000</v>
      </c>
      <c r="G321" s="1156">
        <f>SUM(G322:G330)</f>
        <v>80000</v>
      </c>
      <c r="H321" s="559">
        <f>F321-G321</f>
        <v>0</v>
      </c>
      <c r="I321" s="1127"/>
      <c r="J321" s="1129"/>
      <c r="K321" s="2285"/>
      <c r="L321" s="2285"/>
      <c r="M321" s="2285"/>
      <c r="N321" s="2285"/>
      <c r="O321" s="2285"/>
      <c r="P321" s="1130"/>
      <c r="Q321" s="2285"/>
      <c r="R321" s="1626"/>
      <c r="S321" s="1130"/>
      <c r="T321" s="2285"/>
      <c r="U321" s="2285"/>
      <c r="V321" s="1130"/>
      <c r="W321" s="2285"/>
      <c r="X321" s="1157"/>
      <c r="Y321" s="1910"/>
      <c r="Z321" s="503" t="e">
        <f>Z322+Z325+Z328+Z329+Z330+#REF!+#REF!</f>
        <v>#REF!</v>
      </c>
      <c r="AA321" s="275"/>
      <c r="AB321" s="275"/>
      <c r="AC321" s="275"/>
    </row>
    <row r="322" spans="1:29" s="2278" customFormat="1" ht="22.15" customHeight="1">
      <c r="A322" s="2274"/>
      <c r="B322" s="1145"/>
      <c r="C322" s="1126"/>
      <c r="D322" s="1148"/>
      <c r="E322" s="1134" t="s">
        <v>2447</v>
      </c>
      <c r="F322" s="1141">
        <f>+Y322</f>
        <v>39600</v>
      </c>
      <c r="G322" s="1139">
        <v>39600</v>
      </c>
      <c r="H322" s="1147"/>
      <c r="I322" s="1127"/>
      <c r="J322" s="1903" t="s">
        <v>8</v>
      </c>
      <c r="K322" s="807"/>
      <c r="L322" s="807"/>
      <c r="M322" s="807"/>
      <c r="N322" s="646"/>
      <c r="O322" s="646"/>
      <c r="P322" s="646"/>
      <c r="Q322" s="650"/>
      <c r="R322" s="2262"/>
      <c r="S322" s="2262" t="s">
        <v>19</v>
      </c>
      <c r="T322" s="2288" t="s">
        <v>19</v>
      </c>
      <c r="U322" s="2288" t="s">
        <v>19</v>
      </c>
      <c r="V322" s="2288" t="s">
        <v>19</v>
      </c>
      <c r="W322" s="2288" t="s">
        <v>19</v>
      </c>
      <c r="X322" s="1140" t="s">
        <v>19</v>
      </c>
      <c r="Y322" s="874">
        <f t="shared" ref="Y322:Y330" si="71">+Z322/1000</f>
        <v>39600</v>
      </c>
      <c r="Z322" s="1324">
        <f>SUM(Z323:Z324)</f>
        <v>39600000</v>
      </c>
      <c r="AA322" s="275"/>
      <c r="AB322" s="275"/>
      <c r="AC322" s="275"/>
    </row>
    <row r="323" spans="1:29" s="2278" customFormat="1" ht="22.15" customHeight="1">
      <c r="A323" s="2274"/>
      <c r="B323" s="1145"/>
      <c r="C323" s="470"/>
      <c r="D323" s="466"/>
      <c r="E323" s="1134"/>
      <c r="F323" s="1141"/>
      <c r="G323" s="1139"/>
      <c r="H323" s="1147"/>
      <c r="I323" s="1127"/>
      <c r="J323" s="1903" t="s">
        <v>2580</v>
      </c>
      <c r="K323" s="807"/>
      <c r="L323" s="807"/>
      <c r="M323" s="807"/>
      <c r="N323" s="646"/>
      <c r="O323" s="646"/>
      <c r="P323" s="646"/>
      <c r="Q323" s="804" t="s">
        <v>311</v>
      </c>
      <c r="R323" s="1671" t="s">
        <v>123</v>
      </c>
      <c r="S323" s="1672">
        <v>2500000</v>
      </c>
      <c r="T323" s="1671" t="s">
        <v>0</v>
      </c>
      <c r="U323" s="1671"/>
      <c r="V323" s="1671">
        <v>12</v>
      </c>
      <c r="W323" s="1671" t="s">
        <v>1716</v>
      </c>
      <c r="X323" s="397" t="s">
        <v>1</v>
      </c>
      <c r="Y323" s="874">
        <f t="shared" si="71"/>
        <v>30000</v>
      </c>
      <c r="Z323" s="355">
        <f>Q323*S323*V323</f>
        <v>30000000</v>
      </c>
      <c r="AA323" s="275"/>
      <c r="AB323" s="275"/>
      <c r="AC323" s="275"/>
    </row>
    <row r="324" spans="1:29" s="2278" customFormat="1" ht="22.15" customHeight="1">
      <c r="A324" s="2274"/>
      <c r="B324" s="1145"/>
      <c r="C324" s="470"/>
      <c r="D324" s="471"/>
      <c r="E324" s="465"/>
      <c r="F324" s="598"/>
      <c r="G324" s="598"/>
      <c r="H324" s="338"/>
      <c r="I324" s="473"/>
      <c r="J324" s="1903" t="s">
        <v>2581</v>
      </c>
      <c r="K324" s="807"/>
      <c r="L324" s="807"/>
      <c r="M324" s="807"/>
      <c r="N324" s="646"/>
      <c r="O324" s="646"/>
      <c r="P324" s="646"/>
      <c r="Q324" s="804" t="s">
        <v>2468</v>
      </c>
      <c r="R324" s="1671" t="s">
        <v>123</v>
      </c>
      <c r="S324" s="1672">
        <v>400000</v>
      </c>
      <c r="T324" s="1671" t="s">
        <v>0</v>
      </c>
      <c r="U324" s="1671"/>
      <c r="V324" s="1671">
        <v>12</v>
      </c>
      <c r="W324" s="1671" t="s">
        <v>1716</v>
      </c>
      <c r="X324" s="397" t="s">
        <v>1</v>
      </c>
      <c r="Y324" s="874">
        <f t="shared" si="71"/>
        <v>9600</v>
      </c>
      <c r="Z324" s="355">
        <f>Q324*S324*V324</f>
        <v>9600000</v>
      </c>
      <c r="AA324" s="275"/>
      <c r="AB324" s="275"/>
      <c r="AC324" s="275"/>
    </row>
    <row r="325" spans="1:29" ht="22.15" customHeight="1">
      <c r="A325" s="2274"/>
      <c r="B325" s="1145"/>
      <c r="C325" s="1126"/>
      <c r="D325" s="1131"/>
      <c r="E325" s="1134" t="s">
        <v>2582</v>
      </c>
      <c r="F325" s="1141">
        <f t="shared" ref="F325:F330" si="72">+Y325</f>
        <v>500</v>
      </c>
      <c r="G325" s="1139">
        <v>500</v>
      </c>
      <c r="H325" s="1147"/>
      <c r="I325" s="1127"/>
      <c r="J325" s="2287" t="s">
        <v>2583</v>
      </c>
      <c r="K325" s="2282"/>
      <c r="L325" s="2282"/>
      <c r="M325" s="2282"/>
      <c r="N325" s="2282"/>
      <c r="O325" s="2282"/>
      <c r="P325" s="1675"/>
      <c r="Q325" s="2288"/>
      <c r="R325" s="2262"/>
      <c r="S325" s="2288">
        <v>500000</v>
      </c>
      <c r="T325" s="2288" t="s">
        <v>0</v>
      </c>
      <c r="U325" s="1675"/>
      <c r="V325" s="2288">
        <v>1</v>
      </c>
      <c r="W325" s="2262" t="s">
        <v>3</v>
      </c>
      <c r="X325" s="1140" t="s">
        <v>1</v>
      </c>
      <c r="Y325" s="1142">
        <f t="shared" si="71"/>
        <v>500</v>
      </c>
      <c r="Z325" s="494">
        <f t="shared" ref="Z325" si="73">S325*V325</f>
        <v>500000</v>
      </c>
      <c r="AA325" s="275"/>
    </row>
    <row r="326" spans="1:29" ht="22.15" customHeight="1">
      <c r="A326" s="2892"/>
      <c r="B326" s="1145"/>
      <c r="C326" s="1126"/>
      <c r="D326" s="1131"/>
      <c r="E326" s="1134" t="s">
        <v>224</v>
      </c>
      <c r="F326" s="1141">
        <f t="shared" ref="F326:F327" si="74">+Y326</f>
        <v>1000</v>
      </c>
      <c r="G326" s="1139">
        <v>1000</v>
      </c>
      <c r="H326" s="1147"/>
      <c r="I326" s="1127"/>
      <c r="J326" s="2899" t="s">
        <v>262</v>
      </c>
      <c r="K326" s="2889"/>
      <c r="L326" s="2889"/>
      <c r="M326" s="2889"/>
      <c r="N326" s="2889"/>
      <c r="O326" s="2889"/>
      <c r="P326" s="1675"/>
      <c r="Q326" s="2900"/>
      <c r="R326" s="2895"/>
      <c r="S326" s="2900">
        <v>500000</v>
      </c>
      <c r="T326" s="2900" t="s">
        <v>0</v>
      </c>
      <c r="U326" s="1675"/>
      <c r="V326" s="2900">
        <v>2</v>
      </c>
      <c r="W326" s="2895" t="s">
        <v>3</v>
      </c>
      <c r="X326" s="1140" t="s">
        <v>1</v>
      </c>
      <c r="Y326" s="1142">
        <f t="shared" ref="Y326:Y327" si="75">+Z326/1000</f>
        <v>1000</v>
      </c>
      <c r="Z326" s="494">
        <f>S326*V326</f>
        <v>1000000</v>
      </c>
      <c r="AA326" s="275"/>
    </row>
    <row r="327" spans="1:29" ht="22.15" customHeight="1">
      <c r="A327" s="2892"/>
      <c r="B327" s="1145"/>
      <c r="C327" s="1154"/>
      <c r="D327" s="1144"/>
      <c r="E327" s="1134" t="s">
        <v>708</v>
      </c>
      <c r="F327" s="1141">
        <f t="shared" si="74"/>
        <v>35200</v>
      </c>
      <c r="G327" s="1139">
        <v>35200</v>
      </c>
      <c r="H327" s="1147"/>
      <c r="I327" s="1127"/>
      <c r="J327" s="2899" t="s">
        <v>2587</v>
      </c>
      <c r="K327" s="2889"/>
      <c r="L327" s="2889"/>
      <c r="M327" s="2889"/>
      <c r="N327" s="2889"/>
      <c r="O327" s="2889"/>
      <c r="P327" s="1675"/>
      <c r="Q327" s="2900"/>
      <c r="R327" s="2895"/>
      <c r="S327" s="2900">
        <v>3200000</v>
      </c>
      <c r="T327" s="2900" t="s">
        <v>0</v>
      </c>
      <c r="U327" s="1675"/>
      <c r="V327" s="2900">
        <v>11</v>
      </c>
      <c r="W327" s="2900" t="s">
        <v>200</v>
      </c>
      <c r="X327" s="1140" t="s">
        <v>266</v>
      </c>
      <c r="Y327" s="1142">
        <f t="shared" si="75"/>
        <v>35200</v>
      </c>
      <c r="Z327" s="494">
        <f>S327*V327</f>
        <v>35200000</v>
      </c>
      <c r="AA327" s="275"/>
    </row>
    <row r="328" spans="1:29" ht="22.15" customHeight="1">
      <c r="A328" s="2274"/>
      <c r="B328" s="1145"/>
      <c r="C328" s="1126"/>
      <c r="D328" s="1131"/>
      <c r="E328" s="1134" t="s">
        <v>1714</v>
      </c>
      <c r="F328" s="1141">
        <f t="shared" si="72"/>
        <v>1200</v>
      </c>
      <c r="G328" s="1139">
        <v>1200</v>
      </c>
      <c r="H328" s="1147"/>
      <c r="I328" s="1127"/>
      <c r="J328" s="2287" t="s">
        <v>2584</v>
      </c>
      <c r="K328" s="2282"/>
      <c r="L328" s="2282"/>
      <c r="M328" s="2282"/>
      <c r="N328" s="2282"/>
      <c r="O328" s="2282"/>
      <c r="P328" s="1675"/>
      <c r="Q328" s="2288"/>
      <c r="R328" s="2262"/>
      <c r="S328" s="2288">
        <v>1200000</v>
      </c>
      <c r="T328" s="2288" t="s">
        <v>0</v>
      </c>
      <c r="U328" s="1675"/>
      <c r="V328" s="2288">
        <v>1</v>
      </c>
      <c r="W328" s="2288" t="s">
        <v>1710</v>
      </c>
      <c r="X328" s="1140" t="s">
        <v>1</v>
      </c>
      <c r="Y328" s="1142">
        <f t="shared" si="71"/>
        <v>1200</v>
      </c>
      <c r="Z328" s="494">
        <f>S328*V328</f>
        <v>1200000</v>
      </c>
      <c r="AA328" s="275"/>
    </row>
    <row r="329" spans="1:29" ht="22.15" customHeight="1">
      <c r="A329" s="2274"/>
      <c r="B329" s="1145"/>
      <c r="C329" s="1126"/>
      <c r="D329" s="1131"/>
      <c r="E329" s="1134" t="s">
        <v>1739</v>
      </c>
      <c r="F329" s="1141">
        <f t="shared" si="72"/>
        <v>500</v>
      </c>
      <c r="G329" s="1139">
        <v>500</v>
      </c>
      <c r="H329" s="1147"/>
      <c r="I329" s="1127"/>
      <c r="J329" s="2287" t="s">
        <v>2585</v>
      </c>
      <c r="K329" s="2282"/>
      <c r="L329" s="2282"/>
      <c r="M329" s="2282"/>
      <c r="N329" s="2282"/>
      <c r="O329" s="2282"/>
      <c r="P329" s="1675"/>
      <c r="Q329" s="2288"/>
      <c r="R329" s="2262"/>
      <c r="S329" s="2288">
        <v>100000</v>
      </c>
      <c r="T329" s="2288" t="s">
        <v>0</v>
      </c>
      <c r="U329" s="1675"/>
      <c r="V329" s="2288">
        <v>5</v>
      </c>
      <c r="W329" s="2262" t="s">
        <v>3</v>
      </c>
      <c r="X329" s="1140" t="s">
        <v>1</v>
      </c>
      <c r="Y329" s="1142">
        <f t="shared" si="71"/>
        <v>500</v>
      </c>
      <c r="Z329" s="494">
        <f>S329*V329</f>
        <v>500000</v>
      </c>
      <c r="AA329" s="275"/>
    </row>
    <row r="330" spans="1:29" ht="22.15" customHeight="1">
      <c r="A330" s="2274"/>
      <c r="B330" s="1145"/>
      <c r="C330" s="1126"/>
      <c r="D330" s="1131"/>
      <c r="E330" s="1134" t="s">
        <v>1723</v>
      </c>
      <c r="F330" s="1141">
        <f t="shared" si="72"/>
        <v>2000</v>
      </c>
      <c r="G330" s="1139">
        <v>2000</v>
      </c>
      <c r="H330" s="1147"/>
      <c r="I330" s="1127"/>
      <c r="J330" s="2287" t="s">
        <v>2586</v>
      </c>
      <c r="K330" s="2282"/>
      <c r="L330" s="2282"/>
      <c r="M330" s="2282"/>
      <c r="N330" s="2282"/>
      <c r="O330" s="2282"/>
      <c r="P330" s="1675"/>
      <c r="Q330" s="2288"/>
      <c r="R330" s="2262"/>
      <c r="S330" s="2288">
        <v>200000</v>
      </c>
      <c r="T330" s="2288" t="s">
        <v>0</v>
      </c>
      <c r="U330" s="1675"/>
      <c r="V330" s="2288">
        <v>10</v>
      </c>
      <c r="W330" s="2262" t="s">
        <v>3</v>
      </c>
      <c r="X330" s="1140" t="s">
        <v>1</v>
      </c>
      <c r="Y330" s="1142">
        <f t="shared" si="71"/>
        <v>2000</v>
      </c>
      <c r="Z330" s="494">
        <f>S330*V330</f>
        <v>2000000</v>
      </c>
      <c r="AA330" s="275"/>
    </row>
    <row r="331" spans="1:29" s="2278" customFormat="1" ht="23.85" customHeight="1">
      <c r="A331" s="2274"/>
      <c r="B331" s="1145"/>
      <c r="C331" s="2273" t="s">
        <v>2013</v>
      </c>
      <c r="D331" s="2276"/>
      <c r="E331" s="2273"/>
      <c r="F331" s="373">
        <f>F332+F352+F384+F417</f>
        <v>434000</v>
      </c>
      <c r="G331" s="373">
        <f>G332+G352+G384+G417</f>
        <v>414000</v>
      </c>
      <c r="H331" s="1132">
        <f>F331-G331</f>
        <v>20000</v>
      </c>
      <c r="I331" s="473"/>
      <c r="J331" s="796"/>
      <c r="K331" s="2014"/>
      <c r="L331" s="2014"/>
      <c r="M331" s="2014"/>
      <c r="N331" s="797"/>
      <c r="O331" s="797"/>
      <c r="P331" s="797"/>
      <c r="Q331" s="1983"/>
      <c r="R331" s="462"/>
      <c r="S331" s="399"/>
      <c r="T331" s="462"/>
      <c r="U331" s="462"/>
      <c r="V331" s="462"/>
      <c r="W331" s="462"/>
      <c r="X331" s="430"/>
      <c r="Y331" s="801"/>
      <c r="Z331" s="2016">
        <f>Z332+Z352+Z384</f>
        <v>240000000</v>
      </c>
      <c r="AA331" s="275"/>
      <c r="AB331" s="275"/>
      <c r="AC331" s="275"/>
    </row>
    <row r="332" spans="1:29" s="2278" customFormat="1" ht="23.85" customHeight="1">
      <c r="A332" s="2274"/>
      <c r="B332" s="1145"/>
      <c r="C332" s="470"/>
      <c r="D332" s="3434" t="s">
        <v>2588</v>
      </c>
      <c r="E332" s="3357"/>
      <c r="F332" s="360">
        <f>SUM(F333:F351)</f>
        <v>80000</v>
      </c>
      <c r="G332" s="360">
        <f>SUM(G333:G351)</f>
        <v>80000</v>
      </c>
      <c r="H332" s="361">
        <f>F332-G332</f>
        <v>0</v>
      </c>
      <c r="I332" s="473"/>
      <c r="J332" s="1977"/>
      <c r="K332" s="1978"/>
      <c r="L332" s="1978"/>
      <c r="M332" s="1978"/>
      <c r="N332" s="1978"/>
      <c r="O332" s="1978"/>
      <c r="P332" s="1978"/>
      <c r="Q332" s="1979"/>
      <c r="R332" s="827"/>
      <c r="S332" s="2289"/>
      <c r="T332" s="827"/>
      <c r="U332" s="2289"/>
      <c r="V332" s="827"/>
      <c r="W332" s="2289"/>
      <c r="X332" s="2289"/>
      <c r="Y332" s="1910"/>
      <c r="Z332" s="503">
        <f>Z333+Z341+Z345+Z348+Z349+Z350+Z351</f>
        <v>80000000</v>
      </c>
      <c r="AA332" s="275"/>
      <c r="AB332" s="275"/>
      <c r="AC332" s="275"/>
    </row>
    <row r="333" spans="1:29" s="2278" customFormat="1" ht="23.85" customHeight="1">
      <c r="A333" s="2274"/>
      <c r="B333" s="1145"/>
      <c r="C333" s="470"/>
      <c r="D333" s="470"/>
      <c r="E333" s="1126" t="s">
        <v>1717</v>
      </c>
      <c r="F333" s="598">
        <f>SUM(Y333)</f>
        <v>65100</v>
      </c>
      <c r="G333" s="337">
        <v>65100</v>
      </c>
      <c r="H333" s="338"/>
      <c r="I333" s="473"/>
      <c r="J333" s="1903" t="s">
        <v>194</v>
      </c>
      <c r="K333" s="807"/>
      <c r="L333" s="807"/>
      <c r="M333" s="807"/>
      <c r="N333" s="646"/>
      <c r="O333" s="646"/>
      <c r="P333" s="646"/>
      <c r="Q333" s="650"/>
      <c r="R333" s="2262"/>
      <c r="S333" s="2262" t="s">
        <v>2561</v>
      </c>
      <c r="T333" s="2288" t="s">
        <v>2561</v>
      </c>
      <c r="U333" s="2288" t="s">
        <v>2561</v>
      </c>
      <c r="V333" s="2288" t="s">
        <v>2561</v>
      </c>
      <c r="W333" s="2288" t="s">
        <v>2561</v>
      </c>
      <c r="X333" s="1140" t="s">
        <v>2561</v>
      </c>
      <c r="Y333" s="874">
        <f>SUM(Y334:Y337)</f>
        <v>65100</v>
      </c>
      <c r="Z333" s="1324">
        <f>SUM(Z334:Z337)</f>
        <v>65100000</v>
      </c>
      <c r="AA333" s="275"/>
      <c r="AB333" s="275"/>
      <c r="AC333" s="275"/>
    </row>
    <row r="334" spans="1:29" s="2278" customFormat="1" ht="23.85" customHeight="1">
      <c r="A334" s="2274"/>
      <c r="B334" s="1145"/>
      <c r="C334" s="470"/>
      <c r="D334" s="1126"/>
      <c r="E334" s="1126"/>
      <c r="F334" s="598"/>
      <c r="G334" s="337"/>
      <c r="H334" s="338"/>
      <c r="I334" s="473"/>
      <c r="J334" s="1903" t="s">
        <v>2589</v>
      </c>
      <c r="K334" s="807"/>
      <c r="L334" s="807"/>
      <c r="M334" s="807"/>
      <c r="N334" s="646"/>
      <c r="O334" s="1905"/>
      <c r="P334" s="2262"/>
      <c r="Q334" s="1905"/>
      <c r="R334" s="2262"/>
      <c r="S334" s="1672">
        <v>60000000</v>
      </c>
      <c r="T334" s="1671" t="s">
        <v>1697</v>
      </c>
      <c r="U334" s="1671"/>
      <c r="V334" s="1671">
        <v>1</v>
      </c>
      <c r="W334" s="1671" t="s">
        <v>2590</v>
      </c>
      <c r="X334" s="397" t="s">
        <v>1698</v>
      </c>
      <c r="Y334" s="874">
        <f t="shared" ref="Y334:Y394" si="76">+Z334/1000</f>
        <v>60000</v>
      </c>
      <c r="Z334" s="355">
        <f>SUM(S334*V334)</f>
        <v>60000000</v>
      </c>
      <c r="AA334" s="275"/>
      <c r="AB334" s="275"/>
      <c r="AC334" s="275"/>
    </row>
    <row r="335" spans="1:29" s="2278" customFormat="1" ht="23.85" customHeight="1">
      <c r="A335" s="2274"/>
      <c r="B335" s="1145"/>
      <c r="C335" s="470"/>
      <c r="D335" s="470"/>
      <c r="E335" s="1126"/>
      <c r="F335" s="598"/>
      <c r="G335" s="337"/>
      <c r="H335" s="338"/>
      <c r="I335" s="473"/>
      <c r="J335" s="1903" t="s">
        <v>2591</v>
      </c>
      <c r="K335" s="807"/>
      <c r="L335" s="807"/>
      <c r="M335" s="807"/>
      <c r="N335" s="646"/>
      <c r="O335" s="646"/>
      <c r="P335" s="646"/>
      <c r="Q335" s="1905"/>
      <c r="R335" s="2262"/>
      <c r="S335" s="1672">
        <v>50000</v>
      </c>
      <c r="T335" s="1671" t="s">
        <v>1697</v>
      </c>
      <c r="U335" s="1671"/>
      <c r="V335" s="1671">
        <v>24</v>
      </c>
      <c r="W335" s="1671" t="s">
        <v>305</v>
      </c>
      <c r="X335" s="397" t="s">
        <v>1698</v>
      </c>
      <c r="Y335" s="874">
        <f t="shared" si="76"/>
        <v>1200</v>
      </c>
      <c r="Z335" s="355">
        <f t="shared" ref="Z335:Z340" si="77">S335*V335</f>
        <v>1200000</v>
      </c>
      <c r="AA335" s="275"/>
      <c r="AB335" s="275"/>
      <c r="AC335" s="275"/>
    </row>
    <row r="336" spans="1:29" s="2278" customFormat="1" ht="23.85" customHeight="1">
      <c r="A336" s="2274"/>
      <c r="B336" s="1145"/>
      <c r="C336" s="470"/>
      <c r="D336" s="470"/>
      <c r="E336" s="1126"/>
      <c r="F336" s="598"/>
      <c r="G336" s="337"/>
      <c r="H336" s="338"/>
      <c r="I336" s="473"/>
      <c r="J336" s="1903" t="s">
        <v>2592</v>
      </c>
      <c r="K336" s="807"/>
      <c r="L336" s="807"/>
      <c r="M336" s="807"/>
      <c r="N336" s="646"/>
      <c r="O336" s="646"/>
      <c r="P336" s="646"/>
      <c r="Q336" s="1905"/>
      <c r="R336" s="2262"/>
      <c r="S336" s="1672">
        <v>30000</v>
      </c>
      <c r="T336" s="1671" t="s">
        <v>0</v>
      </c>
      <c r="U336" s="1671"/>
      <c r="V336" s="1671">
        <v>10</v>
      </c>
      <c r="W336" s="1671" t="s">
        <v>305</v>
      </c>
      <c r="X336" s="397" t="s">
        <v>1</v>
      </c>
      <c r="Y336" s="874">
        <f t="shared" si="76"/>
        <v>300</v>
      </c>
      <c r="Z336" s="355">
        <f t="shared" si="77"/>
        <v>300000</v>
      </c>
      <c r="AA336" s="275"/>
      <c r="AB336" s="275"/>
      <c r="AC336" s="275"/>
    </row>
    <row r="337" spans="1:29" s="2278" customFormat="1" ht="23.85" customHeight="1">
      <c r="A337" s="2274"/>
      <c r="B337" s="1145"/>
      <c r="C337" s="470"/>
      <c r="D337" s="1126"/>
      <c r="E337" s="1126"/>
      <c r="F337" s="598"/>
      <c r="G337" s="337"/>
      <c r="H337" s="338"/>
      <c r="I337" s="473"/>
      <c r="J337" s="1903" t="s">
        <v>2593</v>
      </c>
      <c r="K337" s="807"/>
      <c r="L337" s="807"/>
      <c r="M337" s="807"/>
      <c r="N337" s="646"/>
      <c r="O337" s="646"/>
      <c r="P337" s="646"/>
      <c r="Q337" s="650"/>
      <c r="R337" s="2262"/>
      <c r="S337" s="1672">
        <v>3600000</v>
      </c>
      <c r="T337" s="1671" t="s">
        <v>1697</v>
      </c>
      <c r="U337" s="1671"/>
      <c r="V337" s="1671">
        <v>1</v>
      </c>
      <c r="W337" s="1671" t="s">
        <v>69</v>
      </c>
      <c r="X337" s="397" t="s">
        <v>1698</v>
      </c>
      <c r="Y337" s="874">
        <f t="shared" si="76"/>
        <v>3600</v>
      </c>
      <c r="Z337" s="355">
        <f t="shared" si="77"/>
        <v>3600000</v>
      </c>
      <c r="AA337" s="275"/>
      <c r="AB337" s="275"/>
      <c r="AC337" s="275"/>
    </row>
    <row r="338" spans="1:29" s="2278" customFormat="1" ht="23.85" customHeight="1">
      <c r="A338" s="2274"/>
      <c r="B338" s="1145"/>
      <c r="C338" s="470"/>
      <c r="D338" s="1126"/>
      <c r="E338" s="1126"/>
      <c r="F338" s="598"/>
      <c r="G338" s="337"/>
      <c r="H338" s="338"/>
      <c r="I338" s="473"/>
      <c r="J338" s="1903" t="s">
        <v>2594</v>
      </c>
      <c r="K338" s="807"/>
      <c r="L338" s="807"/>
      <c r="M338" s="807"/>
      <c r="N338" s="646"/>
      <c r="O338" s="646"/>
      <c r="P338" s="646"/>
      <c r="Q338" s="650"/>
      <c r="R338" s="2262"/>
      <c r="S338" s="1672">
        <v>1800000</v>
      </c>
      <c r="T338" s="1671" t="s">
        <v>1697</v>
      </c>
      <c r="U338" s="1671"/>
      <c r="V338" s="1671">
        <v>1</v>
      </c>
      <c r="W338" s="1671" t="s">
        <v>69</v>
      </c>
      <c r="X338" s="397" t="s">
        <v>1698</v>
      </c>
      <c r="Y338" s="874">
        <f t="shared" si="76"/>
        <v>1800</v>
      </c>
      <c r="Z338" s="355">
        <f t="shared" si="77"/>
        <v>1800000</v>
      </c>
      <c r="AA338" s="275"/>
      <c r="AB338" s="275"/>
      <c r="AC338" s="275"/>
    </row>
    <row r="339" spans="1:29" s="2278" customFormat="1" ht="23.85" customHeight="1">
      <c r="A339" s="2274"/>
      <c r="B339" s="1145"/>
      <c r="C339" s="470"/>
      <c r="D339" s="1126"/>
      <c r="E339" s="1126"/>
      <c r="F339" s="598"/>
      <c r="G339" s="337"/>
      <c r="H339" s="338"/>
      <c r="I339" s="473"/>
      <c r="J339" s="1903" t="s">
        <v>2595</v>
      </c>
      <c r="K339" s="807"/>
      <c r="L339" s="807"/>
      <c r="M339" s="807"/>
      <c r="N339" s="646"/>
      <c r="O339" s="646"/>
      <c r="P339" s="646"/>
      <c r="Q339" s="650"/>
      <c r="R339" s="2262"/>
      <c r="S339" s="1672">
        <v>50000</v>
      </c>
      <c r="T339" s="1671" t="s">
        <v>1697</v>
      </c>
      <c r="U339" s="1671"/>
      <c r="V339" s="1671">
        <v>10</v>
      </c>
      <c r="W339" s="1671" t="s">
        <v>1721</v>
      </c>
      <c r="X339" s="397" t="s">
        <v>1698</v>
      </c>
      <c r="Y339" s="874">
        <f t="shared" si="76"/>
        <v>500</v>
      </c>
      <c r="Z339" s="355">
        <f t="shared" si="77"/>
        <v>500000</v>
      </c>
      <c r="AA339" s="275"/>
      <c r="AB339" s="275"/>
      <c r="AC339" s="275"/>
    </row>
    <row r="340" spans="1:29" s="2278" customFormat="1" ht="23.85" customHeight="1">
      <c r="A340" s="2274"/>
      <c r="B340" s="1145"/>
      <c r="C340" s="470"/>
      <c r="D340" s="1126"/>
      <c r="E340" s="1126"/>
      <c r="F340" s="598"/>
      <c r="G340" s="337"/>
      <c r="H340" s="338"/>
      <c r="I340" s="473"/>
      <c r="J340" s="1903" t="s">
        <v>2596</v>
      </c>
      <c r="K340" s="807"/>
      <c r="L340" s="807"/>
      <c r="M340" s="807"/>
      <c r="N340" s="646"/>
      <c r="O340" s="646"/>
      <c r="P340" s="646"/>
      <c r="Q340" s="650"/>
      <c r="R340" s="2262"/>
      <c r="S340" s="1672">
        <v>1150000</v>
      </c>
      <c r="T340" s="1671" t="s">
        <v>1697</v>
      </c>
      <c r="U340" s="1671"/>
      <c r="V340" s="1671">
        <v>2</v>
      </c>
      <c r="W340" s="1671" t="s">
        <v>1710</v>
      </c>
      <c r="X340" s="397" t="s">
        <v>1698</v>
      </c>
      <c r="Y340" s="874">
        <f t="shared" si="76"/>
        <v>2300</v>
      </c>
      <c r="Z340" s="355">
        <f t="shared" si="77"/>
        <v>2300000</v>
      </c>
      <c r="AA340" s="275"/>
      <c r="AB340" s="275"/>
      <c r="AC340" s="275"/>
    </row>
    <row r="341" spans="1:29" s="2278" customFormat="1" ht="23.85" customHeight="1">
      <c r="A341" s="2274"/>
      <c r="B341" s="1145"/>
      <c r="C341" s="470"/>
      <c r="D341" s="1126"/>
      <c r="E341" s="875" t="s">
        <v>1706</v>
      </c>
      <c r="F341" s="598">
        <f>SUM(Y341)</f>
        <v>7600</v>
      </c>
      <c r="G341" s="337">
        <v>7600</v>
      </c>
      <c r="H341" s="338"/>
      <c r="I341" s="473"/>
      <c r="J341" s="1903" t="s">
        <v>8</v>
      </c>
      <c r="K341" s="807"/>
      <c r="L341" s="807"/>
      <c r="M341" s="807"/>
      <c r="N341" s="646"/>
      <c r="O341" s="646"/>
      <c r="P341" s="646"/>
      <c r="Q341" s="650"/>
      <c r="R341" s="2262"/>
      <c r="S341" s="2262" t="s">
        <v>19</v>
      </c>
      <c r="T341" s="2288" t="s">
        <v>19</v>
      </c>
      <c r="U341" s="2288" t="s">
        <v>19</v>
      </c>
      <c r="V341" s="2288" t="s">
        <v>19</v>
      </c>
      <c r="W341" s="2288" t="s">
        <v>19</v>
      </c>
      <c r="X341" s="1140" t="s">
        <v>19</v>
      </c>
      <c r="Y341" s="874">
        <f>SUM(Y342:Y344)</f>
        <v>7600</v>
      </c>
      <c r="Z341" s="1324">
        <f>SUM(Z342:Z344)</f>
        <v>7600000</v>
      </c>
      <c r="AA341" s="275"/>
      <c r="AB341" s="275"/>
      <c r="AC341" s="275"/>
    </row>
    <row r="342" spans="1:29" ht="23.85" customHeight="1">
      <c r="A342" s="2274"/>
      <c r="B342" s="1145"/>
      <c r="C342" s="470"/>
      <c r="D342" s="1126"/>
      <c r="E342" s="1126"/>
      <c r="F342" s="598"/>
      <c r="G342" s="337"/>
      <c r="H342" s="338"/>
      <c r="I342" s="473"/>
      <c r="J342" s="1903" t="s">
        <v>2597</v>
      </c>
      <c r="K342" s="807"/>
      <c r="L342" s="807"/>
      <c r="M342" s="807"/>
      <c r="N342" s="646"/>
      <c r="O342" s="646"/>
      <c r="P342" s="646"/>
      <c r="Q342" s="650" t="s">
        <v>2468</v>
      </c>
      <c r="R342" s="2262" t="s">
        <v>123</v>
      </c>
      <c r="S342" s="1672">
        <v>2000000</v>
      </c>
      <c r="T342" s="1671" t="s">
        <v>0</v>
      </c>
      <c r="U342" s="1671"/>
      <c r="V342" s="1671">
        <v>1</v>
      </c>
      <c r="W342" s="1671" t="s">
        <v>3</v>
      </c>
      <c r="X342" s="397" t="s">
        <v>1</v>
      </c>
      <c r="Y342" s="874">
        <f>+Z342/1000</f>
        <v>4000</v>
      </c>
      <c r="Z342" s="355">
        <f>S342*Q342*V342</f>
        <v>4000000</v>
      </c>
      <c r="AA342" s="275"/>
    </row>
    <row r="343" spans="1:29" ht="23.85" customHeight="1">
      <c r="A343" s="2274"/>
      <c r="B343" s="1145"/>
      <c r="C343" s="470"/>
      <c r="D343" s="470"/>
      <c r="E343" s="1126"/>
      <c r="F343" s="598"/>
      <c r="G343" s="337"/>
      <c r="H343" s="338"/>
      <c r="I343" s="473"/>
      <c r="J343" s="1903" t="s">
        <v>2598</v>
      </c>
      <c r="K343" s="807"/>
      <c r="L343" s="807"/>
      <c r="M343" s="807"/>
      <c r="N343" s="646"/>
      <c r="O343" s="646"/>
      <c r="P343" s="646"/>
      <c r="Q343" s="1905">
        <v>1</v>
      </c>
      <c r="R343" s="2262" t="s">
        <v>123</v>
      </c>
      <c r="S343" s="1672">
        <v>2000000</v>
      </c>
      <c r="T343" s="1671" t="s">
        <v>0</v>
      </c>
      <c r="U343" s="1671"/>
      <c r="V343" s="1671">
        <v>1</v>
      </c>
      <c r="W343" s="1671" t="s">
        <v>306</v>
      </c>
      <c r="X343" s="397" t="s">
        <v>1</v>
      </c>
      <c r="Y343" s="874">
        <f>+Z343/1000</f>
        <v>2000</v>
      </c>
      <c r="Z343" s="355">
        <f>Q343*S343*V343</f>
        <v>2000000</v>
      </c>
      <c r="AA343" s="275"/>
    </row>
    <row r="344" spans="1:29" ht="23.85" customHeight="1">
      <c r="A344" s="2274"/>
      <c r="B344" s="1145"/>
      <c r="C344" s="470"/>
      <c r="D344" s="470"/>
      <c r="E344" s="1126"/>
      <c r="F344" s="598"/>
      <c r="G344" s="337"/>
      <c r="H344" s="338"/>
      <c r="I344" s="473"/>
      <c r="J344" s="1903" t="s">
        <v>2599</v>
      </c>
      <c r="K344" s="807"/>
      <c r="L344" s="807"/>
      <c r="M344" s="807"/>
      <c r="N344" s="646"/>
      <c r="O344" s="646"/>
      <c r="P344" s="646"/>
      <c r="Q344" s="1905">
        <v>2</v>
      </c>
      <c r="R344" s="2262" t="s">
        <v>123</v>
      </c>
      <c r="S344" s="1672">
        <v>200000</v>
      </c>
      <c r="T344" s="1671" t="s">
        <v>0</v>
      </c>
      <c r="U344" s="1671"/>
      <c r="V344" s="1671">
        <v>4</v>
      </c>
      <c r="W344" s="1671" t="s">
        <v>60</v>
      </c>
      <c r="X344" s="397" t="s">
        <v>1</v>
      </c>
      <c r="Y344" s="874">
        <f>+Z344/1000</f>
        <v>1600</v>
      </c>
      <c r="Z344" s="355">
        <f>Q344*S344*V344</f>
        <v>1600000</v>
      </c>
      <c r="AA344" s="275"/>
    </row>
    <row r="345" spans="1:29" ht="23.85" customHeight="1">
      <c r="A345" s="2274"/>
      <c r="B345" s="1145"/>
      <c r="C345" s="470"/>
      <c r="D345" s="1126"/>
      <c r="E345" s="1126" t="s">
        <v>1742</v>
      </c>
      <c r="F345" s="598">
        <f>SUM(Y345)</f>
        <v>4700</v>
      </c>
      <c r="G345" s="598">
        <v>4700</v>
      </c>
      <c r="H345" s="338"/>
      <c r="I345" s="473"/>
      <c r="J345" s="1903" t="s">
        <v>1694</v>
      </c>
      <c r="K345" s="807"/>
      <c r="L345" s="807"/>
      <c r="M345" s="807"/>
      <c r="N345" s="646"/>
      <c r="O345" s="646"/>
      <c r="P345" s="646"/>
      <c r="Q345" s="650"/>
      <c r="R345" s="2262"/>
      <c r="S345" s="2262" t="s">
        <v>2561</v>
      </c>
      <c r="T345" s="2288" t="s">
        <v>2561</v>
      </c>
      <c r="U345" s="2288" t="s">
        <v>2561</v>
      </c>
      <c r="V345" s="2288" t="s">
        <v>2561</v>
      </c>
      <c r="W345" s="2288" t="s">
        <v>2561</v>
      </c>
      <c r="X345" s="397"/>
      <c r="Y345" s="874">
        <f t="shared" si="76"/>
        <v>4700</v>
      </c>
      <c r="Z345" s="1324">
        <f>SUM(Z346:Z347)</f>
        <v>4700000</v>
      </c>
      <c r="AA345" s="275"/>
    </row>
    <row r="346" spans="1:29" ht="23.85" customHeight="1">
      <c r="A346" s="2274"/>
      <c r="B346" s="1145"/>
      <c r="C346" s="470"/>
      <c r="D346" s="470"/>
      <c r="E346" s="1126"/>
      <c r="F346" s="598"/>
      <c r="G346" s="337"/>
      <c r="H346" s="338"/>
      <c r="I346" s="473"/>
      <c r="J346" s="1903" t="s">
        <v>2600</v>
      </c>
      <c r="K346" s="807"/>
      <c r="L346" s="807"/>
      <c r="M346" s="807"/>
      <c r="N346" s="646"/>
      <c r="O346" s="646"/>
      <c r="P346" s="646"/>
      <c r="Q346" s="650"/>
      <c r="R346" s="2262"/>
      <c r="S346" s="1672">
        <v>2000000</v>
      </c>
      <c r="T346" s="1671" t="s">
        <v>1697</v>
      </c>
      <c r="U346" s="1671"/>
      <c r="V346" s="1671">
        <v>1</v>
      </c>
      <c r="W346" s="1671" t="s">
        <v>1710</v>
      </c>
      <c r="X346" s="397" t="s">
        <v>1698</v>
      </c>
      <c r="Y346" s="874">
        <f t="shared" si="76"/>
        <v>2000</v>
      </c>
      <c r="Z346" s="355">
        <f t="shared" ref="Z346:Z347" si="78">S346*V346</f>
        <v>2000000</v>
      </c>
      <c r="AA346" s="275"/>
    </row>
    <row r="347" spans="1:29" s="2278" customFormat="1" ht="23.85" customHeight="1">
      <c r="A347" s="2274"/>
      <c r="B347" s="1145"/>
      <c r="C347" s="470"/>
      <c r="D347" s="470"/>
      <c r="E347" s="1126"/>
      <c r="F347" s="598"/>
      <c r="G347" s="337"/>
      <c r="H347" s="338"/>
      <c r="I347" s="473"/>
      <c r="J347" s="1903" t="s">
        <v>2601</v>
      </c>
      <c r="K347" s="807"/>
      <c r="L347" s="807"/>
      <c r="M347" s="807"/>
      <c r="N347" s="646"/>
      <c r="O347" s="646"/>
      <c r="P347" s="646"/>
      <c r="Q347" s="650"/>
      <c r="R347" s="2262"/>
      <c r="S347" s="1672">
        <v>2700000</v>
      </c>
      <c r="T347" s="1671" t="s">
        <v>1697</v>
      </c>
      <c r="U347" s="1671"/>
      <c r="V347" s="1671">
        <v>1</v>
      </c>
      <c r="W347" s="1671" t="s">
        <v>1710</v>
      </c>
      <c r="X347" s="397" t="s">
        <v>1698</v>
      </c>
      <c r="Y347" s="874">
        <f t="shared" si="76"/>
        <v>2700</v>
      </c>
      <c r="Z347" s="355">
        <f t="shared" si="78"/>
        <v>2700000</v>
      </c>
      <c r="AA347" s="275"/>
      <c r="AB347" s="275"/>
      <c r="AC347" s="275"/>
    </row>
    <row r="348" spans="1:29" s="2278" customFormat="1" ht="23.85" customHeight="1">
      <c r="A348" s="2274"/>
      <c r="B348" s="1145"/>
      <c r="C348" s="470"/>
      <c r="D348" s="1126"/>
      <c r="E348" s="470" t="s">
        <v>1739</v>
      </c>
      <c r="F348" s="598">
        <f>SUM(Y348)</f>
        <v>250</v>
      </c>
      <c r="G348" s="337">
        <v>250</v>
      </c>
      <c r="H348" s="338"/>
      <c r="I348" s="473"/>
      <c r="J348" s="1903" t="s">
        <v>2602</v>
      </c>
      <c r="K348" s="807"/>
      <c r="L348" s="807"/>
      <c r="M348" s="807"/>
      <c r="N348" s="646"/>
      <c r="O348" s="646"/>
      <c r="P348" s="646"/>
      <c r="Q348" s="1905">
        <v>5</v>
      </c>
      <c r="R348" s="2262" t="s">
        <v>124</v>
      </c>
      <c r="S348" s="1672">
        <v>50000</v>
      </c>
      <c r="T348" s="1671" t="s">
        <v>1697</v>
      </c>
      <c r="U348" s="1671"/>
      <c r="V348" s="1671">
        <v>1</v>
      </c>
      <c r="W348" s="1671" t="s">
        <v>1710</v>
      </c>
      <c r="X348" s="397" t="s">
        <v>1698</v>
      </c>
      <c r="Y348" s="874">
        <f t="shared" si="76"/>
        <v>250</v>
      </c>
      <c r="Z348" s="355">
        <f>Q348*S348*V348</f>
        <v>250000</v>
      </c>
      <c r="AA348" s="275"/>
      <c r="AB348" s="275"/>
      <c r="AC348" s="275"/>
    </row>
    <row r="349" spans="1:29" ht="23.85" customHeight="1">
      <c r="A349" s="2274"/>
      <c r="B349" s="1145"/>
      <c r="C349" s="470"/>
      <c r="D349" s="1126"/>
      <c r="E349" s="470" t="s">
        <v>2446</v>
      </c>
      <c r="F349" s="598">
        <f>SUM(Y349)</f>
        <v>1500</v>
      </c>
      <c r="G349" s="337">
        <v>1500</v>
      </c>
      <c r="H349" s="338"/>
      <c r="I349" s="473"/>
      <c r="J349" s="1903" t="s">
        <v>2603</v>
      </c>
      <c r="K349" s="807"/>
      <c r="L349" s="807"/>
      <c r="M349" s="807"/>
      <c r="N349" s="646"/>
      <c r="O349" s="646"/>
      <c r="P349" s="646"/>
      <c r="Q349" s="1905">
        <v>1</v>
      </c>
      <c r="R349" s="2262" t="s">
        <v>124</v>
      </c>
      <c r="S349" s="1672">
        <v>1500000</v>
      </c>
      <c r="T349" s="1671" t="s">
        <v>1697</v>
      </c>
      <c r="U349" s="1671"/>
      <c r="V349" s="1671">
        <v>1</v>
      </c>
      <c r="W349" s="1671" t="s">
        <v>1710</v>
      </c>
      <c r="X349" s="397" t="s">
        <v>1698</v>
      </c>
      <c r="Y349" s="874">
        <f t="shared" si="76"/>
        <v>1500</v>
      </c>
      <c r="Z349" s="355">
        <f>Q349*S349*V349</f>
        <v>1500000</v>
      </c>
      <c r="AA349" s="275"/>
    </row>
    <row r="350" spans="1:29" ht="23.85" customHeight="1">
      <c r="A350" s="2274"/>
      <c r="B350" s="1145"/>
      <c r="C350" s="2278"/>
      <c r="D350" s="1126"/>
      <c r="E350" s="470" t="s">
        <v>1740</v>
      </c>
      <c r="F350" s="598">
        <f>SUM(Y350)</f>
        <v>100</v>
      </c>
      <c r="G350" s="337">
        <v>100</v>
      </c>
      <c r="H350" s="338"/>
      <c r="I350" s="473"/>
      <c r="J350" s="1903" t="s">
        <v>2604</v>
      </c>
      <c r="K350" s="807"/>
      <c r="L350" s="807"/>
      <c r="M350" s="807"/>
      <c r="N350" s="646"/>
      <c r="O350" s="646"/>
      <c r="P350" s="646"/>
      <c r="Q350" s="1905">
        <v>2</v>
      </c>
      <c r="R350" s="2262" t="s">
        <v>124</v>
      </c>
      <c r="S350" s="1672">
        <v>50000</v>
      </c>
      <c r="T350" s="1671" t="s">
        <v>1697</v>
      </c>
      <c r="U350" s="1671"/>
      <c r="V350" s="1671">
        <v>1</v>
      </c>
      <c r="W350" s="1671" t="s">
        <v>1710</v>
      </c>
      <c r="X350" s="397" t="s">
        <v>1698</v>
      </c>
      <c r="Y350" s="874">
        <f t="shared" si="76"/>
        <v>100</v>
      </c>
      <c r="Z350" s="355">
        <f>Q350*S350*V350</f>
        <v>100000</v>
      </c>
      <c r="AA350" s="275"/>
    </row>
    <row r="351" spans="1:29" s="2285" customFormat="1" ht="23.85" customHeight="1">
      <c r="A351" s="2274"/>
      <c r="B351" s="1145"/>
      <c r="C351" s="2278"/>
      <c r="D351" s="359"/>
      <c r="E351" s="2280" t="s">
        <v>1723</v>
      </c>
      <c r="F351" s="597">
        <f>SUM(Y351)</f>
        <v>750</v>
      </c>
      <c r="G351" s="360">
        <v>750</v>
      </c>
      <c r="H351" s="361"/>
      <c r="I351" s="473"/>
      <c r="J351" s="1906" t="s">
        <v>2605</v>
      </c>
      <c r="K351" s="1907"/>
      <c r="L351" s="1907"/>
      <c r="M351" s="1907"/>
      <c r="N351" s="1908"/>
      <c r="O351" s="1908"/>
      <c r="P351" s="1908"/>
      <c r="Q351" s="1909">
        <v>5</v>
      </c>
      <c r="R351" s="457" t="s">
        <v>2560</v>
      </c>
      <c r="S351" s="458">
        <v>50000</v>
      </c>
      <c r="T351" s="371" t="s">
        <v>1697</v>
      </c>
      <c r="U351" s="371"/>
      <c r="V351" s="371">
        <v>3</v>
      </c>
      <c r="W351" s="371" t="s">
        <v>1710</v>
      </c>
      <c r="X351" s="426" t="s">
        <v>1698</v>
      </c>
      <c r="Y351" s="1910">
        <f t="shared" si="76"/>
        <v>750</v>
      </c>
      <c r="Z351" s="355">
        <f>S351*V351*Q351</f>
        <v>750000</v>
      </c>
      <c r="AA351" s="275"/>
      <c r="AB351" s="551"/>
      <c r="AC351" s="551"/>
    </row>
    <row r="352" spans="1:29" ht="23.85" customHeight="1">
      <c r="A352" s="2274"/>
      <c r="B352" s="1145"/>
      <c r="C352" s="470"/>
      <c r="D352" s="3284" t="s">
        <v>3305</v>
      </c>
      <c r="E352" s="3285"/>
      <c r="F352" s="373">
        <f>SUM(F353:F383)</f>
        <v>80000</v>
      </c>
      <c r="G352" s="373">
        <f>SUM(G353:G383)</f>
        <v>80000</v>
      </c>
      <c r="H352" s="1132">
        <f>F352-G352</f>
        <v>0</v>
      </c>
      <c r="I352" s="473"/>
      <c r="J352" s="1901"/>
      <c r="K352" s="1902"/>
      <c r="L352" s="1902"/>
      <c r="M352" s="1902"/>
      <c r="N352" s="1902"/>
      <c r="O352" s="1902"/>
      <c r="P352" s="1902"/>
      <c r="Q352" s="799"/>
      <c r="R352" s="376"/>
      <c r="S352" s="375"/>
      <c r="T352" s="376"/>
      <c r="U352" s="375"/>
      <c r="V352" s="376"/>
      <c r="W352" s="375"/>
      <c r="X352" s="375"/>
      <c r="Y352" s="801"/>
      <c r="Z352" s="503">
        <f>SUM(Z353+Z354+Z357+Z358+Z359+Z364+Z369+Z378+Z379+Z380+Z383)</f>
        <v>80000000</v>
      </c>
      <c r="AA352" s="275"/>
    </row>
    <row r="353" spans="1:33" ht="23.85" customHeight="1">
      <c r="A353" s="2274"/>
      <c r="B353" s="1145"/>
      <c r="C353" s="470"/>
      <c r="D353" s="1154"/>
      <c r="E353" s="1126" t="s">
        <v>74</v>
      </c>
      <c r="F353" s="598">
        <f>SUM(Y353)</f>
        <v>600</v>
      </c>
      <c r="G353" s="337">
        <v>600</v>
      </c>
      <c r="H353" s="338"/>
      <c r="I353" s="473"/>
      <c r="J353" s="802" t="s">
        <v>3660</v>
      </c>
      <c r="K353" s="807"/>
      <c r="L353" s="807"/>
      <c r="M353" s="807"/>
      <c r="N353" s="646"/>
      <c r="O353" s="646"/>
      <c r="P353" s="646"/>
      <c r="Q353" s="804" t="s">
        <v>311</v>
      </c>
      <c r="R353" s="1671" t="s">
        <v>123</v>
      </c>
      <c r="S353" s="1672">
        <v>75000</v>
      </c>
      <c r="T353" s="1671" t="s">
        <v>0</v>
      </c>
      <c r="U353" s="1671"/>
      <c r="V353" s="1671">
        <v>8</v>
      </c>
      <c r="W353" s="1671" t="s">
        <v>60</v>
      </c>
      <c r="X353" s="397" t="s">
        <v>1</v>
      </c>
      <c r="Y353" s="874">
        <f t="shared" si="76"/>
        <v>600</v>
      </c>
      <c r="Z353" s="355">
        <f>S353*V353*Q353</f>
        <v>600000</v>
      </c>
      <c r="AA353" s="275"/>
    </row>
    <row r="354" spans="1:33" ht="23.85" customHeight="1">
      <c r="A354" s="2274"/>
      <c r="B354" s="1145"/>
      <c r="C354" s="2278"/>
      <c r="D354" s="1126"/>
      <c r="E354" s="1154" t="s">
        <v>51</v>
      </c>
      <c r="F354" s="598">
        <f>SUM(Y354)</f>
        <v>9300</v>
      </c>
      <c r="G354" s="1899">
        <v>9300</v>
      </c>
      <c r="H354" s="338"/>
      <c r="I354" s="473"/>
      <c r="J354" s="1903" t="s">
        <v>3667</v>
      </c>
      <c r="K354" s="807"/>
      <c r="L354" s="807"/>
      <c r="M354" s="807"/>
      <c r="N354" s="646"/>
      <c r="O354" s="646"/>
      <c r="P354" s="646"/>
      <c r="Q354" s="650"/>
      <c r="R354" s="2262"/>
      <c r="S354" s="2262" t="s">
        <v>19</v>
      </c>
      <c r="T354" s="2288" t="s">
        <v>19</v>
      </c>
      <c r="U354" s="2288" t="s">
        <v>19</v>
      </c>
      <c r="V354" s="2288" t="s">
        <v>19</v>
      </c>
      <c r="W354" s="2288" t="s">
        <v>19</v>
      </c>
      <c r="X354" s="1140" t="s">
        <v>19</v>
      </c>
      <c r="Y354" s="874">
        <f t="shared" si="76"/>
        <v>9300</v>
      </c>
      <c r="Z354" s="1324">
        <f>SUM(Z355:Z356)</f>
        <v>9300000</v>
      </c>
      <c r="AA354" s="275"/>
    </row>
    <row r="355" spans="1:33" ht="23.85" customHeight="1">
      <c r="A355" s="2274"/>
      <c r="B355" s="1145"/>
      <c r="C355" s="2278"/>
      <c r="D355" s="1126"/>
      <c r="E355" s="1126"/>
      <c r="F355" s="598"/>
      <c r="G355" s="337"/>
      <c r="H355" s="338"/>
      <c r="I355" s="473"/>
      <c r="J355" s="1903" t="s">
        <v>797</v>
      </c>
      <c r="K355" s="807"/>
      <c r="L355" s="807"/>
      <c r="M355" s="807"/>
      <c r="N355" s="646"/>
      <c r="O355" s="646"/>
      <c r="P355" s="646"/>
      <c r="Q355" s="408">
        <v>680</v>
      </c>
      <c r="R355" s="2262" t="s">
        <v>66</v>
      </c>
      <c r="S355" s="1672">
        <v>10000</v>
      </c>
      <c r="T355" s="1671" t="s">
        <v>0</v>
      </c>
      <c r="U355" s="1671"/>
      <c r="V355" s="1671">
        <v>1</v>
      </c>
      <c r="W355" s="1671" t="s">
        <v>3</v>
      </c>
      <c r="X355" s="397" t="s">
        <v>1</v>
      </c>
      <c r="Y355" s="874">
        <f t="shared" si="76"/>
        <v>6800</v>
      </c>
      <c r="Z355" s="355">
        <f>S355*V355*Q355</f>
        <v>6800000</v>
      </c>
      <c r="AA355" s="275"/>
    </row>
    <row r="356" spans="1:33" s="2278" customFormat="1" ht="23.85" customHeight="1">
      <c r="A356" s="2274"/>
      <c r="B356" s="1145"/>
      <c r="D356" s="1126"/>
      <c r="E356" s="1126"/>
      <c r="F356" s="598"/>
      <c r="G356" s="337"/>
      <c r="H356" s="338"/>
      <c r="I356" s="473"/>
      <c r="J356" s="1903" t="s">
        <v>798</v>
      </c>
      <c r="K356" s="807"/>
      <c r="L356" s="807"/>
      <c r="M356" s="807"/>
      <c r="N356" s="646"/>
      <c r="O356" s="646"/>
      <c r="P356" s="646"/>
      <c r="Q356" s="408">
        <v>5000</v>
      </c>
      <c r="R356" s="2262" t="s">
        <v>66</v>
      </c>
      <c r="S356" s="1672">
        <v>500</v>
      </c>
      <c r="T356" s="1671" t="s">
        <v>0</v>
      </c>
      <c r="U356" s="1671"/>
      <c r="V356" s="1671">
        <v>1</v>
      </c>
      <c r="W356" s="1671" t="s">
        <v>3</v>
      </c>
      <c r="X356" s="397" t="s">
        <v>1</v>
      </c>
      <c r="Y356" s="874">
        <f t="shared" si="76"/>
        <v>2500</v>
      </c>
      <c r="Z356" s="355">
        <f>S356*V356*Q356</f>
        <v>2500000</v>
      </c>
      <c r="AA356" s="275"/>
      <c r="AB356" s="275"/>
      <c r="AC356" s="275"/>
    </row>
    <row r="357" spans="1:33" s="2278" customFormat="1" ht="23.85" customHeight="1">
      <c r="A357" s="2274"/>
      <c r="B357" s="1145"/>
      <c r="D357" s="1126"/>
      <c r="E357" s="470" t="s">
        <v>24</v>
      </c>
      <c r="F357" s="598">
        <f t="shared" ref="F357:F383" si="79">SUM(Y357)</f>
        <v>500</v>
      </c>
      <c r="G357" s="337">
        <v>500</v>
      </c>
      <c r="H357" s="338"/>
      <c r="I357" s="473"/>
      <c r="J357" s="1903" t="s">
        <v>3670</v>
      </c>
      <c r="K357" s="807"/>
      <c r="L357" s="807"/>
      <c r="M357" s="807"/>
      <c r="N357" s="646"/>
      <c r="O357" s="646"/>
      <c r="P357" s="646"/>
      <c r="Q357" s="650"/>
      <c r="R357" s="2262"/>
      <c r="S357" s="1672">
        <v>500000</v>
      </c>
      <c r="T357" s="1671" t="s">
        <v>0</v>
      </c>
      <c r="U357" s="1671"/>
      <c r="V357" s="1671">
        <v>1</v>
      </c>
      <c r="W357" s="1671" t="s">
        <v>3</v>
      </c>
      <c r="X357" s="397" t="s">
        <v>1</v>
      </c>
      <c r="Y357" s="874">
        <f t="shared" si="76"/>
        <v>500</v>
      </c>
      <c r="Z357" s="355">
        <f t="shared" ref="Z357" si="80">S357*V357</f>
        <v>500000</v>
      </c>
      <c r="AA357" s="275"/>
      <c r="AB357" s="275"/>
      <c r="AC357" s="275"/>
    </row>
    <row r="358" spans="1:33" s="2278" customFormat="1" ht="23.85" customHeight="1">
      <c r="A358" s="2274"/>
      <c r="B358" s="1145"/>
      <c r="D358" s="1126"/>
      <c r="E358" s="1126" t="s">
        <v>73</v>
      </c>
      <c r="F358" s="598">
        <f t="shared" si="79"/>
        <v>1250</v>
      </c>
      <c r="G358" s="337">
        <v>1250</v>
      </c>
      <c r="H358" s="338"/>
      <c r="I358" s="473"/>
      <c r="J358" s="1903" t="s">
        <v>3675</v>
      </c>
      <c r="K358" s="807"/>
      <c r="L358" s="807"/>
      <c r="M358" s="807"/>
      <c r="N358" s="646"/>
      <c r="O358" s="646"/>
      <c r="P358" s="646"/>
      <c r="Q358" s="408"/>
      <c r="R358" s="2630"/>
      <c r="S358" s="1672">
        <v>125000</v>
      </c>
      <c r="T358" s="1671" t="s">
        <v>0</v>
      </c>
      <c r="U358" s="1671"/>
      <c r="V358" s="1671">
        <v>10</v>
      </c>
      <c r="W358" s="1671" t="s">
        <v>3</v>
      </c>
      <c r="X358" s="397" t="s">
        <v>1</v>
      </c>
      <c r="Y358" s="874">
        <f t="shared" ref="Y358" si="81">+Z358/1000</f>
        <v>1250</v>
      </c>
      <c r="Z358" s="355">
        <f t="shared" ref="Z358" si="82">S358*V358</f>
        <v>1250000</v>
      </c>
      <c r="AA358" s="275"/>
      <c r="AB358" s="275"/>
      <c r="AC358" s="275"/>
      <c r="AD358" s="275"/>
      <c r="AE358" s="275"/>
      <c r="AF358" s="1675"/>
      <c r="AG358" s="1675"/>
    </row>
    <row r="359" spans="1:33" s="2278" customFormat="1" ht="23.85" customHeight="1">
      <c r="A359" s="2274"/>
      <c r="B359" s="1145"/>
      <c r="C359" s="470"/>
      <c r="D359" s="1126"/>
      <c r="E359" s="875" t="s">
        <v>84</v>
      </c>
      <c r="F359" s="598">
        <f t="shared" si="79"/>
        <v>7350</v>
      </c>
      <c r="G359" s="337">
        <v>7350</v>
      </c>
      <c r="H359" s="338"/>
      <c r="I359" s="473"/>
      <c r="J359" s="1903" t="s">
        <v>8</v>
      </c>
      <c r="K359" s="807"/>
      <c r="L359" s="807"/>
      <c r="M359" s="807"/>
      <c r="N359" s="646"/>
      <c r="O359" s="646"/>
      <c r="P359" s="646"/>
      <c r="Q359" s="650"/>
      <c r="R359" s="2262"/>
      <c r="S359" s="2262" t="s">
        <v>19</v>
      </c>
      <c r="T359" s="2288" t="s">
        <v>19</v>
      </c>
      <c r="U359" s="2288" t="s">
        <v>19</v>
      </c>
      <c r="V359" s="2288" t="s">
        <v>19</v>
      </c>
      <c r="W359" s="2288" t="s">
        <v>19</v>
      </c>
      <c r="X359" s="1140" t="s">
        <v>19</v>
      </c>
      <c r="Y359" s="874">
        <f t="shared" si="76"/>
        <v>7350</v>
      </c>
      <c r="Z359" s="1324">
        <f>SUM(Z360:Z363)</f>
        <v>7350000</v>
      </c>
      <c r="AA359" s="275"/>
      <c r="AB359" s="275"/>
      <c r="AC359" s="275"/>
    </row>
    <row r="360" spans="1:33" s="2278" customFormat="1" ht="23.85" customHeight="1">
      <c r="A360" s="2274"/>
      <c r="B360" s="1145"/>
      <c r="C360" s="470"/>
      <c r="D360" s="1126"/>
      <c r="E360" s="1126"/>
      <c r="F360" s="598"/>
      <c r="G360" s="337"/>
      <c r="H360" s="338"/>
      <c r="I360" s="473"/>
      <c r="J360" s="1903" t="s">
        <v>774</v>
      </c>
      <c r="K360" s="807"/>
      <c r="L360" s="807"/>
      <c r="M360" s="807"/>
      <c r="N360" s="646"/>
      <c r="O360" s="646"/>
      <c r="P360" s="646"/>
      <c r="Q360" s="650" t="s">
        <v>799</v>
      </c>
      <c r="R360" s="2262" t="s">
        <v>123</v>
      </c>
      <c r="S360" s="1672">
        <v>1500000</v>
      </c>
      <c r="T360" s="1671" t="s">
        <v>0</v>
      </c>
      <c r="U360" s="1671"/>
      <c r="V360" s="1671">
        <v>1</v>
      </c>
      <c r="W360" s="1671" t="s">
        <v>3</v>
      </c>
      <c r="X360" s="397" t="s">
        <v>1</v>
      </c>
      <c r="Y360" s="874">
        <f t="shared" si="76"/>
        <v>4500</v>
      </c>
      <c r="Z360" s="355">
        <f>S360*V360*Q360</f>
        <v>4500000</v>
      </c>
      <c r="AA360" s="275"/>
      <c r="AB360" s="275"/>
      <c r="AC360" s="275"/>
    </row>
    <row r="361" spans="1:33" s="2278" customFormat="1" ht="23.85" customHeight="1">
      <c r="A361" s="2274"/>
      <c r="B361" s="1145"/>
      <c r="C361" s="470"/>
      <c r="D361" s="470"/>
      <c r="E361" s="1126"/>
      <c r="F361" s="598"/>
      <c r="G361" s="337"/>
      <c r="H361" s="338"/>
      <c r="I361" s="473"/>
      <c r="J361" s="1903" t="s">
        <v>776</v>
      </c>
      <c r="K361" s="807"/>
      <c r="L361" s="807"/>
      <c r="M361" s="807"/>
      <c r="N361" s="646"/>
      <c r="O361" s="646"/>
      <c r="P361" s="646"/>
      <c r="Q361" s="1905">
        <v>3</v>
      </c>
      <c r="R361" s="2262" t="s">
        <v>123</v>
      </c>
      <c r="S361" s="1672">
        <v>150000</v>
      </c>
      <c r="T361" s="1671" t="s">
        <v>0</v>
      </c>
      <c r="U361" s="1671"/>
      <c r="V361" s="1671">
        <v>4</v>
      </c>
      <c r="W361" s="1671" t="s">
        <v>306</v>
      </c>
      <c r="X361" s="397" t="s">
        <v>1</v>
      </c>
      <c r="Y361" s="874">
        <f t="shared" si="76"/>
        <v>1800</v>
      </c>
      <c r="Z361" s="355">
        <f t="shared" ref="Z361:Z363" si="83">S361*V361*Q361</f>
        <v>1800000</v>
      </c>
      <c r="AA361" s="275"/>
      <c r="AB361" s="275"/>
      <c r="AC361" s="275"/>
    </row>
    <row r="362" spans="1:33" s="2278" customFormat="1" ht="23.85" customHeight="1">
      <c r="A362" s="2274"/>
      <c r="B362" s="1145"/>
      <c r="C362" s="470"/>
      <c r="D362" s="470"/>
      <c r="E362" s="1126"/>
      <c r="F362" s="598"/>
      <c r="G362" s="337"/>
      <c r="H362" s="338"/>
      <c r="I362" s="473"/>
      <c r="J362" s="1903" t="s">
        <v>777</v>
      </c>
      <c r="K362" s="807"/>
      <c r="L362" s="807"/>
      <c r="M362" s="807"/>
      <c r="N362" s="646"/>
      <c r="O362" s="646"/>
      <c r="P362" s="646"/>
      <c r="Q362" s="1905">
        <v>3</v>
      </c>
      <c r="R362" s="2262" t="s">
        <v>123</v>
      </c>
      <c r="S362" s="1672">
        <v>50000</v>
      </c>
      <c r="T362" s="1671" t="s">
        <v>0</v>
      </c>
      <c r="U362" s="1671"/>
      <c r="V362" s="1671">
        <v>5</v>
      </c>
      <c r="W362" s="1671" t="s">
        <v>60</v>
      </c>
      <c r="X362" s="397" t="s">
        <v>1</v>
      </c>
      <c r="Y362" s="874">
        <f t="shared" si="76"/>
        <v>750</v>
      </c>
      <c r="Z362" s="355">
        <f t="shared" si="83"/>
        <v>750000</v>
      </c>
      <c r="AA362" s="275"/>
      <c r="AB362" s="275"/>
      <c r="AC362" s="275"/>
    </row>
    <row r="363" spans="1:33" s="2278" customFormat="1" ht="23.85" customHeight="1">
      <c r="A363" s="2274"/>
      <c r="B363" s="1145"/>
      <c r="C363" s="470"/>
      <c r="D363" s="1126"/>
      <c r="E363" s="1126"/>
      <c r="F363" s="598"/>
      <c r="G363" s="337"/>
      <c r="H363" s="338"/>
      <c r="I363" s="473"/>
      <c r="J363" s="1903" t="s">
        <v>778</v>
      </c>
      <c r="K363" s="807"/>
      <c r="L363" s="807"/>
      <c r="M363" s="807"/>
      <c r="N363" s="646"/>
      <c r="O363" s="646"/>
      <c r="P363" s="646"/>
      <c r="Q363" s="1905">
        <v>2</v>
      </c>
      <c r="R363" s="2262" t="s">
        <v>123</v>
      </c>
      <c r="S363" s="1672">
        <v>25000</v>
      </c>
      <c r="T363" s="1671" t="s">
        <v>0</v>
      </c>
      <c r="U363" s="1671"/>
      <c r="V363" s="1671">
        <v>6</v>
      </c>
      <c r="W363" s="1671" t="s">
        <v>60</v>
      </c>
      <c r="X363" s="397" t="s">
        <v>1</v>
      </c>
      <c r="Y363" s="874">
        <f t="shared" si="76"/>
        <v>300</v>
      </c>
      <c r="Z363" s="355">
        <f t="shared" si="83"/>
        <v>300000</v>
      </c>
      <c r="AA363" s="275"/>
      <c r="AB363" s="275"/>
      <c r="AC363" s="275"/>
    </row>
    <row r="364" spans="1:33" s="2278" customFormat="1" ht="23.85" customHeight="1">
      <c r="A364" s="2274"/>
      <c r="B364" s="1145"/>
      <c r="C364" s="470"/>
      <c r="D364" s="470"/>
      <c r="E364" s="1126" t="s">
        <v>52</v>
      </c>
      <c r="F364" s="598">
        <f t="shared" si="79"/>
        <v>5800</v>
      </c>
      <c r="G364" s="337">
        <v>5800</v>
      </c>
      <c r="H364" s="338"/>
      <c r="I364" s="473"/>
      <c r="J364" s="1903" t="s">
        <v>8</v>
      </c>
      <c r="K364" s="807"/>
      <c r="L364" s="807"/>
      <c r="M364" s="807"/>
      <c r="N364" s="646"/>
      <c r="O364" s="646"/>
      <c r="P364" s="646"/>
      <c r="Q364" s="650"/>
      <c r="R364" s="2262"/>
      <c r="S364" s="2262" t="s">
        <v>19</v>
      </c>
      <c r="T364" s="2288" t="s">
        <v>19</v>
      </c>
      <c r="U364" s="2288" t="s">
        <v>19</v>
      </c>
      <c r="V364" s="2288" t="s">
        <v>19</v>
      </c>
      <c r="W364" s="2288" t="s">
        <v>19</v>
      </c>
      <c r="X364" s="1140" t="s">
        <v>19</v>
      </c>
      <c r="Y364" s="874">
        <f t="shared" si="76"/>
        <v>5800</v>
      </c>
      <c r="Z364" s="1324">
        <f>SUM(Z365:Z368)</f>
        <v>5800000</v>
      </c>
      <c r="AA364" s="275"/>
      <c r="AB364" s="275"/>
      <c r="AC364" s="275"/>
    </row>
    <row r="365" spans="1:33" s="2278" customFormat="1" ht="23.85" customHeight="1">
      <c r="A365" s="2274"/>
      <c r="B365" s="1145"/>
      <c r="C365" s="470"/>
      <c r="D365" s="470"/>
      <c r="E365" s="1126"/>
      <c r="F365" s="598"/>
      <c r="G365" s="337"/>
      <c r="H365" s="338"/>
      <c r="I365" s="473"/>
      <c r="J365" s="1903" t="s">
        <v>800</v>
      </c>
      <c r="K365" s="807"/>
      <c r="L365" s="807"/>
      <c r="M365" s="807"/>
      <c r="N365" s="646"/>
      <c r="O365" s="646"/>
      <c r="P365" s="646"/>
      <c r="Q365" s="1905"/>
      <c r="R365" s="2262"/>
      <c r="S365" s="1672">
        <v>50000</v>
      </c>
      <c r="T365" s="1671" t="s">
        <v>0</v>
      </c>
      <c r="U365" s="1671"/>
      <c r="V365" s="1671">
        <v>24</v>
      </c>
      <c r="W365" s="1671" t="s">
        <v>305</v>
      </c>
      <c r="X365" s="397" t="s">
        <v>1</v>
      </c>
      <c r="Y365" s="874">
        <f t="shared" si="76"/>
        <v>1200</v>
      </c>
      <c r="Z365" s="355">
        <f t="shared" ref="Z365:Z377" si="84">S365*V365</f>
        <v>1200000</v>
      </c>
      <c r="AA365" s="275"/>
      <c r="AB365" s="275"/>
      <c r="AC365" s="275"/>
    </row>
    <row r="366" spans="1:33" s="2278" customFormat="1" ht="23.85" customHeight="1">
      <c r="A366" s="2274"/>
      <c r="B366" s="1145"/>
      <c r="C366" s="470"/>
      <c r="D366" s="470"/>
      <c r="E366" s="1126"/>
      <c r="F366" s="598"/>
      <c r="G366" s="337"/>
      <c r="H366" s="338"/>
      <c r="I366" s="473"/>
      <c r="J366" s="1903" t="s">
        <v>801</v>
      </c>
      <c r="K366" s="807"/>
      <c r="L366" s="807"/>
      <c r="M366" s="807"/>
      <c r="N366" s="646"/>
      <c r="O366" s="646"/>
      <c r="P366" s="646"/>
      <c r="Q366" s="1905"/>
      <c r="R366" s="2262"/>
      <c r="S366" s="1672">
        <v>30000</v>
      </c>
      <c r="T366" s="1671" t="s">
        <v>0</v>
      </c>
      <c r="U366" s="1671"/>
      <c r="V366" s="1671">
        <v>20</v>
      </c>
      <c r="W366" s="1671" t="s">
        <v>305</v>
      </c>
      <c r="X366" s="397" t="s">
        <v>1</v>
      </c>
      <c r="Y366" s="874">
        <f t="shared" si="76"/>
        <v>600</v>
      </c>
      <c r="Z366" s="355">
        <f t="shared" si="84"/>
        <v>600000</v>
      </c>
      <c r="AA366" s="275"/>
      <c r="AB366" s="275"/>
      <c r="AC366" s="275"/>
    </row>
    <row r="367" spans="1:33" s="2278" customFormat="1" ht="23.85" customHeight="1">
      <c r="A367" s="2274"/>
      <c r="B367" s="1145"/>
      <c r="C367" s="470"/>
      <c r="D367" s="1126"/>
      <c r="E367" s="1126"/>
      <c r="F367" s="598"/>
      <c r="G367" s="337"/>
      <c r="H367" s="338"/>
      <c r="I367" s="473"/>
      <c r="J367" s="1903" t="s">
        <v>3673</v>
      </c>
      <c r="K367" s="807"/>
      <c r="L367" s="807"/>
      <c r="M367" s="807"/>
      <c r="N367" s="646"/>
      <c r="O367" s="646"/>
      <c r="P367" s="646"/>
      <c r="Q367" s="650"/>
      <c r="R367" s="2262"/>
      <c r="S367" s="1672">
        <v>1000000</v>
      </c>
      <c r="T367" s="1671" t="s">
        <v>0</v>
      </c>
      <c r="U367" s="1671"/>
      <c r="V367" s="1671">
        <v>2</v>
      </c>
      <c r="W367" s="1671" t="s">
        <v>69</v>
      </c>
      <c r="X367" s="397" t="s">
        <v>1</v>
      </c>
      <c r="Y367" s="874">
        <f t="shared" si="76"/>
        <v>2000</v>
      </c>
      <c r="Z367" s="355">
        <f t="shared" si="84"/>
        <v>2000000</v>
      </c>
      <c r="AA367" s="275"/>
      <c r="AB367" s="275"/>
      <c r="AC367" s="275"/>
    </row>
    <row r="368" spans="1:33" s="2278" customFormat="1" ht="23.85" customHeight="1">
      <c r="A368" s="2274"/>
      <c r="B368" s="1145"/>
      <c r="C368" s="470"/>
      <c r="D368" s="1126"/>
      <c r="E368" s="1126"/>
      <c r="F368" s="598"/>
      <c r="G368" s="337"/>
      <c r="H368" s="338"/>
      <c r="I368" s="473"/>
      <c r="J368" s="1903" t="s">
        <v>3674</v>
      </c>
      <c r="K368" s="807"/>
      <c r="L368" s="807"/>
      <c r="M368" s="807"/>
      <c r="N368" s="646"/>
      <c r="O368" s="646"/>
      <c r="P368" s="646"/>
      <c r="Q368" s="650"/>
      <c r="R368" s="2262"/>
      <c r="S368" s="1672">
        <v>1000000</v>
      </c>
      <c r="T368" s="1671" t="s">
        <v>0</v>
      </c>
      <c r="U368" s="1671"/>
      <c r="V368" s="1671">
        <v>2</v>
      </c>
      <c r="W368" s="1671" t="s">
        <v>2490</v>
      </c>
      <c r="X368" s="397" t="s">
        <v>1</v>
      </c>
      <c r="Y368" s="874">
        <f t="shared" si="76"/>
        <v>2000</v>
      </c>
      <c r="Z368" s="355">
        <f t="shared" si="84"/>
        <v>2000000</v>
      </c>
      <c r="AA368" s="275"/>
      <c r="AB368" s="275"/>
      <c r="AC368" s="275"/>
    </row>
    <row r="369" spans="1:29" s="2278" customFormat="1" ht="22.5" customHeight="1">
      <c r="A369" s="2274"/>
      <c r="B369" s="1145"/>
      <c r="C369" s="470"/>
      <c r="D369" s="1126"/>
      <c r="E369" s="1126" t="s">
        <v>65</v>
      </c>
      <c r="F369" s="598">
        <f t="shared" si="79"/>
        <v>51500</v>
      </c>
      <c r="G369" s="598">
        <v>51500</v>
      </c>
      <c r="H369" s="338"/>
      <c r="I369" s="473"/>
      <c r="J369" s="1903" t="s">
        <v>3667</v>
      </c>
      <c r="K369" s="807"/>
      <c r="L369" s="807"/>
      <c r="M369" s="807"/>
      <c r="N369" s="646"/>
      <c r="O369" s="646"/>
      <c r="P369" s="646"/>
      <c r="Q369" s="650"/>
      <c r="R369" s="2262"/>
      <c r="S369" s="2262" t="s">
        <v>19</v>
      </c>
      <c r="T369" s="2288" t="s">
        <v>19</v>
      </c>
      <c r="U369" s="2288" t="s">
        <v>19</v>
      </c>
      <c r="V369" s="2288" t="s">
        <v>19</v>
      </c>
      <c r="W369" s="2288" t="s">
        <v>19</v>
      </c>
      <c r="X369" s="397"/>
      <c r="Y369" s="874">
        <f t="shared" si="76"/>
        <v>51500</v>
      </c>
      <c r="Z369" s="1324">
        <f>SUM(Z370:Z377)</f>
        <v>51500000</v>
      </c>
      <c r="AA369" s="275"/>
      <c r="AB369" s="275"/>
      <c r="AC369" s="275"/>
    </row>
    <row r="370" spans="1:29" s="2278" customFormat="1" ht="22.5" customHeight="1">
      <c r="A370" s="2274"/>
      <c r="B370" s="1145"/>
      <c r="C370" s="470"/>
      <c r="D370" s="470"/>
      <c r="E370" s="1126"/>
      <c r="F370" s="598"/>
      <c r="G370" s="337"/>
      <c r="H370" s="338"/>
      <c r="I370" s="473"/>
      <c r="J370" s="1903" t="s">
        <v>802</v>
      </c>
      <c r="K370" s="807"/>
      <c r="L370" s="807"/>
      <c r="M370" s="807"/>
      <c r="N370" s="646"/>
      <c r="O370" s="646"/>
      <c r="P370" s="646"/>
      <c r="Q370" s="650"/>
      <c r="R370" s="2262"/>
      <c r="S370" s="1672">
        <v>5000000</v>
      </c>
      <c r="T370" s="1671" t="s">
        <v>0</v>
      </c>
      <c r="U370" s="1671"/>
      <c r="V370" s="1671">
        <v>1</v>
      </c>
      <c r="W370" s="1671" t="s">
        <v>3</v>
      </c>
      <c r="X370" s="397" t="s">
        <v>1</v>
      </c>
      <c r="Y370" s="874">
        <f t="shared" si="76"/>
        <v>5000</v>
      </c>
      <c r="Z370" s="355">
        <f t="shared" si="84"/>
        <v>5000000</v>
      </c>
      <c r="AA370" s="275"/>
      <c r="AB370" s="275"/>
      <c r="AC370" s="275"/>
    </row>
    <row r="371" spans="1:29" ht="22.5" customHeight="1">
      <c r="A371" s="2274"/>
      <c r="B371" s="1145"/>
      <c r="C371" s="470"/>
      <c r="D371" s="470"/>
      <c r="E371" s="1126"/>
      <c r="F371" s="598"/>
      <c r="G371" s="337"/>
      <c r="H371" s="338"/>
      <c r="I371" s="473"/>
      <c r="J371" s="1903" t="s">
        <v>803</v>
      </c>
      <c r="K371" s="807"/>
      <c r="L371" s="807"/>
      <c r="M371" s="807"/>
      <c r="N371" s="646"/>
      <c r="O371" s="646"/>
      <c r="P371" s="646"/>
      <c r="Q371" s="650"/>
      <c r="R371" s="2262"/>
      <c r="S371" s="1672">
        <v>2000000</v>
      </c>
      <c r="T371" s="1671" t="s">
        <v>0</v>
      </c>
      <c r="U371" s="1671"/>
      <c r="V371" s="1671">
        <v>1</v>
      </c>
      <c r="W371" s="1671" t="s">
        <v>3</v>
      </c>
      <c r="X371" s="397" t="s">
        <v>1</v>
      </c>
      <c r="Y371" s="874">
        <f t="shared" si="76"/>
        <v>2000</v>
      </c>
      <c r="Z371" s="355">
        <f t="shared" si="84"/>
        <v>2000000</v>
      </c>
      <c r="AA371" s="275"/>
    </row>
    <row r="372" spans="1:29" ht="22.5" customHeight="1">
      <c r="A372" s="2274"/>
      <c r="B372" s="1145"/>
      <c r="C372" s="470"/>
      <c r="D372" s="470"/>
      <c r="E372" s="1126"/>
      <c r="F372" s="598"/>
      <c r="G372" s="337"/>
      <c r="H372" s="338"/>
      <c r="I372" s="473"/>
      <c r="J372" s="1903" t="s">
        <v>804</v>
      </c>
      <c r="K372" s="807"/>
      <c r="L372" s="807"/>
      <c r="M372" s="807"/>
      <c r="N372" s="646"/>
      <c r="O372" s="646"/>
      <c r="P372" s="646"/>
      <c r="Q372" s="650"/>
      <c r="R372" s="2262"/>
      <c r="S372" s="1672">
        <v>1500000</v>
      </c>
      <c r="T372" s="1671" t="s">
        <v>0</v>
      </c>
      <c r="U372" s="1671"/>
      <c r="V372" s="1671">
        <v>1</v>
      </c>
      <c r="W372" s="1671" t="s">
        <v>783</v>
      </c>
      <c r="X372" s="397" t="s">
        <v>1</v>
      </c>
      <c r="Y372" s="874">
        <f t="shared" si="76"/>
        <v>1500</v>
      </c>
      <c r="Z372" s="355">
        <f t="shared" si="84"/>
        <v>1500000</v>
      </c>
      <c r="AA372" s="275"/>
    </row>
    <row r="373" spans="1:29" s="2278" customFormat="1" ht="22.5" customHeight="1">
      <c r="A373" s="2274"/>
      <c r="B373" s="1145"/>
      <c r="C373" s="470"/>
      <c r="D373" s="470"/>
      <c r="E373" s="1126"/>
      <c r="F373" s="598"/>
      <c r="G373" s="337"/>
      <c r="H373" s="338"/>
      <c r="I373" s="473"/>
      <c r="J373" s="1903" t="s">
        <v>805</v>
      </c>
      <c r="K373" s="807"/>
      <c r="L373" s="807"/>
      <c r="M373" s="807"/>
      <c r="N373" s="646"/>
      <c r="O373" s="646"/>
      <c r="P373" s="646"/>
      <c r="Q373" s="650"/>
      <c r="R373" s="2262"/>
      <c r="S373" s="1672">
        <v>50000</v>
      </c>
      <c r="T373" s="1671" t="s">
        <v>0</v>
      </c>
      <c r="U373" s="1671"/>
      <c r="V373" s="1671">
        <v>30</v>
      </c>
      <c r="W373" s="1671" t="s">
        <v>315</v>
      </c>
      <c r="X373" s="397" t="s">
        <v>1</v>
      </c>
      <c r="Y373" s="874">
        <f t="shared" si="76"/>
        <v>1500</v>
      </c>
      <c r="Z373" s="355">
        <f t="shared" si="84"/>
        <v>1500000</v>
      </c>
      <c r="AA373" s="275"/>
      <c r="AB373" s="275"/>
      <c r="AC373" s="275"/>
    </row>
    <row r="374" spans="1:29" ht="22.5" customHeight="1">
      <c r="A374" s="2274"/>
      <c r="B374" s="1145"/>
      <c r="C374" s="470"/>
      <c r="D374" s="470"/>
      <c r="E374" s="1126"/>
      <c r="F374" s="598"/>
      <c r="G374" s="337"/>
      <c r="H374" s="338"/>
      <c r="I374" s="473"/>
      <c r="J374" s="1903" t="s">
        <v>806</v>
      </c>
      <c r="K374" s="807"/>
      <c r="L374" s="807"/>
      <c r="M374" s="807"/>
      <c r="N374" s="646"/>
      <c r="O374" s="646"/>
      <c r="P374" s="646"/>
      <c r="Q374" s="1905"/>
      <c r="R374" s="2262"/>
      <c r="S374" s="1672">
        <v>10000000</v>
      </c>
      <c r="T374" s="1671" t="s">
        <v>0</v>
      </c>
      <c r="U374" s="1671"/>
      <c r="V374" s="1671">
        <v>2</v>
      </c>
      <c r="W374" s="1671" t="s">
        <v>2</v>
      </c>
      <c r="X374" s="397" t="s">
        <v>1</v>
      </c>
      <c r="Y374" s="874">
        <f t="shared" si="76"/>
        <v>20000</v>
      </c>
      <c r="Z374" s="355">
        <f t="shared" si="84"/>
        <v>20000000</v>
      </c>
      <c r="AA374" s="275"/>
    </row>
    <row r="375" spans="1:29" ht="22.5" customHeight="1">
      <c r="A375" s="2274"/>
      <c r="B375" s="1145"/>
      <c r="C375" s="470"/>
      <c r="D375" s="470"/>
      <c r="E375" s="1126"/>
      <c r="F375" s="598"/>
      <c r="G375" s="337"/>
      <c r="H375" s="338"/>
      <c r="I375" s="473"/>
      <c r="J375" s="1903" t="s">
        <v>807</v>
      </c>
      <c r="K375" s="807"/>
      <c r="L375" s="807"/>
      <c r="M375" s="807"/>
      <c r="N375" s="646"/>
      <c r="O375" s="646"/>
      <c r="P375" s="646"/>
      <c r="Q375" s="650"/>
      <c r="R375" s="2262"/>
      <c r="S375" s="1672">
        <v>15000000</v>
      </c>
      <c r="T375" s="1671" t="s">
        <v>0</v>
      </c>
      <c r="U375" s="1671"/>
      <c r="V375" s="1671">
        <v>1</v>
      </c>
      <c r="W375" s="1671" t="s">
        <v>3</v>
      </c>
      <c r="X375" s="397" t="s">
        <v>1</v>
      </c>
      <c r="Y375" s="874">
        <f t="shared" si="76"/>
        <v>15000</v>
      </c>
      <c r="Z375" s="355">
        <f t="shared" si="84"/>
        <v>15000000</v>
      </c>
      <c r="AA375" s="275"/>
    </row>
    <row r="376" spans="1:29" ht="22.5" customHeight="1">
      <c r="A376" s="2274"/>
      <c r="B376" s="1145"/>
      <c r="C376" s="470"/>
      <c r="D376" s="470"/>
      <c r="E376" s="1126"/>
      <c r="F376" s="598"/>
      <c r="G376" s="337"/>
      <c r="H376" s="338"/>
      <c r="I376" s="473"/>
      <c r="J376" s="1903" t="s">
        <v>808</v>
      </c>
      <c r="K376" s="807"/>
      <c r="L376" s="807"/>
      <c r="M376" s="807"/>
      <c r="N376" s="646"/>
      <c r="O376" s="646"/>
      <c r="P376" s="646"/>
      <c r="Q376" s="650"/>
      <c r="R376" s="2262"/>
      <c r="S376" s="1672">
        <v>2500000</v>
      </c>
      <c r="T376" s="1671" t="s">
        <v>0</v>
      </c>
      <c r="U376" s="1671"/>
      <c r="V376" s="1671">
        <v>1</v>
      </c>
      <c r="W376" s="1671" t="s">
        <v>3</v>
      </c>
      <c r="X376" s="397" t="s">
        <v>1</v>
      </c>
      <c r="Y376" s="874">
        <f t="shared" si="76"/>
        <v>2500</v>
      </c>
      <c r="Z376" s="355">
        <f t="shared" si="84"/>
        <v>2500000</v>
      </c>
      <c r="AA376" s="275"/>
    </row>
    <row r="377" spans="1:29" ht="22.5" customHeight="1">
      <c r="A377" s="2274"/>
      <c r="B377" s="1145"/>
      <c r="C377" s="470"/>
      <c r="D377" s="470"/>
      <c r="E377" s="1126"/>
      <c r="F377" s="598"/>
      <c r="G377" s="337"/>
      <c r="H377" s="338"/>
      <c r="I377" s="473"/>
      <c r="J377" s="1903" t="s">
        <v>809</v>
      </c>
      <c r="K377" s="807"/>
      <c r="L377" s="807"/>
      <c r="M377" s="807"/>
      <c r="N377" s="646"/>
      <c r="O377" s="646"/>
      <c r="P377" s="646"/>
      <c r="Q377" s="650"/>
      <c r="R377" s="2262"/>
      <c r="S377" s="1672">
        <v>4000000</v>
      </c>
      <c r="T377" s="1671" t="s">
        <v>0</v>
      </c>
      <c r="U377" s="1671"/>
      <c r="V377" s="1671">
        <v>1</v>
      </c>
      <c r="W377" s="1671" t="s">
        <v>6</v>
      </c>
      <c r="X377" s="397" t="s">
        <v>1</v>
      </c>
      <c r="Y377" s="874">
        <f t="shared" si="76"/>
        <v>4000</v>
      </c>
      <c r="Z377" s="355">
        <f t="shared" si="84"/>
        <v>4000000</v>
      </c>
      <c r="AA377" s="275"/>
    </row>
    <row r="378" spans="1:29" s="2278" customFormat="1" ht="22.5" customHeight="1">
      <c r="A378" s="2274"/>
      <c r="B378" s="1145"/>
      <c r="C378" s="470"/>
      <c r="D378" s="470"/>
      <c r="E378" s="1126" t="s">
        <v>64</v>
      </c>
      <c r="F378" s="598">
        <f t="shared" si="79"/>
        <v>1000</v>
      </c>
      <c r="G378" s="337">
        <v>1000</v>
      </c>
      <c r="H378" s="338"/>
      <c r="I378" s="473"/>
      <c r="J378" s="1903" t="s">
        <v>3672</v>
      </c>
      <c r="K378" s="807"/>
      <c r="L378" s="807"/>
      <c r="M378" s="807"/>
      <c r="N378" s="646"/>
      <c r="O378" s="1905"/>
      <c r="P378" s="2630"/>
      <c r="Q378" s="1905"/>
      <c r="R378" s="2630"/>
      <c r="S378" s="1672">
        <v>1000000</v>
      </c>
      <c r="T378" s="1671" t="s">
        <v>0</v>
      </c>
      <c r="U378" s="1671"/>
      <c r="V378" s="1671">
        <v>1</v>
      </c>
      <c r="W378" s="1671" t="s">
        <v>3</v>
      </c>
      <c r="X378" s="397" t="s">
        <v>1</v>
      </c>
      <c r="Y378" s="874">
        <f t="shared" ref="Y378" si="85">+Z378/1000</f>
        <v>1000</v>
      </c>
      <c r="Z378" s="355">
        <f t="shared" ref="Z378" si="86">S378*V378</f>
        <v>1000000</v>
      </c>
      <c r="AA378" s="275"/>
      <c r="AB378" s="275"/>
      <c r="AC378" s="275"/>
    </row>
    <row r="379" spans="1:29" ht="22.5" customHeight="1">
      <c r="A379" s="2274"/>
      <c r="B379" s="1145"/>
      <c r="C379" s="470"/>
      <c r="D379" s="1126"/>
      <c r="E379" s="470" t="s">
        <v>54</v>
      </c>
      <c r="F379" s="598">
        <f t="shared" si="79"/>
        <v>1000</v>
      </c>
      <c r="G379" s="337">
        <v>1000</v>
      </c>
      <c r="H379" s="338"/>
      <c r="I379" s="473"/>
      <c r="J379" s="1903" t="s">
        <v>3671</v>
      </c>
      <c r="K379" s="807"/>
      <c r="L379" s="807"/>
      <c r="M379" s="807"/>
      <c r="N379" s="646"/>
      <c r="O379" s="646"/>
      <c r="P379" s="646"/>
      <c r="Q379" s="1905">
        <v>1000</v>
      </c>
      <c r="R379" s="2262" t="s">
        <v>124</v>
      </c>
      <c r="S379" s="1672">
        <v>1000</v>
      </c>
      <c r="T379" s="1671" t="s">
        <v>0</v>
      </c>
      <c r="U379" s="1671"/>
      <c r="V379" s="1671">
        <v>1</v>
      </c>
      <c r="W379" s="1671" t="s">
        <v>3</v>
      </c>
      <c r="X379" s="397" t="s">
        <v>1</v>
      </c>
      <c r="Y379" s="874">
        <f t="shared" si="76"/>
        <v>1000</v>
      </c>
      <c r="Z379" s="355">
        <f t="shared" ref="Z379" si="87">S379*V379*Q379</f>
        <v>1000000</v>
      </c>
      <c r="AA379" s="275"/>
    </row>
    <row r="380" spans="1:29" ht="22.5" customHeight="1">
      <c r="A380" s="2274"/>
      <c r="B380" s="1145"/>
      <c r="C380" s="470"/>
      <c r="D380" s="1126"/>
      <c r="E380" s="1126" t="s">
        <v>56</v>
      </c>
      <c r="F380" s="598">
        <f t="shared" si="79"/>
        <v>1300</v>
      </c>
      <c r="G380" s="337">
        <v>1300</v>
      </c>
      <c r="H380" s="338"/>
      <c r="I380" s="473"/>
      <c r="J380" s="1903" t="s">
        <v>8</v>
      </c>
      <c r="K380" s="807"/>
      <c r="L380" s="807"/>
      <c r="M380" s="807"/>
      <c r="N380" s="646"/>
      <c r="O380" s="646"/>
      <c r="P380" s="646"/>
      <c r="Q380" s="1905"/>
      <c r="R380" s="2262"/>
      <c r="S380" s="1672"/>
      <c r="T380" s="1671"/>
      <c r="U380" s="1671"/>
      <c r="V380" s="1671"/>
      <c r="W380" s="1671"/>
      <c r="X380" s="397"/>
      <c r="Y380" s="874">
        <f t="shared" si="76"/>
        <v>1300</v>
      </c>
      <c r="Z380" s="355">
        <f>SUM(Z381:Z382)</f>
        <v>1300000</v>
      </c>
      <c r="AA380" s="275"/>
    </row>
    <row r="381" spans="1:29" s="2278" customFormat="1" ht="22.5" customHeight="1">
      <c r="A381" s="2274"/>
      <c r="B381" s="1145"/>
      <c r="D381" s="1126"/>
      <c r="E381" s="470"/>
      <c r="F381" s="598"/>
      <c r="G381" s="337"/>
      <c r="H381" s="338"/>
      <c r="I381" s="473"/>
      <c r="J381" s="1903" t="s">
        <v>3677</v>
      </c>
      <c r="K381" s="807"/>
      <c r="L381" s="807"/>
      <c r="M381" s="807"/>
      <c r="N381" s="646"/>
      <c r="O381" s="646"/>
      <c r="P381" s="646"/>
      <c r="Q381" s="1905">
        <v>100</v>
      </c>
      <c r="R381" s="2262" t="s">
        <v>123</v>
      </c>
      <c r="S381" s="1672">
        <v>10000</v>
      </c>
      <c r="T381" s="1671" t="s">
        <v>0</v>
      </c>
      <c r="U381" s="1671"/>
      <c r="V381" s="1671">
        <v>1</v>
      </c>
      <c r="W381" s="1671" t="s">
        <v>3</v>
      </c>
      <c r="X381" s="397" t="s">
        <v>1</v>
      </c>
      <c r="Y381" s="874">
        <f t="shared" si="76"/>
        <v>1000</v>
      </c>
      <c r="Z381" s="355">
        <f t="shared" ref="Z381:Z383" si="88">S381*V381*Q381</f>
        <v>1000000</v>
      </c>
      <c r="AA381" s="275"/>
      <c r="AB381" s="275"/>
      <c r="AC381" s="275"/>
    </row>
    <row r="382" spans="1:29" s="2278" customFormat="1" ht="22.5" customHeight="1">
      <c r="A382" s="2274"/>
      <c r="B382" s="1145"/>
      <c r="D382" s="1126"/>
      <c r="E382" s="470"/>
      <c r="F382" s="598"/>
      <c r="G382" s="337"/>
      <c r="H382" s="338"/>
      <c r="I382" s="473"/>
      <c r="J382" s="1903" t="s">
        <v>3678</v>
      </c>
      <c r="K382" s="807"/>
      <c r="L382" s="807"/>
      <c r="M382" s="807"/>
      <c r="N382" s="646"/>
      <c r="O382" s="646"/>
      <c r="P382" s="646"/>
      <c r="Q382" s="1905">
        <v>30</v>
      </c>
      <c r="R382" s="2262" t="s">
        <v>123</v>
      </c>
      <c r="S382" s="1672">
        <v>10000</v>
      </c>
      <c r="T382" s="1671" t="s">
        <v>0</v>
      </c>
      <c r="U382" s="1671"/>
      <c r="V382" s="1671">
        <v>1</v>
      </c>
      <c r="W382" s="1671" t="s">
        <v>3</v>
      </c>
      <c r="X382" s="397" t="s">
        <v>1</v>
      </c>
      <c r="Y382" s="874">
        <f t="shared" si="76"/>
        <v>300</v>
      </c>
      <c r="Z382" s="355">
        <f t="shared" si="88"/>
        <v>300000</v>
      </c>
      <c r="AA382" s="275"/>
      <c r="AB382" s="275"/>
      <c r="AC382" s="275"/>
    </row>
    <row r="383" spans="1:29" s="2278" customFormat="1" ht="22.5" customHeight="1">
      <c r="A383" s="2274"/>
      <c r="B383" s="1145"/>
      <c r="D383" s="359"/>
      <c r="E383" s="2280" t="s">
        <v>55</v>
      </c>
      <c r="F383" s="598">
        <f t="shared" si="79"/>
        <v>400</v>
      </c>
      <c r="G383" s="360">
        <v>400</v>
      </c>
      <c r="H383" s="361"/>
      <c r="I383" s="473"/>
      <c r="J383" s="1906" t="s">
        <v>810</v>
      </c>
      <c r="K383" s="1907"/>
      <c r="L383" s="1907"/>
      <c r="M383" s="1907"/>
      <c r="N383" s="1908"/>
      <c r="O383" s="1908"/>
      <c r="P383" s="1908"/>
      <c r="Q383" s="1909">
        <v>4</v>
      </c>
      <c r="R383" s="457" t="s">
        <v>123</v>
      </c>
      <c r="S383" s="458">
        <v>10000</v>
      </c>
      <c r="T383" s="371" t="s">
        <v>0</v>
      </c>
      <c r="U383" s="371"/>
      <c r="V383" s="371">
        <v>10</v>
      </c>
      <c r="W383" s="371" t="s">
        <v>3</v>
      </c>
      <c r="X383" s="426" t="s">
        <v>1</v>
      </c>
      <c r="Y383" s="874">
        <f t="shared" si="76"/>
        <v>400</v>
      </c>
      <c r="Z383" s="355">
        <f t="shared" si="88"/>
        <v>400000</v>
      </c>
      <c r="AA383" s="275"/>
      <c r="AB383" s="275"/>
      <c r="AC383" s="275"/>
    </row>
    <row r="384" spans="1:29" ht="22.5" customHeight="1">
      <c r="A384" s="2274"/>
      <c r="B384" s="1145"/>
      <c r="C384" s="470"/>
      <c r="D384" s="3284" t="s">
        <v>3306</v>
      </c>
      <c r="E384" s="3285"/>
      <c r="F384" s="373">
        <f>SUM(F385:F416)</f>
        <v>80000</v>
      </c>
      <c r="G384" s="373">
        <f>SUM(G385:G416)</f>
        <v>80000</v>
      </c>
      <c r="H384" s="1132">
        <f>F384-G384</f>
        <v>0</v>
      </c>
      <c r="I384" s="473"/>
      <c r="J384" s="1901"/>
      <c r="K384" s="1902"/>
      <c r="L384" s="1902"/>
      <c r="M384" s="1902"/>
      <c r="N384" s="1902"/>
      <c r="O384" s="1902"/>
      <c r="P384" s="1902"/>
      <c r="Q384" s="799"/>
      <c r="R384" s="376"/>
      <c r="S384" s="375"/>
      <c r="T384" s="376"/>
      <c r="U384" s="375"/>
      <c r="V384" s="376"/>
      <c r="W384" s="375"/>
      <c r="X384" s="375"/>
      <c r="Y384" s="801"/>
      <c r="Z384" s="503">
        <f>SUM(Z385+Z386+Z389+Z390+Z391+Z396+Z400+Z409+Z412+Z413+Z416)</f>
        <v>80000000</v>
      </c>
      <c r="AA384" s="275"/>
    </row>
    <row r="385" spans="1:33" s="2278" customFormat="1" ht="22.5" customHeight="1">
      <c r="A385" s="2274"/>
      <c r="B385" s="1145"/>
      <c r="C385" s="470"/>
      <c r="D385" s="1154"/>
      <c r="E385" s="1126" t="s">
        <v>74</v>
      </c>
      <c r="F385" s="598">
        <v>600</v>
      </c>
      <c r="G385" s="337">
        <v>600</v>
      </c>
      <c r="H385" s="338"/>
      <c r="I385" s="473"/>
      <c r="J385" s="802" t="s">
        <v>3660</v>
      </c>
      <c r="K385" s="807"/>
      <c r="L385" s="807"/>
      <c r="M385" s="807"/>
      <c r="N385" s="646"/>
      <c r="O385" s="646"/>
      <c r="P385" s="646"/>
      <c r="Q385" s="804" t="s">
        <v>311</v>
      </c>
      <c r="R385" s="1671" t="s">
        <v>123</v>
      </c>
      <c r="S385" s="1672">
        <v>75000</v>
      </c>
      <c r="T385" s="1671" t="s">
        <v>0</v>
      </c>
      <c r="U385" s="1671"/>
      <c r="V385" s="1671">
        <v>8</v>
      </c>
      <c r="W385" s="1671" t="s">
        <v>60</v>
      </c>
      <c r="X385" s="397" t="s">
        <v>1</v>
      </c>
      <c r="Y385" s="874">
        <f t="shared" si="76"/>
        <v>600</v>
      </c>
      <c r="Z385" s="355">
        <f>Q385*S385*V385</f>
        <v>600000</v>
      </c>
      <c r="AA385" s="275"/>
      <c r="AB385" s="275"/>
      <c r="AC385" s="275"/>
    </row>
    <row r="386" spans="1:33" s="2278" customFormat="1" ht="22.5" customHeight="1">
      <c r="A386" s="2274"/>
      <c r="B386" s="1145"/>
      <c r="D386" s="1126"/>
      <c r="E386" s="1126" t="s">
        <v>51</v>
      </c>
      <c r="F386" s="598">
        <v>9300</v>
      </c>
      <c r="G386" s="337">
        <v>9300</v>
      </c>
      <c r="H386" s="338"/>
      <c r="I386" s="473"/>
      <c r="J386" s="1903" t="s">
        <v>8</v>
      </c>
      <c r="K386" s="807"/>
      <c r="L386" s="807"/>
      <c r="M386" s="807"/>
      <c r="N386" s="646"/>
      <c r="O386" s="646"/>
      <c r="P386" s="646"/>
      <c r="Q386" s="650"/>
      <c r="R386" s="2262"/>
      <c r="S386" s="2262" t="s">
        <v>19</v>
      </c>
      <c r="T386" s="2288" t="s">
        <v>19</v>
      </c>
      <c r="U386" s="2288" t="s">
        <v>19</v>
      </c>
      <c r="V386" s="2288" t="s">
        <v>19</v>
      </c>
      <c r="W386" s="2288" t="s">
        <v>19</v>
      </c>
      <c r="X386" s="1140" t="s">
        <v>19</v>
      </c>
      <c r="Y386" s="874">
        <f t="shared" si="76"/>
        <v>9300</v>
      </c>
      <c r="Z386" s="1324">
        <f>SUM(Z387:Z388)</f>
        <v>9300000</v>
      </c>
      <c r="AA386" s="275"/>
      <c r="AB386" s="275"/>
      <c r="AC386" s="275"/>
    </row>
    <row r="387" spans="1:33" s="2278" customFormat="1" ht="22.5" customHeight="1">
      <c r="A387" s="2274"/>
      <c r="B387" s="1145"/>
      <c r="D387" s="1126"/>
      <c r="E387" s="1126"/>
      <c r="F387" s="598"/>
      <c r="G387" s="337"/>
      <c r="H387" s="338"/>
      <c r="I387" s="473"/>
      <c r="J387" s="1903" t="s">
        <v>797</v>
      </c>
      <c r="K387" s="807"/>
      <c r="L387" s="807"/>
      <c r="M387" s="807"/>
      <c r="N387" s="646"/>
      <c r="O387" s="646"/>
      <c r="P387" s="646"/>
      <c r="Q387" s="408">
        <v>680</v>
      </c>
      <c r="R387" s="2262" t="s">
        <v>66</v>
      </c>
      <c r="S387" s="1672">
        <v>10000</v>
      </c>
      <c r="T387" s="1671" t="s">
        <v>0</v>
      </c>
      <c r="U387" s="1671"/>
      <c r="V387" s="1671">
        <v>1</v>
      </c>
      <c r="W387" s="1671" t="s">
        <v>3</v>
      </c>
      <c r="X387" s="397" t="s">
        <v>1</v>
      </c>
      <c r="Y387" s="874">
        <f t="shared" si="76"/>
        <v>6800</v>
      </c>
      <c r="Z387" s="355">
        <f t="shared" ref="Z387:Z388" si="89">Q387*S387*V387</f>
        <v>6800000</v>
      </c>
      <c r="AA387" s="275"/>
      <c r="AB387" s="275"/>
      <c r="AC387" s="275"/>
    </row>
    <row r="388" spans="1:33" s="2278" customFormat="1" ht="22.5" customHeight="1">
      <c r="A388" s="2274"/>
      <c r="B388" s="1145"/>
      <c r="D388" s="1126"/>
      <c r="E388" s="1126"/>
      <c r="F388" s="598"/>
      <c r="G388" s="337"/>
      <c r="H388" s="338"/>
      <c r="I388" s="473"/>
      <c r="J388" s="1903" t="s">
        <v>798</v>
      </c>
      <c r="K388" s="807"/>
      <c r="L388" s="807"/>
      <c r="M388" s="807"/>
      <c r="N388" s="646"/>
      <c r="O388" s="646"/>
      <c r="P388" s="646"/>
      <c r="Q388" s="408">
        <v>5000</v>
      </c>
      <c r="R388" s="2262" t="s">
        <v>66</v>
      </c>
      <c r="S388" s="1672">
        <v>500</v>
      </c>
      <c r="T388" s="1671" t="s">
        <v>0</v>
      </c>
      <c r="U388" s="1671"/>
      <c r="V388" s="1671">
        <v>1</v>
      </c>
      <c r="W388" s="1671" t="s">
        <v>3</v>
      </c>
      <c r="X388" s="397" t="s">
        <v>1</v>
      </c>
      <c r="Y388" s="874">
        <f t="shared" si="76"/>
        <v>2500</v>
      </c>
      <c r="Z388" s="355">
        <f t="shared" si="89"/>
        <v>2500000</v>
      </c>
      <c r="AA388" s="275"/>
      <c r="AB388" s="275"/>
      <c r="AC388" s="275"/>
    </row>
    <row r="389" spans="1:33" ht="22.5" customHeight="1">
      <c r="A389" s="2274"/>
      <c r="B389" s="1145"/>
      <c r="C389" s="2278"/>
      <c r="D389" s="1126"/>
      <c r="E389" s="470" t="s">
        <v>24</v>
      </c>
      <c r="F389" s="598">
        <v>500</v>
      </c>
      <c r="G389" s="337">
        <v>500</v>
      </c>
      <c r="H389" s="338"/>
      <c r="I389" s="473"/>
      <c r="J389" s="1903" t="s">
        <v>3670</v>
      </c>
      <c r="K389" s="807"/>
      <c r="L389" s="807"/>
      <c r="M389" s="807"/>
      <c r="N389" s="646"/>
      <c r="O389" s="646"/>
      <c r="P389" s="646"/>
      <c r="Q389" s="650"/>
      <c r="R389" s="2262"/>
      <c r="S389" s="1672">
        <v>500000</v>
      </c>
      <c r="T389" s="1671" t="s">
        <v>0</v>
      </c>
      <c r="U389" s="1671"/>
      <c r="V389" s="1671">
        <v>1</v>
      </c>
      <c r="W389" s="1671" t="s">
        <v>3</v>
      </c>
      <c r="X389" s="397" t="s">
        <v>1</v>
      </c>
      <c r="Y389" s="874">
        <f t="shared" si="76"/>
        <v>500</v>
      </c>
      <c r="Z389" s="355">
        <f>S389*V389</f>
        <v>500000</v>
      </c>
      <c r="AA389" s="275"/>
    </row>
    <row r="390" spans="1:33" s="2278" customFormat="1" ht="22.5" customHeight="1">
      <c r="A390" s="2274"/>
      <c r="B390" s="1145"/>
      <c r="D390" s="1126"/>
      <c r="E390" s="1126" t="s">
        <v>73</v>
      </c>
      <c r="F390" s="598">
        <v>1500</v>
      </c>
      <c r="G390" s="337">
        <v>1500</v>
      </c>
      <c r="H390" s="338"/>
      <c r="I390" s="473"/>
      <c r="J390" s="1903" t="s">
        <v>3675</v>
      </c>
      <c r="K390" s="807"/>
      <c r="L390" s="807"/>
      <c r="M390" s="807"/>
      <c r="N390" s="646"/>
      <c r="O390" s="646"/>
      <c r="P390" s="646"/>
      <c r="Q390" s="408"/>
      <c r="R390" s="2630"/>
      <c r="S390" s="1672">
        <v>150000</v>
      </c>
      <c r="T390" s="1671" t="s">
        <v>0</v>
      </c>
      <c r="U390" s="1671"/>
      <c r="V390" s="1671">
        <v>10</v>
      </c>
      <c r="W390" s="1671" t="s">
        <v>3</v>
      </c>
      <c r="X390" s="397" t="s">
        <v>1</v>
      </c>
      <c r="Y390" s="874">
        <f t="shared" ref="Y390" si="90">+Z390/1000</f>
        <v>1500</v>
      </c>
      <c r="Z390" s="355">
        <f>S390*V390</f>
        <v>1500000</v>
      </c>
      <c r="AA390" s="275"/>
      <c r="AB390" s="275"/>
      <c r="AC390" s="275"/>
    </row>
    <row r="391" spans="1:33" s="2278" customFormat="1" ht="22.5" customHeight="1">
      <c r="A391" s="2274"/>
      <c r="B391" s="1145"/>
      <c r="C391" s="470"/>
      <c r="D391" s="1126"/>
      <c r="E391" s="875" t="s">
        <v>84</v>
      </c>
      <c r="F391" s="598">
        <v>7100</v>
      </c>
      <c r="G391" s="337">
        <v>7100</v>
      </c>
      <c r="H391" s="338"/>
      <c r="I391" s="473"/>
      <c r="J391" s="1903" t="s">
        <v>8</v>
      </c>
      <c r="K391" s="807"/>
      <c r="L391" s="807"/>
      <c r="M391" s="807"/>
      <c r="N391" s="646"/>
      <c r="O391" s="646"/>
      <c r="P391" s="646"/>
      <c r="Q391" s="650"/>
      <c r="R391" s="2262"/>
      <c r="S391" s="2262" t="s">
        <v>19</v>
      </c>
      <c r="T391" s="2288" t="s">
        <v>19</v>
      </c>
      <c r="U391" s="2288" t="s">
        <v>19</v>
      </c>
      <c r="V391" s="2288" t="s">
        <v>19</v>
      </c>
      <c r="W391" s="2288" t="s">
        <v>19</v>
      </c>
      <c r="X391" s="1140" t="s">
        <v>19</v>
      </c>
      <c r="Y391" s="874">
        <f t="shared" si="76"/>
        <v>7100</v>
      </c>
      <c r="Z391" s="1324">
        <f>SUM(Z392:Z395)</f>
        <v>7100000</v>
      </c>
      <c r="AA391" s="275"/>
      <c r="AB391" s="275"/>
      <c r="AC391" s="275"/>
      <c r="AD391" s="275"/>
      <c r="AE391" s="275"/>
      <c r="AF391" s="1675"/>
      <c r="AG391" s="1675"/>
    </row>
    <row r="392" spans="1:33" s="2278" customFormat="1" ht="22.5" customHeight="1">
      <c r="A392" s="2274"/>
      <c r="B392" s="1145"/>
      <c r="C392" s="470"/>
      <c r="D392" s="1126"/>
      <c r="E392" s="1126"/>
      <c r="F392" s="598"/>
      <c r="G392" s="337"/>
      <c r="H392" s="338"/>
      <c r="I392" s="473"/>
      <c r="J392" s="1903" t="s">
        <v>774</v>
      </c>
      <c r="K392" s="807"/>
      <c r="L392" s="807"/>
      <c r="M392" s="807"/>
      <c r="N392" s="646"/>
      <c r="O392" s="646"/>
      <c r="P392" s="646"/>
      <c r="Q392" s="650" t="s">
        <v>799</v>
      </c>
      <c r="R392" s="2262" t="s">
        <v>123</v>
      </c>
      <c r="S392" s="1672">
        <v>1500000</v>
      </c>
      <c r="T392" s="1671" t="s">
        <v>0</v>
      </c>
      <c r="U392" s="1671"/>
      <c r="V392" s="1671">
        <v>1</v>
      </c>
      <c r="W392" s="1671" t="s">
        <v>3</v>
      </c>
      <c r="X392" s="397" t="s">
        <v>1</v>
      </c>
      <c r="Y392" s="874">
        <f t="shared" si="76"/>
        <v>4500</v>
      </c>
      <c r="Z392" s="355">
        <f>Q392*S392*V392</f>
        <v>4500000</v>
      </c>
      <c r="AA392" s="275"/>
      <c r="AB392" s="275"/>
      <c r="AC392" s="275"/>
    </row>
    <row r="393" spans="1:33" s="2278" customFormat="1" ht="22.5" customHeight="1">
      <c r="A393" s="2274"/>
      <c r="B393" s="1145"/>
      <c r="C393" s="470"/>
      <c r="D393" s="470"/>
      <c r="E393" s="1126"/>
      <c r="F393" s="598"/>
      <c r="G393" s="337"/>
      <c r="H393" s="338"/>
      <c r="I393" s="473"/>
      <c r="J393" s="1903" t="s">
        <v>776</v>
      </c>
      <c r="K393" s="807"/>
      <c r="L393" s="807"/>
      <c r="M393" s="807"/>
      <c r="N393" s="646"/>
      <c r="O393" s="646"/>
      <c r="P393" s="646"/>
      <c r="Q393" s="1905">
        <v>3</v>
      </c>
      <c r="R393" s="2262" t="s">
        <v>123</v>
      </c>
      <c r="S393" s="1672">
        <v>150000</v>
      </c>
      <c r="T393" s="1671" t="s">
        <v>0</v>
      </c>
      <c r="U393" s="1671"/>
      <c r="V393" s="1671">
        <v>4</v>
      </c>
      <c r="W393" s="1671" t="s">
        <v>306</v>
      </c>
      <c r="X393" s="397" t="s">
        <v>1</v>
      </c>
      <c r="Y393" s="874">
        <f t="shared" si="76"/>
        <v>1800</v>
      </c>
      <c r="Z393" s="355">
        <f t="shared" ref="Z393:Z395" si="91">Q393*S393*V393</f>
        <v>1800000</v>
      </c>
      <c r="AA393" s="275"/>
      <c r="AB393" s="275"/>
      <c r="AC393" s="275"/>
    </row>
    <row r="394" spans="1:33" s="2278" customFormat="1" ht="22.5" customHeight="1">
      <c r="A394" s="2274"/>
      <c r="B394" s="1145"/>
      <c r="C394" s="470"/>
      <c r="D394" s="470"/>
      <c r="E394" s="1126"/>
      <c r="F394" s="598"/>
      <c r="G394" s="337"/>
      <c r="H394" s="338"/>
      <c r="I394" s="473"/>
      <c r="J394" s="1903" t="s">
        <v>777</v>
      </c>
      <c r="K394" s="807"/>
      <c r="L394" s="807"/>
      <c r="M394" s="807"/>
      <c r="N394" s="646"/>
      <c r="O394" s="646"/>
      <c r="P394" s="646"/>
      <c r="Q394" s="1905">
        <v>3</v>
      </c>
      <c r="R394" s="2262" t="s">
        <v>123</v>
      </c>
      <c r="S394" s="1672">
        <v>50000</v>
      </c>
      <c r="T394" s="1671" t="s">
        <v>0</v>
      </c>
      <c r="U394" s="1671"/>
      <c r="V394" s="1671">
        <v>4</v>
      </c>
      <c r="W394" s="1671" t="s">
        <v>60</v>
      </c>
      <c r="X394" s="397" t="s">
        <v>1</v>
      </c>
      <c r="Y394" s="874">
        <f t="shared" si="76"/>
        <v>600</v>
      </c>
      <c r="Z394" s="355">
        <f t="shared" si="91"/>
        <v>600000</v>
      </c>
      <c r="AA394" s="275"/>
      <c r="AB394" s="275"/>
      <c r="AC394" s="275"/>
    </row>
    <row r="395" spans="1:33" s="2278" customFormat="1" ht="22.5" customHeight="1">
      <c r="A395" s="2274"/>
      <c r="B395" s="1145"/>
      <c r="C395" s="470"/>
      <c r="D395" s="1126"/>
      <c r="E395" s="1126"/>
      <c r="F395" s="598"/>
      <c r="G395" s="337"/>
      <c r="H395" s="338"/>
      <c r="I395" s="473"/>
      <c r="J395" s="1903" t="s">
        <v>778</v>
      </c>
      <c r="K395" s="807"/>
      <c r="L395" s="807"/>
      <c r="M395" s="807"/>
      <c r="N395" s="646"/>
      <c r="O395" s="646"/>
      <c r="P395" s="646"/>
      <c r="Q395" s="1905">
        <v>2</v>
      </c>
      <c r="R395" s="2262" t="s">
        <v>123</v>
      </c>
      <c r="S395" s="1672">
        <v>25000</v>
      </c>
      <c r="T395" s="1671" t="s">
        <v>0</v>
      </c>
      <c r="U395" s="1671"/>
      <c r="V395" s="1671">
        <v>4</v>
      </c>
      <c r="W395" s="1671" t="s">
        <v>60</v>
      </c>
      <c r="X395" s="397" t="s">
        <v>1</v>
      </c>
      <c r="Y395" s="874">
        <f t="shared" ref="Y395:Y416" si="92">+Z395/1000</f>
        <v>200</v>
      </c>
      <c r="Z395" s="355">
        <f t="shared" si="91"/>
        <v>200000</v>
      </c>
      <c r="AA395" s="275"/>
      <c r="AB395" s="275"/>
      <c r="AC395" s="275"/>
    </row>
    <row r="396" spans="1:33" s="2278" customFormat="1" ht="22.5" customHeight="1">
      <c r="A396" s="2274"/>
      <c r="B396" s="1145"/>
      <c r="C396" s="470"/>
      <c r="D396" s="470"/>
      <c r="E396" s="1126" t="s">
        <v>52</v>
      </c>
      <c r="F396" s="598">
        <v>3800</v>
      </c>
      <c r="G396" s="337">
        <v>3800</v>
      </c>
      <c r="H396" s="338"/>
      <c r="I396" s="473"/>
      <c r="J396" s="1903" t="s">
        <v>8</v>
      </c>
      <c r="K396" s="807"/>
      <c r="L396" s="807"/>
      <c r="M396" s="807"/>
      <c r="N396" s="646"/>
      <c r="O396" s="646"/>
      <c r="P396" s="646"/>
      <c r="Q396" s="650"/>
      <c r="R396" s="2262"/>
      <c r="S396" s="2262" t="s">
        <v>19</v>
      </c>
      <c r="T396" s="2288" t="s">
        <v>19</v>
      </c>
      <c r="U396" s="2288" t="s">
        <v>19</v>
      </c>
      <c r="V396" s="2288" t="s">
        <v>19</v>
      </c>
      <c r="W396" s="2288" t="s">
        <v>19</v>
      </c>
      <c r="X396" s="1140" t="s">
        <v>19</v>
      </c>
      <c r="Y396" s="874">
        <f t="shared" si="92"/>
        <v>3800</v>
      </c>
      <c r="Z396" s="1324">
        <f>SUM(Z397:Z399)</f>
        <v>3800000</v>
      </c>
      <c r="AA396" s="275"/>
      <c r="AB396" s="275"/>
      <c r="AC396" s="275"/>
    </row>
    <row r="397" spans="1:33" s="2278" customFormat="1" ht="22.5" customHeight="1">
      <c r="A397" s="2274"/>
      <c r="B397" s="1145"/>
      <c r="C397" s="470"/>
      <c r="D397" s="470"/>
      <c r="E397" s="1126"/>
      <c r="F397" s="598"/>
      <c r="G397" s="337"/>
      <c r="H397" s="338"/>
      <c r="I397" s="473"/>
      <c r="J397" s="1903" t="s">
        <v>800</v>
      </c>
      <c r="K397" s="807"/>
      <c r="L397" s="807"/>
      <c r="M397" s="807"/>
      <c r="N397" s="646"/>
      <c r="O397" s="646"/>
      <c r="P397" s="646"/>
      <c r="Q397" s="1905"/>
      <c r="R397" s="2262"/>
      <c r="S397" s="1672">
        <v>50000</v>
      </c>
      <c r="T397" s="1671" t="s">
        <v>0</v>
      </c>
      <c r="U397" s="1671"/>
      <c r="V397" s="1671">
        <v>24</v>
      </c>
      <c r="W397" s="1671" t="s">
        <v>305</v>
      </c>
      <c r="X397" s="397" t="s">
        <v>1</v>
      </c>
      <c r="Y397" s="874">
        <f t="shared" si="92"/>
        <v>1200</v>
      </c>
      <c r="Z397" s="355">
        <f>S397*V397</f>
        <v>1200000</v>
      </c>
      <c r="AA397" s="275"/>
      <c r="AB397" s="275"/>
      <c r="AC397" s="275"/>
    </row>
    <row r="398" spans="1:33" s="2278" customFormat="1" ht="22.5" customHeight="1">
      <c r="A398" s="2274"/>
      <c r="B398" s="1145"/>
      <c r="C398" s="470"/>
      <c r="D398" s="470"/>
      <c r="E398" s="1126"/>
      <c r="F398" s="598"/>
      <c r="G398" s="337"/>
      <c r="H398" s="338"/>
      <c r="I398" s="473"/>
      <c r="J398" s="1903" t="s">
        <v>801</v>
      </c>
      <c r="K398" s="807"/>
      <c r="L398" s="807"/>
      <c r="M398" s="807"/>
      <c r="N398" s="646"/>
      <c r="O398" s="646"/>
      <c r="P398" s="646"/>
      <c r="Q398" s="1905"/>
      <c r="R398" s="2262"/>
      <c r="S398" s="1672">
        <v>30000</v>
      </c>
      <c r="T398" s="1671" t="s">
        <v>0</v>
      </c>
      <c r="U398" s="1671"/>
      <c r="V398" s="1671">
        <v>20</v>
      </c>
      <c r="W398" s="1671" t="s">
        <v>305</v>
      </c>
      <c r="X398" s="397" t="s">
        <v>1</v>
      </c>
      <c r="Y398" s="874">
        <f t="shared" si="92"/>
        <v>600</v>
      </c>
      <c r="Z398" s="355">
        <f t="shared" ref="Z398:Z408" si="93">S398*V398</f>
        <v>600000</v>
      </c>
      <c r="AA398" s="275"/>
      <c r="AB398" s="275"/>
      <c r="AC398" s="275"/>
    </row>
    <row r="399" spans="1:33" s="2278" customFormat="1" ht="22.5" customHeight="1">
      <c r="A399" s="2274"/>
      <c r="B399" s="1145"/>
      <c r="C399" s="470"/>
      <c r="D399" s="1126"/>
      <c r="E399" s="1126"/>
      <c r="F399" s="598"/>
      <c r="G399" s="337"/>
      <c r="H399" s="338"/>
      <c r="I399" s="473"/>
      <c r="J399" s="1903" t="s">
        <v>3676</v>
      </c>
      <c r="K399" s="807"/>
      <c r="L399" s="807"/>
      <c r="M399" s="807"/>
      <c r="N399" s="646"/>
      <c r="O399" s="646"/>
      <c r="P399" s="646"/>
      <c r="Q399" s="650"/>
      <c r="R399" s="2262"/>
      <c r="S399" s="1672">
        <v>1000000</v>
      </c>
      <c r="T399" s="1671" t="s">
        <v>0</v>
      </c>
      <c r="U399" s="1671"/>
      <c r="V399" s="1671">
        <v>2</v>
      </c>
      <c r="W399" s="1671" t="s">
        <v>69</v>
      </c>
      <c r="X399" s="397" t="s">
        <v>1</v>
      </c>
      <c r="Y399" s="874">
        <f t="shared" si="92"/>
        <v>2000</v>
      </c>
      <c r="Z399" s="355">
        <f t="shared" si="93"/>
        <v>2000000</v>
      </c>
      <c r="AA399" s="275"/>
      <c r="AB399" s="275"/>
      <c r="AC399" s="275"/>
    </row>
    <row r="400" spans="1:33" s="2278" customFormat="1" ht="22.5" customHeight="1">
      <c r="A400" s="2274"/>
      <c r="B400" s="1145"/>
      <c r="C400" s="470"/>
      <c r="D400" s="1126"/>
      <c r="E400" s="1126" t="s">
        <v>65</v>
      </c>
      <c r="F400" s="598">
        <v>52500</v>
      </c>
      <c r="G400" s="598">
        <v>52500</v>
      </c>
      <c r="H400" s="338"/>
      <c r="I400" s="473"/>
      <c r="J400" s="1903" t="s">
        <v>8</v>
      </c>
      <c r="K400" s="807"/>
      <c r="L400" s="807"/>
      <c r="M400" s="807"/>
      <c r="N400" s="646"/>
      <c r="O400" s="646"/>
      <c r="P400" s="646"/>
      <c r="Q400" s="650"/>
      <c r="R400" s="2262"/>
      <c r="S400" s="2262" t="s">
        <v>19</v>
      </c>
      <c r="T400" s="2288" t="s">
        <v>19</v>
      </c>
      <c r="U400" s="2288" t="s">
        <v>19</v>
      </c>
      <c r="V400" s="2288" t="s">
        <v>19</v>
      </c>
      <c r="W400" s="2288" t="s">
        <v>19</v>
      </c>
      <c r="X400" s="397"/>
      <c r="Y400" s="874">
        <f t="shared" si="92"/>
        <v>52500</v>
      </c>
      <c r="Z400" s="1324">
        <f>SUM(Z401:Z408)</f>
        <v>52500000</v>
      </c>
      <c r="AA400" s="275"/>
      <c r="AB400" s="275"/>
      <c r="AC400" s="275"/>
    </row>
    <row r="401" spans="1:29" s="2278" customFormat="1" ht="22.5" customHeight="1">
      <c r="A401" s="2274"/>
      <c r="B401" s="1145"/>
      <c r="C401" s="470"/>
      <c r="D401" s="470"/>
      <c r="E401" s="1126"/>
      <c r="F401" s="598"/>
      <c r="G401" s="337"/>
      <c r="H401" s="338"/>
      <c r="I401" s="473"/>
      <c r="J401" s="1903" t="s">
        <v>802</v>
      </c>
      <c r="K401" s="807"/>
      <c r="L401" s="807"/>
      <c r="M401" s="807"/>
      <c r="N401" s="646"/>
      <c r="O401" s="646"/>
      <c r="P401" s="646"/>
      <c r="Q401" s="650"/>
      <c r="R401" s="2262"/>
      <c r="S401" s="1672">
        <v>5000000</v>
      </c>
      <c r="T401" s="1671" t="s">
        <v>0</v>
      </c>
      <c r="U401" s="1671"/>
      <c r="V401" s="1671">
        <v>1</v>
      </c>
      <c r="W401" s="1671" t="s">
        <v>3</v>
      </c>
      <c r="X401" s="397" t="s">
        <v>1</v>
      </c>
      <c r="Y401" s="874">
        <f t="shared" si="92"/>
        <v>5000</v>
      </c>
      <c r="Z401" s="355">
        <f t="shared" si="93"/>
        <v>5000000</v>
      </c>
      <c r="AA401" s="275"/>
      <c r="AB401" s="275"/>
      <c r="AC401" s="275"/>
    </row>
    <row r="402" spans="1:29" s="2278" customFormat="1" ht="22.5" customHeight="1">
      <c r="A402" s="2274"/>
      <c r="B402" s="1145"/>
      <c r="C402" s="470"/>
      <c r="D402" s="470"/>
      <c r="E402" s="1126"/>
      <c r="F402" s="598"/>
      <c r="G402" s="337"/>
      <c r="H402" s="338"/>
      <c r="I402" s="473"/>
      <c r="J402" s="1903" t="s">
        <v>803</v>
      </c>
      <c r="K402" s="807"/>
      <c r="L402" s="807"/>
      <c r="M402" s="807"/>
      <c r="N402" s="646"/>
      <c r="O402" s="646"/>
      <c r="P402" s="646"/>
      <c r="Q402" s="650"/>
      <c r="R402" s="2262"/>
      <c r="S402" s="1672">
        <v>2000000</v>
      </c>
      <c r="T402" s="1671" t="s">
        <v>0</v>
      </c>
      <c r="U402" s="1671"/>
      <c r="V402" s="1671">
        <v>1</v>
      </c>
      <c r="W402" s="1671" t="s">
        <v>3</v>
      </c>
      <c r="X402" s="397" t="s">
        <v>1</v>
      </c>
      <c r="Y402" s="874">
        <f t="shared" si="92"/>
        <v>2000</v>
      </c>
      <c r="Z402" s="355">
        <f t="shared" si="93"/>
        <v>2000000</v>
      </c>
      <c r="AA402" s="275"/>
      <c r="AB402" s="275"/>
      <c r="AC402" s="275"/>
    </row>
    <row r="403" spans="1:29" ht="22.5" customHeight="1">
      <c r="A403" s="2274"/>
      <c r="B403" s="1145"/>
      <c r="C403" s="470"/>
      <c r="D403" s="470"/>
      <c r="E403" s="1126"/>
      <c r="F403" s="598"/>
      <c r="G403" s="337"/>
      <c r="H403" s="338"/>
      <c r="I403" s="473"/>
      <c r="J403" s="1903" t="s">
        <v>804</v>
      </c>
      <c r="K403" s="807"/>
      <c r="L403" s="807"/>
      <c r="M403" s="807"/>
      <c r="N403" s="646"/>
      <c r="O403" s="646"/>
      <c r="P403" s="646"/>
      <c r="Q403" s="650"/>
      <c r="R403" s="2262"/>
      <c r="S403" s="1672">
        <v>1500000</v>
      </c>
      <c r="T403" s="1671" t="s">
        <v>0</v>
      </c>
      <c r="U403" s="1671"/>
      <c r="V403" s="1671">
        <v>1</v>
      </c>
      <c r="W403" s="1671" t="s">
        <v>783</v>
      </c>
      <c r="X403" s="397" t="s">
        <v>1</v>
      </c>
      <c r="Y403" s="874">
        <f t="shared" si="92"/>
        <v>1500</v>
      </c>
      <c r="Z403" s="355">
        <f t="shared" si="93"/>
        <v>1500000</v>
      </c>
      <c r="AA403" s="275"/>
    </row>
    <row r="404" spans="1:29" ht="22.5" customHeight="1">
      <c r="A404" s="2274"/>
      <c r="B404" s="1145"/>
      <c r="C404" s="470"/>
      <c r="D404" s="470"/>
      <c r="E404" s="1126"/>
      <c r="F404" s="598"/>
      <c r="G404" s="337"/>
      <c r="H404" s="338"/>
      <c r="I404" s="473"/>
      <c r="J404" s="1903" t="s">
        <v>805</v>
      </c>
      <c r="K404" s="807"/>
      <c r="L404" s="807"/>
      <c r="M404" s="807"/>
      <c r="N404" s="646"/>
      <c r="O404" s="646"/>
      <c r="P404" s="646"/>
      <c r="Q404" s="650"/>
      <c r="R404" s="2262"/>
      <c r="S404" s="1672">
        <v>50000</v>
      </c>
      <c r="T404" s="1671" t="s">
        <v>0</v>
      </c>
      <c r="U404" s="1671"/>
      <c r="V404" s="1671">
        <v>30</v>
      </c>
      <c r="W404" s="1671" t="s">
        <v>315</v>
      </c>
      <c r="X404" s="397" t="s">
        <v>1</v>
      </c>
      <c r="Y404" s="874">
        <f t="shared" si="92"/>
        <v>1500</v>
      </c>
      <c r="Z404" s="355">
        <f t="shared" si="93"/>
        <v>1500000</v>
      </c>
      <c r="AA404" s="275"/>
    </row>
    <row r="405" spans="1:29" s="2278" customFormat="1" ht="22.5" customHeight="1">
      <c r="A405" s="2274"/>
      <c r="B405" s="1145"/>
      <c r="C405" s="470"/>
      <c r="D405" s="470"/>
      <c r="E405" s="1126"/>
      <c r="F405" s="598"/>
      <c r="G405" s="337"/>
      <c r="H405" s="338"/>
      <c r="I405" s="473"/>
      <c r="J405" s="1903" t="s">
        <v>806</v>
      </c>
      <c r="K405" s="807"/>
      <c r="L405" s="807"/>
      <c r="M405" s="807"/>
      <c r="N405" s="646"/>
      <c r="O405" s="646"/>
      <c r="P405" s="646"/>
      <c r="Q405" s="1905"/>
      <c r="R405" s="2262"/>
      <c r="S405" s="1672">
        <v>10000000</v>
      </c>
      <c r="T405" s="1671" t="s">
        <v>0</v>
      </c>
      <c r="U405" s="1671"/>
      <c r="V405" s="1671">
        <v>2</v>
      </c>
      <c r="W405" s="1671" t="s">
        <v>2</v>
      </c>
      <c r="X405" s="397" t="s">
        <v>1</v>
      </c>
      <c r="Y405" s="874">
        <f t="shared" si="92"/>
        <v>20000</v>
      </c>
      <c r="Z405" s="355">
        <f t="shared" si="93"/>
        <v>20000000</v>
      </c>
      <c r="AA405" s="275"/>
      <c r="AB405" s="275"/>
      <c r="AC405" s="275"/>
    </row>
    <row r="406" spans="1:29" ht="22.5" customHeight="1">
      <c r="A406" s="2274"/>
      <c r="B406" s="1145"/>
      <c r="C406" s="470"/>
      <c r="D406" s="470"/>
      <c r="E406" s="1126"/>
      <c r="F406" s="598"/>
      <c r="G406" s="337"/>
      <c r="H406" s="338"/>
      <c r="I406" s="473"/>
      <c r="J406" s="1903" t="s">
        <v>807</v>
      </c>
      <c r="K406" s="807"/>
      <c r="L406" s="807"/>
      <c r="M406" s="807"/>
      <c r="N406" s="646"/>
      <c r="O406" s="646"/>
      <c r="P406" s="646"/>
      <c r="Q406" s="650"/>
      <c r="R406" s="2262"/>
      <c r="S406" s="1672">
        <v>15000000</v>
      </c>
      <c r="T406" s="1671" t="s">
        <v>0</v>
      </c>
      <c r="U406" s="1671"/>
      <c r="V406" s="1671">
        <v>1</v>
      </c>
      <c r="W406" s="1671" t="s">
        <v>3</v>
      </c>
      <c r="X406" s="397" t="s">
        <v>1</v>
      </c>
      <c r="Y406" s="874">
        <f t="shared" si="92"/>
        <v>15000</v>
      </c>
      <c r="Z406" s="355">
        <f t="shared" si="93"/>
        <v>15000000</v>
      </c>
      <c r="AA406" s="275"/>
    </row>
    <row r="407" spans="1:29" ht="22.5" customHeight="1">
      <c r="A407" s="2274"/>
      <c r="B407" s="1145"/>
      <c r="C407" s="470"/>
      <c r="D407" s="470"/>
      <c r="E407" s="1126"/>
      <c r="F407" s="598"/>
      <c r="G407" s="337"/>
      <c r="H407" s="338"/>
      <c r="I407" s="473"/>
      <c r="J407" s="1903" t="s">
        <v>808</v>
      </c>
      <c r="K407" s="807"/>
      <c r="L407" s="807"/>
      <c r="M407" s="807"/>
      <c r="N407" s="646"/>
      <c r="O407" s="646"/>
      <c r="P407" s="646"/>
      <c r="Q407" s="650"/>
      <c r="R407" s="2262"/>
      <c r="S407" s="1672">
        <v>2500000</v>
      </c>
      <c r="T407" s="1671" t="s">
        <v>0</v>
      </c>
      <c r="U407" s="1671"/>
      <c r="V407" s="1671">
        <v>1</v>
      </c>
      <c r="W407" s="1671" t="s">
        <v>3</v>
      </c>
      <c r="X407" s="397" t="s">
        <v>1</v>
      </c>
      <c r="Y407" s="874">
        <f t="shared" si="92"/>
        <v>2500</v>
      </c>
      <c r="Z407" s="355">
        <f t="shared" si="93"/>
        <v>2500000</v>
      </c>
      <c r="AA407" s="275"/>
    </row>
    <row r="408" spans="1:29" ht="22.5" customHeight="1">
      <c r="A408" s="2274"/>
      <c r="B408" s="1145"/>
      <c r="C408" s="470"/>
      <c r="D408" s="470"/>
      <c r="E408" s="1126"/>
      <c r="F408" s="598"/>
      <c r="G408" s="337"/>
      <c r="H408" s="338"/>
      <c r="I408" s="473"/>
      <c r="J408" s="1903" t="s">
        <v>809</v>
      </c>
      <c r="K408" s="807"/>
      <c r="L408" s="807"/>
      <c r="M408" s="807"/>
      <c r="N408" s="646"/>
      <c r="O408" s="646"/>
      <c r="P408" s="646"/>
      <c r="Q408" s="650"/>
      <c r="R408" s="2262"/>
      <c r="S408" s="1672">
        <v>5000000</v>
      </c>
      <c r="T408" s="1671" t="s">
        <v>0</v>
      </c>
      <c r="U408" s="1671"/>
      <c r="V408" s="1671">
        <v>1</v>
      </c>
      <c r="W408" s="1671" t="s">
        <v>6</v>
      </c>
      <c r="X408" s="397" t="s">
        <v>1</v>
      </c>
      <c r="Y408" s="874">
        <f t="shared" si="92"/>
        <v>5000</v>
      </c>
      <c r="Z408" s="355">
        <f t="shared" si="93"/>
        <v>5000000</v>
      </c>
      <c r="AA408" s="275"/>
    </row>
    <row r="409" spans="1:29" ht="22.5" customHeight="1">
      <c r="A409" s="2274"/>
      <c r="B409" s="1145"/>
      <c r="C409" s="470"/>
      <c r="D409" s="470"/>
      <c r="E409" s="1126" t="s">
        <v>64</v>
      </c>
      <c r="F409" s="598">
        <v>1900</v>
      </c>
      <c r="G409" s="337">
        <v>1900</v>
      </c>
      <c r="H409" s="338"/>
      <c r="I409" s="473"/>
      <c r="J409" s="1903" t="s">
        <v>8</v>
      </c>
      <c r="K409" s="807"/>
      <c r="L409" s="807"/>
      <c r="M409" s="807"/>
      <c r="N409" s="646"/>
      <c r="O409" s="1905"/>
      <c r="P409" s="2262"/>
      <c r="Q409" s="1905"/>
      <c r="R409" s="2262"/>
      <c r="S409" s="1672"/>
      <c r="T409" s="1671"/>
      <c r="U409" s="1671"/>
      <c r="V409" s="1671"/>
      <c r="W409" s="1671"/>
      <c r="X409" s="397"/>
      <c r="Y409" s="874">
        <f t="shared" si="92"/>
        <v>1900</v>
      </c>
      <c r="Z409" s="355">
        <f>SUM(Z410:Z411)</f>
        <v>1900000</v>
      </c>
      <c r="AA409" s="275"/>
    </row>
    <row r="410" spans="1:29" s="2278" customFormat="1" ht="22.5" customHeight="1">
      <c r="A410" s="2274"/>
      <c r="B410" s="1145"/>
      <c r="C410" s="470"/>
      <c r="D410" s="470"/>
      <c r="E410" s="1126"/>
      <c r="F410" s="598"/>
      <c r="G410" s="337"/>
      <c r="H410" s="338"/>
      <c r="I410" s="473"/>
      <c r="J410" s="1903" t="s">
        <v>811</v>
      </c>
      <c r="K410" s="807"/>
      <c r="L410" s="807"/>
      <c r="M410" s="807"/>
      <c r="N410" s="646"/>
      <c r="O410" s="1905"/>
      <c r="P410" s="2262"/>
      <c r="Q410" s="1905">
        <v>1</v>
      </c>
      <c r="R410" s="2262" t="s">
        <v>29</v>
      </c>
      <c r="S410" s="1672">
        <v>450000</v>
      </c>
      <c r="T410" s="1671" t="s">
        <v>0</v>
      </c>
      <c r="U410" s="1671"/>
      <c r="V410" s="1671">
        <v>2</v>
      </c>
      <c r="W410" s="1671" t="s">
        <v>3</v>
      </c>
      <c r="X410" s="397" t="s">
        <v>1</v>
      </c>
      <c r="Y410" s="874">
        <f t="shared" si="92"/>
        <v>900</v>
      </c>
      <c r="Z410" s="355">
        <f t="shared" ref="Z410:Z416" si="94">Q410*S410*V410</f>
        <v>900000</v>
      </c>
      <c r="AA410" s="275"/>
      <c r="AB410" s="275"/>
      <c r="AC410" s="275"/>
    </row>
    <row r="411" spans="1:29" ht="22.5" customHeight="1">
      <c r="A411" s="2274"/>
      <c r="B411" s="1145"/>
      <c r="C411" s="470"/>
      <c r="D411" s="470"/>
      <c r="E411" s="1126"/>
      <c r="F411" s="598"/>
      <c r="G411" s="337"/>
      <c r="H411" s="338"/>
      <c r="I411" s="473" t="s">
        <v>19</v>
      </c>
      <c r="J411" s="1903" t="s">
        <v>812</v>
      </c>
      <c r="K411" s="807"/>
      <c r="L411" s="807"/>
      <c r="M411" s="807"/>
      <c r="N411" s="646"/>
      <c r="O411" s="1905"/>
      <c r="P411" s="2262"/>
      <c r="Q411" s="1905"/>
      <c r="R411" s="2262"/>
      <c r="S411" s="1672">
        <v>1000000</v>
      </c>
      <c r="T411" s="1671" t="s">
        <v>0</v>
      </c>
      <c r="U411" s="1671"/>
      <c r="V411" s="1671">
        <v>1</v>
      </c>
      <c r="W411" s="1671" t="s">
        <v>3</v>
      </c>
      <c r="X411" s="397" t="s">
        <v>1</v>
      </c>
      <c r="Y411" s="874">
        <f t="shared" si="92"/>
        <v>1000</v>
      </c>
      <c r="Z411" s="355">
        <f>S411*V411</f>
        <v>1000000</v>
      </c>
      <c r="AA411" s="275"/>
    </row>
    <row r="412" spans="1:29" ht="21" customHeight="1">
      <c r="A412" s="2274"/>
      <c r="B412" s="1145"/>
      <c r="C412" s="470"/>
      <c r="D412" s="1126"/>
      <c r="E412" s="470" t="s">
        <v>54</v>
      </c>
      <c r="F412" s="598">
        <v>1000</v>
      </c>
      <c r="G412" s="337">
        <v>1000</v>
      </c>
      <c r="H412" s="338"/>
      <c r="I412" s="473"/>
      <c r="J412" s="1903" t="s">
        <v>3671</v>
      </c>
      <c r="K412" s="807"/>
      <c r="L412" s="807"/>
      <c r="M412" s="807"/>
      <c r="N412" s="646"/>
      <c r="O412" s="646"/>
      <c r="P412" s="646"/>
      <c r="Q412" s="1905">
        <v>1000</v>
      </c>
      <c r="R412" s="2262" t="s">
        <v>124</v>
      </c>
      <c r="S412" s="1672">
        <v>1000</v>
      </c>
      <c r="T412" s="1671" t="s">
        <v>0</v>
      </c>
      <c r="U412" s="1671"/>
      <c r="V412" s="1671">
        <v>1</v>
      </c>
      <c r="W412" s="1671" t="s">
        <v>3</v>
      </c>
      <c r="X412" s="397" t="s">
        <v>1</v>
      </c>
      <c r="Y412" s="874">
        <f t="shared" si="92"/>
        <v>1000</v>
      </c>
      <c r="Z412" s="355">
        <f t="shared" si="94"/>
        <v>1000000</v>
      </c>
      <c r="AA412" s="275"/>
    </row>
    <row r="413" spans="1:29" ht="21" customHeight="1">
      <c r="A413" s="2274"/>
      <c r="B413" s="1145"/>
      <c r="C413" s="470"/>
      <c r="D413" s="1126"/>
      <c r="E413" s="1126" t="s">
        <v>56</v>
      </c>
      <c r="F413" s="598">
        <v>1300</v>
      </c>
      <c r="G413" s="337">
        <v>1300</v>
      </c>
      <c r="H413" s="338"/>
      <c r="I413" s="473"/>
      <c r="J413" s="1903" t="s">
        <v>8</v>
      </c>
      <c r="K413" s="807"/>
      <c r="L413" s="807"/>
      <c r="M413" s="807"/>
      <c r="N413" s="646"/>
      <c r="O413" s="646"/>
      <c r="P413" s="646"/>
      <c r="Q413" s="1905"/>
      <c r="R413" s="2262"/>
      <c r="S413" s="1672"/>
      <c r="T413" s="1671"/>
      <c r="U413" s="1671"/>
      <c r="V413" s="1671"/>
      <c r="W413" s="1671"/>
      <c r="X413" s="397"/>
      <c r="Y413" s="874">
        <f t="shared" si="92"/>
        <v>1300</v>
      </c>
      <c r="Z413" s="355">
        <v>1300000</v>
      </c>
      <c r="AA413" s="275"/>
    </row>
    <row r="414" spans="1:29" ht="21" customHeight="1">
      <c r="A414" s="2274"/>
      <c r="B414" s="1145"/>
      <c r="C414" s="2278"/>
      <c r="D414" s="1126"/>
      <c r="E414" s="470"/>
      <c r="F414" s="598"/>
      <c r="G414" s="337"/>
      <c r="H414" s="338"/>
      <c r="I414" s="473"/>
      <c r="J414" s="1903" t="s">
        <v>3677</v>
      </c>
      <c r="K414" s="807"/>
      <c r="L414" s="807"/>
      <c r="M414" s="807"/>
      <c r="N414" s="646"/>
      <c r="O414" s="646"/>
      <c r="P414" s="646"/>
      <c r="Q414" s="1905">
        <v>100</v>
      </c>
      <c r="R414" s="2262" t="s">
        <v>123</v>
      </c>
      <c r="S414" s="1672">
        <v>10000</v>
      </c>
      <c r="T414" s="1671" t="s">
        <v>0</v>
      </c>
      <c r="U414" s="1671"/>
      <c r="V414" s="1671">
        <v>1</v>
      </c>
      <c r="W414" s="1671" t="s">
        <v>3</v>
      </c>
      <c r="X414" s="397" t="s">
        <v>1</v>
      </c>
      <c r="Y414" s="874">
        <f t="shared" si="92"/>
        <v>1000</v>
      </c>
      <c r="Z414" s="355">
        <f t="shared" si="94"/>
        <v>1000000</v>
      </c>
      <c r="AA414" s="275"/>
    </row>
    <row r="415" spans="1:29" s="2278" customFormat="1" ht="21" customHeight="1">
      <c r="A415" s="2274"/>
      <c r="B415" s="1145"/>
      <c r="D415" s="1126"/>
      <c r="E415" s="470"/>
      <c r="F415" s="598"/>
      <c r="G415" s="337"/>
      <c r="H415" s="338"/>
      <c r="I415" s="473"/>
      <c r="J415" s="1903" t="s">
        <v>3678</v>
      </c>
      <c r="K415" s="807"/>
      <c r="L415" s="807"/>
      <c r="M415" s="807"/>
      <c r="N415" s="646"/>
      <c r="O415" s="646"/>
      <c r="P415" s="646"/>
      <c r="Q415" s="1905">
        <v>30</v>
      </c>
      <c r="R415" s="2262" t="s">
        <v>123</v>
      </c>
      <c r="S415" s="1672">
        <v>10000</v>
      </c>
      <c r="T415" s="1671" t="s">
        <v>0</v>
      </c>
      <c r="U415" s="1671"/>
      <c r="V415" s="1671">
        <v>1</v>
      </c>
      <c r="W415" s="1671" t="s">
        <v>3</v>
      </c>
      <c r="X415" s="397" t="s">
        <v>1</v>
      </c>
      <c r="Y415" s="874">
        <f t="shared" si="92"/>
        <v>300</v>
      </c>
      <c r="Z415" s="355">
        <f t="shared" si="94"/>
        <v>300000</v>
      </c>
      <c r="AA415" s="275"/>
      <c r="AB415" s="275"/>
      <c r="AC415" s="275"/>
    </row>
    <row r="416" spans="1:29" s="2278" customFormat="1" ht="21" customHeight="1">
      <c r="A416" s="2274"/>
      <c r="B416" s="1145"/>
      <c r="D416" s="359"/>
      <c r="E416" s="2280" t="s">
        <v>55</v>
      </c>
      <c r="F416" s="597">
        <v>500</v>
      </c>
      <c r="G416" s="360">
        <v>500</v>
      </c>
      <c r="H416" s="361"/>
      <c r="I416" s="473"/>
      <c r="J416" s="1906" t="s">
        <v>810</v>
      </c>
      <c r="K416" s="1907"/>
      <c r="L416" s="1907"/>
      <c r="M416" s="1907"/>
      <c r="N416" s="1908"/>
      <c r="O416" s="1908"/>
      <c r="P416" s="1908"/>
      <c r="Q416" s="1909">
        <v>5</v>
      </c>
      <c r="R416" s="457" t="s">
        <v>123</v>
      </c>
      <c r="S416" s="458">
        <v>10000</v>
      </c>
      <c r="T416" s="371" t="s">
        <v>0</v>
      </c>
      <c r="U416" s="371"/>
      <c r="V416" s="371">
        <v>10</v>
      </c>
      <c r="W416" s="371" t="s">
        <v>3</v>
      </c>
      <c r="X416" s="426" t="s">
        <v>1</v>
      </c>
      <c r="Y416" s="1910">
        <f t="shared" si="92"/>
        <v>500</v>
      </c>
      <c r="Z416" s="355">
        <f t="shared" si="94"/>
        <v>500000</v>
      </c>
      <c r="AA416" s="275"/>
      <c r="AB416" s="275"/>
      <c r="AC416" s="275"/>
    </row>
    <row r="417" spans="1:29" s="2305" customFormat="1" ht="21" customHeight="1">
      <c r="A417" s="2303"/>
      <c r="B417" s="1145"/>
      <c r="D417" s="3358" t="s">
        <v>3307</v>
      </c>
      <c r="E417" s="3359"/>
      <c r="F417" s="702">
        <f>SUM(F418:F448)</f>
        <v>194000</v>
      </c>
      <c r="G417" s="702">
        <f>SUM(G418:G448)</f>
        <v>174000</v>
      </c>
      <c r="H417" s="689">
        <f>F417-G417</f>
        <v>20000</v>
      </c>
      <c r="I417" s="533"/>
      <c r="J417" s="2416"/>
      <c r="K417" s="2417"/>
      <c r="L417" s="2417"/>
      <c r="M417" s="2417"/>
      <c r="N417" s="2418"/>
      <c r="O417" s="2418"/>
      <c r="P417" s="2418"/>
      <c r="Q417" s="2419"/>
      <c r="R417" s="2386"/>
      <c r="S417" s="710"/>
      <c r="T417" s="709"/>
      <c r="U417" s="709"/>
      <c r="V417" s="709"/>
      <c r="W417" s="709"/>
      <c r="X417" s="725"/>
      <c r="Y417" s="2420"/>
      <c r="Z417" s="712"/>
      <c r="AA417" s="275"/>
      <c r="AB417" s="275"/>
      <c r="AC417" s="275"/>
    </row>
    <row r="418" spans="1:29" s="2305" customFormat="1" ht="21" customHeight="1">
      <c r="A418" s="2303"/>
      <c r="B418" s="1145"/>
      <c r="D418" s="2843"/>
      <c r="E418" s="508" t="s">
        <v>74</v>
      </c>
      <c r="F418" s="697">
        <f>Y418</f>
        <v>10000</v>
      </c>
      <c r="G418" s="767">
        <v>10000</v>
      </c>
      <c r="H418" s="2382"/>
      <c r="I418" s="533"/>
      <c r="J418" s="698" t="s">
        <v>4966</v>
      </c>
      <c r="K418" s="2391"/>
      <c r="L418" s="2391"/>
      <c r="M418" s="2391"/>
      <c r="N418" s="2392"/>
      <c r="O418" s="2392"/>
      <c r="P418" s="2392"/>
      <c r="Q418" s="2421" t="s">
        <v>4967</v>
      </c>
      <c r="R418" s="1685" t="s">
        <v>123</v>
      </c>
      <c r="S418" s="1686">
        <v>2500000</v>
      </c>
      <c r="T418" s="1685" t="s">
        <v>0</v>
      </c>
      <c r="U418" s="1685"/>
      <c r="V418" s="1685">
        <v>4</v>
      </c>
      <c r="W418" s="1685" t="s">
        <v>4944</v>
      </c>
      <c r="X418" s="1687" t="s">
        <v>1</v>
      </c>
      <c r="Y418" s="2394">
        <f t="shared" ref="Y418:Y448" si="95">+Z418/1000</f>
        <v>10000</v>
      </c>
      <c r="Z418" s="637">
        <f>Q418*S418*V418</f>
        <v>10000000</v>
      </c>
      <c r="AA418" s="275"/>
      <c r="AB418" s="275"/>
      <c r="AC418" s="275"/>
    </row>
    <row r="419" spans="1:29" s="2305" customFormat="1" ht="21" customHeight="1">
      <c r="A419" s="2303"/>
      <c r="B419" s="1145"/>
      <c r="D419" s="508"/>
      <c r="E419" s="508" t="s">
        <v>4968</v>
      </c>
      <c r="F419" s="697">
        <f>Y419</f>
        <v>5000</v>
      </c>
      <c r="G419" s="767">
        <v>5000</v>
      </c>
      <c r="H419" s="2382"/>
      <c r="I419" s="533"/>
      <c r="J419" s="2390" t="s">
        <v>4969</v>
      </c>
      <c r="K419" s="2391"/>
      <c r="L419" s="2391"/>
      <c r="M419" s="2391"/>
      <c r="N419" s="2392"/>
      <c r="O419" s="2392"/>
      <c r="P419" s="2392"/>
      <c r="Q419" s="727"/>
      <c r="R419" s="2790"/>
      <c r="S419" s="1686">
        <v>5000000</v>
      </c>
      <c r="T419" s="1685" t="s">
        <v>0</v>
      </c>
      <c r="U419" s="1685"/>
      <c r="V419" s="1685">
        <v>1</v>
      </c>
      <c r="W419" s="1685" t="s">
        <v>4970</v>
      </c>
      <c r="X419" s="1687" t="s">
        <v>1</v>
      </c>
      <c r="Y419" s="2394">
        <f t="shared" ref="Y419:Y420" si="96">+Z419/1000</f>
        <v>5000</v>
      </c>
      <c r="Z419" s="637">
        <f t="shared" ref="Z419" si="97">S419*V419</f>
        <v>5000000</v>
      </c>
      <c r="AA419" s="275"/>
      <c r="AB419" s="275"/>
      <c r="AC419" s="275"/>
    </row>
    <row r="420" spans="1:29" s="2305" customFormat="1" ht="21" customHeight="1">
      <c r="A420" s="2303"/>
      <c r="B420" s="1145"/>
      <c r="D420" s="508"/>
      <c r="E420" s="508" t="s">
        <v>51</v>
      </c>
      <c r="F420" s="697">
        <f>Y420</f>
        <v>10000</v>
      </c>
      <c r="G420" s="767">
        <v>10000</v>
      </c>
      <c r="H420" s="2382"/>
      <c r="I420" s="533"/>
      <c r="J420" s="2390" t="s">
        <v>4971</v>
      </c>
      <c r="K420" s="2391"/>
      <c r="L420" s="2391"/>
      <c r="M420" s="2391"/>
      <c r="N420" s="2392"/>
      <c r="O420" s="2392"/>
      <c r="P420" s="2392"/>
      <c r="Q420" s="727">
        <v>2000</v>
      </c>
      <c r="R420" s="2790" t="s">
        <v>66</v>
      </c>
      <c r="S420" s="1686">
        <v>5000</v>
      </c>
      <c r="T420" s="1685" t="s">
        <v>0</v>
      </c>
      <c r="U420" s="1685"/>
      <c r="V420" s="1685">
        <v>1</v>
      </c>
      <c r="W420" s="1685" t="s">
        <v>3</v>
      </c>
      <c r="X420" s="1687" t="s">
        <v>1</v>
      </c>
      <c r="Y420" s="2394">
        <f t="shared" si="96"/>
        <v>10000</v>
      </c>
      <c r="Z420" s="637">
        <f t="shared" ref="Z420" si="98">Q420*S420*V420</f>
        <v>10000000</v>
      </c>
      <c r="AA420" s="275"/>
      <c r="AB420" s="275"/>
      <c r="AC420" s="275"/>
    </row>
    <row r="421" spans="1:29" s="2305" customFormat="1" ht="21" customHeight="1">
      <c r="A421" s="2303"/>
      <c r="B421" s="1145"/>
      <c r="D421" s="508"/>
      <c r="E421" s="2422" t="s">
        <v>24</v>
      </c>
      <c r="F421" s="697">
        <f t="shared" ref="F421:F422" si="99">Y421</f>
        <v>2000</v>
      </c>
      <c r="G421" s="767">
        <v>2000</v>
      </c>
      <c r="H421" s="2382"/>
      <c r="I421" s="533"/>
      <c r="J421" s="2390" t="s">
        <v>4972</v>
      </c>
      <c r="K421" s="2391"/>
      <c r="L421" s="2391"/>
      <c r="M421" s="2391"/>
      <c r="N421" s="2392"/>
      <c r="O421" s="2392"/>
      <c r="P421" s="2392"/>
      <c r="Q421" s="2393"/>
      <c r="R421" s="2790"/>
      <c r="S421" s="1686">
        <v>2000000</v>
      </c>
      <c r="T421" s="1685" t="s">
        <v>0</v>
      </c>
      <c r="U421" s="1685"/>
      <c r="V421" s="1685">
        <v>1</v>
      </c>
      <c r="W421" s="1685" t="s">
        <v>3</v>
      </c>
      <c r="X421" s="1687" t="s">
        <v>1</v>
      </c>
      <c r="Y421" s="2394">
        <f t="shared" si="95"/>
        <v>2000</v>
      </c>
      <c r="Z421" s="637">
        <f>S421*V421</f>
        <v>2000000</v>
      </c>
      <c r="AA421" s="275"/>
      <c r="AB421" s="275"/>
      <c r="AC421" s="275"/>
    </row>
    <row r="422" spans="1:29" s="2305" customFormat="1" ht="21" customHeight="1">
      <c r="A422" s="2303"/>
      <c r="B422" s="1145"/>
      <c r="D422" s="508"/>
      <c r="E422" s="508" t="s">
        <v>73</v>
      </c>
      <c r="F422" s="697">
        <f t="shared" si="99"/>
        <v>2950</v>
      </c>
      <c r="G422" s="767">
        <v>2950</v>
      </c>
      <c r="H422" s="2382"/>
      <c r="I422" s="533"/>
      <c r="J422" s="2390" t="s">
        <v>4973</v>
      </c>
      <c r="K422" s="2391"/>
      <c r="L422" s="2391"/>
      <c r="M422" s="2391"/>
      <c r="N422" s="2392"/>
      <c r="O422" s="2392"/>
      <c r="P422" s="2392"/>
      <c r="Q422" s="727"/>
      <c r="R422" s="2790"/>
      <c r="S422" s="1686">
        <v>2950000</v>
      </c>
      <c r="T422" s="1685" t="s">
        <v>0</v>
      </c>
      <c r="U422" s="1685"/>
      <c r="V422" s="1685">
        <v>1</v>
      </c>
      <c r="W422" s="1685" t="s">
        <v>4974</v>
      </c>
      <c r="X422" s="1687" t="s">
        <v>1</v>
      </c>
      <c r="Y422" s="2394">
        <f t="shared" ref="Y422" si="100">+Z422/1000</f>
        <v>2950</v>
      </c>
      <c r="Z422" s="637">
        <f>S422*V422</f>
        <v>2950000</v>
      </c>
      <c r="AA422" s="275"/>
      <c r="AB422" s="275"/>
      <c r="AC422" s="275"/>
    </row>
    <row r="423" spans="1:29" s="2305" customFormat="1" ht="21" customHeight="1">
      <c r="A423" s="2303"/>
      <c r="B423" s="1145"/>
      <c r="D423" s="508"/>
      <c r="E423" s="2388" t="s">
        <v>84</v>
      </c>
      <c r="F423" s="697">
        <f>Y423</f>
        <v>7050</v>
      </c>
      <c r="G423" s="767">
        <v>7050</v>
      </c>
      <c r="H423" s="2382"/>
      <c r="I423" s="533"/>
      <c r="J423" s="2390" t="s">
        <v>8</v>
      </c>
      <c r="K423" s="2391"/>
      <c r="L423" s="2391"/>
      <c r="M423" s="2391"/>
      <c r="N423" s="2392"/>
      <c r="O423" s="2392"/>
      <c r="P423" s="2392"/>
      <c r="Q423" s="2393"/>
      <c r="R423" s="2790"/>
      <c r="S423" s="2790" t="s">
        <v>19</v>
      </c>
      <c r="T423" s="516" t="s">
        <v>19</v>
      </c>
      <c r="U423" s="516" t="s">
        <v>19</v>
      </c>
      <c r="V423" s="516" t="s">
        <v>19</v>
      </c>
      <c r="W423" s="516" t="s">
        <v>19</v>
      </c>
      <c r="X423" s="517" t="s">
        <v>19</v>
      </c>
      <c r="Y423" s="2394">
        <f t="shared" si="95"/>
        <v>7050</v>
      </c>
      <c r="Z423" s="2372">
        <f>SUM(Z424:Z426)</f>
        <v>7050000</v>
      </c>
      <c r="AA423" s="275"/>
      <c r="AB423" s="275"/>
      <c r="AC423" s="275"/>
    </row>
    <row r="424" spans="1:29" s="2305" customFormat="1" ht="22.5" customHeight="1">
      <c r="A424" s="2303"/>
      <c r="B424" s="1145"/>
      <c r="D424" s="508"/>
      <c r="E424" s="508"/>
      <c r="F424" s="697"/>
      <c r="G424" s="767"/>
      <c r="H424" s="2382"/>
      <c r="I424" s="533"/>
      <c r="J424" s="2390" t="s">
        <v>4975</v>
      </c>
      <c r="K424" s="2391"/>
      <c r="L424" s="2391"/>
      <c r="M424" s="2391"/>
      <c r="N424" s="2392"/>
      <c r="O424" s="2392"/>
      <c r="P424" s="2392"/>
      <c r="Q424" s="2393" t="s">
        <v>4976</v>
      </c>
      <c r="R424" s="2790" t="s">
        <v>123</v>
      </c>
      <c r="S424" s="1686">
        <v>1500000</v>
      </c>
      <c r="T424" s="1685" t="s">
        <v>0</v>
      </c>
      <c r="U424" s="1685"/>
      <c r="V424" s="1685">
        <v>1</v>
      </c>
      <c r="W424" s="1685" t="s">
        <v>3</v>
      </c>
      <c r="X424" s="1687" t="s">
        <v>1</v>
      </c>
      <c r="Y424" s="2394">
        <f t="shared" si="95"/>
        <v>4500</v>
      </c>
      <c r="Z424" s="637">
        <f>Q424*S424*V424</f>
        <v>4500000</v>
      </c>
      <c r="AA424" s="275"/>
      <c r="AB424" s="275"/>
      <c r="AC424" s="275"/>
    </row>
    <row r="425" spans="1:29" s="2305" customFormat="1" ht="22.5" customHeight="1">
      <c r="A425" s="2303"/>
      <c r="B425" s="1145"/>
      <c r="D425" s="508"/>
      <c r="E425" s="508"/>
      <c r="F425" s="697"/>
      <c r="G425" s="767"/>
      <c r="H425" s="2382"/>
      <c r="I425" s="533"/>
      <c r="J425" s="2390" t="s">
        <v>4977</v>
      </c>
      <c r="K425" s="2391"/>
      <c r="L425" s="2391"/>
      <c r="M425" s="2391"/>
      <c r="N425" s="2392"/>
      <c r="O425" s="2392"/>
      <c r="P425" s="2392"/>
      <c r="Q425" s="2395">
        <v>3</v>
      </c>
      <c r="R425" s="2790" t="s">
        <v>123</v>
      </c>
      <c r="S425" s="1686">
        <v>150000</v>
      </c>
      <c r="T425" s="1685" t="s">
        <v>0</v>
      </c>
      <c r="U425" s="1685"/>
      <c r="V425" s="1685">
        <v>4</v>
      </c>
      <c r="W425" s="1685" t="s">
        <v>306</v>
      </c>
      <c r="X425" s="1687" t="s">
        <v>1</v>
      </c>
      <c r="Y425" s="2394">
        <f t="shared" si="95"/>
        <v>1800</v>
      </c>
      <c r="Z425" s="637">
        <f t="shared" ref="Z425:Z426" si="101">Q425*S425*V425</f>
        <v>1800000</v>
      </c>
      <c r="AA425" s="275"/>
      <c r="AB425" s="275"/>
      <c r="AC425" s="275"/>
    </row>
    <row r="426" spans="1:29" s="2305" customFormat="1" ht="22.5" customHeight="1">
      <c r="A426" s="2303"/>
      <c r="B426" s="1145"/>
      <c r="D426" s="508"/>
      <c r="E426" s="508"/>
      <c r="F426" s="697"/>
      <c r="G426" s="767"/>
      <c r="H426" s="2382"/>
      <c r="I426" s="533"/>
      <c r="J426" s="2390" t="s">
        <v>4978</v>
      </c>
      <c r="K426" s="2391"/>
      <c r="L426" s="2391"/>
      <c r="M426" s="2391"/>
      <c r="N426" s="2392"/>
      <c r="O426" s="2392"/>
      <c r="P426" s="2392"/>
      <c r="Q426" s="2395">
        <v>3</v>
      </c>
      <c r="R426" s="2790" t="s">
        <v>123</v>
      </c>
      <c r="S426" s="1686">
        <v>50000</v>
      </c>
      <c r="T426" s="1685" t="s">
        <v>0</v>
      </c>
      <c r="U426" s="1685"/>
      <c r="V426" s="1685">
        <v>5</v>
      </c>
      <c r="W426" s="1685" t="s">
        <v>60</v>
      </c>
      <c r="X426" s="1687" t="s">
        <v>1</v>
      </c>
      <c r="Y426" s="2394">
        <f t="shared" si="95"/>
        <v>750</v>
      </c>
      <c r="Z426" s="637">
        <f t="shared" si="101"/>
        <v>750000</v>
      </c>
      <c r="AA426" s="275"/>
      <c r="AB426" s="275"/>
      <c r="AC426" s="275"/>
    </row>
    <row r="427" spans="1:29" s="2305" customFormat="1" ht="22.5" customHeight="1">
      <c r="A427" s="2303"/>
      <c r="B427" s="1145"/>
      <c r="D427" s="508"/>
      <c r="E427" s="508" t="s">
        <v>52</v>
      </c>
      <c r="F427" s="697">
        <f>Y427</f>
        <v>38000</v>
      </c>
      <c r="G427" s="767">
        <v>27000</v>
      </c>
      <c r="H427" s="2382">
        <f>F427-G427</f>
        <v>11000</v>
      </c>
      <c r="I427" s="533"/>
      <c r="J427" s="2390" t="s">
        <v>8</v>
      </c>
      <c r="K427" s="2391"/>
      <c r="L427" s="2391"/>
      <c r="M427" s="2391"/>
      <c r="N427" s="2392"/>
      <c r="O427" s="2392"/>
      <c r="P427" s="2392"/>
      <c r="Q427" s="2393"/>
      <c r="R427" s="2790"/>
      <c r="S427" s="2790" t="s">
        <v>19</v>
      </c>
      <c r="T427" s="516" t="s">
        <v>19</v>
      </c>
      <c r="U427" s="516" t="s">
        <v>19</v>
      </c>
      <c r="V427" s="516" t="s">
        <v>19</v>
      </c>
      <c r="W427" s="516" t="s">
        <v>19</v>
      </c>
      <c r="X427" s="517" t="s">
        <v>19</v>
      </c>
      <c r="Y427" s="2394">
        <f t="shared" si="95"/>
        <v>38000</v>
      </c>
      <c r="Z427" s="2372">
        <f>SUM(Z428:Z432)</f>
        <v>38000000</v>
      </c>
      <c r="AA427" s="275"/>
      <c r="AB427" s="275"/>
      <c r="AC427" s="275"/>
    </row>
    <row r="428" spans="1:29" s="2305" customFormat="1" ht="22.5" customHeight="1">
      <c r="A428" s="2303"/>
      <c r="B428" s="1145"/>
      <c r="D428" s="508"/>
      <c r="E428" s="508"/>
      <c r="F428" s="697"/>
      <c r="G428" s="767"/>
      <c r="H428" s="2382"/>
      <c r="I428" s="533"/>
      <c r="J428" s="2390" t="s">
        <v>4979</v>
      </c>
      <c r="K428" s="2391"/>
      <c r="L428" s="2391"/>
      <c r="M428" s="2391"/>
      <c r="N428" s="2392"/>
      <c r="O428" s="2392"/>
      <c r="P428" s="2392"/>
      <c r="Q428" s="2395"/>
      <c r="R428" s="2790"/>
      <c r="S428" s="1686">
        <v>3000000</v>
      </c>
      <c r="T428" s="1685" t="s">
        <v>0</v>
      </c>
      <c r="U428" s="1685"/>
      <c r="V428" s="1685">
        <v>3</v>
      </c>
      <c r="W428" s="1685" t="s">
        <v>4980</v>
      </c>
      <c r="X428" s="1687" t="s">
        <v>1</v>
      </c>
      <c r="Y428" s="2394">
        <f t="shared" si="95"/>
        <v>9000</v>
      </c>
      <c r="Z428" s="637">
        <f>S428*V428</f>
        <v>9000000</v>
      </c>
      <c r="AA428" s="275"/>
      <c r="AB428" s="275"/>
      <c r="AC428" s="275"/>
    </row>
    <row r="429" spans="1:29" s="2305" customFormat="1" ht="22.5" customHeight="1">
      <c r="A429" s="2303"/>
      <c r="B429" s="1145"/>
      <c r="D429" s="508"/>
      <c r="E429" s="508"/>
      <c r="F429" s="697"/>
      <c r="G429" s="767"/>
      <c r="H429" s="2382"/>
      <c r="I429" s="533"/>
      <c r="J429" s="2390" t="s">
        <v>4981</v>
      </c>
      <c r="K429" s="2391"/>
      <c r="L429" s="2391"/>
      <c r="M429" s="2391"/>
      <c r="N429" s="2392"/>
      <c r="O429" s="2392"/>
      <c r="P429" s="2392"/>
      <c r="Q429" s="2395"/>
      <c r="R429" s="2790"/>
      <c r="S429" s="1686">
        <v>5000000</v>
      </c>
      <c r="T429" s="1685" t="s">
        <v>0</v>
      </c>
      <c r="U429" s="1685"/>
      <c r="V429" s="1685">
        <v>3</v>
      </c>
      <c r="W429" s="1685" t="s">
        <v>4982</v>
      </c>
      <c r="X429" s="1687" t="s">
        <v>1</v>
      </c>
      <c r="Y429" s="2394">
        <f t="shared" si="95"/>
        <v>15000</v>
      </c>
      <c r="Z429" s="637">
        <f t="shared" ref="Z429:Z432" si="102">S429*V429</f>
        <v>15000000</v>
      </c>
      <c r="AA429" s="275"/>
      <c r="AB429" s="275"/>
      <c r="AC429" s="275"/>
    </row>
    <row r="430" spans="1:29" s="2305" customFormat="1" ht="22.5" customHeight="1">
      <c r="A430" s="2303"/>
      <c r="B430" s="1145"/>
      <c r="D430" s="508"/>
      <c r="E430" s="508"/>
      <c r="F430" s="697"/>
      <c r="G430" s="767"/>
      <c r="H430" s="2382"/>
      <c r="I430" s="533"/>
      <c r="J430" s="2390" t="s">
        <v>4983</v>
      </c>
      <c r="K430" s="2391"/>
      <c r="L430" s="2391"/>
      <c r="M430" s="2391"/>
      <c r="N430" s="2392"/>
      <c r="O430" s="2392"/>
      <c r="P430" s="2392"/>
      <c r="Q430" s="2395"/>
      <c r="R430" s="2790"/>
      <c r="S430" s="1686">
        <v>50000</v>
      </c>
      <c r="T430" s="1685" t="s">
        <v>0</v>
      </c>
      <c r="U430" s="1685"/>
      <c r="V430" s="1685">
        <v>50</v>
      </c>
      <c r="W430" s="1685" t="s">
        <v>305</v>
      </c>
      <c r="X430" s="1687" t="s">
        <v>1</v>
      </c>
      <c r="Y430" s="2394">
        <f t="shared" si="95"/>
        <v>2500</v>
      </c>
      <c r="Z430" s="637">
        <f t="shared" si="102"/>
        <v>2500000</v>
      </c>
      <c r="AA430" s="275"/>
      <c r="AB430" s="275"/>
      <c r="AC430" s="275"/>
    </row>
    <row r="431" spans="1:29" s="2305" customFormat="1" ht="22.5" customHeight="1">
      <c r="A431" s="2303"/>
      <c r="B431" s="1145"/>
      <c r="D431" s="508"/>
      <c r="E431" s="508"/>
      <c r="F431" s="697"/>
      <c r="G431" s="767"/>
      <c r="H431" s="2382"/>
      <c r="I431" s="533"/>
      <c r="J431" s="2390" t="s">
        <v>2796</v>
      </c>
      <c r="K431" s="2391"/>
      <c r="L431" s="2391"/>
      <c r="M431" s="2391"/>
      <c r="N431" s="2392"/>
      <c r="O431" s="2392"/>
      <c r="P431" s="2392"/>
      <c r="Q431" s="2395"/>
      <c r="R431" s="2790"/>
      <c r="S431" s="1686">
        <v>30000</v>
      </c>
      <c r="T431" s="1685" t="s">
        <v>0</v>
      </c>
      <c r="U431" s="1685"/>
      <c r="V431" s="1685">
        <v>50</v>
      </c>
      <c r="W431" s="1685" t="s">
        <v>305</v>
      </c>
      <c r="X431" s="1687" t="s">
        <v>1</v>
      </c>
      <c r="Y431" s="2394">
        <f t="shared" si="95"/>
        <v>1500</v>
      </c>
      <c r="Z431" s="637">
        <f t="shared" si="102"/>
        <v>1500000</v>
      </c>
      <c r="AA431" s="275"/>
      <c r="AB431" s="275"/>
      <c r="AC431" s="275"/>
    </row>
    <row r="432" spans="1:29" s="2305" customFormat="1" ht="22.5" customHeight="1">
      <c r="A432" s="2303"/>
      <c r="B432" s="1145"/>
      <c r="D432" s="508"/>
      <c r="E432" s="508"/>
      <c r="F432" s="697"/>
      <c r="G432" s="767"/>
      <c r="H432" s="2382"/>
      <c r="I432" s="533"/>
      <c r="J432" s="2390" t="s">
        <v>4984</v>
      </c>
      <c r="K432" s="2391"/>
      <c r="L432" s="2391"/>
      <c r="M432" s="2391"/>
      <c r="N432" s="2392"/>
      <c r="O432" s="2392"/>
      <c r="P432" s="2392"/>
      <c r="Q432" s="2395"/>
      <c r="R432" s="2790"/>
      <c r="S432" s="1686">
        <v>2000000</v>
      </c>
      <c r="T432" s="1685" t="s">
        <v>0</v>
      </c>
      <c r="U432" s="1685"/>
      <c r="V432" s="1685">
        <v>5</v>
      </c>
      <c r="W432" s="1685" t="s">
        <v>4980</v>
      </c>
      <c r="X432" s="1687" t="s">
        <v>1</v>
      </c>
      <c r="Y432" s="2394">
        <f t="shared" si="95"/>
        <v>10000</v>
      </c>
      <c r="Z432" s="637">
        <f t="shared" si="102"/>
        <v>10000000</v>
      </c>
      <c r="AA432" s="275"/>
      <c r="AB432" s="275"/>
      <c r="AC432" s="275"/>
    </row>
    <row r="433" spans="1:29" s="2305" customFormat="1" ht="22.5" customHeight="1">
      <c r="A433" s="2303"/>
      <c r="B433" s="1145"/>
      <c r="D433" s="508"/>
      <c r="E433" s="508" t="s">
        <v>65</v>
      </c>
      <c r="F433" s="697">
        <f>Y433</f>
        <v>94000</v>
      </c>
      <c r="G433" s="767">
        <v>85000</v>
      </c>
      <c r="H433" s="2382">
        <f>F433-G433</f>
        <v>9000</v>
      </c>
      <c r="I433" s="533"/>
      <c r="J433" s="2390" t="s">
        <v>8</v>
      </c>
      <c r="K433" s="2391"/>
      <c r="L433" s="2391"/>
      <c r="M433" s="2391"/>
      <c r="N433" s="2392"/>
      <c r="O433" s="2392"/>
      <c r="P433" s="2392"/>
      <c r="Q433" s="2393"/>
      <c r="R433" s="2790"/>
      <c r="S433" s="2790" t="s">
        <v>19</v>
      </c>
      <c r="T433" s="516" t="s">
        <v>19</v>
      </c>
      <c r="U433" s="516" t="s">
        <v>19</v>
      </c>
      <c r="V433" s="516" t="s">
        <v>19</v>
      </c>
      <c r="W433" s="516" t="s">
        <v>19</v>
      </c>
      <c r="X433" s="1687"/>
      <c r="Y433" s="2394">
        <f t="shared" si="95"/>
        <v>94000</v>
      </c>
      <c r="Z433" s="2372">
        <f>SUM(Z434:Z439)</f>
        <v>94000000</v>
      </c>
      <c r="AA433" s="275"/>
      <c r="AB433" s="275"/>
      <c r="AC433" s="275"/>
    </row>
    <row r="434" spans="1:29" s="2305" customFormat="1" ht="22.5" customHeight="1">
      <c r="A434" s="2303"/>
      <c r="B434" s="1145"/>
      <c r="D434" s="508"/>
      <c r="E434" s="508"/>
      <c r="F434" s="697"/>
      <c r="G434" s="767"/>
      <c r="H434" s="2382"/>
      <c r="I434" s="533"/>
      <c r="J434" s="2390" t="s">
        <v>4985</v>
      </c>
      <c r="K434" s="2391"/>
      <c r="L434" s="2391"/>
      <c r="M434" s="2391"/>
      <c r="N434" s="2392"/>
      <c r="O434" s="2392"/>
      <c r="P434" s="2392"/>
      <c r="Q434" s="2393"/>
      <c r="R434" s="2790"/>
      <c r="S434" s="1686">
        <v>22000000</v>
      </c>
      <c r="T434" s="1685" t="s">
        <v>0</v>
      </c>
      <c r="U434" s="1685"/>
      <c r="V434" s="1685">
        <v>1</v>
      </c>
      <c r="W434" s="1685" t="s">
        <v>3</v>
      </c>
      <c r="X434" s="1687" t="s">
        <v>1</v>
      </c>
      <c r="Y434" s="2394">
        <f t="shared" si="95"/>
        <v>22000</v>
      </c>
      <c r="Z434" s="637">
        <f t="shared" ref="Z434:Z439" si="103">S434*V434</f>
        <v>22000000</v>
      </c>
      <c r="AA434" s="275"/>
      <c r="AB434" s="275"/>
      <c r="AC434" s="275"/>
    </row>
    <row r="435" spans="1:29" s="2305" customFormat="1" ht="22.5" customHeight="1">
      <c r="A435" s="2303"/>
      <c r="B435" s="1145"/>
      <c r="D435" s="508"/>
      <c r="E435" s="508"/>
      <c r="F435" s="697"/>
      <c r="G435" s="767"/>
      <c r="H435" s="2382"/>
      <c r="I435" s="533"/>
      <c r="J435" s="2390" t="s">
        <v>4986</v>
      </c>
      <c r="K435" s="2391"/>
      <c r="L435" s="2391"/>
      <c r="M435" s="2391"/>
      <c r="N435" s="2392"/>
      <c r="O435" s="2392"/>
      <c r="P435" s="2392"/>
      <c r="Q435" s="2393"/>
      <c r="R435" s="2790"/>
      <c r="S435" s="1686">
        <v>8000000</v>
      </c>
      <c r="T435" s="1685" t="s">
        <v>0</v>
      </c>
      <c r="U435" s="1685"/>
      <c r="V435" s="1685">
        <v>3</v>
      </c>
      <c r="W435" s="1685" t="s">
        <v>3</v>
      </c>
      <c r="X435" s="1687" t="s">
        <v>1</v>
      </c>
      <c r="Y435" s="2394">
        <f t="shared" si="95"/>
        <v>24000</v>
      </c>
      <c r="Z435" s="637">
        <f t="shared" si="103"/>
        <v>24000000</v>
      </c>
      <c r="AA435" s="275"/>
      <c r="AB435" s="275"/>
      <c r="AC435" s="275"/>
    </row>
    <row r="436" spans="1:29" s="2305" customFormat="1" ht="22.5" customHeight="1">
      <c r="A436" s="2303"/>
      <c r="B436" s="1145"/>
      <c r="D436" s="508"/>
      <c r="E436" s="508"/>
      <c r="F436" s="697"/>
      <c r="G436" s="767"/>
      <c r="H436" s="2382"/>
      <c r="I436" s="533"/>
      <c r="J436" s="2390" t="s">
        <v>4987</v>
      </c>
      <c r="K436" s="2391"/>
      <c r="L436" s="2391"/>
      <c r="M436" s="2391"/>
      <c r="N436" s="2392"/>
      <c r="O436" s="2392"/>
      <c r="P436" s="2392"/>
      <c r="Q436" s="2393"/>
      <c r="R436" s="2790"/>
      <c r="S436" s="1686">
        <v>22000000</v>
      </c>
      <c r="T436" s="1685" t="s">
        <v>0</v>
      </c>
      <c r="U436" s="1685"/>
      <c r="V436" s="1685">
        <v>1</v>
      </c>
      <c r="W436" s="1685" t="s">
        <v>3</v>
      </c>
      <c r="X436" s="1687" t="s">
        <v>1</v>
      </c>
      <c r="Y436" s="2394">
        <f t="shared" si="95"/>
        <v>22000</v>
      </c>
      <c r="Z436" s="637">
        <f t="shared" si="103"/>
        <v>22000000</v>
      </c>
      <c r="AA436" s="275"/>
      <c r="AB436" s="275"/>
      <c r="AC436" s="275"/>
    </row>
    <row r="437" spans="1:29" s="2305" customFormat="1" ht="22.5" customHeight="1">
      <c r="A437" s="2303"/>
      <c r="B437" s="1145"/>
      <c r="D437" s="508"/>
      <c r="E437" s="508"/>
      <c r="F437" s="697"/>
      <c r="G437" s="767"/>
      <c r="H437" s="2382"/>
      <c r="I437" s="533"/>
      <c r="J437" s="2390" t="s">
        <v>4988</v>
      </c>
      <c r="K437" s="2391"/>
      <c r="L437" s="2391"/>
      <c r="M437" s="2391"/>
      <c r="N437" s="2392"/>
      <c r="O437" s="2392"/>
      <c r="P437" s="2392"/>
      <c r="Q437" s="2393"/>
      <c r="R437" s="2790"/>
      <c r="S437" s="1686">
        <v>15000000</v>
      </c>
      <c r="T437" s="1685" t="s">
        <v>0</v>
      </c>
      <c r="U437" s="1685"/>
      <c r="V437" s="1685">
        <v>1</v>
      </c>
      <c r="W437" s="1685" t="s">
        <v>3</v>
      </c>
      <c r="X437" s="1687" t="s">
        <v>1</v>
      </c>
      <c r="Y437" s="2394">
        <f t="shared" si="95"/>
        <v>15000</v>
      </c>
      <c r="Z437" s="637">
        <f t="shared" si="103"/>
        <v>15000000</v>
      </c>
      <c r="AA437" s="275"/>
      <c r="AB437" s="275"/>
      <c r="AC437" s="275"/>
    </row>
    <row r="438" spans="1:29" s="2305" customFormat="1" ht="22.5" customHeight="1">
      <c r="A438" s="2303"/>
      <c r="B438" s="1145"/>
      <c r="D438" s="508"/>
      <c r="E438" s="508"/>
      <c r="F438" s="697"/>
      <c r="G438" s="767"/>
      <c r="H438" s="2382"/>
      <c r="I438" s="533"/>
      <c r="J438" s="2390" t="s">
        <v>4989</v>
      </c>
      <c r="K438" s="2391"/>
      <c r="L438" s="2391"/>
      <c r="M438" s="2391"/>
      <c r="N438" s="2392"/>
      <c r="O438" s="2392"/>
      <c r="P438" s="2392"/>
      <c r="Q438" s="2393"/>
      <c r="R438" s="2790"/>
      <c r="S438" s="1686">
        <v>5000000</v>
      </c>
      <c r="T438" s="1685" t="s">
        <v>0</v>
      </c>
      <c r="U438" s="1685"/>
      <c r="V438" s="1685">
        <v>1</v>
      </c>
      <c r="W438" s="1685" t="s">
        <v>4974</v>
      </c>
      <c r="X438" s="1687" t="s">
        <v>1</v>
      </c>
      <c r="Y438" s="2394">
        <f t="shared" si="95"/>
        <v>5000</v>
      </c>
      <c r="Z438" s="637">
        <f t="shared" si="103"/>
        <v>5000000</v>
      </c>
      <c r="AA438" s="275"/>
      <c r="AB438" s="275"/>
      <c r="AC438" s="275"/>
    </row>
    <row r="439" spans="1:29" s="2357" customFormat="1" ht="22.5" customHeight="1">
      <c r="A439" s="2353"/>
      <c r="B439" s="1145"/>
      <c r="D439" s="508"/>
      <c r="E439" s="508"/>
      <c r="F439" s="697"/>
      <c r="G439" s="767"/>
      <c r="H439" s="2382"/>
      <c r="I439" s="533"/>
      <c r="J439" s="2390" t="s">
        <v>4990</v>
      </c>
      <c r="K439" s="2391"/>
      <c r="L439" s="2391"/>
      <c r="M439" s="2391"/>
      <c r="N439" s="2392"/>
      <c r="O439" s="2392"/>
      <c r="P439" s="2392"/>
      <c r="Q439" s="2393"/>
      <c r="R439" s="2790"/>
      <c r="S439" s="1686">
        <v>6000000</v>
      </c>
      <c r="T439" s="1685" t="s">
        <v>0</v>
      </c>
      <c r="U439" s="1685"/>
      <c r="V439" s="1685">
        <v>1</v>
      </c>
      <c r="W439" s="1685" t="s">
        <v>6</v>
      </c>
      <c r="X439" s="1687" t="s">
        <v>1</v>
      </c>
      <c r="Y439" s="2394">
        <f t="shared" si="95"/>
        <v>6000</v>
      </c>
      <c r="Z439" s="637">
        <f t="shared" si="103"/>
        <v>6000000</v>
      </c>
      <c r="AA439" s="275"/>
      <c r="AB439" s="275"/>
      <c r="AC439" s="275"/>
    </row>
    <row r="440" spans="1:29" s="2305" customFormat="1" ht="22.5" customHeight="1">
      <c r="A440" s="2303"/>
      <c r="B440" s="1145"/>
      <c r="D440" s="508"/>
      <c r="E440" s="508" t="s">
        <v>64</v>
      </c>
      <c r="F440" s="697">
        <f>Y440</f>
        <v>21000</v>
      </c>
      <c r="G440" s="767">
        <v>21000</v>
      </c>
      <c r="H440" s="2382"/>
      <c r="I440" s="533"/>
      <c r="J440" s="2390" t="s">
        <v>8</v>
      </c>
      <c r="K440" s="2391"/>
      <c r="L440" s="2391"/>
      <c r="M440" s="2391"/>
      <c r="N440" s="2392"/>
      <c r="O440" s="2395"/>
      <c r="P440" s="2790"/>
      <c r="Q440" s="2395"/>
      <c r="R440" s="2790"/>
      <c r="S440" s="1686"/>
      <c r="T440" s="1685"/>
      <c r="U440" s="1685"/>
      <c r="V440" s="1685"/>
      <c r="W440" s="1685"/>
      <c r="X440" s="1687"/>
      <c r="Y440" s="2394">
        <f t="shared" si="95"/>
        <v>21000</v>
      </c>
      <c r="Z440" s="637">
        <f>SUM(Z441:Z443)</f>
        <v>21000000</v>
      </c>
      <c r="AA440" s="275"/>
      <c r="AB440" s="275"/>
      <c r="AC440" s="275"/>
    </row>
    <row r="441" spans="1:29" s="2305" customFormat="1" ht="22.5" customHeight="1">
      <c r="A441" s="2303"/>
      <c r="B441" s="1145"/>
      <c r="D441" s="508"/>
      <c r="E441" s="508"/>
      <c r="F441" s="697"/>
      <c r="G441" s="767"/>
      <c r="H441" s="2382"/>
      <c r="I441" s="533"/>
      <c r="J441" s="2390" t="s">
        <v>811</v>
      </c>
      <c r="K441" s="2391"/>
      <c r="L441" s="2391"/>
      <c r="M441" s="2391"/>
      <c r="N441" s="2392"/>
      <c r="O441" s="2395"/>
      <c r="P441" s="2790"/>
      <c r="Q441" s="2395">
        <v>1</v>
      </c>
      <c r="R441" s="2790" t="s">
        <v>29</v>
      </c>
      <c r="S441" s="1686">
        <v>500000</v>
      </c>
      <c r="T441" s="1685" t="s">
        <v>0</v>
      </c>
      <c r="U441" s="1685"/>
      <c r="V441" s="1685">
        <v>2</v>
      </c>
      <c r="W441" s="1685" t="s">
        <v>3</v>
      </c>
      <c r="X441" s="1687" t="s">
        <v>1</v>
      </c>
      <c r="Y441" s="2394">
        <f t="shared" si="95"/>
        <v>1000</v>
      </c>
      <c r="Z441" s="637">
        <f t="shared" ref="Z441" si="104">Q441*S441*V441</f>
        <v>1000000</v>
      </c>
      <c r="AA441" s="275"/>
      <c r="AB441" s="275"/>
      <c r="AC441" s="275"/>
    </row>
    <row r="442" spans="1:29" s="2305" customFormat="1" ht="22.5" customHeight="1">
      <c r="A442" s="2303"/>
      <c r="B442" s="1145"/>
      <c r="D442" s="508"/>
      <c r="E442" s="508"/>
      <c r="F442" s="697"/>
      <c r="G442" s="767"/>
      <c r="H442" s="2382"/>
      <c r="I442" s="533"/>
      <c r="J442" s="2390" t="s">
        <v>812</v>
      </c>
      <c r="K442" s="2391"/>
      <c r="L442" s="2391"/>
      <c r="M442" s="2391"/>
      <c r="N442" s="2392"/>
      <c r="O442" s="2395"/>
      <c r="P442" s="2790"/>
      <c r="Q442" s="2395"/>
      <c r="R442" s="2790"/>
      <c r="S442" s="1686">
        <v>15000000</v>
      </c>
      <c r="T442" s="1685" t="s">
        <v>0</v>
      </c>
      <c r="U442" s="1685"/>
      <c r="V442" s="1685">
        <v>1</v>
      </c>
      <c r="W442" s="1685" t="s">
        <v>3</v>
      </c>
      <c r="X442" s="1687" t="s">
        <v>1</v>
      </c>
      <c r="Y442" s="2394">
        <f t="shared" si="95"/>
        <v>15000</v>
      </c>
      <c r="Z442" s="637">
        <f>S442*V442</f>
        <v>15000000</v>
      </c>
      <c r="AA442" s="275"/>
      <c r="AB442" s="275"/>
      <c r="AC442" s="275"/>
    </row>
    <row r="443" spans="1:29" s="2305" customFormat="1" ht="22.5" customHeight="1">
      <c r="A443" s="2303"/>
      <c r="B443" s="1145"/>
      <c r="D443" s="508"/>
      <c r="E443" s="2422"/>
      <c r="F443" s="697"/>
      <c r="G443" s="767"/>
      <c r="H443" s="2382"/>
      <c r="I443" s="533"/>
      <c r="J443" s="2390" t="s">
        <v>4991</v>
      </c>
      <c r="K443" s="2391"/>
      <c r="L443" s="2391"/>
      <c r="M443" s="2391"/>
      <c r="N443" s="2392"/>
      <c r="O443" s="2395"/>
      <c r="P443" s="2790"/>
      <c r="Q443" s="2395"/>
      <c r="R443" s="2790"/>
      <c r="S443" s="1686">
        <v>5000000</v>
      </c>
      <c r="T443" s="1685" t="s">
        <v>0</v>
      </c>
      <c r="U443" s="1685"/>
      <c r="V443" s="1685">
        <v>1</v>
      </c>
      <c r="W443" s="1685" t="s">
        <v>3</v>
      </c>
      <c r="X443" s="1687" t="s">
        <v>1</v>
      </c>
      <c r="Y443" s="2394">
        <f t="shared" si="95"/>
        <v>5000</v>
      </c>
      <c r="Z443" s="637">
        <f>S443*V443</f>
        <v>5000000</v>
      </c>
      <c r="AA443" s="275"/>
      <c r="AB443" s="275"/>
      <c r="AC443" s="275"/>
    </row>
    <row r="444" spans="1:29" s="2305" customFormat="1" ht="22.5" customHeight="1">
      <c r="A444" s="2303"/>
      <c r="B444" s="1145"/>
      <c r="D444" s="508"/>
      <c r="E444" s="2422" t="s">
        <v>54</v>
      </c>
      <c r="F444" s="697">
        <f t="shared" ref="F444:F445" si="105">Y444</f>
        <v>1000</v>
      </c>
      <c r="G444" s="767">
        <v>1000</v>
      </c>
      <c r="H444" s="2382"/>
      <c r="I444" s="533"/>
      <c r="J444" s="2390" t="s">
        <v>304</v>
      </c>
      <c r="K444" s="2391"/>
      <c r="L444" s="2391"/>
      <c r="M444" s="2391"/>
      <c r="N444" s="2392"/>
      <c r="O444" s="2392"/>
      <c r="P444" s="2392"/>
      <c r="Q444" s="2395">
        <v>1000</v>
      </c>
      <c r="R444" s="2790" t="s">
        <v>124</v>
      </c>
      <c r="S444" s="1686">
        <v>1000</v>
      </c>
      <c r="T444" s="1685" t="s">
        <v>0</v>
      </c>
      <c r="U444" s="1685"/>
      <c r="V444" s="1685">
        <v>1</v>
      </c>
      <c r="W444" s="1685" t="s">
        <v>3</v>
      </c>
      <c r="X444" s="1687" t="s">
        <v>1</v>
      </c>
      <c r="Y444" s="2394">
        <f t="shared" si="95"/>
        <v>1000</v>
      </c>
      <c r="Z444" s="637">
        <f t="shared" ref="Z444" si="106">Q444*S444*V444</f>
        <v>1000000</v>
      </c>
      <c r="AA444" s="275"/>
      <c r="AB444" s="275"/>
      <c r="AC444" s="275"/>
    </row>
    <row r="445" spans="1:29" s="2305" customFormat="1" ht="22.5" customHeight="1">
      <c r="A445" s="2303"/>
      <c r="B445" s="1145"/>
      <c r="D445" s="508"/>
      <c r="E445" s="508" t="s">
        <v>56</v>
      </c>
      <c r="F445" s="697">
        <f t="shared" si="105"/>
        <v>2500</v>
      </c>
      <c r="G445" s="767">
        <v>2500</v>
      </c>
      <c r="H445" s="2382"/>
      <c r="I445" s="533"/>
      <c r="J445" s="2390" t="s">
        <v>8</v>
      </c>
      <c r="K445" s="2391"/>
      <c r="L445" s="2391"/>
      <c r="M445" s="2391"/>
      <c r="N445" s="2392"/>
      <c r="O445" s="2392"/>
      <c r="P445" s="2392"/>
      <c r="Q445" s="2395"/>
      <c r="R445" s="2790"/>
      <c r="S445" s="1686"/>
      <c r="T445" s="1685"/>
      <c r="U445" s="1685"/>
      <c r="V445" s="1685"/>
      <c r="W445" s="1685"/>
      <c r="X445" s="1687"/>
      <c r="Y445" s="2394">
        <f t="shared" si="95"/>
        <v>2500</v>
      </c>
      <c r="Z445" s="637">
        <f>SUM(Z446:Z447)</f>
        <v>2500000</v>
      </c>
      <c r="AA445" s="275"/>
      <c r="AB445" s="275"/>
      <c r="AC445" s="275"/>
    </row>
    <row r="446" spans="1:29" s="2305" customFormat="1" ht="22.5" customHeight="1">
      <c r="A446" s="2303"/>
      <c r="B446" s="1145"/>
      <c r="D446" s="508"/>
      <c r="E446" s="2422"/>
      <c r="F446" s="697"/>
      <c r="G446" s="767"/>
      <c r="H446" s="2382"/>
      <c r="I446" s="533"/>
      <c r="J446" s="2390" t="s">
        <v>4992</v>
      </c>
      <c r="K446" s="2391"/>
      <c r="L446" s="2391"/>
      <c r="M446" s="2391"/>
      <c r="N446" s="2392"/>
      <c r="O446" s="2392"/>
      <c r="P446" s="2392"/>
      <c r="Q446" s="2395">
        <v>100</v>
      </c>
      <c r="R446" s="2790" t="s">
        <v>123</v>
      </c>
      <c r="S446" s="1686">
        <v>15000</v>
      </c>
      <c r="T446" s="1685" t="s">
        <v>0</v>
      </c>
      <c r="U446" s="1685"/>
      <c r="V446" s="1685">
        <v>1</v>
      </c>
      <c r="W446" s="1685" t="s">
        <v>3</v>
      </c>
      <c r="X446" s="1687" t="s">
        <v>1</v>
      </c>
      <c r="Y446" s="2394">
        <f t="shared" si="95"/>
        <v>1500</v>
      </c>
      <c r="Z446" s="637">
        <f t="shared" ref="Z446:Z448" si="107">Q446*S446*V446</f>
        <v>1500000</v>
      </c>
      <c r="AA446" s="275"/>
      <c r="AB446" s="275"/>
      <c r="AC446" s="275"/>
    </row>
    <row r="447" spans="1:29" s="2305" customFormat="1" ht="22.5" customHeight="1">
      <c r="A447" s="2303"/>
      <c r="B447" s="1145"/>
      <c r="D447" s="508"/>
      <c r="E447" s="2422"/>
      <c r="F447" s="697"/>
      <c r="G447" s="767"/>
      <c r="H447" s="2382"/>
      <c r="I447" s="533"/>
      <c r="J447" s="2390" t="s">
        <v>4993</v>
      </c>
      <c r="K447" s="2391"/>
      <c r="L447" s="2391"/>
      <c r="M447" s="2391"/>
      <c r="N447" s="2392"/>
      <c r="O447" s="2392"/>
      <c r="P447" s="2392"/>
      <c r="Q447" s="2395">
        <v>100</v>
      </c>
      <c r="R447" s="2790" t="s">
        <v>123</v>
      </c>
      <c r="S447" s="1686">
        <v>10000</v>
      </c>
      <c r="T447" s="1685" t="s">
        <v>0</v>
      </c>
      <c r="U447" s="1685"/>
      <c r="V447" s="1685">
        <v>1</v>
      </c>
      <c r="W447" s="1685" t="s">
        <v>3</v>
      </c>
      <c r="X447" s="1687" t="s">
        <v>1</v>
      </c>
      <c r="Y447" s="2394">
        <f t="shared" si="95"/>
        <v>1000</v>
      </c>
      <c r="Z447" s="637">
        <f t="shared" si="107"/>
        <v>1000000</v>
      </c>
      <c r="AA447" s="275"/>
      <c r="AB447" s="275"/>
      <c r="AC447" s="275"/>
    </row>
    <row r="448" spans="1:29" s="2305" customFormat="1" ht="22.5" customHeight="1">
      <c r="A448" s="2303"/>
      <c r="B448" s="1145"/>
      <c r="D448" s="2423"/>
      <c r="E448" s="2804" t="s">
        <v>55</v>
      </c>
      <c r="F448" s="697">
        <f>Y448</f>
        <v>500</v>
      </c>
      <c r="G448" s="767">
        <v>500</v>
      </c>
      <c r="H448" s="2382"/>
      <c r="I448" s="533"/>
      <c r="J448" s="2416" t="s">
        <v>810</v>
      </c>
      <c r="K448" s="2417"/>
      <c r="L448" s="2417"/>
      <c r="M448" s="2417"/>
      <c r="N448" s="2418"/>
      <c r="O448" s="2418"/>
      <c r="P448" s="2418"/>
      <c r="Q448" s="2419">
        <v>5</v>
      </c>
      <c r="R448" s="2386" t="s">
        <v>123</v>
      </c>
      <c r="S448" s="710">
        <v>10000</v>
      </c>
      <c r="T448" s="709" t="s">
        <v>0</v>
      </c>
      <c r="U448" s="709"/>
      <c r="V448" s="709">
        <v>10</v>
      </c>
      <c r="W448" s="709" t="s">
        <v>3</v>
      </c>
      <c r="X448" s="725" t="s">
        <v>1</v>
      </c>
      <c r="Y448" s="2420">
        <f t="shared" si="95"/>
        <v>500</v>
      </c>
      <c r="Z448" s="637">
        <f t="shared" si="107"/>
        <v>500000</v>
      </c>
      <c r="AA448" s="275"/>
      <c r="AB448" s="275"/>
      <c r="AC448" s="275"/>
    </row>
    <row r="449" spans="10:26" ht="21.75" customHeight="1">
      <c r="J449" s="2288"/>
      <c r="K449" s="2282"/>
      <c r="L449" s="2282"/>
      <c r="M449" s="2282"/>
      <c r="N449" s="2282"/>
      <c r="O449" s="2282"/>
      <c r="P449" s="1675"/>
      <c r="Q449" s="2288"/>
      <c r="R449" s="2262"/>
      <c r="S449" s="2288"/>
      <c r="T449" s="2288"/>
      <c r="U449" s="1675"/>
      <c r="V449" s="2288"/>
      <c r="W449" s="2262"/>
      <c r="X449" s="1140"/>
      <c r="Y449" s="1717"/>
      <c r="Z449" s="1128"/>
    </row>
  </sheetData>
  <autoFilter ref="A4:AG448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4">
    <mergeCell ref="A1:Y1"/>
    <mergeCell ref="A3:E3"/>
    <mergeCell ref="F3:F4"/>
    <mergeCell ref="G3:G4"/>
    <mergeCell ref="H3:H4"/>
    <mergeCell ref="J3:Y4"/>
    <mergeCell ref="D199:E199"/>
    <mergeCell ref="A5:E5"/>
    <mergeCell ref="C7:E7"/>
    <mergeCell ref="D8:E8"/>
    <mergeCell ref="D21:E21"/>
    <mergeCell ref="D85:E85"/>
    <mergeCell ref="C89:E89"/>
    <mergeCell ref="D110:E110"/>
    <mergeCell ref="D120:E120"/>
    <mergeCell ref="D91:E91"/>
    <mergeCell ref="D150:E150"/>
    <mergeCell ref="D417:E417"/>
    <mergeCell ref="D211:E211"/>
    <mergeCell ref="D223:E223"/>
    <mergeCell ref="D238:E238"/>
    <mergeCell ref="D242:E242"/>
    <mergeCell ref="D256:E256"/>
    <mergeCell ref="D384:E384"/>
    <mergeCell ref="C320:E320"/>
    <mergeCell ref="D321:E321"/>
    <mergeCell ref="D332:E332"/>
    <mergeCell ref="D352:E352"/>
    <mergeCell ref="J240:M240"/>
    <mergeCell ref="C272:E272"/>
    <mergeCell ref="D273:E273"/>
    <mergeCell ref="D290:E290"/>
    <mergeCell ref="D310:E310"/>
    <mergeCell ref="D267:E267"/>
  </mergeCells>
  <phoneticPr fontId="19" type="noConversion"/>
  <printOptions horizontalCentered="1"/>
  <pageMargins left="0.59055118110236227" right="0.59055118110236227" top="0.55118110236220474" bottom="0.31496062992125984" header="0.51181102362204722" footer="0.31496062992125984"/>
  <pageSetup paperSize="9" scale="54" firstPageNumber="58" fitToHeight="100" orientation="landscape" useFirstPageNumber="1" r:id="rId1"/>
  <headerFooter scaleWithDoc="0" alignWithMargins="0"/>
  <rowBreaks count="1" manualBreakCount="1">
    <brk id="51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263"/>
  <sheetViews>
    <sheetView view="pageBreakPreview" zoomScale="70" zoomScaleSheetLayoutView="70" workbookViewId="0">
      <pane ySplit="4" topLeftCell="A233" activePane="bottomLeft" state="frozen"/>
      <selection activeCell="F154" sqref="F154"/>
      <selection pane="bottomLeft" activeCell="O274" sqref="O274"/>
    </sheetView>
  </sheetViews>
  <sheetFormatPr defaultRowHeight="14.25"/>
  <cols>
    <col min="1" max="4" width="6.77734375" style="357" customWidth="1"/>
    <col min="5" max="5" width="16.5546875" style="357" customWidth="1"/>
    <col min="6" max="8" width="13.77734375" style="866" customWidth="1"/>
    <col min="9" max="9" width="1.6640625" style="1675" customWidth="1"/>
    <col min="10" max="10" width="2.88671875" style="357" customWidth="1"/>
    <col min="11" max="11" width="1.88671875" style="357" customWidth="1"/>
    <col min="12" max="12" width="9.109375" style="357" customWidth="1"/>
    <col min="13" max="13" width="8.6640625" style="357" customWidth="1"/>
    <col min="14" max="14" width="9.6640625" style="357" customWidth="1"/>
    <col min="15" max="15" width="7.77734375" style="357" customWidth="1"/>
    <col min="16" max="16" width="7.6640625" style="357" customWidth="1"/>
    <col min="17" max="17" width="7.5546875" style="357" customWidth="1"/>
    <col min="18" max="18" width="6.77734375" style="357" customWidth="1"/>
    <col min="19" max="19" width="14.77734375" style="357" customWidth="1"/>
    <col min="20" max="21" width="6.77734375" style="357" customWidth="1"/>
    <col min="22" max="22" width="8.77734375" style="357" customWidth="1"/>
    <col min="23" max="23" width="6.77734375" style="357" customWidth="1"/>
    <col min="24" max="24" width="4" style="357" customWidth="1"/>
    <col min="25" max="25" width="14.77734375" style="357" customWidth="1"/>
    <col min="26" max="26" width="18.77734375" style="358" bestFit="1" customWidth="1"/>
    <col min="27" max="27" width="21.33203125" style="1143" bestFit="1" customWidth="1"/>
    <col min="28" max="28" width="24.6640625" style="1143" customWidth="1"/>
    <col min="29" max="29" width="22.44140625" style="357" customWidth="1"/>
    <col min="30" max="30" width="12.6640625" style="357" bestFit="1" customWidth="1"/>
    <col min="31" max="16384" width="8.88671875" style="357"/>
  </cols>
  <sheetData>
    <row r="1" spans="1:29" ht="26.25" customHeight="1">
      <c r="A1" s="3250" t="s">
        <v>5812</v>
      </c>
      <c r="B1" s="3250"/>
      <c r="C1" s="3250"/>
      <c r="D1" s="3250"/>
      <c r="E1" s="3250"/>
      <c r="F1" s="3250"/>
      <c r="G1" s="3250"/>
      <c r="H1" s="3250"/>
      <c r="I1" s="3250"/>
      <c r="J1" s="3250"/>
      <c r="K1" s="3250"/>
      <c r="L1" s="3250"/>
      <c r="M1" s="3250"/>
      <c r="N1" s="3250"/>
      <c r="O1" s="3250"/>
      <c r="P1" s="3250"/>
      <c r="Q1" s="3250"/>
      <c r="R1" s="3250"/>
      <c r="S1" s="3250"/>
      <c r="T1" s="3250"/>
      <c r="U1" s="3250"/>
      <c r="V1" s="3250"/>
      <c r="W1" s="3250"/>
      <c r="X1" s="3250"/>
      <c r="Y1" s="3250"/>
    </row>
    <row r="2" spans="1:29" ht="15" thickBot="1">
      <c r="A2" s="646"/>
      <c r="B2" s="646"/>
      <c r="C2" s="646"/>
      <c r="D2" s="646" t="s">
        <v>431</v>
      </c>
      <c r="E2" s="646"/>
      <c r="F2" s="867"/>
      <c r="G2" s="772"/>
      <c r="H2" s="772" t="s">
        <v>171</v>
      </c>
      <c r="I2" s="1938"/>
      <c r="J2" s="646" t="s">
        <v>431</v>
      </c>
      <c r="K2" s="646"/>
      <c r="L2" s="773" t="s">
        <v>431</v>
      </c>
      <c r="M2" s="646"/>
      <c r="N2" s="646"/>
      <c r="O2" s="343"/>
      <c r="P2" s="275"/>
      <c r="Q2" s="1911"/>
      <c r="R2" s="1912"/>
      <c r="S2" s="1912"/>
      <c r="T2" s="1912"/>
      <c r="U2" s="1912"/>
      <c r="V2" s="1912"/>
      <c r="W2" s="1912"/>
      <c r="X2" s="1912"/>
      <c r="Y2" s="408" t="s">
        <v>171</v>
      </c>
    </row>
    <row r="3" spans="1:29" ht="20.25" customHeight="1">
      <c r="A3" s="3251" t="s">
        <v>813</v>
      </c>
      <c r="B3" s="3252"/>
      <c r="C3" s="3252"/>
      <c r="D3" s="3252"/>
      <c r="E3" s="3253"/>
      <c r="F3" s="3254" t="s">
        <v>814</v>
      </c>
      <c r="G3" s="3256" t="s">
        <v>423</v>
      </c>
      <c r="H3" s="3432" t="s">
        <v>189</v>
      </c>
      <c r="I3" s="473"/>
      <c r="J3" s="3445" t="s">
        <v>190</v>
      </c>
      <c r="K3" s="3261"/>
      <c r="L3" s="3261"/>
      <c r="M3" s="3261"/>
      <c r="N3" s="3261"/>
      <c r="O3" s="3261"/>
      <c r="P3" s="3261"/>
      <c r="Q3" s="3261"/>
      <c r="R3" s="3261"/>
      <c r="S3" s="3261"/>
      <c r="T3" s="3261"/>
      <c r="U3" s="3261"/>
      <c r="V3" s="3261"/>
      <c r="W3" s="3261"/>
      <c r="X3" s="3261"/>
      <c r="Y3" s="3262"/>
      <c r="Z3" s="347"/>
    </row>
    <row r="4" spans="1:29" ht="20.25" customHeight="1" thickBot="1">
      <c r="A4" s="652" t="s">
        <v>583</v>
      </c>
      <c r="B4" s="653" t="s">
        <v>204</v>
      </c>
      <c r="C4" s="654" t="s">
        <v>191</v>
      </c>
      <c r="D4" s="654" t="s">
        <v>205</v>
      </c>
      <c r="E4" s="654" t="s">
        <v>815</v>
      </c>
      <c r="F4" s="3255"/>
      <c r="G4" s="3257"/>
      <c r="H4" s="3433"/>
      <c r="I4" s="655"/>
      <c r="J4" s="3263"/>
      <c r="K4" s="3264"/>
      <c r="L4" s="3264"/>
      <c r="M4" s="3264"/>
      <c r="N4" s="3264"/>
      <c r="O4" s="3264"/>
      <c r="P4" s="3264"/>
      <c r="Q4" s="3264"/>
      <c r="R4" s="3264"/>
      <c r="S4" s="3264"/>
      <c r="T4" s="3264"/>
      <c r="U4" s="3264"/>
      <c r="V4" s="3264"/>
      <c r="W4" s="3264"/>
      <c r="X4" s="3264"/>
      <c r="Y4" s="3265"/>
      <c r="Z4" s="347"/>
    </row>
    <row r="5" spans="1:29" ht="22.5" customHeight="1" thickBot="1">
      <c r="A5" s="3268" t="s">
        <v>816</v>
      </c>
      <c r="B5" s="3269"/>
      <c r="C5" s="3269"/>
      <c r="D5" s="3269"/>
      <c r="E5" s="3270"/>
      <c r="F5" s="774"/>
      <c r="G5" s="1914"/>
      <c r="H5" s="1942"/>
      <c r="I5" s="655"/>
      <c r="J5" s="1916"/>
      <c r="K5" s="1917"/>
      <c r="L5" s="1917"/>
      <c r="M5" s="1917"/>
      <c r="N5" s="1917"/>
      <c r="O5" s="1917"/>
      <c r="P5" s="1917"/>
      <c r="Q5" s="1917"/>
      <c r="R5" s="1917"/>
      <c r="S5" s="1917"/>
      <c r="T5" s="1917"/>
      <c r="U5" s="1917"/>
      <c r="V5" s="1917"/>
      <c r="W5" s="1917"/>
      <c r="X5" s="1917"/>
      <c r="Y5" s="1918"/>
      <c r="Z5" s="347"/>
    </row>
    <row r="6" spans="1:29" s="1675" customFormat="1" ht="22.5" customHeight="1" thickBot="1">
      <c r="A6" s="775"/>
      <c r="B6" s="776" t="s">
        <v>816</v>
      </c>
      <c r="C6" s="777"/>
      <c r="D6" s="777"/>
      <c r="E6" s="778"/>
      <c r="F6" s="779">
        <f>+F7+F93</f>
        <v>2679000</v>
      </c>
      <c r="G6" s="779">
        <f>+G7+G93</f>
        <v>2679000</v>
      </c>
      <c r="H6" s="780">
        <f>F6-G6</f>
        <v>0</v>
      </c>
      <c r="I6" s="1127"/>
      <c r="J6" s="379"/>
      <c r="K6" s="1170"/>
      <c r="L6" s="1170"/>
      <c r="M6" s="1170"/>
      <c r="N6" s="1170"/>
      <c r="O6" s="781"/>
      <c r="P6" s="782"/>
      <c r="Q6" s="783"/>
      <c r="R6" s="782"/>
      <c r="S6" s="781"/>
      <c r="T6" s="1170"/>
      <c r="U6" s="781"/>
      <c r="V6" s="1170"/>
      <c r="W6" s="1170"/>
      <c r="X6" s="781"/>
      <c r="Y6" s="381"/>
      <c r="Z6" s="949" t="e">
        <f>#REF!*1000</f>
        <v>#REF!</v>
      </c>
      <c r="AA6" s="1143"/>
      <c r="AB6" s="1143"/>
    </row>
    <row r="7" spans="1:29" s="795" customFormat="1" ht="22.5" customHeight="1">
      <c r="A7" s="785"/>
      <c r="B7" s="786"/>
      <c r="C7" s="3361" t="s">
        <v>817</v>
      </c>
      <c r="D7" s="3362"/>
      <c r="E7" s="3363"/>
      <c r="F7" s="787">
        <f>F8+F21+F89</f>
        <v>1848000</v>
      </c>
      <c r="G7" s="787">
        <f>G8+G21+G89</f>
        <v>1848000</v>
      </c>
      <c r="H7" s="788">
        <f>F7-G7</f>
        <v>0</v>
      </c>
      <c r="I7" s="789"/>
      <c r="J7" s="790"/>
      <c r="K7" s="791"/>
      <c r="L7" s="791"/>
      <c r="M7" s="791"/>
      <c r="N7" s="791"/>
      <c r="O7" s="792"/>
      <c r="P7" s="1932"/>
      <c r="Q7" s="793"/>
      <c r="R7" s="1932"/>
      <c r="S7" s="792"/>
      <c r="T7" s="791"/>
      <c r="U7" s="792"/>
      <c r="V7" s="791"/>
      <c r="W7" s="791"/>
      <c r="X7" s="792"/>
      <c r="Y7" s="794"/>
      <c r="Z7" s="949"/>
      <c r="AA7" s="1143">
        <f>F7*1000000</f>
        <v>1848000000000</v>
      </c>
      <c r="AB7" s="1143"/>
    </row>
    <row r="8" spans="1:29" s="1155" customFormat="1" ht="21.4" customHeight="1">
      <c r="A8" s="475"/>
      <c r="B8" s="335"/>
      <c r="C8" s="1126"/>
      <c r="D8" s="3364" t="s">
        <v>461</v>
      </c>
      <c r="E8" s="3365"/>
      <c r="F8" s="373">
        <f>+F9+F16+F17</f>
        <v>1038000</v>
      </c>
      <c r="G8" s="373">
        <f>+G9+G16+G17</f>
        <v>1038000</v>
      </c>
      <c r="H8" s="1132">
        <f>F8-G8</f>
        <v>0</v>
      </c>
      <c r="I8" s="473"/>
      <c r="J8" s="796"/>
      <c r="K8" s="797"/>
      <c r="L8" s="797"/>
      <c r="M8" s="797"/>
      <c r="N8" s="797"/>
      <c r="O8" s="797"/>
      <c r="P8" s="798"/>
      <c r="Q8" s="799"/>
      <c r="R8" s="1929"/>
      <c r="S8" s="800"/>
      <c r="T8" s="1936"/>
      <c r="U8" s="800"/>
      <c r="V8" s="1936"/>
      <c r="W8" s="1936"/>
      <c r="X8" s="800"/>
      <c r="Y8" s="801"/>
      <c r="Z8" s="463"/>
      <c r="AA8" s="1143">
        <f t="shared" ref="AA8:AA71" si="0">F8*1000000</f>
        <v>1038000000000</v>
      </c>
      <c r="AB8" s="505"/>
      <c r="AC8" s="505"/>
    </row>
    <row r="9" spans="1:29" s="1155" customFormat="1" ht="21.4" customHeight="1">
      <c r="A9" s="475"/>
      <c r="B9" s="335"/>
      <c r="C9" s="1126"/>
      <c r="D9" s="1126"/>
      <c r="E9" s="465" t="s">
        <v>712</v>
      </c>
      <c r="F9" s="598">
        <f>+Y9</f>
        <v>842480</v>
      </c>
      <c r="G9" s="598">
        <v>842480</v>
      </c>
      <c r="H9" s="352"/>
      <c r="I9" s="473"/>
      <c r="J9" s="802" t="s">
        <v>675</v>
      </c>
      <c r="K9" s="803"/>
      <c r="L9" s="803"/>
      <c r="M9" s="803"/>
      <c r="N9" s="649"/>
      <c r="O9" s="649"/>
      <c r="P9" s="803"/>
      <c r="Q9" s="804"/>
      <c r="R9" s="1671"/>
      <c r="S9" s="1671"/>
      <c r="T9" s="1671"/>
      <c r="U9" s="1671"/>
      <c r="V9" s="1671"/>
      <c r="W9" s="1671"/>
      <c r="X9" s="1671"/>
      <c r="Y9" s="406">
        <f>+INT(Z9/1000)</f>
        <v>842480</v>
      </c>
      <c r="Z9" s="407">
        <f>+Z10+Z12+Z14</f>
        <v>842479999.99999988</v>
      </c>
      <c r="AA9" s="1143">
        <f t="shared" si="0"/>
        <v>842480000000</v>
      </c>
      <c r="AB9" s="505"/>
      <c r="AC9" s="505"/>
    </row>
    <row r="10" spans="1:29" s="1155" customFormat="1" ht="21.4" customHeight="1">
      <c r="A10" s="1934"/>
      <c r="B10" s="1145"/>
      <c r="C10" s="470"/>
      <c r="D10" s="1126"/>
      <c r="E10" s="465"/>
      <c r="F10" s="598"/>
      <c r="G10" s="598"/>
      <c r="H10" s="404"/>
      <c r="I10" s="473"/>
      <c r="J10" s="802" t="s">
        <v>818</v>
      </c>
      <c r="K10" s="805"/>
      <c r="L10" s="646"/>
      <c r="M10" s="646"/>
      <c r="N10" s="649"/>
      <c r="O10" s="649"/>
      <c r="P10" s="803"/>
      <c r="Q10" s="804" t="s">
        <v>639</v>
      </c>
      <c r="R10" s="1671" t="s">
        <v>431</v>
      </c>
      <c r="S10" s="806"/>
      <c r="T10" s="1671"/>
      <c r="U10" s="1671"/>
      <c r="V10" s="1671"/>
      <c r="W10" s="1671"/>
      <c r="X10" s="1671"/>
      <c r="Y10" s="406">
        <f t="shared" ref="Y10:Y17" si="1">+Z10/1000</f>
        <v>739199.99999999988</v>
      </c>
      <c r="Z10" s="407">
        <f>SUM(Z11:Z11)</f>
        <v>739199999.99999988</v>
      </c>
      <c r="AA10" s="1143">
        <f t="shared" si="0"/>
        <v>0</v>
      </c>
      <c r="AB10" s="505"/>
      <c r="AC10" s="505"/>
    </row>
    <row r="11" spans="1:29" s="1155" customFormat="1" ht="21.4" customHeight="1">
      <c r="A11" s="1934"/>
      <c r="B11" s="1145"/>
      <c r="C11" s="470"/>
      <c r="D11" s="1126"/>
      <c r="E11" s="465"/>
      <c r="F11" s="598"/>
      <c r="G11" s="598"/>
      <c r="H11" s="404"/>
      <c r="I11" s="473"/>
      <c r="J11" s="802"/>
      <c r="K11" s="807" t="s">
        <v>819</v>
      </c>
      <c r="L11" s="646"/>
      <c r="M11" s="646"/>
      <c r="N11" s="808"/>
      <c r="O11" s="803"/>
      <c r="P11" s="803"/>
      <c r="Q11" s="804" t="s">
        <v>820</v>
      </c>
      <c r="R11" s="1671" t="s">
        <v>197</v>
      </c>
      <c r="S11" s="1672">
        <v>4738461.538461538</v>
      </c>
      <c r="T11" s="1671" t="s">
        <v>458</v>
      </c>
      <c r="U11" s="1671"/>
      <c r="V11" s="1671">
        <v>12</v>
      </c>
      <c r="W11" s="1671" t="s">
        <v>198</v>
      </c>
      <c r="X11" s="1671" t="s">
        <v>418</v>
      </c>
      <c r="Y11" s="406">
        <f t="shared" si="1"/>
        <v>739199.99999999988</v>
      </c>
      <c r="Z11" s="407">
        <f>S11*Q11*V11</f>
        <v>739199999.99999988</v>
      </c>
      <c r="AA11" s="1143">
        <f t="shared" si="0"/>
        <v>0</v>
      </c>
      <c r="AB11" s="505">
        <f>61600000*12</f>
        <v>739200000</v>
      </c>
      <c r="AC11" s="505">
        <f>AB11/V11/Q11</f>
        <v>4738461.538461538</v>
      </c>
    </row>
    <row r="12" spans="1:29" s="1155" customFormat="1" ht="21.4" customHeight="1">
      <c r="A12" s="1934"/>
      <c r="B12" s="1145"/>
      <c r="C12" s="470"/>
      <c r="D12" s="1126"/>
      <c r="E12" s="465"/>
      <c r="F12" s="598"/>
      <c r="G12" s="598"/>
      <c r="H12" s="404"/>
      <c r="I12" s="473"/>
      <c r="J12" s="802" t="s">
        <v>680</v>
      </c>
      <c r="K12" s="805"/>
      <c r="L12" s="646"/>
      <c r="M12" s="646"/>
      <c r="N12" s="808"/>
      <c r="O12" s="803"/>
      <c r="P12" s="803"/>
      <c r="Q12" s="804"/>
      <c r="R12" s="1940"/>
      <c r="S12" s="1671"/>
      <c r="T12" s="1940"/>
      <c r="U12" s="1671"/>
      <c r="V12" s="1671"/>
      <c r="W12" s="1671"/>
      <c r="X12" s="1671"/>
      <c r="Y12" s="406">
        <f t="shared" si="1"/>
        <v>72000</v>
      </c>
      <c r="Z12" s="407">
        <f>SUM(Z13:Z13)</f>
        <v>72000000</v>
      </c>
      <c r="AA12" s="1143">
        <f t="shared" si="0"/>
        <v>0</v>
      </c>
      <c r="AB12" s="505"/>
      <c r="AC12" s="505"/>
    </row>
    <row r="13" spans="1:29" s="1155" customFormat="1" ht="21.4" customHeight="1">
      <c r="A13" s="1934"/>
      <c r="B13" s="1145"/>
      <c r="C13" s="470"/>
      <c r="D13" s="1126"/>
      <c r="E13" s="465"/>
      <c r="F13" s="598"/>
      <c r="G13" s="598"/>
      <c r="H13" s="404"/>
      <c r="I13" s="473"/>
      <c r="J13" s="802"/>
      <c r="K13" s="807" t="s">
        <v>819</v>
      </c>
      <c r="L13" s="646"/>
      <c r="M13" s="646"/>
      <c r="N13" s="808"/>
      <c r="O13" s="803"/>
      <c r="P13" s="803"/>
      <c r="Q13" s="804" t="s">
        <v>820</v>
      </c>
      <c r="R13" s="1671" t="s">
        <v>197</v>
      </c>
      <c r="S13" s="1672">
        <v>461538.46153846156</v>
      </c>
      <c r="T13" s="1671" t="s">
        <v>458</v>
      </c>
      <c r="U13" s="1671"/>
      <c r="V13" s="1671">
        <v>12</v>
      </c>
      <c r="W13" s="1671" t="s">
        <v>198</v>
      </c>
      <c r="X13" s="1671" t="s">
        <v>418</v>
      </c>
      <c r="Y13" s="406">
        <f t="shared" si="1"/>
        <v>72000</v>
      </c>
      <c r="Z13" s="407">
        <f>S13*Q13*V13</f>
        <v>72000000</v>
      </c>
      <c r="AA13" s="1143">
        <f t="shared" si="0"/>
        <v>0</v>
      </c>
      <c r="AB13" s="505">
        <f>6000000*12</f>
        <v>72000000</v>
      </c>
      <c r="AC13" s="505">
        <f>AB13/V13/Q13</f>
        <v>461538.46153846156</v>
      </c>
    </row>
    <row r="14" spans="1:29" s="1155" customFormat="1" ht="21.4" customHeight="1">
      <c r="A14" s="1934"/>
      <c r="B14" s="1145"/>
      <c r="C14" s="470"/>
      <c r="D14" s="1126"/>
      <c r="E14" s="465"/>
      <c r="F14" s="598"/>
      <c r="G14" s="598"/>
      <c r="H14" s="404"/>
      <c r="I14" s="473"/>
      <c r="J14" s="802" t="s">
        <v>821</v>
      </c>
      <c r="K14" s="805"/>
      <c r="L14" s="646"/>
      <c r="M14" s="646"/>
      <c r="N14" s="808"/>
      <c r="O14" s="803"/>
      <c r="P14" s="803"/>
      <c r="Q14" s="804"/>
      <c r="R14" s="1940"/>
      <c r="S14" s="1671"/>
      <c r="T14" s="1940"/>
      <c r="U14" s="1671"/>
      <c r="V14" s="1671"/>
      <c r="W14" s="1671"/>
      <c r="X14" s="1671"/>
      <c r="Y14" s="406">
        <f t="shared" si="1"/>
        <v>31280</v>
      </c>
      <c r="Z14" s="407">
        <f>SUM(Z15:Z15)</f>
        <v>31280000</v>
      </c>
      <c r="AA14" s="1143">
        <f t="shared" si="0"/>
        <v>0</v>
      </c>
      <c r="AB14" s="505"/>
      <c r="AC14" s="505"/>
    </row>
    <row r="15" spans="1:29" s="1155" customFormat="1" ht="21.4" customHeight="1">
      <c r="A15" s="1934"/>
      <c r="B15" s="1145"/>
      <c r="C15" s="470"/>
      <c r="D15" s="1126"/>
      <c r="E15" s="465"/>
      <c r="F15" s="598"/>
      <c r="G15" s="598"/>
      <c r="H15" s="404"/>
      <c r="I15" s="473"/>
      <c r="J15" s="802"/>
      <c r="K15" s="807" t="s">
        <v>819</v>
      </c>
      <c r="L15" s="646"/>
      <c r="M15" s="646"/>
      <c r="N15" s="808"/>
      <c r="O15" s="803"/>
      <c r="P15" s="803"/>
      <c r="Q15" s="804" t="s">
        <v>820</v>
      </c>
      <c r="R15" s="1671" t="s">
        <v>197</v>
      </c>
      <c r="S15" s="1672">
        <v>2406153.846153846</v>
      </c>
      <c r="T15" s="1671" t="s">
        <v>458</v>
      </c>
      <c r="U15" s="1671"/>
      <c r="V15" s="1671">
        <v>1</v>
      </c>
      <c r="W15" s="1671" t="s">
        <v>463</v>
      </c>
      <c r="X15" s="1671" t="s">
        <v>418</v>
      </c>
      <c r="Y15" s="406">
        <f t="shared" si="1"/>
        <v>31280</v>
      </c>
      <c r="Z15" s="407">
        <f>S15*Q15*V15</f>
        <v>31280000</v>
      </c>
      <c r="AA15" s="1143">
        <f t="shared" si="0"/>
        <v>0</v>
      </c>
      <c r="AB15" s="505">
        <v>31280000</v>
      </c>
      <c r="AC15" s="505">
        <f>AB15/Q15</f>
        <v>2406153.846153846</v>
      </c>
    </row>
    <row r="16" spans="1:29" s="1155" customFormat="1" ht="21.4" customHeight="1">
      <c r="A16" s="1934"/>
      <c r="B16" s="1145"/>
      <c r="C16" s="470"/>
      <c r="D16" s="1126"/>
      <c r="E16" s="809" t="s">
        <v>822</v>
      </c>
      <c r="F16" s="1683">
        <f>Y16</f>
        <v>101399.99999999997</v>
      </c>
      <c r="G16" s="613">
        <v>101399.99999999997</v>
      </c>
      <c r="H16" s="810"/>
      <c r="I16" s="473"/>
      <c r="J16" s="811" t="s">
        <v>823</v>
      </c>
      <c r="K16" s="812"/>
      <c r="L16" s="1953"/>
      <c r="M16" s="1953"/>
      <c r="N16" s="813"/>
      <c r="O16" s="813"/>
      <c r="P16" s="812"/>
      <c r="Q16" s="814"/>
      <c r="R16" s="815"/>
      <c r="S16" s="450">
        <f>+Z11+Z13</f>
        <v>811199999.99999988</v>
      </c>
      <c r="T16" s="815" t="s">
        <v>824</v>
      </c>
      <c r="U16" s="816">
        <v>12</v>
      </c>
      <c r="V16" s="815" t="s">
        <v>825</v>
      </c>
      <c r="W16" s="817">
        <v>1.5</v>
      </c>
      <c r="X16" s="815" t="s">
        <v>418</v>
      </c>
      <c r="Y16" s="545">
        <f t="shared" si="1"/>
        <v>101399.99999999997</v>
      </c>
      <c r="Z16" s="407">
        <f>+(S16/U16*W16)</f>
        <v>101399999.99999997</v>
      </c>
      <c r="AA16" s="1143">
        <f t="shared" si="0"/>
        <v>101399999999.99997</v>
      </c>
      <c r="AB16" s="505"/>
      <c r="AC16" s="505"/>
    </row>
    <row r="17" spans="1:29" s="1155" customFormat="1" ht="21.4" customHeight="1">
      <c r="A17" s="1934"/>
      <c r="B17" s="1145"/>
      <c r="C17" s="470"/>
      <c r="D17" s="1126"/>
      <c r="E17" s="809" t="s">
        <v>826</v>
      </c>
      <c r="F17" s="613">
        <f>Y17</f>
        <v>94120</v>
      </c>
      <c r="G17" s="613">
        <v>94120</v>
      </c>
      <c r="H17" s="810"/>
      <c r="I17" s="473"/>
      <c r="J17" s="811" t="s">
        <v>675</v>
      </c>
      <c r="K17" s="812"/>
      <c r="L17" s="812"/>
      <c r="M17" s="812"/>
      <c r="N17" s="813"/>
      <c r="O17" s="813"/>
      <c r="P17" s="812"/>
      <c r="Q17" s="814"/>
      <c r="R17" s="815"/>
      <c r="S17" s="815"/>
      <c r="T17" s="815"/>
      <c r="U17" s="815"/>
      <c r="V17" s="815"/>
      <c r="W17" s="815"/>
      <c r="X17" s="815"/>
      <c r="Y17" s="545">
        <f t="shared" si="1"/>
        <v>94120</v>
      </c>
      <c r="Z17" s="1086">
        <f>SUM(Z19:Z20)</f>
        <v>94120000</v>
      </c>
      <c r="AA17" s="1143">
        <f t="shared" si="0"/>
        <v>94120000000</v>
      </c>
      <c r="AB17" s="505"/>
      <c r="AC17" s="505"/>
    </row>
    <row r="18" spans="1:29" ht="21.4" customHeight="1">
      <c r="A18" s="1934"/>
      <c r="B18" s="1145"/>
      <c r="C18" s="470"/>
      <c r="D18" s="1126"/>
      <c r="E18" s="465"/>
      <c r="F18" s="598"/>
      <c r="G18" s="598"/>
      <c r="H18" s="404"/>
      <c r="I18" s="473"/>
      <c r="J18" s="1670" t="s">
        <v>827</v>
      </c>
      <c r="K18" s="803"/>
      <c r="L18" s="803"/>
      <c r="M18" s="803"/>
      <c r="N18" s="649"/>
      <c r="O18" s="649"/>
      <c r="P18" s="803"/>
      <c r="Q18" s="804"/>
      <c r="R18" s="1671"/>
      <c r="S18" s="1671"/>
      <c r="T18" s="1671"/>
      <c r="U18" s="1671"/>
      <c r="V18" s="1671"/>
      <c r="W18" s="1671"/>
      <c r="X18" s="1671"/>
      <c r="Y18" s="406"/>
      <c r="Z18" s="407"/>
      <c r="AA18" s="1143">
        <f t="shared" si="0"/>
        <v>0</v>
      </c>
      <c r="AB18" s="505"/>
      <c r="AC18" s="1882"/>
    </row>
    <row r="19" spans="1:29" ht="21.4" customHeight="1">
      <c r="A19" s="1670"/>
      <c r="B19" s="465"/>
      <c r="C19" s="413"/>
      <c r="D19" s="1126"/>
      <c r="E19" s="465"/>
      <c r="F19" s="598"/>
      <c r="G19" s="598"/>
      <c r="H19" s="404"/>
      <c r="I19" s="473"/>
      <c r="J19" s="802" t="s">
        <v>828</v>
      </c>
      <c r="K19" s="803"/>
      <c r="L19" s="803"/>
      <c r="M19" s="803"/>
      <c r="N19" s="649"/>
      <c r="O19" s="803"/>
      <c r="P19" s="803"/>
      <c r="Q19" s="804"/>
      <c r="R19" s="1671"/>
      <c r="S19" s="1672">
        <f>+S16</f>
        <v>811199999.99999988</v>
      </c>
      <c r="T19" s="1671" t="s">
        <v>458</v>
      </c>
      <c r="U19" s="1671"/>
      <c r="V19" s="818">
        <v>0.1</v>
      </c>
      <c r="W19" s="1671"/>
      <c r="X19" s="1671" t="s">
        <v>418</v>
      </c>
      <c r="Y19" s="406">
        <f t="shared" ref="Y19:Y84" si="2">+Z19/1000</f>
        <v>81120</v>
      </c>
      <c r="Z19" s="407">
        <f>S19*V19</f>
        <v>81120000</v>
      </c>
      <c r="AA19" s="1143">
        <f t="shared" si="0"/>
        <v>0</v>
      </c>
      <c r="AB19" s="505"/>
      <c r="AC19" s="1882"/>
    </row>
    <row r="20" spans="1:29" s="1155" customFormat="1" ht="21.4" customHeight="1">
      <c r="A20" s="1934"/>
      <c r="B20" s="1145"/>
      <c r="C20" s="470"/>
      <c r="D20" s="359"/>
      <c r="E20" s="819"/>
      <c r="F20" s="597"/>
      <c r="G20" s="597"/>
      <c r="H20" s="820"/>
      <c r="I20" s="473"/>
      <c r="J20" s="821" t="s">
        <v>681</v>
      </c>
      <c r="K20" s="822"/>
      <c r="L20" s="822"/>
      <c r="M20" s="822"/>
      <c r="N20" s="823"/>
      <c r="O20" s="823"/>
      <c r="P20" s="822"/>
      <c r="Q20" s="824"/>
      <c r="R20" s="371"/>
      <c r="S20" s="458">
        <v>1000000</v>
      </c>
      <c r="T20" s="371" t="s">
        <v>458</v>
      </c>
      <c r="U20" s="371"/>
      <c r="V20" s="825">
        <v>13</v>
      </c>
      <c r="W20" s="371" t="s">
        <v>569</v>
      </c>
      <c r="X20" s="371" t="s">
        <v>418</v>
      </c>
      <c r="Y20" s="549">
        <f t="shared" si="2"/>
        <v>13000</v>
      </c>
      <c r="Z20" s="407">
        <f>S20*V20</f>
        <v>13000000</v>
      </c>
      <c r="AA20" s="1143">
        <f t="shared" si="0"/>
        <v>0</v>
      </c>
      <c r="AB20" s="505"/>
      <c r="AC20" s="505"/>
    </row>
    <row r="21" spans="1:29" ht="21.4" customHeight="1">
      <c r="A21" s="1934"/>
      <c r="B21" s="1145"/>
      <c r="C21" s="1126"/>
      <c r="D21" s="3284" t="s">
        <v>829</v>
      </c>
      <c r="E21" s="3285"/>
      <c r="F21" s="1683">
        <f>SUM(F22:F88)</f>
        <v>790000</v>
      </c>
      <c r="G21" s="1683">
        <f>SUM(G22:G88)</f>
        <v>790000</v>
      </c>
      <c r="H21" s="1132">
        <f>F21-G21</f>
        <v>0</v>
      </c>
      <c r="I21" s="1127"/>
      <c r="J21" s="826"/>
      <c r="K21" s="2149"/>
      <c r="L21" s="2149"/>
      <c r="M21" s="2149"/>
      <c r="N21" s="2149"/>
      <c r="O21" s="2149"/>
      <c r="P21" s="827"/>
      <c r="Q21" s="2149"/>
      <c r="R21" s="827"/>
      <c r="S21" s="2149"/>
      <c r="T21" s="827"/>
      <c r="U21" s="2149"/>
      <c r="V21" s="827"/>
      <c r="W21" s="2149"/>
      <c r="X21" s="2149"/>
      <c r="Y21" s="1158"/>
      <c r="Z21" s="275">
        <f t="shared" ref="Z21" si="3">ROUNDUP(S21*V21,-3)</f>
        <v>0</v>
      </c>
      <c r="AA21" s="1143">
        <f t="shared" si="0"/>
        <v>790000000000</v>
      </c>
      <c r="AC21" s="505"/>
    </row>
    <row r="22" spans="1:29" ht="21.4" customHeight="1">
      <c r="A22" s="1934"/>
      <c r="B22" s="1145"/>
      <c r="C22" s="1126"/>
      <c r="D22" s="1126"/>
      <c r="E22" s="1913" t="s">
        <v>716</v>
      </c>
      <c r="F22" s="764">
        <f>Y22</f>
        <v>3250</v>
      </c>
      <c r="G22" s="764">
        <v>3250</v>
      </c>
      <c r="H22" s="386"/>
      <c r="I22" s="829"/>
      <c r="J22" s="835" t="s">
        <v>760</v>
      </c>
      <c r="K22" s="462"/>
      <c r="L22" s="462"/>
      <c r="M22" s="462"/>
      <c r="N22" s="399"/>
      <c r="O22" s="462"/>
      <c r="P22" s="462"/>
      <c r="Q22" s="836"/>
      <c r="R22" s="462"/>
      <c r="S22" s="399">
        <v>250000</v>
      </c>
      <c r="T22" s="462" t="s">
        <v>458</v>
      </c>
      <c r="U22" s="462"/>
      <c r="V22" s="1954">
        <v>13</v>
      </c>
      <c r="W22" s="462" t="s">
        <v>569</v>
      </c>
      <c r="X22" s="462" t="s">
        <v>418</v>
      </c>
      <c r="Y22" s="377">
        <f t="shared" si="2"/>
        <v>3250</v>
      </c>
      <c r="Z22" s="407">
        <f>S22*V22</f>
        <v>3250000</v>
      </c>
      <c r="AA22" s="1143">
        <f t="shared" si="0"/>
        <v>3250000000</v>
      </c>
      <c r="AC22" s="505"/>
    </row>
    <row r="23" spans="1:29" ht="21.4" customHeight="1">
      <c r="A23" s="1934"/>
      <c r="B23" s="1145"/>
      <c r="C23" s="1126"/>
      <c r="D23" s="1145"/>
      <c r="E23" s="762" t="s">
        <v>427</v>
      </c>
      <c r="F23" s="1683">
        <f>SUM(Y23)</f>
        <v>1300</v>
      </c>
      <c r="G23" s="1683">
        <v>1300</v>
      </c>
      <c r="H23" s="386"/>
      <c r="I23" s="1127"/>
      <c r="J23" s="835" t="s">
        <v>830</v>
      </c>
      <c r="K23" s="462"/>
      <c r="L23" s="462"/>
      <c r="M23" s="462"/>
      <c r="N23" s="399"/>
      <c r="O23" s="462"/>
      <c r="P23" s="462"/>
      <c r="Q23" s="836"/>
      <c r="R23" s="462"/>
      <c r="S23" s="399">
        <v>100000</v>
      </c>
      <c r="T23" s="462" t="s">
        <v>831</v>
      </c>
      <c r="U23" s="462"/>
      <c r="V23" s="462">
        <v>13</v>
      </c>
      <c r="W23" s="462" t="s">
        <v>832</v>
      </c>
      <c r="X23" s="462" t="s">
        <v>833</v>
      </c>
      <c r="Y23" s="377">
        <f t="shared" si="2"/>
        <v>1300</v>
      </c>
      <c r="Z23" s="407">
        <f>S23*V23</f>
        <v>1300000</v>
      </c>
      <c r="AA23" s="1143">
        <f t="shared" si="0"/>
        <v>1300000000</v>
      </c>
      <c r="AC23" s="505"/>
    </row>
    <row r="24" spans="1:29" ht="21.4" customHeight="1">
      <c r="A24" s="1934"/>
      <c r="B24" s="1145"/>
      <c r="C24" s="1126"/>
      <c r="D24" s="1145"/>
      <c r="E24" s="809" t="s">
        <v>834</v>
      </c>
      <c r="F24" s="613">
        <f>SUM(Y24)</f>
        <v>1390</v>
      </c>
      <c r="G24" s="613">
        <v>1390</v>
      </c>
      <c r="H24" s="810"/>
      <c r="I24" s="1127"/>
      <c r="J24" s="802" t="s">
        <v>835</v>
      </c>
      <c r="K24" s="815"/>
      <c r="L24" s="815"/>
      <c r="M24" s="815"/>
      <c r="N24" s="450"/>
      <c r="O24" s="815"/>
      <c r="P24" s="815"/>
      <c r="Q24" s="831"/>
      <c r="R24" s="815"/>
      <c r="S24" s="450"/>
      <c r="T24" s="815"/>
      <c r="U24" s="815"/>
      <c r="V24" s="815"/>
      <c r="W24" s="815"/>
      <c r="X24" s="815"/>
      <c r="Y24" s="356">
        <f t="shared" si="2"/>
        <v>1390</v>
      </c>
      <c r="Z24" s="275">
        <f>SUM(Z25:Z27)</f>
        <v>1390000</v>
      </c>
      <c r="AA24" s="1143">
        <f t="shared" si="0"/>
        <v>1390000000</v>
      </c>
      <c r="AC24" s="505"/>
    </row>
    <row r="25" spans="1:29" ht="21.4" customHeight="1">
      <c r="A25" s="1934"/>
      <c r="B25" s="1145"/>
      <c r="C25" s="1126"/>
      <c r="D25" s="1145"/>
      <c r="E25" s="465"/>
      <c r="F25" s="598"/>
      <c r="G25" s="598"/>
      <c r="H25" s="404"/>
      <c r="I25" s="1127"/>
      <c r="J25" s="1670" t="s">
        <v>836</v>
      </c>
      <c r="K25" s="1671"/>
      <c r="L25" s="1671"/>
      <c r="M25" s="1671"/>
      <c r="N25" s="1672"/>
      <c r="O25" s="1671"/>
      <c r="P25" s="1671"/>
      <c r="Q25" s="1673"/>
      <c r="R25" s="1671"/>
      <c r="S25" s="1672">
        <v>900000</v>
      </c>
      <c r="T25" s="1671" t="s">
        <v>831</v>
      </c>
      <c r="U25" s="1675"/>
      <c r="V25" s="1671">
        <v>1</v>
      </c>
      <c r="W25" s="1671" t="s">
        <v>837</v>
      </c>
      <c r="X25" s="1671" t="s">
        <v>833</v>
      </c>
      <c r="Y25" s="1674">
        <f t="shared" si="2"/>
        <v>900</v>
      </c>
      <c r="Z25" s="407">
        <f t="shared" ref="Z25:Z89" si="4">S25*V25</f>
        <v>900000</v>
      </c>
      <c r="AA25" s="1143">
        <f t="shared" si="0"/>
        <v>0</v>
      </c>
      <c r="AC25" s="505"/>
    </row>
    <row r="26" spans="1:29" ht="21.4" customHeight="1">
      <c r="A26" s="1934"/>
      <c r="B26" s="1145"/>
      <c r="C26" s="1126"/>
      <c r="D26" s="1145"/>
      <c r="E26" s="465"/>
      <c r="F26" s="598"/>
      <c r="G26" s="598"/>
      <c r="H26" s="404"/>
      <c r="I26" s="1127"/>
      <c r="J26" s="1670" t="s">
        <v>838</v>
      </c>
      <c r="K26" s="1671"/>
      <c r="L26" s="1671"/>
      <c r="M26" s="1671"/>
      <c r="N26" s="1672"/>
      <c r="O26" s="1671"/>
      <c r="P26" s="1671"/>
      <c r="Q26" s="1673"/>
      <c r="R26" s="1671"/>
      <c r="S26" s="1672">
        <v>370000</v>
      </c>
      <c r="T26" s="1671" t="s">
        <v>831</v>
      </c>
      <c r="U26" s="1675"/>
      <c r="V26" s="1671">
        <v>1</v>
      </c>
      <c r="W26" s="1671" t="s">
        <v>837</v>
      </c>
      <c r="X26" s="1671" t="s">
        <v>833</v>
      </c>
      <c r="Y26" s="1674">
        <f t="shared" si="2"/>
        <v>370</v>
      </c>
      <c r="Z26" s="407">
        <f t="shared" si="4"/>
        <v>370000</v>
      </c>
      <c r="AA26" s="1143">
        <f t="shared" si="0"/>
        <v>0</v>
      </c>
      <c r="AC26" s="505"/>
    </row>
    <row r="27" spans="1:29" ht="21.4" customHeight="1">
      <c r="A27" s="1934"/>
      <c r="B27" s="1145"/>
      <c r="C27" s="1126"/>
      <c r="D27" s="1145"/>
      <c r="E27" s="819"/>
      <c r="F27" s="597"/>
      <c r="G27" s="597"/>
      <c r="H27" s="820"/>
      <c r="I27" s="1127"/>
      <c r="J27" s="830" t="s">
        <v>839</v>
      </c>
      <c r="K27" s="371"/>
      <c r="L27" s="371"/>
      <c r="M27" s="371"/>
      <c r="N27" s="458"/>
      <c r="O27" s="371"/>
      <c r="P27" s="371"/>
      <c r="Q27" s="368">
        <v>3</v>
      </c>
      <c r="R27" s="371" t="s">
        <v>840</v>
      </c>
      <c r="S27" s="458">
        <v>40000</v>
      </c>
      <c r="T27" s="371" t="s">
        <v>831</v>
      </c>
      <c r="U27" s="1626"/>
      <c r="V27" s="371">
        <v>1</v>
      </c>
      <c r="W27" s="371" t="s">
        <v>837</v>
      </c>
      <c r="X27" s="371" t="s">
        <v>833</v>
      </c>
      <c r="Y27" s="345">
        <f t="shared" si="2"/>
        <v>120</v>
      </c>
      <c r="Z27" s="407">
        <f>Q27*S27*V27</f>
        <v>120000</v>
      </c>
      <c r="AA27" s="1143">
        <f t="shared" si="0"/>
        <v>0</v>
      </c>
      <c r="AC27" s="505"/>
    </row>
    <row r="28" spans="1:29" ht="21.4" customHeight="1">
      <c r="A28" s="1934"/>
      <c r="B28" s="1145"/>
      <c r="C28" s="1126"/>
      <c r="D28" s="1145"/>
      <c r="E28" s="465" t="s">
        <v>841</v>
      </c>
      <c r="F28" s="598">
        <f>SUM(Y28)</f>
        <v>6000</v>
      </c>
      <c r="G28" s="598">
        <v>6000</v>
      </c>
      <c r="H28" s="404"/>
      <c r="I28" s="1127"/>
      <c r="J28" s="802" t="s">
        <v>835</v>
      </c>
      <c r="K28" s="815"/>
      <c r="L28" s="815"/>
      <c r="M28" s="815"/>
      <c r="N28" s="450"/>
      <c r="O28" s="815"/>
      <c r="P28" s="815"/>
      <c r="Q28" s="831"/>
      <c r="R28" s="815"/>
      <c r="S28" s="450"/>
      <c r="T28" s="815"/>
      <c r="U28" s="815"/>
      <c r="V28" s="815"/>
      <c r="W28" s="815"/>
      <c r="X28" s="815"/>
      <c r="Y28" s="356">
        <f t="shared" si="2"/>
        <v>6000</v>
      </c>
      <c r="Z28" s="407">
        <f>SUM(Z29:Z30)</f>
        <v>6000000</v>
      </c>
      <c r="AA28" s="1143">
        <f t="shared" si="0"/>
        <v>6000000000</v>
      </c>
      <c r="AC28" s="505"/>
    </row>
    <row r="29" spans="1:29" ht="21.4" customHeight="1">
      <c r="A29" s="1934"/>
      <c r="B29" s="1145"/>
      <c r="C29" s="1126"/>
      <c r="D29" s="1145"/>
      <c r="E29" s="465"/>
      <c r="F29" s="598"/>
      <c r="G29" s="598"/>
      <c r="H29" s="404"/>
      <c r="I29" s="1127"/>
      <c r="J29" s="1670" t="s">
        <v>842</v>
      </c>
      <c r="K29" s="1671"/>
      <c r="L29" s="1671"/>
      <c r="M29" s="1671"/>
      <c r="N29" s="1672"/>
      <c r="O29" s="1671"/>
      <c r="P29" s="1671"/>
      <c r="Q29" s="1673">
        <v>1</v>
      </c>
      <c r="R29" s="1671" t="s">
        <v>843</v>
      </c>
      <c r="S29" s="1672">
        <v>100000</v>
      </c>
      <c r="T29" s="1671" t="s">
        <v>831</v>
      </c>
      <c r="U29" s="1671"/>
      <c r="V29" s="1671">
        <v>12</v>
      </c>
      <c r="W29" s="1671" t="s">
        <v>844</v>
      </c>
      <c r="X29" s="1671" t="s">
        <v>833</v>
      </c>
      <c r="Y29" s="1674">
        <f t="shared" si="2"/>
        <v>1200</v>
      </c>
      <c r="Z29" s="407">
        <f t="shared" ref="Z29:Z30" si="5">Q29*S29*V29</f>
        <v>1200000</v>
      </c>
      <c r="AA29" s="1143">
        <f t="shared" si="0"/>
        <v>0</v>
      </c>
      <c r="AC29" s="505"/>
    </row>
    <row r="30" spans="1:29" ht="21.4" customHeight="1">
      <c r="A30" s="1934"/>
      <c r="B30" s="1145"/>
      <c r="C30" s="1126"/>
      <c r="D30" s="1145"/>
      <c r="E30" s="819"/>
      <c r="F30" s="597"/>
      <c r="G30" s="597"/>
      <c r="H30" s="820"/>
      <c r="I30" s="1127"/>
      <c r="J30" s="830" t="s">
        <v>845</v>
      </c>
      <c r="K30" s="371"/>
      <c r="L30" s="371"/>
      <c r="M30" s="371"/>
      <c r="N30" s="458"/>
      <c r="O30" s="371"/>
      <c r="P30" s="371"/>
      <c r="Q30" s="368">
        <v>2</v>
      </c>
      <c r="R30" s="371" t="s">
        <v>843</v>
      </c>
      <c r="S30" s="458">
        <v>200000</v>
      </c>
      <c r="T30" s="371" t="s">
        <v>831</v>
      </c>
      <c r="U30" s="371"/>
      <c r="V30" s="371">
        <v>12</v>
      </c>
      <c r="W30" s="371" t="s">
        <v>844</v>
      </c>
      <c r="X30" s="371" t="s">
        <v>833</v>
      </c>
      <c r="Y30" s="1674">
        <f t="shared" si="2"/>
        <v>4800</v>
      </c>
      <c r="Z30" s="407">
        <f t="shared" si="5"/>
        <v>4800000</v>
      </c>
      <c r="AA30" s="1143">
        <f t="shared" si="0"/>
        <v>0</v>
      </c>
      <c r="AC30" s="505"/>
    </row>
    <row r="31" spans="1:29" ht="21.4" customHeight="1">
      <c r="A31" s="1934"/>
      <c r="B31" s="1145"/>
      <c r="C31" s="1126"/>
      <c r="D31" s="1145"/>
      <c r="E31" s="809" t="s">
        <v>846</v>
      </c>
      <c r="F31" s="613">
        <f>SUM(Y31)</f>
        <v>3800</v>
      </c>
      <c r="G31" s="613">
        <v>3800</v>
      </c>
      <c r="H31" s="810"/>
      <c r="I31" s="1127"/>
      <c r="J31" s="802" t="s">
        <v>835</v>
      </c>
      <c r="K31" s="815"/>
      <c r="L31" s="815"/>
      <c r="M31" s="815"/>
      <c r="N31" s="450"/>
      <c r="O31" s="450"/>
      <c r="P31" s="815"/>
      <c r="Q31" s="831"/>
      <c r="R31" s="815"/>
      <c r="S31" s="815"/>
      <c r="T31" s="815"/>
      <c r="U31" s="815"/>
      <c r="V31" s="815"/>
      <c r="W31" s="815"/>
      <c r="X31" s="815"/>
      <c r="Y31" s="356">
        <f t="shared" si="2"/>
        <v>3800</v>
      </c>
      <c r="Z31" s="407">
        <f>SUM(Z32:Z35)</f>
        <v>3800000</v>
      </c>
      <c r="AA31" s="1143">
        <f t="shared" si="0"/>
        <v>3800000000</v>
      </c>
      <c r="AC31" s="505"/>
    </row>
    <row r="32" spans="1:29" ht="21.4" customHeight="1">
      <c r="A32" s="1934"/>
      <c r="B32" s="1145"/>
      <c r="C32" s="1126"/>
      <c r="D32" s="1145"/>
      <c r="E32" s="465"/>
      <c r="F32" s="598"/>
      <c r="G32" s="598"/>
      <c r="H32" s="404"/>
      <c r="I32" s="1127"/>
      <c r="J32" s="1670" t="s">
        <v>847</v>
      </c>
      <c r="K32" s="1671"/>
      <c r="L32" s="1671"/>
      <c r="M32" s="1671"/>
      <c r="N32" s="1672"/>
      <c r="O32" s="1671"/>
      <c r="P32" s="1671"/>
      <c r="Q32" s="1673"/>
      <c r="R32" s="1671"/>
      <c r="S32" s="1672">
        <v>300000</v>
      </c>
      <c r="T32" s="1671" t="s">
        <v>831</v>
      </c>
      <c r="U32" s="1671"/>
      <c r="V32" s="1671">
        <v>1</v>
      </c>
      <c r="W32" s="1671" t="s">
        <v>837</v>
      </c>
      <c r="X32" s="1671" t="s">
        <v>833</v>
      </c>
      <c r="Y32" s="1674">
        <f t="shared" si="2"/>
        <v>300</v>
      </c>
      <c r="Z32" s="407">
        <f t="shared" si="4"/>
        <v>300000</v>
      </c>
      <c r="AA32" s="1143">
        <f t="shared" si="0"/>
        <v>0</v>
      </c>
      <c r="AC32" s="505"/>
    </row>
    <row r="33" spans="1:29" ht="21.4" customHeight="1">
      <c r="A33" s="1934"/>
      <c r="B33" s="1145"/>
      <c r="C33" s="1126"/>
      <c r="D33" s="1145"/>
      <c r="E33" s="465"/>
      <c r="F33" s="598"/>
      <c r="G33" s="598"/>
      <c r="H33" s="404"/>
      <c r="I33" s="1127"/>
      <c r="J33" s="1670" t="s">
        <v>848</v>
      </c>
      <c r="K33" s="1671"/>
      <c r="L33" s="1671"/>
      <c r="M33" s="1671"/>
      <c r="N33" s="1672"/>
      <c r="O33" s="1671"/>
      <c r="P33" s="1671"/>
      <c r="Q33" s="1673"/>
      <c r="R33" s="1671"/>
      <c r="S33" s="1672">
        <v>1300000</v>
      </c>
      <c r="T33" s="1671" t="s">
        <v>831</v>
      </c>
      <c r="U33" s="1671"/>
      <c r="V33" s="1671">
        <v>1</v>
      </c>
      <c r="W33" s="1671" t="s">
        <v>837</v>
      </c>
      <c r="X33" s="1671" t="s">
        <v>833</v>
      </c>
      <c r="Y33" s="1674">
        <f t="shared" si="2"/>
        <v>1300</v>
      </c>
      <c r="Z33" s="407">
        <f t="shared" si="4"/>
        <v>1300000</v>
      </c>
      <c r="AA33" s="1143">
        <f t="shared" si="0"/>
        <v>0</v>
      </c>
      <c r="AC33" s="505"/>
    </row>
    <row r="34" spans="1:29" ht="21.4" customHeight="1">
      <c r="A34" s="1934"/>
      <c r="B34" s="1145"/>
      <c r="C34" s="1126"/>
      <c r="D34" s="1145"/>
      <c r="E34" s="465"/>
      <c r="F34" s="598"/>
      <c r="G34" s="598"/>
      <c r="H34" s="404"/>
      <c r="I34" s="1127"/>
      <c r="J34" s="1670" t="s">
        <v>849</v>
      </c>
      <c r="K34" s="1671"/>
      <c r="L34" s="1671"/>
      <c r="M34" s="1671"/>
      <c r="N34" s="1672"/>
      <c r="O34" s="1671"/>
      <c r="P34" s="1671"/>
      <c r="Q34" s="1673"/>
      <c r="R34" s="1671"/>
      <c r="S34" s="1672">
        <v>400000</v>
      </c>
      <c r="T34" s="1671" t="s">
        <v>831</v>
      </c>
      <c r="U34" s="1671"/>
      <c r="V34" s="1671">
        <v>1</v>
      </c>
      <c r="W34" s="1671" t="s">
        <v>837</v>
      </c>
      <c r="X34" s="1671" t="s">
        <v>833</v>
      </c>
      <c r="Y34" s="1674">
        <f t="shared" si="2"/>
        <v>400</v>
      </c>
      <c r="Z34" s="407">
        <f t="shared" si="4"/>
        <v>400000</v>
      </c>
      <c r="AA34" s="1143">
        <f t="shared" si="0"/>
        <v>0</v>
      </c>
      <c r="AC34" s="505"/>
    </row>
    <row r="35" spans="1:29" ht="21.4" customHeight="1">
      <c r="A35" s="1934"/>
      <c r="B35" s="1145"/>
      <c r="C35" s="1126"/>
      <c r="D35" s="1145"/>
      <c r="E35" s="465"/>
      <c r="F35" s="598"/>
      <c r="G35" s="598"/>
      <c r="H35" s="404"/>
      <c r="I35" s="1127"/>
      <c r="J35" s="1670" t="s">
        <v>850</v>
      </c>
      <c r="K35" s="1671"/>
      <c r="L35" s="1671"/>
      <c r="M35" s="1671"/>
      <c r="N35" s="1672"/>
      <c r="O35" s="1671"/>
      <c r="P35" s="1671"/>
      <c r="Q35" s="1673"/>
      <c r="R35" s="1671"/>
      <c r="S35" s="1672">
        <v>450000</v>
      </c>
      <c r="T35" s="1671" t="s">
        <v>831</v>
      </c>
      <c r="U35" s="1671"/>
      <c r="V35" s="1671">
        <v>4</v>
      </c>
      <c r="W35" s="1671" t="s">
        <v>837</v>
      </c>
      <c r="X35" s="1671" t="s">
        <v>833</v>
      </c>
      <c r="Y35" s="1674">
        <f t="shared" si="2"/>
        <v>1800</v>
      </c>
      <c r="Z35" s="407">
        <f t="shared" si="4"/>
        <v>1800000</v>
      </c>
      <c r="AA35" s="1143">
        <f t="shared" si="0"/>
        <v>0</v>
      </c>
      <c r="AC35" s="505"/>
    </row>
    <row r="36" spans="1:29" ht="21.4" customHeight="1">
      <c r="A36" s="1934"/>
      <c r="B36" s="1145"/>
      <c r="C36" s="1126"/>
      <c r="D36" s="1145"/>
      <c r="E36" s="809" t="s">
        <v>851</v>
      </c>
      <c r="F36" s="613">
        <f>+Y36</f>
        <v>27700</v>
      </c>
      <c r="G36" s="613">
        <v>27700</v>
      </c>
      <c r="H36" s="810"/>
      <c r="I36" s="1127"/>
      <c r="J36" s="811" t="s">
        <v>835</v>
      </c>
      <c r="K36" s="815"/>
      <c r="L36" s="815"/>
      <c r="M36" s="815"/>
      <c r="N36" s="450"/>
      <c r="O36" s="450"/>
      <c r="P36" s="815"/>
      <c r="Q36" s="831"/>
      <c r="R36" s="815"/>
      <c r="S36" s="815"/>
      <c r="T36" s="815"/>
      <c r="U36" s="815"/>
      <c r="V36" s="815"/>
      <c r="W36" s="815"/>
      <c r="X36" s="815"/>
      <c r="Y36" s="356">
        <f t="shared" si="2"/>
        <v>27700</v>
      </c>
      <c r="Z36" s="407">
        <f>SUM(Z37:Z45)</f>
        <v>27700000</v>
      </c>
      <c r="AA36" s="1143">
        <f t="shared" si="0"/>
        <v>27700000000</v>
      </c>
      <c r="AC36" s="505"/>
    </row>
    <row r="37" spans="1:29" ht="21.4" customHeight="1">
      <c r="A37" s="1934"/>
      <c r="B37" s="1145"/>
      <c r="C37" s="1126"/>
      <c r="D37" s="1145"/>
      <c r="E37" s="465"/>
      <c r="F37" s="598"/>
      <c r="G37" s="598"/>
      <c r="H37" s="404"/>
      <c r="I37" s="1127"/>
      <c r="J37" s="1670" t="s">
        <v>852</v>
      </c>
      <c r="K37" s="1671"/>
      <c r="L37" s="1671"/>
      <c r="M37" s="1671"/>
      <c r="N37" s="1672"/>
      <c r="O37" s="1671"/>
      <c r="P37" s="1671"/>
      <c r="Q37" s="1673">
        <v>6</v>
      </c>
      <c r="R37" s="1671" t="s">
        <v>853</v>
      </c>
      <c r="S37" s="1672">
        <v>25000</v>
      </c>
      <c r="T37" s="1671" t="s">
        <v>831</v>
      </c>
      <c r="U37" s="1671"/>
      <c r="V37" s="1671">
        <v>12</v>
      </c>
      <c r="W37" s="1671" t="s">
        <v>844</v>
      </c>
      <c r="X37" s="1671" t="s">
        <v>833</v>
      </c>
      <c r="Y37" s="1674">
        <f t="shared" si="2"/>
        <v>1800</v>
      </c>
      <c r="Z37" s="407">
        <f t="shared" ref="Z37:Z43" si="6">Q37*S37*V37</f>
        <v>1800000</v>
      </c>
      <c r="AA37" s="1143">
        <f t="shared" si="0"/>
        <v>0</v>
      </c>
      <c r="AC37" s="505"/>
    </row>
    <row r="38" spans="1:29" s="1675" customFormat="1" ht="21.4" customHeight="1">
      <c r="A38" s="1934"/>
      <c r="B38" s="1145"/>
      <c r="C38" s="1126"/>
      <c r="D38" s="1145"/>
      <c r="E38" s="465"/>
      <c r="F38" s="598"/>
      <c r="G38" s="598"/>
      <c r="H38" s="404"/>
      <c r="I38" s="1127"/>
      <c r="J38" s="1939" t="s">
        <v>854</v>
      </c>
      <c r="K38" s="1940"/>
      <c r="L38" s="1940"/>
      <c r="M38" s="1940"/>
      <c r="N38" s="506"/>
      <c r="O38" s="1671"/>
      <c r="P38" s="1671"/>
      <c r="Q38" s="1671">
        <v>2</v>
      </c>
      <c r="R38" s="1671" t="s">
        <v>855</v>
      </c>
      <c r="S38" s="1672">
        <v>25000</v>
      </c>
      <c r="T38" s="1671" t="s">
        <v>831</v>
      </c>
      <c r="U38" s="1671"/>
      <c r="V38" s="1671">
        <v>4</v>
      </c>
      <c r="W38" s="1671" t="s">
        <v>856</v>
      </c>
      <c r="X38" s="1671" t="s">
        <v>833</v>
      </c>
      <c r="Y38" s="1674">
        <f t="shared" si="2"/>
        <v>200</v>
      </c>
      <c r="Z38" s="407">
        <f t="shared" si="6"/>
        <v>200000</v>
      </c>
      <c r="AA38" s="1143">
        <f t="shared" si="0"/>
        <v>0</v>
      </c>
      <c r="AB38" s="1143"/>
      <c r="AC38" s="505"/>
    </row>
    <row r="39" spans="1:29" s="1675" customFormat="1" ht="21.4" customHeight="1">
      <c r="A39" s="1934"/>
      <c r="B39" s="1145"/>
      <c r="C39" s="1126"/>
      <c r="D39" s="1145"/>
      <c r="E39" s="465"/>
      <c r="F39" s="598"/>
      <c r="G39" s="598"/>
      <c r="H39" s="404"/>
      <c r="I39" s="1127"/>
      <c r="J39" s="1939" t="s">
        <v>857</v>
      </c>
      <c r="K39" s="1940"/>
      <c r="L39" s="1940"/>
      <c r="M39" s="1940"/>
      <c r="N39" s="506"/>
      <c r="O39" s="1671"/>
      <c r="P39" s="1671"/>
      <c r="Q39" s="1671">
        <v>50</v>
      </c>
      <c r="R39" s="1671" t="s">
        <v>858</v>
      </c>
      <c r="S39" s="1672">
        <v>6000</v>
      </c>
      <c r="T39" s="1671" t="s">
        <v>831</v>
      </c>
      <c r="U39" s="1671"/>
      <c r="V39" s="1671">
        <v>12</v>
      </c>
      <c r="W39" s="1671" t="s">
        <v>844</v>
      </c>
      <c r="X39" s="1671" t="s">
        <v>833</v>
      </c>
      <c r="Y39" s="1674">
        <f t="shared" si="2"/>
        <v>3600</v>
      </c>
      <c r="Z39" s="407">
        <f t="shared" si="6"/>
        <v>3600000</v>
      </c>
      <c r="AA39" s="1143">
        <f t="shared" si="0"/>
        <v>0</v>
      </c>
      <c r="AB39" s="1143"/>
      <c r="AC39" s="505"/>
    </row>
    <row r="40" spans="1:29" s="1675" customFormat="1" ht="21.4" customHeight="1">
      <c r="A40" s="1934"/>
      <c r="B40" s="1145"/>
      <c r="C40" s="1126"/>
      <c r="D40" s="1145"/>
      <c r="E40" s="465"/>
      <c r="F40" s="598"/>
      <c r="G40" s="598"/>
      <c r="H40" s="404"/>
      <c r="I40" s="1127"/>
      <c r="J40" s="1939" t="s">
        <v>859</v>
      </c>
      <c r="K40" s="1940"/>
      <c r="L40" s="1940"/>
      <c r="M40" s="1940"/>
      <c r="N40" s="506"/>
      <c r="O40" s="1671"/>
      <c r="P40" s="1671"/>
      <c r="Q40" s="1671">
        <v>2</v>
      </c>
      <c r="R40" s="1671" t="s">
        <v>860</v>
      </c>
      <c r="S40" s="1672">
        <v>150000</v>
      </c>
      <c r="T40" s="1671" t="s">
        <v>831</v>
      </c>
      <c r="U40" s="1671"/>
      <c r="V40" s="1671">
        <v>3</v>
      </c>
      <c r="W40" s="1671" t="s">
        <v>837</v>
      </c>
      <c r="X40" s="1671" t="s">
        <v>833</v>
      </c>
      <c r="Y40" s="1674">
        <f t="shared" si="2"/>
        <v>900</v>
      </c>
      <c r="Z40" s="407">
        <f t="shared" si="6"/>
        <v>900000</v>
      </c>
      <c r="AA40" s="1143">
        <f t="shared" si="0"/>
        <v>0</v>
      </c>
      <c r="AB40" s="1143"/>
      <c r="AC40" s="505"/>
    </row>
    <row r="41" spans="1:29" s="1675" customFormat="1" ht="21.4" customHeight="1">
      <c r="A41" s="1934"/>
      <c r="B41" s="1145"/>
      <c r="C41" s="1126"/>
      <c r="D41" s="1145"/>
      <c r="E41" s="465"/>
      <c r="F41" s="598"/>
      <c r="G41" s="598"/>
      <c r="H41" s="404"/>
      <c r="I41" s="1127"/>
      <c r="J41" s="1939" t="s">
        <v>861</v>
      </c>
      <c r="K41" s="1940"/>
      <c r="L41" s="1940"/>
      <c r="M41" s="1940"/>
      <c r="N41" s="506"/>
      <c r="O41" s="1671"/>
      <c r="P41" s="1671"/>
      <c r="Q41" s="1671">
        <v>3</v>
      </c>
      <c r="R41" s="1671" t="s">
        <v>860</v>
      </c>
      <c r="S41" s="1672">
        <v>200000</v>
      </c>
      <c r="T41" s="1671" t="s">
        <v>831</v>
      </c>
      <c r="U41" s="1671"/>
      <c r="V41" s="1671">
        <v>4</v>
      </c>
      <c r="W41" s="1671" t="s">
        <v>837</v>
      </c>
      <c r="X41" s="1671" t="s">
        <v>833</v>
      </c>
      <c r="Y41" s="1674">
        <f t="shared" si="2"/>
        <v>2400</v>
      </c>
      <c r="Z41" s="407">
        <f t="shared" si="6"/>
        <v>2400000</v>
      </c>
      <c r="AA41" s="1143">
        <f t="shared" si="0"/>
        <v>0</v>
      </c>
      <c r="AB41" s="1143"/>
      <c r="AC41" s="505"/>
    </row>
    <row r="42" spans="1:29" s="1675" customFormat="1" ht="21.4" customHeight="1">
      <c r="A42" s="1934"/>
      <c r="B42" s="1145"/>
      <c r="C42" s="1126"/>
      <c r="D42" s="1145"/>
      <c r="E42" s="465"/>
      <c r="F42" s="598"/>
      <c r="G42" s="598"/>
      <c r="H42" s="404"/>
      <c r="I42" s="1127"/>
      <c r="J42" s="1670" t="s">
        <v>862</v>
      </c>
      <c r="K42" s="1671"/>
      <c r="L42" s="1671"/>
      <c r="M42" s="1671"/>
      <c r="N42" s="1672"/>
      <c r="O42" s="1671"/>
      <c r="P42" s="1671"/>
      <c r="Q42" s="1673">
        <v>3</v>
      </c>
      <c r="R42" s="1671" t="s">
        <v>860</v>
      </c>
      <c r="S42" s="1672">
        <v>200000</v>
      </c>
      <c r="T42" s="1671" t="s">
        <v>831</v>
      </c>
      <c r="U42" s="1671"/>
      <c r="V42" s="1671">
        <v>4</v>
      </c>
      <c r="W42" s="1671" t="s">
        <v>837</v>
      </c>
      <c r="X42" s="1671" t="s">
        <v>833</v>
      </c>
      <c r="Y42" s="1674">
        <f t="shared" si="2"/>
        <v>2400</v>
      </c>
      <c r="Z42" s="407">
        <f t="shared" si="6"/>
        <v>2400000</v>
      </c>
      <c r="AA42" s="1143">
        <f t="shared" si="0"/>
        <v>0</v>
      </c>
      <c r="AB42" s="1143"/>
      <c r="AC42" s="505"/>
    </row>
    <row r="43" spans="1:29" s="1675" customFormat="1" ht="21.4" customHeight="1">
      <c r="A43" s="1934"/>
      <c r="B43" s="1145"/>
      <c r="C43" s="1126"/>
      <c r="D43" s="1145"/>
      <c r="E43" s="465"/>
      <c r="F43" s="598"/>
      <c r="G43" s="598"/>
      <c r="H43" s="404"/>
      <c r="I43" s="1127"/>
      <c r="J43" s="1939" t="s">
        <v>863</v>
      </c>
      <c r="K43" s="1940"/>
      <c r="L43" s="1940"/>
      <c r="M43" s="1940"/>
      <c r="N43" s="506"/>
      <c r="O43" s="1671"/>
      <c r="P43" s="1671"/>
      <c r="Q43" s="1671">
        <v>4</v>
      </c>
      <c r="R43" s="1671" t="s">
        <v>860</v>
      </c>
      <c r="S43" s="1672">
        <v>100000</v>
      </c>
      <c r="T43" s="1671" t="s">
        <v>831</v>
      </c>
      <c r="U43" s="1671"/>
      <c r="V43" s="1671">
        <v>2</v>
      </c>
      <c r="W43" s="1671" t="s">
        <v>837</v>
      </c>
      <c r="X43" s="1671" t="s">
        <v>833</v>
      </c>
      <c r="Y43" s="1674">
        <f t="shared" si="2"/>
        <v>800</v>
      </c>
      <c r="Z43" s="407">
        <f t="shared" si="6"/>
        <v>800000</v>
      </c>
      <c r="AA43" s="1143">
        <f t="shared" si="0"/>
        <v>0</v>
      </c>
      <c r="AB43" s="1143"/>
      <c r="AC43" s="505"/>
    </row>
    <row r="44" spans="1:29" ht="21.4" customHeight="1">
      <c r="A44" s="1934"/>
      <c r="B44" s="1145"/>
      <c r="C44" s="1126"/>
      <c r="D44" s="1145"/>
      <c r="E44" s="465"/>
      <c r="F44" s="598"/>
      <c r="G44" s="598"/>
      <c r="H44" s="404"/>
      <c r="I44" s="1127"/>
      <c r="J44" s="1670" t="s">
        <v>864</v>
      </c>
      <c r="K44" s="1671"/>
      <c r="L44" s="1671"/>
      <c r="M44" s="1671"/>
      <c r="N44" s="1672"/>
      <c r="O44" s="1671"/>
      <c r="P44" s="1671"/>
      <c r="Q44" s="1671" t="s">
        <v>865</v>
      </c>
      <c r="R44" s="1671" t="s">
        <v>866</v>
      </c>
      <c r="S44" s="1672">
        <v>200000</v>
      </c>
      <c r="T44" s="1671" t="s">
        <v>831</v>
      </c>
      <c r="U44" s="1671"/>
      <c r="V44" s="1671">
        <v>6</v>
      </c>
      <c r="W44" s="1671" t="s">
        <v>837</v>
      </c>
      <c r="X44" s="1671" t="s">
        <v>833</v>
      </c>
      <c r="Y44" s="1674">
        <f t="shared" si="2"/>
        <v>1200</v>
      </c>
      <c r="Z44" s="407">
        <f t="shared" si="4"/>
        <v>1200000</v>
      </c>
      <c r="AA44" s="1143">
        <f t="shared" si="0"/>
        <v>0</v>
      </c>
      <c r="AC44" s="505"/>
    </row>
    <row r="45" spans="1:29" s="1675" customFormat="1" ht="21.4" customHeight="1">
      <c r="A45" s="1934"/>
      <c r="B45" s="1145"/>
      <c r="C45" s="1126"/>
      <c r="D45" s="1145"/>
      <c r="E45" s="465"/>
      <c r="F45" s="598"/>
      <c r="G45" s="598"/>
      <c r="H45" s="404"/>
      <c r="I45" s="1127"/>
      <c r="J45" s="830" t="s">
        <v>867</v>
      </c>
      <c r="K45" s="1671"/>
      <c r="L45" s="1671"/>
      <c r="M45" s="1671"/>
      <c r="N45" s="1672"/>
      <c r="O45" s="1671"/>
      <c r="P45" s="1671"/>
      <c r="Q45" s="1671" t="s">
        <v>865</v>
      </c>
      <c r="R45" s="1671" t="s">
        <v>866</v>
      </c>
      <c r="S45" s="1672">
        <v>1200000</v>
      </c>
      <c r="T45" s="1671" t="s">
        <v>831</v>
      </c>
      <c r="U45" s="1671"/>
      <c r="V45" s="1671">
        <v>12</v>
      </c>
      <c r="W45" s="1671" t="s">
        <v>844</v>
      </c>
      <c r="X45" s="1671" t="s">
        <v>833</v>
      </c>
      <c r="Y45" s="1674">
        <f t="shared" si="2"/>
        <v>14400</v>
      </c>
      <c r="Z45" s="407">
        <f t="shared" si="4"/>
        <v>14400000</v>
      </c>
      <c r="AA45" s="1143">
        <f t="shared" si="0"/>
        <v>0</v>
      </c>
      <c r="AB45" s="1143"/>
      <c r="AC45" s="505"/>
    </row>
    <row r="46" spans="1:29" s="1675" customFormat="1" ht="21" customHeight="1">
      <c r="A46" s="1934"/>
      <c r="B46" s="1145"/>
      <c r="C46" s="1126"/>
      <c r="D46" s="1145"/>
      <c r="E46" s="809" t="s">
        <v>868</v>
      </c>
      <c r="F46" s="613">
        <f>SUM(Y46)</f>
        <v>57360</v>
      </c>
      <c r="G46" s="613">
        <v>57360</v>
      </c>
      <c r="H46" s="810"/>
      <c r="I46" s="1127"/>
      <c r="J46" s="802" t="s">
        <v>835</v>
      </c>
      <c r="K46" s="815"/>
      <c r="L46" s="815"/>
      <c r="M46" s="815"/>
      <c r="N46" s="450"/>
      <c r="O46" s="450"/>
      <c r="P46" s="815"/>
      <c r="Q46" s="831"/>
      <c r="R46" s="815"/>
      <c r="S46" s="815"/>
      <c r="T46" s="815"/>
      <c r="U46" s="815"/>
      <c r="V46" s="815"/>
      <c r="W46" s="815"/>
      <c r="X46" s="815"/>
      <c r="Y46" s="356">
        <f t="shared" si="2"/>
        <v>57360</v>
      </c>
      <c r="Z46" s="407">
        <f>SUM(Z47:Z48)</f>
        <v>57360000</v>
      </c>
      <c r="AA46" s="1143">
        <f t="shared" si="0"/>
        <v>57360000000</v>
      </c>
      <c r="AB46" s="1143"/>
      <c r="AC46" s="505"/>
    </row>
    <row r="47" spans="1:29" ht="21" customHeight="1">
      <c r="A47" s="1934"/>
      <c r="B47" s="1145"/>
      <c r="C47" s="1126"/>
      <c r="D47" s="1145"/>
      <c r="E47" s="465"/>
      <c r="F47" s="598"/>
      <c r="G47" s="598"/>
      <c r="H47" s="404"/>
      <c r="I47" s="1127"/>
      <c r="J47" s="1670" t="s">
        <v>869</v>
      </c>
      <c r="K47" s="1671"/>
      <c r="L47" s="1671"/>
      <c r="M47" s="1671"/>
      <c r="N47" s="1672"/>
      <c r="O47" s="1671"/>
      <c r="P47" s="1671"/>
      <c r="Q47" s="1673"/>
      <c r="R47" s="1671"/>
      <c r="S47" s="1672">
        <v>4620000</v>
      </c>
      <c r="T47" s="1671" t="s">
        <v>831</v>
      </c>
      <c r="U47" s="1671"/>
      <c r="V47" s="1671">
        <v>12</v>
      </c>
      <c r="W47" s="1671" t="s">
        <v>844</v>
      </c>
      <c r="X47" s="1671" t="s">
        <v>833</v>
      </c>
      <c r="Y47" s="1674">
        <f t="shared" si="2"/>
        <v>55440</v>
      </c>
      <c r="Z47" s="407">
        <f t="shared" si="4"/>
        <v>55440000</v>
      </c>
      <c r="AA47" s="1143">
        <f t="shared" si="0"/>
        <v>0</v>
      </c>
      <c r="AC47" s="505"/>
    </row>
    <row r="48" spans="1:29" s="1675" customFormat="1" ht="21" customHeight="1">
      <c r="A48" s="1934"/>
      <c r="B48" s="1145"/>
      <c r="C48" s="1126"/>
      <c r="D48" s="1145"/>
      <c r="E48" s="465"/>
      <c r="F48" s="598"/>
      <c r="G48" s="598"/>
      <c r="H48" s="404"/>
      <c r="I48" s="1127"/>
      <c r="J48" s="1670" t="s">
        <v>870</v>
      </c>
      <c r="K48" s="1671"/>
      <c r="L48" s="1671"/>
      <c r="M48" s="1671"/>
      <c r="N48" s="1672"/>
      <c r="O48" s="1672"/>
      <c r="P48" s="1671"/>
      <c r="Q48" s="1673"/>
      <c r="R48" s="1671"/>
      <c r="S48" s="1672">
        <v>160000</v>
      </c>
      <c r="T48" s="1671" t="s">
        <v>831</v>
      </c>
      <c r="U48" s="1671"/>
      <c r="V48" s="1671">
        <v>12</v>
      </c>
      <c r="W48" s="1671" t="s">
        <v>844</v>
      </c>
      <c r="X48" s="1671" t="s">
        <v>833</v>
      </c>
      <c r="Y48" s="1674">
        <f t="shared" si="2"/>
        <v>1920</v>
      </c>
      <c r="Z48" s="407">
        <f t="shared" si="4"/>
        <v>1920000</v>
      </c>
      <c r="AA48" s="1143">
        <f t="shared" si="0"/>
        <v>0</v>
      </c>
      <c r="AB48" s="1143"/>
      <c r="AC48" s="505"/>
    </row>
    <row r="49" spans="1:29" ht="21" customHeight="1">
      <c r="A49" s="1934"/>
      <c r="B49" s="1145"/>
      <c r="C49" s="1126"/>
      <c r="D49" s="1145"/>
      <c r="E49" s="809" t="s">
        <v>871</v>
      </c>
      <c r="F49" s="613">
        <f>SUM(Y49)</f>
        <v>9840</v>
      </c>
      <c r="G49" s="613">
        <v>9840</v>
      </c>
      <c r="H49" s="810"/>
      <c r="I49" s="1127"/>
      <c r="J49" s="811" t="s">
        <v>835</v>
      </c>
      <c r="K49" s="815"/>
      <c r="L49" s="815"/>
      <c r="M49" s="815"/>
      <c r="N49" s="450"/>
      <c r="O49" s="450"/>
      <c r="P49" s="815"/>
      <c r="Q49" s="831"/>
      <c r="R49" s="815"/>
      <c r="S49" s="815"/>
      <c r="T49" s="815"/>
      <c r="U49" s="815"/>
      <c r="V49" s="815"/>
      <c r="W49" s="815"/>
      <c r="X49" s="815"/>
      <c r="Y49" s="356">
        <f t="shared" si="2"/>
        <v>9840</v>
      </c>
      <c r="Z49" s="407">
        <f>SUM(Z50:Z51)</f>
        <v>9840000</v>
      </c>
      <c r="AA49" s="1143">
        <f t="shared" si="0"/>
        <v>9840000000</v>
      </c>
      <c r="AC49" s="505"/>
    </row>
    <row r="50" spans="1:29" ht="21" customHeight="1">
      <c r="A50" s="1934"/>
      <c r="B50" s="1145"/>
      <c r="C50" s="1126"/>
      <c r="D50" s="1145"/>
      <c r="E50" s="465"/>
      <c r="F50" s="598"/>
      <c r="G50" s="598"/>
      <c r="H50" s="404"/>
      <c r="I50" s="1127"/>
      <c r="J50" s="1670" t="s">
        <v>872</v>
      </c>
      <c r="K50" s="1671"/>
      <c r="L50" s="1671"/>
      <c r="M50" s="1671"/>
      <c r="N50" s="1672"/>
      <c r="O50" s="1672"/>
      <c r="P50" s="1671"/>
      <c r="Q50" s="1673"/>
      <c r="R50" s="1671"/>
      <c r="S50" s="1671">
        <v>700000</v>
      </c>
      <c r="T50" s="1671" t="s">
        <v>831</v>
      </c>
      <c r="U50" s="1671"/>
      <c r="V50" s="1671">
        <v>12</v>
      </c>
      <c r="W50" s="1671" t="s">
        <v>844</v>
      </c>
      <c r="X50" s="1671" t="s">
        <v>873</v>
      </c>
      <c r="Y50" s="1674">
        <f t="shared" si="2"/>
        <v>8400</v>
      </c>
      <c r="Z50" s="407">
        <f t="shared" si="4"/>
        <v>8400000</v>
      </c>
      <c r="AA50" s="1143">
        <f t="shared" si="0"/>
        <v>0</v>
      </c>
      <c r="AC50" s="505"/>
    </row>
    <row r="51" spans="1:29" ht="21" customHeight="1">
      <c r="A51" s="1934"/>
      <c r="B51" s="1145"/>
      <c r="C51" s="1126"/>
      <c r="D51" s="1145"/>
      <c r="E51" s="819"/>
      <c r="F51" s="597"/>
      <c r="G51" s="597"/>
      <c r="H51" s="820"/>
      <c r="I51" s="1127"/>
      <c r="J51" s="1627" t="s">
        <v>874</v>
      </c>
      <c r="K51" s="1926"/>
      <c r="L51" s="1926"/>
      <c r="M51" s="1926"/>
      <c r="N51" s="1926"/>
      <c r="O51" s="1926"/>
      <c r="P51" s="1926"/>
      <c r="Q51" s="459"/>
      <c r="R51" s="457"/>
      <c r="S51" s="459">
        <v>1440000000</v>
      </c>
      <c r="T51" s="459" t="s">
        <v>831</v>
      </c>
      <c r="U51" s="1626"/>
      <c r="V51" s="832">
        <v>1E-3</v>
      </c>
      <c r="W51" s="459"/>
      <c r="X51" s="459" t="s">
        <v>833</v>
      </c>
      <c r="Y51" s="345">
        <f t="shared" si="2"/>
        <v>1440</v>
      </c>
      <c r="Z51" s="407">
        <f t="shared" si="4"/>
        <v>1440000</v>
      </c>
      <c r="AA51" s="1143">
        <f t="shared" si="0"/>
        <v>0</v>
      </c>
      <c r="AC51" s="505"/>
    </row>
    <row r="52" spans="1:29" ht="21" customHeight="1">
      <c r="A52" s="1934"/>
      <c r="B52" s="1145"/>
      <c r="C52" s="1126"/>
      <c r="D52" s="1145"/>
      <c r="E52" s="809" t="s">
        <v>875</v>
      </c>
      <c r="F52" s="613">
        <f>SUM(Y52)</f>
        <v>62120</v>
      </c>
      <c r="G52" s="613">
        <v>62120</v>
      </c>
      <c r="H52" s="810"/>
      <c r="I52" s="1127"/>
      <c r="J52" s="802" t="s">
        <v>2803</v>
      </c>
      <c r="K52" s="1685"/>
      <c r="L52" s="1685"/>
      <c r="M52" s="1685"/>
      <c r="N52" s="1686"/>
      <c r="O52" s="1685"/>
      <c r="P52" s="1685"/>
      <c r="Q52" s="635"/>
      <c r="R52" s="1685"/>
      <c r="S52" s="1686"/>
      <c r="T52" s="1685"/>
      <c r="U52" s="1685"/>
      <c r="V52" s="1685"/>
      <c r="W52" s="1685"/>
      <c r="X52" s="1685"/>
      <c r="Y52" s="636">
        <f>+Z52/1000</f>
        <v>62120</v>
      </c>
      <c r="Z52" s="532">
        <f>SUM(Z53:Z54)</f>
        <v>62120000</v>
      </c>
      <c r="AA52" s="1143">
        <f t="shared" si="0"/>
        <v>62120000000</v>
      </c>
      <c r="AC52" s="505"/>
    </row>
    <row r="53" spans="1:29" ht="21" customHeight="1">
      <c r="A53" s="1934"/>
      <c r="B53" s="1145"/>
      <c r="C53" s="1126"/>
      <c r="D53" s="1145"/>
      <c r="E53" s="465"/>
      <c r="F53" s="598"/>
      <c r="G53" s="598"/>
      <c r="H53" s="404"/>
      <c r="I53" s="1127"/>
      <c r="J53" s="1670" t="s">
        <v>2804</v>
      </c>
      <c r="K53" s="1685"/>
      <c r="L53" s="1685"/>
      <c r="M53" s="1685"/>
      <c r="N53" s="1686"/>
      <c r="O53" s="1685">
        <v>1.8169934640522876</v>
      </c>
      <c r="P53" s="1685" t="s">
        <v>202</v>
      </c>
      <c r="Q53" s="635">
        <v>17</v>
      </c>
      <c r="R53" s="1685" t="s">
        <v>33</v>
      </c>
      <c r="S53" s="1686">
        <v>30000</v>
      </c>
      <c r="T53" s="1685" t="s">
        <v>264</v>
      </c>
      <c r="U53" s="1685"/>
      <c r="V53" s="1685">
        <v>12</v>
      </c>
      <c r="W53" s="1685" t="s">
        <v>49</v>
      </c>
      <c r="X53" s="1685" t="s">
        <v>266</v>
      </c>
      <c r="Y53" s="636">
        <f t="shared" ref="Y53:Y61" si="7">+Z53/1000</f>
        <v>11120</v>
      </c>
      <c r="Z53" s="532">
        <f>O53*Q53*S53*V53</f>
        <v>11120000</v>
      </c>
      <c r="AA53" s="1143">
        <f t="shared" si="0"/>
        <v>0</v>
      </c>
      <c r="AB53" s="1143">
        <v>11120000</v>
      </c>
      <c r="AC53" s="505">
        <f>AB53/30000/17/12</f>
        <v>1.8169934640522876</v>
      </c>
    </row>
    <row r="54" spans="1:29" ht="21" customHeight="1">
      <c r="A54" s="1934"/>
      <c r="B54" s="1145"/>
      <c r="C54" s="1126"/>
      <c r="D54" s="1145"/>
      <c r="E54" s="465"/>
      <c r="F54" s="598"/>
      <c r="G54" s="598"/>
      <c r="H54" s="404"/>
      <c r="I54" s="1127"/>
      <c r="J54" s="1780" t="s">
        <v>2810</v>
      </c>
      <c r="K54" s="1685"/>
      <c r="L54" s="1685"/>
      <c r="M54" s="1685"/>
      <c r="N54" s="1686"/>
      <c r="O54" s="1685"/>
      <c r="P54" s="1685"/>
      <c r="Q54" s="635">
        <v>17</v>
      </c>
      <c r="R54" s="1685" t="s">
        <v>33</v>
      </c>
      <c r="S54" s="1686">
        <v>250000</v>
      </c>
      <c r="T54" s="1685" t="s">
        <v>264</v>
      </c>
      <c r="U54" s="1685"/>
      <c r="V54" s="1685">
        <v>12</v>
      </c>
      <c r="W54" s="1685" t="s">
        <v>49</v>
      </c>
      <c r="X54" s="1685" t="s">
        <v>266</v>
      </c>
      <c r="Y54" s="636">
        <f t="shared" si="7"/>
        <v>51000</v>
      </c>
      <c r="Z54" s="532">
        <f t="shared" ref="Z54" si="8">Q54*S54*V54</f>
        <v>51000000</v>
      </c>
      <c r="AA54" s="1143">
        <f t="shared" si="0"/>
        <v>0</v>
      </c>
      <c r="AC54" s="505"/>
    </row>
    <row r="55" spans="1:29" ht="21" customHeight="1">
      <c r="A55" s="1934"/>
      <c r="B55" s="1145"/>
      <c r="C55" s="1126"/>
      <c r="D55" s="1145"/>
      <c r="E55" s="809" t="s">
        <v>878</v>
      </c>
      <c r="F55" s="613">
        <f>SUM(Y55)</f>
        <v>114800</v>
      </c>
      <c r="G55" s="613">
        <v>114800</v>
      </c>
      <c r="H55" s="810"/>
      <c r="I55" s="1127"/>
      <c r="J55" s="2452" t="s">
        <v>194</v>
      </c>
      <c r="K55" s="626"/>
      <c r="L55" s="626"/>
      <c r="M55" s="626"/>
      <c r="N55" s="627"/>
      <c r="O55" s="626"/>
      <c r="P55" s="626"/>
      <c r="Q55" s="628"/>
      <c r="R55" s="626"/>
      <c r="S55" s="627"/>
      <c r="T55" s="626"/>
      <c r="U55" s="626"/>
      <c r="V55" s="626"/>
      <c r="W55" s="626"/>
      <c r="X55" s="626"/>
      <c r="Y55" s="630">
        <f t="shared" si="7"/>
        <v>114800</v>
      </c>
      <c r="Z55" s="532">
        <f>SUM(Z56:Z61)</f>
        <v>114800000</v>
      </c>
      <c r="AA55" s="1143">
        <f t="shared" si="0"/>
        <v>114800000000</v>
      </c>
      <c r="AC55" s="505"/>
    </row>
    <row r="56" spans="1:29" ht="21" customHeight="1">
      <c r="A56" s="1934"/>
      <c r="B56" s="1145"/>
      <c r="C56" s="1126"/>
      <c r="D56" s="1145"/>
      <c r="E56" s="465"/>
      <c r="F56" s="598"/>
      <c r="G56" s="598"/>
      <c r="H56" s="404"/>
      <c r="I56" s="1127"/>
      <c r="J56" s="1780" t="s">
        <v>2811</v>
      </c>
      <c r="K56" s="1685"/>
      <c r="L56" s="1685"/>
      <c r="M56" s="1685"/>
      <c r="N56" s="1686"/>
      <c r="O56" s="1685"/>
      <c r="P56" s="1685"/>
      <c r="Q56" s="635"/>
      <c r="R56" s="1685"/>
      <c r="S56" s="1686">
        <v>4000000</v>
      </c>
      <c r="T56" s="1685" t="s">
        <v>264</v>
      </c>
      <c r="U56" s="1685"/>
      <c r="V56" s="1685">
        <v>12</v>
      </c>
      <c r="W56" s="1685" t="s">
        <v>49</v>
      </c>
      <c r="X56" s="1685" t="s">
        <v>266</v>
      </c>
      <c r="Y56" s="636">
        <f t="shared" si="7"/>
        <v>48000</v>
      </c>
      <c r="Z56" s="532">
        <f t="shared" ref="Z56:Z61" si="9">S56*V56</f>
        <v>48000000</v>
      </c>
      <c r="AA56" s="1143">
        <f t="shared" si="0"/>
        <v>0</v>
      </c>
      <c r="AC56" s="505"/>
    </row>
    <row r="57" spans="1:29" ht="21" customHeight="1">
      <c r="A57" s="1934"/>
      <c r="B57" s="1145"/>
      <c r="C57" s="1126"/>
      <c r="D57" s="1145"/>
      <c r="E57" s="465"/>
      <c r="F57" s="598"/>
      <c r="G57" s="598"/>
      <c r="H57" s="404"/>
      <c r="I57" s="1127"/>
      <c r="J57" s="1780" t="s">
        <v>320</v>
      </c>
      <c r="K57" s="1685"/>
      <c r="L57" s="1685"/>
      <c r="M57" s="1685"/>
      <c r="N57" s="1686"/>
      <c r="O57" s="1685"/>
      <c r="P57" s="1685"/>
      <c r="Q57" s="635"/>
      <c r="R57" s="1685"/>
      <c r="S57" s="1686">
        <v>1133333.3333333333</v>
      </c>
      <c r="T57" s="1685" t="s">
        <v>264</v>
      </c>
      <c r="U57" s="1685"/>
      <c r="V57" s="1685">
        <v>12</v>
      </c>
      <c r="W57" s="1685" t="s">
        <v>49</v>
      </c>
      <c r="X57" s="1685" t="s">
        <v>266</v>
      </c>
      <c r="Y57" s="636">
        <f t="shared" si="7"/>
        <v>13600</v>
      </c>
      <c r="Z57" s="532">
        <f t="shared" si="9"/>
        <v>13600000</v>
      </c>
      <c r="AA57" s="1143">
        <f t="shared" si="0"/>
        <v>0</v>
      </c>
      <c r="AB57" s="1143">
        <v>13600000</v>
      </c>
      <c r="AC57" s="505">
        <f>AB57/V57</f>
        <v>1133333.3333333333</v>
      </c>
    </row>
    <row r="58" spans="1:29" ht="21" customHeight="1">
      <c r="A58" s="2353"/>
      <c r="B58" s="1145"/>
      <c r="C58" s="1126"/>
      <c r="D58" s="1145"/>
      <c r="E58" s="465"/>
      <c r="F58" s="598"/>
      <c r="G58" s="598"/>
      <c r="H58" s="404"/>
      <c r="I58" s="1127"/>
      <c r="J58" s="1780" t="s">
        <v>2812</v>
      </c>
      <c r="K58" s="1685"/>
      <c r="L58" s="1685"/>
      <c r="M58" s="1685"/>
      <c r="N58" s="1686"/>
      <c r="O58" s="1685"/>
      <c r="P58" s="1685"/>
      <c r="Q58" s="635"/>
      <c r="R58" s="1685"/>
      <c r="S58" s="1686">
        <v>800000</v>
      </c>
      <c r="T58" s="1685" t="s">
        <v>879</v>
      </c>
      <c r="U58" s="1685"/>
      <c r="V58" s="1685">
        <v>6</v>
      </c>
      <c r="W58" s="1685" t="s">
        <v>2463</v>
      </c>
      <c r="X58" s="1685" t="s">
        <v>20</v>
      </c>
      <c r="Y58" s="636">
        <f t="shared" si="7"/>
        <v>4800</v>
      </c>
      <c r="Z58" s="532">
        <f t="shared" si="9"/>
        <v>4800000</v>
      </c>
      <c r="AA58" s="1143">
        <f t="shared" si="0"/>
        <v>0</v>
      </c>
      <c r="AC58" s="505"/>
    </row>
    <row r="59" spans="1:29" ht="21" customHeight="1">
      <c r="A59" s="2353"/>
      <c r="B59" s="1145"/>
      <c r="C59" s="1126"/>
      <c r="D59" s="1145"/>
      <c r="E59" s="465"/>
      <c r="F59" s="598"/>
      <c r="G59" s="598"/>
      <c r="H59" s="404"/>
      <c r="I59" s="1127"/>
      <c r="J59" s="1780" t="s">
        <v>2813</v>
      </c>
      <c r="K59" s="1685"/>
      <c r="L59" s="1685"/>
      <c r="M59" s="1685"/>
      <c r="N59" s="1686"/>
      <c r="O59" s="1685"/>
      <c r="P59" s="1685"/>
      <c r="Q59" s="635"/>
      <c r="R59" s="1685"/>
      <c r="S59" s="1686">
        <v>700000</v>
      </c>
      <c r="T59" s="1685" t="s">
        <v>879</v>
      </c>
      <c r="U59" s="1685"/>
      <c r="V59" s="1685">
        <v>12</v>
      </c>
      <c r="W59" s="1685" t="s">
        <v>201</v>
      </c>
      <c r="X59" s="1685" t="s">
        <v>20</v>
      </c>
      <c r="Y59" s="636">
        <f t="shared" si="7"/>
        <v>8400</v>
      </c>
      <c r="Z59" s="532">
        <f t="shared" si="9"/>
        <v>8400000</v>
      </c>
      <c r="AA59" s="1143">
        <f t="shared" si="0"/>
        <v>0</v>
      </c>
      <c r="AC59" s="505"/>
    </row>
    <row r="60" spans="1:29" ht="21" customHeight="1">
      <c r="A60" s="1934"/>
      <c r="B60" s="1145"/>
      <c r="C60" s="1126"/>
      <c r="D60" s="1145"/>
      <c r="E60" s="465"/>
      <c r="F60" s="598"/>
      <c r="G60" s="598"/>
      <c r="H60" s="404"/>
      <c r="I60" s="1127"/>
      <c r="J60" s="1780" t="s">
        <v>3684</v>
      </c>
      <c r="K60" s="1685"/>
      <c r="L60" s="1685"/>
      <c r="M60" s="1685"/>
      <c r="N60" s="1686"/>
      <c r="O60" s="1685"/>
      <c r="P60" s="1685"/>
      <c r="Q60" s="635"/>
      <c r="R60" s="1685"/>
      <c r="S60" s="1686">
        <v>10000000</v>
      </c>
      <c r="T60" s="1685" t="s">
        <v>879</v>
      </c>
      <c r="U60" s="1685"/>
      <c r="V60" s="1685">
        <v>1</v>
      </c>
      <c r="W60" s="1685" t="s">
        <v>265</v>
      </c>
      <c r="X60" s="1685" t="s">
        <v>20</v>
      </c>
      <c r="Y60" s="636">
        <f t="shared" si="7"/>
        <v>10000</v>
      </c>
      <c r="Z60" s="532">
        <f t="shared" si="9"/>
        <v>10000000</v>
      </c>
      <c r="AA60" s="1143">
        <f t="shared" si="0"/>
        <v>0</v>
      </c>
      <c r="AC60" s="505"/>
    </row>
    <row r="61" spans="1:29" ht="21" customHeight="1">
      <c r="A61" s="1934"/>
      <c r="B61" s="1145"/>
      <c r="C61" s="1126"/>
      <c r="D61" s="1145"/>
      <c r="E61" s="465"/>
      <c r="F61" s="598"/>
      <c r="G61" s="598"/>
      <c r="H61" s="404"/>
      <c r="I61" s="1127"/>
      <c r="J61" s="1780" t="s">
        <v>2815</v>
      </c>
      <c r="K61" s="1685"/>
      <c r="L61" s="1685"/>
      <c r="M61" s="1685"/>
      <c r="N61" s="1686"/>
      <c r="O61" s="1685"/>
      <c r="P61" s="1685"/>
      <c r="Q61" s="635"/>
      <c r="R61" s="1685"/>
      <c r="S61" s="1686">
        <v>30000000</v>
      </c>
      <c r="T61" s="1685" t="s">
        <v>879</v>
      </c>
      <c r="U61" s="1685"/>
      <c r="V61" s="1685">
        <v>1</v>
      </c>
      <c r="W61" s="1685" t="s">
        <v>265</v>
      </c>
      <c r="X61" s="1685" t="s">
        <v>20</v>
      </c>
      <c r="Y61" s="636">
        <f t="shared" si="7"/>
        <v>30000</v>
      </c>
      <c r="Z61" s="532">
        <f t="shared" si="9"/>
        <v>30000000</v>
      </c>
      <c r="AA61" s="1143">
        <f t="shared" si="0"/>
        <v>0</v>
      </c>
      <c r="AC61" s="505"/>
    </row>
    <row r="62" spans="1:29" ht="21" customHeight="1">
      <c r="A62" s="1934"/>
      <c r="B62" s="1145"/>
      <c r="C62" s="1126"/>
      <c r="D62" s="1145"/>
      <c r="E62" s="809" t="s">
        <v>881</v>
      </c>
      <c r="F62" s="613">
        <f>SUM(Y62)</f>
        <v>1200</v>
      </c>
      <c r="G62" s="613">
        <v>1200</v>
      </c>
      <c r="H62" s="810"/>
      <c r="I62" s="1127"/>
      <c r="J62" s="2452" t="s">
        <v>194</v>
      </c>
      <c r="K62" s="626"/>
      <c r="L62" s="626"/>
      <c r="M62" s="626"/>
      <c r="N62" s="627"/>
      <c r="O62" s="626"/>
      <c r="P62" s="626"/>
      <c r="Q62" s="628"/>
      <c r="R62" s="626"/>
      <c r="S62" s="627"/>
      <c r="T62" s="626"/>
      <c r="U62" s="626"/>
      <c r="V62" s="626"/>
      <c r="W62" s="626"/>
      <c r="X62" s="626"/>
      <c r="Y62" s="630">
        <f t="shared" si="2"/>
        <v>1200</v>
      </c>
      <c r="Z62" s="532">
        <f>+Z63+Z64</f>
        <v>1200000</v>
      </c>
      <c r="AA62" s="1143">
        <f t="shared" si="0"/>
        <v>1200000000</v>
      </c>
      <c r="AC62" s="505"/>
    </row>
    <row r="63" spans="1:29" s="1675" customFormat="1" ht="21" customHeight="1">
      <c r="A63" s="1934"/>
      <c r="B63" s="1145"/>
      <c r="C63" s="1126"/>
      <c r="D63" s="1145"/>
      <c r="E63" s="465"/>
      <c r="F63" s="598"/>
      <c r="G63" s="598"/>
      <c r="H63" s="404"/>
      <c r="I63" s="1127"/>
      <c r="J63" s="1780" t="s">
        <v>762</v>
      </c>
      <c r="K63" s="1685"/>
      <c r="L63" s="1685"/>
      <c r="M63" s="1685"/>
      <c r="N63" s="1686"/>
      <c r="O63" s="1685"/>
      <c r="P63" s="1685"/>
      <c r="Q63" s="635">
        <v>5</v>
      </c>
      <c r="R63" s="1685" t="s">
        <v>225</v>
      </c>
      <c r="S63" s="1686">
        <v>17600</v>
      </c>
      <c r="T63" s="1685" t="s">
        <v>264</v>
      </c>
      <c r="U63" s="1685"/>
      <c r="V63" s="1685">
        <v>12</v>
      </c>
      <c r="W63" s="1685" t="s">
        <v>49</v>
      </c>
      <c r="X63" s="1685" t="s">
        <v>266</v>
      </c>
      <c r="Y63" s="636">
        <f t="shared" si="2"/>
        <v>1056</v>
      </c>
      <c r="Z63" s="532">
        <f>Q63*S63*V63</f>
        <v>1056000</v>
      </c>
      <c r="AA63" s="1143">
        <f t="shared" si="0"/>
        <v>0</v>
      </c>
      <c r="AB63" s="1143"/>
      <c r="AC63" s="505"/>
    </row>
    <row r="64" spans="1:29" ht="21" customHeight="1">
      <c r="A64" s="1934"/>
      <c r="B64" s="1145"/>
      <c r="C64" s="1126"/>
      <c r="D64" s="1145"/>
      <c r="E64" s="819"/>
      <c r="F64" s="597"/>
      <c r="G64" s="597"/>
      <c r="H64" s="820"/>
      <c r="I64" s="1127"/>
      <c r="J64" s="721" t="s">
        <v>883</v>
      </c>
      <c r="K64" s="709"/>
      <c r="L64" s="709"/>
      <c r="M64" s="709"/>
      <c r="N64" s="710"/>
      <c r="O64" s="709"/>
      <c r="P64" s="709"/>
      <c r="Q64" s="722"/>
      <c r="R64" s="709"/>
      <c r="S64" s="710">
        <v>12000</v>
      </c>
      <c r="T64" s="709" t="s">
        <v>264</v>
      </c>
      <c r="U64" s="709"/>
      <c r="V64" s="709">
        <v>12</v>
      </c>
      <c r="W64" s="709" t="s">
        <v>321</v>
      </c>
      <c r="X64" s="709" t="s">
        <v>266</v>
      </c>
      <c r="Y64" s="711">
        <f t="shared" si="2"/>
        <v>144</v>
      </c>
      <c r="Z64" s="407">
        <f t="shared" si="4"/>
        <v>144000</v>
      </c>
      <c r="AA64" s="1143">
        <f t="shared" si="0"/>
        <v>0</v>
      </c>
      <c r="AC64" s="505"/>
    </row>
    <row r="65" spans="1:30" ht="21" customHeight="1">
      <c r="A65" s="1934"/>
      <c r="B65" s="1145"/>
      <c r="C65" s="1126"/>
      <c r="D65" s="1145"/>
      <c r="E65" s="465" t="s">
        <v>884</v>
      </c>
      <c r="F65" s="598">
        <f>SUM(Y65)</f>
        <v>7200</v>
      </c>
      <c r="G65" s="598">
        <v>7200</v>
      </c>
      <c r="H65" s="810"/>
      <c r="I65" s="1127"/>
      <c r="J65" s="802" t="s">
        <v>835</v>
      </c>
      <c r="K65" s="1671"/>
      <c r="L65" s="1671"/>
      <c r="M65" s="1671"/>
      <c r="N65" s="1672"/>
      <c r="O65" s="1672"/>
      <c r="P65" s="1671"/>
      <c r="Q65" s="1673"/>
      <c r="R65" s="1671"/>
      <c r="S65" s="1671"/>
      <c r="T65" s="1671"/>
      <c r="U65" s="1671"/>
      <c r="V65" s="1671"/>
      <c r="W65" s="1671"/>
      <c r="X65" s="1671"/>
      <c r="Y65" s="1674">
        <f t="shared" si="2"/>
        <v>7200</v>
      </c>
      <c r="Z65" s="407">
        <f>SUM(Z66:Z68)</f>
        <v>7200000</v>
      </c>
      <c r="AA65" s="1143">
        <f t="shared" si="0"/>
        <v>7200000000</v>
      </c>
      <c r="AC65" s="505"/>
    </row>
    <row r="66" spans="1:30" s="1675" customFormat="1" ht="21" customHeight="1">
      <c r="A66" s="1934"/>
      <c r="B66" s="1145"/>
      <c r="C66" s="1126"/>
      <c r="D66" s="1145"/>
      <c r="E66" s="465"/>
      <c r="F66" s="598"/>
      <c r="G66" s="598"/>
      <c r="H66" s="404"/>
      <c r="I66" s="1127"/>
      <c r="J66" s="1670" t="s">
        <v>885</v>
      </c>
      <c r="K66" s="1671"/>
      <c r="L66" s="1671"/>
      <c r="M66" s="1671"/>
      <c r="N66" s="1672"/>
      <c r="O66" s="1671"/>
      <c r="P66" s="1671"/>
      <c r="Q66" s="1673">
        <v>50</v>
      </c>
      <c r="R66" s="1671" t="s">
        <v>886</v>
      </c>
      <c r="S66" s="1672">
        <v>1000</v>
      </c>
      <c r="T66" s="1671" t="s">
        <v>887</v>
      </c>
      <c r="U66" s="1671"/>
      <c r="V66" s="1671">
        <v>12</v>
      </c>
      <c r="W66" s="1671" t="s">
        <v>888</v>
      </c>
      <c r="X66" s="1671" t="s">
        <v>889</v>
      </c>
      <c r="Y66" s="1674">
        <f t="shared" si="2"/>
        <v>600</v>
      </c>
      <c r="Z66" s="407">
        <f t="shared" ref="Z66:Z67" si="10">Q66*S66*V66</f>
        <v>600000</v>
      </c>
      <c r="AA66" s="1143">
        <f t="shared" si="0"/>
        <v>0</v>
      </c>
      <c r="AB66" s="1143"/>
      <c r="AC66" s="505"/>
    </row>
    <row r="67" spans="1:30" ht="21" customHeight="1">
      <c r="A67" s="1934"/>
      <c r="B67" s="1145"/>
      <c r="C67" s="1126"/>
      <c r="D67" s="1145"/>
      <c r="E67" s="465"/>
      <c r="F67" s="598"/>
      <c r="G67" s="598"/>
      <c r="H67" s="404"/>
      <c r="I67" s="1127"/>
      <c r="J67" s="1670" t="s">
        <v>890</v>
      </c>
      <c r="K67" s="1671"/>
      <c r="L67" s="1671"/>
      <c r="M67" s="1671"/>
      <c r="N67" s="1672"/>
      <c r="O67" s="1671"/>
      <c r="P67" s="1671"/>
      <c r="Q67" s="1673">
        <v>6</v>
      </c>
      <c r="R67" s="1671" t="s">
        <v>891</v>
      </c>
      <c r="S67" s="1672">
        <v>200000</v>
      </c>
      <c r="T67" s="1671" t="s">
        <v>887</v>
      </c>
      <c r="U67" s="1671"/>
      <c r="V67" s="1671">
        <v>2</v>
      </c>
      <c r="W67" s="1671" t="s">
        <v>892</v>
      </c>
      <c r="X67" s="1671" t="s">
        <v>889</v>
      </c>
      <c r="Y67" s="1674">
        <f t="shared" si="2"/>
        <v>2400</v>
      </c>
      <c r="Z67" s="407">
        <f t="shared" si="10"/>
        <v>2400000</v>
      </c>
      <c r="AA67" s="1143">
        <f t="shared" si="0"/>
        <v>0</v>
      </c>
      <c r="AC67" s="505"/>
    </row>
    <row r="68" spans="1:30" ht="21" customHeight="1">
      <c r="A68" s="1934"/>
      <c r="B68" s="1145"/>
      <c r="C68" s="1126"/>
      <c r="D68" s="1145"/>
      <c r="E68" s="465"/>
      <c r="F68" s="598"/>
      <c r="G68" s="598"/>
      <c r="H68" s="404"/>
      <c r="I68" s="1127"/>
      <c r="J68" s="1670" t="s">
        <v>893</v>
      </c>
      <c r="K68" s="1671"/>
      <c r="L68" s="1671"/>
      <c r="M68" s="1671"/>
      <c r="N68" s="1672"/>
      <c r="O68" s="1671"/>
      <c r="P68" s="1671"/>
      <c r="Q68" s="1673"/>
      <c r="R68" s="1671"/>
      <c r="S68" s="1672">
        <v>350000</v>
      </c>
      <c r="T68" s="1671" t="s">
        <v>887</v>
      </c>
      <c r="U68" s="1671"/>
      <c r="V68" s="1671">
        <v>12</v>
      </c>
      <c r="W68" s="1671" t="s">
        <v>888</v>
      </c>
      <c r="X68" s="1671" t="s">
        <v>889</v>
      </c>
      <c r="Y68" s="1674">
        <f t="shared" si="2"/>
        <v>4200</v>
      </c>
      <c r="Z68" s="407">
        <f t="shared" si="4"/>
        <v>4200000</v>
      </c>
      <c r="AA68" s="1143">
        <f t="shared" si="0"/>
        <v>0</v>
      </c>
      <c r="AC68" s="505"/>
    </row>
    <row r="69" spans="1:30" ht="21" customHeight="1">
      <c r="A69" s="1934"/>
      <c r="B69" s="1145"/>
      <c r="C69" s="1126"/>
      <c r="D69" s="1145"/>
      <c r="E69" s="809" t="s">
        <v>894</v>
      </c>
      <c r="F69" s="613">
        <f>SUM(Y69)</f>
        <v>430500</v>
      </c>
      <c r="G69" s="613">
        <v>430500</v>
      </c>
      <c r="H69" s="810"/>
      <c r="I69" s="1127"/>
      <c r="J69" s="811" t="s">
        <v>895</v>
      </c>
      <c r="K69" s="815"/>
      <c r="L69" s="815"/>
      <c r="M69" s="815"/>
      <c r="N69" s="450"/>
      <c r="O69" s="450"/>
      <c r="P69" s="815"/>
      <c r="Q69" s="831"/>
      <c r="R69" s="815"/>
      <c r="S69" s="815"/>
      <c r="T69" s="815"/>
      <c r="U69" s="815"/>
      <c r="V69" s="815"/>
      <c r="W69" s="815"/>
      <c r="X69" s="815"/>
      <c r="Y69" s="356">
        <f t="shared" si="2"/>
        <v>430500</v>
      </c>
      <c r="Z69" s="407">
        <f>SUM(Z70:Z74)</f>
        <v>430500000</v>
      </c>
      <c r="AA69" s="1143">
        <f t="shared" si="0"/>
        <v>430500000000</v>
      </c>
      <c r="AC69" s="505"/>
    </row>
    <row r="70" spans="1:30" ht="21" customHeight="1">
      <c r="A70" s="1934"/>
      <c r="B70" s="1145"/>
      <c r="C70" s="1126"/>
      <c r="D70" s="1145"/>
      <c r="E70" s="465"/>
      <c r="F70" s="598"/>
      <c r="G70" s="598"/>
      <c r="H70" s="404"/>
      <c r="I70" s="1127"/>
      <c r="J70" s="1670" t="s">
        <v>896</v>
      </c>
      <c r="K70" s="1671"/>
      <c r="L70" s="1671"/>
      <c r="M70" s="1671"/>
      <c r="N70" s="1672"/>
      <c r="O70" s="1671"/>
      <c r="P70" s="1671"/>
      <c r="Q70" s="1673"/>
      <c r="R70" s="1671"/>
      <c r="S70" s="1672">
        <v>410899000</v>
      </c>
      <c r="T70" s="1671" t="s">
        <v>887</v>
      </c>
      <c r="U70" s="1675"/>
      <c r="V70" s="1671">
        <v>1</v>
      </c>
      <c r="W70" s="1671" t="s">
        <v>897</v>
      </c>
      <c r="X70" s="1671" t="s">
        <v>889</v>
      </c>
      <c r="Y70" s="1674">
        <f t="shared" si="2"/>
        <v>410899</v>
      </c>
      <c r="Z70" s="407">
        <f t="shared" si="4"/>
        <v>410899000</v>
      </c>
      <c r="AA70" s="1143">
        <f t="shared" si="0"/>
        <v>0</v>
      </c>
      <c r="AC70" s="505"/>
      <c r="AD70" s="370"/>
    </row>
    <row r="71" spans="1:30" ht="21" customHeight="1">
      <c r="A71" s="1934"/>
      <c r="B71" s="1145"/>
      <c r="C71" s="1126"/>
      <c r="D71" s="1145"/>
      <c r="E71" s="465"/>
      <c r="F71" s="598"/>
      <c r="G71" s="598"/>
      <c r="H71" s="404"/>
      <c r="I71" s="1127"/>
      <c r="J71" s="1670" t="s">
        <v>898</v>
      </c>
      <c r="K71" s="1671"/>
      <c r="L71" s="1671"/>
      <c r="M71" s="1671"/>
      <c r="N71" s="1672"/>
      <c r="O71" s="1671"/>
      <c r="P71" s="1671"/>
      <c r="Q71" s="1673"/>
      <c r="R71" s="1671"/>
      <c r="S71" s="1672">
        <v>500000</v>
      </c>
      <c r="T71" s="1671" t="s">
        <v>887</v>
      </c>
      <c r="U71" s="1675"/>
      <c r="V71" s="1671">
        <v>12</v>
      </c>
      <c r="W71" s="1671" t="s">
        <v>888</v>
      </c>
      <c r="X71" s="1671" t="s">
        <v>889</v>
      </c>
      <c r="Y71" s="1674">
        <f t="shared" si="2"/>
        <v>6000</v>
      </c>
      <c r="Z71" s="407">
        <f t="shared" si="4"/>
        <v>6000000</v>
      </c>
      <c r="AA71" s="1143">
        <f t="shared" si="0"/>
        <v>0</v>
      </c>
      <c r="AC71" s="505"/>
    </row>
    <row r="72" spans="1:30" ht="21" customHeight="1">
      <c r="A72" s="1934"/>
      <c r="B72" s="1145"/>
      <c r="C72" s="1126"/>
      <c r="D72" s="1145"/>
      <c r="E72" s="465"/>
      <c r="F72" s="598"/>
      <c r="G72" s="598"/>
      <c r="H72" s="404"/>
      <c r="I72" s="1127"/>
      <c r="J72" s="1670" t="s">
        <v>899</v>
      </c>
      <c r="K72" s="1671"/>
      <c r="L72" s="1671"/>
      <c r="M72" s="1671"/>
      <c r="N72" s="1672"/>
      <c r="O72" s="1671"/>
      <c r="P72" s="1671"/>
      <c r="Q72" s="1673"/>
      <c r="R72" s="1671"/>
      <c r="S72" s="1672">
        <v>40000</v>
      </c>
      <c r="T72" s="1671" t="s">
        <v>887</v>
      </c>
      <c r="U72" s="1675"/>
      <c r="V72" s="1671">
        <v>12</v>
      </c>
      <c r="W72" s="1671" t="s">
        <v>888</v>
      </c>
      <c r="X72" s="1671" t="s">
        <v>889</v>
      </c>
      <c r="Y72" s="1674">
        <f t="shared" si="2"/>
        <v>480</v>
      </c>
      <c r="Z72" s="407">
        <f t="shared" si="4"/>
        <v>480000</v>
      </c>
      <c r="AA72" s="1143">
        <f t="shared" ref="AA72:AA135" si="11">F72*1000000</f>
        <v>0</v>
      </c>
      <c r="AC72" s="505"/>
    </row>
    <row r="73" spans="1:30" ht="21" customHeight="1">
      <c r="A73" s="1934"/>
      <c r="B73" s="1145"/>
      <c r="C73" s="1126"/>
      <c r="D73" s="1145"/>
      <c r="E73" s="465"/>
      <c r="F73" s="598"/>
      <c r="G73" s="598"/>
      <c r="H73" s="404"/>
      <c r="I73" s="1127"/>
      <c r="J73" s="1670" t="s">
        <v>900</v>
      </c>
      <c r="K73" s="1671"/>
      <c r="L73" s="1671"/>
      <c r="M73" s="1671"/>
      <c r="N73" s="1672"/>
      <c r="O73" s="1671"/>
      <c r="P73" s="1671"/>
      <c r="Q73" s="1673"/>
      <c r="R73" s="1671"/>
      <c r="S73" s="1672">
        <v>10000000</v>
      </c>
      <c r="T73" s="1671" t="s">
        <v>887</v>
      </c>
      <c r="U73" s="1675"/>
      <c r="V73" s="1671">
        <v>1</v>
      </c>
      <c r="W73" s="1671" t="s">
        <v>897</v>
      </c>
      <c r="X73" s="1671" t="s">
        <v>889</v>
      </c>
      <c r="Y73" s="1674">
        <f t="shared" si="2"/>
        <v>10000</v>
      </c>
      <c r="Z73" s="407">
        <f t="shared" si="4"/>
        <v>10000000</v>
      </c>
      <c r="AA73" s="1143">
        <f t="shared" si="11"/>
        <v>0</v>
      </c>
      <c r="AC73" s="505"/>
    </row>
    <row r="74" spans="1:30" ht="21" customHeight="1">
      <c r="A74" s="1934"/>
      <c r="B74" s="1145"/>
      <c r="C74" s="1126"/>
      <c r="D74" s="1145"/>
      <c r="E74" s="465"/>
      <c r="F74" s="598"/>
      <c r="G74" s="598"/>
      <c r="H74" s="404"/>
      <c r="I74" s="1127"/>
      <c r="J74" s="1670" t="s">
        <v>901</v>
      </c>
      <c r="K74" s="1671"/>
      <c r="L74" s="1671"/>
      <c r="M74" s="1671"/>
      <c r="N74" s="1672"/>
      <c r="O74" s="1671"/>
      <c r="P74" s="1671"/>
      <c r="Q74" s="1673"/>
      <c r="R74" s="1671"/>
      <c r="S74" s="1672">
        <f>3000000+71000+50000</f>
        <v>3121000</v>
      </c>
      <c r="T74" s="1671" t="s">
        <v>0</v>
      </c>
      <c r="U74" s="1675"/>
      <c r="V74" s="1671">
        <v>1</v>
      </c>
      <c r="W74" s="1671" t="s">
        <v>3</v>
      </c>
      <c r="X74" s="1671" t="s">
        <v>1</v>
      </c>
      <c r="Y74" s="1674">
        <f t="shared" si="2"/>
        <v>3121</v>
      </c>
      <c r="Z74" s="407">
        <f t="shared" si="4"/>
        <v>3121000</v>
      </c>
      <c r="AA74" s="1143">
        <f t="shared" si="11"/>
        <v>0</v>
      </c>
      <c r="AC74" s="505"/>
    </row>
    <row r="75" spans="1:30" s="1675" customFormat="1" ht="21" customHeight="1">
      <c r="A75" s="1934"/>
      <c r="B75" s="1145"/>
      <c r="C75" s="1126"/>
      <c r="D75" s="1145"/>
      <c r="E75" s="809" t="s">
        <v>902</v>
      </c>
      <c r="F75" s="613">
        <f>SUM(Y75)</f>
        <v>31100</v>
      </c>
      <c r="G75" s="613">
        <v>31100</v>
      </c>
      <c r="H75" s="810"/>
      <c r="I75" s="1127"/>
      <c r="J75" s="811" t="s">
        <v>895</v>
      </c>
      <c r="K75" s="815"/>
      <c r="L75" s="815"/>
      <c r="M75" s="815"/>
      <c r="N75" s="450"/>
      <c r="O75" s="450"/>
      <c r="P75" s="815"/>
      <c r="Q75" s="831"/>
      <c r="R75" s="815"/>
      <c r="S75" s="815"/>
      <c r="T75" s="815"/>
      <c r="U75" s="815"/>
      <c r="V75" s="815"/>
      <c r="W75" s="815"/>
      <c r="X75" s="815"/>
      <c r="Y75" s="356">
        <f t="shared" si="2"/>
        <v>31100</v>
      </c>
      <c r="Z75" s="407">
        <f>SUM(Z76:Z80)</f>
        <v>31100000</v>
      </c>
      <c r="AA75" s="1143">
        <f t="shared" si="11"/>
        <v>31100000000</v>
      </c>
      <c r="AB75" s="1143"/>
      <c r="AC75" s="505"/>
    </row>
    <row r="76" spans="1:30" s="1675" customFormat="1" ht="21" customHeight="1">
      <c r="A76" s="1934"/>
      <c r="B76" s="1145"/>
      <c r="C76" s="1126"/>
      <c r="D76" s="1145"/>
      <c r="E76" s="465"/>
      <c r="F76" s="598"/>
      <c r="G76" s="598"/>
      <c r="H76" s="404"/>
      <c r="I76" s="1127"/>
      <c r="J76" s="1670" t="s">
        <v>903</v>
      </c>
      <c r="K76" s="1671"/>
      <c r="L76" s="1671"/>
      <c r="M76" s="1671"/>
      <c r="N76" s="1672"/>
      <c r="O76" s="1672"/>
      <c r="P76" s="1671"/>
      <c r="Q76" s="1673">
        <v>2</v>
      </c>
      <c r="R76" s="1671" t="s">
        <v>904</v>
      </c>
      <c r="S76" s="1672">
        <v>250000</v>
      </c>
      <c r="T76" s="1671" t="s">
        <v>887</v>
      </c>
      <c r="U76" s="1671"/>
      <c r="V76" s="1671">
        <v>1</v>
      </c>
      <c r="W76" s="1671" t="s">
        <v>897</v>
      </c>
      <c r="X76" s="1671" t="s">
        <v>889</v>
      </c>
      <c r="Y76" s="1674">
        <f t="shared" si="2"/>
        <v>500</v>
      </c>
      <c r="Z76" s="407">
        <f t="shared" ref="Z76:Z80" si="12">Q76*S76*V76</f>
        <v>500000</v>
      </c>
      <c r="AA76" s="1143">
        <f t="shared" si="11"/>
        <v>0</v>
      </c>
      <c r="AB76" s="1143"/>
      <c r="AC76" s="505"/>
    </row>
    <row r="77" spans="1:30" s="474" customFormat="1" ht="21" customHeight="1">
      <c r="A77" s="1934"/>
      <c r="B77" s="1145"/>
      <c r="C77" s="1126"/>
      <c r="D77" s="1145"/>
      <c r="E77" s="465"/>
      <c r="F77" s="598"/>
      <c r="G77" s="598"/>
      <c r="H77" s="404"/>
      <c r="I77" s="833"/>
      <c r="J77" s="1670" t="s">
        <v>905</v>
      </c>
      <c r="K77" s="1671"/>
      <c r="L77" s="1671"/>
      <c r="M77" s="1671"/>
      <c r="N77" s="1672"/>
      <c r="O77" s="1672"/>
      <c r="P77" s="1671"/>
      <c r="Q77" s="1673">
        <v>2</v>
      </c>
      <c r="R77" s="1671" t="s">
        <v>904</v>
      </c>
      <c r="S77" s="1672">
        <v>250000</v>
      </c>
      <c r="T77" s="1671" t="s">
        <v>887</v>
      </c>
      <c r="U77" s="1671"/>
      <c r="V77" s="1671">
        <v>12</v>
      </c>
      <c r="W77" s="1671" t="s">
        <v>888</v>
      </c>
      <c r="X77" s="1671" t="s">
        <v>889</v>
      </c>
      <c r="Y77" s="1674">
        <f t="shared" si="2"/>
        <v>6000</v>
      </c>
      <c r="Z77" s="407">
        <f t="shared" si="12"/>
        <v>6000000</v>
      </c>
      <c r="AA77" s="1143">
        <f t="shared" si="11"/>
        <v>0</v>
      </c>
      <c r="AB77" s="1143"/>
      <c r="AC77" s="505"/>
    </row>
    <row r="78" spans="1:30" s="474" customFormat="1" ht="21" customHeight="1">
      <c r="A78" s="1934"/>
      <c r="B78" s="1145"/>
      <c r="C78" s="1126"/>
      <c r="D78" s="1145"/>
      <c r="E78" s="465"/>
      <c r="F78" s="598"/>
      <c r="G78" s="598"/>
      <c r="H78" s="404"/>
      <c r="I78" s="833"/>
      <c r="J78" s="1670" t="s">
        <v>906</v>
      </c>
      <c r="K78" s="1671"/>
      <c r="L78" s="1671"/>
      <c r="M78" s="1671"/>
      <c r="N78" s="1672"/>
      <c r="O78" s="1672"/>
      <c r="P78" s="1671"/>
      <c r="Q78" s="1673">
        <v>1</v>
      </c>
      <c r="R78" s="1671" t="s">
        <v>904</v>
      </c>
      <c r="S78" s="1672">
        <v>800000</v>
      </c>
      <c r="T78" s="1671" t="s">
        <v>887</v>
      </c>
      <c r="U78" s="1671"/>
      <c r="V78" s="1671">
        <v>12</v>
      </c>
      <c r="W78" s="1671" t="s">
        <v>888</v>
      </c>
      <c r="X78" s="1671" t="s">
        <v>889</v>
      </c>
      <c r="Y78" s="1674">
        <f t="shared" si="2"/>
        <v>9600</v>
      </c>
      <c r="Z78" s="407">
        <f t="shared" si="12"/>
        <v>9600000</v>
      </c>
      <c r="AA78" s="1143">
        <f t="shared" si="11"/>
        <v>0</v>
      </c>
      <c r="AB78" s="1143"/>
      <c r="AC78" s="505"/>
    </row>
    <row r="79" spans="1:30" s="474" customFormat="1" ht="21" customHeight="1">
      <c r="A79" s="1934"/>
      <c r="B79" s="1145"/>
      <c r="C79" s="1126"/>
      <c r="D79" s="1145"/>
      <c r="E79" s="465"/>
      <c r="F79" s="598"/>
      <c r="G79" s="598"/>
      <c r="H79" s="404"/>
      <c r="I79" s="833"/>
      <c r="J79" s="1670" t="s">
        <v>907</v>
      </c>
      <c r="K79" s="1671"/>
      <c r="L79" s="1671"/>
      <c r="M79" s="1671"/>
      <c r="N79" s="1672"/>
      <c r="O79" s="1672"/>
      <c r="P79" s="1671"/>
      <c r="Q79" s="1673">
        <v>2</v>
      </c>
      <c r="R79" s="1671" t="s">
        <v>908</v>
      </c>
      <c r="S79" s="1672">
        <v>500000</v>
      </c>
      <c r="T79" s="1671" t="s">
        <v>887</v>
      </c>
      <c r="U79" s="1671"/>
      <c r="V79" s="1671">
        <v>10</v>
      </c>
      <c r="W79" s="1671" t="s">
        <v>888</v>
      </c>
      <c r="X79" s="1671" t="s">
        <v>889</v>
      </c>
      <c r="Y79" s="1674">
        <f t="shared" si="2"/>
        <v>10000</v>
      </c>
      <c r="Z79" s="407">
        <f t="shared" si="12"/>
        <v>10000000</v>
      </c>
      <c r="AA79" s="1143">
        <f t="shared" si="11"/>
        <v>0</v>
      </c>
      <c r="AB79" s="1143"/>
      <c r="AC79" s="505"/>
    </row>
    <row r="80" spans="1:30" s="1675" customFormat="1" ht="21" customHeight="1">
      <c r="A80" s="1934"/>
      <c r="B80" s="1145"/>
      <c r="C80" s="1126"/>
      <c r="D80" s="1145"/>
      <c r="E80" s="465"/>
      <c r="F80" s="598"/>
      <c r="G80" s="598"/>
      <c r="H80" s="404"/>
      <c r="I80" s="1127"/>
      <c r="J80" s="1670" t="s">
        <v>909</v>
      </c>
      <c r="K80" s="1671"/>
      <c r="L80" s="1671"/>
      <c r="M80" s="1671"/>
      <c r="N80" s="1672"/>
      <c r="O80" s="1672"/>
      <c r="P80" s="1671"/>
      <c r="Q80" s="1673">
        <v>1</v>
      </c>
      <c r="R80" s="1671" t="s">
        <v>908</v>
      </c>
      <c r="S80" s="1672">
        <v>5000000</v>
      </c>
      <c r="T80" s="1671" t="s">
        <v>887</v>
      </c>
      <c r="U80" s="1671"/>
      <c r="V80" s="1671">
        <v>1</v>
      </c>
      <c r="W80" s="1671" t="s">
        <v>892</v>
      </c>
      <c r="X80" s="1671" t="s">
        <v>889</v>
      </c>
      <c r="Y80" s="1674">
        <f t="shared" si="2"/>
        <v>5000</v>
      </c>
      <c r="Z80" s="407">
        <f t="shared" si="12"/>
        <v>5000000</v>
      </c>
      <c r="AA80" s="1143">
        <f t="shared" si="11"/>
        <v>0</v>
      </c>
      <c r="AB80" s="1143"/>
      <c r="AC80" s="505"/>
    </row>
    <row r="81" spans="1:29" s="1675" customFormat="1" ht="21" customHeight="1">
      <c r="A81" s="1934"/>
      <c r="B81" s="1145"/>
      <c r="C81" s="1126"/>
      <c r="D81" s="1145"/>
      <c r="E81" s="809" t="s">
        <v>910</v>
      </c>
      <c r="F81" s="613">
        <f>SUM(Y81)</f>
        <v>14400</v>
      </c>
      <c r="G81" s="613">
        <v>14400</v>
      </c>
      <c r="H81" s="810"/>
      <c r="I81" s="1127"/>
      <c r="J81" s="811" t="s">
        <v>895</v>
      </c>
      <c r="K81" s="815"/>
      <c r="L81" s="815"/>
      <c r="M81" s="815"/>
      <c r="N81" s="450"/>
      <c r="O81" s="450"/>
      <c r="P81" s="815"/>
      <c r="Q81" s="831"/>
      <c r="R81" s="815"/>
      <c r="S81" s="815"/>
      <c r="T81" s="815"/>
      <c r="U81" s="815"/>
      <c r="V81" s="815"/>
      <c r="W81" s="815"/>
      <c r="X81" s="815"/>
      <c r="Y81" s="356">
        <f t="shared" si="2"/>
        <v>14400</v>
      </c>
      <c r="Z81" s="407">
        <f>+Z82+Z83</f>
        <v>14400000</v>
      </c>
      <c r="AA81" s="1143">
        <f t="shared" si="11"/>
        <v>14400000000</v>
      </c>
      <c r="AB81" s="1143"/>
      <c r="AC81" s="505"/>
    </row>
    <row r="82" spans="1:29" s="1675" customFormat="1" ht="21" customHeight="1">
      <c r="A82" s="1934"/>
      <c r="B82" s="1145"/>
      <c r="C82" s="1126"/>
      <c r="D82" s="1145"/>
      <c r="E82" s="465"/>
      <c r="F82" s="598"/>
      <c r="G82" s="598"/>
      <c r="H82" s="404"/>
      <c r="I82" s="1127"/>
      <c r="J82" s="1670" t="s">
        <v>911</v>
      </c>
      <c r="K82" s="1671"/>
      <c r="L82" s="1671"/>
      <c r="M82" s="1671"/>
      <c r="N82" s="1672"/>
      <c r="O82" s="1671"/>
      <c r="P82" s="1671"/>
      <c r="Q82" s="1673">
        <v>1</v>
      </c>
      <c r="R82" s="1671" t="s">
        <v>891</v>
      </c>
      <c r="S82" s="1672">
        <v>600000</v>
      </c>
      <c r="T82" s="1671" t="s">
        <v>887</v>
      </c>
      <c r="U82" s="1671"/>
      <c r="V82" s="1671">
        <v>12</v>
      </c>
      <c r="W82" s="1671" t="s">
        <v>888</v>
      </c>
      <c r="X82" s="1671" t="s">
        <v>889</v>
      </c>
      <c r="Y82" s="1674">
        <f t="shared" si="2"/>
        <v>7200</v>
      </c>
      <c r="Z82" s="407">
        <f t="shared" ref="Z82:Z83" si="13">Q82*S82*V82</f>
        <v>7200000</v>
      </c>
      <c r="AA82" s="1143">
        <f t="shared" si="11"/>
        <v>0</v>
      </c>
      <c r="AB82" s="1143"/>
      <c r="AC82" s="505"/>
    </row>
    <row r="83" spans="1:29" s="1675" customFormat="1" ht="21" customHeight="1">
      <c r="A83" s="1934"/>
      <c r="B83" s="1145"/>
      <c r="C83" s="1126"/>
      <c r="D83" s="1145"/>
      <c r="E83" s="819"/>
      <c r="F83" s="597"/>
      <c r="G83" s="597"/>
      <c r="H83" s="820"/>
      <c r="I83" s="1127"/>
      <c r="J83" s="1670" t="s">
        <v>912</v>
      </c>
      <c r="K83" s="371"/>
      <c r="L83" s="371"/>
      <c r="M83" s="371"/>
      <c r="N83" s="458"/>
      <c r="O83" s="371"/>
      <c r="P83" s="371"/>
      <c r="Q83" s="368">
        <v>2</v>
      </c>
      <c r="R83" s="371" t="s">
        <v>891</v>
      </c>
      <c r="S83" s="458">
        <v>300000</v>
      </c>
      <c r="T83" s="371" t="s">
        <v>887</v>
      </c>
      <c r="U83" s="371"/>
      <c r="V83" s="371">
        <v>12</v>
      </c>
      <c r="W83" s="371" t="s">
        <v>2</v>
      </c>
      <c r="X83" s="371" t="s">
        <v>889</v>
      </c>
      <c r="Y83" s="345">
        <f t="shared" si="2"/>
        <v>7200</v>
      </c>
      <c r="Z83" s="407">
        <f t="shared" si="13"/>
        <v>7200000</v>
      </c>
      <c r="AA83" s="1143">
        <f t="shared" si="11"/>
        <v>0</v>
      </c>
      <c r="AB83" s="1143"/>
      <c r="AC83" s="505"/>
    </row>
    <row r="84" spans="1:29" s="1675" customFormat="1" ht="21" customHeight="1">
      <c r="A84" s="1934"/>
      <c r="B84" s="1145"/>
      <c r="C84" s="1126"/>
      <c r="D84" s="1145"/>
      <c r="E84" s="809" t="s">
        <v>913</v>
      </c>
      <c r="F84" s="613">
        <f>SUM(Y84)</f>
        <v>17040</v>
      </c>
      <c r="G84" s="613">
        <v>17040</v>
      </c>
      <c r="H84" s="810"/>
      <c r="I84" s="1127"/>
      <c r="J84" s="811" t="s">
        <v>895</v>
      </c>
      <c r="K84" s="815"/>
      <c r="L84" s="815"/>
      <c r="M84" s="815"/>
      <c r="N84" s="450"/>
      <c r="O84" s="815"/>
      <c r="P84" s="815"/>
      <c r="Q84" s="831"/>
      <c r="R84" s="815"/>
      <c r="S84" s="450"/>
      <c r="T84" s="815"/>
      <c r="U84" s="815"/>
      <c r="V84" s="815"/>
      <c r="W84" s="815"/>
      <c r="X84" s="815"/>
      <c r="Y84" s="356">
        <f t="shared" si="2"/>
        <v>17040</v>
      </c>
      <c r="Z84" s="407">
        <f>+Z85+Z86+Z87</f>
        <v>17040000</v>
      </c>
      <c r="AA84" s="1143">
        <f t="shared" si="11"/>
        <v>17040000000</v>
      </c>
      <c r="AB84" s="1143"/>
      <c r="AC84" s="505"/>
    </row>
    <row r="85" spans="1:29" s="1675" customFormat="1" ht="21" customHeight="1">
      <c r="A85" s="1934"/>
      <c r="B85" s="1145"/>
      <c r="C85" s="1126"/>
      <c r="D85" s="1145"/>
      <c r="E85" s="834"/>
      <c r="F85" s="598"/>
      <c r="G85" s="598"/>
      <c r="H85" s="404"/>
      <c r="I85" s="1127"/>
      <c r="J85" s="1670" t="s">
        <v>914</v>
      </c>
      <c r="K85" s="1671"/>
      <c r="L85" s="1671"/>
      <c r="M85" s="1671"/>
      <c r="N85" s="1672"/>
      <c r="O85" s="1671"/>
      <c r="P85" s="1671"/>
      <c r="Q85" s="1673"/>
      <c r="R85" s="1671"/>
      <c r="S85" s="1672">
        <v>80000</v>
      </c>
      <c r="T85" s="1671" t="s">
        <v>887</v>
      </c>
      <c r="U85" s="1671"/>
      <c r="V85" s="1671">
        <v>12</v>
      </c>
      <c r="W85" s="1671" t="s">
        <v>888</v>
      </c>
      <c r="X85" s="1671" t="s">
        <v>889</v>
      </c>
      <c r="Y85" s="1674">
        <f t="shared" ref="Y85:Y92" si="14">+Z85/1000</f>
        <v>960</v>
      </c>
      <c r="Z85" s="407">
        <f t="shared" si="4"/>
        <v>960000</v>
      </c>
      <c r="AA85" s="1143">
        <f t="shared" si="11"/>
        <v>0</v>
      </c>
      <c r="AB85" s="1143"/>
      <c r="AC85" s="505"/>
    </row>
    <row r="86" spans="1:29" s="1675" customFormat="1" ht="21" customHeight="1">
      <c r="A86" s="1934"/>
      <c r="B86" s="1145"/>
      <c r="C86" s="1126"/>
      <c r="D86" s="1145"/>
      <c r="E86" s="465"/>
      <c r="F86" s="598"/>
      <c r="G86" s="598"/>
      <c r="H86" s="404"/>
      <c r="I86" s="1127"/>
      <c r="J86" s="1670" t="s">
        <v>915</v>
      </c>
      <c r="K86" s="1671"/>
      <c r="L86" s="1671"/>
      <c r="M86" s="1671"/>
      <c r="N86" s="1672"/>
      <c r="O86" s="1671"/>
      <c r="P86" s="1671"/>
      <c r="Q86" s="1673" t="s">
        <v>916</v>
      </c>
      <c r="R86" s="1671" t="s">
        <v>917</v>
      </c>
      <c r="S86" s="1672">
        <v>1300000</v>
      </c>
      <c r="T86" s="1671" t="s">
        <v>887</v>
      </c>
      <c r="U86" s="1671"/>
      <c r="V86" s="1671">
        <v>12</v>
      </c>
      <c r="W86" s="1671" t="s">
        <v>888</v>
      </c>
      <c r="X86" s="1671" t="s">
        <v>889</v>
      </c>
      <c r="Y86" s="1674">
        <f t="shared" si="14"/>
        <v>15600</v>
      </c>
      <c r="Z86" s="407">
        <f t="shared" si="4"/>
        <v>15600000</v>
      </c>
      <c r="AA86" s="1143">
        <f t="shared" si="11"/>
        <v>0</v>
      </c>
      <c r="AB86" s="1143"/>
      <c r="AC86" s="505"/>
    </row>
    <row r="87" spans="1:29" s="1675" customFormat="1" ht="21" customHeight="1">
      <c r="A87" s="1934"/>
      <c r="B87" s="1145"/>
      <c r="C87" s="1126"/>
      <c r="D87" s="1145"/>
      <c r="E87" s="465"/>
      <c r="F87" s="598"/>
      <c r="G87" s="598"/>
      <c r="H87" s="404"/>
      <c r="I87" s="1127"/>
      <c r="J87" s="1670" t="s">
        <v>918</v>
      </c>
      <c r="K87" s="1671"/>
      <c r="L87" s="1671"/>
      <c r="M87" s="1671"/>
      <c r="N87" s="1672"/>
      <c r="O87" s="1671"/>
      <c r="P87" s="1671"/>
      <c r="Q87" s="1673"/>
      <c r="R87" s="1671"/>
      <c r="S87" s="1672">
        <v>40000</v>
      </c>
      <c r="T87" s="1671" t="s">
        <v>887</v>
      </c>
      <c r="U87" s="1671"/>
      <c r="V87" s="1671">
        <v>12</v>
      </c>
      <c r="W87" s="1671" t="s">
        <v>888</v>
      </c>
      <c r="X87" s="1671" t="s">
        <v>889</v>
      </c>
      <c r="Y87" s="1674">
        <f t="shared" si="14"/>
        <v>480</v>
      </c>
      <c r="Z87" s="407">
        <f t="shared" si="4"/>
        <v>480000</v>
      </c>
      <c r="AA87" s="1143">
        <f t="shared" si="11"/>
        <v>0</v>
      </c>
      <c r="AB87" s="1143"/>
      <c r="AC87" s="505"/>
    </row>
    <row r="88" spans="1:29" s="1675" customFormat="1" ht="21" customHeight="1">
      <c r="A88" s="1934"/>
      <c r="B88" s="1145"/>
      <c r="C88" s="1126"/>
      <c r="D88" s="1145"/>
      <c r="E88" s="762" t="s">
        <v>919</v>
      </c>
      <c r="F88" s="1683">
        <f>Y88</f>
        <v>1000</v>
      </c>
      <c r="G88" s="1683">
        <v>1000</v>
      </c>
      <c r="H88" s="810"/>
      <c r="I88" s="1127"/>
      <c r="J88" s="835" t="s">
        <v>920</v>
      </c>
      <c r="K88" s="462"/>
      <c r="L88" s="462"/>
      <c r="M88" s="462"/>
      <c r="N88" s="399"/>
      <c r="O88" s="399"/>
      <c r="P88" s="462"/>
      <c r="Q88" s="836"/>
      <c r="R88" s="462"/>
      <c r="S88" s="399">
        <v>200000</v>
      </c>
      <c r="T88" s="462" t="s">
        <v>887</v>
      </c>
      <c r="U88" s="462"/>
      <c r="V88" s="462">
        <v>5</v>
      </c>
      <c r="W88" s="462" t="s">
        <v>892</v>
      </c>
      <c r="X88" s="462" t="s">
        <v>889</v>
      </c>
      <c r="Y88" s="377">
        <f t="shared" si="14"/>
        <v>1000</v>
      </c>
      <c r="Z88" s="407">
        <f t="shared" si="4"/>
        <v>1000000</v>
      </c>
      <c r="AA88" s="1143">
        <f t="shared" si="11"/>
        <v>1000000000</v>
      </c>
      <c r="AB88" s="1143"/>
      <c r="AC88" s="505"/>
    </row>
    <row r="89" spans="1:29" s="1675" customFormat="1" ht="21" customHeight="1">
      <c r="A89" s="1934"/>
      <c r="B89" s="1145"/>
      <c r="C89" s="1126"/>
      <c r="D89" s="3284" t="s">
        <v>921</v>
      </c>
      <c r="E89" s="3357"/>
      <c r="F89" s="360">
        <f>SUM(F90:F90)</f>
        <v>20000</v>
      </c>
      <c r="G89" s="360">
        <f>SUM(G90:G90)</f>
        <v>20000</v>
      </c>
      <c r="H89" s="1132">
        <f>F89-G89</f>
        <v>0</v>
      </c>
      <c r="I89" s="1127"/>
      <c r="J89" s="826"/>
      <c r="K89" s="2149"/>
      <c r="L89" s="2149"/>
      <c r="M89" s="2149"/>
      <c r="N89" s="2149"/>
      <c r="O89" s="2149"/>
      <c r="P89" s="827"/>
      <c r="Q89" s="2149"/>
      <c r="R89" s="827"/>
      <c r="S89" s="2149"/>
      <c r="T89" s="827"/>
      <c r="U89" s="2149"/>
      <c r="V89" s="827"/>
      <c r="W89" s="2149"/>
      <c r="X89" s="2149"/>
      <c r="Y89" s="1158"/>
      <c r="Z89" s="407">
        <f t="shared" si="4"/>
        <v>0</v>
      </c>
      <c r="AA89" s="1143">
        <f t="shared" si="11"/>
        <v>20000000000</v>
      </c>
      <c r="AB89" s="1143"/>
      <c r="AC89" s="505"/>
    </row>
    <row r="90" spans="1:29" s="1675" customFormat="1" ht="21" customHeight="1">
      <c r="A90" s="1934"/>
      <c r="B90" s="1145"/>
      <c r="C90" s="1154"/>
      <c r="D90" s="837"/>
      <c r="E90" s="350" t="s">
        <v>922</v>
      </c>
      <c r="F90" s="613">
        <f>Y90</f>
        <v>20000</v>
      </c>
      <c r="G90" s="351">
        <v>20000</v>
      </c>
      <c r="H90" s="352"/>
      <c r="I90" s="1127"/>
      <c r="J90" s="1943" t="s">
        <v>895</v>
      </c>
      <c r="K90" s="1940"/>
      <c r="L90" s="1940"/>
      <c r="M90" s="1940"/>
      <c r="N90" s="1938"/>
      <c r="O90" s="1938"/>
      <c r="P90" s="1938"/>
      <c r="Q90" s="1673"/>
      <c r="R90" s="1671"/>
      <c r="S90" s="1672"/>
      <c r="T90" s="1671"/>
      <c r="U90" s="1671"/>
      <c r="V90" s="1673"/>
      <c r="W90" s="1671"/>
      <c r="X90" s="1671"/>
      <c r="Y90" s="1674">
        <f t="shared" si="14"/>
        <v>20000</v>
      </c>
      <c r="Z90" s="407">
        <f>SUM(Z91:Z92)</f>
        <v>20000000</v>
      </c>
      <c r="AA90" s="1143">
        <f t="shared" si="11"/>
        <v>20000000000</v>
      </c>
      <c r="AB90" s="1143"/>
      <c r="AC90" s="505"/>
    </row>
    <row r="91" spans="1:29" s="1675" customFormat="1" ht="21" customHeight="1">
      <c r="A91" s="475"/>
      <c r="B91" s="1145"/>
      <c r="C91" s="1154"/>
      <c r="D91" s="1154"/>
      <c r="E91" s="1126"/>
      <c r="F91" s="598"/>
      <c r="G91" s="337"/>
      <c r="H91" s="338"/>
      <c r="I91" s="1127"/>
      <c r="J91" s="1943" t="s">
        <v>923</v>
      </c>
      <c r="K91" s="1940"/>
      <c r="L91" s="1940"/>
      <c r="M91" s="1940"/>
      <c r="N91" s="1938"/>
      <c r="O91" s="1938"/>
      <c r="P91" s="1938"/>
      <c r="Q91" s="1673"/>
      <c r="R91" s="1671"/>
      <c r="S91" s="1672">
        <v>12500000</v>
      </c>
      <c r="T91" s="1671" t="s">
        <v>0</v>
      </c>
      <c r="U91" s="1671"/>
      <c r="V91" s="1673">
        <v>1</v>
      </c>
      <c r="W91" s="1671" t="s">
        <v>897</v>
      </c>
      <c r="X91" s="1671" t="s">
        <v>1</v>
      </c>
      <c r="Y91" s="1674">
        <f t="shared" si="14"/>
        <v>12500</v>
      </c>
      <c r="Z91" s="407">
        <f t="shared" ref="Z91:Z92" si="15">S91*V91</f>
        <v>12500000</v>
      </c>
      <c r="AA91" s="1143">
        <f t="shared" si="11"/>
        <v>0</v>
      </c>
      <c r="AB91" s="1143"/>
      <c r="AC91" s="505"/>
    </row>
    <row r="92" spans="1:29" s="1675" customFormat="1" ht="21" customHeight="1" thickBot="1">
      <c r="A92" s="475"/>
      <c r="B92" s="1145"/>
      <c r="C92" s="1154"/>
      <c r="D92" s="1154"/>
      <c r="E92" s="1126"/>
      <c r="F92" s="598"/>
      <c r="G92" s="337"/>
      <c r="H92" s="338"/>
      <c r="I92" s="1127"/>
      <c r="J92" s="1943" t="s">
        <v>924</v>
      </c>
      <c r="K92" s="1940"/>
      <c r="L92" s="1940"/>
      <c r="M92" s="1940"/>
      <c r="N92" s="1938"/>
      <c r="O92" s="1938"/>
      <c r="P92" s="1938"/>
      <c r="Q92" s="1673"/>
      <c r="R92" s="1671"/>
      <c r="S92" s="1672">
        <v>1500000</v>
      </c>
      <c r="T92" s="1671" t="s">
        <v>0</v>
      </c>
      <c r="U92" s="1671"/>
      <c r="V92" s="1673">
        <v>5</v>
      </c>
      <c r="W92" s="1671" t="s">
        <v>925</v>
      </c>
      <c r="X92" s="1671" t="s">
        <v>1</v>
      </c>
      <c r="Y92" s="1674">
        <f t="shared" si="14"/>
        <v>7500</v>
      </c>
      <c r="Z92" s="407">
        <f t="shared" si="15"/>
        <v>7500000</v>
      </c>
      <c r="AA92" s="1143">
        <f t="shared" si="11"/>
        <v>0</v>
      </c>
      <c r="AB92" s="1143"/>
      <c r="AC92" s="505"/>
    </row>
    <row r="93" spans="1:29" s="844" customFormat="1" ht="22.5" customHeight="1" thickBot="1">
      <c r="A93" s="475"/>
      <c r="B93" s="1145"/>
      <c r="C93" s="3355" t="s">
        <v>926</v>
      </c>
      <c r="D93" s="3310"/>
      <c r="E93" s="3311"/>
      <c r="F93" s="596">
        <f>+F94+F121+F148+F180+F183+F194+F232+F245+F262</f>
        <v>831000</v>
      </c>
      <c r="G93" s="596">
        <f>+G94+G121+G148+G180+G183+G194+G232+G245+G262</f>
        <v>831000</v>
      </c>
      <c r="H93" s="838">
        <f>SUM(F93-G93)</f>
        <v>0</v>
      </c>
      <c r="I93" s="1127"/>
      <c r="J93" s="839"/>
      <c r="K93" s="418"/>
      <c r="L93" s="418"/>
      <c r="M93" s="418"/>
      <c r="N93" s="840"/>
      <c r="O93" s="418"/>
      <c r="P93" s="418"/>
      <c r="Q93" s="841"/>
      <c r="R93" s="418"/>
      <c r="S93" s="840"/>
      <c r="T93" s="418"/>
      <c r="U93" s="418"/>
      <c r="V93" s="418"/>
      <c r="W93" s="418"/>
      <c r="X93" s="418"/>
      <c r="Y93" s="842"/>
      <c r="Z93" s="275">
        <f>F93*1000</f>
        <v>831000000</v>
      </c>
      <c r="AA93" s="1143">
        <f t="shared" si="11"/>
        <v>831000000000</v>
      </c>
      <c r="AB93" s="1143"/>
      <c r="AC93" s="505"/>
    </row>
    <row r="94" spans="1:29" s="1675" customFormat="1" ht="22.5" customHeight="1">
      <c r="A94" s="475"/>
      <c r="B94" s="1145"/>
      <c r="C94" s="845" t="s">
        <v>2974</v>
      </c>
      <c r="D94" s="1930"/>
      <c r="E94" s="1931"/>
      <c r="F94" s="360">
        <f>+F95+F103+F113</f>
        <v>80000</v>
      </c>
      <c r="G94" s="360">
        <f>+G95+G103+G113</f>
        <v>80000</v>
      </c>
      <c r="H94" s="361">
        <f>F94-G94</f>
        <v>0</v>
      </c>
      <c r="I94" s="1127"/>
      <c r="J94" s="1129"/>
      <c r="K94" s="846"/>
      <c r="L94" s="846"/>
      <c r="M94" s="846"/>
      <c r="N94" s="846"/>
      <c r="O94" s="846"/>
      <c r="P94" s="846"/>
      <c r="Q94" s="847"/>
      <c r="R94" s="846"/>
      <c r="S94" s="846"/>
      <c r="T94" s="846"/>
      <c r="U94" s="846"/>
      <c r="V94" s="846"/>
      <c r="W94" s="846"/>
      <c r="X94" s="1941"/>
      <c r="Y94" s="848"/>
      <c r="Z94" s="275">
        <f t="shared" ref="Z94:Z95" si="16">ROUNDUP(S94*V94,-3)</f>
        <v>0</v>
      </c>
      <c r="AA94" s="1143">
        <f t="shared" si="11"/>
        <v>80000000000</v>
      </c>
      <c r="AB94" s="1143"/>
      <c r="AC94" s="505"/>
    </row>
    <row r="95" spans="1:29" s="1675" customFormat="1" ht="22.5" customHeight="1">
      <c r="A95" s="475"/>
      <c r="B95" s="1145"/>
      <c r="C95" s="465"/>
      <c r="D95" s="3273" t="s">
        <v>3308</v>
      </c>
      <c r="E95" s="3443"/>
      <c r="F95" s="455">
        <f>SUM(F96:F102)</f>
        <v>40000</v>
      </c>
      <c r="G95" s="455">
        <f>SUM(G96:G102)</f>
        <v>40000</v>
      </c>
      <c r="H95" s="1132">
        <f>F95-G95</f>
        <v>0</v>
      </c>
      <c r="I95" s="1127"/>
      <c r="J95" s="1627"/>
      <c r="K95" s="1926"/>
      <c r="L95" s="1926"/>
      <c r="M95" s="1926"/>
      <c r="N95" s="1941"/>
      <c r="O95" s="1941"/>
      <c r="P95" s="1941"/>
      <c r="Q95" s="459"/>
      <c r="R95" s="457"/>
      <c r="S95" s="459"/>
      <c r="T95" s="459"/>
      <c r="U95" s="1626"/>
      <c r="V95" s="459"/>
      <c r="W95" s="459"/>
      <c r="X95" s="459"/>
      <c r="Y95" s="345"/>
      <c r="Z95" s="275">
        <f t="shared" si="16"/>
        <v>0</v>
      </c>
      <c r="AA95" s="1143">
        <f t="shared" si="11"/>
        <v>40000000000</v>
      </c>
      <c r="AB95" s="1143"/>
      <c r="AC95" s="505"/>
    </row>
    <row r="96" spans="1:29" s="1675" customFormat="1" ht="22.5" customHeight="1">
      <c r="A96" s="475"/>
      <c r="B96" s="1145"/>
      <c r="C96" s="402"/>
      <c r="D96" s="1131"/>
      <c r="E96" s="444" t="s">
        <v>927</v>
      </c>
      <c r="F96" s="337">
        <f>Y96</f>
        <v>31000</v>
      </c>
      <c r="G96" s="1139">
        <v>31000</v>
      </c>
      <c r="H96" s="338"/>
      <c r="I96" s="1127"/>
      <c r="J96" s="1943" t="s">
        <v>928</v>
      </c>
      <c r="L96" s="1940"/>
      <c r="M96" s="1940"/>
      <c r="N96" s="1938"/>
      <c r="O96" s="1938"/>
      <c r="P96" s="1938"/>
      <c r="Q96" s="1944"/>
      <c r="R96" s="1927"/>
      <c r="S96" s="1944"/>
      <c r="T96" s="1944"/>
      <c r="V96" s="1944"/>
      <c r="W96" s="1944"/>
      <c r="X96" s="1944"/>
      <c r="Y96" s="1674">
        <f>Z96/1000</f>
        <v>31000</v>
      </c>
      <c r="Z96" s="407">
        <f>SUM(Z97:Z98)</f>
        <v>31000000</v>
      </c>
      <c r="AA96" s="1143">
        <f t="shared" si="11"/>
        <v>31000000000</v>
      </c>
      <c r="AB96" s="1143"/>
      <c r="AC96" s="505"/>
    </row>
    <row r="97" spans="1:29" s="1675" customFormat="1" ht="22.5" customHeight="1">
      <c r="A97" s="1934"/>
      <c r="B97" s="1145"/>
      <c r="C97" s="402"/>
      <c r="D97" s="1131"/>
      <c r="E97" s="1134"/>
      <c r="F97" s="337"/>
      <c r="G97" s="1139"/>
      <c r="H97" s="338"/>
      <c r="I97" s="1127"/>
      <c r="J97" s="1943" t="s">
        <v>929</v>
      </c>
      <c r="L97" s="1940"/>
      <c r="M97" s="1940"/>
      <c r="N97" s="1938"/>
      <c r="O97" s="1938"/>
      <c r="P97" s="1938"/>
      <c r="Q97" s="1944">
        <v>3</v>
      </c>
      <c r="R97" s="1927" t="s">
        <v>930</v>
      </c>
      <c r="S97" s="1944">
        <v>7000</v>
      </c>
      <c r="T97" s="1944" t="s">
        <v>831</v>
      </c>
      <c r="V97" s="1944">
        <v>1000</v>
      </c>
      <c r="W97" s="1944" t="s">
        <v>931</v>
      </c>
      <c r="X97" s="1944" t="s">
        <v>833</v>
      </c>
      <c r="Y97" s="1674">
        <f t="shared" ref="Y97:Y102" si="17">Z97/1000</f>
        <v>21000</v>
      </c>
      <c r="Z97" s="407">
        <f t="shared" ref="Z97:Z154" si="18">Q97*S97*V97</f>
        <v>21000000</v>
      </c>
      <c r="AA97" s="1143">
        <f t="shared" si="11"/>
        <v>0</v>
      </c>
      <c r="AB97" s="1143"/>
      <c r="AC97" s="505"/>
    </row>
    <row r="98" spans="1:29" s="1675" customFormat="1" ht="22.5" customHeight="1">
      <c r="A98" s="1934"/>
      <c r="B98" s="1145"/>
      <c r="C98" s="402"/>
      <c r="D98" s="1131"/>
      <c r="E98" s="1134"/>
      <c r="F98" s="337"/>
      <c r="G98" s="1139"/>
      <c r="H98" s="338"/>
      <c r="I98" s="1127"/>
      <c r="J98" s="1943" t="s">
        <v>932</v>
      </c>
      <c r="L98" s="1940"/>
      <c r="M98" s="1940"/>
      <c r="N98" s="1938"/>
      <c r="O98" s="1938"/>
      <c r="P98" s="1938"/>
      <c r="Q98" s="1944"/>
      <c r="R98" s="1927"/>
      <c r="S98" s="1944">
        <v>10000</v>
      </c>
      <c r="T98" s="1944" t="s">
        <v>831</v>
      </c>
      <c r="V98" s="1944">
        <v>1000</v>
      </c>
      <c r="W98" s="1944" t="s">
        <v>931</v>
      </c>
      <c r="X98" s="1944" t="s">
        <v>833</v>
      </c>
      <c r="Y98" s="1674">
        <f t="shared" si="17"/>
        <v>10000</v>
      </c>
      <c r="Z98" s="407">
        <f t="shared" ref="Z98" si="19">S98*V98</f>
        <v>10000000</v>
      </c>
      <c r="AA98" s="1143">
        <f t="shared" si="11"/>
        <v>0</v>
      </c>
      <c r="AB98" s="1143"/>
      <c r="AC98" s="505"/>
    </row>
    <row r="99" spans="1:29" s="1675" customFormat="1" ht="22.5" customHeight="1">
      <c r="A99" s="1934"/>
      <c r="B99" s="1145"/>
      <c r="C99" s="402"/>
      <c r="D99" s="1144"/>
      <c r="E99" s="1134" t="s">
        <v>933</v>
      </c>
      <c r="F99" s="337">
        <f>Y99</f>
        <v>8000</v>
      </c>
      <c r="G99" s="1139">
        <v>8000</v>
      </c>
      <c r="H99" s="1147"/>
      <c r="I99" s="1127"/>
      <c r="J99" s="1943" t="s">
        <v>934</v>
      </c>
      <c r="K99" s="1940"/>
      <c r="L99" s="1940"/>
      <c r="M99" s="1940"/>
      <c r="N99" s="1938"/>
      <c r="O99" s="1938"/>
      <c r="P99" s="1938"/>
      <c r="Y99" s="1674">
        <f t="shared" si="17"/>
        <v>8000</v>
      </c>
      <c r="Z99" s="407">
        <f>SUM(Z100:Z101)</f>
        <v>8000000</v>
      </c>
      <c r="AA99" s="1143">
        <f t="shared" si="11"/>
        <v>8000000000</v>
      </c>
      <c r="AB99" s="1143"/>
      <c r="AC99" s="505"/>
    </row>
    <row r="100" spans="1:29" s="1675" customFormat="1" ht="22.5" customHeight="1">
      <c r="A100" s="1934"/>
      <c r="B100" s="1145"/>
      <c r="C100" s="402"/>
      <c r="D100" s="1144"/>
      <c r="E100" s="1134"/>
      <c r="F100" s="337"/>
      <c r="G100" s="1139"/>
      <c r="H100" s="1147"/>
      <c r="I100" s="1127"/>
      <c r="J100" s="1939" t="s">
        <v>935</v>
      </c>
      <c r="L100" s="1940"/>
      <c r="M100" s="1940"/>
      <c r="N100" s="1938"/>
      <c r="O100" s="1938"/>
      <c r="P100" s="1938"/>
      <c r="Q100" s="1944"/>
      <c r="R100" s="1927"/>
      <c r="S100" s="1944">
        <v>10000</v>
      </c>
      <c r="T100" s="1944" t="s">
        <v>936</v>
      </c>
      <c r="V100" s="1944">
        <v>400</v>
      </c>
      <c r="W100" s="1944" t="s">
        <v>937</v>
      </c>
      <c r="X100" s="1944" t="s">
        <v>938</v>
      </c>
      <c r="Y100" s="1674">
        <f t="shared" si="17"/>
        <v>4000</v>
      </c>
      <c r="Z100" s="407">
        <f t="shared" ref="Z100:Z102" si="20">S100*V100</f>
        <v>4000000</v>
      </c>
      <c r="AA100" s="1143">
        <f t="shared" si="11"/>
        <v>0</v>
      </c>
      <c r="AB100" s="1143"/>
      <c r="AC100" s="505"/>
    </row>
    <row r="101" spans="1:29" s="1675" customFormat="1" ht="22.5" customHeight="1">
      <c r="A101" s="1934"/>
      <c r="B101" s="1145"/>
      <c r="C101" s="402"/>
      <c r="D101" s="1144"/>
      <c r="E101" s="1134"/>
      <c r="F101" s="337"/>
      <c r="G101" s="1139"/>
      <c r="H101" s="1147"/>
      <c r="I101" s="1127"/>
      <c r="J101" s="1943" t="s">
        <v>939</v>
      </c>
      <c r="K101" s="1940"/>
      <c r="L101" s="1940"/>
      <c r="M101" s="1940"/>
      <c r="N101" s="1938"/>
      <c r="O101" s="1938"/>
      <c r="P101" s="1944"/>
      <c r="Q101" s="1944"/>
      <c r="R101" s="1927"/>
      <c r="S101" s="1944">
        <v>10000</v>
      </c>
      <c r="T101" s="1944" t="s">
        <v>936</v>
      </c>
      <c r="V101" s="1944">
        <v>400</v>
      </c>
      <c r="W101" s="1944" t="s">
        <v>937</v>
      </c>
      <c r="X101" s="1944" t="s">
        <v>938</v>
      </c>
      <c r="Y101" s="1674">
        <f t="shared" si="17"/>
        <v>4000</v>
      </c>
      <c r="Z101" s="407">
        <f t="shared" si="20"/>
        <v>4000000</v>
      </c>
      <c r="AA101" s="1143">
        <f t="shared" si="11"/>
        <v>0</v>
      </c>
      <c r="AB101" s="1143"/>
      <c r="AC101" s="505"/>
    </row>
    <row r="102" spans="1:29" s="1675" customFormat="1" ht="22.5" customHeight="1">
      <c r="A102" s="1934"/>
      <c r="B102" s="1145"/>
      <c r="C102" s="402"/>
      <c r="D102" s="1144"/>
      <c r="E102" s="855" t="s">
        <v>940</v>
      </c>
      <c r="F102" s="337">
        <f>Y102</f>
        <v>1000</v>
      </c>
      <c r="G102" s="1139">
        <v>1000</v>
      </c>
      <c r="H102" s="1147"/>
      <c r="I102" s="1127"/>
      <c r="J102" s="1943" t="s">
        <v>941</v>
      </c>
      <c r="K102" s="1940"/>
      <c r="L102" s="1940"/>
      <c r="M102" s="1940"/>
      <c r="N102" s="1938"/>
      <c r="O102" s="1938"/>
      <c r="P102" s="1944"/>
      <c r="Q102" s="1944"/>
      <c r="R102" s="1927"/>
      <c r="S102" s="1944">
        <v>100000</v>
      </c>
      <c r="T102" s="1944" t="s">
        <v>936</v>
      </c>
      <c r="V102" s="1944">
        <v>10</v>
      </c>
      <c r="W102" s="1944" t="s">
        <v>942</v>
      </c>
      <c r="X102" s="1944" t="s">
        <v>938</v>
      </c>
      <c r="Y102" s="1674">
        <f t="shared" si="17"/>
        <v>1000</v>
      </c>
      <c r="Z102" s="407">
        <f t="shared" si="20"/>
        <v>1000000</v>
      </c>
      <c r="AA102" s="1143">
        <f t="shared" si="11"/>
        <v>1000000000</v>
      </c>
      <c r="AB102" s="1143"/>
      <c r="AC102" s="505"/>
    </row>
    <row r="103" spans="1:29" s="1675" customFormat="1" ht="22.5" customHeight="1">
      <c r="A103" s="1934"/>
      <c r="B103" s="1145"/>
      <c r="C103" s="465"/>
      <c r="D103" s="3312" t="s">
        <v>3309</v>
      </c>
      <c r="E103" s="3444"/>
      <c r="F103" s="500">
        <f>SUM(F104:F112)</f>
        <v>20000</v>
      </c>
      <c r="G103" s="500">
        <f>SUM(G104:G112)</f>
        <v>20000</v>
      </c>
      <c r="H103" s="1132">
        <f>F103-G103</f>
        <v>0</v>
      </c>
      <c r="I103" s="1127"/>
      <c r="J103" s="1135"/>
      <c r="K103" s="1919"/>
      <c r="L103" s="1919"/>
      <c r="M103" s="1919"/>
      <c r="N103" s="1936"/>
      <c r="O103" s="1936"/>
      <c r="P103" s="1936"/>
      <c r="Q103" s="1136"/>
      <c r="R103" s="1137"/>
      <c r="S103" s="1136"/>
      <c r="T103" s="1136"/>
      <c r="U103" s="1146"/>
      <c r="V103" s="1136"/>
      <c r="W103" s="1136"/>
      <c r="X103" s="1136"/>
      <c r="Y103" s="377"/>
      <c r="Z103" s="407">
        <f t="shared" si="18"/>
        <v>0</v>
      </c>
      <c r="AA103" s="1143">
        <f t="shared" si="11"/>
        <v>20000000000</v>
      </c>
      <c r="AB103" s="1143"/>
      <c r="AC103" s="505"/>
    </row>
    <row r="104" spans="1:29" s="1675" customFormat="1" ht="22.5" customHeight="1">
      <c r="A104" s="1934"/>
      <c r="B104" s="1145"/>
      <c r="C104" s="402"/>
      <c r="D104" s="1131"/>
      <c r="E104" s="1134" t="s">
        <v>943</v>
      </c>
      <c r="F104" s="337">
        <f>Y104</f>
        <v>6200</v>
      </c>
      <c r="G104" s="1139">
        <v>6200</v>
      </c>
      <c r="H104" s="338"/>
      <c r="I104" s="1127"/>
      <c r="J104" s="1943" t="s">
        <v>944</v>
      </c>
      <c r="K104" s="1940"/>
      <c r="L104" s="1940"/>
      <c r="M104" s="1940"/>
      <c r="N104" s="1938"/>
      <c r="O104" s="1938"/>
      <c r="P104" s="1938"/>
      <c r="Q104" s="1944"/>
      <c r="R104" s="1927"/>
      <c r="S104" s="1944"/>
      <c r="T104" s="1944"/>
      <c r="V104" s="1944"/>
      <c r="W104" s="1944"/>
      <c r="X104" s="1944"/>
      <c r="Y104" s="1674">
        <f t="shared" ref="Y104:Y112" si="21">Z104/1000</f>
        <v>6200</v>
      </c>
      <c r="Z104" s="407">
        <f>SUM(Z105:Z106)</f>
        <v>6200000</v>
      </c>
      <c r="AA104" s="1143">
        <f t="shared" si="11"/>
        <v>6200000000</v>
      </c>
      <c r="AB104" s="1143"/>
      <c r="AC104" s="505"/>
    </row>
    <row r="105" spans="1:29" s="1675" customFormat="1" ht="22.5" customHeight="1">
      <c r="A105" s="1934"/>
      <c r="B105" s="1145"/>
      <c r="C105" s="402"/>
      <c r="D105" s="1131"/>
      <c r="E105" s="1134"/>
      <c r="F105" s="337"/>
      <c r="G105" s="1139"/>
      <c r="H105" s="338"/>
      <c r="I105" s="1127"/>
      <c r="J105" s="1943" t="s">
        <v>945</v>
      </c>
      <c r="K105" s="1940"/>
      <c r="L105" s="1940"/>
      <c r="M105" s="1940"/>
      <c r="N105" s="1938"/>
      <c r="O105" s="1938"/>
      <c r="P105" s="1938"/>
      <c r="Q105" s="1944">
        <v>500</v>
      </c>
      <c r="R105" s="1927" t="s">
        <v>946</v>
      </c>
      <c r="S105" s="1944">
        <v>5000</v>
      </c>
      <c r="T105" s="1944" t="s">
        <v>936</v>
      </c>
      <c r="V105" s="1944">
        <v>2</v>
      </c>
      <c r="W105" s="1944" t="s">
        <v>947</v>
      </c>
      <c r="X105" s="1944" t="s">
        <v>938</v>
      </c>
      <c r="Y105" s="1674">
        <f t="shared" si="21"/>
        <v>5000</v>
      </c>
      <c r="Z105" s="407">
        <f t="shared" si="18"/>
        <v>5000000</v>
      </c>
      <c r="AA105" s="1143">
        <f t="shared" si="11"/>
        <v>0</v>
      </c>
      <c r="AB105" s="1143"/>
      <c r="AC105" s="505"/>
    </row>
    <row r="106" spans="1:29" s="1675" customFormat="1" ht="22.5" customHeight="1">
      <c r="A106" s="1934"/>
      <c r="B106" s="1145"/>
      <c r="C106" s="402"/>
      <c r="D106" s="1131"/>
      <c r="E106" s="1134"/>
      <c r="F106" s="337"/>
      <c r="G106" s="1139"/>
      <c r="H106" s="338"/>
      <c r="I106" s="1127"/>
      <c r="J106" s="1943" t="s">
        <v>948</v>
      </c>
      <c r="K106" s="1940"/>
      <c r="L106" s="1940"/>
      <c r="M106" s="1940"/>
      <c r="N106" s="1938"/>
      <c r="O106" s="1938"/>
      <c r="P106" s="1938"/>
      <c r="Q106" s="1944">
        <v>600</v>
      </c>
      <c r="R106" s="1927" t="s">
        <v>949</v>
      </c>
      <c r="S106" s="1944">
        <v>1000</v>
      </c>
      <c r="T106" s="1944" t="s">
        <v>887</v>
      </c>
      <c r="V106" s="1944">
        <v>2</v>
      </c>
      <c r="W106" s="1944" t="s">
        <v>892</v>
      </c>
      <c r="X106" s="1944" t="s">
        <v>889</v>
      </c>
      <c r="Y106" s="1674">
        <f t="shared" si="21"/>
        <v>1200</v>
      </c>
      <c r="Z106" s="407">
        <f t="shared" si="18"/>
        <v>1200000</v>
      </c>
      <c r="AA106" s="1143">
        <f t="shared" si="11"/>
        <v>0</v>
      </c>
      <c r="AB106" s="1143"/>
      <c r="AC106" s="505"/>
    </row>
    <row r="107" spans="1:29" s="1675" customFormat="1" ht="22.5" customHeight="1">
      <c r="A107" s="1934"/>
      <c r="B107" s="1145"/>
      <c r="C107" s="402"/>
      <c r="D107" s="1131"/>
      <c r="E107" s="1134" t="s">
        <v>950</v>
      </c>
      <c r="F107" s="337">
        <f t="shared" ref="F107:F112" si="22">Y107</f>
        <v>400</v>
      </c>
      <c r="G107" s="1139">
        <v>400</v>
      </c>
      <c r="H107" s="338"/>
      <c r="I107" s="1127"/>
      <c r="J107" s="1943" t="s">
        <v>951</v>
      </c>
      <c r="K107" s="1940"/>
      <c r="L107" s="1940"/>
      <c r="M107" s="1940"/>
      <c r="N107" s="1938"/>
      <c r="O107" s="1938"/>
      <c r="P107" s="1938"/>
      <c r="Q107" s="1944"/>
      <c r="R107" s="1927"/>
      <c r="S107" s="1944">
        <v>200000</v>
      </c>
      <c r="T107" s="1944" t="s">
        <v>887</v>
      </c>
      <c r="V107" s="1944">
        <v>2</v>
      </c>
      <c r="W107" s="1944" t="s">
        <v>892</v>
      </c>
      <c r="X107" s="1944" t="s">
        <v>889</v>
      </c>
      <c r="Y107" s="1674">
        <f t="shared" si="21"/>
        <v>400</v>
      </c>
      <c r="Z107" s="407">
        <f t="shared" ref="Z107:Z109" si="23">S107*V107</f>
        <v>400000</v>
      </c>
      <c r="AA107" s="1143">
        <f t="shared" si="11"/>
        <v>400000000</v>
      </c>
      <c r="AB107" s="1143"/>
      <c r="AC107" s="505"/>
    </row>
    <row r="108" spans="1:29" s="1675" customFormat="1" ht="22.5" customHeight="1">
      <c r="A108" s="1934"/>
      <c r="B108" s="1145"/>
      <c r="C108" s="402"/>
      <c r="D108" s="1131"/>
      <c r="E108" s="1134" t="s">
        <v>952</v>
      </c>
      <c r="F108" s="337">
        <f t="shared" si="22"/>
        <v>10000</v>
      </c>
      <c r="G108" s="1139">
        <v>10000</v>
      </c>
      <c r="H108" s="338"/>
      <c r="I108" s="1127"/>
      <c r="J108" s="1943" t="s">
        <v>953</v>
      </c>
      <c r="K108" s="1940"/>
      <c r="L108" s="1940"/>
      <c r="M108" s="1940"/>
      <c r="N108" s="1938"/>
      <c r="O108" s="1938"/>
      <c r="P108" s="1938"/>
      <c r="Q108" s="1944"/>
      <c r="R108" s="1927"/>
      <c r="S108" s="1944">
        <v>5000000</v>
      </c>
      <c r="T108" s="1944" t="s">
        <v>887</v>
      </c>
      <c r="V108" s="1944">
        <v>2</v>
      </c>
      <c r="W108" s="1944" t="s">
        <v>954</v>
      </c>
      <c r="X108" s="1944" t="s">
        <v>889</v>
      </c>
      <c r="Y108" s="1674">
        <f t="shared" si="21"/>
        <v>10000</v>
      </c>
      <c r="Z108" s="407">
        <f t="shared" si="23"/>
        <v>10000000</v>
      </c>
      <c r="AA108" s="1143">
        <f t="shared" si="11"/>
        <v>10000000000</v>
      </c>
      <c r="AB108" s="1143"/>
      <c r="AC108" s="505"/>
    </row>
    <row r="109" spans="1:29" s="1675" customFormat="1" ht="22.5" customHeight="1">
      <c r="A109" s="1934"/>
      <c r="B109" s="1145"/>
      <c r="C109" s="402"/>
      <c r="D109" s="1131"/>
      <c r="E109" s="1134" t="s">
        <v>902</v>
      </c>
      <c r="F109" s="337">
        <f t="shared" si="22"/>
        <v>800</v>
      </c>
      <c r="G109" s="1139">
        <v>800</v>
      </c>
      <c r="H109" s="338"/>
      <c r="I109" s="1127"/>
      <c r="J109" s="1943" t="s">
        <v>955</v>
      </c>
      <c r="K109" s="1940"/>
      <c r="L109" s="1940"/>
      <c r="M109" s="1940"/>
      <c r="N109" s="1938"/>
      <c r="O109" s="1938"/>
      <c r="P109" s="1938"/>
      <c r="Q109" s="1944"/>
      <c r="R109" s="1927"/>
      <c r="S109" s="1944">
        <v>400000</v>
      </c>
      <c r="T109" s="1944" t="s">
        <v>887</v>
      </c>
      <c r="V109" s="1944">
        <v>2</v>
      </c>
      <c r="W109" s="1944" t="s">
        <v>892</v>
      </c>
      <c r="X109" s="1944" t="s">
        <v>889</v>
      </c>
      <c r="Y109" s="1674">
        <f t="shared" si="21"/>
        <v>800</v>
      </c>
      <c r="Z109" s="407">
        <f t="shared" si="23"/>
        <v>800000</v>
      </c>
      <c r="AA109" s="1143">
        <f t="shared" si="11"/>
        <v>800000000</v>
      </c>
      <c r="AB109" s="1143"/>
      <c r="AC109" s="505"/>
    </row>
    <row r="110" spans="1:29" s="1675" customFormat="1" ht="22.5" customHeight="1">
      <c r="A110" s="1934"/>
      <c r="B110" s="1145"/>
      <c r="C110" s="402"/>
      <c r="D110" s="1131"/>
      <c r="E110" s="1134" t="s">
        <v>956</v>
      </c>
      <c r="F110" s="337">
        <f t="shared" si="22"/>
        <v>400</v>
      </c>
      <c r="G110" s="1139">
        <v>400</v>
      </c>
      <c r="H110" s="338"/>
      <c r="I110" s="1127"/>
      <c r="J110" s="1943" t="s">
        <v>957</v>
      </c>
      <c r="K110" s="1940"/>
      <c r="L110" s="1940"/>
      <c r="M110" s="1940"/>
      <c r="N110" s="1938"/>
      <c r="O110" s="1938"/>
      <c r="P110" s="1938"/>
      <c r="Q110" s="1944">
        <v>500</v>
      </c>
      <c r="R110" s="1927" t="s">
        <v>949</v>
      </c>
      <c r="S110" s="1944">
        <v>400</v>
      </c>
      <c r="T110" s="1944" t="s">
        <v>887</v>
      </c>
      <c r="V110" s="1944">
        <v>2</v>
      </c>
      <c r="W110" s="1944" t="s">
        <v>892</v>
      </c>
      <c r="X110" s="1944" t="s">
        <v>889</v>
      </c>
      <c r="Y110" s="1674">
        <f t="shared" si="21"/>
        <v>400</v>
      </c>
      <c r="Z110" s="407">
        <f t="shared" si="18"/>
        <v>400000</v>
      </c>
      <c r="AA110" s="1143">
        <f t="shared" si="11"/>
        <v>400000000</v>
      </c>
      <c r="AB110" s="1143"/>
      <c r="AC110" s="505"/>
    </row>
    <row r="111" spans="1:29" s="1675" customFormat="1" ht="22.5" customHeight="1">
      <c r="A111" s="1934"/>
      <c r="B111" s="1145"/>
      <c r="C111" s="402"/>
      <c r="D111" s="1131"/>
      <c r="E111" s="1134" t="s">
        <v>958</v>
      </c>
      <c r="F111" s="337">
        <f t="shared" si="22"/>
        <v>2000</v>
      </c>
      <c r="G111" s="1139">
        <v>2000</v>
      </c>
      <c r="H111" s="338"/>
      <c r="I111" s="1127"/>
      <c r="J111" s="1943" t="s">
        <v>959</v>
      </c>
      <c r="K111" s="1940"/>
      <c r="L111" s="1940"/>
      <c r="M111" s="1940"/>
      <c r="N111" s="1938"/>
      <c r="O111" s="1938"/>
      <c r="P111" s="1938"/>
      <c r="Q111" s="1944">
        <v>100</v>
      </c>
      <c r="R111" s="1927" t="s">
        <v>891</v>
      </c>
      <c r="S111" s="1944">
        <v>10000</v>
      </c>
      <c r="T111" s="1944" t="s">
        <v>887</v>
      </c>
      <c r="V111" s="1944">
        <v>2</v>
      </c>
      <c r="W111" s="1944" t="s">
        <v>954</v>
      </c>
      <c r="X111" s="1944" t="s">
        <v>889</v>
      </c>
      <c r="Y111" s="1674">
        <f t="shared" si="21"/>
        <v>2000</v>
      </c>
      <c r="Z111" s="407">
        <f t="shared" si="18"/>
        <v>2000000</v>
      </c>
      <c r="AA111" s="1143">
        <f t="shared" si="11"/>
        <v>2000000000</v>
      </c>
      <c r="AB111" s="1143"/>
      <c r="AC111" s="505"/>
    </row>
    <row r="112" spans="1:29" s="1675" customFormat="1" ht="22.5" customHeight="1">
      <c r="A112" s="1934"/>
      <c r="B112" s="1145"/>
      <c r="C112" s="402"/>
      <c r="D112" s="1131"/>
      <c r="E112" s="389" t="s">
        <v>960</v>
      </c>
      <c r="F112" s="337">
        <f t="shared" si="22"/>
        <v>200</v>
      </c>
      <c r="G112" s="1139">
        <v>200</v>
      </c>
      <c r="H112" s="338"/>
      <c r="I112" s="1127"/>
      <c r="J112" s="1943" t="s">
        <v>961</v>
      </c>
      <c r="K112" s="1940"/>
      <c r="L112" s="1940"/>
      <c r="M112" s="1940"/>
      <c r="N112" s="1938"/>
      <c r="O112" s="1938"/>
      <c r="P112" s="1938"/>
      <c r="Q112" s="1944">
        <v>5</v>
      </c>
      <c r="R112" s="1927" t="s">
        <v>891</v>
      </c>
      <c r="S112" s="1944">
        <v>10000</v>
      </c>
      <c r="T112" s="1944" t="s">
        <v>887</v>
      </c>
      <c r="V112" s="1944">
        <v>4</v>
      </c>
      <c r="W112" s="1944" t="s">
        <v>954</v>
      </c>
      <c r="X112" s="1944" t="s">
        <v>889</v>
      </c>
      <c r="Y112" s="1674">
        <f t="shared" si="21"/>
        <v>200</v>
      </c>
      <c r="Z112" s="407">
        <f t="shared" si="18"/>
        <v>200000</v>
      </c>
      <c r="AA112" s="1143">
        <f t="shared" si="11"/>
        <v>200000000</v>
      </c>
      <c r="AB112" s="1143"/>
      <c r="AC112" s="505"/>
    </row>
    <row r="113" spans="1:29" s="1675" customFormat="1" ht="22.5" customHeight="1">
      <c r="A113" s="1934"/>
      <c r="B113" s="1145"/>
      <c r="C113" s="465"/>
      <c r="D113" s="3275" t="s">
        <v>962</v>
      </c>
      <c r="E113" s="3276"/>
      <c r="F113" s="500">
        <f>SUM(F114:F120)</f>
        <v>20000</v>
      </c>
      <c r="G113" s="500">
        <f>SUM(G114:G120)</f>
        <v>20000</v>
      </c>
      <c r="H113" s="1132">
        <f>F113-G113</f>
        <v>0</v>
      </c>
      <c r="I113" s="1127"/>
      <c r="J113" s="1135"/>
      <c r="K113" s="1919"/>
      <c r="L113" s="1919"/>
      <c r="M113" s="1919"/>
      <c r="N113" s="1936"/>
      <c r="O113" s="1936"/>
      <c r="P113" s="1936"/>
      <c r="Q113" s="1136"/>
      <c r="R113" s="1137"/>
      <c r="S113" s="1136"/>
      <c r="T113" s="1136"/>
      <c r="U113" s="1146"/>
      <c r="V113" s="1136"/>
      <c r="W113" s="1136"/>
      <c r="X113" s="1136"/>
      <c r="Y113" s="377"/>
      <c r="Z113" s="407">
        <f t="shared" si="18"/>
        <v>0</v>
      </c>
      <c r="AA113" s="1143">
        <f t="shared" si="11"/>
        <v>20000000000</v>
      </c>
      <c r="AB113" s="1143"/>
      <c r="AC113" s="505"/>
    </row>
    <row r="114" spans="1:29" s="1675" customFormat="1" ht="22.5" customHeight="1">
      <c r="A114" s="1934"/>
      <c r="B114" s="1145"/>
      <c r="C114" s="402"/>
      <c r="D114" s="367"/>
      <c r="E114" s="1134" t="s">
        <v>963</v>
      </c>
      <c r="F114" s="337">
        <f t="shared" ref="F114:F116" si="24">Y114</f>
        <v>700</v>
      </c>
      <c r="G114" s="337">
        <v>700</v>
      </c>
      <c r="H114" s="1147"/>
      <c r="I114" s="1127"/>
      <c r="J114" s="1943" t="s">
        <v>964</v>
      </c>
      <c r="K114" s="1940"/>
      <c r="L114" s="1940"/>
      <c r="M114" s="1940"/>
      <c r="N114" s="1938"/>
      <c r="O114" s="1938"/>
      <c r="P114" s="1938"/>
      <c r="Q114" s="1944"/>
      <c r="R114" s="1927"/>
      <c r="S114" s="1944">
        <v>700000</v>
      </c>
      <c r="T114" s="1944" t="s">
        <v>887</v>
      </c>
      <c r="V114" s="1944">
        <v>1</v>
      </c>
      <c r="W114" s="1944" t="s">
        <v>897</v>
      </c>
      <c r="X114" s="1944" t="s">
        <v>889</v>
      </c>
      <c r="Y114" s="1674">
        <f t="shared" ref="Y114:Y120" si="25">Z114/1000</f>
        <v>700</v>
      </c>
      <c r="Z114" s="407">
        <f t="shared" ref="Z114:Z115" si="26">S114*V114</f>
        <v>700000</v>
      </c>
      <c r="AA114" s="1143">
        <f t="shared" si="11"/>
        <v>700000000</v>
      </c>
      <c r="AB114" s="1143"/>
      <c r="AC114" s="505"/>
    </row>
    <row r="115" spans="1:29" s="1675" customFormat="1" ht="22.5" customHeight="1">
      <c r="A115" s="1934"/>
      <c r="B115" s="1145"/>
      <c r="C115" s="402"/>
      <c r="D115" s="1131"/>
      <c r="E115" s="1134" t="s">
        <v>965</v>
      </c>
      <c r="F115" s="337">
        <f t="shared" si="24"/>
        <v>600</v>
      </c>
      <c r="G115" s="337">
        <v>600</v>
      </c>
      <c r="H115" s="1147"/>
      <c r="I115" s="1127"/>
      <c r="J115" s="1943" t="s">
        <v>966</v>
      </c>
      <c r="K115" s="1940"/>
      <c r="L115" s="1940"/>
      <c r="M115" s="1940"/>
      <c r="N115" s="1938"/>
      <c r="O115" s="1938"/>
      <c r="P115" s="1938"/>
      <c r="Q115" s="1944"/>
      <c r="R115" s="1927"/>
      <c r="S115" s="1944">
        <v>100000</v>
      </c>
      <c r="T115" s="1944" t="s">
        <v>887</v>
      </c>
      <c r="V115" s="1944">
        <v>6</v>
      </c>
      <c r="W115" s="1944" t="s">
        <v>954</v>
      </c>
      <c r="X115" s="1944" t="s">
        <v>889</v>
      </c>
      <c r="Y115" s="1674">
        <f t="shared" si="25"/>
        <v>600</v>
      </c>
      <c r="Z115" s="407">
        <f t="shared" si="26"/>
        <v>600000</v>
      </c>
      <c r="AA115" s="1143">
        <f t="shared" si="11"/>
        <v>600000000</v>
      </c>
      <c r="AB115" s="1143"/>
      <c r="AC115" s="505"/>
    </row>
    <row r="116" spans="1:29" s="1675" customFormat="1" ht="22.5" customHeight="1">
      <c r="A116" s="1934"/>
      <c r="B116" s="1145"/>
      <c r="C116" s="402"/>
      <c r="D116" s="1131"/>
      <c r="E116" s="1134" t="s">
        <v>967</v>
      </c>
      <c r="F116" s="337">
        <f t="shared" si="24"/>
        <v>7800</v>
      </c>
      <c r="G116" s="337">
        <v>7800</v>
      </c>
      <c r="H116" s="1147"/>
      <c r="I116" s="1127"/>
      <c r="J116" s="2939" t="s">
        <v>194</v>
      </c>
      <c r="K116" s="1940"/>
      <c r="L116" s="1940"/>
      <c r="M116" s="1940"/>
      <c r="N116" s="1938"/>
      <c r="O116" s="1938"/>
      <c r="P116" s="1938"/>
      <c r="Q116" s="1944"/>
      <c r="R116" s="1927"/>
      <c r="S116" s="1944"/>
      <c r="T116" s="1944"/>
      <c r="V116" s="1944"/>
      <c r="W116" s="1944"/>
      <c r="X116" s="1944"/>
      <c r="Y116" s="1674">
        <f t="shared" si="25"/>
        <v>7800</v>
      </c>
      <c r="Z116" s="407">
        <f>SUM(Z117:Z118)</f>
        <v>7800000</v>
      </c>
      <c r="AA116" s="1143">
        <f t="shared" si="11"/>
        <v>7800000000</v>
      </c>
      <c r="AB116" s="1143"/>
      <c r="AC116" s="505"/>
    </row>
    <row r="117" spans="1:29" s="1675" customFormat="1" ht="22.5" customHeight="1">
      <c r="A117" s="1934"/>
      <c r="B117" s="1145"/>
      <c r="C117" s="402"/>
      <c r="D117" s="1131"/>
      <c r="E117" s="1134"/>
      <c r="F117" s="337"/>
      <c r="G117" s="337"/>
      <c r="H117" s="1147"/>
      <c r="I117" s="1127"/>
      <c r="J117" s="1943" t="s">
        <v>968</v>
      </c>
      <c r="K117" s="1940"/>
      <c r="L117" s="1940"/>
      <c r="M117" s="1940"/>
      <c r="N117" s="1938"/>
      <c r="O117" s="1938"/>
      <c r="P117" s="1938"/>
      <c r="Q117" s="1944">
        <v>2</v>
      </c>
      <c r="R117" s="1927" t="s">
        <v>969</v>
      </c>
      <c r="S117" s="1944">
        <v>200000</v>
      </c>
      <c r="T117" s="1944" t="s">
        <v>887</v>
      </c>
      <c r="V117" s="1944">
        <v>2</v>
      </c>
      <c r="W117" s="1944" t="s">
        <v>954</v>
      </c>
      <c r="X117" s="1944" t="s">
        <v>889</v>
      </c>
      <c r="Y117" s="1674">
        <f t="shared" si="25"/>
        <v>800</v>
      </c>
      <c r="Z117" s="407">
        <f t="shared" si="18"/>
        <v>800000</v>
      </c>
      <c r="AA117" s="1143">
        <f t="shared" si="11"/>
        <v>0</v>
      </c>
      <c r="AB117" s="1143"/>
      <c r="AC117" s="505"/>
    </row>
    <row r="118" spans="1:29" ht="22.5" customHeight="1">
      <c r="A118" s="1934"/>
      <c r="B118" s="1145"/>
      <c r="C118" s="402"/>
      <c r="D118" s="1131"/>
      <c r="E118" s="1134"/>
      <c r="F118" s="337"/>
      <c r="G118" s="337"/>
      <c r="H118" s="1147"/>
      <c r="I118" s="1127"/>
      <c r="J118" s="1943" t="s">
        <v>970</v>
      </c>
      <c r="K118" s="1940"/>
      <c r="L118" s="1940"/>
      <c r="M118" s="1940"/>
      <c r="N118" s="1938"/>
      <c r="O118" s="1938"/>
      <c r="P118" s="1938"/>
      <c r="Q118" s="1944">
        <v>2</v>
      </c>
      <c r="R118" s="1927" t="s">
        <v>969</v>
      </c>
      <c r="S118" s="1944">
        <v>10000</v>
      </c>
      <c r="T118" s="1944" t="s">
        <v>887</v>
      </c>
      <c r="U118" s="1675"/>
      <c r="V118" s="1944">
        <v>350</v>
      </c>
      <c r="W118" s="1944" t="s">
        <v>971</v>
      </c>
      <c r="X118" s="1944" t="s">
        <v>889</v>
      </c>
      <c r="Y118" s="1674">
        <f t="shared" si="25"/>
        <v>7000</v>
      </c>
      <c r="Z118" s="407">
        <f t="shared" si="18"/>
        <v>7000000</v>
      </c>
      <c r="AA118" s="1143">
        <f t="shared" si="11"/>
        <v>0</v>
      </c>
      <c r="AC118" s="505"/>
    </row>
    <row r="119" spans="1:29" s="1675" customFormat="1" ht="22.5" customHeight="1">
      <c r="A119" s="1934"/>
      <c r="B119" s="1145"/>
      <c r="C119" s="402"/>
      <c r="D119" s="1131"/>
      <c r="E119" s="1134" t="s">
        <v>894</v>
      </c>
      <c r="F119" s="337">
        <f t="shared" ref="F119:F120" si="27">Y119</f>
        <v>9900</v>
      </c>
      <c r="G119" s="337">
        <v>9900</v>
      </c>
      <c r="H119" s="1147"/>
      <c r="I119" s="1127"/>
      <c r="J119" s="1943" t="s">
        <v>972</v>
      </c>
      <c r="K119" s="1940"/>
      <c r="L119" s="1940"/>
      <c r="M119" s="1940"/>
      <c r="N119" s="1938"/>
      <c r="O119" s="1938"/>
      <c r="P119" s="1938"/>
      <c r="Q119" s="1944"/>
      <c r="R119" s="1927"/>
      <c r="S119" s="1944">
        <v>9900000</v>
      </c>
      <c r="T119" s="1944" t="s">
        <v>887</v>
      </c>
      <c r="V119" s="1944">
        <v>1</v>
      </c>
      <c r="W119" s="1944" t="s">
        <v>897</v>
      </c>
      <c r="X119" s="1944" t="s">
        <v>889</v>
      </c>
      <c r="Y119" s="1674">
        <f t="shared" si="25"/>
        <v>9900</v>
      </c>
      <c r="Z119" s="407">
        <f t="shared" ref="Z119:Z120" si="28">S119*V119</f>
        <v>9900000</v>
      </c>
      <c r="AA119" s="1143">
        <f t="shared" si="11"/>
        <v>9900000000</v>
      </c>
      <c r="AB119" s="1143"/>
      <c r="AC119" s="505"/>
    </row>
    <row r="120" spans="1:29" s="1675" customFormat="1" ht="22.5" customHeight="1">
      <c r="A120" s="1934"/>
      <c r="B120" s="1145"/>
      <c r="C120" s="402"/>
      <c r="D120" s="1131"/>
      <c r="E120" s="1134" t="s">
        <v>960</v>
      </c>
      <c r="F120" s="337">
        <f t="shared" si="27"/>
        <v>1000</v>
      </c>
      <c r="G120" s="337">
        <v>1000</v>
      </c>
      <c r="H120" s="559"/>
      <c r="I120" s="1127"/>
      <c r="J120" s="1943" t="s">
        <v>973</v>
      </c>
      <c r="K120" s="1940"/>
      <c r="L120" s="1940"/>
      <c r="M120" s="1940"/>
      <c r="N120" s="1938"/>
      <c r="O120" s="1938"/>
      <c r="P120" s="1938"/>
      <c r="Q120" s="1944"/>
      <c r="R120" s="1927"/>
      <c r="S120" s="1944">
        <v>100000</v>
      </c>
      <c r="T120" s="1944" t="s">
        <v>887</v>
      </c>
      <c r="V120" s="1944">
        <v>10</v>
      </c>
      <c r="W120" s="1944" t="s">
        <v>892</v>
      </c>
      <c r="X120" s="1944" t="s">
        <v>889</v>
      </c>
      <c r="Y120" s="1674">
        <f t="shared" si="25"/>
        <v>1000</v>
      </c>
      <c r="Z120" s="407">
        <f t="shared" si="28"/>
        <v>1000000</v>
      </c>
      <c r="AA120" s="1143">
        <f t="shared" si="11"/>
        <v>1000000000</v>
      </c>
      <c r="AB120" s="1143"/>
      <c r="AC120" s="505"/>
    </row>
    <row r="121" spans="1:29" s="1675" customFormat="1" ht="22.5" customHeight="1">
      <c r="A121" s="1934"/>
      <c r="B121" s="1145"/>
      <c r="C121" s="3284" t="s">
        <v>2975</v>
      </c>
      <c r="D121" s="3354"/>
      <c r="E121" s="3285"/>
      <c r="F121" s="373">
        <f>+F122+F129</f>
        <v>290000</v>
      </c>
      <c r="G121" s="373">
        <f>+G122+G129</f>
        <v>290000</v>
      </c>
      <c r="H121" s="1132">
        <f>F121-G121</f>
        <v>0</v>
      </c>
      <c r="I121" s="1127"/>
      <c r="J121" s="501"/>
      <c r="K121" s="800"/>
      <c r="L121" s="800"/>
      <c r="M121" s="800"/>
      <c r="N121" s="800"/>
      <c r="O121" s="800"/>
      <c r="P121" s="800"/>
      <c r="Q121" s="857"/>
      <c r="R121" s="800"/>
      <c r="S121" s="800"/>
      <c r="T121" s="800"/>
      <c r="U121" s="800"/>
      <c r="V121" s="800"/>
      <c r="W121" s="800"/>
      <c r="X121" s="1936"/>
      <c r="Y121" s="858"/>
      <c r="Z121" s="407">
        <f t="shared" si="18"/>
        <v>0</v>
      </c>
      <c r="AA121" s="1143">
        <f t="shared" si="11"/>
        <v>290000000000</v>
      </c>
      <c r="AB121" s="1143"/>
      <c r="AC121" s="505"/>
    </row>
    <row r="122" spans="1:29" s="1675" customFormat="1" ht="22.5" customHeight="1">
      <c r="A122" s="1934"/>
      <c r="B122" s="1145"/>
      <c r="C122" s="402"/>
      <c r="D122" s="3275" t="s">
        <v>3310</v>
      </c>
      <c r="E122" s="3276"/>
      <c r="F122" s="500">
        <f>SUM(F123:F128)</f>
        <v>80000</v>
      </c>
      <c r="G122" s="500">
        <f>SUM(G123:G128)</f>
        <v>80000</v>
      </c>
      <c r="H122" s="1132">
        <f>F122-G122</f>
        <v>0</v>
      </c>
      <c r="I122" s="1127"/>
      <c r="J122" s="501"/>
      <c r="K122" s="1936"/>
      <c r="L122" s="1936"/>
      <c r="M122" s="1936"/>
      <c r="N122" s="1936"/>
      <c r="O122" s="1936"/>
      <c r="P122" s="484"/>
      <c r="Q122" s="1936"/>
      <c r="R122" s="1146"/>
      <c r="S122" s="484"/>
      <c r="T122" s="1936"/>
      <c r="U122" s="1936"/>
      <c r="V122" s="484"/>
      <c r="W122" s="1936"/>
      <c r="X122" s="850"/>
      <c r="Y122" s="503"/>
      <c r="Z122" s="407">
        <f t="shared" si="18"/>
        <v>0</v>
      </c>
      <c r="AA122" s="1143">
        <f t="shared" si="11"/>
        <v>80000000000</v>
      </c>
      <c r="AB122" s="1143"/>
      <c r="AC122" s="505"/>
    </row>
    <row r="123" spans="1:29" s="1675" customFormat="1" ht="22.5" customHeight="1">
      <c r="A123" s="1934"/>
      <c r="B123" s="1145"/>
      <c r="C123" s="402"/>
      <c r="D123" s="1131"/>
      <c r="E123" s="1134" t="s">
        <v>974</v>
      </c>
      <c r="F123" s="337">
        <f>Y123</f>
        <v>78600</v>
      </c>
      <c r="G123" s="1139">
        <v>78600</v>
      </c>
      <c r="H123" s="849"/>
      <c r="I123" s="1127"/>
      <c r="J123" s="1943" t="s">
        <v>975</v>
      </c>
      <c r="K123" s="1940"/>
      <c r="L123" s="1940"/>
      <c r="M123" s="1940"/>
      <c r="N123" s="1938"/>
      <c r="O123" s="1938"/>
      <c r="P123" s="1128"/>
      <c r="Q123" s="1944" t="s">
        <v>917</v>
      </c>
      <c r="R123" s="1927"/>
      <c r="S123" s="1944"/>
      <c r="T123" s="1944"/>
      <c r="V123" s="1944"/>
      <c r="W123" s="1944"/>
      <c r="X123" s="1944"/>
      <c r="Y123" s="1674">
        <f t="shared" ref="Y123:Y128" si="29">Z123/1000</f>
        <v>78600</v>
      </c>
      <c r="Z123" s="407">
        <f>SUM(Z124:Z126)</f>
        <v>78600000</v>
      </c>
      <c r="AA123" s="1143">
        <f t="shared" si="11"/>
        <v>78600000000</v>
      </c>
      <c r="AB123" s="1143"/>
      <c r="AC123" s="505"/>
    </row>
    <row r="124" spans="1:29" s="1675" customFormat="1" ht="22.5" customHeight="1">
      <c r="A124" s="1934"/>
      <c r="B124" s="1145"/>
      <c r="C124" s="402"/>
      <c r="D124" s="1131"/>
      <c r="E124" s="1134"/>
      <c r="F124" s="337"/>
      <c r="G124" s="1139"/>
      <c r="H124" s="849"/>
      <c r="I124" s="1127"/>
      <c r="J124" s="1943" t="s">
        <v>976</v>
      </c>
      <c r="K124" s="1940"/>
      <c r="L124" s="1940"/>
      <c r="M124" s="1940"/>
      <c r="N124" s="1938"/>
      <c r="O124" s="1938"/>
      <c r="P124" s="1938"/>
      <c r="Q124" s="1944" t="s">
        <v>917</v>
      </c>
      <c r="R124" s="1927"/>
      <c r="S124" s="1944">
        <v>40000000</v>
      </c>
      <c r="T124" s="1944" t="s">
        <v>887</v>
      </c>
      <c r="V124" s="1944">
        <v>1</v>
      </c>
      <c r="W124" s="1944" t="s">
        <v>977</v>
      </c>
      <c r="X124" s="1944" t="s">
        <v>889</v>
      </c>
      <c r="Y124" s="1674">
        <f t="shared" si="29"/>
        <v>40000</v>
      </c>
      <c r="Z124" s="407">
        <f t="shared" ref="Z124:Z126" si="30">S124*V124</f>
        <v>40000000</v>
      </c>
      <c r="AA124" s="1143">
        <f t="shared" si="11"/>
        <v>0</v>
      </c>
      <c r="AB124" s="1143"/>
      <c r="AC124" s="505"/>
    </row>
    <row r="125" spans="1:29" s="1675" customFormat="1" ht="22.5" customHeight="1">
      <c r="A125" s="1934"/>
      <c r="B125" s="1145"/>
      <c r="C125" s="402"/>
      <c r="D125" s="1131"/>
      <c r="E125" s="1134"/>
      <c r="F125" s="337"/>
      <c r="G125" s="1139"/>
      <c r="H125" s="849"/>
      <c r="I125" s="1127"/>
      <c r="J125" s="1939" t="s">
        <v>978</v>
      </c>
      <c r="L125" s="1940"/>
      <c r="M125" s="1940"/>
      <c r="N125" s="1938"/>
      <c r="O125" s="1938"/>
      <c r="P125" s="1938"/>
      <c r="Q125" s="1944"/>
      <c r="R125" s="1927"/>
      <c r="S125" s="1944">
        <v>30000000</v>
      </c>
      <c r="T125" s="1944" t="s">
        <v>887</v>
      </c>
      <c r="V125" s="1944">
        <v>1</v>
      </c>
      <c r="W125" s="1944" t="s">
        <v>977</v>
      </c>
      <c r="X125" s="1944" t="s">
        <v>889</v>
      </c>
      <c r="Y125" s="1674">
        <f t="shared" si="29"/>
        <v>30000</v>
      </c>
      <c r="Z125" s="407">
        <f t="shared" si="30"/>
        <v>30000000</v>
      </c>
      <c r="AA125" s="1143">
        <f t="shared" si="11"/>
        <v>0</v>
      </c>
      <c r="AB125" s="1143"/>
      <c r="AC125" s="505"/>
    </row>
    <row r="126" spans="1:29" s="1675" customFormat="1" ht="22.5" customHeight="1">
      <c r="A126" s="1934"/>
      <c r="B126" s="1145"/>
      <c r="C126" s="402"/>
      <c r="D126" s="1131"/>
      <c r="E126" s="389"/>
      <c r="F126" s="337"/>
      <c r="G126" s="1139"/>
      <c r="H126" s="849"/>
      <c r="I126" s="1127"/>
      <c r="J126" s="1939" t="s">
        <v>979</v>
      </c>
      <c r="L126" s="1940"/>
      <c r="M126" s="1940"/>
      <c r="N126" s="1944"/>
      <c r="O126" s="1938"/>
      <c r="P126" s="1938"/>
      <c r="Q126" s="1944"/>
      <c r="R126" s="1927"/>
      <c r="S126" s="1944">
        <v>8600000</v>
      </c>
      <c r="T126" s="1944" t="s">
        <v>887</v>
      </c>
      <c r="V126" s="1944">
        <v>1</v>
      </c>
      <c r="W126" s="1944" t="s">
        <v>977</v>
      </c>
      <c r="X126" s="1944" t="s">
        <v>889</v>
      </c>
      <c r="Y126" s="1674">
        <f t="shared" si="29"/>
        <v>8600</v>
      </c>
      <c r="Z126" s="407">
        <f t="shared" si="30"/>
        <v>8600000</v>
      </c>
      <c r="AA126" s="1143">
        <f t="shared" si="11"/>
        <v>0</v>
      </c>
      <c r="AB126" s="1143"/>
      <c r="AC126" s="505"/>
    </row>
    <row r="127" spans="1:29" s="1675" customFormat="1" ht="22.5" customHeight="1">
      <c r="A127" s="1934"/>
      <c r="B127" s="1145"/>
      <c r="C127" s="402"/>
      <c r="D127" s="1131"/>
      <c r="E127" s="389" t="s">
        <v>952</v>
      </c>
      <c r="F127" s="337">
        <f t="shared" ref="F127:F128" si="31">Y127</f>
        <v>1000</v>
      </c>
      <c r="G127" s="1139">
        <v>1000</v>
      </c>
      <c r="H127" s="849"/>
      <c r="I127" s="1127"/>
      <c r="J127" s="1943" t="s">
        <v>980</v>
      </c>
      <c r="K127" s="1940"/>
      <c r="L127" s="1940"/>
      <c r="M127" s="1940"/>
      <c r="N127" s="1938"/>
      <c r="O127" s="1938"/>
      <c r="P127" s="1938"/>
      <c r="Q127" s="1944">
        <v>2</v>
      </c>
      <c r="R127" s="1927" t="s">
        <v>891</v>
      </c>
      <c r="S127" s="1944">
        <v>250000</v>
      </c>
      <c r="T127" s="1944" t="s">
        <v>887</v>
      </c>
      <c r="V127" s="1944">
        <v>2</v>
      </c>
      <c r="W127" s="1944" t="s">
        <v>892</v>
      </c>
      <c r="X127" s="1944" t="s">
        <v>889</v>
      </c>
      <c r="Y127" s="1674">
        <f t="shared" si="29"/>
        <v>1000</v>
      </c>
      <c r="Z127" s="407">
        <f t="shared" si="18"/>
        <v>1000000</v>
      </c>
      <c r="AA127" s="1143">
        <f t="shared" si="11"/>
        <v>1000000000</v>
      </c>
      <c r="AB127" s="1143"/>
      <c r="AC127" s="505"/>
    </row>
    <row r="128" spans="1:29" s="1675" customFormat="1" ht="22.5" customHeight="1">
      <c r="A128" s="1934"/>
      <c r="B128" s="1145"/>
      <c r="C128" s="402"/>
      <c r="D128" s="1131"/>
      <c r="E128" s="1134" t="s">
        <v>919</v>
      </c>
      <c r="F128" s="337">
        <f t="shared" si="31"/>
        <v>400</v>
      </c>
      <c r="G128" s="1139">
        <v>400</v>
      </c>
      <c r="H128" s="849"/>
      <c r="I128" s="1127"/>
      <c r="J128" s="1943" t="s">
        <v>981</v>
      </c>
      <c r="K128" s="1940"/>
      <c r="L128" s="1940"/>
      <c r="M128" s="1940"/>
      <c r="N128" s="1938"/>
      <c r="O128" s="1938"/>
      <c r="P128" s="1938"/>
      <c r="Q128" s="1944">
        <v>2</v>
      </c>
      <c r="R128" s="1927" t="s">
        <v>891</v>
      </c>
      <c r="S128" s="1944">
        <v>100000</v>
      </c>
      <c r="T128" s="1944" t="s">
        <v>887</v>
      </c>
      <c r="V128" s="1944">
        <v>2</v>
      </c>
      <c r="W128" s="1944" t="s">
        <v>892</v>
      </c>
      <c r="X128" s="1944" t="s">
        <v>889</v>
      </c>
      <c r="Y128" s="1674">
        <f t="shared" si="29"/>
        <v>400</v>
      </c>
      <c r="Z128" s="407">
        <f t="shared" si="18"/>
        <v>400000</v>
      </c>
      <c r="AA128" s="1143">
        <f t="shared" si="11"/>
        <v>400000000</v>
      </c>
      <c r="AB128" s="1143"/>
      <c r="AC128" s="505"/>
    </row>
    <row r="129" spans="1:29" s="1675" customFormat="1" ht="21" customHeight="1">
      <c r="A129" s="1934"/>
      <c r="B129" s="1145"/>
      <c r="C129" s="402"/>
      <c r="D129" s="3275" t="s">
        <v>3311</v>
      </c>
      <c r="E129" s="3276"/>
      <c r="F129" s="500">
        <f>SUM(F130:F147)</f>
        <v>210000</v>
      </c>
      <c r="G129" s="500">
        <f>SUM(G130:G147)</f>
        <v>210000</v>
      </c>
      <c r="H129" s="1132">
        <f>SUM(H131:H147)</f>
        <v>0</v>
      </c>
      <c r="I129" s="1127"/>
      <c r="J129" s="501"/>
      <c r="K129" s="1936"/>
      <c r="L129" s="1936"/>
      <c r="M129" s="1936"/>
      <c r="N129" s="1936"/>
      <c r="O129" s="1936"/>
      <c r="P129" s="484"/>
      <c r="Q129" s="1936"/>
      <c r="R129" s="1146"/>
      <c r="S129" s="484"/>
      <c r="T129" s="1936"/>
      <c r="U129" s="1936"/>
      <c r="V129" s="484"/>
      <c r="W129" s="1936"/>
      <c r="X129" s="850"/>
      <c r="Y129" s="503"/>
      <c r="Z129" s="407">
        <f t="shared" si="18"/>
        <v>0</v>
      </c>
      <c r="AA129" s="1143">
        <f t="shared" si="11"/>
        <v>210000000000</v>
      </c>
      <c r="AB129" s="1143"/>
      <c r="AC129" s="505"/>
    </row>
    <row r="130" spans="1:29" s="1675" customFormat="1" ht="21" customHeight="1">
      <c r="A130" s="1934"/>
      <c r="B130" s="1145"/>
      <c r="C130" s="402"/>
      <c r="D130" s="1289"/>
      <c r="E130" s="1134" t="s">
        <v>982</v>
      </c>
      <c r="F130" s="337">
        <f t="shared" ref="F130:F133" si="32">Y130</f>
        <v>30000</v>
      </c>
      <c r="G130" s="337">
        <v>30000</v>
      </c>
      <c r="H130" s="338"/>
      <c r="I130" s="1127"/>
      <c r="J130" s="1943" t="s">
        <v>983</v>
      </c>
      <c r="K130" s="1940"/>
      <c r="L130" s="1940"/>
      <c r="M130" s="1940"/>
      <c r="N130" s="1938"/>
      <c r="O130" s="1938"/>
      <c r="P130" s="1938"/>
      <c r="Q130" s="1944">
        <v>1</v>
      </c>
      <c r="R130" s="1927" t="s">
        <v>891</v>
      </c>
      <c r="S130" s="1944">
        <v>2500000</v>
      </c>
      <c r="T130" s="1944" t="s">
        <v>887</v>
      </c>
      <c r="V130" s="1944">
        <v>12</v>
      </c>
      <c r="W130" s="1944" t="s">
        <v>984</v>
      </c>
      <c r="X130" s="1944" t="s">
        <v>889</v>
      </c>
      <c r="Y130" s="1674">
        <f t="shared" ref="Y130:Y147" si="33">Z130/1000</f>
        <v>30000</v>
      </c>
      <c r="Z130" s="407">
        <f t="shared" si="18"/>
        <v>30000000</v>
      </c>
      <c r="AA130" s="1143">
        <f t="shared" si="11"/>
        <v>30000000000</v>
      </c>
      <c r="AB130" s="1143"/>
      <c r="AC130" s="505"/>
    </row>
    <row r="131" spans="1:29" s="1675" customFormat="1" ht="21" customHeight="1">
      <c r="A131" s="1934"/>
      <c r="B131" s="1145"/>
      <c r="C131" s="402"/>
      <c r="D131" s="1131"/>
      <c r="E131" s="1134" t="s">
        <v>985</v>
      </c>
      <c r="F131" s="337">
        <f t="shared" si="32"/>
        <v>20000</v>
      </c>
      <c r="G131" s="337">
        <v>20000</v>
      </c>
      <c r="H131" s="338"/>
      <c r="I131" s="1127"/>
      <c r="J131" s="1943" t="s">
        <v>986</v>
      </c>
      <c r="K131" s="1940"/>
      <c r="L131" s="1940"/>
      <c r="M131" s="1940"/>
      <c r="N131" s="1938"/>
      <c r="O131" s="1938"/>
      <c r="P131" s="1938"/>
      <c r="Q131" s="1944">
        <v>500</v>
      </c>
      <c r="R131" s="1927" t="s">
        <v>987</v>
      </c>
      <c r="S131" s="1944">
        <v>20000</v>
      </c>
      <c r="T131" s="1944" t="s">
        <v>887</v>
      </c>
      <c r="V131" s="1944">
        <v>2</v>
      </c>
      <c r="W131" s="1944" t="s">
        <v>892</v>
      </c>
      <c r="X131" s="1944" t="s">
        <v>889</v>
      </c>
      <c r="Y131" s="1674">
        <f t="shared" si="33"/>
        <v>20000</v>
      </c>
      <c r="Z131" s="407">
        <f t="shared" si="18"/>
        <v>20000000</v>
      </c>
      <c r="AA131" s="1143">
        <f t="shared" si="11"/>
        <v>20000000000</v>
      </c>
      <c r="AB131" s="1143"/>
      <c r="AC131" s="505"/>
    </row>
    <row r="132" spans="1:29" s="1675" customFormat="1" ht="21" customHeight="1">
      <c r="A132" s="1934"/>
      <c r="B132" s="1145"/>
      <c r="C132" s="402"/>
      <c r="D132" s="1131"/>
      <c r="E132" s="1134" t="s">
        <v>988</v>
      </c>
      <c r="F132" s="337">
        <f t="shared" si="32"/>
        <v>6000</v>
      </c>
      <c r="G132" s="337">
        <v>6000</v>
      </c>
      <c r="H132" s="338"/>
      <c r="I132" s="1127"/>
      <c r="J132" s="1943" t="s">
        <v>989</v>
      </c>
      <c r="K132" s="1940"/>
      <c r="L132" s="1940"/>
      <c r="M132" s="1940"/>
      <c r="N132" s="1938"/>
      <c r="O132" s="1938"/>
      <c r="P132" s="1938"/>
      <c r="Q132" s="1944"/>
      <c r="R132" s="1927"/>
      <c r="S132" s="408">
        <v>3000000</v>
      </c>
      <c r="T132" s="1944" t="s">
        <v>887</v>
      </c>
      <c r="U132" s="1944" t="s">
        <v>916</v>
      </c>
      <c r="V132" s="1944">
        <v>2</v>
      </c>
      <c r="W132" s="1944" t="s">
        <v>954</v>
      </c>
      <c r="X132" s="1944" t="s">
        <v>889</v>
      </c>
      <c r="Y132" s="1674">
        <f t="shared" si="33"/>
        <v>6000</v>
      </c>
      <c r="Z132" s="407">
        <f t="shared" ref="Z132" si="34">S132*V132</f>
        <v>6000000</v>
      </c>
      <c r="AA132" s="1143">
        <f t="shared" si="11"/>
        <v>6000000000</v>
      </c>
      <c r="AB132" s="1143"/>
      <c r="AC132" s="505"/>
    </row>
    <row r="133" spans="1:29" s="1675" customFormat="1" ht="21" customHeight="1">
      <c r="A133" s="1934"/>
      <c r="B133" s="1145"/>
      <c r="C133" s="402"/>
      <c r="D133" s="1131"/>
      <c r="E133" s="1134" t="s">
        <v>952</v>
      </c>
      <c r="F133" s="337">
        <f t="shared" si="32"/>
        <v>5000</v>
      </c>
      <c r="G133" s="337">
        <v>5000</v>
      </c>
      <c r="H133" s="338"/>
      <c r="I133" s="1127"/>
      <c r="J133" s="1943" t="s">
        <v>975</v>
      </c>
      <c r="K133" s="1940"/>
      <c r="L133" s="1940"/>
      <c r="M133" s="1940"/>
      <c r="N133" s="1938"/>
      <c r="O133" s="1938"/>
      <c r="P133" s="1938"/>
      <c r="Q133" s="1944" t="s">
        <v>917</v>
      </c>
      <c r="R133" s="1927" t="s">
        <v>917</v>
      </c>
      <c r="S133" s="1944"/>
      <c r="T133" s="1944"/>
      <c r="V133" s="1944"/>
      <c r="W133" s="1944"/>
      <c r="X133" s="1944"/>
      <c r="Y133" s="1674">
        <f t="shared" si="33"/>
        <v>5000</v>
      </c>
      <c r="Z133" s="407">
        <f>SUM(Z134:Z135)</f>
        <v>5000000</v>
      </c>
      <c r="AA133" s="1143">
        <f t="shared" si="11"/>
        <v>5000000000</v>
      </c>
      <c r="AB133" s="1143"/>
      <c r="AC133" s="505"/>
    </row>
    <row r="134" spans="1:29" s="1675" customFormat="1" ht="21" customHeight="1">
      <c r="A134" s="1934"/>
      <c r="B134" s="1145"/>
      <c r="C134" s="402"/>
      <c r="D134" s="1131"/>
      <c r="E134" s="1134"/>
      <c r="F134" s="337"/>
      <c r="G134" s="337"/>
      <c r="H134" s="338"/>
      <c r="I134" s="1127"/>
      <c r="J134" s="1943" t="s">
        <v>990</v>
      </c>
      <c r="K134" s="1940"/>
      <c r="L134" s="1940"/>
      <c r="M134" s="1940"/>
      <c r="N134" s="1938"/>
      <c r="O134" s="1938"/>
      <c r="P134" s="1938"/>
      <c r="Q134" s="1944">
        <v>2</v>
      </c>
      <c r="R134" s="1927" t="s">
        <v>891</v>
      </c>
      <c r="S134" s="1944">
        <v>10000</v>
      </c>
      <c r="T134" s="1944" t="s">
        <v>887</v>
      </c>
      <c r="V134" s="1944">
        <v>100</v>
      </c>
      <c r="W134" s="1944" t="s">
        <v>991</v>
      </c>
      <c r="X134" s="1944" t="s">
        <v>889</v>
      </c>
      <c r="Y134" s="1674">
        <f t="shared" si="33"/>
        <v>2000</v>
      </c>
      <c r="Z134" s="407">
        <f t="shared" si="18"/>
        <v>2000000</v>
      </c>
      <c r="AA134" s="1143">
        <f t="shared" si="11"/>
        <v>0</v>
      </c>
      <c r="AB134" s="1143"/>
      <c r="AC134" s="505"/>
    </row>
    <row r="135" spans="1:29" s="1675" customFormat="1" ht="21" customHeight="1">
      <c r="A135" s="1934"/>
      <c r="B135" s="1145"/>
      <c r="C135" s="402"/>
      <c r="D135" s="1131"/>
      <c r="E135" s="1134"/>
      <c r="F135" s="337"/>
      <c r="G135" s="337"/>
      <c r="H135" s="338"/>
      <c r="I135" s="1127"/>
      <c r="J135" s="1943" t="s">
        <v>992</v>
      </c>
      <c r="K135" s="1940"/>
      <c r="L135" s="1940"/>
      <c r="M135" s="1940"/>
      <c r="N135" s="1938"/>
      <c r="O135" s="1938"/>
      <c r="P135" s="1938"/>
      <c r="Q135" s="1944">
        <v>5</v>
      </c>
      <c r="R135" s="1927" t="s">
        <v>891</v>
      </c>
      <c r="S135" s="1944">
        <v>200000</v>
      </c>
      <c r="T135" s="1944" t="s">
        <v>887</v>
      </c>
      <c r="V135" s="1944">
        <v>3</v>
      </c>
      <c r="W135" s="1944" t="s">
        <v>892</v>
      </c>
      <c r="X135" s="1944" t="s">
        <v>889</v>
      </c>
      <c r="Y135" s="1674">
        <f t="shared" si="33"/>
        <v>3000</v>
      </c>
      <c r="Z135" s="407">
        <f t="shared" si="18"/>
        <v>3000000</v>
      </c>
      <c r="AA135" s="1143">
        <f t="shared" si="11"/>
        <v>0</v>
      </c>
      <c r="AB135" s="1143"/>
      <c r="AC135" s="505"/>
    </row>
    <row r="136" spans="1:29" s="1675" customFormat="1" ht="21" customHeight="1">
      <c r="A136" s="1934"/>
      <c r="B136" s="1145"/>
      <c r="C136" s="402"/>
      <c r="D136" s="1131"/>
      <c r="E136" s="1134" t="s">
        <v>993</v>
      </c>
      <c r="F136" s="337">
        <f>Y136</f>
        <v>137500</v>
      </c>
      <c r="G136" s="337">
        <v>137500</v>
      </c>
      <c r="H136" s="338"/>
      <c r="I136" s="1127"/>
      <c r="J136" s="1943" t="s">
        <v>975</v>
      </c>
      <c r="K136" s="1940"/>
      <c r="L136" s="1940"/>
      <c r="M136" s="1940"/>
      <c r="N136" s="1938"/>
      <c r="O136" s="1938"/>
      <c r="P136" s="1938"/>
      <c r="Q136" s="1944" t="s">
        <v>917</v>
      </c>
      <c r="R136" s="1927" t="s">
        <v>917</v>
      </c>
      <c r="S136" s="1944"/>
      <c r="T136" s="1944"/>
      <c r="V136" s="1944"/>
      <c r="W136" s="1944"/>
      <c r="X136" s="1944"/>
      <c r="Y136" s="1674">
        <f t="shared" si="33"/>
        <v>137500</v>
      </c>
      <c r="Z136" s="407">
        <f>SUM(Z137:Z143)</f>
        <v>137500000</v>
      </c>
      <c r="AA136" s="1143">
        <f t="shared" ref="AA136:AA195" si="35">F136*1000000</f>
        <v>137500000000</v>
      </c>
      <c r="AB136" s="1143"/>
      <c r="AC136" s="505"/>
    </row>
    <row r="137" spans="1:29" s="1675" customFormat="1" ht="21" customHeight="1">
      <c r="A137" s="1934"/>
      <c r="B137" s="1145"/>
      <c r="C137" s="402"/>
      <c r="D137" s="1131"/>
      <c r="E137" s="1134"/>
      <c r="F137" s="337"/>
      <c r="G137" s="337"/>
      <c r="H137" s="338"/>
      <c r="I137" s="1127"/>
      <c r="J137" s="1943" t="s">
        <v>994</v>
      </c>
      <c r="K137" s="1940"/>
      <c r="L137" s="1940"/>
      <c r="M137" s="1940"/>
      <c r="N137" s="1938"/>
      <c r="O137" s="1938"/>
      <c r="P137" s="1938"/>
      <c r="Q137" s="1944"/>
      <c r="R137" s="1927"/>
      <c r="S137" s="1944">
        <v>20000000</v>
      </c>
      <c r="T137" s="1944" t="s">
        <v>887</v>
      </c>
      <c r="V137" s="1944">
        <v>2</v>
      </c>
      <c r="W137" s="1944" t="s">
        <v>954</v>
      </c>
      <c r="X137" s="1944" t="s">
        <v>889</v>
      </c>
      <c r="Y137" s="1674">
        <f t="shared" si="33"/>
        <v>40000</v>
      </c>
      <c r="Z137" s="407">
        <f t="shared" ref="Z137:Z147" si="36">S137*V137</f>
        <v>40000000</v>
      </c>
      <c r="AA137" s="1143">
        <f t="shared" si="35"/>
        <v>0</v>
      </c>
      <c r="AB137" s="1143"/>
      <c r="AC137" s="505"/>
    </row>
    <row r="138" spans="1:29" s="1675" customFormat="1" ht="21" customHeight="1">
      <c r="A138" s="1934"/>
      <c r="B138" s="1145"/>
      <c r="C138" s="402"/>
      <c r="D138" s="1131"/>
      <c r="E138" s="1134"/>
      <c r="F138" s="337"/>
      <c r="G138" s="337"/>
      <c r="H138" s="338"/>
      <c r="I138" s="1127"/>
      <c r="J138" s="1943" t="s">
        <v>995</v>
      </c>
      <c r="K138" s="1940"/>
      <c r="L138" s="1940"/>
      <c r="M138" s="1940"/>
      <c r="N138" s="1938"/>
      <c r="O138" s="1938"/>
      <c r="P138" s="1938"/>
      <c r="Q138" s="1944"/>
      <c r="R138" s="1927"/>
      <c r="S138" s="1944">
        <v>11750000</v>
      </c>
      <c r="T138" s="1944" t="s">
        <v>887</v>
      </c>
      <c r="V138" s="1944">
        <v>2</v>
      </c>
      <c r="W138" s="1944" t="s">
        <v>954</v>
      </c>
      <c r="X138" s="1944" t="s">
        <v>889</v>
      </c>
      <c r="Y138" s="1674">
        <f t="shared" si="33"/>
        <v>23500</v>
      </c>
      <c r="Z138" s="407">
        <f t="shared" si="36"/>
        <v>23500000</v>
      </c>
      <c r="AA138" s="1143">
        <f t="shared" si="35"/>
        <v>0</v>
      </c>
      <c r="AB138" s="1143"/>
      <c r="AC138" s="505"/>
    </row>
    <row r="139" spans="1:29" s="1675" customFormat="1" ht="21" customHeight="1">
      <c r="A139" s="1934"/>
      <c r="B139" s="1145"/>
      <c r="C139" s="402"/>
      <c r="D139" s="1131"/>
      <c r="E139" s="1134"/>
      <c r="F139" s="337"/>
      <c r="G139" s="337"/>
      <c r="H139" s="338"/>
      <c r="I139" s="1127"/>
      <c r="J139" s="1943" t="s">
        <v>996</v>
      </c>
      <c r="K139" s="1940"/>
      <c r="L139" s="1940"/>
      <c r="M139" s="1940"/>
      <c r="N139" s="1938"/>
      <c r="O139" s="1938"/>
      <c r="P139" s="1938"/>
      <c r="Q139" s="1944"/>
      <c r="R139" s="1927"/>
      <c r="S139" s="1944">
        <v>18750000</v>
      </c>
      <c r="T139" s="1944" t="s">
        <v>887</v>
      </c>
      <c r="V139" s="1944">
        <v>2</v>
      </c>
      <c r="W139" s="1944" t="s">
        <v>954</v>
      </c>
      <c r="X139" s="1944" t="s">
        <v>889</v>
      </c>
      <c r="Y139" s="1674">
        <f t="shared" si="33"/>
        <v>37500</v>
      </c>
      <c r="Z139" s="407">
        <f t="shared" si="36"/>
        <v>37500000</v>
      </c>
      <c r="AA139" s="1143">
        <f t="shared" si="35"/>
        <v>0</v>
      </c>
      <c r="AB139" s="1143"/>
      <c r="AC139" s="505"/>
    </row>
    <row r="140" spans="1:29" s="1675" customFormat="1" ht="21" customHeight="1">
      <c r="A140" s="1934"/>
      <c r="B140" s="1145"/>
      <c r="C140" s="402"/>
      <c r="D140" s="1131"/>
      <c r="E140" s="1134"/>
      <c r="F140" s="337"/>
      <c r="G140" s="337"/>
      <c r="H140" s="338"/>
      <c r="I140" s="1127"/>
      <c r="J140" s="1943" t="s">
        <v>997</v>
      </c>
      <c r="K140" s="1940"/>
      <c r="L140" s="1940"/>
      <c r="M140" s="1940"/>
      <c r="N140" s="1938"/>
      <c r="O140" s="1938"/>
      <c r="P140" s="1938"/>
      <c r="Q140" s="1944"/>
      <c r="R140" s="1927"/>
      <c r="S140" s="1944">
        <v>2000000</v>
      </c>
      <c r="T140" s="1944" t="s">
        <v>887</v>
      </c>
      <c r="V140" s="1944">
        <v>3</v>
      </c>
      <c r="W140" s="1944" t="s">
        <v>892</v>
      </c>
      <c r="X140" s="1944" t="s">
        <v>889</v>
      </c>
      <c r="Y140" s="1674">
        <f t="shared" si="33"/>
        <v>6000</v>
      </c>
      <c r="Z140" s="407">
        <f t="shared" si="36"/>
        <v>6000000</v>
      </c>
      <c r="AA140" s="1143">
        <f t="shared" si="35"/>
        <v>0</v>
      </c>
      <c r="AB140" s="1143"/>
      <c r="AC140" s="505"/>
    </row>
    <row r="141" spans="1:29" s="1675" customFormat="1" ht="21" customHeight="1">
      <c r="A141" s="1934"/>
      <c r="B141" s="1145"/>
      <c r="C141" s="402"/>
      <c r="D141" s="1131"/>
      <c r="E141" s="1134"/>
      <c r="F141" s="337"/>
      <c r="G141" s="337"/>
      <c r="H141" s="338"/>
      <c r="I141" s="1127"/>
      <c r="J141" s="1943" t="s">
        <v>998</v>
      </c>
      <c r="K141" s="1940"/>
      <c r="L141" s="1940"/>
      <c r="M141" s="1940"/>
      <c r="N141" s="1938"/>
      <c r="O141" s="1938"/>
      <c r="P141" s="1938"/>
      <c r="Q141" s="1944"/>
      <c r="R141" s="1927"/>
      <c r="S141" s="1944">
        <v>4500000</v>
      </c>
      <c r="T141" s="1944" t="s">
        <v>887</v>
      </c>
      <c r="V141" s="1944">
        <v>1</v>
      </c>
      <c r="W141" s="1944" t="s">
        <v>892</v>
      </c>
      <c r="X141" s="1944" t="s">
        <v>889</v>
      </c>
      <c r="Y141" s="1674">
        <f t="shared" si="33"/>
        <v>4500</v>
      </c>
      <c r="Z141" s="407">
        <f t="shared" si="36"/>
        <v>4500000</v>
      </c>
      <c r="AA141" s="1143">
        <f t="shared" si="35"/>
        <v>0</v>
      </c>
      <c r="AB141" s="1143"/>
      <c r="AC141" s="505"/>
    </row>
    <row r="142" spans="1:29" s="1675" customFormat="1" ht="21" customHeight="1">
      <c r="A142" s="1934"/>
      <c r="B142" s="1145"/>
      <c r="C142" s="402"/>
      <c r="D142" s="1131"/>
      <c r="E142" s="1134"/>
      <c r="F142" s="337"/>
      <c r="G142" s="337"/>
      <c r="H142" s="338"/>
      <c r="I142" s="1127"/>
      <c r="J142" s="1943" t="s">
        <v>999</v>
      </c>
      <c r="K142" s="1940"/>
      <c r="L142" s="1940"/>
      <c r="M142" s="1940"/>
      <c r="N142" s="1938"/>
      <c r="O142" s="1938"/>
      <c r="P142" s="1938"/>
      <c r="Q142" s="1944"/>
      <c r="R142" s="1927"/>
      <c r="S142" s="1944">
        <v>3000000</v>
      </c>
      <c r="T142" s="1944" t="s">
        <v>887</v>
      </c>
      <c r="V142" s="1944">
        <v>2</v>
      </c>
      <c r="W142" s="1944" t="s">
        <v>954</v>
      </c>
      <c r="X142" s="1944" t="s">
        <v>889</v>
      </c>
      <c r="Y142" s="1674">
        <f t="shared" si="33"/>
        <v>6000</v>
      </c>
      <c r="Z142" s="407">
        <f t="shared" si="36"/>
        <v>6000000</v>
      </c>
      <c r="AA142" s="1143">
        <f t="shared" si="35"/>
        <v>0</v>
      </c>
      <c r="AB142" s="1143"/>
      <c r="AC142" s="505"/>
    </row>
    <row r="143" spans="1:29" s="1675" customFormat="1" ht="21" customHeight="1">
      <c r="A143" s="1934"/>
      <c r="B143" s="1145"/>
      <c r="C143" s="402"/>
      <c r="D143" s="1131"/>
      <c r="E143" s="1134"/>
      <c r="F143" s="337"/>
      <c r="G143" s="337"/>
      <c r="H143" s="338"/>
      <c r="I143" s="1127"/>
      <c r="J143" s="1943" t="s">
        <v>1000</v>
      </c>
      <c r="K143" s="1940"/>
      <c r="L143" s="1940"/>
      <c r="M143" s="1940"/>
      <c r="N143" s="1938"/>
      <c r="O143" s="1938"/>
      <c r="P143" s="1938"/>
      <c r="Q143" s="1944"/>
      <c r="R143" s="1927"/>
      <c r="S143" s="1944">
        <v>10000000</v>
      </c>
      <c r="T143" s="1944" t="s">
        <v>887</v>
      </c>
      <c r="V143" s="1944">
        <v>2</v>
      </c>
      <c r="W143" s="1944" t="s">
        <v>954</v>
      </c>
      <c r="X143" s="1944" t="s">
        <v>889</v>
      </c>
      <c r="Y143" s="1674">
        <f t="shared" si="33"/>
        <v>20000</v>
      </c>
      <c r="Z143" s="407">
        <f t="shared" si="36"/>
        <v>20000000</v>
      </c>
      <c r="AA143" s="1143">
        <f t="shared" si="35"/>
        <v>0</v>
      </c>
      <c r="AB143" s="1143"/>
      <c r="AC143" s="505"/>
    </row>
    <row r="144" spans="1:29" s="1675" customFormat="1" ht="21" customHeight="1">
      <c r="A144" s="1934"/>
      <c r="B144" s="1145"/>
      <c r="C144" s="402"/>
      <c r="D144" s="1131"/>
      <c r="E144" s="1134" t="s">
        <v>902</v>
      </c>
      <c r="F144" s="337">
        <f t="shared" ref="F144:F147" si="37">Y144</f>
        <v>5000</v>
      </c>
      <c r="G144" s="337">
        <v>5000</v>
      </c>
      <c r="H144" s="338"/>
      <c r="I144" s="1127"/>
      <c r="J144" s="1943" t="s">
        <v>1001</v>
      </c>
      <c r="K144" s="1940"/>
      <c r="L144" s="1940"/>
      <c r="M144" s="1940"/>
      <c r="N144" s="1938"/>
      <c r="O144" s="1938"/>
      <c r="P144" s="1938"/>
      <c r="Q144" s="1944"/>
      <c r="R144" s="1927"/>
      <c r="S144" s="1944">
        <v>5000000</v>
      </c>
      <c r="T144" s="1944" t="s">
        <v>887</v>
      </c>
      <c r="V144" s="1944">
        <v>1</v>
      </c>
      <c r="W144" s="1944" t="s">
        <v>954</v>
      </c>
      <c r="X144" s="1944" t="s">
        <v>889</v>
      </c>
      <c r="Y144" s="1674">
        <f t="shared" si="33"/>
        <v>5000</v>
      </c>
      <c r="Z144" s="407">
        <f t="shared" si="36"/>
        <v>5000000</v>
      </c>
      <c r="AA144" s="1143">
        <f t="shared" si="35"/>
        <v>5000000000</v>
      </c>
      <c r="AB144" s="1143"/>
      <c r="AC144" s="505"/>
    </row>
    <row r="145" spans="1:29" s="1675" customFormat="1" ht="21" customHeight="1">
      <c r="A145" s="1934"/>
      <c r="B145" s="1145"/>
      <c r="C145" s="402"/>
      <c r="D145" s="1131"/>
      <c r="E145" s="1134" t="s">
        <v>956</v>
      </c>
      <c r="F145" s="337">
        <f t="shared" si="37"/>
        <v>2000</v>
      </c>
      <c r="G145" s="337">
        <v>2000</v>
      </c>
      <c r="H145" s="338"/>
      <c r="I145" s="1127"/>
      <c r="J145" s="1943" t="s">
        <v>1002</v>
      </c>
      <c r="K145" s="1940"/>
      <c r="L145" s="1940"/>
      <c r="M145" s="1940"/>
      <c r="N145" s="1938"/>
      <c r="O145" s="1938"/>
      <c r="P145" s="1938"/>
      <c r="Q145" s="1944"/>
      <c r="R145" s="1927"/>
      <c r="S145" s="408">
        <v>1000000</v>
      </c>
      <c r="T145" s="1944" t="s">
        <v>887</v>
      </c>
      <c r="U145" s="1944"/>
      <c r="V145" s="1944">
        <v>2</v>
      </c>
      <c r="W145" s="1944" t="s">
        <v>892</v>
      </c>
      <c r="X145" s="1944" t="s">
        <v>889</v>
      </c>
      <c r="Y145" s="1674">
        <f t="shared" si="33"/>
        <v>2000</v>
      </c>
      <c r="Z145" s="407">
        <f t="shared" si="36"/>
        <v>2000000</v>
      </c>
      <c r="AA145" s="1143">
        <f t="shared" si="35"/>
        <v>2000000000</v>
      </c>
      <c r="AB145" s="1143"/>
      <c r="AC145" s="505"/>
    </row>
    <row r="146" spans="1:29" ht="21" customHeight="1">
      <c r="A146" s="1934"/>
      <c r="B146" s="1145"/>
      <c r="C146" s="402"/>
      <c r="D146" s="1131"/>
      <c r="E146" s="1134" t="s">
        <v>958</v>
      </c>
      <c r="F146" s="337">
        <f t="shared" si="37"/>
        <v>4000</v>
      </c>
      <c r="G146" s="337">
        <v>4000</v>
      </c>
      <c r="H146" s="338"/>
      <c r="I146" s="1127"/>
      <c r="J146" s="1943" t="s">
        <v>1003</v>
      </c>
      <c r="K146" s="1940"/>
      <c r="L146" s="1940"/>
      <c r="M146" s="1940"/>
      <c r="N146" s="1938"/>
      <c r="O146" s="1938"/>
      <c r="P146" s="1938"/>
      <c r="Q146" s="1944"/>
      <c r="R146" s="1927"/>
      <c r="S146" s="408">
        <v>2000000</v>
      </c>
      <c r="T146" s="1944" t="s">
        <v>887</v>
      </c>
      <c r="U146" s="1944" t="s">
        <v>916</v>
      </c>
      <c r="V146" s="1944">
        <v>2</v>
      </c>
      <c r="W146" s="1944" t="s">
        <v>954</v>
      </c>
      <c r="X146" s="1944" t="s">
        <v>889</v>
      </c>
      <c r="Y146" s="1674">
        <f t="shared" si="33"/>
        <v>4000</v>
      </c>
      <c r="Z146" s="407">
        <f t="shared" si="36"/>
        <v>4000000</v>
      </c>
      <c r="AA146" s="1143">
        <f t="shared" si="35"/>
        <v>4000000000</v>
      </c>
      <c r="AC146" s="505"/>
    </row>
    <row r="147" spans="1:29" ht="21" customHeight="1">
      <c r="A147" s="1934"/>
      <c r="B147" s="1145"/>
      <c r="C147" s="402"/>
      <c r="D147" s="1131"/>
      <c r="E147" s="855" t="s">
        <v>919</v>
      </c>
      <c r="F147" s="337">
        <f t="shared" si="37"/>
        <v>500</v>
      </c>
      <c r="G147" s="360">
        <v>500</v>
      </c>
      <c r="H147" s="361"/>
      <c r="I147" s="1127"/>
      <c r="J147" s="1627" t="s">
        <v>1004</v>
      </c>
      <c r="K147" s="1926"/>
      <c r="L147" s="1926"/>
      <c r="M147" s="1926"/>
      <c r="N147" s="1941"/>
      <c r="O147" s="1941"/>
      <c r="P147" s="1941"/>
      <c r="Q147" s="459"/>
      <c r="R147" s="457"/>
      <c r="S147" s="456">
        <v>100000</v>
      </c>
      <c r="T147" s="459" t="s">
        <v>1005</v>
      </c>
      <c r="U147" s="459"/>
      <c r="V147" s="459">
        <v>5</v>
      </c>
      <c r="W147" s="459" t="s">
        <v>1006</v>
      </c>
      <c r="X147" s="459" t="s">
        <v>1007</v>
      </c>
      <c r="Y147" s="1674">
        <f t="shared" si="33"/>
        <v>500</v>
      </c>
      <c r="Z147" s="407">
        <f t="shared" si="36"/>
        <v>500000</v>
      </c>
      <c r="AA147" s="1143">
        <f t="shared" si="35"/>
        <v>500000000</v>
      </c>
      <c r="AC147" s="505"/>
    </row>
    <row r="148" spans="1:29" s="1675" customFormat="1" ht="21" customHeight="1">
      <c r="A148" s="1934"/>
      <c r="B148" s="1145"/>
      <c r="C148" s="3266" t="s">
        <v>2976</v>
      </c>
      <c r="D148" s="3347"/>
      <c r="E148" s="3267"/>
      <c r="F148" s="500">
        <f>F149+F166+F177</f>
        <v>220000</v>
      </c>
      <c r="G148" s="500">
        <f>G149+G166+G177</f>
        <v>220000</v>
      </c>
      <c r="H148" s="1132">
        <f>F148-G148</f>
        <v>0</v>
      </c>
      <c r="I148" s="1127"/>
      <c r="J148" s="501"/>
      <c r="K148" s="1936"/>
      <c r="L148" s="1936"/>
      <c r="M148" s="1936"/>
      <c r="N148" s="1936"/>
      <c r="O148" s="1936"/>
      <c r="P148" s="484"/>
      <c r="Q148" s="1936"/>
      <c r="R148" s="1146"/>
      <c r="S148" s="484"/>
      <c r="T148" s="1936"/>
      <c r="U148" s="1936"/>
      <c r="V148" s="484"/>
      <c r="W148" s="1936"/>
      <c r="X148" s="1936"/>
      <c r="Y148" s="852"/>
      <c r="Z148" s="407">
        <f t="shared" si="18"/>
        <v>0</v>
      </c>
      <c r="AA148" s="1143">
        <f t="shared" si="35"/>
        <v>220000000000</v>
      </c>
      <c r="AB148" s="1143"/>
      <c r="AC148" s="505"/>
    </row>
    <row r="149" spans="1:29" s="1675" customFormat="1" ht="21" customHeight="1">
      <c r="A149" s="1934"/>
      <c r="B149" s="1145"/>
      <c r="C149" s="542"/>
      <c r="D149" s="3266" t="s">
        <v>5834</v>
      </c>
      <c r="E149" s="3267"/>
      <c r="F149" s="500">
        <f>SUM(F150:F165)</f>
        <v>145000</v>
      </c>
      <c r="G149" s="500">
        <f>SUM(G150:G165)</f>
        <v>145000</v>
      </c>
      <c r="H149" s="1132">
        <f>F149-G149</f>
        <v>0</v>
      </c>
      <c r="I149" s="1127"/>
      <c r="J149" s="501"/>
      <c r="K149" s="1936"/>
      <c r="L149" s="1936"/>
      <c r="M149" s="1936"/>
      <c r="N149" s="1936"/>
      <c r="O149" s="1936"/>
      <c r="P149" s="484"/>
      <c r="Q149" s="1936"/>
      <c r="R149" s="1146"/>
      <c r="S149" s="484"/>
      <c r="T149" s="1936"/>
      <c r="U149" s="1936"/>
      <c r="V149" s="484"/>
      <c r="W149" s="1936"/>
      <c r="X149" s="850"/>
      <c r="Y149" s="503"/>
      <c r="Z149" s="407">
        <f t="shared" si="18"/>
        <v>0</v>
      </c>
      <c r="AA149" s="1143">
        <f t="shared" si="35"/>
        <v>145000000000</v>
      </c>
      <c r="AB149" s="1143"/>
      <c r="AC149" s="505"/>
    </row>
    <row r="150" spans="1:29" s="1675" customFormat="1" ht="21" customHeight="1">
      <c r="A150" s="1934"/>
      <c r="B150" s="1145"/>
      <c r="C150" s="402"/>
      <c r="D150" s="1131"/>
      <c r="E150" s="1134" t="s">
        <v>1008</v>
      </c>
      <c r="F150" s="337">
        <f>Y150</f>
        <v>30000</v>
      </c>
      <c r="G150" s="1139">
        <v>30000</v>
      </c>
      <c r="H150" s="1147"/>
      <c r="I150" s="1127"/>
      <c r="J150" s="1943" t="s">
        <v>1009</v>
      </c>
      <c r="K150" s="1944"/>
      <c r="L150" s="1944"/>
      <c r="M150" s="1944"/>
      <c r="N150" s="1944"/>
      <c r="O150" s="1938"/>
      <c r="P150" s="1938"/>
      <c r="Q150" s="1944">
        <v>1</v>
      </c>
      <c r="R150" s="1927" t="s">
        <v>1010</v>
      </c>
      <c r="S150" s="1944">
        <v>2500000</v>
      </c>
      <c r="T150" s="1944" t="s">
        <v>0</v>
      </c>
      <c r="V150" s="1944">
        <v>12</v>
      </c>
      <c r="W150" s="1944" t="s">
        <v>26</v>
      </c>
      <c r="X150" s="1944" t="s">
        <v>1</v>
      </c>
      <c r="Y150" s="1674">
        <f t="shared" ref="Y150:Y165" si="38">Z150/1000</f>
        <v>30000</v>
      </c>
      <c r="Z150" s="407">
        <f t="shared" si="18"/>
        <v>30000000</v>
      </c>
      <c r="AA150" s="1143">
        <f t="shared" si="35"/>
        <v>30000000000</v>
      </c>
      <c r="AB150" s="1143"/>
      <c r="AC150" s="505"/>
    </row>
    <row r="151" spans="1:29" s="1675" customFormat="1" ht="21" customHeight="1">
      <c r="A151" s="1934"/>
      <c r="B151" s="1145"/>
      <c r="C151" s="402"/>
      <c r="D151" s="1131"/>
      <c r="E151" s="1134" t="s">
        <v>1011</v>
      </c>
      <c r="F151" s="337">
        <f>Y151</f>
        <v>16300</v>
      </c>
      <c r="G151" s="1139">
        <v>16300</v>
      </c>
      <c r="H151" s="1147"/>
      <c r="I151" s="1127"/>
      <c r="J151" s="1943" t="s">
        <v>1012</v>
      </c>
      <c r="K151" s="1940"/>
      <c r="L151" s="1940"/>
      <c r="M151" s="1944"/>
      <c r="N151" s="1938"/>
      <c r="O151" s="1938"/>
      <c r="P151" s="1938"/>
      <c r="Q151" s="1944"/>
      <c r="R151" s="1927"/>
      <c r="S151" s="1927" t="s">
        <v>1013</v>
      </c>
      <c r="T151" s="1944" t="s">
        <v>1013</v>
      </c>
      <c r="U151" s="1944" t="s">
        <v>1013</v>
      </c>
      <c r="V151" s="1944" t="s">
        <v>1013</v>
      </c>
      <c r="W151" s="1944" t="s">
        <v>1013</v>
      </c>
      <c r="X151" s="1944" t="s">
        <v>1013</v>
      </c>
      <c r="Y151" s="1674">
        <f t="shared" si="38"/>
        <v>16300</v>
      </c>
      <c r="Z151" s="407">
        <f>SUM(Z152:Z154)</f>
        <v>16300000</v>
      </c>
      <c r="AA151" s="1143">
        <f t="shared" si="35"/>
        <v>16300000000</v>
      </c>
      <c r="AB151" s="1143"/>
      <c r="AC151" s="505"/>
    </row>
    <row r="152" spans="1:29" ht="21" customHeight="1">
      <c r="A152" s="1934"/>
      <c r="B152" s="1145"/>
      <c r="C152" s="402"/>
      <c r="D152" s="1131"/>
      <c r="E152" s="1134"/>
      <c r="F152" s="337"/>
      <c r="G152" s="1139"/>
      <c r="H152" s="1147"/>
      <c r="I152" s="1127"/>
      <c r="J152" s="1943" t="s">
        <v>1014</v>
      </c>
      <c r="K152" s="1940"/>
      <c r="L152" s="1940"/>
      <c r="M152" s="1940"/>
      <c r="N152" s="1938"/>
      <c r="O152" s="1938"/>
      <c r="P152" s="1938"/>
      <c r="Q152" s="1944">
        <v>400</v>
      </c>
      <c r="R152" s="1944" t="s">
        <v>1015</v>
      </c>
      <c r="S152" s="1944">
        <v>5000</v>
      </c>
      <c r="T152" s="1944" t="s">
        <v>1005</v>
      </c>
      <c r="U152" s="1675"/>
      <c r="V152" s="1944">
        <v>4</v>
      </c>
      <c r="W152" s="1944" t="s">
        <v>1016</v>
      </c>
      <c r="X152" s="1944" t="s">
        <v>1007</v>
      </c>
      <c r="Y152" s="1674">
        <f t="shared" si="38"/>
        <v>8000</v>
      </c>
      <c r="Z152" s="407">
        <f t="shared" si="18"/>
        <v>8000000</v>
      </c>
      <c r="AA152" s="1143">
        <f t="shared" si="35"/>
        <v>0</v>
      </c>
      <c r="AC152" s="505"/>
    </row>
    <row r="153" spans="1:29" s="1675" customFormat="1" ht="21" customHeight="1">
      <c r="A153" s="1934"/>
      <c r="B153" s="1145"/>
      <c r="C153" s="402"/>
      <c r="D153" s="1131"/>
      <c r="E153" s="1134"/>
      <c r="F153" s="337"/>
      <c r="G153" s="1139"/>
      <c r="H153" s="1147"/>
      <c r="I153" s="1127"/>
      <c r="J153" s="1943" t="s">
        <v>1017</v>
      </c>
      <c r="K153" s="1940"/>
      <c r="L153" s="1940"/>
      <c r="M153" s="1940"/>
      <c r="N153" s="1938"/>
      <c r="O153" s="1938"/>
      <c r="P153" s="1938"/>
      <c r="Q153" s="1944">
        <v>17000</v>
      </c>
      <c r="R153" s="1944" t="s">
        <v>1015</v>
      </c>
      <c r="S153" s="1944">
        <v>400</v>
      </c>
      <c r="T153" s="1944" t="s">
        <v>1005</v>
      </c>
      <c r="V153" s="1944">
        <v>1</v>
      </c>
      <c r="W153" s="1944" t="s">
        <v>1016</v>
      </c>
      <c r="X153" s="1944" t="s">
        <v>1007</v>
      </c>
      <c r="Y153" s="1674">
        <f t="shared" si="38"/>
        <v>6800</v>
      </c>
      <c r="Z153" s="407">
        <f t="shared" si="18"/>
        <v>6800000</v>
      </c>
      <c r="AA153" s="1143">
        <f t="shared" si="35"/>
        <v>0</v>
      </c>
      <c r="AB153" s="1143"/>
      <c r="AC153" s="505"/>
    </row>
    <row r="154" spans="1:29" s="1675" customFormat="1" ht="21" customHeight="1">
      <c r="A154" s="1934"/>
      <c r="B154" s="1145"/>
      <c r="C154" s="402"/>
      <c r="D154" s="1131"/>
      <c r="E154" s="1134"/>
      <c r="F154" s="337"/>
      <c r="G154" s="1139"/>
      <c r="H154" s="1147"/>
      <c r="I154" s="1127"/>
      <c r="J154" s="1943" t="s">
        <v>1018</v>
      </c>
      <c r="K154" s="1940"/>
      <c r="L154" s="1940"/>
      <c r="M154" s="1940"/>
      <c r="N154" s="1938"/>
      <c r="O154" s="1938"/>
      <c r="P154" s="1938"/>
      <c r="Q154" s="1944">
        <v>300</v>
      </c>
      <c r="R154" s="1944" t="s">
        <v>1015</v>
      </c>
      <c r="S154" s="1944">
        <v>5000</v>
      </c>
      <c r="T154" s="1944" t="s">
        <v>1005</v>
      </c>
      <c r="V154" s="1944">
        <v>1</v>
      </c>
      <c r="W154" s="1944" t="s">
        <v>1016</v>
      </c>
      <c r="X154" s="1944" t="s">
        <v>1007</v>
      </c>
      <c r="Y154" s="1674">
        <f t="shared" si="38"/>
        <v>1500</v>
      </c>
      <c r="Z154" s="407">
        <f t="shared" si="18"/>
        <v>1500000</v>
      </c>
      <c r="AA154" s="1143">
        <f t="shared" si="35"/>
        <v>0</v>
      </c>
      <c r="AB154" s="1143"/>
      <c r="AC154" s="505"/>
    </row>
    <row r="155" spans="1:29" s="1675" customFormat="1" ht="21" customHeight="1">
      <c r="A155" s="2892"/>
      <c r="B155" s="1145"/>
      <c r="C155" s="402"/>
      <c r="D155" s="1131"/>
      <c r="E155" s="389" t="s">
        <v>590</v>
      </c>
      <c r="F155" s="337">
        <f t="shared" ref="F155" si="39">Y155</f>
        <v>500</v>
      </c>
      <c r="G155" s="1139">
        <v>500</v>
      </c>
      <c r="H155" s="1147"/>
      <c r="I155" s="1127"/>
      <c r="J155" s="3440" t="s">
        <v>1028</v>
      </c>
      <c r="K155" s="3441"/>
      <c r="L155" s="3441"/>
      <c r="M155" s="3441"/>
      <c r="N155" s="3441"/>
      <c r="O155" s="3441"/>
      <c r="P155" s="2357"/>
      <c r="Q155" s="2900"/>
      <c r="R155" s="2895"/>
      <c r="S155" s="2900">
        <v>1000</v>
      </c>
      <c r="T155" s="2900" t="s">
        <v>264</v>
      </c>
      <c r="V155" s="2900">
        <v>500</v>
      </c>
      <c r="W155" s="2900" t="s">
        <v>220</v>
      </c>
      <c r="X155" s="2900" t="s">
        <v>266</v>
      </c>
      <c r="Y155" s="1674">
        <f t="shared" ref="Y155" si="40">Z155/1000</f>
        <v>500</v>
      </c>
      <c r="Z155" s="407">
        <f t="shared" ref="Z155" si="41">S155*V155</f>
        <v>500000</v>
      </c>
      <c r="AA155" s="1143">
        <f t="shared" ref="AA155" si="42">F155*1000000</f>
        <v>500000000</v>
      </c>
      <c r="AB155" s="1143"/>
      <c r="AC155" s="505"/>
    </row>
    <row r="156" spans="1:29" s="1675" customFormat="1" ht="21" customHeight="1">
      <c r="A156" s="1934"/>
      <c r="B156" s="1145"/>
      <c r="C156" s="402"/>
      <c r="D156" s="1131"/>
      <c r="E156" s="1134" t="s">
        <v>1019</v>
      </c>
      <c r="F156" s="337">
        <f>Y156</f>
        <v>15100</v>
      </c>
      <c r="G156" s="1139">
        <v>15100</v>
      </c>
      <c r="H156" s="1147"/>
      <c r="I156" s="1127"/>
      <c r="J156" s="1943" t="s">
        <v>1012</v>
      </c>
      <c r="K156" s="1940"/>
      <c r="L156" s="1940"/>
      <c r="M156" s="1940"/>
      <c r="N156" s="1938"/>
      <c r="O156" s="1938"/>
      <c r="P156" s="1938"/>
      <c r="Q156" s="1944"/>
      <c r="R156" s="1927"/>
      <c r="S156" s="1944"/>
      <c r="T156" s="1944"/>
      <c r="V156" s="1944"/>
      <c r="W156" s="1944"/>
      <c r="X156" s="1944"/>
      <c r="Y156" s="1674">
        <f t="shared" si="38"/>
        <v>15100</v>
      </c>
      <c r="Z156" s="407">
        <f>SUM(Z157:Z158)</f>
        <v>15100000</v>
      </c>
      <c r="AA156" s="1143">
        <f t="shared" si="35"/>
        <v>15100000000</v>
      </c>
      <c r="AB156" s="1143"/>
      <c r="AC156" s="505"/>
    </row>
    <row r="157" spans="1:29" s="1675" customFormat="1" ht="21" customHeight="1">
      <c r="A157" s="1934"/>
      <c r="B157" s="1145"/>
      <c r="C157" s="402"/>
      <c r="D157" s="1131"/>
      <c r="E157" s="1134"/>
      <c r="F157" s="337"/>
      <c r="G157" s="1139"/>
      <c r="H157" s="1147"/>
      <c r="I157" s="1127"/>
      <c r="J157" s="1943" t="s">
        <v>1020</v>
      </c>
      <c r="K157" s="1940"/>
      <c r="L157" s="1940"/>
      <c r="M157" s="1940"/>
      <c r="N157" s="1938"/>
      <c r="O157" s="1938"/>
      <c r="P157" s="1938"/>
      <c r="Q157" s="1944"/>
      <c r="R157" s="1927"/>
      <c r="S157" s="1944">
        <v>100000</v>
      </c>
      <c r="T157" s="1944" t="s">
        <v>1005</v>
      </c>
      <c r="V157" s="1944">
        <v>130</v>
      </c>
      <c r="W157" s="1944" t="s">
        <v>1006</v>
      </c>
      <c r="X157" s="1944" t="s">
        <v>1007</v>
      </c>
      <c r="Y157" s="1674">
        <f t="shared" si="38"/>
        <v>13000</v>
      </c>
      <c r="Z157" s="407">
        <f t="shared" ref="Z157:Z158" si="43">S157*V157</f>
        <v>13000000</v>
      </c>
      <c r="AA157" s="1143">
        <f t="shared" si="35"/>
        <v>0</v>
      </c>
      <c r="AB157" s="1143"/>
      <c r="AC157" s="505"/>
    </row>
    <row r="158" spans="1:29" s="1675" customFormat="1" ht="21" customHeight="1">
      <c r="A158" s="1934"/>
      <c r="B158" s="1145"/>
      <c r="C158" s="402"/>
      <c r="D158" s="1131"/>
      <c r="E158" s="1134"/>
      <c r="F158" s="337"/>
      <c r="G158" s="1139"/>
      <c r="H158" s="1147"/>
      <c r="I158" s="1127"/>
      <c r="J158" s="1943" t="s">
        <v>1021</v>
      </c>
      <c r="K158" s="1940"/>
      <c r="L158" s="1940"/>
      <c r="M158" s="1940"/>
      <c r="N158" s="1938"/>
      <c r="O158" s="1938"/>
      <c r="P158" s="1938"/>
      <c r="Q158" s="1944"/>
      <c r="R158" s="1927"/>
      <c r="S158" s="1944">
        <v>2100000</v>
      </c>
      <c r="T158" s="1944" t="s">
        <v>1005</v>
      </c>
      <c r="V158" s="1944">
        <v>1</v>
      </c>
      <c r="W158" s="1944" t="s">
        <v>1016</v>
      </c>
      <c r="X158" s="1944" t="s">
        <v>1007</v>
      </c>
      <c r="Y158" s="1674">
        <f t="shared" si="38"/>
        <v>2100</v>
      </c>
      <c r="Z158" s="407">
        <f t="shared" si="43"/>
        <v>2100000</v>
      </c>
      <c r="AA158" s="1143">
        <f t="shared" si="35"/>
        <v>0</v>
      </c>
      <c r="AB158" s="1143"/>
      <c r="AC158" s="505"/>
    </row>
    <row r="159" spans="1:29" s="1675" customFormat="1" ht="21" customHeight="1">
      <c r="A159" s="1934"/>
      <c r="B159" s="1145"/>
      <c r="C159" s="402"/>
      <c r="D159" s="1131"/>
      <c r="E159" s="1134" t="s">
        <v>1022</v>
      </c>
      <c r="F159" s="337">
        <f>Y159</f>
        <v>30900</v>
      </c>
      <c r="G159" s="1139">
        <v>30900</v>
      </c>
      <c r="H159" s="1147"/>
      <c r="I159" s="1127"/>
      <c r="J159" s="1943" t="s">
        <v>1023</v>
      </c>
      <c r="K159" s="1940"/>
      <c r="L159" s="1940"/>
      <c r="M159" s="1940"/>
      <c r="N159" s="1938"/>
      <c r="O159" s="1938"/>
      <c r="P159" s="1938"/>
      <c r="Q159" s="1944">
        <v>2</v>
      </c>
      <c r="R159" s="1927" t="s">
        <v>1010</v>
      </c>
      <c r="S159" s="1944">
        <v>150000</v>
      </c>
      <c r="T159" s="1944" t="s">
        <v>1005</v>
      </c>
      <c r="V159" s="1944">
        <v>103</v>
      </c>
      <c r="W159" s="1944" t="s">
        <v>1006</v>
      </c>
      <c r="X159" s="1944" t="s">
        <v>1007</v>
      </c>
      <c r="Y159" s="1674">
        <f t="shared" si="38"/>
        <v>30900</v>
      </c>
      <c r="Z159" s="407">
        <f t="shared" ref="Z159:Z210" si="44">Q159*S159*V159</f>
        <v>30900000</v>
      </c>
      <c r="AA159" s="1143">
        <f t="shared" si="35"/>
        <v>30900000000</v>
      </c>
      <c r="AB159" s="1143"/>
      <c r="AC159" s="505"/>
    </row>
    <row r="160" spans="1:29" ht="21" customHeight="1">
      <c r="A160" s="2892"/>
      <c r="B160" s="1145"/>
      <c r="C160" s="402"/>
      <c r="D160" s="1131"/>
      <c r="E160" s="389" t="s">
        <v>287</v>
      </c>
      <c r="F160" s="337">
        <f t="shared" ref="F160" si="45">Y160</f>
        <v>10000</v>
      </c>
      <c r="G160" s="1139">
        <v>10000</v>
      </c>
      <c r="H160" s="1147"/>
      <c r="I160" s="1127"/>
      <c r="J160" s="2899" t="s">
        <v>1030</v>
      </c>
      <c r="K160" s="2889"/>
      <c r="L160" s="2889"/>
      <c r="M160" s="2889"/>
      <c r="N160" s="2357"/>
      <c r="O160" s="2357"/>
      <c r="P160" s="2357"/>
      <c r="Q160" s="2900"/>
      <c r="R160" s="2895"/>
      <c r="S160" s="2900">
        <v>2000000</v>
      </c>
      <c r="T160" s="2900" t="s">
        <v>264</v>
      </c>
      <c r="U160" s="1675"/>
      <c r="V160" s="2900">
        <v>5</v>
      </c>
      <c r="W160" s="2900" t="s">
        <v>265</v>
      </c>
      <c r="X160" s="2900" t="s">
        <v>266</v>
      </c>
      <c r="Y160" s="1674">
        <f t="shared" ref="Y160" si="46">Z160/1000</f>
        <v>10000</v>
      </c>
      <c r="Z160" s="407">
        <f t="shared" ref="Z160" si="47">S160*V160</f>
        <v>10000000</v>
      </c>
      <c r="AA160" s="1143">
        <f t="shared" ref="AA160" si="48">F160*1000000</f>
        <v>10000000000</v>
      </c>
      <c r="AC160" s="505"/>
    </row>
    <row r="161" spans="1:29" s="1675" customFormat="1" ht="21" customHeight="1">
      <c r="A161" s="1934"/>
      <c r="B161" s="1145"/>
      <c r="C161" s="402"/>
      <c r="D161" s="1131"/>
      <c r="E161" s="1134" t="s">
        <v>1024</v>
      </c>
      <c r="F161" s="337">
        <f>Y161</f>
        <v>37000</v>
      </c>
      <c r="G161" s="1139">
        <v>37000</v>
      </c>
      <c r="H161" s="1147"/>
      <c r="I161" s="1127"/>
      <c r="J161" s="1943" t="s">
        <v>1012</v>
      </c>
      <c r="K161" s="1940"/>
      <c r="L161" s="1940"/>
      <c r="M161" s="1940"/>
      <c r="N161" s="1938"/>
      <c r="O161" s="1938"/>
      <c r="P161" s="1938"/>
      <c r="Q161" s="1944"/>
      <c r="R161" s="1927"/>
      <c r="S161" s="1944"/>
      <c r="T161" s="1944"/>
      <c r="V161" s="1944"/>
      <c r="W161" s="1944"/>
      <c r="X161" s="1944"/>
      <c r="Y161" s="1674">
        <f t="shared" si="38"/>
        <v>37000</v>
      </c>
      <c r="Z161" s="407">
        <f>SUM(Z162:Z163)</f>
        <v>37000000</v>
      </c>
      <c r="AA161" s="1143">
        <f t="shared" si="35"/>
        <v>37000000000</v>
      </c>
      <c r="AB161" s="1143"/>
      <c r="AC161" s="505"/>
    </row>
    <row r="162" spans="1:29" s="1675" customFormat="1" ht="21" customHeight="1">
      <c r="A162" s="1934"/>
      <c r="B162" s="1145"/>
      <c r="C162" s="402"/>
      <c r="D162" s="1131"/>
      <c r="E162" s="1955"/>
      <c r="F162" s="1955"/>
      <c r="H162" s="1147"/>
      <c r="I162" s="1127"/>
      <c r="J162" s="3440" t="s">
        <v>1025</v>
      </c>
      <c r="K162" s="3441"/>
      <c r="L162" s="3441"/>
      <c r="M162" s="3441"/>
      <c r="N162" s="3441"/>
      <c r="O162" s="3441"/>
      <c r="P162" s="1938"/>
      <c r="Q162" s="1944"/>
      <c r="R162" s="1927"/>
      <c r="S162" s="1944">
        <v>500000</v>
      </c>
      <c r="T162" s="1944" t="s">
        <v>887</v>
      </c>
      <c r="V162" s="1944">
        <v>54</v>
      </c>
      <c r="W162" s="1944" t="s">
        <v>925</v>
      </c>
      <c r="X162" s="1944" t="s">
        <v>889</v>
      </c>
      <c r="Y162" s="1674">
        <f t="shared" si="38"/>
        <v>27000</v>
      </c>
      <c r="Z162" s="407">
        <f t="shared" ref="Z162:Z165" si="49">S162*V162</f>
        <v>27000000</v>
      </c>
      <c r="AA162" s="1143">
        <f t="shared" si="35"/>
        <v>0</v>
      </c>
      <c r="AB162" s="1143"/>
      <c r="AC162" s="505"/>
    </row>
    <row r="163" spans="1:29" s="1675" customFormat="1" ht="21" customHeight="1">
      <c r="A163" s="1934"/>
      <c r="B163" s="1145"/>
      <c r="C163" s="402"/>
      <c r="D163" s="1131"/>
      <c r="E163" s="1955"/>
      <c r="F163" s="1955"/>
      <c r="H163" s="1147"/>
      <c r="I163" s="1127"/>
      <c r="J163" s="3440" t="s">
        <v>1026</v>
      </c>
      <c r="K163" s="3441"/>
      <c r="L163" s="3441"/>
      <c r="M163" s="3441"/>
      <c r="N163" s="3441"/>
      <c r="O163" s="3441"/>
      <c r="P163" s="1938"/>
      <c r="Q163" s="1944"/>
      <c r="R163" s="1927"/>
      <c r="S163" s="1944">
        <v>1000000</v>
      </c>
      <c r="T163" s="1944" t="s">
        <v>887</v>
      </c>
      <c r="V163" s="1944">
        <v>10</v>
      </c>
      <c r="W163" s="1944" t="s">
        <v>984</v>
      </c>
      <c r="X163" s="1944" t="s">
        <v>889</v>
      </c>
      <c r="Y163" s="1674">
        <f t="shared" si="38"/>
        <v>10000</v>
      </c>
      <c r="Z163" s="407">
        <f t="shared" si="49"/>
        <v>10000000</v>
      </c>
      <c r="AA163" s="1143">
        <f t="shared" si="35"/>
        <v>0</v>
      </c>
      <c r="AB163" s="1143"/>
      <c r="AC163" s="505"/>
    </row>
    <row r="164" spans="1:29" s="1675" customFormat="1" ht="21" customHeight="1">
      <c r="A164" s="1934"/>
      <c r="B164" s="1145"/>
      <c r="C164" s="402"/>
      <c r="D164" s="1131"/>
      <c r="E164" s="389" t="s">
        <v>958</v>
      </c>
      <c r="F164" s="337">
        <f t="shared" ref="F164:F165" si="50">Y164</f>
        <v>4100</v>
      </c>
      <c r="G164" s="1139">
        <v>4100</v>
      </c>
      <c r="H164" s="1147"/>
      <c r="I164" s="1127"/>
      <c r="J164" s="1943" t="s">
        <v>1029</v>
      </c>
      <c r="K164" s="1940"/>
      <c r="L164" s="1940"/>
      <c r="M164" s="1940"/>
      <c r="N164" s="1938"/>
      <c r="O164" s="1938"/>
      <c r="P164" s="1938"/>
      <c r="Q164" s="1944"/>
      <c r="R164" s="1927"/>
      <c r="S164" s="1944">
        <v>4100000</v>
      </c>
      <c r="T164" s="1944" t="s">
        <v>887</v>
      </c>
      <c r="V164" s="1944">
        <v>1</v>
      </c>
      <c r="W164" s="1944" t="s">
        <v>897</v>
      </c>
      <c r="X164" s="1944" t="s">
        <v>889</v>
      </c>
      <c r="Y164" s="1674">
        <f t="shared" si="38"/>
        <v>4100</v>
      </c>
      <c r="Z164" s="407">
        <f t="shared" si="49"/>
        <v>4100000</v>
      </c>
      <c r="AA164" s="1143">
        <f t="shared" si="35"/>
        <v>4100000000</v>
      </c>
      <c r="AB164" s="1143"/>
      <c r="AC164" s="505"/>
    </row>
    <row r="165" spans="1:29" ht="21" customHeight="1">
      <c r="A165" s="1934"/>
      <c r="B165" s="1145"/>
      <c r="C165" s="402"/>
      <c r="D165" s="1131"/>
      <c r="E165" s="389" t="s">
        <v>960</v>
      </c>
      <c r="F165" s="337">
        <f t="shared" si="50"/>
        <v>1100</v>
      </c>
      <c r="G165" s="1139">
        <v>1100</v>
      </c>
      <c r="H165" s="1147"/>
      <c r="I165" s="1127"/>
      <c r="J165" s="1943" t="s">
        <v>1031</v>
      </c>
      <c r="K165" s="1927"/>
      <c r="L165" s="1927"/>
      <c r="M165" s="1927"/>
      <c r="N165" s="1927"/>
      <c r="O165" s="1938"/>
      <c r="P165" s="1938"/>
      <c r="Q165" s="1944"/>
      <c r="R165" s="1927"/>
      <c r="S165" s="1944">
        <v>110000</v>
      </c>
      <c r="T165" s="1944" t="s">
        <v>887</v>
      </c>
      <c r="U165" s="1675"/>
      <c r="V165" s="1944">
        <v>10</v>
      </c>
      <c r="W165" s="1944" t="s">
        <v>892</v>
      </c>
      <c r="X165" s="1944" t="s">
        <v>889</v>
      </c>
      <c r="Y165" s="1674">
        <f t="shared" si="38"/>
        <v>1100</v>
      </c>
      <c r="Z165" s="407">
        <f t="shared" si="49"/>
        <v>1100000</v>
      </c>
      <c r="AA165" s="1143">
        <f t="shared" si="35"/>
        <v>1100000000</v>
      </c>
      <c r="AC165" s="505"/>
    </row>
    <row r="166" spans="1:29" s="1675" customFormat="1" ht="21" customHeight="1">
      <c r="A166" s="1934"/>
      <c r="B166" s="1145"/>
      <c r="C166" s="542"/>
      <c r="D166" s="3266" t="s">
        <v>1032</v>
      </c>
      <c r="E166" s="3267"/>
      <c r="F166" s="500">
        <f>SUM(F167:F176)</f>
        <v>60000</v>
      </c>
      <c r="G166" s="500">
        <f>SUM(G167:G176)</f>
        <v>60000</v>
      </c>
      <c r="H166" s="461">
        <f>F166-G166</f>
        <v>0</v>
      </c>
      <c r="I166" s="1127"/>
      <c r="J166" s="501"/>
      <c r="K166" s="1936"/>
      <c r="L166" s="1136"/>
      <c r="M166" s="1936"/>
      <c r="N166" s="1936"/>
      <c r="O166" s="1936"/>
      <c r="P166" s="484"/>
      <c r="Q166" s="1936"/>
      <c r="R166" s="1146"/>
      <c r="S166" s="484"/>
      <c r="T166" s="1936"/>
      <c r="U166" s="1936"/>
      <c r="V166" s="484"/>
      <c r="W166" s="1936"/>
      <c r="X166" s="850"/>
      <c r="Y166" s="503"/>
      <c r="Z166" s="407">
        <f t="shared" si="44"/>
        <v>0</v>
      </c>
      <c r="AA166" s="1143">
        <f t="shared" si="35"/>
        <v>60000000000</v>
      </c>
      <c r="AB166" s="1143"/>
      <c r="AC166" s="505"/>
    </row>
    <row r="167" spans="1:29" s="1675" customFormat="1" ht="21" customHeight="1">
      <c r="A167" s="1934"/>
      <c r="B167" s="1145"/>
      <c r="C167" s="402"/>
      <c r="D167" s="1131"/>
      <c r="E167" s="1134" t="s">
        <v>982</v>
      </c>
      <c r="F167" s="337">
        <f>Y167</f>
        <v>30000</v>
      </c>
      <c r="G167" s="1139">
        <v>30000</v>
      </c>
      <c r="H167" s="1147"/>
      <c r="I167" s="1127"/>
      <c r="J167" s="1943" t="s">
        <v>1033</v>
      </c>
      <c r="K167" s="1944"/>
      <c r="L167" s="1944"/>
      <c r="M167" s="1944"/>
      <c r="N167" s="1944"/>
      <c r="O167" s="1938"/>
      <c r="P167" s="1938"/>
      <c r="Q167" s="1944">
        <v>1</v>
      </c>
      <c r="R167" s="1927" t="s">
        <v>891</v>
      </c>
      <c r="S167" s="1944">
        <v>2500000</v>
      </c>
      <c r="T167" s="1944" t="s">
        <v>0</v>
      </c>
      <c r="V167" s="1944">
        <v>12</v>
      </c>
      <c r="W167" s="1944" t="s">
        <v>26</v>
      </c>
      <c r="X167" s="1944" t="s">
        <v>1</v>
      </c>
      <c r="Y167" s="1674">
        <f t="shared" ref="Y167:Y176" si="51">Z167/1000</f>
        <v>30000</v>
      </c>
      <c r="Z167" s="407">
        <f t="shared" si="44"/>
        <v>30000000</v>
      </c>
      <c r="AA167" s="1143">
        <f t="shared" si="35"/>
        <v>30000000000</v>
      </c>
      <c r="AB167" s="1143"/>
      <c r="AC167" s="505"/>
    </row>
    <row r="168" spans="1:29" s="1675" customFormat="1" ht="21" customHeight="1">
      <c r="A168" s="1934"/>
      <c r="B168" s="1145"/>
      <c r="C168" s="402"/>
      <c r="D168" s="1131"/>
      <c r="E168" s="1134" t="s">
        <v>985</v>
      </c>
      <c r="F168" s="337">
        <f>Y168</f>
        <v>6200</v>
      </c>
      <c r="G168" s="1139">
        <v>6200</v>
      </c>
      <c r="H168" s="1147"/>
      <c r="I168" s="1127"/>
      <c r="J168" s="1943" t="s">
        <v>895</v>
      </c>
      <c r="K168" s="1940"/>
      <c r="L168" s="1940"/>
      <c r="M168" s="1940"/>
      <c r="N168" s="1938"/>
      <c r="O168" s="1938"/>
      <c r="P168" s="1938"/>
      <c r="Q168" s="1944"/>
      <c r="R168" s="1927"/>
      <c r="S168" s="1927" t="s">
        <v>916</v>
      </c>
      <c r="T168" s="1944" t="s">
        <v>916</v>
      </c>
      <c r="U168" s="1944" t="s">
        <v>916</v>
      </c>
      <c r="V168" s="1944" t="s">
        <v>916</v>
      </c>
      <c r="W168" s="1944" t="s">
        <v>916</v>
      </c>
      <c r="X168" s="1944" t="s">
        <v>916</v>
      </c>
      <c r="Y168" s="1674">
        <f t="shared" si="51"/>
        <v>6200</v>
      </c>
      <c r="Z168" s="407">
        <f>SUM(Z169:Z171)</f>
        <v>6200000</v>
      </c>
      <c r="AA168" s="1143">
        <f t="shared" si="35"/>
        <v>6200000000</v>
      </c>
      <c r="AB168" s="1143"/>
      <c r="AC168" s="505"/>
    </row>
    <row r="169" spans="1:29" ht="22.5" customHeight="1">
      <c r="A169" s="1934"/>
      <c r="B169" s="1145"/>
      <c r="C169" s="402"/>
      <c r="D169" s="1131"/>
      <c r="E169" s="1134"/>
      <c r="F169" s="337"/>
      <c r="G169" s="1139"/>
      <c r="H169" s="1147"/>
      <c r="I169" s="1127"/>
      <c r="J169" s="1943" t="s">
        <v>1034</v>
      </c>
      <c r="K169" s="1940"/>
      <c r="L169" s="1940"/>
      <c r="M169" s="1940"/>
      <c r="N169" s="1938"/>
      <c r="O169" s="1938"/>
      <c r="P169" s="1938"/>
      <c r="Q169" s="1944"/>
      <c r="R169" s="1944"/>
      <c r="S169" s="1944">
        <v>3500</v>
      </c>
      <c r="T169" s="1944" t="s">
        <v>887</v>
      </c>
      <c r="U169" s="1675"/>
      <c r="V169" s="1944">
        <v>500</v>
      </c>
      <c r="W169" s="1944" t="s">
        <v>1035</v>
      </c>
      <c r="X169" s="1944" t="s">
        <v>889</v>
      </c>
      <c r="Y169" s="1674">
        <f t="shared" si="51"/>
        <v>1750</v>
      </c>
      <c r="Z169" s="407">
        <f t="shared" ref="Z169:Z172" si="52">S169*V169</f>
        <v>1750000</v>
      </c>
      <c r="AA169" s="1143">
        <f t="shared" si="35"/>
        <v>0</v>
      </c>
      <c r="AC169" s="505"/>
    </row>
    <row r="170" spans="1:29" s="1675" customFormat="1" ht="22.5" customHeight="1">
      <c r="A170" s="1934"/>
      <c r="B170" s="1145"/>
      <c r="C170" s="402"/>
      <c r="D170" s="1131"/>
      <c r="E170" s="1134"/>
      <c r="F170" s="337"/>
      <c r="G170" s="1139"/>
      <c r="H170" s="1147"/>
      <c r="I170" s="1127"/>
      <c r="J170" s="1943" t="s">
        <v>1036</v>
      </c>
      <c r="K170" s="1940"/>
      <c r="L170" s="1940"/>
      <c r="M170" s="1940"/>
      <c r="N170" s="1938"/>
      <c r="O170" s="1938"/>
      <c r="P170" s="1938"/>
      <c r="Q170" s="1944"/>
      <c r="R170" s="1944"/>
      <c r="S170" s="1944">
        <v>2500</v>
      </c>
      <c r="T170" s="1944" t="s">
        <v>887</v>
      </c>
      <c r="V170" s="1944">
        <v>500</v>
      </c>
      <c r="W170" s="1944" t="s">
        <v>1035</v>
      </c>
      <c r="X170" s="1944" t="s">
        <v>889</v>
      </c>
      <c r="Y170" s="1674">
        <f t="shared" si="51"/>
        <v>1250</v>
      </c>
      <c r="Z170" s="407">
        <f t="shared" si="52"/>
        <v>1250000</v>
      </c>
      <c r="AA170" s="1143">
        <f t="shared" si="35"/>
        <v>0</v>
      </c>
      <c r="AB170" s="1143"/>
      <c r="AC170" s="505"/>
    </row>
    <row r="171" spans="1:29" s="1675" customFormat="1" ht="22.5" customHeight="1">
      <c r="A171" s="1934"/>
      <c r="B171" s="1145"/>
      <c r="C171" s="402"/>
      <c r="D171" s="1131"/>
      <c r="E171" s="1134"/>
      <c r="F171" s="337"/>
      <c r="G171" s="1139"/>
      <c r="H171" s="1147"/>
      <c r="I171" s="1127"/>
      <c r="J171" s="1943" t="s">
        <v>1037</v>
      </c>
      <c r="K171" s="1940"/>
      <c r="L171" s="1940"/>
      <c r="M171" s="1940"/>
      <c r="N171" s="1938"/>
      <c r="O171" s="1938"/>
      <c r="P171" s="1938"/>
      <c r="Q171" s="1944"/>
      <c r="R171" s="1944"/>
      <c r="S171" s="1944">
        <v>16000</v>
      </c>
      <c r="T171" s="1944" t="s">
        <v>887</v>
      </c>
      <c r="V171" s="1944">
        <v>200</v>
      </c>
      <c r="W171" s="1944" t="s">
        <v>1035</v>
      </c>
      <c r="X171" s="1944" t="s">
        <v>889</v>
      </c>
      <c r="Y171" s="1674">
        <f t="shared" si="51"/>
        <v>3200</v>
      </c>
      <c r="Z171" s="407">
        <f t="shared" si="52"/>
        <v>3200000</v>
      </c>
      <c r="AA171" s="1143">
        <f t="shared" si="35"/>
        <v>0</v>
      </c>
      <c r="AB171" s="1143"/>
      <c r="AC171" s="505"/>
    </row>
    <row r="172" spans="1:29" s="1675" customFormat="1" ht="23.45" customHeight="1">
      <c r="A172" s="1934"/>
      <c r="B172" s="1145"/>
      <c r="C172" s="402"/>
      <c r="D172" s="1131"/>
      <c r="E172" s="1134" t="s">
        <v>950</v>
      </c>
      <c r="F172" s="337">
        <f t="shared" ref="F172:F173" si="53">Y172</f>
        <v>2300</v>
      </c>
      <c r="G172" s="1139">
        <v>2300</v>
      </c>
      <c r="H172" s="1147"/>
      <c r="I172" s="1127"/>
      <c r="J172" s="1943" t="s">
        <v>1038</v>
      </c>
      <c r="K172" s="1940"/>
      <c r="L172" s="1940"/>
      <c r="M172" s="1940"/>
      <c r="N172" s="1938"/>
      <c r="O172" s="1938"/>
      <c r="P172" s="1938"/>
      <c r="Q172" s="1944"/>
      <c r="R172" s="1927"/>
      <c r="S172" s="408">
        <v>2300000</v>
      </c>
      <c r="T172" s="1944" t="s">
        <v>887</v>
      </c>
      <c r="U172" s="1944" t="s">
        <v>916</v>
      </c>
      <c r="V172" s="1944">
        <v>1</v>
      </c>
      <c r="W172" s="1944" t="s">
        <v>977</v>
      </c>
      <c r="X172" s="1944" t="s">
        <v>1039</v>
      </c>
      <c r="Y172" s="1674">
        <f t="shared" si="51"/>
        <v>2300</v>
      </c>
      <c r="Z172" s="407">
        <f t="shared" si="52"/>
        <v>2300000</v>
      </c>
      <c r="AA172" s="1143">
        <f t="shared" si="35"/>
        <v>2300000000</v>
      </c>
      <c r="AB172" s="1143"/>
      <c r="AC172" s="505"/>
    </row>
    <row r="173" spans="1:29" s="1675" customFormat="1" ht="23.45" customHeight="1">
      <c r="A173" s="1934"/>
      <c r="B173" s="1145"/>
      <c r="C173" s="402"/>
      <c r="D173" s="1131"/>
      <c r="E173" s="1134" t="s">
        <v>952</v>
      </c>
      <c r="F173" s="337">
        <f t="shared" si="53"/>
        <v>20000</v>
      </c>
      <c r="G173" s="1139">
        <v>20000</v>
      </c>
      <c r="H173" s="1147"/>
      <c r="I173" s="1127"/>
      <c r="J173" s="1943" t="s">
        <v>975</v>
      </c>
      <c r="K173" s="1940"/>
      <c r="L173" s="1940"/>
      <c r="M173" s="1940"/>
      <c r="N173" s="1938"/>
      <c r="O173" s="1938"/>
      <c r="P173" s="1938"/>
      <c r="Q173" s="1944" t="s">
        <v>917</v>
      </c>
      <c r="R173" s="1927" t="s">
        <v>917</v>
      </c>
      <c r="S173" s="1944"/>
      <c r="T173" s="1944"/>
      <c r="V173" s="1944"/>
      <c r="W173" s="1944"/>
      <c r="X173" s="1944"/>
      <c r="Y173" s="1674">
        <f t="shared" si="51"/>
        <v>20000</v>
      </c>
      <c r="Z173" s="407">
        <f>SUM(Z174:Z175)</f>
        <v>20000000</v>
      </c>
      <c r="AA173" s="1143">
        <f t="shared" si="35"/>
        <v>20000000000</v>
      </c>
      <c r="AB173" s="1143"/>
      <c r="AC173" s="505"/>
    </row>
    <row r="174" spans="1:29" s="1675" customFormat="1" ht="23.45" customHeight="1">
      <c r="A174" s="1934"/>
      <c r="B174" s="1145"/>
      <c r="C174" s="402"/>
      <c r="D174" s="1131"/>
      <c r="E174" s="1134"/>
      <c r="F174" s="337"/>
      <c r="G174" s="1139"/>
      <c r="H174" s="1147"/>
      <c r="I174" s="1127"/>
      <c r="J174" s="1943" t="s">
        <v>1040</v>
      </c>
      <c r="K174" s="1940"/>
      <c r="L174" s="1940"/>
      <c r="M174" s="1940"/>
      <c r="N174" s="1938"/>
      <c r="O174" s="1938"/>
      <c r="P174" s="1938"/>
      <c r="Q174" s="1944">
        <v>1</v>
      </c>
      <c r="R174" s="1927" t="s">
        <v>891</v>
      </c>
      <c r="S174" s="1672">
        <v>250000</v>
      </c>
      <c r="T174" s="1671" t="s">
        <v>887</v>
      </c>
      <c r="U174" s="1671"/>
      <c r="V174" s="1671">
        <v>50</v>
      </c>
      <c r="W174" s="1671" t="s">
        <v>892</v>
      </c>
      <c r="X174" s="1671" t="s">
        <v>889</v>
      </c>
      <c r="Y174" s="1674">
        <f t="shared" si="51"/>
        <v>12500</v>
      </c>
      <c r="Z174" s="407">
        <f t="shared" si="44"/>
        <v>12500000</v>
      </c>
      <c r="AA174" s="1143">
        <f t="shared" si="35"/>
        <v>0</v>
      </c>
      <c r="AB174" s="1143"/>
      <c r="AC174" s="505"/>
    </row>
    <row r="175" spans="1:29" s="1675" customFormat="1" ht="23.45" customHeight="1">
      <c r="A175" s="1934"/>
      <c r="B175" s="1145"/>
      <c r="C175" s="465"/>
      <c r="D175" s="1131"/>
      <c r="E175" s="1134"/>
      <c r="F175" s="337"/>
      <c r="G175" s="1139"/>
      <c r="H175" s="1147"/>
      <c r="I175" s="1127"/>
      <c r="J175" s="1943" t="s">
        <v>1041</v>
      </c>
      <c r="K175" s="1940"/>
      <c r="L175" s="1940"/>
      <c r="M175" s="1940"/>
      <c r="N175" s="1938"/>
      <c r="O175" s="1938"/>
      <c r="P175" s="1938"/>
      <c r="Q175" s="1944">
        <v>1</v>
      </c>
      <c r="R175" s="1927" t="s">
        <v>891</v>
      </c>
      <c r="S175" s="1672">
        <v>150000</v>
      </c>
      <c r="T175" s="1671" t="s">
        <v>887</v>
      </c>
      <c r="U175" s="1671"/>
      <c r="V175" s="1671">
        <v>50</v>
      </c>
      <c r="W175" s="1671" t="s">
        <v>892</v>
      </c>
      <c r="X175" s="1671" t="s">
        <v>889</v>
      </c>
      <c r="Y175" s="1674">
        <f t="shared" si="51"/>
        <v>7500</v>
      </c>
      <c r="Z175" s="407">
        <f t="shared" si="44"/>
        <v>7500000</v>
      </c>
      <c r="AA175" s="1143">
        <f t="shared" si="35"/>
        <v>0</v>
      </c>
      <c r="AB175" s="1143"/>
      <c r="AC175" s="505"/>
    </row>
    <row r="176" spans="1:29" s="1626" customFormat="1" ht="23.45" customHeight="1">
      <c r="A176" s="1934"/>
      <c r="B176" s="1145"/>
      <c r="C176" s="465"/>
      <c r="D176" s="453"/>
      <c r="E176" s="454" t="s">
        <v>958</v>
      </c>
      <c r="F176" s="337">
        <f>Y176</f>
        <v>1500</v>
      </c>
      <c r="G176" s="455">
        <v>1500</v>
      </c>
      <c r="H176" s="559"/>
      <c r="I176" s="1127"/>
      <c r="J176" s="1627" t="s">
        <v>1042</v>
      </c>
      <c r="K176" s="1926"/>
      <c r="L176" s="1926"/>
      <c r="M176" s="1926"/>
      <c r="N176" s="1941"/>
      <c r="O176" s="1941"/>
      <c r="P176" s="1941"/>
      <c r="Q176" s="459"/>
      <c r="R176" s="457"/>
      <c r="S176" s="456">
        <v>150000</v>
      </c>
      <c r="T176" s="459" t="s">
        <v>887</v>
      </c>
      <c r="U176" s="459" t="s">
        <v>916</v>
      </c>
      <c r="V176" s="459">
        <v>10</v>
      </c>
      <c r="W176" s="459" t="s">
        <v>954</v>
      </c>
      <c r="X176" s="459" t="s">
        <v>1039</v>
      </c>
      <c r="Y176" s="1674">
        <f t="shared" si="51"/>
        <v>1500</v>
      </c>
      <c r="Z176" s="407">
        <f t="shared" ref="Z176" si="54">S176*V176</f>
        <v>1500000</v>
      </c>
      <c r="AA176" s="1143">
        <f t="shared" si="35"/>
        <v>1500000000</v>
      </c>
      <c r="AB176" s="1143"/>
      <c r="AC176" s="505"/>
    </row>
    <row r="177" spans="1:31" s="504" customFormat="1" ht="23.45" customHeight="1">
      <c r="A177" s="1934"/>
      <c r="B177" s="1145"/>
      <c r="C177" s="1126"/>
      <c r="D177" s="3421" t="s">
        <v>1043</v>
      </c>
      <c r="E177" s="3421"/>
      <c r="F177" s="499">
        <f>SUM(F178:F179)</f>
        <v>15000</v>
      </c>
      <c r="G177" s="499">
        <f>SUM(G178:G179)</f>
        <v>15000</v>
      </c>
      <c r="H177" s="1132">
        <f>F177-G177</f>
        <v>0</v>
      </c>
      <c r="I177" s="1127"/>
      <c r="J177" s="501"/>
      <c r="K177" s="1936"/>
      <c r="L177" s="1936"/>
      <c r="M177" s="1936"/>
      <c r="N177" s="1936"/>
      <c r="O177" s="1936"/>
      <c r="P177" s="484"/>
      <c r="Q177" s="1936"/>
      <c r="R177" s="1146"/>
      <c r="S177" s="484"/>
      <c r="T177" s="1936"/>
      <c r="U177" s="1936"/>
      <c r="V177" s="484"/>
      <c r="W177" s="1936"/>
      <c r="X177" s="502"/>
      <c r="Y177" s="503"/>
      <c r="Z177" s="407">
        <f t="shared" si="44"/>
        <v>0</v>
      </c>
      <c r="AA177" s="1143">
        <f t="shared" si="35"/>
        <v>15000000000</v>
      </c>
      <c r="AB177" s="505"/>
    </row>
    <row r="178" spans="1:31" s="504" customFormat="1" ht="23.45" customHeight="1">
      <c r="A178" s="1934"/>
      <c r="B178" s="1145"/>
      <c r="C178" s="1126"/>
      <c r="D178" s="1131"/>
      <c r="E178" s="1154" t="s">
        <v>1044</v>
      </c>
      <c r="F178" s="337">
        <f t="shared" ref="F178:F179" si="55">Y178</f>
        <v>14000</v>
      </c>
      <c r="G178" s="1141">
        <v>14000</v>
      </c>
      <c r="H178" s="523"/>
      <c r="I178" s="473"/>
      <c r="J178" s="348" t="s">
        <v>5753</v>
      </c>
      <c r="K178" s="1938"/>
      <c r="L178" s="1938"/>
      <c r="M178" s="1938"/>
      <c r="N178" s="1938"/>
      <c r="O178" s="1938"/>
      <c r="P178" s="1938"/>
      <c r="Q178" s="408">
        <v>2</v>
      </c>
      <c r="R178" s="1935" t="s">
        <v>891</v>
      </c>
      <c r="S178" s="524">
        <v>3500000</v>
      </c>
      <c r="T178" s="466" t="s">
        <v>0</v>
      </c>
      <c r="U178" s="1938"/>
      <c r="V178" s="1944">
        <v>2</v>
      </c>
      <c r="W178" s="1944" t="s">
        <v>3</v>
      </c>
      <c r="X178" s="525" t="s">
        <v>1</v>
      </c>
      <c r="Y178" s="1674">
        <f t="shared" ref="Y178:Y179" si="56">Z178/1000</f>
        <v>14000</v>
      </c>
      <c r="Z178" s="407">
        <f t="shared" si="44"/>
        <v>14000000</v>
      </c>
      <c r="AA178" s="1143">
        <f t="shared" si="35"/>
        <v>14000000000</v>
      </c>
      <c r="AB178" s="505"/>
    </row>
    <row r="179" spans="1:31" s="504" customFormat="1" ht="23.45" customHeight="1">
      <c r="A179" s="1934"/>
      <c r="B179" s="1145"/>
      <c r="C179" s="359"/>
      <c r="D179" s="1131"/>
      <c r="E179" s="1154" t="s">
        <v>1045</v>
      </c>
      <c r="F179" s="337">
        <f t="shared" si="55"/>
        <v>1000</v>
      </c>
      <c r="G179" s="1141">
        <v>1000</v>
      </c>
      <c r="H179" s="523"/>
      <c r="I179" s="473"/>
      <c r="J179" s="3373" t="s">
        <v>5754</v>
      </c>
      <c r="K179" s="3374"/>
      <c r="L179" s="3374"/>
      <c r="M179" s="3374"/>
      <c r="N179" s="1928"/>
      <c r="O179" s="1928"/>
      <c r="P179" s="1928"/>
      <c r="Q179" s="372"/>
      <c r="R179" s="1128"/>
      <c r="S179" s="524">
        <v>1000000</v>
      </c>
      <c r="T179" s="466" t="s">
        <v>0</v>
      </c>
      <c r="U179" s="1938"/>
      <c r="V179" s="366">
        <v>1</v>
      </c>
      <c r="W179" s="466" t="s">
        <v>892</v>
      </c>
      <c r="X179" s="525" t="s">
        <v>1</v>
      </c>
      <c r="Y179" s="1674">
        <f t="shared" si="56"/>
        <v>1000</v>
      </c>
      <c r="Z179" s="407">
        <f t="shared" ref="Z179" si="57">S179*V179</f>
        <v>1000000</v>
      </c>
      <c r="AA179" s="1143">
        <f t="shared" si="35"/>
        <v>1000000000</v>
      </c>
      <c r="AB179" s="505"/>
    </row>
    <row r="180" spans="1:31" s="1675" customFormat="1" ht="23.45" customHeight="1">
      <c r="A180" s="1934"/>
      <c r="B180" s="1145"/>
      <c r="C180" s="3277" t="s">
        <v>1046</v>
      </c>
      <c r="D180" s="3271"/>
      <c r="E180" s="3272"/>
      <c r="F180" s="373">
        <f>+F181+F182</f>
        <v>0</v>
      </c>
      <c r="G180" s="373">
        <v>0</v>
      </c>
      <c r="H180" s="1132">
        <f>F180-G180</f>
        <v>0</v>
      </c>
      <c r="I180" s="1127"/>
      <c r="J180" s="1135"/>
      <c r="K180" s="1919"/>
      <c r="L180" s="1919"/>
      <c r="M180" s="1919"/>
      <c r="N180" s="1936"/>
      <c r="O180" s="1936"/>
      <c r="P180" s="1936"/>
      <c r="Q180" s="1136"/>
      <c r="R180" s="1137"/>
      <c r="S180" s="1307"/>
      <c r="T180" s="1136"/>
      <c r="U180" s="1136"/>
      <c r="V180" s="1136"/>
      <c r="W180" s="1136"/>
      <c r="X180" s="1136"/>
      <c r="Y180" s="377"/>
      <c r="Z180" s="407">
        <f t="shared" si="44"/>
        <v>0</v>
      </c>
      <c r="AA180" s="1143">
        <f t="shared" si="35"/>
        <v>0</v>
      </c>
      <c r="AB180" s="1143"/>
      <c r="AC180" s="505"/>
    </row>
    <row r="181" spans="1:31" s="1675" customFormat="1" ht="23.45" customHeight="1">
      <c r="A181" s="1934"/>
      <c r="B181" s="1145"/>
      <c r="C181" s="402"/>
      <c r="D181" s="3273" t="s">
        <v>1047</v>
      </c>
      <c r="E181" s="3274"/>
      <c r="F181" s="455">
        <v>0</v>
      </c>
      <c r="G181" s="455">
        <v>0</v>
      </c>
      <c r="H181" s="1132">
        <f>F181-G181</f>
        <v>0</v>
      </c>
      <c r="I181" s="1127"/>
      <c r="J181" s="501"/>
      <c r="K181" s="1936"/>
      <c r="L181" s="1936"/>
      <c r="M181" s="1936"/>
      <c r="N181" s="1936"/>
      <c r="O181" s="1936"/>
      <c r="P181" s="484"/>
      <c r="Q181" s="1936"/>
      <c r="R181" s="1146"/>
      <c r="S181" s="484"/>
      <c r="T181" s="1936"/>
      <c r="U181" s="1936"/>
      <c r="V181" s="484"/>
      <c r="W181" s="1936"/>
      <c r="X181" s="850"/>
      <c r="Y181" s="503"/>
      <c r="Z181" s="407">
        <f t="shared" si="44"/>
        <v>0</v>
      </c>
      <c r="AA181" s="1143">
        <f t="shared" si="35"/>
        <v>0</v>
      </c>
      <c r="AB181" s="1143"/>
      <c r="AC181" s="505"/>
    </row>
    <row r="182" spans="1:31" s="1675" customFormat="1" ht="23.45" customHeight="1">
      <c r="A182" s="1934"/>
      <c r="B182" s="1145"/>
      <c r="C182" s="402"/>
      <c r="D182" s="3442" t="s">
        <v>1048</v>
      </c>
      <c r="E182" s="3442"/>
      <c r="F182" s="445">
        <v>0</v>
      </c>
      <c r="G182" s="613">
        <v>0</v>
      </c>
      <c r="H182" s="1132">
        <f>F182-G182</f>
        <v>0</v>
      </c>
      <c r="I182" s="1127"/>
      <c r="J182" s="1135"/>
      <c r="K182" s="1919"/>
      <c r="L182" s="1919"/>
      <c r="M182" s="1919"/>
      <c r="N182" s="1936"/>
      <c r="O182" s="1936"/>
      <c r="P182" s="1936"/>
      <c r="Q182" s="1136"/>
      <c r="R182" s="1137"/>
      <c r="S182" s="1136"/>
      <c r="T182" s="1136"/>
      <c r="U182" s="1146"/>
      <c r="V182" s="1136"/>
      <c r="W182" s="1136"/>
      <c r="X182" s="1136"/>
      <c r="Y182" s="377"/>
      <c r="Z182" s="407">
        <f t="shared" si="44"/>
        <v>0</v>
      </c>
      <c r="AA182" s="1143">
        <f t="shared" si="35"/>
        <v>0</v>
      </c>
      <c r="AB182" s="1143"/>
      <c r="AC182" s="505"/>
    </row>
    <row r="183" spans="1:31" s="1675" customFormat="1" ht="23.45" customHeight="1">
      <c r="A183" s="1934"/>
      <c r="B183" s="1145"/>
      <c r="C183" s="3284" t="s">
        <v>2977</v>
      </c>
      <c r="D183" s="3354"/>
      <c r="E183" s="3285"/>
      <c r="F183" s="373">
        <f>SUM(F184)</f>
        <v>50000</v>
      </c>
      <c r="G183" s="373">
        <f>SUM(G184)</f>
        <v>50000</v>
      </c>
      <c r="H183" s="1132">
        <f>F183-G183</f>
        <v>0</v>
      </c>
      <c r="I183" s="1127"/>
      <c r="J183" s="501"/>
      <c r="K183" s="800"/>
      <c r="L183" s="800"/>
      <c r="M183" s="800"/>
      <c r="N183" s="800"/>
      <c r="O183" s="800"/>
      <c r="P183" s="800"/>
      <c r="Q183" s="857"/>
      <c r="R183" s="800"/>
      <c r="S183" s="800"/>
      <c r="T183" s="800"/>
      <c r="U183" s="800"/>
      <c r="V183" s="800"/>
      <c r="W183" s="800"/>
      <c r="X183" s="1936"/>
      <c r="Y183" s="858"/>
      <c r="Z183" s="407">
        <f t="shared" si="44"/>
        <v>0</v>
      </c>
      <c r="AA183" s="1143">
        <f t="shared" si="35"/>
        <v>50000000000</v>
      </c>
      <c r="AB183" s="1143"/>
      <c r="AC183" s="505"/>
    </row>
    <row r="184" spans="1:31" ht="23.45" customHeight="1">
      <c r="A184" s="1934"/>
      <c r="B184" s="1145"/>
      <c r="C184" s="402"/>
      <c r="D184" s="3275" t="s">
        <v>1049</v>
      </c>
      <c r="E184" s="3276"/>
      <c r="F184" s="500">
        <f>SUM(F185:F193)</f>
        <v>50000</v>
      </c>
      <c r="G184" s="500">
        <f>SUM(G185:G193)</f>
        <v>50000</v>
      </c>
      <c r="H184" s="1132">
        <f>F184-G184</f>
        <v>0</v>
      </c>
      <c r="I184" s="1127"/>
      <c r="J184" s="501"/>
      <c r="K184" s="1936"/>
      <c r="L184" s="1936"/>
      <c r="M184" s="1936"/>
      <c r="N184" s="1936"/>
      <c r="O184" s="1936"/>
      <c r="P184" s="484"/>
      <c r="Q184" s="1936"/>
      <c r="R184" s="1146"/>
      <c r="S184" s="484"/>
      <c r="T184" s="1936"/>
      <c r="U184" s="1936"/>
      <c r="V184" s="484"/>
      <c r="W184" s="1936"/>
      <c r="X184" s="850"/>
      <c r="Y184" s="503"/>
      <c r="Z184" s="407">
        <f t="shared" si="44"/>
        <v>0</v>
      </c>
      <c r="AA184" s="1143">
        <f t="shared" si="35"/>
        <v>50000000000</v>
      </c>
      <c r="AC184" s="505"/>
    </row>
    <row r="185" spans="1:31" s="1675" customFormat="1" ht="23.45" customHeight="1">
      <c r="A185" s="1934"/>
      <c r="B185" s="1145"/>
      <c r="C185" s="402"/>
      <c r="D185" s="1131"/>
      <c r="E185" s="1134" t="s">
        <v>1027</v>
      </c>
      <c r="F185" s="337">
        <f>Y185</f>
        <v>5000</v>
      </c>
      <c r="G185" s="1139">
        <v>5000</v>
      </c>
      <c r="H185" s="1147"/>
      <c r="I185" s="1127"/>
      <c r="J185" s="1943" t="s">
        <v>1050</v>
      </c>
      <c r="K185" s="1940"/>
      <c r="L185" s="1940"/>
      <c r="M185" s="1940"/>
      <c r="N185" s="1938"/>
      <c r="O185" s="1938"/>
      <c r="P185" s="1938"/>
      <c r="Q185" s="1956"/>
      <c r="R185" s="1927"/>
      <c r="S185" s="1944">
        <v>2000000000</v>
      </c>
      <c r="T185" s="1944" t="s">
        <v>887</v>
      </c>
      <c r="V185" s="856">
        <v>0.25</v>
      </c>
      <c r="W185" s="1944" t="s">
        <v>1051</v>
      </c>
      <c r="X185" s="1944" t="s">
        <v>889</v>
      </c>
      <c r="Y185" s="1674">
        <f t="shared" ref="Y185:Y193" si="58">Z185/1000</f>
        <v>5000</v>
      </c>
      <c r="Z185" s="407">
        <f>S185*V185/100</f>
        <v>5000000</v>
      </c>
      <c r="AA185" s="1143">
        <f t="shared" si="35"/>
        <v>5000000000</v>
      </c>
      <c r="AB185" s="1143"/>
      <c r="AC185" s="505"/>
    </row>
    <row r="186" spans="1:31" s="1675" customFormat="1" ht="23.45" customHeight="1">
      <c r="A186" s="1934"/>
      <c r="B186" s="1145"/>
      <c r="C186" s="402"/>
      <c r="D186" s="1131"/>
      <c r="E186" s="1134" t="s">
        <v>1052</v>
      </c>
      <c r="F186" s="337">
        <f>Y186</f>
        <v>26800</v>
      </c>
      <c r="G186" s="1139">
        <v>26800</v>
      </c>
      <c r="H186" s="1147"/>
      <c r="I186" s="1127"/>
      <c r="J186" s="1943" t="s">
        <v>895</v>
      </c>
      <c r="K186" s="1940"/>
      <c r="L186" s="1940"/>
      <c r="M186" s="1940"/>
      <c r="N186" s="1938"/>
      <c r="O186" s="1938"/>
      <c r="P186" s="1938"/>
      <c r="Q186" s="1944"/>
      <c r="R186" s="1927"/>
      <c r="S186" s="1944"/>
      <c r="T186" s="1944"/>
      <c r="V186" s="1944"/>
      <c r="W186" s="1944"/>
      <c r="X186" s="1944"/>
      <c r="Y186" s="1674">
        <f t="shared" si="58"/>
        <v>26800</v>
      </c>
      <c r="Z186" s="407">
        <f>SUM(Z187:Z191)</f>
        <v>26800000</v>
      </c>
      <c r="AA186" s="1143">
        <f t="shared" si="35"/>
        <v>26800000000</v>
      </c>
      <c r="AB186" s="1143"/>
      <c r="AC186" s="505"/>
    </row>
    <row r="187" spans="1:31" s="1675" customFormat="1" ht="23.45" customHeight="1">
      <c r="A187" s="1934"/>
      <c r="B187" s="1145"/>
      <c r="C187" s="402"/>
      <c r="D187" s="1131"/>
      <c r="E187" s="1134"/>
      <c r="F187" s="337"/>
      <c r="G187" s="1139"/>
      <c r="H187" s="1147"/>
      <c r="I187" s="1127"/>
      <c r="J187" s="3438" t="s">
        <v>1053</v>
      </c>
      <c r="K187" s="3439"/>
      <c r="L187" s="3439"/>
      <c r="M187" s="3439"/>
      <c r="N187" s="3439"/>
      <c r="O187" s="3439"/>
      <c r="P187" s="3439"/>
      <c r="Q187" s="1944"/>
      <c r="R187" s="1927"/>
      <c r="S187" s="1944">
        <v>700000</v>
      </c>
      <c r="T187" s="1944" t="s">
        <v>887</v>
      </c>
      <c r="V187" s="1944">
        <v>12</v>
      </c>
      <c r="W187" s="1944" t="s">
        <v>888</v>
      </c>
      <c r="X187" s="1944" t="s">
        <v>889</v>
      </c>
      <c r="Y187" s="1674">
        <f t="shared" si="58"/>
        <v>8400</v>
      </c>
      <c r="Z187" s="407">
        <f t="shared" ref="Z187:Z193" si="59">S187*V187</f>
        <v>8400000</v>
      </c>
      <c r="AA187" s="1143">
        <f t="shared" si="35"/>
        <v>0</v>
      </c>
      <c r="AB187" s="1143"/>
      <c r="AC187" s="505"/>
    </row>
    <row r="188" spans="1:31" s="1675" customFormat="1" ht="23.45" customHeight="1">
      <c r="A188" s="1934"/>
      <c r="B188" s="1145"/>
      <c r="C188" s="402"/>
      <c r="D188" s="1131"/>
      <c r="E188" s="1134"/>
      <c r="F188" s="337"/>
      <c r="G188" s="1139"/>
      <c r="H188" s="1147"/>
      <c r="I188" s="1127"/>
      <c r="J188" s="1943" t="s">
        <v>1054</v>
      </c>
      <c r="K188" s="1940"/>
      <c r="L188" s="1940"/>
      <c r="M188" s="1940"/>
      <c r="N188" s="1938"/>
      <c r="O188" s="1938"/>
      <c r="P188" s="1938"/>
      <c r="Q188" s="1944"/>
      <c r="R188" s="1927"/>
      <c r="S188" s="1944">
        <v>3000000</v>
      </c>
      <c r="T188" s="1944" t="s">
        <v>887</v>
      </c>
      <c r="V188" s="1944">
        <v>1</v>
      </c>
      <c r="W188" s="1944" t="s">
        <v>892</v>
      </c>
      <c r="X188" s="1944" t="s">
        <v>889</v>
      </c>
      <c r="Y188" s="1674">
        <f t="shared" si="58"/>
        <v>3000</v>
      </c>
      <c r="Z188" s="407">
        <f t="shared" si="59"/>
        <v>3000000</v>
      </c>
      <c r="AA188" s="1143">
        <f t="shared" si="35"/>
        <v>0</v>
      </c>
      <c r="AB188" s="1143"/>
      <c r="AC188" s="505"/>
      <c r="AE188" s="854"/>
    </row>
    <row r="189" spans="1:31" s="1675" customFormat="1" ht="23.45" customHeight="1">
      <c r="A189" s="1934"/>
      <c r="B189" s="1145"/>
      <c r="C189" s="402"/>
      <c r="D189" s="1131"/>
      <c r="E189" s="1134"/>
      <c r="F189" s="337"/>
      <c r="G189" s="1139"/>
      <c r="H189" s="1147"/>
      <c r="I189" s="1127"/>
      <c r="J189" s="1943" t="s">
        <v>1055</v>
      </c>
      <c r="K189" s="1940"/>
      <c r="L189" s="1940"/>
      <c r="M189" s="1940"/>
      <c r="N189" s="1938"/>
      <c r="O189" s="1938"/>
      <c r="P189" s="1938"/>
      <c r="Q189" s="1944"/>
      <c r="R189" s="1927"/>
      <c r="S189" s="1944">
        <v>1300000</v>
      </c>
      <c r="T189" s="1944" t="s">
        <v>887</v>
      </c>
      <c r="V189" s="1944">
        <v>1</v>
      </c>
      <c r="W189" s="1944" t="s">
        <v>892</v>
      </c>
      <c r="X189" s="1944" t="s">
        <v>889</v>
      </c>
      <c r="Y189" s="1674">
        <f t="shared" si="58"/>
        <v>1300</v>
      </c>
      <c r="Z189" s="407">
        <f t="shared" si="59"/>
        <v>1300000</v>
      </c>
      <c r="AA189" s="1143">
        <f t="shared" si="35"/>
        <v>0</v>
      </c>
      <c r="AB189" s="1143"/>
      <c r="AC189" s="505"/>
    </row>
    <row r="190" spans="1:31" ht="23.45" customHeight="1">
      <c r="A190" s="1934"/>
      <c r="B190" s="1145"/>
      <c r="C190" s="402"/>
      <c r="D190" s="1131"/>
      <c r="E190" s="1134"/>
      <c r="F190" s="337"/>
      <c r="G190" s="1139"/>
      <c r="H190" s="1147"/>
      <c r="I190" s="1127"/>
      <c r="J190" s="1943" t="s">
        <v>1056</v>
      </c>
      <c r="K190" s="1940"/>
      <c r="L190" s="1940"/>
      <c r="M190" s="1940"/>
      <c r="N190" s="1938"/>
      <c r="O190" s="1938"/>
      <c r="P190" s="1938"/>
      <c r="Q190" s="1944"/>
      <c r="R190" s="1927"/>
      <c r="S190" s="1944">
        <v>2500000</v>
      </c>
      <c r="T190" s="1944" t="s">
        <v>887</v>
      </c>
      <c r="U190" s="1675"/>
      <c r="V190" s="1944">
        <v>2</v>
      </c>
      <c r="W190" s="1944" t="s">
        <v>892</v>
      </c>
      <c r="X190" s="1944" t="s">
        <v>889</v>
      </c>
      <c r="Y190" s="1674">
        <f t="shared" si="58"/>
        <v>5000</v>
      </c>
      <c r="Z190" s="407">
        <f t="shared" si="59"/>
        <v>5000000</v>
      </c>
      <c r="AA190" s="1143">
        <f t="shared" si="35"/>
        <v>0</v>
      </c>
      <c r="AC190" s="505"/>
    </row>
    <row r="191" spans="1:31" ht="23.45" customHeight="1">
      <c r="A191" s="1934"/>
      <c r="B191" s="1145"/>
      <c r="C191" s="402"/>
      <c r="D191" s="1131"/>
      <c r="E191" s="1134"/>
      <c r="F191" s="337"/>
      <c r="G191" s="1139"/>
      <c r="H191" s="1147"/>
      <c r="I191" s="1127"/>
      <c r="J191" s="1943" t="s">
        <v>1057</v>
      </c>
      <c r="K191" s="1940"/>
      <c r="L191" s="1940"/>
      <c r="M191" s="1940"/>
      <c r="N191" s="1938"/>
      <c r="O191" s="1938"/>
      <c r="P191" s="1938"/>
      <c r="Q191" s="1944"/>
      <c r="R191" s="1927"/>
      <c r="S191" s="1944">
        <v>9100000</v>
      </c>
      <c r="T191" s="1944" t="s">
        <v>887</v>
      </c>
      <c r="U191" s="1675"/>
      <c r="V191" s="1944">
        <v>1</v>
      </c>
      <c r="W191" s="1944" t="s">
        <v>892</v>
      </c>
      <c r="X191" s="1944" t="s">
        <v>889</v>
      </c>
      <c r="Y191" s="1674">
        <f t="shared" si="58"/>
        <v>9100</v>
      </c>
      <c r="Z191" s="407">
        <f t="shared" si="59"/>
        <v>9100000</v>
      </c>
      <c r="AA191" s="1143">
        <f t="shared" si="35"/>
        <v>0</v>
      </c>
      <c r="AC191" s="505"/>
    </row>
    <row r="192" spans="1:31" ht="23.45" customHeight="1">
      <c r="A192" s="1934"/>
      <c r="B192" s="1145"/>
      <c r="C192" s="402"/>
      <c r="D192" s="1131"/>
      <c r="E192" s="1134" t="s">
        <v>967</v>
      </c>
      <c r="F192" s="337">
        <f>Y192</f>
        <v>13400</v>
      </c>
      <c r="G192" s="1139">
        <v>13400</v>
      </c>
      <c r="H192" s="1147"/>
      <c r="I192" s="1127"/>
      <c r="J192" s="1943" t="s">
        <v>1058</v>
      </c>
      <c r="K192" s="1940"/>
      <c r="L192" s="1940"/>
      <c r="M192" s="1940"/>
      <c r="N192" s="1938"/>
      <c r="O192" s="1938"/>
      <c r="P192" s="1938"/>
      <c r="Q192" s="1944"/>
      <c r="R192" s="1927"/>
      <c r="S192" s="1944">
        <v>67000</v>
      </c>
      <c r="T192" s="1944" t="s">
        <v>887</v>
      </c>
      <c r="U192" s="1675"/>
      <c r="V192" s="1944">
        <v>200</v>
      </c>
      <c r="W192" s="1944" t="s">
        <v>991</v>
      </c>
      <c r="X192" s="1944" t="s">
        <v>889</v>
      </c>
      <c r="Y192" s="1674">
        <f t="shared" si="58"/>
        <v>13400</v>
      </c>
      <c r="Z192" s="407">
        <f t="shared" si="59"/>
        <v>13400000</v>
      </c>
      <c r="AA192" s="1143">
        <f t="shared" si="35"/>
        <v>13400000000</v>
      </c>
      <c r="AC192" s="505"/>
    </row>
    <row r="193" spans="1:29" ht="23.45" customHeight="1">
      <c r="A193" s="1934" t="s">
        <v>917</v>
      </c>
      <c r="B193" s="1145"/>
      <c r="C193" s="402"/>
      <c r="D193" s="1131"/>
      <c r="E193" s="1134" t="s">
        <v>1059</v>
      </c>
      <c r="F193" s="337">
        <f>Y193</f>
        <v>4800</v>
      </c>
      <c r="G193" s="1139">
        <v>4800</v>
      </c>
      <c r="H193" s="1147"/>
      <c r="I193" s="1127"/>
      <c r="J193" s="1943" t="s">
        <v>1060</v>
      </c>
      <c r="K193" s="1940"/>
      <c r="L193" s="1940"/>
      <c r="M193" s="1940"/>
      <c r="N193" s="1938"/>
      <c r="O193" s="1938"/>
      <c r="P193" s="1938"/>
      <c r="Q193" s="1944"/>
      <c r="R193" s="1927"/>
      <c r="S193" s="1944">
        <v>400000</v>
      </c>
      <c r="T193" s="1944" t="s">
        <v>887</v>
      </c>
      <c r="U193" s="1675"/>
      <c r="V193" s="1944">
        <v>12</v>
      </c>
      <c r="W193" s="1944" t="s">
        <v>888</v>
      </c>
      <c r="X193" s="1944" t="s">
        <v>889</v>
      </c>
      <c r="Y193" s="1674">
        <f t="shared" si="58"/>
        <v>4800</v>
      </c>
      <c r="Z193" s="407">
        <f t="shared" si="59"/>
        <v>4800000</v>
      </c>
      <c r="AA193" s="1143">
        <f t="shared" si="35"/>
        <v>4800000000</v>
      </c>
      <c r="AC193" s="505"/>
    </row>
    <row r="194" spans="1:29" s="1675" customFormat="1" ht="23.45" customHeight="1">
      <c r="A194" s="1934"/>
      <c r="B194" s="1145"/>
      <c r="C194" s="1923" t="s">
        <v>1061</v>
      </c>
      <c r="D194" s="1929"/>
      <c r="E194" s="1924"/>
      <c r="F194" s="373">
        <f>F195+F210+F222</f>
        <v>76000</v>
      </c>
      <c r="G194" s="373">
        <f>G195+G210+G222</f>
        <v>76000</v>
      </c>
      <c r="H194" s="1132">
        <f>F194-G194</f>
        <v>0</v>
      </c>
      <c r="I194" s="1127"/>
      <c r="J194" s="501"/>
      <c r="K194" s="800"/>
      <c r="L194" s="800"/>
      <c r="M194" s="800"/>
      <c r="N194" s="800"/>
      <c r="O194" s="800"/>
      <c r="P194" s="800"/>
      <c r="Q194" s="857"/>
      <c r="R194" s="800"/>
      <c r="S194" s="800"/>
      <c r="T194" s="800"/>
      <c r="U194" s="800"/>
      <c r="V194" s="800"/>
      <c r="W194" s="800"/>
      <c r="X194" s="1936"/>
      <c r="Y194" s="858"/>
      <c r="Z194" s="407">
        <f t="shared" si="44"/>
        <v>0</v>
      </c>
      <c r="AA194" s="1143">
        <f t="shared" si="35"/>
        <v>76000000000</v>
      </c>
      <c r="AB194" s="1143"/>
      <c r="AC194" s="505"/>
    </row>
    <row r="195" spans="1:29" s="1675" customFormat="1" ht="23.45" customHeight="1">
      <c r="A195" s="1934"/>
      <c r="B195" s="1145"/>
      <c r="C195" s="402"/>
      <c r="D195" s="3275" t="s">
        <v>1062</v>
      </c>
      <c r="E195" s="3276"/>
      <c r="F195" s="500">
        <f>SUM(F196:F209)</f>
        <v>30000</v>
      </c>
      <c r="G195" s="500">
        <f>SUM(G196:G209)</f>
        <v>30000</v>
      </c>
      <c r="H195" s="352">
        <f>F195-G195</f>
        <v>0</v>
      </c>
      <c r="I195" s="1127"/>
      <c r="J195" s="501"/>
      <c r="K195" s="2896"/>
      <c r="L195" s="2896"/>
      <c r="M195" s="2896"/>
      <c r="N195" s="2896"/>
      <c r="O195" s="2896"/>
      <c r="P195" s="484"/>
      <c r="Q195" s="2896"/>
      <c r="R195" s="1146"/>
      <c r="S195" s="484"/>
      <c r="T195" s="2896"/>
      <c r="U195" s="2896"/>
      <c r="V195" s="484"/>
      <c r="W195" s="2896"/>
      <c r="X195" s="850"/>
      <c r="Y195" s="503"/>
      <c r="Z195" s="407">
        <f t="shared" si="44"/>
        <v>0</v>
      </c>
      <c r="AA195" s="1143">
        <f t="shared" si="35"/>
        <v>30000000000</v>
      </c>
      <c r="AB195" s="1143"/>
      <c r="AC195" s="505"/>
    </row>
    <row r="196" spans="1:29" s="1675" customFormat="1" ht="23.45" customHeight="1">
      <c r="A196" s="1934"/>
      <c r="B196" s="1145"/>
      <c r="C196" s="402"/>
      <c r="D196" s="1131"/>
      <c r="E196" s="510" t="s">
        <v>5117</v>
      </c>
      <c r="F196" s="767">
        <f>Y196</f>
        <v>11500</v>
      </c>
      <c r="G196" s="767">
        <v>11500</v>
      </c>
      <c r="H196" s="2448"/>
      <c r="I196" s="1164"/>
      <c r="J196" s="514" t="s">
        <v>5092</v>
      </c>
      <c r="K196" s="2880" t="s">
        <v>5093</v>
      </c>
      <c r="L196" s="2880"/>
      <c r="M196" s="2894"/>
      <c r="N196" s="2894"/>
      <c r="O196" s="2894"/>
      <c r="P196" s="535"/>
      <c r="Q196" s="2894"/>
      <c r="R196" s="515"/>
      <c r="S196" s="535"/>
      <c r="T196" s="2894"/>
      <c r="U196" s="2894"/>
      <c r="V196" s="535"/>
      <c r="W196" s="2894"/>
      <c r="X196" s="3021"/>
      <c r="Y196" s="636">
        <f t="shared" ref="Y196:Y209" si="60">Z196/1000</f>
        <v>11500</v>
      </c>
      <c r="Z196" s="532">
        <f>SUM(Z197:Z198)</f>
        <v>11500000</v>
      </c>
      <c r="AA196" s="1143"/>
      <c r="AB196" s="1143"/>
      <c r="AC196" s="505"/>
    </row>
    <row r="197" spans="1:29" s="1675" customFormat="1" ht="23.45" customHeight="1">
      <c r="A197" s="1934"/>
      <c r="B197" s="1145"/>
      <c r="C197" s="402"/>
      <c r="D197" s="1131"/>
      <c r="E197" s="510"/>
      <c r="F197" s="767"/>
      <c r="G197" s="767"/>
      <c r="H197" s="2382"/>
      <c r="I197" s="1164"/>
      <c r="J197" s="2879" t="s">
        <v>5094</v>
      </c>
      <c r="K197" s="515"/>
      <c r="L197" s="2880"/>
      <c r="M197" s="2880"/>
      <c r="N197" s="2894"/>
      <c r="O197" s="2894"/>
      <c r="P197" s="2894"/>
      <c r="Q197" s="516" t="s">
        <v>5095</v>
      </c>
      <c r="R197" s="2887" t="s">
        <v>5095</v>
      </c>
      <c r="S197" s="516">
        <v>300</v>
      </c>
      <c r="T197" s="516" t="s">
        <v>5096</v>
      </c>
      <c r="U197" s="515"/>
      <c r="V197" s="516">
        <v>30000</v>
      </c>
      <c r="W197" s="516" t="s">
        <v>5097</v>
      </c>
      <c r="X197" s="516" t="s">
        <v>5098</v>
      </c>
      <c r="Y197" s="636">
        <f t="shared" si="60"/>
        <v>9000</v>
      </c>
      <c r="Z197" s="532">
        <f>S197*V197</f>
        <v>9000000</v>
      </c>
      <c r="AA197" s="1143"/>
      <c r="AB197" s="1143"/>
      <c r="AC197" s="505"/>
    </row>
    <row r="198" spans="1:29" s="1675" customFormat="1" ht="23.45" customHeight="1">
      <c r="A198" s="1934"/>
      <c r="B198" s="1145"/>
      <c r="C198" s="402"/>
      <c r="D198" s="1131"/>
      <c r="E198" s="510"/>
      <c r="F198" s="767"/>
      <c r="G198" s="767"/>
      <c r="H198" s="2382"/>
      <c r="I198" s="1164"/>
      <c r="J198" s="2879" t="s">
        <v>5099</v>
      </c>
      <c r="K198" s="515"/>
      <c r="L198" s="2880"/>
      <c r="M198" s="2880"/>
      <c r="N198" s="2894"/>
      <c r="O198" s="2894"/>
      <c r="P198" s="2894"/>
      <c r="Q198" s="516"/>
      <c r="R198" s="2887"/>
      <c r="S198" s="516">
        <v>25000</v>
      </c>
      <c r="T198" s="516" t="s">
        <v>5096</v>
      </c>
      <c r="U198" s="515"/>
      <c r="V198" s="516">
        <v>100</v>
      </c>
      <c r="W198" s="516" t="s">
        <v>5097</v>
      </c>
      <c r="X198" s="516" t="s">
        <v>5098</v>
      </c>
      <c r="Y198" s="636">
        <f t="shared" si="60"/>
        <v>2500</v>
      </c>
      <c r="Z198" s="532">
        <f t="shared" ref="Z198:Z200" si="61">S198*V198</f>
        <v>2500000</v>
      </c>
      <c r="AA198" s="1143"/>
      <c r="AB198" s="1143"/>
      <c r="AC198" s="505"/>
    </row>
    <row r="199" spans="1:29" s="1675" customFormat="1" ht="23.45" customHeight="1">
      <c r="A199" s="2858"/>
      <c r="B199" s="1145"/>
      <c r="C199" s="402"/>
      <c r="D199" s="1131"/>
      <c r="E199" s="510" t="s">
        <v>5121</v>
      </c>
      <c r="F199" s="767">
        <f t="shared" ref="F199" si="62">Y199</f>
        <v>800</v>
      </c>
      <c r="G199" s="767">
        <v>300</v>
      </c>
      <c r="H199" s="513"/>
      <c r="I199" s="1164"/>
      <c r="J199" s="514" t="s">
        <v>5112</v>
      </c>
      <c r="K199" s="2880"/>
      <c r="L199" s="2880"/>
      <c r="M199" s="2880"/>
      <c r="N199" s="2894"/>
      <c r="O199" s="2894"/>
      <c r="P199" s="2894"/>
      <c r="Q199" s="516"/>
      <c r="R199" s="2887"/>
      <c r="S199" s="727">
        <v>160000</v>
      </c>
      <c r="T199" s="516" t="s">
        <v>5096</v>
      </c>
      <c r="U199" s="516" t="s">
        <v>5107</v>
      </c>
      <c r="V199" s="516">
        <v>5</v>
      </c>
      <c r="W199" s="516" t="s">
        <v>5113</v>
      </c>
      <c r="X199" s="516" t="s">
        <v>5098</v>
      </c>
      <c r="Y199" s="636">
        <f t="shared" ref="Y199" si="63">Z199/1000</f>
        <v>800</v>
      </c>
      <c r="Z199" s="532">
        <f t="shared" si="61"/>
        <v>800000</v>
      </c>
      <c r="AA199" s="1143"/>
      <c r="AB199" s="1143"/>
      <c r="AC199" s="505"/>
    </row>
    <row r="200" spans="1:29" s="1675" customFormat="1" ht="23.45" customHeight="1">
      <c r="A200" s="2858"/>
      <c r="B200" s="1145"/>
      <c r="C200" s="402"/>
      <c r="D200" s="1131"/>
      <c r="E200" s="510" t="s">
        <v>5119</v>
      </c>
      <c r="F200" s="767">
        <f t="shared" ref="F200" si="64">Y200</f>
        <v>3300</v>
      </c>
      <c r="G200" s="767">
        <v>300</v>
      </c>
      <c r="H200" s="2382"/>
      <c r="I200" s="1164"/>
      <c r="J200" s="514" t="s">
        <v>5092</v>
      </c>
      <c r="K200" s="2880" t="s">
        <v>5105</v>
      </c>
      <c r="L200" s="2880"/>
      <c r="M200" s="2880"/>
      <c r="N200" s="2894"/>
      <c r="O200" s="2894"/>
      <c r="P200" s="2894"/>
      <c r="Q200" s="516"/>
      <c r="R200" s="2887"/>
      <c r="S200" s="727">
        <v>300000</v>
      </c>
      <c r="T200" s="516" t="s">
        <v>5101</v>
      </c>
      <c r="U200" s="516"/>
      <c r="V200" s="516">
        <v>11</v>
      </c>
      <c r="W200" s="516" t="s">
        <v>5104</v>
      </c>
      <c r="X200" s="516" t="s">
        <v>5098</v>
      </c>
      <c r="Y200" s="636">
        <f t="shared" ref="Y200" si="65">Z200/1000</f>
        <v>3300</v>
      </c>
      <c r="Z200" s="532">
        <f t="shared" si="61"/>
        <v>3300000</v>
      </c>
      <c r="AA200" s="1143"/>
      <c r="AB200" s="1143"/>
      <c r="AC200" s="505"/>
    </row>
    <row r="201" spans="1:29" s="1675" customFormat="1" ht="23.45" customHeight="1">
      <c r="A201" s="1934"/>
      <c r="B201" s="1145"/>
      <c r="C201" s="402"/>
      <c r="D201" s="1131"/>
      <c r="E201" s="510" t="s">
        <v>5118</v>
      </c>
      <c r="F201" s="767">
        <f t="shared" ref="F201" si="66">Y201</f>
        <v>10200</v>
      </c>
      <c r="G201" s="767">
        <v>15000</v>
      </c>
      <c r="H201" s="2382"/>
      <c r="I201" s="1164"/>
      <c r="J201" s="514" t="s">
        <v>5092</v>
      </c>
      <c r="K201" s="2880" t="s">
        <v>5093</v>
      </c>
      <c r="L201" s="2880"/>
      <c r="M201" s="2880"/>
      <c r="N201" s="2894"/>
      <c r="O201" s="2894"/>
      <c r="P201" s="2894"/>
      <c r="Q201" s="516"/>
      <c r="R201" s="2887"/>
      <c r="S201" s="727"/>
      <c r="T201" s="516"/>
      <c r="U201" s="516"/>
      <c r="V201" s="516"/>
      <c r="W201" s="516"/>
      <c r="X201" s="516"/>
      <c r="Y201" s="636">
        <f t="shared" si="60"/>
        <v>10200</v>
      </c>
      <c r="Z201" s="532">
        <f>SUM(Z202:Z203)</f>
        <v>10200000</v>
      </c>
      <c r="AA201" s="1143"/>
      <c r="AB201" s="1143"/>
      <c r="AC201" s="505"/>
    </row>
    <row r="202" spans="1:29" s="1675" customFormat="1" ht="23.45" customHeight="1">
      <c r="A202" s="1934"/>
      <c r="B202" s="1145"/>
      <c r="C202" s="402"/>
      <c r="D202" s="1131"/>
      <c r="E202" s="510"/>
      <c r="F202" s="767"/>
      <c r="G202" s="767"/>
      <c r="H202" s="513"/>
      <c r="I202" s="1164"/>
      <c r="J202" s="2879" t="s">
        <v>5100</v>
      </c>
      <c r="K202" s="515"/>
      <c r="L202" s="2880"/>
      <c r="M202" s="2880"/>
      <c r="N202" s="2894"/>
      <c r="O202" s="2894"/>
      <c r="P202" s="2894"/>
      <c r="Q202" s="516"/>
      <c r="R202" s="2887"/>
      <c r="S202" s="727">
        <v>550000</v>
      </c>
      <c r="T202" s="516" t="s">
        <v>5101</v>
      </c>
      <c r="U202" s="516"/>
      <c r="V202" s="516">
        <v>12</v>
      </c>
      <c r="W202" s="516" t="s">
        <v>5102</v>
      </c>
      <c r="X202" s="516" t="s">
        <v>5098</v>
      </c>
      <c r="Y202" s="636">
        <f t="shared" si="60"/>
        <v>6600</v>
      </c>
      <c r="Z202" s="532">
        <f t="shared" ref="Z202:Z203" si="67">S202*V202</f>
        <v>6600000</v>
      </c>
      <c r="AA202" s="1143"/>
      <c r="AB202" s="1143"/>
      <c r="AC202" s="505"/>
    </row>
    <row r="203" spans="1:29" s="1675" customFormat="1" ht="23.45" customHeight="1">
      <c r="A203" s="1934"/>
      <c r="B203" s="1145"/>
      <c r="C203" s="402"/>
      <c r="D203" s="1131"/>
      <c r="E203" s="510"/>
      <c r="F203" s="767"/>
      <c r="G203" s="767"/>
      <c r="H203" s="513"/>
      <c r="I203" s="1164"/>
      <c r="J203" s="2879" t="s">
        <v>5103</v>
      </c>
      <c r="K203" s="515"/>
      <c r="L203" s="2880"/>
      <c r="M203" s="2880"/>
      <c r="N203" s="2894"/>
      <c r="O203" s="2894"/>
      <c r="P203" s="2894"/>
      <c r="Q203" s="516"/>
      <c r="R203" s="2887"/>
      <c r="S203" s="727">
        <v>3600000</v>
      </c>
      <c r="T203" s="516" t="s">
        <v>5101</v>
      </c>
      <c r="U203" s="516"/>
      <c r="V203" s="516">
        <v>1</v>
      </c>
      <c r="W203" s="516" t="s">
        <v>5104</v>
      </c>
      <c r="X203" s="516" t="s">
        <v>5098</v>
      </c>
      <c r="Y203" s="636">
        <f t="shared" si="60"/>
        <v>3600</v>
      </c>
      <c r="Z203" s="532">
        <f t="shared" si="67"/>
        <v>3600000</v>
      </c>
      <c r="AA203" s="1143"/>
      <c r="AB203" s="1143"/>
      <c r="AC203" s="505"/>
    </row>
    <row r="204" spans="1:29" s="1675" customFormat="1" ht="23.45" customHeight="1">
      <c r="A204" s="1934"/>
      <c r="B204" s="1145"/>
      <c r="C204" s="402"/>
      <c r="D204" s="1131"/>
      <c r="E204" s="510" t="s">
        <v>5122</v>
      </c>
      <c r="F204" s="767">
        <f t="shared" ref="F204:F209" si="68">Y204</f>
        <v>700</v>
      </c>
      <c r="G204" s="767">
        <v>200</v>
      </c>
      <c r="H204" s="513"/>
      <c r="I204" s="1164"/>
      <c r="J204" s="514" t="s">
        <v>5114</v>
      </c>
      <c r="K204" s="2880"/>
      <c r="L204" s="2880"/>
      <c r="M204" s="2880"/>
      <c r="N204" s="2894"/>
      <c r="O204" s="2894"/>
      <c r="P204" s="2894"/>
      <c r="Q204" s="516"/>
      <c r="R204" s="2887"/>
      <c r="S204" s="727">
        <v>1000</v>
      </c>
      <c r="T204" s="516" t="s">
        <v>5101</v>
      </c>
      <c r="U204" s="516"/>
      <c r="V204" s="516">
        <v>700</v>
      </c>
      <c r="W204" s="516" t="s">
        <v>5104</v>
      </c>
      <c r="X204" s="516" t="s">
        <v>5098</v>
      </c>
      <c r="Y204" s="636">
        <f t="shared" si="60"/>
        <v>700</v>
      </c>
      <c r="Z204" s="532">
        <f t="shared" ref="Z204:Z209" si="69">S204*V204</f>
        <v>700000</v>
      </c>
      <c r="AA204" s="1143"/>
      <c r="AB204" s="1143"/>
      <c r="AC204" s="505"/>
    </row>
    <row r="205" spans="1:29" s="1675" customFormat="1" ht="23.45" customHeight="1">
      <c r="A205" s="2858"/>
      <c r="B205" s="1145"/>
      <c r="C205" s="402"/>
      <c r="D205" s="1131"/>
      <c r="E205" s="510" t="s">
        <v>5120</v>
      </c>
      <c r="F205" s="767">
        <f t="shared" si="68"/>
        <v>2600</v>
      </c>
      <c r="G205" s="767">
        <v>2600</v>
      </c>
      <c r="H205" s="513"/>
      <c r="I205" s="1164"/>
      <c r="J205" s="514" t="s">
        <v>5092</v>
      </c>
      <c r="K205" s="2880"/>
      <c r="L205" s="2880"/>
      <c r="M205" s="2880"/>
      <c r="N205" s="2894"/>
      <c r="O205" s="2894"/>
      <c r="P205" s="2894"/>
      <c r="Q205" s="516"/>
      <c r="R205" s="2887"/>
      <c r="S205" s="727"/>
      <c r="T205" s="516"/>
      <c r="U205" s="516"/>
      <c r="V205" s="516"/>
      <c r="W205" s="516"/>
      <c r="X205" s="516"/>
      <c r="Y205" s="636">
        <f t="shared" ref="Y205:Y208" si="70">Z205/1000</f>
        <v>2600</v>
      </c>
      <c r="Z205" s="532">
        <f>SUM(Z206:Z208)</f>
        <v>2600000</v>
      </c>
      <c r="AA205" s="1143"/>
      <c r="AB205" s="1143"/>
      <c r="AC205" s="505"/>
    </row>
    <row r="206" spans="1:29" s="1675" customFormat="1" ht="23.45" customHeight="1">
      <c r="A206" s="2858"/>
      <c r="B206" s="1145"/>
      <c r="C206" s="402"/>
      <c r="D206" s="1131"/>
      <c r="E206" s="510"/>
      <c r="F206" s="767"/>
      <c r="G206" s="767"/>
      <c r="H206" s="513"/>
      <c r="I206" s="1164"/>
      <c r="J206" s="514" t="s">
        <v>5106</v>
      </c>
      <c r="K206" s="2880"/>
      <c r="L206" s="2880"/>
      <c r="M206" s="2880"/>
      <c r="N206" s="2894"/>
      <c r="O206" s="2894"/>
      <c r="P206" s="2894"/>
      <c r="Q206" s="516"/>
      <c r="R206" s="2887"/>
      <c r="S206" s="727">
        <v>50000</v>
      </c>
      <c r="T206" s="516" t="s">
        <v>5096</v>
      </c>
      <c r="U206" s="516" t="s">
        <v>5107</v>
      </c>
      <c r="V206" s="516">
        <v>20</v>
      </c>
      <c r="W206" s="516" t="s">
        <v>5108</v>
      </c>
      <c r="X206" s="516" t="s">
        <v>5098</v>
      </c>
      <c r="Y206" s="636">
        <f t="shared" si="70"/>
        <v>1000</v>
      </c>
      <c r="Z206" s="532">
        <f t="shared" ref="Z206:Z208" si="71">S206*V206</f>
        <v>1000000</v>
      </c>
      <c r="AA206" s="1143"/>
      <c r="AB206" s="1143"/>
      <c r="AC206" s="505"/>
    </row>
    <row r="207" spans="1:29" s="1675" customFormat="1" ht="23.45" customHeight="1">
      <c r="A207" s="2858"/>
      <c r="B207" s="1145"/>
      <c r="C207" s="402"/>
      <c r="D207" s="1131"/>
      <c r="E207" s="510"/>
      <c r="F207" s="767"/>
      <c r="G207" s="767"/>
      <c r="H207" s="513"/>
      <c r="I207" s="1164"/>
      <c r="J207" s="514" t="s">
        <v>5109</v>
      </c>
      <c r="K207" s="2880"/>
      <c r="L207" s="2880"/>
      <c r="M207" s="2880"/>
      <c r="N207" s="2894"/>
      <c r="O207" s="2894"/>
      <c r="P207" s="2894"/>
      <c r="Q207" s="516"/>
      <c r="R207" s="2887"/>
      <c r="S207" s="727">
        <v>1000000</v>
      </c>
      <c r="T207" s="516" t="s">
        <v>5096</v>
      </c>
      <c r="U207" s="516"/>
      <c r="V207" s="516">
        <v>1</v>
      </c>
      <c r="W207" s="516" t="s">
        <v>5110</v>
      </c>
      <c r="X207" s="516" t="s">
        <v>5098</v>
      </c>
      <c r="Y207" s="636">
        <f t="shared" si="70"/>
        <v>1000</v>
      </c>
      <c r="Z207" s="532">
        <f t="shared" si="71"/>
        <v>1000000</v>
      </c>
      <c r="AA207" s="1143"/>
      <c r="AB207" s="1143"/>
      <c r="AC207" s="505"/>
    </row>
    <row r="208" spans="1:29" s="1675" customFormat="1" ht="23.45" customHeight="1">
      <c r="A208" s="2858"/>
      <c r="B208" s="1145"/>
      <c r="C208" s="402"/>
      <c r="D208" s="1131"/>
      <c r="E208" s="510"/>
      <c r="F208" s="767"/>
      <c r="G208" s="767"/>
      <c r="H208" s="513"/>
      <c r="I208" s="1164"/>
      <c r="J208" s="514" t="s">
        <v>5111</v>
      </c>
      <c r="K208" s="2880"/>
      <c r="L208" s="2880"/>
      <c r="M208" s="2880"/>
      <c r="N208" s="2894"/>
      <c r="O208" s="2894"/>
      <c r="P208" s="2894"/>
      <c r="Q208" s="516"/>
      <c r="R208" s="2887"/>
      <c r="S208" s="727">
        <v>300000</v>
      </c>
      <c r="T208" s="516" t="s">
        <v>5096</v>
      </c>
      <c r="U208" s="516"/>
      <c r="V208" s="516">
        <v>2</v>
      </c>
      <c r="W208" s="516" t="s">
        <v>5104</v>
      </c>
      <c r="X208" s="516" t="s">
        <v>5098</v>
      </c>
      <c r="Y208" s="636">
        <f t="shared" si="70"/>
        <v>600</v>
      </c>
      <c r="Z208" s="532">
        <f t="shared" si="71"/>
        <v>600000</v>
      </c>
      <c r="AA208" s="1143"/>
      <c r="AB208" s="1143"/>
      <c r="AC208" s="505"/>
    </row>
    <row r="209" spans="1:29" s="1675" customFormat="1" ht="23.45" customHeight="1">
      <c r="A209" s="1934"/>
      <c r="B209" s="1145"/>
      <c r="C209" s="402"/>
      <c r="D209" s="1131"/>
      <c r="E209" s="510" t="s">
        <v>5123</v>
      </c>
      <c r="F209" s="767">
        <f t="shared" si="68"/>
        <v>900</v>
      </c>
      <c r="G209" s="767">
        <v>100</v>
      </c>
      <c r="H209" s="2382"/>
      <c r="I209" s="1164"/>
      <c r="J209" s="514" t="s">
        <v>5115</v>
      </c>
      <c r="K209" s="2880"/>
      <c r="L209" s="2880"/>
      <c r="M209" s="2880"/>
      <c r="N209" s="2894"/>
      <c r="O209" s="2894"/>
      <c r="P209" s="2894"/>
      <c r="Q209" s="516"/>
      <c r="R209" s="2887"/>
      <c r="S209" s="516">
        <v>20000</v>
      </c>
      <c r="T209" s="516" t="s">
        <v>5096</v>
      </c>
      <c r="U209" s="515"/>
      <c r="V209" s="516">
        <v>45</v>
      </c>
      <c r="W209" s="516" t="s">
        <v>5116</v>
      </c>
      <c r="X209" s="516" t="s">
        <v>5098</v>
      </c>
      <c r="Y209" s="636">
        <f t="shared" si="60"/>
        <v>900</v>
      </c>
      <c r="Z209" s="532">
        <f t="shared" si="69"/>
        <v>900000</v>
      </c>
      <c r="AA209" s="1143"/>
      <c r="AB209" s="1143"/>
      <c r="AC209" s="505"/>
    </row>
    <row r="210" spans="1:29" s="1675" customFormat="1" ht="21.95" customHeight="1">
      <c r="A210" s="1934"/>
      <c r="B210" s="1145"/>
      <c r="C210" s="402"/>
      <c r="D210" s="3371" t="s">
        <v>3312</v>
      </c>
      <c r="E210" s="3372"/>
      <c r="F210" s="3022">
        <f>SUM(F211:F221)</f>
        <v>36000</v>
      </c>
      <c r="G210" s="3022">
        <f>SUM(G211:G221)</f>
        <v>36000</v>
      </c>
      <c r="H210" s="689">
        <f>F210-G210</f>
        <v>0</v>
      </c>
      <c r="I210" s="1164"/>
      <c r="J210" s="2369"/>
      <c r="K210" s="2640"/>
      <c r="L210" s="2640"/>
      <c r="M210" s="2640"/>
      <c r="N210" s="2640"/>
      <c r="O210" s="2640"/>
      <c r="P210" s="731"/>
      <c r="Q210" s="2640"/>
      <c r="R210" s="2379"/>
      <c r="S210" s="731"/>
      <c r="T210" s="2640"/>
      <c r="U210" s="2640"/>
      <c r="V210" s="731"/>
      <c r="W210" s="2640"/>
      <c r="X210" s="3023"/>
      <c r="Y210" s="696"/>
      <c r="Z210" s="532">
        <f t="shared" si="44"/>
        <v>0</v>
      </c>
      <c r="AA210" s="1143">
        <f t="shared" ref="AA210:AA260" si="72">F210*1000000</f>
        <v>36000000000</v>
      </c>
      <c r="AB210" s="1143"/>
      <c r="AC210" s="505"/>
    </row>
    <row r="211" spans="1:29" s="1675" customFormat="1" ht="21.95" customHeight="1">
      <c r="A211" s="1934"/>
      <c r="B211" s="1145"/>
      <c r="C211" s="402"/>
      <c r="D211" s="509"/>
      <c r="E211" s="510" t="s">
        <v>322</v>
      </c>
      <c r="F211" s="767">
        <f t="shared" ref="F211:F214" si="73">Y211</f>
        <v>0</v>
      </c>
      <c r="G211" s="512">
        <v>1000</v>
      </c>
      <c r="H211" s="513">
        <f t="shared" ref="H211" si="74">F211-G211</f>
        <v>-1000</v>
      </c>
      <c r="I211" s="1164"/>
      <c r="J211" s="514" t="s">
        <v>5124</v>
      </c>
      <c r="K211" s="2894"/>
      <c r="L211" s="2894"/>
      <c r="M211" s="514"/>
      <c r="N211" s="2894"/>
      <c r="O211" s="2894"/>
      <c r="P211" s="2894"/>
      <c r="Q211" s="516"/>
      <c r="R211" s="2887"/>
      <c r="S211" s="1686"/>
      <c r="T211" s="1685"/>
      <c r="U211" s="1685"/>
      <c r="V211" s="1685"/>
      <c r="W211" s="1685"/>
      <c r="X211" s="1685"/>
      <c r="Y211" s="636"/>
      <c r="Z211" s="532">
        <f t="shared" ref="Z211" si="75">S211*V211</f>
        <v>0</v>
      </c>
      <c r="AA211" s="1143">
        <f t="shared" si="72"/>
        <v>0</v>
      </c>
      <c r="AB211" s="1143"/>
      <c r="AC211" s="505"/>
    </row>
    <row r="212" spans="1:29" s="1675" customFormat="1" ht="21.95" customHeight="1">
      <c r="A212" s="1934"/>
      <c r="B212" s="1145"/>
      <c r="C212" s="402"/>
      <c r="D212" s="509"/>
      <c r="E212" s="510" t="s">
        <v>988</v>
      </c>
      <c r="F212" s="767">
        <f t="shared" si="73"/>
        <v>180</v>
      </c>
      <c r="G212" s="512">
        <v>180</v>
      </c>
      <c r="H212" s="513"/>
      <c r="I212" s="1164"/>
      <c r="J212" s="514" t="s">
        <v>1064</v>
      </c>
      <c r="K212" s="2880"/>
      <c r="L212" s="2880"/>
      <c r="M212" s="2880"/>
      <c r="N212" s="2894"/>
      <c r="O212" s="2894"/>
      <c r="P212" s="2894"/>
      <c r="Q212" s="516">
        <v>30</v>
      </c>
      <c r="R212" s="2887" t="s">
        <v>33</v>
      </c>
      <c r="S212" s="727">
        <v>3000</v>
      </c>
      <c r="T212" s="516" t="s">
        <v>264</v>
      </c>
      <c r="U212" s="516" t="s">
        <v>601</v>
      </c>
      <c r="V212" s="516">
        <v>2</v>
      </c>
      <c r="W212" s="516" t="s">
        <v>203</v>
      </c>
      <c r="X212" s="516" t="s">
        <v>266</v>
      </c>
      <c r="Y212" s="636">
        <f t="shared" ref="Y212:Y221" si="76">Z212/1000</f>
        <v>180</v>
      </c>
      <c r="Z212" s="532">
        <f t="shared" ref="Z212" si="77">Q212*S212*V212</f>
        <v>180000</v>
      </c>
      <c r="AA212" s="1143">
        <f t="shared" si="72"/>
        <v>180000000</v>
      </c>
      <c r="AB212" s="1143"/>
      <c r="AC212" s="505"/>
    </row>
    <row r="213" spans="1:29" s="1675" customFormat="1" ht="21.95" customHeight="1">
      <c r="A213" s="1934"/>
      <c r="B213" s="1145"/>
      <c r="C213" s="402"/>
      <c r="D213" s="509"/>
      <c r="E213" s="510" t="s">
        <v>950</v>
      </c>
      <c r="F213" s="767">
        <f t="shared" si="73"/>
        <v>1970</v>
      </c>
      <c r="G213" s="512">
        <v>1970</v>
      </c>
      <c r="H213" s="513"/>
      <c r="I213" s="1164"/>
      <c r="J213" s="514" t="s">
        <v>1065</v>
      </c>
      <c r="K213" s="2880"/>
      <c r="L213" s="2880"/>
      <c r="M213" s="2880"/>
      <c r="N213" s="2894"/>
      <c r="O213" s="2894"/>
      <c r="P213" s="2894"/>
      <c r="Q213" s="516"/>
      <c r="R213" s="2887"/>
      <c r="S213" s="516">
        <v>1970000</v>
      </c>
      <c r="T213" s="516" t="s">
        <v>264</v>
      </c>
      <c r="U213" s="515"/>
      <c r="V213" s="516">
        <v>1</v>
      </c>
      <c r="W213" s="516" t="s">
        <v>203</v>
      </c>
      <c r="X213" s="516" t="s">
        <v>266</v>
      </c>
      <c r="Y213" s="636">
        <f t="shared" si="76"/>
        <v>1970</v>
      </c>
      <c r="Z213" s="532">
        <f t="shared" ref="Z213" si="78">S213*V213</f>
        <v>1970000</v>
      </c>
      <c r="AA213" s="1143">
        <f t="shared" si="72"/>
        <v>1970000000</v>
      </c>
      <c r="AB213" s="1143"/>
      <c r="AC213" s="505"/>
    </row>
    <row r="214" spans="1:29" s="1675" customFormat="1" ht="21.95" customHeight="1">
      <c r="A214" s="1934"/>
      <c r="B214" s="1145"/>
      <c r="C214" s="402"/>
      <c r="D214" s="509"/>
      <c r="E214" s="510" t="s">
        <v>213</v>
      </c>
      <c r="F214" s="767">
        <f t="shared" si="73"/>
        <v>26250</v>
      </c>
      <c r="G214" s="512">
        <v>26250</v>
      </c>
      <c r="H214" s="513"/>
      <c r="I214" s="1164"/>
      <c r="J214" s="514" t="s">
        <v>729</v>
      </c>
      <c r="K214" s="2880"/>
      <c r="L214" s="2880"/>
      <c r="M214" s="2880"/>
      <c r="N214" s="2894"/>
      <c r="O214" s="2894"/>
      <c r="P214" s="2894"/>
      <c r="Q214" s="516" t="s">
        <v>267</v>
      </c>
      <c r="R214" s="2887" t="s">
        <v>267</v>
      </c>
      <c r="S214" s="516"/>
      <c r="T214" s="516"/>
      <c r="U214" s="515"/>
      <c r="V214" s="516"/>
      <c r="W214" s="516"/>
      <c r="X214" s="516"/>
      <c r="Y214" s="636">
        <f t="shared" si="76"/>
        <v>26250</v>
      </c>
      <c r="Z214" s="532">
        <f>Z215+Z216+Z217</f>
        <v>26250000</v>
      </c>
      <c r="AA214" s="1143">
        <f t="shared" si="72"/>
        <v>26250000000</v>
      </c>
      <c r="AB214" s="1143"/>
      <c r="AC214" s="505"/>
    </row>
    <row r="215" spans="1:29" s="1675" customFormat="1" ht="21.95" customHeight="1">
      <c r="A215" s="2892"/>
      <c r="B215" s="1145"/>
      <c r="C215" s="402"/>
      <c r="D215" s="509"/>
      <c r="E215" s="510"/>
      <c r="F215" s="767"/>
      <c r="G215" s="512"/>
      <c r="H215" s="513"/>
      <c r="I215" s="1164"/>
      <c r="J215" s="514" t="s">
        <v>1071</v>
      </c>
      <c r="K215" s="2880"/>
      <c r="L215" s="2880"/>
      <c r="M215" s="2880"/>
      <c r="N215" s="2894"/>
      <c r="O215" s="2894"/>
      <c r="P215" s="2894"/>
      <c r="Q215" s="516">
        <v>5</v>
      </c>
      <c r="R215" s="2887" t="s">
        <v>33</v>
      </c>
      <c r="S215" s="1686">
        <v>15000</v>
      </c>
      <c r="T215" s="1685" t="s">
        <v>264</v>
      </c>
      <c r="U215" s="1685"/>
      <c r="V215" s="1685">
        <v>330</v>
      </c>
      <c r="W215" s="1685" t="s">
        <v>693</v>
      </c>
      <c r="X215" s="1685" t="s">
        <v>266</v>
      </c>
      <c r="Y215" s="636">
        <f t="shared" si="76"/>
        <v>24750</v>
      </c>
      <c r="Z215" s="532">
        <f>Q215*S215*V215</f>
        <v>24750000</v>
      </c>
      <c r="AA215" s="1143"/>
      <c r="AB215" s="1143"/>
      <c r="AC215" s="505"/>
    </row>
    <row r="216" spans="1:29" s="1675" customFormat="1" ht="21.95" customHeight="1">
      <c r="A216" s="1934"/>
      <c r="B216" s="1145"/>
      <c r="C216" s="402"/>
      <c r="D216" s="509"/>
      <c r="E216" s="510"/>
      <c r="F216" s="767"/>
      <c r="G216" s="512"/>
      <c r="H216" s="513"/>
      <c r="I216" s="1164"/>
      <c r="J216" s="514" t="s">
        <v>1073</v>
      </c>
      <c r="K216" s="2880"/>
      <c r="L216" s="2880"/>
      <c r="M216" s="2880"/>
      <c r="N216" s="2894"/>
      <c r="O216" s="2894"/>
      <c r="P216" s="2894"/>
      <c r="Q216" s="516">
        <v>1</v>
      </c>
      <c r="R216" s="2887" t="s">
        <v>33</v>
      </c>
      <c r="S216" s="1686">
        <v>300000</v>
      </c>
      <c r="T216" s="1685" t="s">
        <v>264</v>
      </c>
      <c r="U216" s="1685"/>
      <c r="V216" s="1685">
        <v>3</v>
      </c>
      <c r="W216" s="1685" t="s">
        <v>265</v>
      </c>
      <c r="X216" s="1685" t="s">
        <v>266</v>
      </c>
      <c r="Y216" s="636">
        <f t="shared" si="76"/>
        <v>900</v>
      </c>
      <c r="Z216" s="532">
        <f t="shared" ref="Z216:Z219" si="79">Q216*S216*V216</f>
        <v>900000</v>
      </c>
      <c r="AA216" s="1143">
        <f t="shared" si="72"/>
        <v>0</v>
      </c>
      <c r="AB216" s="1143"/>
      <c r="AC216" s="505"/>
    </row>
    <row r="217" spans="1:29" s="1675" customFormat="1" ht="21.95" customHeight="1">
      <c r="A217" s="1934"/>
      <c r="B217" s="1145"/>
      <c r="C217" s="402"/>
      <c r="D217" s="509"/>
      <c r="E217" s="510"/>
      <c r="F217" s="767"/>
      <c r="G217" s="512"/>
      <c r="H217" s="513"/>
      <c r="I217" s="1164"/>
      <c r="J217" s="514" t="s">
        <v>1075</v>
      </c>
      <c r="K217" s="2880"/>
      <c r="L217" s="2880"/>
      <c r="M217" s="2880"/>
      <c r="N217" s="2894"/>
      <c r="O217" s="2894"/>
      <c r="P217" s="2894"/>
      <c r="Q217" s="516">
        <v>1</v>
      </c>
      <c r="R217" s="2887" t="s">
        <v>33</v>
      </c>
      <c r="S217" s="1686">
        <v>200000</v>
      </c>
      <c r="T217" s="1685" t="s">
        <v>264</v>
      </c>
      <c r="U217" s="1685"/>
      <c r="V217" s="1685">
        <v>3</v>
      </c>
      <c r="W217" s="1685" t="s">
        <v>265</v>
      </c>
      <c r="X217" s="1685" t="s">
        <v>266</v>
      </c>
      <c r="Y217" s="636">
        <f t="shared" si="76"/>
        <v>600</v>
      </c>
      <c r="Z217" s="532">
        <f t="shared" si="79"/>
        <v>600000</v>
      </c>
      <c r="AA217" s="1143">
        <f t="shared" si="72"/>
        <v>0</v>
      </c>
      <c r="AB217" s="1143"/>
      <c r="AC217" s="505"/>
    </row>
    <row r="218" spans="1:29" s="1675" customFormat="1" ht="21.95" customHeight="1">
      <c r="A218" s="2892"/>
      <c r="B218" s="1145"/>
      <c r="C218" s="402"/>
      <c r="D218" s="509"/>
      <c r="E218" s="888" t="s">
        <v>223</v>
      </c>
      <c r="F218" s="767">
        <f t="shared" ref="F218" si="80">Y218</f>
        <v>1600</v>
      </c>
      <c r="G218" s="512">
        <v>1800</v>
      </c>
      <c r="H218" s="513">
        <f t="shared" ref="H218" si="81">F218-G218</f>
        <v>-200</v>
      </c>
      <c r="I218" s="1164"/>
      <c r="J218" s="514" t="s">
        <v>5243</v>
      </c>
      <c r="K218" s="2880"/>
      <c r="L218" s="2880"/>
      <c r="M218" s="2880"/>
      <c r="N218" s="2894"/>
      <c r="O218" s="2894"/>
      <c r="P218" s="2894"/>
      <c r="Q218" s="516">
        <v>1</v>
      </c>
      <c r="R218" s="2887" t="s">
        <v>693</v>
      </c>
      <c r="S218" s="727">
        <v>800000</v>
      </c>
      <c r="T218" s="516" t="s">
        <v>273</v>
      </c>
      <c r="U218" s="516"/>
      <c r="V218" s="516">
        <v>2</v>
      </c>
      <c r="W218" s="516" t="s">
        <v>693</v>
      </c>
      <c r="X218" s="516" t="s">
        <v>266</v>
      </c>
      <c r="Y218" s="636">
        <f t="shared" ref="Y218" si="82">Z218/1000</f>
        <v>1600</v>
      </c>
      <c r="Z218" s="532">
        <f t="shared" si="79"/>
        <v>1600000</v>
      </c>
      <c r="AA218" s="1143">
        <f t="shared" ref="AA218" si="83">F218*1000000</f>
        <v>1600000000</v>
      </c>
      <c r="AB218" s="1143"/>
      <c r="AC218" s="505"/>
    </row>
    <row r="219" spans="1:29" s="1675" customFormat="1" ht="21.95" customHeight="1">
      <c r="A219" s="2892"/>
      <c r="B219" s="1145"/>
      <c r="C219" s="402"/>
      <c r="D219" s="509"/>
      <c r="E219" s="510" t="s">
        <v>1079</v>
      </c>
      <c r="F219" s="767">
        <f t="shared" ref="F219" si="84">Y219</f>
        <v>1800</v>
      </c>
      <c r="G219" s="512">
        <v>1800</v>
      </c>
      <c r="H219" s="513"/>
      <c r="I219" s="1164"/>
      <c r="J219" s="514" t="s">
        <v>1080</v>
      </c>
      <c r="K219" s="2880"/>
      <c r="L219" s="2880"/>
      <c r="M219" s="2880"/>
      <c r="N219" s="2894"/>
      <c r="O219" s="2894"/>
      <c r="P219" s="2894"/>
      <c r="Q219" s="516">
        <v>30</v>
      </c>
      <c r="R219" s="2887" t="s">
        <v>33</v>
      </c>
      <c r="S219" s="727">
        <v>30000</v>
      </c>
      <c r="T219" s="516" t="s">
        <v>264</v>
      </c>
      <c r="U219" s="516" t="s">
        <v>601</v>
      </c>
      <c r="V219" s="516">
        <v>2</v>
      </c>
      <c r="W219" s="516" t="s">
        <v>1081</v>
      </c>
      <c r="X219" s="516" t="s">
        <v>266</v>
      </c>
      <c r="Y219" s="636">
        <f t="shared" ref="Y219" si="85">Z219/1000</f>
        <v>1800</v>
      </c>
      <c r="Z219" s="532">
        <f t="shared" si="79"/>
        <v>1800000</v>
      </c>
      <c r="AA219" s="1143">
        <f t="shared" ref="AA219" si="86">F219*1000000</f>
        <v>1800000000</v>
      </c>
      <c r="AB219" s="1143"/>
      <c r="AC219" s="505"/>
    </row>
    <row r="220" spans="1:29" s="1675" customFormat="1" ht="21.95" customHeight="1">
      <c r="A220" s="1934"/>
      <c r="B220" s="1145"/>
      <c r="C220" s="402"/>
      <c r="D220" s="509"/>
      <c r="E220" s="510" t="s">
        <v>958</v>
      </c>
      <c r="F220" s="767">
        <f t="shared" ref="F220:F221" si="87">Y220</f>
        <v>2400</v>
      </c>
      <c r="G220" s="512">
        <v>0</v>
      </c>
      <c r="H220" s="513">
        <f>F220-G220</f>
        <v>2400</v>
      </c>
      <c r="I220" s="1164"/>
      <c r="J220" s="514" t="s">
        <v>1076</v>
      </c>
      <c r="K220" s="2880"/>
      <c r="L220" s="2880"/>
      <c r="M220" s="2880"/>
      <c r="N220" s="2894"/>
      <c r="O220" s="2894"/>
      <c r="P220" s="2894"/>
      <c r="Q220" s="516"/>
      <c r="R220" s="2887"/>
      <c r="S220" s="1686">
        <v>240000</v>
      </c>
      <c r="T220" s="1685" t="s">
        <v>264</v>
      </c>
      <c r="U220" s="1685"/>
      <c r="V220" s="1685">
        <v>10</v>
      </c>
      <c r="W220" s="1685" t="s">
        <v>265</v>
      </c>
      <c r="X220" s="1685" t="s">
        <v>266</v>
      </c>
      <c r="Y220" s="636">
        <f t="shared" si="76"/>
        <v>2400</v>
      </c>
      <c r="Z220" s="532">
        <f>S220*V220</f>
        <v>2400000</v>
      </c>
      <c r="AA220" s="1143">
        <f t="shared" si="72"/>
        <v>2400000000</v>
      </c>
      <c r="AB220" s="1143"/>
      <c r="AC220" s="505"/>
    </row>
    <row r="221" spans="1:29" s="1675" customFormat="1" ht="21.95" customHeight="1">
      <c r="A221" s="1934"/>
      <c r="B221" s="1145"/>
      <c r="C221" s="402"/>
      <c r="D221" s="509"/>
      <c r="E221" s="510" t="s">
        <v>211</v>
      </c>
      <c r="F221" s="767">
        <f t="shared" si="87"/>
        <v>1800</v>
      </c>
      <c r="G221" s="512">
        <v>3000</v>
      </c>
      <c r="H221" s="513">
        <f t="shared" ref="H221" si="88">F221-G221</f>
        <v>-1200</v>
      </c>
      <c r="I221" s="1164"/>
      <c r="J221" s="514" t="s">
        <v>1078</v>
      </c>
      <c r="K221" s="2880"/>
      <c r="L221" s="2880"/>
      <c r="M221" s="2880"/>
      <c r="N221" s="2894"/>
      <c r="O221" s="2894"/>
      <c r="P221" s="2894"/>
      <c r="Q221" s="516">
        <v>30</v>
      </c>
      <c r="R221" s="2887" t="s">
        <v>33</v>
      </c>
      <c r="S221" s="727">
        <v>10000</v>
      </c>
      <c r="T221" s="516" t="s">
        <v>264</v>
      </c>
      <c r="U221" s="516" t="s">
        <v>601</v>
      </c>
      <c r="V221" s="516">
        <v>6</v>
      </c>
      <c r="W221" s="516" t="s">
        <v>203</v>
      </c>
      <c r="X221" s="516" t="s">
        <v>266</v>
      </c>
      <c r="Y221" s="636">
        <f t="shared" si="76"/>
        <v>1800</v>
      </c>
      <c r="Z221" s="532">
        <f>Q221*S221*V221</f>
        <v>1800000</v>
      </c>
      <c r="AA221" s="1143">
        <f t="shared" si="72"/>
        <v>1800000000</v>
      </c>
      <c r="AB221" s="1143"/>
      <c r="AC221" s="505"/>
    </row>
    <row r="222" spans="1:29" ht="21.95" customHeight="1">
      <c r="A222" s="1934"/>
      <c r="B222" s="1145"/>
      <c r="C222" s="402"/>
      <c r="D222" s="3275" t="s">
        <v>1082</v>
      </c>
      <c r="E222" s="3276"/>
      <c r="F222" s="500">
        <f>SUM(F223:F231)</f>
        <v>10000</v>
      </c>
      <c r="G222" s="500">
        <f>SUM(G223:G231)</f>
        <v>10000</v>
      </c>
      <c r="H222" s="1132">
        <f>F222-G222</f>
        <v>0</v>
      </c>
      <c r="I222" s="1127"/>
      <c r="J222" s="501"/>
      <c r="K222" s="1936"/>
      <c r="L222" s="1936"/>
      <c r="M222" s="1936"/>
      <c r="N222" s="1936"/>
      <c r="O222" s="1936"/>
      <c r="P222" s="484"/>
      <c r="Q222" s="1936"/>
      <c r="R222" s="1146"/>
      <c r="S222" s="484"/>
      <c r="T222" s="1936"/>
      <c r="U222" s="1936"/>
      <c r="V222" s="484"/>
      <c r="W222" s="1936"/>
      <c r="X222" s="850"/>
      <c r="Y222" s="503"/>
      <c r="Z222" s="407">
        <f t="shared" ref="Z222:Z252" si="89">Q222*S222*V222</f>
        <v>0</v>
      </c>
      <c r="AA222" s="1143">
        <f t="shared" si="72"/>
        <v>10000000000</v>
      </c>
      <c r="AC222" s="505"/>
    </row>
    <row r="223" spans="1:29" s="1675" customFormat="1" ht="21.95" customHeight="1">
      <c r="A223" s="1934"/>
      <c r="B223" s="1145"/>
      <c r="C223" s="402"/>
      <c r="D223" s="1131"/>
      <c r="E223" s="1134" t="s">
        <v>1086</v>
      </c>
      <c r="F223" s="337">
        <f t="shared" ref="F223" si="90">Y223</f>
        <v>700</v>
      </c>
      <c r="G223" s="1139">
        <v>700</v>
      </c>
      <c r="H223" s="849"/>
      <c r="I223" s="1127"/>
      <c r="J223" s="1943" t="s">
        <v>1087</v>
      </c>
      <c r="K223" s="1940"/>
      <c r="L223" s="1940"/>
      <c r="M223" s="1940"/>
      <c r="N223" s="1938"/>
      <c r="O223" s="1938"/>
      <c r="P223" s="1938"/>
      <c r="Q223" s="1944"/>
      <c r="R223" s="1927"/>
      <c r="S223" s="1944">
        <v>350000</v>
      </c>
      <c r="T223" s="1944" t="s">
        <v>1066</v>
      </c>
      <c r="V223" s="1944">
        <v>2</v>
      </c>
      <c r="W223" s="1944" t="s">
        <v>1074</v>
      </c>
      <c r="X223" s="1944" t="s">
        <v>1068</v>
      </c>
      <c r="Y223" s="1674">
        <f t="shared" ref="Y223:Y231" si="91">Z223/1000</f>
        <v>700</v>
      </c>
      <c r="Z223" s="407">
        <f t="shared" ref="Z223" si="92">S223*V223</f>
        <v>700000</v>
      </c>
      <c r="AA223" s="1143">
        <f t="shared" si="72"/>
        <v>700000000</v>
      </c>
      <c r="AB223" s="1143"/>
      <c r="AC223" s="505"/>
    </row>
    <row r="224" spans="1:29" ht="21.95" customHeight="1">
      <c r="A224" s="2892"/>
      <c r="B224" s="1145"/>
      <c r="C224" s="402"/>
      <c r="D224" s="1131"/>
      <c r="E224" s="1134" t="s">
        <v>219</v>
      </c>
      <c r="F224" s="337">
        <f t="shared" ref="F224" si="93">Y224</f>
        <v>4000</v>
      </c>
      <c r="G224" s="1139">
        <v>4000</v>
      </c>
      <c r="H224" s="849"/>
      <c r="I224" s="1127"/>
      <c r="J224" s="2899" t="s">
        <v>194</v>
      </c>
      <c r="K224" s="2889"/>
      <c r="L224" s="2889"/>
      <c r="M224" s="2889"/>
      <c r="N224" s="2357"/>
      <c r="O224" s="2357"/>
      <c r="P224" s="2357"/>
      <c r="Q224" s="2900"/>
      <c r="R224" s="2895"/>
      <c r="S224" s="2900"/>
      <c r="T224" s="2900"/>
      <c r="U224" s="1675"/>
      <c r="V224" s="2900"/>
      <c r="W224" s="2900"/>
      <c r="X224" s="2900"/>
      <c r="Y224" s="1674">
        <f t="shared" ref="Y224:Y227" si="94">Z224/1000</f>
        <v>4000</v>
      </c>
      <c r="Z224" s="407">
        <f>SUM(Z225:Z227)</f>
        <v>4000000</v>
      </c>
      <c r="AA224" s="1143">
        <f t="shared" ref="AA224:AA227" si="95">F224*1000000</f>
        <v>4000000000</v>
      </c>
      <c r="AC224" s="505"/>
    </row>
    <row r="225" spans="1:31" ht="21.95" customHeight="1">
      <c r="A225" s="2892"/>
      <c r="B225" s="1145"/>
      <c r="C225" s="402"/>
      <c r="D225" s="1131"/>
      <c r="E225" s="389"/>
      <c r="F225" s="337"/>
      <c r="G225" s="1139"/>
      <c r="H225" s="849"/>
      <c r="I225" s="1127"/>
      <c r="J225" s="2899" t="s">
        <v>1088</v>
      </c>
      <c r="K225" s="2889"/>
      <c r="L225" s="2889"/>
      <c r="M225" s="2889"/>
      <c r="N225" s="2357"/>
      <c r="O225" s="2357"/>
      <c r="P225" s="2357"/>
      <c r="Q225" s="2900"/>
      <c r="R225" s="2895"/>
      <c r="S225" s="2900">
        <v>20000</v>
      </c>
      <c r="T225" s="2900" t="s">
        <v>264</v>
      </c>
      <c r="U225" s="1675"/>
      <c r="V225" s="2900">
        <v>100</v>
      </c>
      <c r="W225" s="2900" t="s">
        <v>212</v>
      </c>
      <c r="X225" s="2900" t="s">
        <v>266</v>
      </c>
      <c r="Y225" s="1674">
        <f t="shared" si="94"/>
        <v>2000</v>
      </c>
      <c r="Z225" s="407">
        <f t="shared" ref="Z225:Z227" si="96">S225*V225</f>
        <v>2000000</v>
      </c>
      <c r="AA225" s="1143">
        <f t="shared" si="95"/>
        <v>0</v>
      </c>
      <c r="AC225" s="505"/>
    </row>
    <row r="226" spans="1:31" ht="21.95" customHeight="1">
      <c r="A226" s="2892"/>
      <c r="B226" s="1145"/>
      <c r="C226" s="402"/>
      <c r="D226" s="1131"/>
      <c r="E226" s="389"/>
      <c r="F226" s="337"/>
      <c r="G226" s="1139"/>
      <c r="H226" s="849"/>
      <c r="I226" s="1127"/>
      <c r="J226" s="2899" t="s">
        <v>1089</v>
      </c>
      <c r="K226" s="2889"/>
      <c r="L226" s="2889"/>
      <c r="M226" s="2889"/>
      <c r="N226" s="2357"/>
      <c r="O226" s="2357"/>
      <c r="P226" s="2357"/>
      <c r="Q226" s="2900"/>
      <c r="R226" s="2895"/>
      <c r="S226" s="2900">
        <v>20000</v>
      </c>
      <c r="T226" s="2900" t="s">
        <v>264</v>
      </c>
      <c r="U226" s="1675"/>
      <c r="V226" s="2900">
        <v>50</v>
      </c>
      <c r="W226" s="2900" t="s">
        <v>212</v>
      </c>
      <c r="X226" s="2900" t="s">
        <v>266</v>
      </c>
      <c r="Y226" s="1674">
        <f t="shared" si="94"/>
        <v>1000</v>
      </c>
      <c r="Z226" s="407">
        <f t="shared" si="96"/>
        <v>1000000</v>
      </c>
      <c r="AA226" s="1143">
        <f t="shared" si="95"/>
        <v>0</v>
      </c>
      <c r="AC226" s="505"/>
    </row>
    <row r="227" spans="1:31" s="1675" customFormat="1" ht="21.95" customHeight="1">
      <c r="A227" s="2892"/>
      <c r="B227" s="1145"/>
      <c r="C227" s="402"/>
      <c r="D227" s="1131"/>
      <c r="E227" s="389"/>
      <c r="F227" s="337"/>
      <c r="G227" s="1139"/>
      <c r="H227" s="849"/>
      <c r="I227" s="1127"/>
      <c r="J227" s="2899" t="s">
        <v>1090</v>
      </c>
      <c r="K227" s="2889"/>
      <c r="L227" s="2889"/>
      <c r="M227" s="2889"/>
      <c r="N227" s="2357"/>
      <c r="O227" s="2357"/>
      <c r="P227" s="2357"/>
      <c r="Q227" s="2900"/>
      <c r="R227" s="2895"/>
      <c r="S227" s="2900">
        <v>1000000</v>
      </c>
      <c r="T227" s="2900" t="s">
        <v>264</v>
      </c>
      <c r="V227" s="2900">
        <v>1</v>
      </c>
      <c r="W227" s="2900" t="s">
        <v>212</v>
      </c>
      <c r="X227" s="2900" t="s">
        <v>266</v>
      </c>
      <c r="Y227" s="1674">
        <f t="shared" si="94"/>
        <v>1000</v>
      </c>
      <c r="Z227" s="407">
        <f t="shared" si="96"/>
        <v>1000000</v>
      </c>
      <c r="AA227" s="1143">
        <f t="shared" si="95"/>
        <v>0</v>
      </c>
      <c r="AB227" s="1143"/>
      <c r="AC227" s="505"/>
    </row>
    <row r="228" spans="1:31" s="1675" customFormat="1" ht="21.95" customHeight="1">
      <c r="A228" s="2892"/>
      <c r="B228" s="1145"/>
      <c r="C228" s="402"/>
      <c r="D228" s="1131"/>
      <c r="E228" s="1134" t="s">
        <v>269</v>
      </c>
      <c r="F228" s="337">
        <f>Y228</f>
        <v>3500</v>
      </c>
      <c r="G228" s="1139">
        <v>3500</v>
      </c>
      <c r="H228" s="1324"/>
      <c r="I228" s="1127"/>
      <c r="J228" s="2899" t="s">
        <v>194</v>
      </c>
      <c r="K228" s="2357"/>
      <c r="L228" s="2357"/>
      <c r="M228" s="2357"/>
      <c r="N228" s="2357"/>
      <c r="O228" s="2357"/>
      <c r="P228" s="1128"/>
      <c r="Q228" s="2357"/>
      <c r="S228" s="1128"/>
      <c r="T228" s="2357"/>
      <c r="U228" s="2357"/>
      <c r="V228" s="1128"/>
      <c r="W228" s="2357"/>
      <c r="X228" s="1718"/>
      <c r="Y228" s="1674">
        <f t="shared" ref="Y228:Y230" si="97">Z228/1000</f>
        <v>3500</v>
      </c>
      <c r="Z228" s="407">
        <f>SUM(Z229:Z230)</f>
        <v>3500000</v>
      </c>
      <c r="AA228" s="1143">
        <f t="shared" ref="AA228:AA230" si="98">F228*1000000</f>
        <v>3500000000</v>
      </c>
      <c r="AB228" s="1143"/>
      <c r="AC228" s="505"/>
    </row>
    <row r="229" spans="1:31" s="1675" customFormat="1" ht="21.95" customHeight="1">
      <c r="A229" s="2892"/>
      <c r="B229" s="1145"/>
      <c r="C229" s="402"/>
      <c r="D229" s="1131"/>
      <c r="E229" s="1134"/>
      <c r="F229" s="337"/>
      <c r="G229" s="1139"/>
      <c r="H229" s="849"/>
      <c r="I229" s="1127"/>
      <c r="J229" s="2888" t="s">
        <v>1084</v>
      </c>
      <c r="K229" s="2889"/>
      <c r="L229" s="2889"/>
      <c r="M229" s="2889"/>
      <c r="N229" s="2357"/>
      <c r="O229" s="2357"/>
      <c r="P229" s="2357"/>
      <c r="Q229" s="2900"/>
      <c r="R229" s="2895"/>
      <c r="S229" s="2900">
        <v>150000</v>
      </c>
      <c r="T229" s="2900" t="s">
        <v>264</v>
      </c>
      <c r="V229" s="2900">
        <v>10</v>
      </c>
      <c r="W229" s="2900" t="s">
        <v>265</v>
      </c>
      <c r="X229" s="2900" t="s">
        <v>266</v>
      </c>
      <c r="Y229" s="1674">
        <f t="shared" si="97"/>
        <v>1500</v>
      </c>
      <c r="Z229" s="407">
        <f t="shared" ref="Z229:Z230" si="99">S229*V229</f>
        <v>1500000</v>
      </c>
      <c r="AA229" s="1143">
        <f t="shared" si="98"/>
        <v>0</v>
      </c>
      <c r="AB229" s="1143"/>
      <c r="AC229" s="505"/>
    </row>
    <row r="230" spans="1:31" s="1675" customFormat="1" ht="21.95" customHeight="1">
      <c r="A230" s="2892"/>
      <c r="B230" s="1145"/>
      <c r="C230" s="402"/>
      <c r="D230" s="1131"/>
      <c r="E230" s="1134"/>
      <c r="F230" s="337"/>
      <c r="G230" s="1139"/>
      <c r="H230" s="849"/>
      <c r="I230" s="1127"/>
      <c r="J230" s="2888" t="s">
        <v>1085</v>
      </c>
      <c r="K230" s="2889"/>
      <c r="L230" s="2889"/>
      <c r="M230" s="2889"/>
      <c r="N230" s="2357"/>
      <c r="O230" s="2357"/>
      <c r="P230" s="2357"/>
      <c r="Q230" s="2900"/>
      <c r="R230" s="2895"/>
      <c r="S230" s="2900">
        <v>100000</v>
      </c>
      <c r="T230" s="2900" t="s">
        <v>264</v>
      </c>
      <c r="V230" s="2900">
        <v>20</v>
      </c>
      <c r="W230" s="2900" t="s">
        <v>265</v>
      </c>
      <c r="X230" s="2900" t="s">
        <v>266</v>
      </c>
      <c r="Y230" s="1674">
        <f t="shared" si="97"/>
        <v>2000</v>
      </c>
      <c r="Z230" s="407">
        <f t="shared" si="99"/>
        <v>2000000</v>
      </c>
      <c r="AA230" s="1143">
        <f t="shared" si="98"/>
        <v>0</v>
      </c>
      <c r="AB230" s="1143"/>
      <c r="AC230" s="505"/>
    </row>
    <row r="231" spans="1:31" s="1675" customFormat="1" ht="21.95" customHeight="1">
      <c r="A231" s="1934"/>
      <c r="B231" s="1145"/>
      <c r="C231" s="859"/>
      <c r="D231" s="453"/>
      <c r="E231" s="454" t="s">
        <v>1091</v>
      </c>
      <c r="F231" s="337">
        <f>Y231</f>
        <v>1800</v>
      </c>
      <c r="G231" s="455">
        <v>1800</v>
      </c>
      <c r="H231" s="860"/>
      <c r="I231" s="1127"/>
      <c r="J231" s="1627" t="s">
        <v>1092</v>
      </c>
      <c r="K231" s="1926"/>
      <c r="L231" s="1926"/>
      <c r="M231" s="1926"/>
      <c r="N231" s="1941"/>
      <c r="O231" s="1941"/>
      <c r="P231" s="1941"/>
      <c r="Q231" s="459"/>
      <c r="R231" s="457"/>
      <c r="S231" s="459">
        <v>300000</v>
      </c>
      <c r="T231" s="459" t="s">
        <v>1066</v>
      </c>
      <c r="U231" s="1626"/>
      <c r="V231" s="459">
        <v>6</v>
      </c>
      <c r="W231" s="459" t="s">
        <v>1074</v>
      </c>
      <c r="X231" s="459" t="s">
        <v>1068</v>
      </c>
      <c r="Y231" s="1674">
        <f t="shared" si="91"/>
        <v>1800</v>
      </c>
      <c r="Z231" s="407">
        <f t="shared" ref="Z231" si="100">S231*V231</f>
        <v>1800000</v>
      </c>
      <c r="AA231" s="1143">
        <f t="shared" si="72"/>
        <v>1800000000</v>
      </c>
      <c r="AB231" s="1143"/>
      <c r="AC231" s="505"/>
    </row>
    <row r="232" spans="1:31" s="1675" customFormat="1" ht="21.95" customHeight="1">
      <c r="A232" s="1934"/>
      <c r="B232" s="1145"/>
      <c r="C232" s="2580" t="s">
        <v>3313</v>
      </c>
      <c r="D232" s="1626"/>
      <c r="E232" s="1920"/>
      <c r="F232" s="500">
        <f>F233</f>
        <v>65000</v>
      </c>
      <c r="G232" s="500">
        <f>G233</f>
        <v>65000</v>
      </c>
      <c r="H232" s="559">
        <f t="shared" ref="H232" si="101">F232-G232</f>
        <v>0</v>
      </c>
      <c r="I232" s="1127"/>
      <c r="J232" s="1129"/>
      <c r="K232" s="1941"/>
      <c r="L232" s="1941"/>
      <c r="M232" s="1941"/>
      <c r="N232" s="1941"/>
      <c r="O232" s="1941"/>
      <c r="P232" s="1130"/>
      <c r="Q232" s="1941"/>
      <c r="R232" s="1626"/>
      <c r="S232" s="1130"/>
      <c r="T232" s="1941"/>
      <c r="U232" s="1941"/>
      <c r="V232" s="1130"/>
      <c r="W232" s="1941"/>
      <c r="X232" s="1157"/>
      <c r="Y232" s="858"/>
      <c r="Z232" s="407">
        <f t="shared" si="89"/>
        <v>0</v>
      </c>
      <c r="AA232" s="1143">
        <f t="shared" si="72"/>
        <v>65000000000</v>
      </c>
      <c r="AB232" s="1143"/>
      <c r="AC232" s="505"/>
      <c r="AD232" s="357"/>
      <c r="AE232" s="357"/>
    </row>
    <row r="233" spans="1:31" s="1675" customFormat="1" ht="21.95" customHeight="1">
      <c r="A233" s="1934"/>
      <c r="B233" s="1145"/>
      <c r="C233" s="402"/>
      <c r="D233" s="3275" t="s">
        <v>3313</v>
      </c>
      <c r="E233" s="3276"/>
      <c r="F233" s="500">
        <f>SUM(F234:F244)</f>
        <v>65000</v>
      </c>
      <c r="G233" s="500">
        <f>SUM(G234:G244)</f>
        <v>65000</v>
      </c>
      <c r="H233" s="461">
        <f>F233-G233</f>
        <v>0</v>
      </c>
      <c r="I233" s="1127"/>
      <c r="J233" s="501"/>
      <c r="K233" s="2896"/>
      <c r="L233" s="2896"/>
      <c r="M233" s="2896"/>
      <c r="N233" s="2896"/>
      <c r="O233" s="2896"/>
      <c r="P233" s="484"/>
      <c r="Q233" s="2896"/>
      <c r="R233" s="1146"/>
      <c r="S233" s="484"/>
      <c r="T233" s="2896"/>
      <c r="U233" s="2896"/>
      <c r="V233" s="484"/>
      <c r="W233" s="2896"/>
      <c r="X233" s="502"/>
      <c r="Y233" s="858"/>
      <c r="Z233" s="407">
        <f t="shared" si="89"/>
        <v>0</v>
      </c>
      <c r="AA233" s="1143">
        <f t="shared" si="72"/>
        <v>65000000000</v>
      </c>
      <c r="AB233" s="1143"/>
      <c r="AC233" s="505"/>
    </row>
    <row r="234" spans="1:31" s="1675" customFormat="1" ht="21.95" customHeight="1">
      <c r="A234" s="1934"/>
      <c r="B234" s="1145"/>
      <c r="C234" s="402"/>
      <c r="D234" s="1131"/>
      <c r="E234" s="1134" t="s">
        <v>1093</v>
      </c>
      <c r="F234" s="337">
        <f>Y234</f>
        <v>33520</v>
      </c>
      <c r="G234" s="1139">
        <v>33520</v>
      </c>
      <c r="H234" s="1147"/>
      <c r="I234" s="1127"/>
      <c r="J234" s="2899" t="s">
        <v>1083</v>
      </c>
      <c r="K234" s="2889"/>
      <c r="L234" s="2889"/>
      <c r="M234" s="2889"/>
      <c r="N234" s="2357"/>
      <c r="O234" s="2357"/>
      <c r="P234" s="2357"/>
      <c r="Q234" s="2900"/>
      <c r="R234" s="2895"/>
      <c r="S234" s="2900"/>
      <c r="T234" s="2900"/>
      <c r="V234" s="2900"/>
      <c r="W234" s="2900"/>
      <c r="X234" s="1140"/>
      <c r="Y234" s="1674">
        <f t="shared" ref="Y234:Y244" si="102">Z234/1000</f>
        <v>33520</v>
      </c>
      <c r="Z234" s="407">
        <f>SUM(Z235:Z236)</f>
        <v>33520000</v>
      </c>
      <c r="AA234" s="1143">
        <f t="shared" si="72"/>
        <v>33520000000</v>
      </c>
      <c r="AB234" s="1143"/>
      <c r="AC234" s="505"/>
      <c r="AD234" s="357"/>
      <c r="AE234" s="357"/>
    </row>
    <row r="235" spans="1:31" s="1675" customFormat="1" ht="21.95" customHeight="1">
      <c r="A235" s="1934"/>
      <c r="B235" s="1145"/>
      <c r="C235" s="402"/>
      <c r="D235" s="1131"/>
      <c r="E235" s="1134"/>
      <c r="F235" s="337"/>
      <c r="G235" s="1139"/>
      <c r="H235" s="1147"/>
      <c r="I235" s="1127"/>
      <c r="J235" s="2899" t="s">
        <v>1094</v>
      </c>
      <c r="K235" s="2889"/>
      <c r="L235" s="2889"/>
      <c r="M235" s="2889"/>
      <c r="N235" s="2357"/>
      <c r="O235" s="2357"/>
      <c r="P235" s="2357"/>
      <c r="Q235" s="2900">
        <v>1</v>
      </c>
      <c r="R235" s="2895" t="s">
        <v>1095</v>
      </c>
      <c r="S235" s="2900">
        <v>2500000</v>
      </c>
      <c r="T235" s="2900" t="s">
        <v>1066</v>
      </c>
      <c r="V235" s="2900">
        <v>12</v>
      </c>
      <c r="W235" s="2900" t="s">
        <v>1096</v>
      </c>
      <c r="X235" s="1140" t="s">
        <v>1068</v>
      </c>
      <c r="Y235" s="1674">
        <f t="shared" si="102"/>
        <v>30000</v>
      </c>
      <c r="Z235" s="407">
        <f t="shared" si="89"/>
        <v>30000000</v>
      </c>
      <c r="AA235" s="1143">
        <f t="shared" si="72"/>
        <v>0</v>
      </c>
      <c r="AB235" s="1143"/>
      <c r="AC235" s="505"/>
    </row>
    <row r="236" spans="1:31" s="1675" customFormat="1" ht="21.95" customHeight="1">
      <c r="A236" s="1934"/>
      <c r="B236" s="1145"/>
      <c r="C236" s="402"/>
      <c r="D236" s="1131"/>
      <c r="E236" s="1134"/>
      <c r="F236" s="337"/>
      <c r="G236" s="1139"/>
      <c r="H236" s="1147"/>
      <c r="I236" s="1127"/>
      <c r="J236" s="2899" t="s">
        <v>1097</v>
      </c>
      <c r="K236" s="2889"/>
      <c r="L236" s="2889"/>
      <c r="M236" s="2889"/>
      <c r="N236" s="2357"/>
      <c r="O236" s="2357"/>
      <c r="P236" s="2357"/>
      <c r="Q236" s="2900">
        <v>1</v>
      </c>
      <c r="R236" s="2895" t="s">
        <v>1095</v>
      </c>
      <c r="S236" s="2900">
        <v>80000</v>
      </c>
      <c r="T236" s="2900" t="s">
        <v>1066</v>
      </c>
      <c r="V236" s="2900">
        <v>44</v>
      </c>
      <c r="W236" s="2900" t="s">
        <v>1098</v>
      </c>
      <c r="X236" s="1140" t="s">
        <v>1068</v>
      </c>
      <c r="Y236" s="1674">
        <f t="shared" si="102"/>
        <v>3520</v>
      </c>
      <c r="Z236" s="407">
        <f t="shared" si="89"/>
        <v>3520000</v>
      </c>
      <c r="AA236" s="1143">
        <f t="shared" si="72"/>
        <v>0</v>
      </c>
      <c r="AB236" s="1143"/>
      <c r="AC236" s="505"/>
    </row>
    <row r="237" spans="1:31" s="1675" customFormat="1" ht="21.95" customHeight="1">
      <c r="A237" s="1934"/>
      <c r="B237" s="1145"/>
      <c r="C237" s="402"/>
      <c r="D237" s="1131"/>
      <c r="E237" s="1134" t="s">
        <v>1099</v>
      </c>
      <c r="F237" s="337">
        <f t="shared" ref="F237:F239" si="103">Y237</f>
        <v>4920</v>
      </c>
      <c r="G237" s="1139">
        <v>4920</v>
      </c>
      <c r="H237" s="1147"/>
      <c r="I237" s="1127"/>
      <c r="J237" s="2899" t="s">
        <v>1100</v>
      </c>
      <c r="K237" s="2889"/>
      <c r="L237" s="2889"/>
      <c r="M237" s="2889"/>
      <c r="N237" s="2357"/>
      <c r="O237" s="2357"/>
      <c r="P237" s="2357"/>
      <c r="Q237" s="2900"/>
      <c r="R237" s="2895"/>
      <c r="S237" s="2900">
        <v>1230000</v>
      </c>
      <c r="T237" s="2900" t="s">
        <v>1066</v>
      </c>
      <c r="V237" s="2900">
        <v>4</v>
      </c>
      <c r="W237" s="2900" t="s">
        <v>1067</v>
      </c>
      <c r="X237" s="1140" t="s">
        <v>1068</v>
      </c>
      <c r="Y237" s="1674">
        <f t="shared" si="102"/>
        <v>4920</v>
      </c>
      <c r="Z237" s="407">
        <f t="shared" ref="Z237:Z238" si="104">S237*V237</f>
        <v>4920000</v>
      </c>
      <c r="AA237" s="1143">
        <f t="shared" si="72"/>
        <v>4920000000</v>
      </c>
      <c r="AB237" s="1143"/>
      <c r="AC237" s="505"/>
      <c r="AD237" s="357"/>
      <c r="AE237" s="357"/>
    </row>
    <row r="238" spans="1:31" s="1675" customFormat="1" ht="21.95" customHeight="1">
      <c r="A238" s="1934"/>
      <c r="B238" s="1145"/>
      <c r="C238" s="402"/>
      <c r="D238" s="1131"/>
      <c r="E238" s="1134" t="s">
        <v>1101</v>
      </c>
      <c r="F238" s="337">
        <f t="shared" si="103"/>
        <v>2000</v>
      </c>
      <c r="G238" s="1139">
        <v>2000</v>
      </c>
      <c r="H238" s="1147"/>
      <c r="I238" s="1127"/>
      <c r="J238" s="2899" t="s">
        <v>1102</v>
      </c>
      <c r="K238" s="2889"/>
      <c r="L238" s="2889"/>
      <c r="M238" s="2889"/>
      <c r="N238" s="2357"/>
      <c r="O238" s="2357"/>
      <c r="P238" s="2357"/>
      <c r="Q238" s="2900" t="s">
        <v>1070</v>
      </c>
      <c r="R238" s="2895" t="s">
        <v>1070</v>
      </c>
      <c r="S238" s="2900">
        <v>200000</v>
      </c>
      <c r="T238" s="2900" t="s">
        <v>1066</v>
      </c>
      <c r="V238" s="2900">
        <v>10</v>
      </c>
      <c r="W238" s="2900" t="s">
        <v>1067</v>
      </c>
      <c r="X238" s="1140" t="s">
        <v>1068</v>
      </c>
      <c r="Y238" s="1674">
        <f t="shared" si="102"/>
        <v>2000</v>
      </c>
      <c r="Z238" s="407">
        <f t="shared" si="104"/>
        <v>2000000</v>
      </c>
      <c r="AA238" s="1143">
        <f t="shared" si="72"/>
        <v>2000000000</v>
      </c>
      <c r="AB238" s="1143"/>
      <c r="AC238" s="505"/>
      <c r="AD238" s="357"/>
      <c r="AE238" s="357"/>
    </row>
    <row r="239" spans="1:31" s="1675" customFormat="1" ht="21.95" customHeight="1">
      <c r="A239" s="1934"/>
      <c r="B239" s="1145"/>
      <c r="C239" s="402"/>
      <c r="D239" s="1131"/>
      <c r="E239" s="1134" t="s">
        <v>1103</v>
      </c>
      <c r="F239" s="337">
        <f t="shared" si="103"/>
        <v>21840</v>
      </c>
      <c r="G239" s="1139">
        <v>24000</v>
      </c>
      <c r="H239" s="1147">
        <f>F239-G239</f>
        <v>-2160</v>
      </c>
      <c r="I239" s="1127"/>
      <c r="J239" s="2899" t="s">
        <v>1069</v>
      </c>
      <c r="K239" s="2889"/>
      <c r="L239" s="2889"/>
      <c r="M239" s="2889"/>
      <c r="N239" s="2357"/>
      <c r="O239" s="2357"/>
      <c r="P239" s="2357"/>
      <c r="Q239" s="2900"/>
      <c r="R239" s="2895"/>
      <c r="S239" s="2900"/>
      <c r="T239" s="2900"/>
      <c r="V239" s="2900"/>
      <c r="W239" s="2900"/>
      <c r="X239" s="1140"/>
      <c r="Y239" s="1674">
        <f t="shared" si="102"/>
        <v>21840</v>
      </c>
      <c r="Z239" s="407">
        <f>SUM(Z240:Z241)</f>
        <v>21840000</v>
      </c>
      <c r="AA239" s="1143">
        <f t="shared" si="72"/>
        <v>21840000000</v>
      </c>
      <c r="AB239" s="1143"/>
      <c r="AC239" s="505"/>
      <c r="AD239" s="357"/>
      <c r="AE239" s="357"/>
    </row>
    <row r="240" spans="1:31" s="1675" customFormat="1" ht="21.95" customHeight="1">
      <c r="A240" s="1934"/>
      <c r="B240" s="1145"/>
      <c r="C240" s="402"/>
      <c r="D240" s="1131"/>
      <c r="E240" s="1134"/>
      <c r="F240" s="337"/>
      <c r="G240" s="1139"/>
      <c r="H240" s="1147"/>
      <c r="I240" s="1127"/>
      <c r="J240" s="2899" t="s">
        <v>1104</v>
      </c>
      <c r="K240" s="2889"/>
      <c r="L240" s="2889"/>
      <c r="M240" s="2889"/>
      <c r="N240" s="2357"/>
      <c r="O240" s="2357"/>
      <c r="P240" s="2357"/>
      <c r="Q240" s="2900"/>
      <c r="R240" s="2895"/>
      <c r="S240" s="2900">
        <v>1520000</v>
      </c>
      <c r="T240" s="2900" t="s">
        <v>1066</v>
      </c>
      <c r="V240" s="2900">
        <v>12</v>
      </c>
      <c r="W240" s="2900" t="s">
        <v>1096</v>
      </c>
      <c r="X240" s="1140" t="s">
        <v>1068</v>
      </c>
      <c r="Y240" s="1674">
        <f t="shared" si="102"/>
        <v>18240</v>
      </c>
      <c r="Z240" s="407">
        <f t="shared" ref="Z240:Z244" si="105">S240*V240</f>
        <v>18240000</v>
      </c>
      <c r="AA240" s="1143">
        <f t="shared" si="72"/>
        <v>0</v>
      </c>
      <c r="AB240" s="1143"/>
      <c r="AC240" s="505"/>
      <c r="AD240" s="357"/>
      <c r="AE240" s="357"/>
    </row>
    <row r="241" spans="1:31" ht="21.95" customHeight="1">
      <c r="A241" s="1934"/>
      <c r="B241" s="1145"/>
      <c r="C241" s="402"/>
      <c r="D241" s="1131"/>
      <c r="E241" s="1134"/>
      <c r="F241" s="337"/>
      <c r="G241" s="1139"/>
      <c r="H241" s="1147"/>
      <c r="I241" s="1127"/>
      <c r="J241" s="2899" t="s">
        <v>1105</v>
      </c>
      <c r="K241" s="2889"/>
      <c r="L241" s="2889"/>
      <c r="M241" s="2889"/>
      <c r="N241" s="2357"/>
      <c r="O241" s="2357"/>
      <c r="P241" s="2357"/>
      <c r="Q241" s="2900"/>
      <c r="R241" s="2895"/>
      <c r="S241" s="2900">
        <v>300000</v>
      </c>
      <c r="T241" s="2900" t="s">
        <v>1066</v>
      </c>
      <c r="U241" s="1675"/>
      <c r="V241" s="2900">
        <v>12</v>
      </c>
      <c r="W241" s="2900" t="s">
        <v>1067</v>
      </c>
      <c r="X241" s="1140" t="s">
        <v>1068</v>
      </c>
      <c r="Y241" s="1674">
        <f t="shared" si="102"/>
        <v>3600</v>
      </c>
      <c r="Z241" s="407">
        <f t="shared" si="105"/>
        <v>3600000</v>
      </c>
      <c r="AA241" s="1143">
        <f t="shared" si="72"/>
        <v>0</v>
      </c>
      <c r="AC241" s="505"/>
    </row>
    <row r="242" spans="1:31" s="1675" customFormat="1" ht="21.95" customHeight="1">
      <c r="A242" s="1934"/>
      <c r="B242" s="1145"/>
      <c r="C242" s="402"/>
      <c r="D242" s="1131"/>
      <c r="E242" s="1134" t="s">
        <v>1106</v>
      </c>
      <c r="F242" s="337">
        <f t="shared" ref="F242:F244" si="106">Y242</f>
        <v>360</v>
      </c>
      <c r="G242" s="1139">
        <v>360</v>
      </c>
      <c r="H242" s="1147"/>
      <c r="I242" s="1127"/>
      <c r="J242" s="2899" t="s">
        <v>1107</v>
      </c>
      <c r="K242" s="2889"/>
      <c r="L242" s="2889"/>
      <c r="M242" s="2889"/>
      <c r="N242" s="2357"/>
      <c r="O242" s="2357"/>
      <c r="P242" s="2357"/>
      <c r="Q242" s="2900" t="s">
        <v>1070</v>
      </c>
      <c r="R242" s="2895" t="s">
        <v>1070</v>
      </c>
      <c r="S242" s="2900">
        <v>30000</v>
      </c>
      <c r="T242" s="2900" t="s">
        <v>1066</v>
      </c>
      <c r="V242" s="2900">
        <v>12</v>
      </c>
      <c r="W242" s="2900" t="s">
        <v>1096</v>
      </c>
      <c r="X242" s="1140" t="s">
        <v>1068</v>
      </c>
      <c r="Y242" s="1674">
        <f t="shared" si="102"/>
        <v>360</v>
      </c>
      <c r="Z242" s="407">
        <f t="shared" si="105"/>
        <v>360000</v>
      </c>
      <c r="AA242" s="1143">
        <f t="shared" si="72"/>
        <v>360000000</v>
      </c>
      <c r="AB242" s="1143"/>
      <c r="AC242" s="505"/>
    </row>
    <row r="243" spans="1:31" s="1675" customFormat="1" ht="21.95" customHeight="1">
      <c r="A243" s="2892"/>
      <c r="B243" s="1145"/>
      <c r="C243" s="402"/>
      <c r="D243" s="1131"/>
      <c r="E243" s="1134" t="s">
        <v>5609</v>
      </c>
      <c r="F243" s="337">
        <f t="shared" si="106"/>
        <v>2160</v>
      </c>
      <c r="G243" s="1139">
        <v>0</v>
      </c>
      <c r="H243" s="1147">
        <f>F243-G243</f>
        <v>2160</v>
      </c>
      <c r="I243" s="1127"/>
      <c r="J243" s="2899" t="s">
        <v>5610</v>
      </c>
      <c r="K243" s="2889"/>
      <c r="L243" s="2889"/>
      <c r="M243" s="2889"/>
      <c r="N243" s="2357"/>
      <c r="O243" s="2357"/>
      <c r="P243" s="2357"/>
      <c r="Q243" s="2900"/>
      <c r="R243" s="2895"/>
      <c r="S243" s="2900">
        <v>240000</v>
      </c>
      <c r="T243" s="2900" t="s">
        <v>264</v>
      </c>
      <c r="V243" s="2900">
        <v>9</v>
      </c>
      <c r="W243" s="2900" t="s">
        <v>201</v>
      </c>
      <c r="X243" s="1140" t="s">
        <v>266</v>
      </c>
      <c r="Y243" s="1674">
        <f t="shared" ref="Y243" si="107">Z243/1000</f>
        <v>2160</v>
      </c>
      <c r="Z243" s="407">
        <f t="shared" ref="Z243" si="108">S243*V243</f>
        <v>2160000</v>
      </c>
      <c r="AA243" s="1143"/>
      <c r="AB243" s="1143"/>
      <c r="AC243" s="505"/>
    </row>
    <row r="244" spans="1:31" s="1675" customFormat="1" ht="21.95" customHeight="1">
      <c r="A244" s="1934"/>
      <c r="B244" s="1145"/>
      <c r="C244" s="859"/>
      <c r="D244" s="453"/>
      <c r="E244" s="855" t="s">
        <v>1077</v>
      </c>
      <c r="F244" s="337">
        <f t="shared" si="106"/>
        <v>200</v>
      </c>
      <c r="G244" s="455">
        <v>200</v>
      </c>
      <c r="H244" s="1147"/>
      <c r="I244" s="1127"/>
      <c r="J244" s="1627" t="s">
        <v>1108</v>
      </c>
      <c r="K244" s="2883"/>
      <c r="L244" s="2883"/>
      <c r="M244" s="2883"/>
      <c r="N244" s="2801"/>
      <c r="O244" s="2801"/>
      <c r="P244" s="2801"/>
      <c r="Q244" s="459"/>
      <c r="R244" s="457"/>
      <c r="S244" s="2900">
        <v>50000</v>
      </c>
      <c r="T244" s="2900" t="s">
        <v>1066</v>
      </c>
      <c r="V244" s="2900">
        <v>4</v>
      </c>
      <c r="W244" s="2900" t="s">
        <v>1074</v>
      </c>
      <c r="X244" s="1140" t="s">
        <v>1068</v>
      </c>
      <c r="Y244" s="1674">
        <f t="shared" si="102"/>
        <v>200</v>
      </c>
      <c r="Z244" s="407">
        <f t="shared" si="105"/>
        <v>200000</v>
      </c>
      <c r="AA244" s="1143">
        <f t="shared" si="72"/>
        <v>200000000</v>
      </c>
      <c r="AB244" s="1143"/>
      <c r="AC244" s="505"/>
      <c r="AD244" s="357"/>
      <c r="AE244" s="357"/>
    </row>
    <row r="245" spans="1:31" ht="23.45" customHeight="1">
      <c r="A245" s="1934" t="s">
        <v>1070</v>
      </c>
      <c r="B245" s="1145"/>
      <c r="C245" s="864" t="s">
        <v>1109</v>
      </c>
      <c r="D245" s="1364"/>
      <c r="E245" s="389"/>
      <c r="F245" s="373">
        <f>+F246+F261</f>
        <v>50000</v>
      </c>
      <c r="G245" s="373">
        <f>+G246+G261</f>
        <v>50000</v>
      </c>
      <c r="H245" s="1132">
        <f>F245-G245</f>
        <v>0</v>
      </c>
      <c r="I245" s="1127"/>
      <c r="J245" s="1943"/>
      <c r="K245" s="1940"/>
      <c r="L245" s="1940"/>
      <c r="M245" s="1940"/>
      <c r="N245" s="1938"/>
      <c r="O245" s="1938"/>
      <c r="P245" s="1938"/>
      <c r="Q245" s="1944"/>
      <c r="R245" s="1927"/>
      <c r="S245" s="449"/>
      <c r="T245" s="449"/>
      <c r="U245" s="449"/>
      <c r="V245" s="449"/>
      <c r="W245" s="449"/>
      <c r="X245" s="449"/>
      <c r="Y245" s="1957"/>
      <c r="Z245" s="407">
        <f t="shared" si="89"/>
        <v>0</v>
      </c>
      <c r="AA245" s="1143">
        <f t="shared" si="72"/>
        <v>50000000000</v>
      </c>
      <c r="AC245" s="505"/>
    </row>
    <row r="246" spans="1:31" s="1675" customFormat="1" ht="23.45" customHeight="1">
      <c r="A246" s="1934"/>
      <c r="B246" s="1145"/>
      <c r="C246" s="402"/>
      <c r="D246" s="3266" t="s">
        <v>5756</v>
      </c>
      <c r="E246" s="3267"/>
      <c r="F246" s="500">
        <f>SUM(F247:F258)</f>
        <v>50000</v>
      </c>
      <c r="G246" s="500">
        <f>SUM(G247:G258)</f>
        <v>50000</v>
      </c>
      <c r="H246" s="1132">
        <f>F246-G246</f>
        <v>0</v>
      </c>
      <c r="I246" s="1127"/>
      <c r="J246" s="501"/>
      <c r="K246" s="1936"/>
      <c r="L246" s="1936"/>
      <c r="M246" s="1936"/>
      <c r="N246" s="1936"/>
      <c r="O246" s="1936"/>
      <c r="P246" s="484"/>
      <c r="Q246" s="1936"/>
      <c r="R246" s="1146"/>
      <c r="S246" s="484"/>
      <c r="T246" s="1936"/>
      <c r="U246" s="1936"/>
      <c r="V246" s="484"/>
      <c r="W246" s="1936"/>
      <c r="X246" s="850"/>
      <c r="Y246" s="503"/>
      <c r="Z246" s="407">
        <f t="shared" si="89"/>
        <v>0</v>
      </c>
      <c r="AA246" s="1143">
        <f t="shared" si="72"/>
        <v>50000000000</v>
      </c>
      <c r="AB246" s="1143"/>
      <c r="AC246" s="505"/>
    </row>
    <row r="247" spans="1:31" s="1675" customFormat="1" ht="23.45" customHeight="1">
      <c r="A247" s="1934"/>
      <c r="B247" s="1145"/>
      <c r="C247" s="402"/>
      <c r="D247" s="433"/>
      <c r="E247" s="444" t="s">
        <v>985</v>
      </c>
      <c r="F247" s="337">
        <f>Y247</f>
        <v>6000</v>
      </c>
      <c r="G247" s="445">
        <v>6000</v>
      </c>
      <c r="H247" s="1958"/>
      <c r="I247" s="1127"/>
      <c r="J247" s="1943" t="s">
        <v>975</v>
      </c>
      <c r="K247" s="1940"/>
      <c r="L247" s="1940"/>
      <c r="M247" s="1940"/>
      <c r="N247" s="1938"/>
      <c r="O247" s="1938"/>
      <c r="P247" s="1938"/>
      <c r="Q247" s="1944"/>
      <c r="R247" s="1927"/>
      <c r="S247" s="1944"/>
      <c r="T247" s="1944"/>
      <c r="V247" s="1944"/>
      <c r="W247" s="1944"/>
      <c r="X247" s="1944"/>
      <c r="Y247" s="1674">
        <f>Z247/1000</f>
        <v>6000</v>
      </c>
      <c r="Z247" s="407">
        <f>+Z248+Z249</f>
        <v>6000000</v>
      </c>
      <c r="AA247" s="1143">
        <f t="shared" si="72"/>
        <v>6000000000</v>
      </c>
      <c r="AB247" s="1143"/>
      <c r="AC247" s="505"/>
    </row>
    <row r="248" spans="1:31" s="1675" customFormat="1" ht="23.45" customHeight="1">
      <c r="A248" s="1934"/>
      <c r="B248" s="1145"/>
      <c r="C248" s="402"/>
      <c r="D248" s="433"/>
      <c r="E248" s="1134"/>
      <c r="F248" s="337"/>
      <c r="G248" s="1139"/>
      <c r="H248" s="1147"/>
      <c r="I248" s="1127"/>
      <c r="J248" s="1943" t="s">
        <v>1110</v>
      </c>
      <c r="K248" s="1940"/>
      <c r="L248" s="1940"/>
      <c r="M248" s="1940"/>
      <c r="N248" s="1938"/>
      <c r="O248" s="1938"/>
      <c r="P248" s="1938"/>
      <c r="Q248" s="1944"/>
      <c r="R248" s="1927"/>
      <c r="S248" s="1944">
        <v>5000</v>
      </c>
      <c r="T248" s="1944" t="s">
        <v>887</v>
      </c>
      <c r="V248" s="1944">
        <v>200</v>
      </c>
      <c r="W248" s="1944" t="s">
        <v>1035</v>
      </c>
      <c r="X248" s="1944" t="s">
        <v>889</v>
      </c>
      <c r="Y248" s="1674">
        <f t="shared" ref="Y248:Y260" si="109">Z248/1000</f>
        <v>1000</v>
      </c>
      <c r="Z248" s="407">
        <f t="shared" ref="Z248:Z249" si="110">S248*V248</f>
        <v>1000000</v>
      </c>
      <c r="AA248" s="1143">
        <f t="shared" si="72"/>
        <v>0</v>
      </c>
      <c r="AB248" s="1143"/>
      <c r="AC248" s="505"/>
    </row>
    <row r="249" spans="1:31" s="1675" customFormat="1" ht="23.45" customHeight="1">
      <c r="A249" s="1934"/>
      <c r="B249" s="1145"/>
      <c r="C249" s="402"/>
      <c r="D249" s="433"/>
      <c r="E249" s="1134"/>
      <c r="F249" s="337"/>
      <c r="G249" s="1139"/>
      <c r="H249" s="1147"/>
      <c r="I249" s="1127"/>
      <c r="J249" s="1943" t="s">
        <v>1111</v>
      </c>
      <c r="K249" s="1940"/>
      <c r="L249" s="1940"/>
      <c r="M249" s="1940"/>
      <c r="N249" s="1938"/>
      <c r="O249" s="1938"/>
      <c r="P249" s="1938"/>
      <c r="Q249" s="1944"/>
      <c r="R249" s="1927"/>
      <c r="S249" s="1944">
        <v>10000</v>
      </c>
      <c r="T249" s="1944" t="s">
        <v>887</v>
      </c>
      <c r="V249" s="1944">
        <v>500</v>
      </c>
      <c r="W249" s="1944" t="s">
        <v>1035</v>
      </c>
      <c r="X249" s="1944" t="s">
        <v>889</v>
      </c>
      <c r="Y249" s="1674">
        <f t="shared" si="109"/>
        <v>5000</v>
      </c>
      <c r="Z249" s="407">
        <f t="shared" si="110"/>
        <v>5000000</v>
      </c>
      <c r="AA249" s="1143">
        <f t="shared" si="72"/>
        <v>0</v>
      </c>
      <c r="AB249" s="1143"/>
      <c r="AC249" s="505"/>
    </row>
    <row r="250" spans="1:31" s="1675" customFormat="1" ht="23.45" customHeight="1">
      <c r="A250" s="1934"/>
      <c r="B250" s="1145"/>
      <c r="C250" s="402"/>
      <c r="D250" s="433"/>
      <c r="E250" s="1134" t="s">
        <v>952</v>
      </c>
      <c r="F250" s="337">
        <f>Y250</f>
        <v>4000</v>
      </c>
      <c r="G250" s="1139">
        <v>4000</v>
      </c>
      <c r="H250" s="1147"/>
      <c r="I250" s="1127"/>
      <c r="J250" s="1943" t="s">
        <v>975</v>
      </c>
      <c r="K250" s="1940"/>
      <c r="L250" s="1940"/>
      <c r="M250" s="1940"/>
      <c r="N250" s="1938"/>
      <c r="O250" s="1938"/>
      <c r="P250" s="1938"/>
      <c r="Q250" s="1944"/>
      <c r="R250" s="1927"/>
      <c r="S250" s="1944"/>
      <c r="T250" s="1944"/>
      <c r="V250" s="1944"/>
      <c r="W250" s="1944"/>
      <c r="X250" s="1944"/>
      <c r="Y250" s="1674">
        <f t="shared" si="109"/>
        <v>4000</v>
      </c>
      <c r="Z250" s="407">
        <f>SUM(Z251:Z252)</f>
        <v>4000000</v>
      </c>
      <c r="AA250" s="1143">
        <f t="shared" si="72"/>
        <v>4000000000</v>
      </c>
      <c r="AB250" s="1143"/>
      <c r="AC250" s="505"/>
    </row>
    <row r="251" spans="1:31" s="1675" customFormat="1" ht="23.45" customHeight="1">
      <c r="A251" s="1934"/>
      <c r="B251" s="1145"/>
      <c r="C251" s="402"/>
      <c r="D251" s="433"/>
      <c r="E251" s="1134"/>
      <c r="F251" s="337"/>
      <c r="G251" s="1139"/>
      <c r="H251" s="1147"/>
      <c r="I251" s="1127"/>
      <c r="J251" s="1943" t="s">
        <v>1112</v>
      </c>
      <c r="K251" s="1940"/>
      <c r="L251" s="1940"/>
      <c r="M251" s="1940"/>
      <c r="N251" s="1938"/>
      <c r="O251" s="1938"/>
      <c r="P251" s="1938"/>
      <c r="Q251" s="1944"/>
      <c r="R251" s="1927"/>
      <c r="S251" s="1944">
        <v>250000</v>
      </c>
      <c r="T251" s="1944" t="s">
        <v>887</v>
      </c>
      <c r="V251" s="1944">
        <v>4</v>
      </c>
      <c r="W251" s="1944" t="s">
        <v>1063</v>
      </c>
      <c r="X251" s="1944" t="s">
        <v>889</v>
      </c>
      <c r="Y251" s="1674">
        <f t="shared" si="109"/>
        <v>1000</v>
      </c>
      <c r="Z251" s="407">
        <f t="shared" ref="Z251" si="111">S251*V251</f>
        <v>1000000</v>
      </c>
      <c r="AA251" s="1143">
        <f t="shared" si="72"/>
        <v>0</v>
      </c>
      <c r="AB251" s="1143"/>
      <c r="AC251" s="505"/>
    </row>
    <row r="252" spans="1:31" s="1675" customFormat="1" ht="23.45" customHeight="1">
      <c r="A252" s="1934"/>
      <c r="B252" s="1145"/>
      <c r="C252" s="402"/>
      <c r="D252" s="433"/>
      <c r="E252" s="1134"/>
      <c r="F252" s="337"/>
      <c r="G252" s="1139"/>
      <c r="H252" s="1147"/>
      <c r="I252" s="1127"/>
      <c r="J252" s="1943" t="s">
        <v>1113</v>
      </c>
      <c r="K252" s="1940"/>
      <c r="L252" s="1940"/>
      <c r="M252" s="1940"/>
      <c r="N252" s="1938"/>
      <c r="O252" s="1938"/>
      <c r="P252" s="1938"/>
      <c r="Q252" s="1944">
        <v>2</v>
      </c>
      <c r="R252" s="1927" t="s">
        <v>891</v>
      </c>
      <c r="S252" s="1944">
        <v>250000</v>
      </c>
      <c r="T252" s="1944" t="s">
        <v>887</v>
      </c>
      <c r="V252" s="1944">
        <v>6</v>
      </c>
      <c r="W252" s="1944" t="s">
        <v>954</v>
      </c>
      <c r="X252" s="1944" t="s">
        <v>889</v>
      </c>
      <c r="Y252" s="1674">
        <f t="shared" si="109"/>
        <v>3000</v>
      </c>
      <c r="Z252" s="407">
        <f t="shared" si="89"/>
        <v>3000000</v>
      </c>
      <c r="AA252" s="1143">
        <f t="shared" si="72"/>
        <v>0</v>
      </c>
      <c r="AB252" s="1143"/>
      <c r="AC252" s="505"/>
    </row>
    <row r="253" spans="1:31" s="1675" customFormat="1" ht="23.45" customHeight="1">
      <c r="A253" s="1934"/>
      <c r="B253" s="1145"/>
      <c r="C253" s="402"/>
      <c r="D253" s="433"/>
      <c r="E253" s="1134" t="s">
        <v>993</v>
      </c>
      <c r="F253" s="337">
        <f t="shared" ref="F253" si="112">Y253</f>
        <v>33000</v>
      </c>
      <c r="G253" s="1139">
        <v>33000</v>
      </c>
      <c r="H253" s="1147"/>
      <c r="I253" s="1127"/>
      <c r="J253" s="1943" t="s">
        <v>975</v>
      </c>
      <c r="K253" s="1940"/>
      <c r="L253" s="1940"/>
      <c r="M253" s="1940"/>
      <c r="N253" s="1938"/>
      <c r="O253" s="1938"/>
      <c r="P253" s="1938"/>
      <c r="Q253" s="1944"/>
      <c r="R253" s="1927"/>
      <c r="S253" s="1944"/>
      <c r="T253" s="1944"/>
      <c r="V253" s="1944"/>
      <c r="W253" s="1944"/>
      <c r="X253" s="1944"/>
      <c r="Y253" s="1674">
        <f t="shared" si="109"/>
        <v>33000</v>
      </c>
      <c r="Z253" s="407">
        <f>SUM(Z254:Z256)</f>
        <v>33000000</v>
      </c>
      <c r="AA253" s="1143">
        <f t="shared" si="72"/>
        <v>33000000000</v>
      </c>
      <c r="AB253" s="1143"/>
      <c r="AC253" s="505"/>
    </row>
    <row r="254" spans="1:31" s="1675" customFormat="1" ht="23.45" customHeight="1">
      <c r="A254" s="1934"/>
      <c r="B254" s="1145"/>
      <c r="C254" s="402"/>
      <c r="D254" s="433"/>
      <c r="E254" s="1134"/>
      <c r="F254" s="337"/>
      <c r="G254" s="1139"/>
      <c r="H254" s="1147"/>
      <c r="I254" s="1127"/>
      <c r="J254" s="1943" t="s">
        <v>1115</v>
      </c>
      <c r="K254" s="1940"/>
      <c r="L254" s="1940"/>
      <c r="M254" s="1940"/>
      <c r="N254" s="1938"/>
      <c r="O254" s="1938"/>
      <c r="P254" s="1938"/>
      <c r="Q254" s="1944"/>
      <c r="R254" s="1927"/>
      <c r="S254" s="1944">
        <v>6000000</v>
      </c>
      <c r="T254" s="1944" t="s">
        <v>887</v>
      </c>
      <c r="V254" s="1944">
        <v>1</v>
      </c>
      <c r="W254" s="1944" t="s">
        <v>954</v>
      </c>
      <c r="X254" s="1944" t="s">
        <v>889</v>
      </c>
      <c r="Y254" s="1674">
        <f t="shared" si="109"/>
        <v>6000</v>
      </c>
      <c r="Z254" s="407">
        <f t="shared" ref="Z254:Z257" si="113">S254*V254</f>
        <v>6000000</v>
      </c>
      <c r="AA254" s="1143">
        <f t="shared" si="72"/>
        <v>0</v>
      </c>
      <c r="AB254" s="1143"/>
      <c r="AC254" s="505"/>
    </row>
    <row r="255" spans="1:31" s="1675" customFormat="1" ht="23.45" customHeight="1">
      <c r="A255" s="1934"/>
      <c r="B255" s="1145"/>
      <c r="C255" s="402"/>
      <c r="D255" s="433"/>
      <c r="E255" s="1134"/>
      <c r="F255" s="337"/>
      <c r="G255" s="1139"/>
      <c r="H255" s="1147"/>
      <c r="I255" s="1127"/>
      <c r="J255" s="1943" t="s">
        <v>1116</v>
      </c>
      <c r="K255" s="1940"/>
      <c r="L255" s="1940"/>
      <c r="M255" s="1940"/>
      <c r="N255" s="1938"/>
      <c r="O255" s="1938"/>
      <c r="P255" s="1938"/>
      <c r="Q255" s="1944"/>
      <c r="R255" s="1927"/>
      <c r="S255" s="1944">
        <v>10000000</v>
      </c>
      <c r="T255" s="1944" t="s">
        <v>887</v>
      </c>
      <c r="V255" s="1944">
        <v>1</v>
      </c>
      <c r="W255" s="1944" t="s">
        <v>954</v>
      </c>
      <c r="X255" s="1944" t="s">
        <v>889</v>
      </c>
      <c r="Y255" s="1674">
        <f t="shared" si="109"/>
        <v>10000</v>
      </c>
      <c r="Z255" s="407">
        <f t="shared" si="113"/>
        <v>10000000</v>
      </c>
      <c r="AA255" s="1143">
        <f t="shared" si="72"/>
        <v>0</v>
      </c>
      <c r="AB255" s="1143"/>
      <c r="AC255" s="505"/>
    </row>
    <row r="256" spans="1:31" s="1675" customFormat="1" ht="23.45" customHeight="1">
      <c r="A256" s="1934"/>
      <c r="B256" s="1145"/>
      <c r="C256" s="402"/>
      <c r="D256" s="433"/>
      <c r="E256" s="1134"/>
      <c r="F256" s="337"/>
      <c r="G256" s="1139"/>
      <c r="H256" s="1147"/>
      <c r="I256" s="1127"/>
      <c r="J256" s="1943" t="s">
        <v>1117</v>
      </c>
      <c r="K256" s="1940"/>
      <c r="L256" s="1940"/>
      <c r="M256" s="1940"/>
      <c r="N256" s="1938"/>
      <c r="O256" s="1938"/>
      <c r="P256" s="1938"/>
      <c r="Q256" s="1944"/>
      <c r="R256" s="1927"/>
      <c r="S256" s="1944">
        <v>1700000</v>
      </c>
      <c r="T256" s="1944" t="s">
        <v>887</v>
      </c>
      <c r="V256" s="1944">
        <v>10</v>
      </c>
      <c r="W256" s="1944" t="s">
        <v>954</v>
      </c>
      <c r="X256" s="1944" t="s">
        <v>889</v>
      </c>
      <c r="Y256" s="1674">
        <f t="shared" si="109"/>
        <v>17000</v>
      </c>
      <c r="Z256" s="407">
        <f t="shared" si="113"/>
        <v>17000000</v>
      </c>
      <c r="AA256" s="1143">
        <f t="shared" si="72"/>
        <v>0</v>
      </c>
      <c r="AB256" s="1143"/>
      <c r="AC256" s="505"/>
    </row>
    <row r="257" spans="1:29" s="1675" customFormat="1" ht="23.45" customHeight="1">
      <c r="A257" s="2892"/>
      <c r="B257" s="1145"/>
      <c r="C257" s="402"/>
      <c r="D257" s="433"/>
      <c r="E257" s="1134" t="s">
        <v>768</v>
      </c>
      <c r="F257" s="337">
        <f t="shared" ref="F257" si="114">Y257</f>
        <v>1200</v>
      </c>
      <c r="G257" s="1139">
        <v>1200</v>
      </c>
      <c r="H257" s="1147"/>
      <c r="I257" s="1127"/>
      <c r="J257" s="2899" t="s">
        <v>1114</v>
      </c>
      <c r="K257" s="2889"/>
      <c r="L257" s="2889"/>
      <c r="M257" s="2889"/>
      <c r="N257" s="2357"/>
      <c r="O257" s="2357"/>
      <c r="P257" s="2357"/>
      <c r="Q257" s="2900"/>
      <c r="R257" s="2895"/>
      <c r="S257" s="2900">
        <v>400000</v>
      </c>
      <c r="T257" s="2900" t="s">
        <v>264</v>
      </c>
      <c r="V257" s="2900">
        <v>3</v>
      </c>
      <c r="W257" s="2900" t="s">
        <v>1098</v>
      </c>
      <c r="X257" s="2900" t="s">
        <v>266</v>
      </c>
      <c r="Y257" s="1674">
        <f t="shared" ref="Y257" si="115">Z257/1000</f>
        <v>1200</v>
      </c>
      <c r="Z257" s="407">
        <f t="shared" si="113"/>
        <v>1200000</v>
      </c>
      <c r="AA257" s="1143">
        <f t="shared" ref="AA257" si="116">F257*1000000</f>
        <v>1200000000</v>
      </c>
      <c r="AB257" s="1143"/>
      <c r="AC257" s="505"/>
    </row>
    <row r="258" spans="1:29" s="1675" customFormat="1" ht="23.45" customHeight="1">
      <c r="A258" s="1934"/>
      <c r="B258" s="1145"/>
      <c r="C258" s="402"/>
      <c r="D258" s="433"/>
      <c r="E258" s="1134" t="s">
        <v>958</v>
      </c>
      <c r="F258" s="337">
        <f>Y258</f>
        <v>5800</v>
      </c>
      <c r="G258" s="1139">
        <v>5800</v>
      </c>
      <c r="H258" s="1147"/>
      <c r="I258" s="1127"/>
      <c r="J258" s="1943" t="s">
        <v>975</v>
      </c>
      <c r="K258" s="1940"/>
      <c r="L258" s="1940"/>
      <c r="M258" s="1940"/>
      <c r="N258" s="1938"/>
      <c r="O258" s="1938"/>
      <c r="P258" s="1938"/>
      <c r="Q258" s="1944"/>
      <c r="R258" s="1927"/>
      <c r="S258" s="1944" t="s">
        <v>1118</v>
      </c>
      <c r="T258" s="1944"/>
      <c r="V258" s="1944"/>
      <c r="W258" s="1944"/>
      <c r="X258" s="1944"/>
      <c r="Y258" s="1674">
        <f t="shared" si="109"/>
        <v>5800</v>
      </c>
      <c r="Z258" s="407">
        <f>SUM(Z259:Z260)</f>
        <v>5800000</v>
      </c>
      <c r="AA258" s="1143">
        <f t="shared" si="72"/>
        <v>5800000000</v>
      </c>
      <c r="AB258" s="1143"/>
      <c r="AC258" s="505"/>
    </row>
    <row r="259" spans="1:29" s="1675" customFormat="1" ht="23.45" customHeight="1">
      <c r="A259" s="1934"/>
      <c r="B259" s="1145"/>
      <c r="C259" s="402"/>
      <c r="D259" s="433"/>
      <c r="E259" s="1134"/>
      <c r="F259" s="337"/>
      <c r="G259" s="1139"/>
      <c r="H259" s="1147"/>
      <c r="I259" s="1127"/>
      <c r="J259" s="1943" t="s">
        <v>1119</v>
      </c>
      <c r="K259" s="1940"/>
      <c r="L259" s="1940"/>
      <c r="M259" s="1940"/>
      <c r="N259" s="1938"/>
      <c r="O259" s="1938"/>
      <c r="P259" s="1938"/>
      <c r="Q259" s="1944"/>
      <c r="R259" s="1927"/>
      <c r="S259" s="1944">
        <v>900000</v>
      </c>
      <c r="T259" s="1944" t="s">
        <v>887</v>
      </c>
      <c r="V259" s="1944">
        <v>2</v>
      </c>
      <c r="W259" s="1944" t="s">
        <v>954</v>
      </c>
      <c r="X259" s="1944" t="s">
        <v>889</v>
      </c>
      <c r="Y259" s="1674">
        <f t="shared" si="109"/>
        <v>1800</v>
      </c>
      <c r="Z259" s="407">
        <f t="shared" ref="Z259:Z260" si="117">S259*V259</f>
        <v>1800000</v>
      </c>
      <c r="AA259" s="1143">
        <f t="shared" si="72"/>
        <v>0</v>
      </c>
      <c r="AB259" s="1143"/>
      <c r="AC259" s="505"/>
    </row>
    <row r="260" spans="1:29" s="1675" customFormat="1" ht="23.45" customHeight="1">
      <c r="A260" s="1934"/>
      <c r="B260" s="1145"/>
      <c r="C260" s="402"/>
      <c r="D260" s="433"/>
      <c r="E260" s="1134"/>
      <c r="F260" s="337"/>
      <c r="G260" s="1139"/>
      <c r="H260" s="1147"/>
      <c r="I260" s="1127"/>
      <c r="J260" s="1943" t="s">
        <v>1120</v>
      </c>
      <c r="K260" s="1940"/>
      <c r="L260" s="1940"/>
      <c r="M260" s="1940"/>
      <c r="N260" s="1938"/>
      <c r="O260" s="1938"/>
      <c r="P260" s="1938"/>
      <c r="Q260" s="1944"/>
      <c r="R260" s="1927"/>
      <c r="S260" s="1944">
        <v>400000</v>
      </c>
      <c r="T260" s="1944" t="s">
        <v>887</v>
      </c>
      <c r="V260" s="1944">
        <v>10</v>
      </c>
      <c r="W260" s="1944" t="s">
        <v>954</v>
      </c>
      <c r="X260" s="1944" t="s">
        <v>889</v>
      </c>
      <c r="Y260" s="1674">
        <f t="shared" si="109"/>
        <v>4000</v>
      </c>
      <c r="Z260" s="407">
        <f t="shared" si="117"/>
        <v>4000000</v>
      </c>
      <c r="AA260" s="1143">
        <f t="shared" si="72"/>
        <v>0</v>
      </c>
      <c r="AB260" s="1143"/>
      <c r="AC260" s="505"/>
    </row>
    <row r="261" spans="1:29" s="1675" customFormat="1" ht="21" hidden="1" customHeight="1">
      <c r="A261" s="1934"/>
      <c r="B261" s="1145"/>
      <c r="C261" s="465"/>
      <c r="D261" s="3266" t="s">
        <v>1121</v>
      </c>
      <c r="E261" s="3267"/>
      <c r="F261" s="500">
        <v>0</v>
      </c>
      <c r="G261" s="500">
        <v>0</v>
      </c>
      <c r="H261" s="1132">
        <f>F261-G261</f>
        <v>0</v>
      </c>
      <c r="I261" s="1127"/>
      <c r="J261" s="501"/>
      <c r="K261" s="1936"/>
      <c r="L261" s="1936"/>
      <c r="M261" s="1936"/>
      <c r="N261" s="1936"/>
      <c r="O261" s="1936"/>
      <c r="P261" s="484"/>
      <c r="Q261" s="1936"/>
      <c r="R261" s="1146"/>
      <c r="S261" s="484"/>
      <c r="T261" s="1936"/>
      <c r="U261" s="1936"/>
      <c r="V261" s="484"/>
      <c r="W261" s="1936"/>
      <c r="X261" s="850"/>
      <c r="Y261" s="503"/>
      <c r="Z261" s="275">
        <f t="shared" ref="Z261:Z263" si="118">ROUNDUP(S261*V261,-3)</f>
        <v>0</v>
      </c>
      <c r="AA261" s="1143"/>
      <c r="AB261" s="1143"/>
      <c r="AC261" s="505"/>
    </row>
    <row r="262" spans="1:29" ht="21" hidden="1" customHeight="1">
      <c r="A262" s="1934" t="s">
        <v>917</v>
      </c>
      <c r="B262" s="1145"/>
      <c r="C262" s="864" t="s">
        <v>1122</v>
      </c>
      <c r="D262" s="1364"/>
      <c r="E262" s="763"/>
      <c r="F262" s="373">
        <f>+F263</f>
        <v>0</v>
      </c>
      <c r="G262" s="373">
        <v>0</v>
      </c>
      <c r="H262" s="1132">
        <f>F262-G262</f>
        <v>0</v>
      </c>
      <c r="I262" s="1127"/>
      <c r="J262" s="1135"/>
      <c r="K262" s="1919"/>
      <c r="L262" s="1919"/>
      <c r="M262" s="1919"/>
      <c r="N262" s="1936"/>
      <c r="O262" s="1936"/>
      <c r="P262" s="1936"/>
      <c r="Q262" s="1136"/>
      <c r="R262" s="1137"/>
      <c r="S262" s="1137"/>
      <c r="T262" s="1137"/>
      <c r="U262" s="1137"/>
      <c r="V262" s="1137"/>
      <c r="W262" s="1137"/>
      <c r="X262" s="1137"/>
      <c r="Y262" s="1957"/>
      <c r="Z262" s="275">
        <f t="shared" si="118"/>
        <v>0</v>
      </c>
      <c r="AC262" s="505"/>
    </row>
    <row r="263" spans="1:29" s="1675" customFormat="1" ht="21" hidden="1" customHeight="1" thickBot="1">
      <c r="A263" s="560"/>
      <c r="B263" s="476"/>
      <c r="C263" s="1427"/>
      <c r="D263" s="3436" t="s">
        <v>1123</v>
      </c>
      <c r="E263" s="3437"/>
      <c r="F263" s="2215">
        <v>0</v>
      </c>
      <c r="G263" s="2215">
        <v>0</v>
      </c>
      <c r="H263" s="1893">
        <f>F263-G263</f>
        <v>0</v>
      </c>
      <c r="I263" s="1127"/>
      <c r="J263" s="1894"/>
      <c r="K263" s="1895"/>
      <c r="L263" s="1895"/>
      <c r="M263" s="1895"/>
      <c r="N263" s="1895"/>
      <c r="O263" s="1895"/>
      <c r="P263" s="1896"/>
      <c r="Q263" s="1895"/>
      <c r="R263" s="1897"/>
      <c r="S263" s="1896"/>
      <c r="T263" s="1895"/>
      <c r="U263" s="1895"/>
      <c r="V263" s="1896"/>
      <c r="W263" s="1895"/>
      <c r="X263" s="2216"/>
      <c r="Y263" s="1898"/>
      <c r="Z263" s="275">
        <f t="shared" si="118"/>
        <v>0</v>
      </c>
      <c r="AA263" s="1143"/>
      <c r="AB263" s="1143"/>
      <c r="AC263" s="505"/>
    </row>
  </sheetData>
  <autoFilter ref="A4:AE261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9">
    <mergeCell ref="A1:Y1"/>
    <mergeCell ref="A3:E3"/>
    <mergeCell ref="F3:F4"/>
    <mergeCell ref="G3:G4"/>
    <mergeCell ref="H3:H4"/>
    <mergeCell ref="J3:Y4"/>
    <mergeCell ref="D129:E129"/>
    <mergeCell ref="A5:E5"/>
    <mergeCell ref="C7:E7"/>
    <mergeCell ref="D8:E8"/>
    <mergeCell ref="D21:E21"/>
    <mergeCell ref="D89:E89"/>
    <mergeCell ref="C93:E93"/>
    <mergeCell ref="D95:E95"/>
    <mergeCell ref="D103:E103"/>
    <mergeCell ref="D113:E113"/>
    <mergeCell ref="C121:E121"/>
    <mergeCell ref="D122:E122"/>
    <mergeCell ref="D184:E184"/>
    <mergeCell ref="C148:E148"/>
    <mergeCell ref="D149:E149"/>
    <mergeCell ref="J162:O162"/>
    <mergeCell ref="J163:O163"/>
    <mergeCell ref="D166:E166"/>
    <mergeCell ref="D177:E177"/>
    <mergeCell ref="J179:M179"/>
    <mergeCell ref="C180:E180"/>
    <mergeCell ref="D181:E181"/>
    <mergeCell ref="D182:E182"/>
    <mergeCell ref="C183:E183"/>
    <mergeCell ref="J155:O155"/>
    <mergeCell ref="D261:E261"/>
    <mergeCell ref="D263:E263"/>
    <mergeCell ref="J187:P187"/>
    <mergeCell ref="D195:E195"/>
    <mergeCell ref="D210:E210"/>
    <mergeCell ref="D222:E222"/>
    <mergeCell ref="D233:E233"/>
    <mergeCell ref="D246:E246"/>
  </mergeCells>
  <phoneticPr fontId="19" type="noConversion"/>
  <printOptions horizontalCentered="1"/>
  <pageMargins left="0.59055118110236227" right="0.59055118110236227" top="0.55118110236220474" bottom="0.31496062992125984" header="0.51181102362204722" footer="0.31496062992125984"/>
  <pageSetup paperSize="9" scale="55" firstPageNumber="67" fitToHeight="100" orientation="landscape" r:id="rId1"/>
  <headerFooter scaleWithDoc="0" alignWithMargins="0"/>
  <rowBreaks count="1" manualBreakCount="1">
    <brk id="46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49"/>
  <sheetViews>
    <sheetView view="pageBreakPreview" zoomScale="70" zoomScaleNormal="75" zoomScaleSheetLayoutView="70" workbookViewId="0">
      <pane ySplit="6" topLeftCell="A322" activePane="bottomLeft" state="frozen"/>
      <selection activeCell="A3" sqref="A3:F3"/>
      <selection pane="bottomLeft" activeCell="J350" sqref="J350"/>
    </sheetView>
  </sheetViews>
  <sheetFormatPr defaultColWidth="8.88671875" defaultRowHeight="18.75"/>
  <cols>
    <col min="1" max="4" width="6.77734375" style="738" customWidth="1"/>
    <col min="5" max="5" width="16" style="738" customWidth="1"/>
    <col min="6" max="7" width="13.77734375" style="2088" customWidth="1"/>
    <col min="8" max="8" width="13.77734375" style="2089" customWidth="1"/>
    <col min="9" max="9" width="1.77734375" style="1675" customWidth="1"/>
    <col min="10" max="10" width="28.33203125" style="1675" customWidth="1"/>
    <col min="11" max="11" width="1.88671875" style="1675" customWidth="1"/>
    <col min="12" max="14" width="1.6640625" style="1675" customWidth="1"/>
    <col min="15" max="15" width="6.77734375" style="1675" customWidth="1"/>
    <col min="16" max="16" width="8.88671875" style="1675" customWidth="1"/>
    <col min="17" max="17" width="7.77734375" style="2090" customWidth="1"/>
    <col min="18" max="18" width="6.77734375" style="1675" customWidth="1"/>
    <col min="19" max="19" width="17.77734375" style="2091" customWidth="1"/>
    <col min="20" max="21" width="6.77734375" style="1675" customWidth="1"/>
    <col min="22" max="22" width="9.77734375" style="2092" customWidth="1"/>
    <col min="23" max="23" width="6.77734375" style="1675" customWidth="1"/>
    <col min="24" max="24" width="3" style="1387" customWidth="1"/>
    <col min="25" max="25" width="14.77734375" style="347" customWidth="1"/>
    <col min="26" max="26" width="13.88671875" style="347" bestFit="1" customWidth="1"/>
    <col min="27" max="27" width="12.6640625" style="347" bestFit="1" customWidth="1"/>
    <col min="28" max="28" width="25.33203125" style="2246" bestFit="1" customWidth="1"/>
    <col min="29" max="29" width="12" style="347" bestFit="1" customWidth="1"/>
    <col min="30" max="30" width="12.6640625" style="347" bestFit="1" customWidth="1"/>
    <col min="31" max="16384" width="8.88671875" style="1675"/>
  </cols>
  <sheetData>
    <row r="1" spans="1:30" ht="27.75" customHeight="1">
      <c r="A1" s="3250" t="s">
        <v>5717</v>
      </c>
      <c r="B1" s="3250"/>
      <c r="C1" s="3250"/>
      <c r="D1" s="3250"/>
      <c r="E1" s="3250"/>
      <c r="F1" s="3250"/>
      <c r="G1" s="3250"/>
      <c r="H1" s="3250"/>
      <c r="I1" s="3250"/>
      <c r="J1" s="3250"/>
      <c r="K1" s="3250"/>
      <c r="L1" s="3250"/>
      <c r="M1" s="3250"/>
      <c r="N1" s="3250"/>
      <c r="O1" s="3250"/>
      <c r="P1" s="3250"/>
      <c r="Q1" s="3250"/>
      <c r="R1" s="3250"/>
      <c r="S1" s="3250"/>
      <c r="T1" s="3250"/>
      <c r="U1" s="3250"/>
      <c r="V1" s="3250"/>
      <c r="W1" s="3250"/>
      <c r="X1" s="3250"/>
      <c r="Y1" s="3250"/>
    </row>
    <row r="2" spans="1:30" s="2278" customFormat="1" ht="19.5" thickBot="1">
      <c r="A2" s="746"/>
      <c r="B2" s="746"/>
      <c r="C2" s="746"/>
      <c r="D2" s="746" t="s">
        <v>267</v>
      </c>
      <c r="E2" s="275"/>
      <c r="F2" s="1128"/>
      <c r="G2" s="343"/>
      <c r="H2" s="747" t="s">
        <v>1691</v>
      </c>
      <c r="J2" s="646" t="s">
        <v>267</v>
      </c>
      <c r="K2" s="646"/>
      <c r="L2" s="646"/>
      <c r="M2" s="646"/>
      <c r="N2" s="646"/>
      <c r="O2" s="646"/>
      <c r="P2" s="646"/>
      <c r="Q2" s="372"/>
      <c r="S2" s="524"/>
      <c r="V2" s="366"/>
      <c r="X2" s="525"/>
      <c r="Y2" s="748" t="s">
        <v>1691</v>
      </c>
      <c r="Z2" s="275"/>
      <c r="AA2" s="275"/>
      <c r="AB2" s="2246"/>
      <c r="AC2" s="275"/>
      <c r="AD2" s="275"/>
    </row>
    <row r="3" spans="1:30" s="2278" customFormat="1" ht="22.5" customHeight="1">
      <c r="A3" s="3251" t="s">
        <v>188</v>
      </c>
      <c r="B3" s="3252"/>
      <c r="C3" s="3252"/>
      <c r="D3" s="3252"/>
      <c r="E3" s="3253"/>
      <c r="F3" s="3254" t="s">
        <v>151</v>
      </c>
      <c r="G3" s="3256" t="s">
        <v>1692</v>
      </c>
      <c r="H3" s="3447" t="s">
        <v>189</v>
      </c>
      <c r="I3" s="473"/>
      <c r="J3" s="3445" t="s">
        <v>190</v>
      </c>
      <c r="K3" s="3449"/>
      <c r="L3" s="3449"/>
      <c r="M3" s="3449"/>
      <c r="N3" s="3449"/>
      <c r="O3" s="3449"/>
      <c r="P3" s="3449"/>
      <c r="Q3" s="3449"/>
      <c r="R3" s="3449"/>
      <c r="S3" s="3449"/>
      <c r="T3" s="3449"/>
      <c r="U3" s="3449"/>
      <c r="V3" s="3449"/>
      <c r="W3" s="3449"/>
      <c r="X3" s="3449"/>
      <c r="Y3" s="3450"/>
      <c r="Z3" s="275"/>
      <c r="AA3" s="275"/>
      <c r="AB3" s="2246"/>
      <c r="AC3" s="275"/>
      <c r="AD3" s="275"/>
    </row>
    <row r="4" spans="1:30" s="2288" customFormat="1" ht="22.5" customHeight="1" thickBot="1">
      <c r="A4" s="652" t="s">
        <v>216</v>
      </c>
      <c r="B4" s="653" t="s">
        <v>444</v>
      </c>
      <c r="C4" s="654" t="s">
        <v>191</v>
      </c>
      <c r="D4" s="654" t="s">
        <v>205</v>
      </c>
      <c r="E4" s="749" t="s">
        <v>815</v>
      </c>
      <c r="F4" s="3255"/>
      <c r="G4" s="3257"/>
      <c r="H4" s="3448"/>
      <c r="I4" s="655"/>
      <c r="J4" s="3451"/>
      <c r="K4" s="3452"/>
      <c r="L4" s="3452"/>
      <c r="M4" s="3452"/>
      <c r="N4" s="3452"/>
      <c r="O4" s="3452"/>
      <c r="P4" s="3452"/>
      <c r="Q4" s="3452"/>
      <c r="R4" s="3452"/>
      <c r="S4" s="3452"/>
      <c r="T4" s="3452"/>
      <c r="U4" s="3452"/>
      <c r="V4" s="3452"/>
      <c r="W4" s="3452"/>
      <c r="X4" s="3452"/>
      <c r="Y4" s="3453"/>
      <c r="Z4" s="275"/>
      <c r="AA4" s="275"/>
      <c r="AB4" s="2246"/>
      <c r="AC4" s="275"/>
      <c r="AD4" s="275"/>
    </row>
    <row r="5" spans="1:30" s="2288" customFormat="1" ht="22.5" customHeight="1" thickBot="1">
      <c r="A5" s="750" t="s">
        <v>591</v>
      </c>
      <c r="B5" s="777"/>
      <c r="C5" s="777"/>
      <c r="D5" s="778"/>
      <c r="E5" s="752"/>
      <c r="F5" s="2031">
        <f>+F6</f>
        <v>3076000</v>
      </c>
      <c r="G5" s="2031">
        <f>+G6+G117</f>
        <v>3076000</v>
      </c>
      <c r="H5" s="2344">
        <f>H6</f>
        <v>0</v>
      </c>
      <c r="I5" s="655"/>
      <c r="J5" s="753"/>
      <c r="K5" s="754"/>
      <c r="L5" s="754"/>
      <c r="M5" s="754"/>
      <c r="N5" s="754"/>
      <c r="O5" s="754"/>
      <c r="P5" s="754"/>
      <c r="Q5" s="754"/>
      <c r="R5" s="754"/>
      <c r="S5" s="754"/>
      <c r="T5" s="754"/>
      <c r="U5" s="754"/>
      <c r="V5" s="754"/>
      <c r="W5" s="754"/>
      <c r="X5" s="754"/>
      <c r="Y5" s="755"/>
      <c r="Z5" s="275"/>
      <c r="AA5" s="275"/>
      <c r="AB5" s="2246"/>
      <c r="AC5" s="275"/>
      <c r="AD5" s="275"/>
    </row>
    <row r="6" spans="1:30" s="2278" customFormat="1" ht="22.5" customHeight="1" thickBot="1">
      <c r="A6" s="2032"/>
      <c r="B6" s="776" t="s">
        <v>591</v>
      </c>
      <c r="C6" s="777"/>
      <c r="D6" s="777"/>
      <c r="E6" s="778"/>
      <c r="F6" s="2031">
        <f>+F7+F118</f>
        <v>3076000</v>
      </c>
      <c r="G6" s="2031">
        <f>+G7+G118</f>
        <v>3076000</v>
      </c>
      <c r="H6" s="2033">
        <f>+F6-G6</f>
        <v>0</v>
      </c>
      <c r="I6" s="473"/>
      <c r="J6" s="1335"/>
      <c r="K6" s="1336"/>
      <c r="L6" s="1336"/>
      <c r="M6" s="1336"/>
      <c r="N6" s="1336"/>
      <c r="O6" s="1336"/>
      <c r="P6" s="1336"/>
      <c r="Q6" s="1372"/>
      <c r="R6" s="1337"/>
      <c r="S6" s="2034"/>
      <c r="T6" s="1337"/>
      <c r="U6" s="1337"/>
      <c r="V6" s="2035"/>
      <c r="W6" s="1337"/>
      <c r="X6" s="2036"/>
      <c r="Y6" s="1259"/>
      <c r="Z6" s="275"/>
      <c r="AA6" s="275"/>
      <c r="AB6" s="2246"/>
      <c r="AC6" s="275"/>
      <c r="AD6" s="275"/>
    </row>
    <row r="7" spans="1:30" s="2029" customFormat="1" ht="22.5" customHeight="1">
      <c r="A7" s="910"/>
      <c r="B7" s="2278"/>
      <c r="C7" s="3361" t="s">
        <v>817</v>
      </c>
      <c r="D7" s="3362"/>
      <c r="E7" s="3363"/>
      <c r="F7" s="2037">
        <f>F8+F21+F114</f>
        <v>1948000</v>
      </c>
      <c r="G7" s="2037">
        <f>G8+G21+G114</f>
        <v>1948000</v>
      </c>
      <c r="H7" s="788">
        <f>F7-G7</f>
        <v>0</v>
      </c>
      <c r="I7" s="896"/>
      <c r="J7" s="790"/>
      <c r="K7" s="791"/>
      <c r="L7" s="791"/>
      <c r="M7" s="791"/>
      <c r="N7" s="791"/>
      <c r="O7" s="791"/>
      <c r="P7" s="791"/>
      <c r="Q7" s="2038"/>
      <c r="R7" s="2039"/>
      <c r="S7" s="2040"/>
      <c r="T7" s="791"/>
      <c r="U7" s="791"/>
      <c r="V7" s="2041"/>
      <c r="W7" s="791"/>
      <c r="X7" s="2042"/>
      <c r="Y7" s="2043"/>
      <c r="Z7" s="843"/>
      <c r="AA7" s="843"/>
      <c r="AB7" s="275"/>
      <c r="AC7" s="843"/>
      <c r="AD7" s="843"/>
    </row>
    <row r="8" spans="1:30" s="1155" customFormat="1" ht="19.899999999999999" customHeight="1">
      <c r="A8" s="475"/>
      <c r="B8" s="335"/>
      <c r="C8" s="1126"/>
      <c r="D8" s="3364" t="s">
        <v>604</v>
      </c>
      <c r="E8" s="3365"/>
      <c r="F8" s="373">
        <f>+F9+F16+F17</f>
        <v>808000</v>
      </c>
      <c r="G8" s="373">
        <f>+G9+G16+G17</f>
        <v>808000</v>
      </c>
      <c r="H8" s="1132">
        <f>F8-G8</f>
        <v>0</v>
      </c>
      <c r="I8" s="473"/>
      <c r="J8" s="796"/>
      <c r="K8" s="797"/>
      <c r="L8" s="797"/>
      <c r="M8" s="797"/>
      <c r="N8" s="797"/>
      <c r="O8" s="797"/>
      <c r="P8" s="798"/>
      <c r="Q8" s="799"/>
      <c r="R8" s="2267"/>
      <c r="S8" s="800"/>
      <c r="T8" s="2276"/>
      <c r="U8" s="800"/>
      <c r="V8" s="2276"/>
      <c r="W8" s="2276"/>
      <c r="X8" s="905"/>
      <c r="Y8" s="801"/>
      <c r="Z8" s="463" t="e">
        <f>+Z9+#REF!+#REF!</f>
        <v>#REF!</v>
      </c>
      <c r="AA8" s="907"/>
      <c r="AB8" s="275"/>
      <c r="AC8" s="505"/>
      <c r="AD8" s="1143"/>
    </row>
    <row r="9" spans="1:30" s="1155" customFormat="1" ht="19.899999999999999" customHeight="1">
      <c r="A9" s="475"/>
      <c r="B9" s="335"/>
      <c r="C9" s="1126"/>
      <c r="D9" s="1126"/>
      <c r="E9" s="465" t="s">
        <v>1435</v>
      </c>
      <c r="F9" s="598">
        <f>+Y9</f>
        <v>654980</v>
      </c>
      <c r="G9" s="598">
        <v>654980</v>
      </c>
      <c r="H9" s="352"/>
      <c r="I9" s="473"/>
      <c r="J9" s="802" t="s">
        <v>608</v>
      </c>
      <c r="K9" s="803"/>
      <c r="L9" s="803"/>
      <c r="M9" s="803"/>
      <c r="N9" s="649"/>
      <c r="O9" s="649"/>
      <c r="P9" s="803"/>
      <c r="Q9" s="804"/>
      <c r="R9" s="1671"/>
      <c r="S9" s="1671"/>
      <c r="T9" s="1671"/>
      <c r="U9" s="1671"/>
      <c r="V9" s="1671"/>
      <c r="W9" s="1671"/>
      <c r="X9" s="397"/>
      <c r="Y9" s="874">
        <f>+INT(Z9/1000)</f>
        <v>654980</v>
      </c>
      <c r="Z9" s="407">
        <f>+Z10+Z12+Z14</f>
        <v>654980000</v>
      </c>
      <c r="AA9" s="907"/>
      <c r="AB9" s="275"/>
      <c r="AC9" s="505"/>
      <c r="AD9" s="1143"/>
    </row>
    <row r="10" spans="1:30" s="1155" customFormat="1" ht="19.899999999999999" customHeight="1">
      <c r="A10" s="2274"/>
      <c r="B10" s="1145"/>
      <c r="C10" s="470"/>
      <c r="D10" s="1126"/>
      <c r="E10" s="465"/>
      <c r="F10" s="598"/>
      <c r="G10" s="598"/>
      <c r="H10" s="404"/>
      <c r="I10" s="473"/>
      <c r="J10" s="802" t="s">
        <v>818</v>
      </c>
      <c r="K10" s="805"/>
      <c r="L10" s="646"/>
      <c r="M10" s="646"/>
      <c r="N10" s="649"/>
      <c r="O10" s="649"/>
      <c r="P10" s="803"/>
      <c r="Q10" s="804" t="s">
        <v>601</v>
      </c>
      <c r="R10" s="1671" t="s">
        <v>267</v>
      </c>
      <c r="S10" s="806"/>
      <c r="T10" s="1671"/>
      <c r="U10" s="1671"/>
      <c r="V10" s="1671"/>
      <c r="W10" s="1671"/>
      <c r="X10" s="397"/>
      <c r="Y10" s="874">
        <f>+Z10/1000</f>
        <v>556800</v>
      </c>
      <c r="Z10" s="407">
        <f>SUM(Z11:Z11)</f>
        <v>556800000</v>
      </c>
      <c r="AA10" s="907"/>
      <c r="AB10" s="275"/>
      <c r="AC10" s="505"/>
      <c r="AD10" s="1143"/>
    </row>
    <row r="11" spans="1:30" s="1155" customFormat="1" ht="19.899999999999999" customHeight="1">
      <c r="A11" s="2274"/>
      <c r="B11" s="1145"/>
      <c r="C11" s="470"/>
      <c r="D11" s="1126"/>
      <c r="E11" s="465"/>
      <c r="F11" s="598"/>
      <c r="G11" s="598"/>
      <c r="H11" s="404"/>
      <c r="I11" s="473"/>
      <c r="J11" s="802"/>
      <c r="K11" s="807" t="s">
        <v>713</v>
      </c>
      <c r="L11" s="646"/>
      <c r="M11" s="646"/>
      <c r="N11" s="808"/>
      <c r="O11" s="803"/>
      <c r="P11" s="803"/>
      <c r="Q11" s="804" t="s">
        <v>1159</v>
      </c>
      <c r="R11" s="1671" t="s">
        <v>464</v>
      </c>
      <c r="S11" s="1672">
        <v>4218181.8181818184</v>
      </c>
      <c r="T11" s="1671" t="s">
        <v>354</v>
      </c>
      <c r="U11" s="1671"/>
      <c r="V11" s="1671">
        <v>12</v>
      </c>
      <c r="W11" s="1671" t="s">
        <v>198</v>
      </c>
      <c r="X11" s="397" t="s">
        <v>565</v>
      </c>
      <c r="Y11" s="874">
        <f>+Z11/1000</f>
        <v>556800</v>
      </c>
      <c r="Z11" s="407">
        <f>S11*Q11*V11</f>
        <v>556800000</v>
      </c>
      <c r="AA11" s="907"/>
      <c r="AB11" s="275"/>
      <c r="AC11" s="505">
        <f>AB11/V11/Q11</f>
        <v>0</v>
      </c>
      <c r="AD11" s="1143"/>
    </row>
    <row r="12" spans="1:30" s="1155" customFormat="1" ht="19.899999999999999" customHeight="1">
      <c r="A12" s="2274"/>
      <c r="B12" s="1145"/>
      <c r="C12" s="470"/>
      <c r="D12" s="1126"/>
      <c r="E12" s="465"/>
      <c r="F12" s="598"/>
      <c r="G12" s="598"/>
      <c r="H12" s="404"/>
      <c r="I12" s="473"/>
      <c r="J12" s="802" t="s">
        <v>2606</v>
      </c>
      <c r="K12" s="805"/>
      <c r="L12" s="646"/>
      <c r="M12" s="646"/>
      <c r="N12" s="808"/>
      <c r="O12" s="803"/>
      <c r="P12" s="803"/>
      <c r="Q12" s="804"/>
      <c r="R12" s="2282"/>
      <c r="S12" s="1671"/>
      <c r="T12" s="2282"/>
      <c r="U12" s="1671"/>
      <c r="V12" s="1671"/>
      <c r="W12" s="1671"/>
      <c r="X12" s="397"/>
      <c r="Y12" s="874">
        <f t="shared" ref="Y12:Y13" si="0">+Z12/1000</f>
        <v>74400</v>
      </c>
      <c r="Z12" s="407">
        <f>SUM(Z13:Z13)</f>
        <v>74400000</v>
      </c>
      <c r="AA12" s="907"/>
      <c r="AB12" s="275"/>
      <c r="AC12" s="505"/>
      <c r="AD12" s="1143"/>
    </row>
    <row r="13" spans="1:30" s="1155" customFormat="1" ht="19.899999999999999" customHeight="1">
      <c r="A13" s="2274"/>
      <c r="B13" s="1145"/>
      <c r="C13" s="470"/>
      <c r="D13" s="1126"/>
      <c r="E13" s="465"/>
      <c r="F13" s="598"/>
      <c r="G13" s="598"/>
      <c r="H13" s="404"/>
      <c r="I13" s="473"/>
      <c r="J13" s="802"/>
      <c r="K13" s="807" t="s">
        <v>713</v>
      </c>
      <c r="L13" s="646"/>
      <c r="M13" s="646"/>
      <c r="N13" s="808"/>
      <c r="O13" s="803"/>
      <c r="P13" s="803"/>
      <c r="Q13" s="804" t="s">
        <v>1159</v>
      </c>
      <c r="R13" s="1671" t="s">
        <v>464</v>
      </c>
      <c r="S13" s="1672">
        <v>563636.36363636365</v>
      </c>
      <c r="T13" s="1671" t="s">
        <v>354</v>
      </c>
      <c r="U13" s="1671"/>
      <c r="V13" s="1671">
        <v>12</v>
      </c>
      <c r="W13" s="1671" t="s">
        <v>198</v>
      </c>
      <c r="X13" s="397" t="s">
        <v>565</v>
      </c>
      <c r="Y13" s="874">
        <f t="shared" si="0"/>
        <v>74400</v>
      </c>
      <c r="Z13" s="407">
        <f>ROUNDUP(S13*Q13*V13,-3)</f>
        <v>74400000</v>
      </c>
      <c r="AA13" s="907"/>
      <c r="AB13" s="275"/>
      <c r="AC13" s="505">
        <f>AB13/V13/Q13</f>
        <v>0</v>
      </c>
      <c r="AD13" s="1143"/>
    </row>
    <row r="14" spans="1:30" s="1155" customFormat="1" ht="19.899999999999999" customHeight="1">
      <c r="A14" s="2274"/>
      <c r="B14" s="1145"/>
      <c r="C14" s="470"/>
      <c r="D14" s="1126"/>
      <c r="E14" s="465"/>
      <c r="F14" s="598"/>
      <c r="G14" s="598"/>
      <c r="H14" s="404"/>
      <c r="I14" s="473"/>
      <c r="J14" s="802" t="s">
        <v>758</v>
      </c>
      <c r="K14" s="805"/>
      <c r="L14" s="646"/>
      <c r="M14" s="646"/>
      <c r="N14" s="808"/>
      <c r="O14" s="803"/>
      <c r="P14" s="803"/>
      <c r="Q14" s="804"/>
      <c r="R14" s="2282"/>
      <c r="S14" s="1671"/>
      <c r="T14" s="2282"/>
      <c r="U14" s="1671"/>
      <c r="V14" s="1671"/>
      <c r="W14" s="1671"/>
      <c r="X14" s="397"/>
      <c r="Y14" s="874">
        <f>+Z14/1000</f>
        <v>23780</v>
      </c>
      <c r="Z14" s="407">
        <f>SUM(Z15:Z15)</f>
        <v>23780000</v>
      </c>
      <c r="AA14" s="907"/>
      <c r="AB14" s="275"/>
      <c r="AC14" s="505"/>
      <c r="AD14" s="1143"/>
    </row>
    <row r="15" spans="1:30" s="1155" customFormat="1" ht="19.899999999999999" customHeight="1">
      <c r="A15" s="2274"/>
      <c r="B15" s="1145"/>
      <c r="C15" s="470"/>
      <c r="D15" s="1126"/>
      <c r="E15" s="465"/>
      <c r="F15" s="598"/>
      <c r="G15" s="598"/>
      <c r="H15" s="404"/>
      <c r="I15" s="473"/>
      <c r="J15" s="802"/>
      <c r="K15" s="807" t="s">
        <v>713</v>
      </c>
      <c r="L15" s="646"/>
      <c r="M15" s="646"/>
      <c r="N15" s="808"/>
      <c r="O15" s="803"/>
      <c r="P15" s="803"/>
      <c r="Q15" s="804" t="s">
        <v>1159</v>
      </c>
      <c r="R15" s="1671" t="s">
        <v>464</v>
      </c>
      <c r="S15" s="1672">
        <v>2161818.1818181816</v>
      </c>
      <c r="T15" s="1671" t="s">
        <v>354</v>
      </c>
      <c r="U15" s="1671"/>
      <c r="V15" s="1671">
        <v>1</v>
      </c>
      <c r="W15" s="1671" t="s">
        <v>196</v>
      </c>
      <c r="X15" s="397" t="s">
        <v>565</v>
      </c>
      <c r="Y15" s="874">
        <f>+Z15/1000</f>
        <v>23780</v>
      </c>
      <c r="Z15" s="407">
        <f>ROUNDUP(S15*Q15*V15,-3)</f>
        <v>23780000</v>
      </c>
      <c r="AA15" s="907"/>
      <c r="AB15" s="275"/>
      <c r="AC15" s="505">
        <f>AB15/Q15</f>
        <v>0</v>
      </c>
      <c r="AD15" s="1143"/>
    </row>
    <row r="16" spans="1:30" s="1155" customFormat="1" ht="19.899999999999999" customHeight="1">
      <c r="A16" s="2274"/>
      <c r="B16" s="1145"/>
      <c r="C16" s="470"/>
      <c r="D16" s="1126"/>
      <c r="E16" s="809" t="s">
        <v>714</v>
      </c>
      <c r="F16" s="1683">
        <f>Y16</f>
        <v>78900</v>
      </c>
      <c r="G16" s="613">
        <v>78900</v>
      </c>
      <c r="H16" s="1132"/>
      <c r="I16" s="473"/>
      <c r="J16" s="811" t="s">
        <v>621</v>
      </c>
      <c r="K16" s="812"/>
      <c r="L16" s="1953"/>
      <c r="M16" s="1953"/>
      <c r="N16" s="813"/>
      <c r="O16" s="813"/>
      <c r="P16" s="812"/>
      <c r="Q16" s="814"/>
      <c r="R16" s="815"/>
      <c r="S16" s="450">
        <f>+Z11+Z13</f>
        <v>631200000</v>
      </c>
      <c r="T16" s="815" t="s">
        <v>759</v>
      </c>
      <c r="U16" s="816">
        <v>12</v>
      </c>
      <c r="V16" s="815" t="s">
        <v>678</v>
      </c>
      <c r="W16" s="817">
        <v>1.5</v>
      </c>
      <c r="X16" s="906" t="s">
        <v>565</v>
      </c>
      <c r="Y16" s="1976">
        <f t="shared" ref="Y16:Y20" si="1">+Z16/1000</f>
        <v>78900</v>
      </c>
      <c r="Z16" s="407">
        <f>+(S16/U16*W16)</f>
        <v>78900000</v>
      </c>
      <c r="AA16" s="907"/>
      <c r="AB16" s="275"/>
      <c r="AC16" s="505"/>
      <c r="AD16" s="1143"/>
    </row>
    <row r="17" spans="1:30" s="1155" customFormat="1" ht="19.899999999999999" customHeight="1">
      <c r="A17" s="2274"/>
      <c r="B17" s="1145"/>
      <c r="C17" s="470"/>
      <c r="D17" s="1126"/>
      <c r="E17" s="809" t="s">
        <v>334</v>
      </c>
      <c r="F17" s="613">
        <f>Y17</f>
        <v>74120</v>
      </c>
      <c r="G17" s="613">
        <v>74120</v>
      </c>
      <c r="H17" s="810"/>
      <c r="I17" s="473"/>
      <c r="J17" s="911" t="s">
        <v>194</v>
      </c>
      <c r="K17" s="812"/>
      <c r="L17" s="812"/>
      <c r="M17" s="812"/>
      <c r="N17" s="813"/>
      <c r="O17" s="813"/>
      <c r="P17" s="812"/>
      <c r="Q17" s="814"/>
      <c r="R17" s="815"/>
      <c r="S17" s="815"/>
      <c r="T17" s="815"/>
      <c r="U17" s="815"/>
      <c r="V17" s="815"/>
      <c r="W17" s="815"/>
      <c r="X17" s="906"/>
      <c r="Y17" s="1976">
        <f t="shared" si="1"/>
        <v>74120</v>
      </c>
      <c r="Z17" s="1086">
        <f>SUM(Z19:Z20)</f>
        <v>74120000</v>
      </c>
      <c r="AA17" s="907"/>
      <c r="AB17" s="275"/>
      <c r="AC17" s="505"/>
      <c r="AD17" s="1143"/>
    </row>
    <row r="18" spans="1:30" s="357" customFormat="1" ht="19.899999999999999" customHeight="1">
      <c r="A18" s="2274"/>
      <c r="B18" s="1145"/>
      <c r="C18" s="470"/>
      <c r="D18" s="1126"/>
      <c r="E18" s="465"/>
      <c r="F18" s="598"/>
      <c r="G18" s="598"/>
      <c r="H18" s="404"/>
      <c r="I18" s="473"/>
      <c r="J18" s="1670" t="s">
        <v>827</v>
      </c>
      <c r="K18" s="803"/>
      <c r="L18" s="803"/>
      <c r="M18" s="803"/>
      <c r="N18" s="649"/>
      <c r="O18" s="649"/>
      <c r="P18" s="803"/>
      <c r="Q18" s="804"/>
      <c r="R18" s="1671"/>
      <c r="S18" s="1671"/>
      <c r="T18" s="1671"/>
      <c r="U18" s="1671"/>
      <c r="V18" s="1671"/>
      <c r="W18" s="1671"/>
      <c r="X18" s="397"/>
      <c r="Y18" s="874"/>
      <c r="Z18" s="407"/>
      <c r="AA18" s="1882"/>
      <c r="AB18" s="275"/>
      <c r="AC18" s="1882"/>
      <c r="AD18" s="358"/>
    </row>
    <row r="19" spans="1:30" s="357" customFormat="1" ht="19.899999999999999" customHeight="1">
      <c r="A19" s="1670"/>
      <c r="B19" s="465"/>
      <c r="C19" s="413"/>
      <c r="D19" s="1126"/>
      <c r="E19" s="465"/>
      <c r="F19" s="598"/>
      <c r="G19" s="598"/>
      <c r="H19" s="404"/>
      <c r="I19" s="473"/>
      <c r="J19" s="802" t="s">
        <v>1160</v>
      </c>
      <c r="K19" s="803"/>
      <c r="L19" s="803"/>
      <c r="M19" s="803"/>
      <c r="N19" s="649"/>
      <c r="O19" s="803"/>
      <c r="P19" s="803"/>
      <c r="Q19" s="804"/>
      <c r="R19" s="1671"/>
      <c r="S19" s="1672">
        <f>+S16</f>
        <v>631200000</v>
      </c>
      <c r="T19" s="1671" t="s">
        <v>354</v>
      </c>
      <c r="U19" s="1671"/>
      <c r="V19" s="818">
        <v>0.1</v>
      </c>
      <c r="W19" s="1671"/>
      <c r="X19" s="397" t="s">
        <v>565</v>
      </c>
      <c r="Y19" s="874">
        <f t="shared" si="1"/>
        <v>63120</v>
      </c>
      <c r="Z19" s="407">
        <f>ROUNDUP(S19*V19,-3)</f>
        <v>63120000</v>
      </c>
      <c r="AA19" s="1882"/>
      <c r="AB19" s="275"/>
      <c r="AC19" s="1882"/>
      <c r="AD19" s="358"/>
    </row>
    <row r="20" spans="1:30" s="1155" customFormat="1" ht="19.899999999999999" customHeight="1">
      <c r="A20" s="2274"/>
      <c r="B20" s="1145"/>
      <c r="C20" s="470"/>
      <c r="D20" s="359"/>
      <c r="E20" s="819"/>
      <c r="F20" s="597"/>
      <c r="G20" s="597"/>
      <c r="H20" s="820"/>
      <c r="I20" s="473"/>
      <c r="J20" s="821" t="s">
        <v>681</v>
      </c>
      <c r="K20" s="822"/>
      <c r="L20" s="822"/>
      <c r="M20" s="822"/>
      <c r="N20" s="823"/>
      <c r="O20" s="823"/>
      <c r="P20" s="822"/>
      <c r="Q20" s="824"/>
      <c r="R20" s="371"/>
      <c r="S20" s="458">
        <v>1000000</v>
      </c>
      <c r="T20" s="371" t="s">
        <v>354</v>
      </c>
      <c r="U20" s="371"/>
      <c r="V20" s="825">
        <v>11</v>
      </c>
      <c r="W20" s="371" t="s">
        <v>220</v>
      </c>
      <c r="X20" s="426" t="s">
        <v>565</v>
      </c>
      <c r="Y20" s="1910">
        <f t="shared" si="1"/>
        <v>11000</v>
      </c>
      <c r="Z20" s="400">
        <f>ROUNDUP(S20*V20,-3)</f>
        <v>11000000</v>
      </c>
      <c r="AA20" s="907"/>
      <c r="AB20" s="275"/>
      <c r="AC20" s="505"/>
      <c r="AD20" s="1143"/>
    </row>
    <row r="21" spans="1:30" s="2278" customFormat="1" ht="19.899999999999999" customHeight="1">
      <c r="A21" s="910"/>
      <c r="B21" s="470"/>
      <c r="C21" s="1126"/>
      <c r="D21" s="2272" t="s">
        <v>1161</v>
      </c>
      <c r="E21" s="2273"/>
      <c r="F21" s="527">
        <f>SUM(F22:F111)</f>
        <v>1120000</v>
      </c>
      <c r="G21" s="527">
        <f>SUM(G22:G111)</f>
        <v>1120000</v>
      </c>
      <c r="H21" s="1132">
        <f>F21-G21</f>
        <v>0</v>
      </c>
      <c r="I21" s="473"/>
      <c r="J21" s="1129"/>
      <c r="K21" s="2285"/>
      <c r="L21" s="2285"/>
      <c r="M21" s="2285"/>
      <c r="N21" s="2285"/>
      <c r="O21" s="2285"/>
      <c r="P21" s="2285"/>
      <c r="Q21" s="528"/>
      <c r="R21" s="1130"/>
      <c r="S21" s="2044"/>
      <c r="T21" s="2285"/>
      <c r="U21" s="2285"/>
      <c r="V21" s="363"/>
      <c r="W21" s="2285"/>
      <c r="X21" s="2289"/>
      <c r="Y21" s="432"/>
      <c r="Z21" s="275"/>
      <c r="AA21" s="275"/>
      <c r="AB21" s="275"/>
      <c r="AC21" s="275"/>
      <c r="AD21" s="275"/>
    </row>
    <row r="22" spans="1:30" s="2278" customFormat="1" ht="19.899999999999999" customHeight="1">
      <c r="A22" s="910"/>
      <c r="B22" s="470"/>
      <c r="C22" s="1126"/>
      <c r="D22" s="350"/>
      <c r="E22" s="934" t="s">
        <v>2607</v>
      </c>
      <c r="F22" s="978">
        <f>Y22</f>
        <v>2750</v>
      </c>
      <c r="G22" s="978">
        <v>2750</v>
      </c>
      <c r="H22" s="2045"/>
      <c r="I22" s="473"/>
      <c r="J22" s="348" t="s">
        <v>760</v>
      </c>
      <c r="Q22" s="372">
        <v>11</v>
      </c>
      <c r="R22" s="1128" t="s">
        <v>1162</v>
      </c>
      <c r="S22" s="524">
        <v>250000</v>
      </c>
      <c r="T22" s="2278" t="s">
        <v>354</v>
      </c>
      <c r="V22" s="366">
        <v>1</v>
      </c>
      <c r="W22" s="2278" t="s">
        <v>209</v>
      </c>
      <c r="X22" s="525" t="s">
        <v>706</v>
      </c>
      <c r="Y22" s="1674">
        <f>Q22*S22/1000</f>
        <v>2750</v>
      </c>
      <c r="Z22" s="275"/>
      <c r="AA22" s="275"/>
      <c r="AB22" s="275"/>
      <c r="AC22" s="275"/>
      <c r="AD22" s="275"/>
    </row>
    <row r="23" spans="1:30" s="2278" customFormat="1" ht="19.899999999999999" customHeight="1">
      <c r="A23" s="910"/>
      <c r="B23" s="470"/>
      <c r="C23" s="1126"/>
      <c r="D23" s="1126"/>
      <c r="E23" s="1126" t="s">
        <v>2608</v>
      </c>
      <c r="F23" s="1141">
        <f>Y23</f>
        <v>1100</v>
      </c>
      <c r="G23" s="1141">
        <v>1100</v>
      </c>
      <c r="H23" s="523"/>
      <c r="I23" s="473"/>
      <c r="J23" s="348" t="s">
        <v>717</v>
      </c>
      <c r="Q23" s="372">
        <v>11</v>
      </c>
      <c r="R23" s="1128" t="s">
        <v>1162</v>
      </c>
      <c r="S23" s="524">
        <v>100000</v>
      </c>
      <c r="T23" s="2278" t="s">
        <v>354</v>
      </c>
      <c r="V23" s="366">
        <v>1</v>
      </c>
      <c r="W23" s="2278" t="s">
        <v>209</v>
      </c>
      <c r="X23" s="525" t="s">
        <v>706</v>
      </c>
      <c r="Y23" s="1674">
        <f>Q23*S23/1000</f>
        <v>1100</v>
      </c>
      <c r="Z23" s="275"/>
      <c r="AA23" s="275"/>
      <c r="AB23" s="275"/>
      <c r="AC23" s="275"/>
      <c r="AD23" s="275"/>
    </row>
    <row r="24" spans="1:30" s="2278" customFormat="1" ht="19.899999999999999" customHeight="1">
      <c r="A24" s="910"/>
      <c r="B24" s="470"/>
      <c r="C24" s="1126"/>
      <c r="D24" s="1126"/>
      <c r="E24" s="1126" t="s">
        <v>1164</v>
      </c>
      <c r="F24" s="1141">
        <f>Y24</f>
        <v>2800</v>
      </c>
      <c r="G24" s="1141">
        <v>2800</v>
      </c>
      <c r="H24" s="523"/>
      <c r="I24" s="473"/>
      <c r="J24" s="1670" t="s">
        <v>194</v>
      </c>
      <c r="K24" s="1671"/>
      <c r="L24" s="1671"/>
      <c r="M24" s="1671"/>
      <c r="N24" s="1671"/>
      <c r="O24" s="1671"/>
      <c r="P24" s="1671"/>
      <c r="Q24" s="372"/>
      <c r="R24" s="1128"/>
      <c r="S24" s="524"/>
      <c r="V24" s="366"/>
      <c r="X24" s="525"/>
      <c r="Y24" s="1674">
        <f>SUM(Y25:Y26)</f>
        <v>2800</v>
      </c>
      <c r="Z24" s="275"/>
      <c r="AA24" s="275"/>
      <c r="AB24" s="275"/>
      <c r="AC24" s="275"/>
      <c r="AD24" s="275"/>
    </row>
    <row r="25" spans="1:30" s="2278" customFormat="1" ht="19.899999999999999" customHeight="1">
      <c r="A25" s="910"/>
      <c r="B25" s="470"/>
      <c r="C25" s="1126"/>
      <c r="D25" s="1126"/>
      <c r="E25" s="1126"/>
      <c r="F25" s="1141"/>
      <c r="G25" s="1141"/>
      <c r="H25" s="523"/>
      <c r="I25" s="473"/>
      <c r="J25" s="1670" t="s">
        <v>2609</v>
      </c>
      <c r="K25" s="1671"/>
      <c r="L25" s="1671"/>
      <c r="M25" s="1671"/>
      <c r="N25" s="1671"/>
      <c r="O25" s="1671"/>
      <c r="P25" s="1671"/>
      <c r="Q25" s="372"/>
      <c r="R25" s="1128"/>
      <c r="S25" s="524">
        <v>200</v>
      </c>
      <c r="T25" s="2278" t="s">
        <v>0</v>
      </c>
      <c r="V25" s="366">
        <v>10000</v>
      </c>
      <c r="W25" s="2278" t="s">
        <v>9</v>
      </c>
      <c r="X25" s="525" t="s">
        <v>1</v>
      </c>
      <c r="Y25" s="1674">
        <f>(S25*V25)/1000</f>
        <v>2000</v>
      </c>
      <c r="Z25" s="275"/>
      <c r="AA25" s="275"/>
      <c r="AB25" s="275"/>
      <c r="AC25" s="275"/>
      <c r="AD25" s="275"/>
    </row>
    <row r="26" spans="1:30" s="2278" customFormat="1" ht="19.899999999999999" customHeight="1">
      <c r="A26" s="910"/>
      <c r="B26" s="470"/>
      <c r="C26" s="1126"/>
      <c r="D26" s="1126"/>
      <c r="E26" s="1126"/>
      <c r="F26" s="1141"/>
      <c r="G26" s="1141"/>
      <c r="H26" s="523"/>
      <c r="I26" s="473"/>
      <c r="J26" s="2287" t="s">
        <v>2610</v>
      </c>
      <c r="K26" s="2282"/>
      <c r="L26" s="2282"/>
      <c r="M26" s="2282"/>
      <c r="Q26" s="372">
        <v>2</v>
      </c>
      <c r="R26" s="1128" t="s">
        <v>7</v>
      </c>
      <c r="S26" s="524">
        <v>400000</v>
      </c>
      <c r="T26" s="466" t="s">
        <v>0</v>
      </c>
      <c r="V26" s="366">
        <v>1</v>
      </c>
      <c r="W26" s="466" t="s">
        <v>6</v>
      </c>
      <c r="X26" s="525" t="s">
        <v>1</v>
      </c>
      <c r="Y26" s="1674">
        <f>+Q26*S26*V26/1000</f>
        <v>800</v>
      </c>
      <c r="Z26" s="275"/>
      <c r="AA26" s="275"/>
      <c r="AB26" s="275"/>
      <c r="AC26" s="275"/>
      <c r="AD26" s="275"/>
    </row>
    <row r="27" spans="1:30" s="2278" customFormat="1" ht="19.899999999999999" customHeight="1">
      <c r="A27" s="910"/>
      <c r="B27" s="470"/>
      <c r="C27" s="1126"/>
      <c r="D27" s="1126"/>
      <c r="E27" s="470" t="s">
        <v>2611</v>
      </c>
      <c r="F27" s="1141">
        <f>Y27</f>
        <v>5000</v>
      </c>
      <c r="G27" s="1141">
        <v>5000</v>
      </c>
      <c r="H27" s="523"/>
      <c r="I27" s="473"/>
      <c r="J27" s="1670" t="s">
        <v>194</v>
      </c>
      <c r="K27" s="1671"/>
      <c r="L27" s="1671"/>
      <c r="M27" s="1671"/>
      <c r="N27" s="1671"/>
      <c r="O27" s="1671"/>
      <c r="P27" s="1671"/>
      <c r="Q27" s="372"/>
      <c r="R27" s="1128"/>
      <c r="S27" s="524"/>
      <c r="V27" s="366"/>
      <c r="X27" s="525"/>
      <c r="Y27" s="1674">
        <f>SUM(Y28:Y30)</f>
        <v>5000</v>
      </c>
      <c r="Z27" s="275"/>
      <c r="AA27" s="275"/>
      <c r="AB27" s="275"/>
      <c r="AC27" s="275"/>
      <c r="AD27" s="275"/>
    </row>
    <row r="28" spans="1:30" s="2278" customFormat="1" ht="19.899999999999999" customHeight="1">
      <c r="A28" s="910"/>
      <c r="B28" s="470"/>
      <c r="C28" s="1126"/>
      <c r="D28" s="1126"/>
      <c r="E28" s="470"/>
      <c r="F28" s="1141"/>
      <c r="G28" s="1141"/>
      <c r="H28" s="523"/>
      <c r="I28" s="473"/>
      <c r="J28" s="1670" t="s">
        <v>2612</v>
      </c>
      <c r="K28" s="1671"/>
      <c r="L28" s="1671"/>
      <c r="M28" s="1671"/>
      <c r="N28" s="1671"/>
      <c r="O28" s="1671"/>
      <c r="P28" s="1671"/>
      <c r="Q28" s="372"/>
      <c r="R28" s="1128"/>
      <c r="S28" s="524">
        <v>2500000</v>
      </c>
      <c r="T28" s="2278" t="s">
        <v>354</v>
      </c>
      <c r="V28" s="366">
        <v>1</v>
      </c>
      <c r="W28" s="2278" t="s">
        <v>217</v>
      </c>
      <c r="X28" s="525" t="s">
        <v>706</v>
      </c>
      <c r="Y28" s="1674">
        <f t="shared" ref="Y28:Y29" si="2">S28*V28/1000</f>
        <v>2500</v>
      </c>
      <c r="Z28" s="275"/>
      <c r="AA28" s="275"/>
      <c r="AB28" s="275"/>
      <c r="AC28" s="275"/>
      <c r="AD28" s="275"/>
    </row>
    <row r="29" spans="1:30" s="2278" customFormat="1" ht="19.899999999999999" customHeight="1">
      <c r="A29" s="910"/>
      <c r="B29" s="470"/>
      <c r="C29" s="1126"/>
      <c r="D29" s="1126"/>
      <c r="E29" s="470"/>
      <c r="F29" s="1141"/>
      <c r="G29" s="1141"/>
      <c r="H29" s="523"/>
      <c r="I29" s="473"/>
      <c r="J29" s="1670" t="s">
        <v>2613</v>
      </c>
      <c r="K29" s="1671"/>
      <c r="L29" s="1671"/>
      <c r="M29" s="1671"/>
      <c r="N29" s="1671"/>
      <c r="O29" s="1671"/>
      <c r="P29" s="1671"/>
      <c r="Q29" s="372"/>
      <c r="R29" s="1128"/>
      <c r="S29" s="524">
        <v>2000000</v>
      </c>
      <c r="T29" s="2278" t="s">
        <v>354</v>
      </c>
      <c r="V29" s="366">
        <v>1</v>
      </c>
      <c r="W29" s="2278" t="s">
        <v>217</v>
      </c>
      <c r="X29" s="525" t="s">
        <v>706</v>
      </c>
      <c r="Y29" s="1674">
        <f t="shared" si="2"/>
        <v>2000</v>
      </c>
      <c r="Z29" s="275"/>
      <c r="AA29" s="275"/>
      <c r="AB29" s="275"/>
      <c r="AC29" s="275"/>
      <c r="AD29" s="275"/>
    </row>
    <row r="30" spans="1:30" s="2278" customFormat="1" ht="19.899999999999999" customHeight="1">
      <c r="A30" s="910"/>
      <c r="B30" s="470"/>
      <c r="C30" s="1126"/>
      <c r="D30" s="1126"/>
      <c r="E30" s="470"/>
      <c r="F30" s="1141"/>
      <c r="G30" s="1141"/>
      <c r="H30" s="523"/>
      <c r="I30" s="473"/>
      <c r="J30" s="1670" t="s">
        <v>2614</v>
      </c>
      <c r="K30" s="1671"/>
      <c r="L30" s="1671"/>
      <c r="M30" s="1671"/>
      <c r="N30" s="1671"/>
      <c r="O30" s="1671"/>
      <c r="P30" s="1671"/>
      <c r="Q30" s="372"/>
      <c r="R30" s="1128"/>
      <c r="S30" s="524">
        <v>500000</v>
      </c>
      <c r="T30" s="2278" t="s">
        <v>354</v>
      </c>
      <c r="V30" s="366">
        <v>1</v>
      </c>
      <c r="W30" s="2278" t="s">
        <v>460</v>
      </c>
      <c r="X30" s="525" t="s">
        <v>706</v>
      </c>
      <c r="Y30" s="1674">
        <f>S30*V30/1000</f>
        <v>500</v>
      </c>
      <c r="Z30" s="275"/>
      <c r="AA30" s="275"/>
      <c r="AB30" s="275"/>
      <c r="AC30" s="275"/>
      <c r="AD30" s="275"/>
    </row>
    <row r="31" spans="1:30" s="2278" customFormat="1" ht="19.899999999999999" customHeight="1">
      <c r="A31" s="910"/>
      <c r="B31" s="470"/>
      <c r="C31" s="1126"/>
      <c r="D31" s="1126"/>
      <c r="E31" s="1126" t="s">
        <v>584</v>
      </c>
      <c r="F31" s="1141">
        <f>Y31</f>
        <v>6000</v>
      </c>
      <c r="G31" s="1141">
        <v>6000</v>
      </c>
      <c r="H31" s="523"/>
      <c r="I31" s="473"/>
      <c r="J31" s="1670" t="s">
        <v>194</v>
      </c>
      <c r="K31" s="1671"/>
      <c r="L31" s="1671"/>
      <c r="M31" s="1671"/>
      <c r="N31" s="1671"/>
      <c r="O31" s="1671"/>
      <c r="P31" s="1671"/>
      <c r="Q31" s="372"/>
      <c r="R31" s="1128"/>
      <c r="S31" s="524"/>
      <c r="V31" s="366"/>
      <c r="X31" s="525"/>
      <c r="Y31" s="1674">
        <f>SUM(Y32:Y33)</f>
        <v>6000</v>
      </c>
      <c r="Z31" s="275"/>
      <c r="AA31" s="275"/>
      <c r="AB31" s="275"/>
      <c r="AC31" s="275"/>
      <c r="AD31" s="275"/>
    </row>
    <row r="32" spans="1:30" s="2278" customFormat="1" ht="19.899999999999999" customHeight="1">
      <c r="A32" s="910"/>
      <c r="B32" s="470"/>
      <c r="C32" s="1126"/>
      <c r="D32" s="1126"/>
      <c r="E32" s="1126"/>
      <c r="F32" s="1141"/>
      <c r="G32" s="1141"/>
      <c r="H32" s="523"/>
      <c r="I32" s="473"/>
      <c r="J32" s="1670" t="s">
        <v>739</v>
      </c>
      <c r="K32" s="1671"/>
      <c r="L32" s="1671"/>
      <c r="M32" s="1671"/>
      <c r="N32" s="1671"/>
      <c r="O32" s="1671"/>
      <c r="P32" s="1671"/>
      <c r="Q32" s="372">
        <v>1</v>
      </c>
      <c r="R32" s="1128" t="s">
        <v>1167</v>
      </c>
      <c r="S32" s="524">
        <v>100000</v>
      </c>
      <c r="T32" s="2278" t="s">
        <v>354</v>
      </c>
      <c r="V32" s="366">
        <v>12</v>
      </c>
      <c r="W32" s="2278" t="s">
        <v>374</v>
      </c>
      <c r="X32" s="525" t="s">
        <v>706</v>
      </c>
      <c r="Y32" s="1674">
        <f>Q32*S32*V32/1000</f>
        <v>1200</v>
      </c>
      <c r="Z32" s="275"/>
      <c r="AA32" s="275"/>
      <c r="AB32" s="275"/>
      <c r="AC32" s="275"/>
      <c r="AD32" s="275"/>
    </row>
    <row r="33" spans="1:30" s="2278" customFormat="1" ht="19.899999999999999" customHeight="1">
      <c r="A33" s="910"/>
      <c r="B33" s="470"/>
      <c r="C33" s="1126"/>
      <c r="D33" s="1126"/>
      <c r="E33" s="1126"/>
      <c r="F33" s="1141"/>
      <c r="G33" s="1141"/>
      <c r="H33" s="523"/>
      <c r="I33" s="473"/>
      <c r="J33" s="1670" t="s">
        <v>845</v>
      </c>
      <c r="K33" s="1671"/>
      <c r="L33" s="1671"/>
      <c r="M33" s="1671"/>
      <c r="N33" s="1671"/>
      <c r="O33" s="1671"/>
      <c r="P33" s="1671"/>
      <c r="Q33" s="372">
        <v>2</v>
      </c>
      <c r="R33" s="1128" t="s">
        <v>1167</v>
      </c>
      <c r="S33" s="524">
        <v>200000</v>
      </c>
      <c r="T33" s="2278" t="s">
        <v>354</v>
      </c>
      <c r="V33" s="366">
        <v>12</v>
      </c>
      <c r="W33" s="2278" t="s">
        <v>198</v>
      </c>
      <c r="X33" s="525" t="s">
        <v>706</v>
      </c>
      <c r="Y33" s="1674">
        <f>Q33*S33*V33/1000</f>
        <v>4800</v>
      </c>
      <c r="Z33" s="275"/>
      <c r="AA33" s="275"/>
      <c r="AB33" s="275"/>
      <c r="AC33" s="275"/>
      <c r="AD33" s="275"/>
    </row>
    <row r="34" spans="1:30" s="2278" customFormat="1" ht="19.899999999999999" customHeight="1">
      <c r="A34" s="910"/>
      <c r="B34" s="470"/>
      <c r="C34" s="1126"/>
      <c r="D34" s="1126"/>
      <c r="E34" s="470" t="s">
        <v>1169</v>
      </c>
      <c r="F34" s="1141">
        <f>Y34</f>
        <v>4200</v>
      </c>
      <c r="G34" s="1141">
        <v>4200</v>
      </c>
      <c r="H34" s="523"/>
      <c r="I34" s="473"/>
      <c r="J34" s="1670" t="s">
        <v>194</v>
      </c>
      <c r="K34" s="1671"/>
      <c r="L34" s="1671"/>
      <c r="M34" s="1671"/>
      <c r="N34" s="1671"/>
      <c r="O34" s="1671"/>
      <c r="P34" s="1671"/>
      <c r="Q34" s="372"/>
      <c r="R34" s="1128"/>
      <c r="S34" s="524"/>
      <c r="V34" s="366"/>
      <c r="X34" s="525"/>
      <c r="Y34" s="1674">
        <f>SUM(Y35:Y41)</f>
        <v>4200</v>
      </c>
      <c r="Z34" s="275"/>
      <c r="AA34" s="275"/>
      <c r="AB34" s="275"/>
      <c r="AC34" s="275"/>
      <c r="AD34" s="275"/>
    </row>
    <row r="35" spans="1:30" s="2278" customFormat="1" ht="19.899999999999999" customHeight="1">
      <c r="A35" s="910"/>
      <c r="B35" s="470"/>
      <c r="C35" s="1126"/>
      <c r="D35" s="1126"/>
      <c r="E35" s="470"/>
      <c r="F35" s="1141"/>
      <c r="G35" s="1141"/>
      <c r="H35" s="523"/>
      <c r="I35" s="473"/>
      <c r="J35" s="1670" t="s">
        <v>2615</v>
      </c>
      <c r="K35" s="1671"/>
      <c r="L35" s="1671"/>
      <c r="M35" s="1671"/>
      <c r="N35" s="1671"/>
      <c r="O35" s="1671"/>
      <c r="P35" s="1671"/>
      <c r="Q35" s="372"/>
      <c r="R35" s="1128"/>
      <c r="S35" s="524">
        <v>100000</v>
      </c>
      <c r="T35" s="2278" t="s">
        <v>354</v>
      </c>
      <c r="V35" s="366">
        <v>2</v>
      </c>
      <c r="W35" s="2278" t="s">
        <v>217</v>
      </c>
      <c r="X35" s="525" t="s">
        <v>706</v>
      </c>
      <c r="Y35" s="1674">
        <f t="shared" ref="Y35:Y41" si="3">S35*V35/1000</f>
        <v>200</v>
      </c>
      <c r="Z35" s="275"/>
      <c r="AA35" s="275"/>
      <c r="AB35" s="275"/>
      <c r="AC35" s="275"/>
      <c r="AD35" s="275"/>
    </row>
    <row r="36" spans="1:30" s="2278" customFormat="1" ht="19.899999999999999" customHeight="1">
      <c r="A36" s="910"/>
      <c r="B36" s="470"/>
      <c r="C36" s="1126"/>
      <c r="D36" s="1126"/>
      <c r="E36" s="470"/>
      <c r="F36" s="1141"/>
      <c r="G36" s="1141"/>
      <c r="H36" s="523"/>
      <c r="I36" s="473"/>
      <c r="J36" s="1670" t="s">
        <v>1170</v>
      </c>
      <c r="K36" s="1671"/>
      <c r="L36" s="1671"/>
      <c r="M36" s="1671"/>
      <c r="N36" s="1671"/>
      <c r="O36" s="1671"/>
      <c r="P36" s="1671"/>
      <c r="Q36" s="372"/>
      <c r="R36" s="1128"/>
      <c r="S36" s="524">
        <v>1500000</v>
      </c>
      <c r="T36" s="2278" t="s">
        <v>354</v>
      </c>
      <c r="V36" s="366">
        <v>1</v>
      </c>
      <c r="W36" s="2278" t="s">
        <v>217</v>
      </c>
      <c r="X36" s="525" t="s">
        <v>706</v>
      </c>
      <c r="Y36" s="1674">
        <f t="shared" si="3"/>
        <v>1500</v>
      </c>
      <c r="Z36" s="275"/>
      <c r="AA36" s="275"/>
      <c r="AB36" s="275"/>
      <c r="AC36" s="275"/>
      <c r="AD36" s="275"/>
    </row>
    <row r="37" spans="1:30" s="2278" customFormat="1" ht="19.899999999999999" customHeight="1">
      <c r="A37" s="910"/>
      <c r="B37" s="470"/>
      <c r="C37" s="1126"/>
      <c r="D37" s="1126"/>
      <c r="E37" s="470"/>
      <c r="F37" s="1141"/>
      <c r="G37" s="1141"/>
      <c r="H37" s="523"/>
      <c r="I37" s="473"/>
      <c r="J37" s="1670" t="s">
        <v>1171</v>
      </c>
      <c r="K37" s="1671"/>
      <c r="L37" s="1671"/>
      <c r="M37" s="1671"/>
      <c r="N37" s="1671"/>
      <c r="O37" s="1671"/>
      <c r="P37" s="1671"/>
      <c r="Q37" s="372"/>
      <c r="R37" s="1128"/>
      <c r="S37" s="524">
        <v>400000</v>
      </c>
      <c r="T37" s="2278" t="s">
        <v>354</v>
      </c>
      <c r="V37" s="366">
        <v>1</v>
      </c>
      <c r="W37" s="2278" t="s">
        <v>217</v>
      </c>
      <c r="X37" s="525" t="s">
        <v>706</v>
      </c>
      <c r="Y37" s="1674">
        <f t="shared" si="3"/>
        <v>400</v>
      </c>
      <c r="Z37" s="275"/>
      <c r="AA37" s="275"/>
      <c r="AB37" s="275"/>
      <c r="AC37" s="275"/>
      <c r="AD37" s="275"/>
    </row>
    <row r="38" spans="1:30" s="2278" customFormat="1" ht="19.899999999999999" customHeight="1">
      <c r="A38" s="910"/>
      <c r="B38" s="470"/>
      <c r="C38" s="1126"/>
      <c r="D38" s="1126"/>
      <c r="E38" s="470"/>
      <c r="F38" s="1141"/>
      <c r="G38" s="1141"/>
      <c r="H38" s="523"/>
      <c r="I38" s="473"/>
      <c r="J38" s="1670" t="s">
        <v>2616</v>
      </c>
      <c r="K38" s="1671"/>
      <c r="L38" s="1671"/>
      <c r="M38" s="1671"/>
      <c r="N38" s="1671"/>
      <c r="O38" s="1671"/>
      <c r="P38" s="1671"/>
      <c r="Q38" s="372"/>
      <c r="R38" s="1128"/>
      <c r="S38" s="524">
        <v>200000</v>
      </c>
      <c r="T38" s="2278" t="s">
        <v>354</v>
      </c>
      <c r="V38" s="366">
        <v>1</v>
      </c>
      <c r="W38" s="2278" t="s">
        <v>209</v>
      </c>
      <c r="X38" s="525" t="s">
        <v>706</v>
      </c>
      <c r="Y38" s="1674">
        <f t="shared" si="3"/>
        <v>200</v>
      </c>
      <c r="Z38" s="275"/>
      <c r="AA38" s="275"/>
      <c r="AB38" s="275"/>
      <c r="AC38" s="275"/>
      <c r="AD38" s="275"/>
    </row>
    <row r="39" spans="1:30" s="2278" customFormat="1" ht="19.899999999999999" customHeight="1">
      <c r="A39" s="910"/>
      <c r="B39" s="470"/>
      <c r="C39" s="1126"/>
      <c r="D39" s="1126"/>
      <c r="E39" s="470"/>
      <c r="F39" s="1141"/>
      <c r="G39" s="1141"/>
      <c r="H39" s="523"/>
      <c r="I39" s="473"/>
      <c r="J39" s="1670" t="s">
        <v>1172</v>
      </c>
      <c r="K39" s="1671"/>
      <c r="L39" s="1671"/>
      <c r="M39" s="1671"/>
      <c r="N39" s="1671"/>
      <c r="O39" s="1671"/>
      <c r="P39" s="1671"/>
      <c r="Q39" s="372"/>
      <c r="R39" s="1128"/>
      <c r="S39" s="524">
        <v>1500000</v>
      </c>
      <c r="T39" s="2278" t="s">
        <v>354</v>
      </c>
      <c r="V39" s="366">
        <v>1</v>
      </c>
      <c r="W39" s="2278" t="s">
        <v>460</v>
      </c>
      <c r="X39" s="525" t="s">
        <v>565</v>
      </c>
      <c r="Y39" s="1674">
        <f t="shared" si="3"/>
        <v>1500</v>
      </c>
      <c r="Z39" s="275"/>
      <c r="AA39" s="275"/>
      <c r="AB39" s="275"/>
      <c r="AC39" s="275"/>
      <c r="AD39" s="275"/>
    </row>
    <row r="40" spans="1:30" s="2278" customFormat="1" ht="19.899999999999999" customHeight="1">
      <c r="A40" s="910"/>
      <c r="B40" s="470"/>
      <c r="C40" s="1126"/>
      <c r="D40" s="1126"/>
      <c r="E40" s="1126"/>
      <c r="F40" s="1141"/>
      <c r="G40" s="1141"/>
      <c r="H40" s="523"/>
      <c r="I40" s="473"/>
      <c r="J40" s="1670" t="s">
        <v>1174</v>
      </c>
      <c r="K40" s="1671"/>
      <c r="L40" s="1671"/>
      <c r="M40" s="1671"/>
      <c r="N40" s="1671"/>
      <c r="O40" s="1671"/>
      <c r="P40" s="1671"/>
      <c r="Q40" s="372"/>
      <c r="R40" s="1128"/>
      <c r="S40" s="524">
        <v>300000</v>
      </c>
      <c r="T40" s="2278" t="s">
        <v>354</v>
      </c>
      <c r="V40" s="366">
        <v>1</v>
      </c>
      <c r="W40" s="2278" t="s">
        <v>460</v>
      </c>
      <c r="X40" s="525" t="s">
        <v>565</v>
      </c>
      <c r="Y40" s="1674">
        <f t="shared" si="3"/>
        <v>300</v>
      </c>
      <c r="Z40" s="275"/>
      <c r="AA40" s="275"/>
      <c r="AB40" s="275"/>
      <c r="AC40" s="275"/>
      <c r="AD40" s="275"/>
    </row>
    <row r="41" spans="1:30" s="2278" customFormat="1" ht="19.899999999999999" customHeight="1">
      <c r="A41" s="910"/>
      <c r="B41" s="470"/>
      <c r="C41" s="1126"/>
      <c r="D41" s="1126"/>
      <c r="E41" s="1126"/>
      <c r="F41" s="1141"/>
      <c r="G41" s="1141"/>
      <c r="H41" s="523"/>
      <c r="I41" s="473"/>
      <c r="J41" s="1670" t="s">
        <v>1175</v>
      </c>
      <c r="K41" s="1671"/>
      <c r="L41" s="1671"/>
      <c r="M41" s="1671"/>
      <c r="N41" s="1671"/>
      <c r="O41" s="1671"/>
      <c r="P41" s="1671"/>
      <c r="Q41" s="372"/>
      <c r="R41" s="1128"/>
      <c r="S41" s="524">
        <v>10000</v>
      </c>
      <c r="T41" s="2278" t="s">
        <v>354</v>
      </c>
      <c r="V41" s="366">
        <v>10</v>
      </c>
      <c r="W41" s="2278" t="s">
        <v>217</v>
      </c>
      <c r="X41" s="525" t="s">
        <v>706</v>
      </c>
      <c r="Y41" s="1674">
        <f t="shared" si="3"/>
        <v>100</v>
      </c>
      <c r="Z41" s="275"/>
      <c r="AA41" s="275"/>
      <c r="AB41" s="275"/>
      <c r="AC41" s="275"/>
      <c r="AD41" s="275"/>
    </row>
    <row r="42" spans="1:30" s="2278" customFormat="1" ht="19.899999999999999" customHeight="1">
      <c r="A42" s="910"/>
      <c r="B42" s="470"/>
      <c r="C42" s="1126"/>
      <c r="D42" s="1126"/>
      <c r="E42" s="1126" t="s">
        <v>224</v>
      </c>
      <c r="F42" s="1141">
        <f>Y42</f>
        <v>23120</v>
      </c>
      <c r="G42" s="1141">
        <v>23120</v>
      </c>
      <c r="H42" s="523"/>
      <c r="I42" s="473"/>
      <c r="J42" s="1670" t="s">
        <v>194</v>
      </c>
      <c r="K42" s="1671"/>
      <c r="L42" s="1671"/>
      <c r="M42" s="1671"/>
      <c r="N42" s="1671"/>
      <c r="O42" s="1671"/>
      <c r="P42" s="1671"/>
      <c r="Q42" s="372"/>
      <c r="R42" s="1128" t="s">
        <v>267</v>
      </c>
      <c r="S42" s="524" t="s">
        <v>267</v>
      </c>
      <c r="T42" s="2278" t="s">
        <v>267</v>
      </c>
      <c r="V42" s="366" t="s">
        <v>267</v>
      </c>
      <c r="W42" s="2278" t="s">
        <v>267</v>
      </c>
      <c r="X42" s="525"/>
      <c r="Y42" s="1674">
        <f>SUM(Y43:Y48)</f>
        <v>23120</v>
      </c>
      <c r="Z42" s="275"/>
      <c r="AA42" s="275"/>
      <c r="AB42" s="275"/>
      <c r="AC42" s="275"/>
      <c r="AD42" s="275"/>
    </row>
    <row r="43" spans="1:30" s="2278" customFormat="1" ht="19.899999999999999" customHeight="1">
      <c r="A43" s="910"/>
      <c r="B43" s="470"/>
      <c r="C43" s="1126"/>
      <c r="D43" s="1126"/>
      <c r="E43" s="470"/>
      <c r="F43" s="1141"/>
      <c r="G43" s="1141"/>
      <c r="H43" s="523"/>
      <c r="I43" s="473"/>
      <c r="J43" s="1670" t="s">
        <v>1176</v>
      </c>
      <c r="K43" s="1671"/>
      <c r="L43" s="1671"/>
      <c r="M43" s="1671"/>
      <c r="N43" s="1671"/>
      <c r="O43" s="1671"/>
      <c r="P43" s="1671"/>
      <c r="Q43" s="372">
        <v>20</v>
      </c>
      <c r="R43" s="1128" t="s">
        <v>1177</v>
      </c>
      <c r="S43" s="524">
        <v>20000</v>
      </c>
      <c r="T43" s="2278" t="s">
        <v>354</v>
      </c>
      <c r="V43" s="366">
        <v>12</v>
      </c>
      <c r="W43" s="2278" t="s">
        <v>374</v>
      </c>
      <c r="X43" s="525" t="s">
        <v>706</v>
      </c>
      <c r="Y43" s="1674">
        <f>Q43*S43*V43/1000</f>
        <v>4800</v>
      </c>
      <c r="Z43" s="275"/>
      <c r="AA43" s="275"/>
      <c r="AB43" s="275"/>
      <c r="AC43" s="275"/>
      <c r="AD43" s="275"/>
    </row>
    <row r="44" spans="1:30" s="2278" customFormat="1" ht="19.899999999999999" customHeight="1">
      <c r="A44" s="910"/>
      <c r="B44" s="470"/>
      <c r="C44" s="1126"/>
      <c r="D44" s="1126"/>
      <c r="E44" s="470"/>
      <c r="F44" s="1141"/>
      <c r="G44" s="1141"/>
      <c r="H44" s="523"/>
      <c r="I44" s="473"/>
      <c r="J44" s="1670" t="s">
        <v>1178</v>
      </c>
      <c r="K44" s="1671"/>
      <c r="L44" s="1671"/>
      <c r="M44" s="1671"/>
      <c r="N44" s="1671"/>
      <c r="O44" s="1671"/>
      <c r="P44" s="1671"/>
      <c r="Q44" s="372">
        <v>4</v>
      </c>
      <c r="R44" s="1128" t="s">
        <v>2617</v>
      </c>
      <c r="S44" s="524">
        <v>500000</v>
      </c>
      <c r="T44" s="2278" t="s">
        <v>354</v>
      </c>
      <c r="V44" s="366">
        <v>4</v>
      </c>
      <c r="W44" s="2278" t="s">
        <v>217</v>
      </c>
      <c r="X44" s="525" t="s">
        <v>706</v>
      </c>
      <c r="Y44" s="1674">
        <f>Q44*S44*V44/1000</f>
        <v>8000</v>
      </c>
      <c r="Z44" s="275"/>
      <c r="AA44" s="275"/>
      <c r="AB44" s="275"/>
      <c r="AC44" s="275"/>
      <c r="AD44" s="275"/>
    </row>
    <row r="45" spans="1:30" s="2278" customFormat="1" ht="19.899999999999999" customHeight="1">
      <c r="A45" s="910"/>
      <c r="B45" s="470"/>
      <c r="C45" s="1126"/>
      <c r="D45" s="1126"/>
      <c r="E45" s="470"/>
      <c r="F45" s="1141"/>
      <c r="G45" s="1141"/>
      <c r="H45" s="523"/>
      <c r="I45" s="473"/>
      <c r="J45" s="2281" t="s">
        <v>2618</v>
      </c>
      <c r="K45" s="2282"/>
      <c r="L45" s="2282"/>
      <c r="M45" s="2282"/>
      <c r="N45" s="2282"/>
      <c r="O45" s="2282"/>
      <c r="P45" s="2282"/>
      <c r="Q45" s="372">
        <v>3</v>
      </c>
      <c r="R45" s="1128" t="s">
        <v>2617</v>
      </c>
      <c r="S45" s="524">
        <v>600000</v>
      </c>
      <c r="T45" s="2278" t="s">
        <v>354</v>
      </c>
      <c r="V45" s="366">
        <v>2</v>
      </c>
      <c r="W45" s="2278" t="s">
        <v>217</v>
      </c>
      <c r="X45" s="525" t="s">
        <v>706</v>
      </c>
      <c r="Y45" s="1674">
        <f>Q45*S45*V45/1000</f>
        <v>3600</v>
      </c>
      <c r="Z45" s="275"/>
      <c r="AA45" s="275"/>
      <c r="AB45" s="275"/>
      <c r="AC45" s="275"/>
      <c r="AD45" s="275"/>
    </row>
    <row r="46" spans="1:30" s="2278" customFormat="1" ht="19.899999999999999" customHeight="1">
      <c r="A46" s="910"/>
      <c r="B46" s="470"/>
      <c r="C46" s="1126"/>
      <c r="D46" s="1126"/>
      <c r="E46" s="470"/>
      <c r="F46" s="1141"/>
      <c r="G46" s="1141"/>
      <c r="H46" s="523"/>
      <c r="I46" s="473"/>
      <c r="J46" s="2281" t="s">
        <v>2619</v>
      </c>
      <c r="K46" s="2282"/>
      <c r="L46" s="2282"/>
      <c r="M46" s="2282"/>
      <c r="N46" s="2282"/>
      <c r="O46" s="2282"/>
      <c r="P46" s="2282"/>
      <c r="Q46" s="372">
        <v>2</v>
      </c>
      <c r="R46" s="1128" t="s">
        <v>2617</v>
      </c>
      <c r="S46" s="524">
        <v>300000</v>
      </c>
      <c r="T46" s="2278" t="s">
        <v>354</v>
      </c>
      <c r="V46" s="366">
        <v>3</v>
      </c>
      <c r="W46" s="2278" t="s">
        <v>217</v>
      </c>
      <c r="X46" s="525" t="s">
        <v>706</v>
      </c>
      <c r="Y46" s="1674">
        <f>Q46*S46*V46/1000</f>
        <v>1800</v>
      </c>
      <c r="Z46" s="275"/>
      <c r="AA46" s="275"/>
      <c r="AB46" s="275"/>
      <c r="AC46" s="275"/>
      <c r="AD46" s="275"/>
    </row>
    <row r="47" spans="1:30" s="2278" customFormat="1" ht="19.899999999999999" customHeight="1">
      <c r="A47" s="910"/>
      <c r="B47" s="1126"/>
      <c r="C47" s="1126"/>
      <c r="D47" s="1126"/>
      <c r="E47" s="470"/>
      <c r="F47" s="1141"/>
      <c r="G47" s="1141"/>
      <c r="H47" s="523"/>
      <c r="I47" s="473"/>
      <c r="J47" s="2281" t="s">
        <v>2620</v>
      </c>
      <c r="K47" s="2282"/>
      <c r="L47" s="2282"/>
      <c r="M47" s="2282"/>
      <c r="N47" s="2282"/>
      <c r="O47" s="2282"/>
      <c r="P47" s="2282"/>
      <c r="Q47" s="372"/>
      <c r="R47" s="1128"/>
      <c r="S47" s="524">
        <v>160000</v>
      </c>
      <c r="T47" s="2278" t="s">
        <v>354</v>
      </c>
      <c r="V47" s="366">
        <v>12</v>
      </c>
      <c r="W47" s="2278" t="s">
        <v>198</v>
      </c>
      <c r="X47" s="525" t="s">
        <v>706</v>
      </c>
      <c r="Y47" s="1674">
        <f>S47*V47/1000</f>
        <v>1920</v>
      </c>
      <c r="Z47" s="275"/>
      <c r="AA47" s="275"/>
      <c r="AB47" s="275"/>
      <c r="AC47" s="275"/>
      <c r="AD47" s="275"/>
    </row>
    <row r="48" spans="1:30" s="2278" customFormat="1" ht="19.899999999999999" customHeight="1">
      <c r="A48" s="910"/>
      <c r="B48" s="1126"/>
      <c r="C48" s="1126"/>
      <c r="D48" s="1126"/>
      <c r="E48" s="470"/>
      <c r="F48" s="1141"/>
      <c r="G48" s="1141"/>
      <c r="H48" s="523"/>
      <c r="I48" s="473"/>
      <c r="J48" s="1670" t="s">
        <v>2621</v>
      </c>
      <c r="K48" s="1671"/>
      <c r="L48" s="1671"/>
      <c r="M48" s="1671"/>
      <c r="N48" s="1671"/>
      <c r="O48" s="1671"/>
      <c r="P48" s="1671"/>
      <c r="Q48" s="372">
        <v>50</v>
      </c>
      <c r="R48" s="1128" t="s">
        <v>1179</v>
      </c>
      <c r="S48" s="524">
        <v>5000</v>
      </c>
      <c r="T48" s="2278" t="s">
        <v>354</v>
      </c>
      <c r="V48" s="366">
        <v>12</v>
      </c>
      <c r="W48" s="2278" t="s">
        <v>374</v>
      </c>
      <c r="X48" s="525" t="s">
        <v>706</v>
      </c>
      <c r="Y48" s="1674">
        <f>Q48*S48*V48/1000</f>
        <v>3000</v>
      </c>
      <c r="Z48" s="275"/>
      <c r="AA48" s="275"/>
      <c r="AB48" s="275"/>
      <c r="AC48" s="275"/>
      <c r="AD48" s="275"/>
    </row>
    <row r="49" spans="1:30" s="2278" customFormat="1" ht="21.4" customHeight="1">
      <c r="A49" s="910"/>
      <c r="B49" s="1126"/>
      <c r="C49" s="1126"/>
      <c r="D49" s="1126"/>
      <c r="E49" s="1126" t="s">
        <v>1180</v>
      </c>
      <c r="F49" s="1141">
        <f>Y49</f>
        <v>165600</v>
      </c>
      <c r="G49" s="1141">
        <v>165600</v>
      </c>
      <c r="H49" s="523"/>
      <c r="I49" s="473"/>
      <c r="J49" s="1670" t="s">
        <v>194</v>
      </c>
      <c r="K49" s="1671"/>
      <c r="L49" s="1671"/>
      <c r="M49" s="1671"/>
      <c r="N49" s="1671"/>
      <c r="O49" s="1671"/>
      <c r="P49" s="1671"/>
      <c r="Q49" s="372"/>
      <c r="R49" s="1128"/>
      <c r="S49" s="524"/>
      <c r="V49" s="366"/>
      <c r="X49" s="525"/>
      <c r="Y49" s="1674">
        <f>SUM(Y50:Y52)</f>
        <v>165600</v>
      </c>
      <c r="Z49" s="275"/>
      <c r="AA49" s="275"/>
      <c r="AB49" s="275"/>
      <c r="AC49" s="275"/>
      <c r="AD49" s="275"/>
    </row>
    <row r="50" spans="1:30" s="2278" customFormat="1" ht="21.4" customHeight="1">
      <c r="A50" s="910"/>
      <c r="B50" s="1126"/>
      <c r="C50" s="1126"/>
      <c r="D50" s="1126"/>
      <c r="E50" s="1126"/>
      <c r="F50" s="1141"/>
      <c r="G50" s="1141"/>
      <c r="H50" s="523"/>
      <c r="I50" s="473"/>
      <c r="J50" s="1670" t="s">
        <v>742</v>
      </c>
      <c r="K50" s="1671"/>
      <c r="L50" s="1671"/>
      <c r="M50" s="1671"/>
      <c r="N50" s="1671"/>
      <c r="O50" s="1671"/>
      <c r="P50" s="1671"/>
      <c r="Q50" s="372"/>
      <c r="R50" s="1128"/>
      <c r="S50" s="524">
        <v>9450000</v>
      </c>
      <c r="T50" s="2278" t="s">
        <v>354</v>
      </c>
      <c r="V50" s="366">
        <v>12</v>
      </c>
      <c r="W50" s="2278" t="s">
        <v>374</v>
      </c>
      <c r="X50" s="525" t="s">
        <v>706</v>
      </c>
      <c r="Y50" s="1004">
        <f>S50*V50/1000</f>
        <v>113400</v>
      </c>
      <c r="Z50" s="275"/>
      <c r="AA50" s="275"/>
      <c r="AB50" s="275"/>
      <c r="AC50" s="275"/>
      <c r="AD50" s="275"/>
    </row>
    <row r="51" spans="1:30" s="2278" customFormat="1" ht="21.4" customHeight="1">
      <c r="A51" s="910"/>
      <c r="B51" s="1126"/>
      <c r="C51" s="1126"/>
      <c r="D51" s="1126"/>
      <c r="E51" s="1126"/>
      <c r="F51" s="1141"/>
      <c r="G51" s="1141"/>
      <c r="H51" s="523"/>
      <c r="I51" s="473"/>
      <c r="J51" s="1670" t="s">
        <v>743</v>
      </c>
      <c r="K51" s="1671"/>
      <c r="L51" s="1671"/>
      <c r="M51" s="1671"/>
      <c r="N51" s="1671"/>
      <c r="O51" s="1671"/>
      <c r="P51" s="1671"/>
      <c r="Q51" s="372"/>
      <c r="R51" s="1128"/>
      <c r="S51" s="524">
        <v>3150000</v>
      </c>
      <c r="T51" s="2278" t="s">
        <v>354</v>
      </c>
      <c r="V51" s="366">
        <v>12</v>
      </c>
      <c r="W51" s="2278" t="s">
        <v>374</v>
      </c>
      <c r="X51" s="525" t="s">
        <v>706</v>
      </c>
      <c r="Y51" s="1004">
        <f>S51*V51/1000</f>
        <v>37800</v>
      </c>
      <c r="Z51" s="275"/>
      <c r="AA51" s="275"/>
      <c r="AB51" s="275"/>
      <c r="AC51" s="275"/>
      <c r="AD51" s="275"/>
    </row>
    <row r="52" spans="1:30" s="2278" customFormat="1" ht="21.4" customHeight="1">
      <c r="A52" s="910"/>
      <c r="B52" s="1126"/>
      <c r="C52" s="1126"/>
      <c r="D52" s="1126"/>
      <c r="E52" s="1126"/>
      <c r="F52" s="1141"/>
      <c r="G52" s="1141"/>
      <c r="H52" s="523"/>
      <c r="I52" s="473"/>
      <c r="J52" s="1670" t="s">
        <v>2622</v>
      </c>
      <c r="K52" s="1671"/>
      <c r="L52" s="1671"/>
      <c r="M52" s="1671"/>
      <c r="N52" s="1671"/>
      <c r="O52" s="1671"/>
      <c r="P52" s="1671"/>
      <c r="Q52" s="372"/>
      <c r="R52" s="1128"/>
      <c r="S52" s="524">
        <v>1200000</v>
      </c>
      <c r="T52" s="2278" t="s">
        <v>354</v>
      </c>
      <c r="V52" s="366">
        <v>12</v>
      </c>
      <c r="W52" s="2278" t="s">
        <v>374</v>
      </c>
      <c r="X52" s="525" t="s">
        <v>706</v>
      </c>
      <c r="Y52" s="1004">
        <f>S52*V52/1000</f>
        <v>14400</v>
      </c>
      <c r="Z52" s="275"/>
      <c r="AA52" s="275"/>
      <c r="AB52" s="275"/>
      <c r="AC52" s="275"/>
      <c r="AD52" s="275"/>
    </row>
    <row r="53" spans="1:30" s="2278" customFormat="1" ht="21.4" customHeight="1">
      <c r="A53" s="910"/>
      <c r="B53" s="1126"/>
      <c r="C53" s="1126"/>
      <c r="D53" s="1126"/>
      <c r="E53" s="470" t="s">
        <v>2623</v>
      </c>
      <c r="F53" s="1141">
        <f>Y53</f>
        <v>10437</v>
      </c>
      <c r="G53" s="1141">
        <v>10437</v>
      </c>
      <c r="H53" s="523"/>
      <c r="I53" s="473"/>
      <c r="J53" s="1670" t="s">
        <v>194</v>
      </c>
      <c r="K53" s="1671"/>
      <c r="L53" s="1671"/>
      <c r="M53" s="1671"/>
      <c r="N53" s="1671"/>
      <c r="O53" s="1671"/>
      <c r="P53" s="1671"/>
      <c r="Q53" s="372"/>
      <c r="R53" s="1128"/>
      <c r="S53" s="524"/>
      <c r="V53" s="366"/>
      <c r="X53" s="525"/>
      <c r="Y53" s="1674">
        <f>SUM(Y54:Y55)</f>
        <v>10437</v>
      </c>
      <c r="Z53" s="275"/>
      <c r="AA53" s="275"/>
      <c r="AB53" s="275"/>
      <c r="AC53" s="275"/>
      <c r="AD53" s="275"/>
    </row>
    <row r="54" spans="1:30" s="2278" customFormat="1" ht="21.4" customHeight="1">
      <c r="A54" s="910"/>
      <c r="B54" s="1126"/>
      <c r="C54" s="1126"/>
      <c r="D54" s="1126"/>
      <c r="E54" s="470"/>
      <c r="F54" s="1141"/>
      <c r="G54" s="1141"/>
      <c r="H54" s="523"/>
      <c r="I54" s="473"/>
      <c r="J54" s="1670" t="s">
        <v>744</v>
      </c>
      <c r="K54" s="1671"/>
      <c r="L54" s="1671"/>
      <c r="M54" s="1671"/>
      <c r="N54" s="1671"/>
      <c r="O54" s="1671"/>
      <c r="P54" s="1671"/>
      <c r="Q54" s="372"/>
      <c r="R54" s="1128"/>
      <c r="S54" s="524">
        <v>700000</v>
      </c>
      <c r="T54" s="2278" t="s">
        <v>354</v>
      </c>
      <c r="V54" s="366">
        <v>12</v>
      </c>
      <c r="W54" s="2278" t="s">
        <v>374</v>
      </c>
      <c r="X54" s="525" t="s">
        <v>706</v>
      </c>
      <c r="Y54" s="1674">
        <f t="shared" ref="Y54:Y55" si="4">S54*V54/1000</f>
        <v>8400</v>
      </c>
      <c r="Z54" s="275"/>
      <c r="AA54" s="275"/>
      <c r="AB54" s="275"/>
      <c r="AC54" s="275"/>
      <c r="AD54" s="275"/>
    </row>
    <row r="55" spans="1:30" s="2278" customFormat="1" ht="21.4" customHeight="1">
      <c r="A55" s="910"/>
      <c r="B55" s="1126"/>
      <c r="C55" s="1126"/>
      <c r="D55" s="1126"/>
      <c r="E55" s="470"/>
      <c r="F55" s="1141"/>
      <c r="G55" s="1141"/>
      <c r="H55" s="523"/>
      <c r="I55" s="473"/>
      <c r="J55" s="2287" t="s">
        <v>728</v>
      </c>
      <c r="K55" s="2288"/>
      <c r="L55" s="2288"/>
      <c r="M55" s="2288"/>
      <c r="N55" s="2288"/>
      <c r="O55" s="2288"/>
      <c r="P55" s="2288"/>
      <c r="Q55" s="372"/>
      <c r="R55" s="1128"/>
      <c r="S55" s="524">
        <v>2037000000</v>
      </c>
      <c r="T55" s="2278" t="s">
        <v>354</v>
      </c>
      <c r="V55" s="2046">
        <v>1E-3</v>
      </c>
      <c r="X55" s="525" t="s">
        <v>706</v>
      </c>
      <c r="Y55" s="1674">
        <f t="shared" si="4"/>
        <v>2037</v>
      </c>
      <c r="Z55" s="275"/>
      <c r="AA55" s="275"/>
      <c r="AB55" s="275"/>
      <c r="AC55" s="275"/>
      <c r="AD55" s="275"/>
    </row>
    <row r="56" spans="1:30" s="2278" customFormat="1" ht="21.4" customHeight="1">
      <c r="A56" s="910"/>
      <c r="B56" s="1126"/>
      <c r="C56" s="1126"/>
      <c r="D56" s="1126"/>
      <c r="E56" s="1126" t="s">
        <v>195</v>
      </c>
      <c r="F56" s="1141">
        <f>Y56</f>
        <v>58880</v>
      </c>
      <c r="G56" s="1141">
        <v>58880</v>
      </c>
      <c r="H56" s="523"/>
      <c r="I56" s="473"/>
      <c r="J56" s="1670" t="s">
        <v>194</v>
      </c>
      <c r="K56" s="1671"/>
      <c r="L56" s="1671"/>
      <c r="M56" s="1671"/>
      <c r="N56" s="1671"/>
      <c r="O56" s="1671"/>
      <c r="P56" s="1671"/>
      <c r="Q56" s="372"/>
      <c r="R56" s="1128"/>
      <c r="S56" s="524"/>
      <c r="V56" s="366"/>
      <c r="X56" s="525"/>
      <c r="Y56" s="1674">
        <f>SUM(Y57:Y59)</f>
        <v>58880</v>
      </c>
      <c r="Z56" s="275"/>
      <c r="AA56" s="275"/>
      <c r="AB56" s="275"/>
      <c r="AC56" s="275"/>
      <c r="AD56" s="275"/>
    </row>
    <row r="57" spans="1:30" s="2278" customFormat="1" ht="21.4" customHeight="1">
      <c r="A57" s="910"/>
      <c r="B57" s="1126"/>
      <c r="C57" s="1126"/>
      <c r="D57" s="1126"/>
      <c r="E57" s="1126"/>
      <c r="F57" s="1141"/>
      <c r="G57" s="1141"/>
      <c r="H57" s="523"/>
      <c r="I57" s="473"/>
      <c r="J57" s="1670" t="s">
        <v>1181</v>
      </c>
      <c r="K57" s="1671"/>
      <c r="L57" s="1671"/>
      <c r="M57" s="1671"/>
      <c r="N57" s="1671"/>
      <c r="O57" s="1671">
        <v>11</v>
      </c>
      <c r="P57" s="1671" t="s">
        <v>464</v>
      </c>
      <c r="Q57" s="372">
        <v>5</v>
      </c>
      <c r="R57" s="1128" t="s">
        <v>202</v>
      </c>
      <c r="S57" s="524">
        <v>38000</v>
      </c>
      <c r="T57" s="2278" t="s">
        <v>354</v>
      </c>
      <c r="V57" s="366">
        <v>12</v>
      </c>
      <c r="W57" s="2278" t="s">
        <v>374</v>
      </c>
      <c r="X57" s="525" t="s">
        <v>706</v>
      </c>
      <c r="Y57" s="1674">
        <f>+V57*S57*Q57*O57/1000</f>
        <v>25080</v>
      </c>
      <c r="Z57" s="275"/>
      <c r="AA57" s="275"/>
      <c r="AB57" s="275"/>
      <c r="AC57" s="275"/>
      <c r="AD57" s="275"/>
    </row>
    <row r="58" spans="1:30" s="2278" customFormat="1" ht="21.4" customHeight="1">
      <c r="A58" s="910"/>
      <c r="B58" s="1126"/>
      <c r="C58" s="1126"/>
      <c r="D58" s="1126"/>
      <c r="E58" s="1126"/>
      <c r="F58" s="1141"/>
      <c r="G58" s="1141"/>
      <c r="H58" s="523"/>
      <c r="I58" s="473"/>
      <c r="J58" s="1670" t="s">
        <v>1183</v>
      </c>
      <c r="K58" s="1671"/>
      <c r="L58" s="1671"/>
      <c r="M58" s="1671"/>
      <c r="N58" s="1671"/>
      <c r="O58" s="1671"/>
      <c r="P58" s="1671"/>
      <c r="Q58" s="372">
        <v>2</v>
      </c>
      <c r="R58" s="1128" t="s">
        <v>296</v>
      </c>
      <c r="S58" s="524">
        <v>100000</v>
      </c>
      <c r="T58" s="2278" t="s">
        <v>354</v>
      </c>
      <c r="V58" s="366">
        <v>4</v>
      </c>
      <c r="W58" s="2278" t="s">
        <v>217</v>
      </c>
      <c r="X58" s="525" t="s">
        <v>706</v>
      </c>
      <c r="Y58" s="1674">
        <f>Q58*S58*V58/1000</f>
        <v>800</v>
      </c>
      <c r="Z58" s="275"/>
      <c r="AA58" s="275"/>
      <c r="AB58" s="275"/>
      <c r="AC58" s="275"/>
      <c r="AD58" s="275"/>
    </row>
    <row r="59" spans="1:30" s="2278" customFormat="1" ht="21.4" customHeight="1">
      <c r="A59" s="910"/>
      <c r="B59" s="1126"/>
      <c r="C59" s="1126"/>
      <c r="D59" s="1126"/>
      <c r="E59" s="1126"/>
      <c r="F59" s="1141"/>
      <c r="G59" s="1141"/>
      <c r="H59" s="523"/>
      <c r="I59" s="473"/>
      <c r="J59" s="1670" t="s">
        <v>2624</v>
      </c>
      <c r="K59" s="1671"/>
      <c r="L59" s="1671"/>
      <c r="M59" s="1671"/>
      <c r="N59" s="1671"/>
      <c r="O59" s="1671"/>
      <c r="P59" s="1671"/>
      <c r="Q59" s="372">
        <v>11</v>
      </c>
      <c r="R59" s="1128" t="s">
        <v>464</v>
      </c>
      <c r="S59" s="524">
        <v>250000</v>
      </c>
      <c r="T59" s="2278" t="s">
        <v>354</v>
      </c>
      <c r="V59" s="366">
        <v>12</v>
      </c>
      <c r="W59" s="2278" t="s">
        <v>374</v>
      </c>
      <c r="X59" s="525" t="s">
        <v>706</v>
      </c>
      <c r="Y59" s="1674">
        <f>Q59*S59*V59/1000</f>
        <v>33000</v>
      </c>
      <c r="Z59" s="275"/>
      <c r="AA59" s="275"/>
      <c r="AB59" s="275"/>
      <c r="AC59" s="275"/>
      <c r="AD59" s="275"/>
    </row>
    <row r="60" spans="1:30" s="2278" customFormat="1" ht="21.4" customHeight="1">
      <c r="A60" s="910"/>
      <c r="B60" s="1126"/>
      <c r="C60" s="1126"/>
      <c r="D60" s="1126"/>
      <c r="E60" s="470" t="s">
        <v>974</v>
      </c>
      <c r="F60" s="1141">
        <f>Y60</f>
        <v>114450</v>
      </c>
      <c r="G60" s="1141">
        <v>114450</v>
      </c>
      <c r="H60" s="523"/>
      <c r="I60" s="473"/>
      <c r="J60" s="1670" t="s">
        <v>194</v>
      </c>
      <c r="K60" s="1671"/>
      <c r="L60" s="1671"/>
      <c r="M60" s="1671"/>
      <c r="N60" s="1671"/>
      <c r="O60" s="1671"/>
      <c r="P60" s="1671"/>
      <c r="Q60" s="372"/>
      <c r="S60" s="524"/>
      <c r="V60" s="366"/>
      <c r="X60" s="525"/>
      <c r="Y60" s="1674">
        <f>SUM(Y61:Y81)</f>
        <v>114450</v>
      </c>
      <c r="Z60" s="275"/>
      <c r="AA60" s="275"/>
      <c r="AB60" s="275"/>
      <c r="AC60" s="275"/>
      <c r="AD60" s="275"/>
    </row>
    <row r="61" spans="1:30" s="2278" customFormat="1" ht="21.4" customHeight="1">
      <c r="A61" s="910"/>
      <c r="B61" s="1126"/>
      <c r="C61" s="1126"/>
      <c r="D61" s="1126"/>
      <c r="E61" s="470"/>
      <c r="F61" s="1141"/>
      <c r="G61" s="1141"/>
      <c r="H61" s="523"/>
      <c r="I61" s="473"/>
      <c r="J61" s="1670" t="s">
        <v>1185</v>
      </c>
      <c r="K61" s="1671"/>
      <c r="L61" s="1671"/>
      <c r="M61" s="1671"/>
      <c r="N61" s="1671"/>
      <c r="O61" s="1671"/>
      <c r="P61" s="1671"/>
      <c r="Q61" s="372"/>
      <c r="S61" s="2047"/>
      <c r="V61" s="366"/>
      <c r="X61" s="525"/>
      <c r="Y61" s="1674"/>
      <c r="Z61" s="275"/>
      <c r="AA61" s="275"/>
      <c r="AB61" s="275"/>
      <c r="AC61" s="275"/>
      <c r="AD61" s="275"/>
    </row>
    <row r="62" spans="1:30" s="2278" customFormat="1" ht="21.4" customHeight="1">
      <c r="A62" s="910"/>
      <c r="B62" s="1126"/>
      <c r="C62" s="1126"/>
      <c r="D62" s="1126"/>
      <c r="E62" s="470"/>
      <c r="F62" s="1141"/>
      <c r="G62" s="1141"/>
      <c r="H62" s="523"/>
      <c r="I62" s="473"/>
      <c r="J62" s="1670" t="s">
        <v>2625</v>
      </c>
      <c r="K62" s="1671"/>
      <c r="L62" s="1671"/>
      <c r="M62" s="1671"/>
      <c r="N62" s="1671"/>
      <c r="O62" s="1671"/>
      <c r="P62" s="1671"/>
      <c r="Q62" s="372"/>
      <c r="S62" s="2047">
        <v>500000</v>
      </c>
      <c r="T62" s="2278" t="s">
        <v>354</v>
      </c>
      <c r="V62" s="366">
        <v>2</v>
      </c>
      <c r="W62" s="2278" t="s">
        <v>217</v>
      </c>
      <c r="X62" s="525" t="s">
        <v>706</v>
      </c>
      <c r="Y62" s="1674">
        <f>S62*V62/1000</f>
        <v>1000</v>
      </c>
      <c r="Z62" s="275"/>
      <c r="AA62" s="275"/>
      <c r="AB62" s="275"/>
      <c r="AC62" s="275"/>
      <c r="AD62" s="275"/>
    </row>
    <row r="63" spans="1:30" s="2278" customFormat="1" ht="21.4" customHeight="1">
      <c r="A63" s="910"/>
      <c r="B63" s="1126"/>
      <c r="C63" s="1126"/>
      <c r="D63" s="1126"/>
      <c r="E63" s="470"/>
      <c r="F63" s="1141"/>
      <c r="G63" s="1141"/>
      <c r="H63" s="523"/>
      <c r="I63" s="473"/>
      <c r="J63" s="1670" t="s">
        <v>2626</v>
      </c>
      <c r="K63" s="1671"/>
      <c r="L63" s="1671"/>
      <c r="M63" s="1671"/>
      <c r="N63" s="1671"/>
      <c r="O63" s="1671"/>
      <c r="P63" s="1671"/>
      <c r="Q63" s="372">
        <v>600</v>
      </c>
      <c r="R63" s="2278" t="s">
        <v>763</v>
      </c>
      <c r="S63" s="2047">
        <v>20000</v>
      </c>
      <c r="T63" s="2278" t="s">
        <v>354</v>
      </c>
      <c r="V63" s="366">
        <v>1</v>
      </c>
      <c r="W63" s="2278" t="s">
        <v>209</v>
      </c>
      <c r="X63" s="525" t="s">
        <v>706</v>
      </c>
      <c r="Y63" s="1674">
        <f>Q63*S63*V63/1000</f>
        <v>12000</v>
      </c>
      <c r="Z63" s="275"/>
      <c r="AA63" s="275"/>
      <c r="AB63" s="275"/>
      <c r="AC63" s="275"/>
      <c r="AD63" s="275"/>
    </row>
    <row r="64" spans="1:30" s="2278" customFormat="1" ht="21.4" customHeight="1">
      <c r="A64" s="910"/>
      <c r="B64" s="1126"/>
      <c r="C64" s="1126"/>
      <c r="D64" s="1126"/>
      <c r="E64" s="470"/>
      <c r="F64" s="1141"/>
      <c r="G64" s="1141"/>
      <c r="H64" s="523"/>
      <c r="I64" s="473"/>
      <c r="J64" s="1670" t="s">
        <v>2627</v>
      </c>
      <c r="K64" s="1671"/>
      <c r="L64" s="1671"/>
      <c r="M64" s="1671"/>
      <c r="N64" s="1671"/>
      <c r="O64" s="1671"/>
      <c r="P64" s="1671"/>
      <c r="Q64" s="372">
        <v>5000</v>
      </c>
      <c r="R64" s="2278" t="s">
        <v>763</v>
      </c>
      <c r="S64" s="2047">
        <v>200</v>
      </c>
      <c r="T64" s="2278" t="s">
        <v>354</v>
      </c>
      <c r="V64" s="366">
        <v>12</v>
      </c>
      <c r="W64" s="2278" t="s">
        <v>198</v>
      </c>
      <c r="X64" s="525" t="s">
        <v>565</v>
      </c>
      <c r="Y64" s="1674">
        <f>Q64*S64*V64/1000</f>
        <v>12000</v>
      </c>
      <c r="Z64" s="275"/>
      <c r="AA64" s="275"/>
      <c r="AB64" s="275"/>
      <c r="AC64" s="275"/>
      <c r="AD64" s="275"/>
    </row>
    <row r="65" spans="1:30" s="2278" customFormat="1" ht="21.4" customHeight="1">
      <c r="A65" s="910"/>
      <c r="B65" s="1126"/>
      <c r="C65" s="1126"/>
      <c r="D65" s="1126"/>
      <c r="E65" s="470"/>
      <c r="F65" s="1141"/>
      <c r="G65" s="1141"/>
      <c r="H65" s="523"/>
      <c r="I65" s="473"/>
      <c r="J65" s="1670" t="s">
        <v>2628</v>
      </c>
      <c r="K65" s="1671"/>
      <c r="L65" s="1671"/>
      <c r="M65" s="1671"/>
      <c r="N65" s="1671"/>
      <c r="O65" s="1671"/>
      <c r="P65" s="1671"/>
      <c r="Q65" s="372"/>
      <c r="S65" s="2047"/>
      <c r="V65" s="366"/>
      <c r="X65" s="525"/>
      <c r="Y65" s="1674"/>
      <c r="Z65" s="275"/>
      <c r="AA65" s="275"/>
      <c r="AB65" s="275"/>
      <c r="AC65" s="275"/>
      <c r="AD65" s="275"/>
    </row>
    <row r="66" spans="1:30" s="2278" customFormat="1" ht="21.4" customHeight="1">
      <c r="A66" s="910"/>
      <c r="B66" s="1126"/>
      <c r="C66" s="1126"/>
      <c r="D66" s="1126"/>
      <c r="E66" s="470"/>
      <c r="F66" s="1141"/>
      <c r="G66" s="1141"/>
      <c r="H66" s="523"/>
      <c r="I66" s="473"/>
      <c r="J66" s="1670" t="s">
        <v>2629</v>
      </c>
      <c r="K66" s="1671"/>
      <c r="L66" s="1671"/>
      <c r="M66" s="1671"/>
      <c r="N66" s="1671"/>
      <c r="O66" s="1671"/>
      <c r="P66" s="1671"/>
      <c r="Q66" s="372"/>
      <c r="S66" s="2047">
        <v>5000000</v>
      </c>
      <c r="T66" s="2278" t="s">
        <v>324</v>
      </c>
      <c r="V66" s="366">
        <v>1</v>
      </c>
      <c r="W66" s="2278" t="s">
        <v>196</v>
      </c>
      <c r="X66" s="525" t="s">
        <v>565</v>
      </c>
      <c r="Y66" s="1674">
        <f>S66*V66/1000</f>
        <v>5000</v>
      </c>
      <c r="Z66" s="275"/>
      <c r="AA66" s="275"/>
      <c r="AB66" s="275"/>
      <c r="AC66" s="275"/>
      <c r="AD66" s="275"/>
    </row>
    <row r="67" spans="1:30" s="2278" customFormat="1" ht="21.4" customHeight="1">
      <c r="A67" s="910"/>
      <c r="B67" s="1126"/>
      <c r="C67" s="1126"/>
      <c r="D67" s="1126"/>
      <c r="E67" s="470"/>
      <c r="F67" s="1141"/>
      <c r="G67" s="1141"/>
      <c r="H67" s="523"/>
      <c r="I67" s="473"/>
      <c r="J67" s="1670" t="s">
        <v>1188</v>
      </c>
      <c r="K67" s="1671"/>
      <c r="L67" s="1671"/>
      <c r="M67" s="1671"/>
      <c r="N67" s="1671"/>
      <c r="O67" s="1671"/>
      <c r="P67" s="1671"/>
      <c r="Q67" s="372">
        <v>5</v>
      </c>
      <c r="R67" s="2278" t="s">
        <v>296</v>
      </c>
      <c r="S67" s="2047">
        <v>1000000</v>
      </c>
      <c r="T67" s="2278" t="s">
        <v>324</v>
      </c>
      <c r="V67" s="366">
        <v>1</v>
      </c>
      <c r="W67" s="2278" t="s">
        <v>196</v>
      </c>
      <c r="X67" s="525" t="s">
        <v>565</v>
      </c>
      <c r="Y67" s="1674">
        <f>Q67*S67*V67/1000</f>
        <v>5000</v>
      </c>
      <c r="Z67" s="275"/>
      <c r="AA67" s="275"/>
      <c r="AB67" s="275"/>
      <c r="AC67" s="275"/>
      <c r="AD67" s="275"/>
    </row>
    <row r="68" spans="1:30" s="2278" customFormat="1" ht="21.4" customHeight="1">
      <c r="A68" s="910"/>
      <c r="B68" s="1126"/>
      <c r="C68" s="1126"/>
      <c r="D68" s="1126"/>
      <c r="E68" s="470"/>
      <c r="F68" s="1141"/>
      <c r="G68" s="1141"/>
      <c r="H68" s="523"/>
      <c r="I68" s="473"/>
      <c r="J68" s="1670" t="s">
        <v>2630</v>
      </c>
      <c r="K68" s="1671"/>
      <c r="L68" s="1671"/>
      <c r="M68" s="1671"/>
      <c r="N68" s="1671"/>
      <c r="O68" s="1671"/>
      <c r="P68" s="1671"/>
      <c r="Q68" s="372">
        <v>20</v>
      </c>
      <c r="R68" s="2278" t="s">
        <v>296</v>
      </c>
      <c r="S68" s="2047">
        <v>110000</v>
      </c>
      <c r="T68" s="2278" t="s">
        <v>324</v>
      </c>
      <c r="V68" s="366">
        <v>1</v>
      </c>
      <c r="W68" s="2278" t="s">
        <v>196</v>
      </c>
      <c r="X68" s="525" t="s">
        <v>565</v>
      </c>
      <c r="Y68" s="1674">
        <f>Q68*S68*V68/1000</f>
        <v>2200</v>
      </c>
      <c r="Z68" s="275"/>
      <c r="AA68" s="275"/>
      <c r="AB68" s="275"/>
      <c r="AC68" s="275"/>
      <c r="AD68" s="275"/>
    </row>
    <row r="69" spans="1:30" s="2278" customFormat="1" ht="21.4" customHeight="1">
      <c r="A69" s="910"/>
      <c r="B69" s="1126"/>
      <c r="C69" s="1126"/>
      <c r="D69" s="1126"/>
      <c r="E69" s="470"/>
      <c r="F69" s="1141"/>
      <c r="G69" s="1141"/>
      <c r="H69" s="523"/>
      <c r="I69" s="473"/>
      <c r="J69" s="1670" t="s">
        <v>2631</v>
      </c>
      <c r="K69" s="1671"/>
      <c r="L69" s="1671"/>
      <c r="M69" s="1671"/>
      <c r="N69" s="1671"/>
      <c r="O69" s="1671"/>
      <c r="P69" s="1671"/>
      <c r="Q69" s="372"/>
      <c r="S69" s="2047"/>
      <c r="V69" s="366"/>
      <c r="X69" s="525"/>
      <c r="Y69" s="1674"/>
      <c r="Z69" s="275"/>
      <c r="AA69" s="275"/>
      <c r="AB69" s="275"/>
      <c r="AC69" s="275"/>
      <c r="AD69" s="275"/>
    </row>
    <row r="70" spans="1:30" s="2278" customFormat="1" ht="21.4" customHeight="1">
      <c r="A70" s="910"/>
      <c r="B70" s="1126"/>
      <c r="C70" s="1126"/>
      <c r="D70" s="1126"/>
      <c r="E70" s="470"/>
      <c r="F70" s="1141"/>
      <c r="G70" s="1141"/>
      <c r="H70" s="523"/>
      <c r="I70" s="473"/>
      <c r="J70" s="1670" t="s">
        <v>2632</v>
      </c>
      <c r="K70" s="1671"/>
      <c r="L70" s="1671"/>
      <c r="M70" s="1671"/>
      <c r="N70" s="1671"/>
      <c r="O70" s="1671"/>
      <c r="P70" s="1671"/>
      <c r="Q70" s="372"/>
      <c r="S70" s="2047">
        <v>1500000</v>
      </c>
      <c r="T70" s="2278" t="s">
        <v>324</v>
      </c>
      <c r="V70" s="366">
        <v>2</v>
      </c>
      <c r="W70" s="2278" t="s">
        <v>460</v>
      </c>
      <c r="X70" s="525" t="s">
        <v>565</v>
      </c>
      <c r="Y70" s="1674">
        <f>S70*V70/1000</f>
        <v>3000</v>
      </c>
      <c r="Z70" s="275"/>
      <c r="AA70" s="275"/>
      <c r="AB70" s="275"/>
      <c r="AC70" s="275"/>
      <c r="AD70" s="275"/>
    </row>
    <row r="71" spans="1:30" s="2278" customFormat="1" ht="21.4" customHeight="1">
      <c r="A71" s="910"/>
      <c r="B71" s="1126"/>
      <c r="C71" s="1126"/>
      <c r="D71" s="1126"/>
      <c r="E71" s="470"/>
      <c r="F71" s="1141"/>
      <c r="G71" s="1141"/>
      <c r="H71" s="523"/>
      <c r="I71" s="473"/>
      <c r="J71" s="1670" t="s">
        <v>2633</v>
      </c>
      <c r="K71" s="1671"/>
      <c r="L71" s="1671"/>
      <c r="M71" s="1671"/>
      <c r="N71" s="1671"/>
      <c r="O71" s="1671"/>
      <c r="P71" s="1671"/>
      <c r="Q71" s="372">
        <v>100</v>
      </c>
      <c r="R71" s="2278" t="s">
        <v>2634</v>
      </c>
      <c r="S71" s="2047">
        <v>50000</v>
      </c>
      <c r="T71" s="2278" t="s">
        <v>324</v>
      </c>
      <c r="V71" s="366">
        <v>1</v>
      </c>
      <c r="W71" s="2278" t="s">
        <v>460</v>
      </c>
      <c r="X71" s="525" t="s">
        <v>565</v>
      </c>
      <c r="Y71" s="1674">
        <f>Q71*S71*V71/1000</f>
        <v>5000</v>
      </c>
      <c r="Z71" s="275"/>
      <c r="AA71" s="275"/>
      <c r="AB71" s="275"/>
      <c r="AC71" s="275"/>
      <c r="AD71" s="275"/>
    </row>
    <row r="72" spans="1:30" s="2278" customFormat="1" ht="21.4" customHeight="1">
      <c r="A72" s="910"/>
      <c r="B72" s="1126"/>
      <c r="C72" s="1126"/>
      <c r="D72" s="1126"/>
      <c r="E72" s="470"/>
      <c r="F72" s="1141"/>
      <c r="G72" s="1141"/>
      <c r="H72" s="523"/>
      <c r="I72" s="473"/>
      <c r="J72" s="1670" t="s">
        <v>2635</v>
      </c>
      <c r="K72" s="1671"/>
      <c r="L72" s="1671"/>
      <c r="M72" s="1671"/>
      <c r="N72" s="1671"/>
      <c r="O72" s="1671"/>
      <c r="P72" s="1671"/>
      <c r="Q72" s="372">
        <v>2</v>
      </c>
      <c r="R72" s="2278" t="s">
        <v>296</v>
      </c>
      <c r="S72" s="2047">
        <v>5000000</v>
      </c>
      <c r="T72" s="2278" t="s">
        <v>324</v>
      </c>
      <c r="V72" s="366">
        <v>1</v>
      </c>
      <c r="W72" s="2278" t="s">
        <v>460</v>
      </c>
      <c r="X72" s="525" t="s">
        <v>565</v>
      </c>
      <c r="Y72" s="1674">
        <f>Q72*S72*V72/1000</f>
        <v>10000</v>
      </c>
      <c r="Z72" s="275"/>
      <c r="AA72" s="275"/>
      <c r="AB72" s="275"/>
      <c r="AC72" s="275"/>
      <c r="AD72" s="275"/>
    </row>
    <row r="73" spans="1:30" s="2278" customFormat="1" ht="21.4" customHeight="1">
      <c r="A73" s="910"/>
      <c r="B73" s="1126"/>
      <c r="C73" s="1126"/>
      <c r="D73" s="1126"/>
      <c r="E73" s="470"/>
      <c r="F73" s="1141"/>
      <c r="G73" s="1141"/>
      <c r="H73" s="523"/>
      <c r="I73" s="473"/>
      <c r="J73" s="1670" t="s">
        <v>2636</v>
      </c>
      <c r="K73" s="1671"/>
      <c r="L73" s="1671"/>
      <c r="M73" s="1671"/>
      <c r="N73" s="1671"/>
      <c r="O73" s="1671"/>
      <c r="P73" s="1671"/>
      <c r="Q73" s="372">
        <v>1</v>
      </c>
      <c r="R73" s="2278" t="s">
        <v>296</v>
      </c>
      <c r="S73" s="2047">
        <v>3500000</v>
      </c>
      <c r="T73" s="2278" t="s">
        <v>324</v>
      </c>
      <c r="V73" s="366">
        <v>1</v>
      </c>
      <c r="W73" s="2278" t="s">
        <v>460</v>
      </c>
      <c r="X73" s="525" t="s">
        <v>565</v>
      </c>
      <c r="Y73" s="1674">
        <f>Q73*S73*V73/1000</f>
        <v>3500</v>
      </c>
      <c r="Z73" s="275"/>
      <c r="AA73" s="275"/>
      <c r="AB73" s="275"/>
      <c r="AC73" s="275"/>
      <c r="AD73" s="275"/>
    </row>
    <row r="74" spans="1:30" s="2278" customFormat="1" ht="21.4" customHeight="1">
      <c r="A74" s="910"/>
      <c r="B74" s="1126"/>
      <c r="C74" s="1126"/>
      <c r="D74" s="1126"/>
      <c r="E74" s="470"/>
      <c r="F74" s="1141"/>
      <c r="G74" s="1141"/>
      <c r="H74" s="523"/>
      <c r="I74" s="473"/>
      <c r="J74" s="1670" t="s">
        <v>2637</v>
      </c>
      <c r="K74" s="1671"/>
      <c r="L74" s="1671"/>
      <c r="M74" s="1671"/>
      <c r="N74" s="1671"/>
      <c r="O74" s="1671"/>
      <c r="P74" s="1671"/>
      <c r="Q74" s="372"/>
      <c r="S74" s="2047"/>
      <c r="V74" s="366"/>
      <c r="X74" s="525"/>
      <c r="Y74" s="1674"/>
      <c r="Z74" s="275"/>
      <c r="AA74" s="275"/>
      <c r="AB74" s="275"/>
      <c r="AC74" s="275"/>
      <c r="AD74" s="275"/>
    </row>
    <row r="75" spans="1:30" s="2278" customFormat="1" ht="21.4" customHeight="1">
      <c r="A75" s="910"/>
      <c r="B75" s="1126"/>
      <c r="C75" s="1126"/>
      <c r="D75" s="1126"/>
      <c r="E75" s="470"/>
      <c r="F75" s="1141"/>
      <c r="G75" s="1141"/>
      <c r="H75" s="523"/>
      <c r="I75" s="473"/>
      <c r="J75" s="1670" t="s">
        <v>2638</v>
      </c>
      <c r="K75" s="1671"/>
      <c r="L75" s="1671"/>
      <c r="M75" s="1671"/>
      <c r="N75" s="1671"/>
      <c r="O75" s="1671"/>
      <c r="P75" s="1671"/>
      <c r="Q75" s="372">
        <v>10</v>
      </c>
      <c r="R75" s="2278" t="s">
        <v>2634</v>
      </c>
      <c r="S75" s="2047">
        <v>150000</v>
      </c>
      <c r="T75" s="2278" t="s">
        <v>324</v>
      </c>
      <c r="V75" s="366">
        <v>1</v>
      </c>
      <c r="W75" s="2278" t="s">
        <v>460</v>
      </c>
      <c r="X75" s="525" t="s">
        <v>565</v>
      </c>
      <c r="Y75" s="1674">
        <f>Q75*S75*V75/1000</f>
        <v>1500</v>
      </c>
      <c r="Z75" s="275"/>
      <c r="AA75" s="275"/>
      <c r="AB75" s="275"/>
      <c r="AC75" s="275"/>
      <c r="AD75" s="275"/>
    </row>
    <row r="76" spans="1:30" s="2278" customFormat="1" ht="21.4" customHeight="1">
      <c r="A76" s="910"/>
      <c r="B76" s="1126"/>
      <c r="C76" s="1126"/>
      <c r="D76" s="1126"/>
      <c r="E76" s="470"/>
      <c r="F76" s="1141"/>
      <c r="G76" s="1141"/>
      <c r="H76" s="523"/>
      <c r="I76" s="473"/>
      <c r="J76" s="1670" t="s">
        <v>2639</v>
      </c>
      <c r="K76" s="1671"/>
      <c r="L76" s="1671"/>
      <c r="M76" s="1671"/>
      <c r="N76" s="1671"/>
      <c r="O76" s="1671"/>
      <c r="P76" s="1671"/>
      <c r="Q76" s="372"/>
      <c r="S76" s="2047"/>
      <c r="V76" s="366"/>
      <c r="X76" s="525"/>
      <c r="Y76" s="1674"/>
      <c r="Z76" s="275"/>
      <c r="AA76" s="275"/>
      <c r="AB76" s="275"/>
      <c r="AC76" s="275"/>
      <c r="AD76" s="275"/>
    </row>
    <row r="77" spans="1:30" s="2278" customFormat="1" ht="21.4" customHeight="1">
      <c r="A77" s="910"/>
      <c r="B77" s="1126"/>
      <c r="C77" s="1126"/>
      <c r="D77" s="1126"/>
      <c r="E77" s="470"/>
      <c r="F77" s="1141"/>
      <c r="G77" s="1141"/>
      <c r="H77" s="523"/>
      <c r="I77" s="473"/>
      <c r="J77" s="1670" t="s">
        <v>2640</v>
      </c>
      <c r="K77" s="1671"/>
      <c r="L77" s="1671"/>
      <c r="M77" s="1671"/>
      <c r="N77" s="1671"/>
      <c r="O77" s="1671"/>
      <c r="P77" s="1671"/>
      <c r="Q77" s="372">
        <v>37</v>
      </c>
      <c r="R77" s="2278" t="s">
        <v>296</v>
      </c>
      <c r="S77" s="2047">
        <v>250000</v>
      </c>
      <c r="T77" s="2278" t="s">
        <v>324</v>
      </c>
      <c r="V77" s="366">
        <v>1</v>
      </c>
      <c r="W77" s="2278" t="s">
        <v>460</v>
      </c>
      <c r="X77" s="525" t="s">
        <v>565</v>
      </c>
      <c r="Y77" s="1674">
        <f>Q77*S77*V77/1000</f>
        <v>9250</v>
      </c>
      <c r="Z77" s="275"/>
      <c r="AA77" s="275"/>
      <c r="AB77" s="275"/>
      <c r="AC77" s="275"/>
      <c r="AD77" s="275"/>
    </row>
    <row r="78" spans="1:30" s="2278" customFormat="1" ht="21.4" customHeight="1">
      <c r="A78" s="910"/>
      <c r="B78" s="1126"/>
      <c r="C78" s="1126"/>
      <c r="D78" s="1126"/>
      <c r="E78" s="470"/>
      <c r="F78" s="1141"/>
      <c r="G78" s="1141"/>
      <c r="H78" s="523"/>
      <c r="I78" s="473"/>
      <c r="J78" s="1670" t="s">
        <v>2641</v>
      </c>
      <c r="K78" s="1671"/>
      <c r="L78" s="1671"/>
      <c r="M78" s="1671"/>
      <c r="N78" s="1671"/>
      <c r="O78" s="1671"/>
      <c r="P78" s="1671"/>
      <c r="Q78" s="372"/>
      <c r="S78" s="2047"/>
      <c r="V78" s="366"/>
      <c r="X78" s="525"/>
      <c r="Y78" s="1674"/>
      <c r="Z78" s="275"/>
      <c r="AA78" s="275"/>
      <c r="AB78" s="275"/>
      <c r="AC78" s="275"/>
      <c r="AD78" s="275"/>
    </row>
    <row r="79" spans="1:30" s="2278" customFormat="1" ht="21.4" customHeight="1">
      <c r="A79" s="910"/>
      <c r="B79" s="1126"/>
      <c r="C79" s="1126"/>
      <c r="D79" s="1126"/>
      <c r="E79" s="470"/>
      <c r="F79" s="1141"/>
      <c r="G79" s="1141"/>
      <c r="H79" s="523"/>
      <c r="I79" s="473"/>
      <c r="J79" s="1670" t="s">
        <v>2642</v>
      </c>
      <c r="K79" s="1671"/>
      <c r="L79" s="1671"/>
      <c r="M79" s="1671"/>
      <c r="N79" s="1671"/>
      <c r="O79" s="1671"/>
      <c r="P79" s="1671"/>
      <c r="Q79" s="372"/>
      <c r="S79" s="2047">
        <v>350000</v>
      </c>
      <c r="T79" s="2278" t="s">
        <v>324</v>
      </c>
      <c r="V79" s="366">
        <v>12</v>
      </c>
      <c r="W79" s="2278" t="s">
        <v>198</v>
      </c>
      <c r="X79" s="525" t="s">
        <v>565</v>
      </c>
      <c r="Y79" s="1674">
        <f t="shared" ref="Y79:Y80" si="5">S79*V79/1000</f>
        <v>4200</v>
      </c>
      <c r="Z79" s="275"/>
      <c r="AA79" s="275"/>
      <c r="AB79" s="275"/>
      <c r="AC79" s="275"/>
      <c r="AD79" s="275"/>
    </row>
    <row r="80" spans="1:30" s="2278" customFormat="1" ht="21.4" customHeight="1">
      <c r="A80" s="910"/>
      <c r="B80" s="1126"/>
      <c r="C80" s="1126"/>
      <c r="D80" s="1126"/>
      <c r="E80" s="470"/>
      <c r="F80" s="1141"/>
      <c r="G80" s="1141"/>
      <c r="H80" s="523"/>
      <c r="I80" s="473"/>
      <c r="J80" s="1670" t="s">
        <v>1190</v>
      </c>
      <c r="K80" s="1671"/>
      <c r="L80" s="1671"/>
      <c r="M80" s="1671"/>
      <c r="N80" s="1671"/>
      <c r="O80" s="1671"/>
      <c r="P80" s="1671"/>
      <c r="Q80" s="372"/>
      <c r="S80" s="2047">
        <v>2500000</v>
      </c>
      <c r="T80" s="2278" t="s">
        <v>324</v>
      </c>
      <c r="V80" s="366">
        <v>12</v>
      </c>
      <c r="W80" s="2278" t="s">
        <v>198</v>
      </c>
      <c r="X80" s="525" t="s">
        <v>565</v>
      </c>
      <c r="Y80" s="1674">
        <f t="shared" si="5"/>
        <v>30000</v>
      </c>
      <c r="Z80" s="275"/>
      <c r="AA80" s="275"/>
      <c r="AB80" s="275"/>
      <c r="AC80" s="275"/>
      <c r="AD80" s="275"/>
    </row>
    <row r="81" spans="1:30" s="2278" customFormat="1" ht="21.4" customHeight="1">
      <c r="A81" s="910"/>
      <c r="B81" s="1126"/>
      <c r="C81" s="1126"/>
      <c r="D81" s="1126"/>
      <c r="E81" s="1126"/>
      <c r="F81" s="1141"/>
      <c r="G81" s="1141"/>
      <c r="H81" s="523"/>
      <c r="I81" s="473"/>
      <c r="J81" s="1670" t="s">
        <v>1191</v>
      </c>
      <c r="K81" s="1671"/>
      <c r="L81" s="1671"/>
      <c r="M81" s="1671"/>
      <c r="N81" s="1671"/>
      <c r="O81" s="1671"/>
      <c r="P81" s="1671"/>
      <c r="Q81" s="372">
        <v>3</v>
      </c>
      <c r="R81" s="2278" t="s">
        <v>296</v>
      </c>
      <c r="S81" s="2047">
        <v>300000</v>
      </c>
      <c r="T81" s="2278" t="s">
        <v>324</v>
      </c>
      <c r="V81" s="366">
        <v>12</v>
      </c>
      <c r="W81" s="2278" t="s">
        <v>198</v>
      </c>
      <c r="X81" s="525" t="s">
        <v>565</v>
      </c>
      <c r="Y81" s="1674">
        <f>Q81*S81*V81/1000</f>
        <v>10800</v>
      </c>
      <c r="Z81" s="275"/>
      <c r="AA81" s="275"/>
      <c r="AB81" s="275"/>
      <c r="AC81" s="275"/>
      <c r="AD81" s="275"/>
    </row>
    <row r="82" spans="1:30" s="2278" customFormat="1" ht="21.4" customHeight="1">
      <c r="A82" s="910"/>
      <c r="B82" s="1126"/>
      <c r="C82" s="1126"/>
      <c r="D82" s="1126"/>
      <c r="E82" s="1126" t="s">
        <v>219</v>
      </c>
      <c r="F82" s="1141">
        <f>Y82</f>
        <v>2400</v>
      </c>
      <c r="G82" s="1141">
        <v>2400</v>
      </c>
      <c r="H82" s="338"/>
      <c r="I82" s="473"/>
      <c r="J82" s="1670" t="s">
        <v>194</v>
      </c>
      <c r="K82" s="1671"/>
      <c r="L82" s="1671"/>
      <c r="M82" s="1671"/>
      <c r="N82" s="1671"/>
      <c r="O82" s="1671"/>
      <c r="P82" s="1671"/>
      <c r="Q82" s="372"/>
      <c r="S82" s="524"/>
      <c r="V82" s="366"/>
      <c r="X82" s="525"/>
      <c r="Y82" s="1674">
        <f>SUM(Y83:Y84)</f>
        <v>2400</v>
      </c>
      <c r="Z82" s="275"/>
      <c r="AA82" s="275"/>
      <c r="AB82" s="275"/>
      <c r="AC82" s="275"/>
      <c r="AD82" s="275"/>
    </row>
    <row r="83" spans="1:30" s="2278" customFormat="1" ht="21.4" customHeight="1">
      <c r="A83" s="910"/>
      <c r="B83" s="1126"/>
      <c r="C83" s="1126"/>
      <c r="D83" s="1126"/>
      <c r="E83" s="470"/>
      <c r="F83" s="1141"/>
      <c r="G83" s="1141"/>
      <c r="H83" s="523"/>
      <c r="I83" s="473"/>
      <c r="J83" s="1670" t="s">
        <v>2643</v>
      </c>
      <c r="K83" s="1671"/>
      <c r="L83" s="1671"/>
      <c r="M83" s="1671"/>
      <c r="N83" s="1671"/>
      <c r="O83" s="1671"/>
      <c r="P83" s="1671"/>
      <c r="Q83" s="372">
        <v>5</v>
      </c>
      <c r="R83" s="2278" t="s">
        <v>619</v>
      </c>
      <c r="S83" s="524">
        <v>10000</v>
      </c>
      <c r="T83" s="2278" t="s">
        <v>592</v>
      </c>
      <c r="V83" s="366">
        <v>12</v>
      </c>
      <c r="W83" s="2278" t="s">
        <v>198</v>
      </c>
      <c r="X83" s="525" t="s">
        <v>706</v>
      </c>
      <c r="Y83" s="1674">
        <f>Q83*S83*V83/1000</f>
        <v>600</v>
      </c>
      <c r="Z83" s="275"/>
      <c r="AA83" s="275"/>
      <c r="AB83" s="275"/>
      <c r="AC83" s="275"/>
      <c r="AD83" s="275"/>
    </row>
    <row r="84" spans="1:30" s="2278" customFormat="1" ht="21.4" customHeight="1">
      <c r="A84" s="910"/>
      <c r="B84" s="1126"/>
      <c r="C84" s="1126"/>
      <c r="D84" s="1126"/>
      <c r="E84" s="1126"/>
      <c r="F84" s="1141"/>
      <c r="G84" s="1141"/>
      <c r="H84" s="523"/>
      <c r="I84" s="473"/>
      <c r="J84" s="2281" t="s">
        <v>1192</v>
      </c>
      <c r="K84" s="1671"/>
      <c r="L84" s="1671"/>
      <c r="M84" s="1671"/>
      <c r="N84" s="1671"/>
      <c r="O84" s="1671"/>
      <c r="P84" s="1671"/>
      <c r="Q84" s="372">
        <v>12</v>
      </c>
      <c r="R84" s="2278" t="s">
        <v>619</v>
      </c>
      <c r="S84" s="524">
        <v>30000</v>
      </c>
      <c r="T84" s="2278" t="s">
        <v>592</v>
      </c>
      <c r="V84" s="366">
        <v>5</v>
      </c>
      <c r="W84" s="2278" t="s">
        <v>217</v>
      </c>
      <c r="X84" s="525" t="s">
        <v>706</v>
      </c>
      <c r="Y84" s="1674">
        <f>Q84*S84*V84/1000</f>
        <v>1800</v>
      </c>
      <c r="Z84" s="275"/>
      <c r="AA84" s="275"/>
      <c r="AB84" s="275"/>
      <c r="AC84" s="275"/>
      <c r="AD84" s="275"/>
    </row>
    <row r="85" spans="1:30" s="2278" customFormat="1" ht="21.4" customHeight="1">
      <c r="A85" s="910"/>
      <c r="B85" s="1126"/>
      <c r="C85" s="470"/>
      <c r="D85" s="1126"/>
      <c r="E85" s="1126" t="s">
        <v>571</v>
      </c>
      <c r="F85" s="1141">
        <f>Y85</f>
        <v>6508</v>
      </c>
      <c r="G85" s="1141">
        <v>6508</v>
      </c>
      <c r="H85" s="338"/>
      <c r="I85" s="473"/>
      <c r="J85" s="1670" t="s">
        <v>194</v>
      </c>
      <c r="K85" s="1671"/>
      <c r="L85" s="1671"/>
      <c r="M85" s="1671"/>
      <c r="N85" s="1671"/>
      <c r="O85" s="1671"/>
      <c r="P85" s="1671"/>
      <c r="Q85" s="372"/>
      <c r="R85" s="1128" t="s">
        <v>267</v>
      </c>
      <c r="S85" s="524" t="s">
        <v>267</v>
      </c>
      <c r="T85" s="2278" t="s">
        <v>267</v>
      </c>
      <c r="V85" s="366" t="s">
        <v>267</v>
      </c>
      <c r="W85" s="2278" t="s">
        <v>267</v>
      </c>
      <c r="X85" s="525"/>
      <c r="Y85" s="1674">
        <f>SUM(Y86:Y90)</f>
        <v>6508</v>
      </c>
      <c r="Z85" s="275"/>
      <c r="AA85" s="275"/>
      <c r="AB85" s="275"/>
      <c r="AC85" s="275"/>
      <c r="AD85" s="275"/>
    </row>
    <row r="86" spans="1:30" s="2278" customFormat="1" ht="21.4" customHeight="1">
      <c r="A86" s="910"/>
      <c r="B86" s="1126"/>
      <c r="C86" s="470"/>
      <c r="D86" s="1126"/>
      <c r="E86" s="1126"/>
      <c r="F86" s="1141"/>
      <c r="G86" s="1141"/>
      <c r="H86" s="523"/>
      <c r="I86" s="473"/>
      <c r="J86" s="1670" t="s">
        <v>2644</v>
      </c>
      <c r="K86" s="1671"/>
      <c r="L86" s="1671"/>
      <c r="M86" s="1671"/>
      <c r="N86" s="1671"/>
      <c r="O86" s="1671"/>
      <c r="P86" s="1671"/>
      <c r="Q86" s="372"/>
      <c r="R86" s="1128"/>
      <c r="S86" s="524">
        <v>650000</v>
      </c>
      <c r="T86" s="2278" t="s">
        <v>354</v>
      </c>
      <c r="V86" s="366">
        <v>1</v>
      </c>
      <c r="W86" s="2278" t="s">
        <v>196</v>
      </c>
      <c r="X86" s="525" t="s">
        <v>565</v>
      </c>
      <c r="Y86" s="1674">
        <f t="shared" ref="Y86" si="6">S86*V86/1000</f>
        <v>650</v>
      </c>
      <c r="Z86" s="275"/>
      <c r="AA86" s="275"/>
      <c r="AB86" s="275"/>
      <c r="AC86" s="275"/>
      <c r="AD86" s="275"/>
    </row>
    <row r="87" spans="1:30" s="2278" customFormat="1" ht="21.4" customHeight="1">
      <c r="A87" s="910"/>
      <c r="B87" s="1126"/>
      <c r="C87" s="470"/>
      <c r="D87" s="1126"/>
      <c r="E87" s="1126"/>
      <c r="F87" s="1141"/>
      <c r="G87" s="1141"/>
      <c r="H87" s="523"/>
      <c r="I87" s="473"/>
      <c r="J87" s="1670" t="s">
        <v>1193</v>
      </c>
      <c r="K87" s="1671"/>
      <c r="L87" s="1671"/>
      <c r="M87" s="1671"/>
      <c r="N87" s="1671"/>
      <c r="O87" s="1671"/>
      <c r="P87" s="1671"/>
      <c r="Q87" s="372">
        <v>2000</v>
      </c>
      <c r="R87" s="2278" t="s">
        <v>763</v>
      </c>
      <c r="S87" s="524">
        <v>500</v>
      </c>
      <c r="T87" s="2278" t="s">
        <v>354</v>
      </c>
      <c r="V87" s="366">
        <v>1</v>
      </c>
      <c r="W87" s="2278" t="s">
        <v>460</v>
      </c>
      <c r="X87" s="525" t="s">
        <v>565</v>
      </c>
      <c r="Y87" s="1674">
        <f>Q87*S87*V87/1000</f>
        <v>1000</v>
      </c>
      <c r="Z87" s="275"/>
      <c r="AA87" s="275"/>
      <c r="AB87" s="275"/>
      <c r="AC87" s="275"/>
      <c r="AD87" s="275"/>
    </row>
    <row r="88" spans="1:30" s="2278" customFormat="1" ht="21.4" customHeight="1">
      <c r="A88" s="910"/>
      <c r="B88" s="1126"/>
      <c r="C88" s="470"/>
      <c r="D88" s="1126"/>
      <c r="E88" s="1126"/>
      <c r="F88" s="1141"/>
      <c r="G88" s="1141"/>
      <c r="H88" s="523"/>
      <c r="I88" s="473"/>
      <c r="J88" s="1670" t="s">
        <v>2645</v>
      </c>
      <c r="K88" s="1671"/>
      <c r="L88" s="1671"/>
      <c r="M88" s="1671"/>
      <c r="N88" s="1671"/>
      <c r="O88" s="1671"/>
      <c r="P88" s="1671"/>
      <c r="Q88" s="372">
        <v>10</v>
      </c>
      <c r="R88" s="1128" t="s">
        <v>464</v>
      </c>
      <c r="S88" s="524">
        <v>200000</v>
      </c>
      <c r="T88" s="2278" t="s">
        <v>592</v>
      </c>
      <c r="V88" s="366">
        <v>2</v>
      </c>
      <c r="W88" s="2278" t="s">
        <v>460</v>
      </c>
      <c r="X88" s="525" t="s">
        <v>565</v>
      </c>
      <c r="Y88" s="1674">
        <f>Q88*S88*V88/1000</f>
        <v>4000</v>
      </c>
      <c r="Z88" s="275"/>
      <c r="AA88" s="275"/>
      <c r="AB88" s="275"/>
      <c r="AC88" s="275"/>
      <c r="AD88" s="275"/>
    </row>
    <row r="89" spans="1:30" s="2278" customFormat="1" ht="21.4" customHeight="1">
      <c r="A89" s="910"/>
      <c r="B89" s="1126"/>
      <c r="C89" s="470"/>
      <c r="D89" s="1126"/>
      <c r="E89" s="1126"/>
      <c r="F89" s="1141"/>
      <c r="G89" s="1141"/>
      <c r="H89" s="523"/>
      <c r="I89" s="473"/>
      <c r="J89" s="1670" t="s">
        <v>2646</v>
      </c>
      <c r="K89" s="1671"/>
      <c r="L89" s="1671"/>
      <c r="M89" s="1671"/>
      <c r="N89" s="1671"/>
      <c r="O89" s="1671"/>
      <c r="P89" s="1671"/>
      <c r="Q89" s="372">
        <v>10</v>
      </c>
      <c r="R89" s="1128" t="s">
        <v>718</v>
      </c>
      <c r="S89" s="524">
        <v>6450</v>
      </c>
      <c r="T89" s="2278" t="s">
        <v>354</v>
      </c>
      <c r="V89" s="366">
        <v>4</v>
      </c>
      <c r="W89" s="2278" t="s">
        <v>593</v>
      </c>
      <c r="X89" s="525" t="s">
        <v>565</v>
      </c>
      <c r="Y89" s="1674">
        <f>Q89*S89*V89/1000</f>
        <v>258</v>
      </c>
      <c r="Z89" s="275"/>
      <c r="AA89" s="275"/>
      <c r="AB89" s="275"/>
      <c r="AC89" s="275"/>
      <c r="AD89" s="275"/>
    </row>
    <row r="90" spans="1:30" s="2278" customFormat="1" ht="21.4" customHeight="1">
      <c r="A90" s="910"/>
      <c r="B90" s="1126"/>
      <c r="C90" s="470"/>
      <c r="D90" s="1126"/>
      <c r="E90" s="1126"/>
      <c r="F90" s="1141"/>
      <c r="G90" s="1141"/>
      <c r="H90" s="523"/>
      <c r="I90" s="473"/>
      <c r="J90" s="1670" t="s">
        <v>2647</v>
      </c>
      <c r="K90" s="1671"/>
      <c r="L90" s="1671"/>
      <c r="M90" s="1671"/>
      <c r="N90" s="1671"/>
      <c r="O90" s="1671"/>
      <c r="P90" s="1671"/>
      <c r="Q90" s="372"/>
      <c r="R90" s="1128"/>
      <c r="S90" s="524">
        <v>50000</v>
      </c>
      <c r="T90" s="2278" t="s">
        <v>354</v>
      </c>
      <c r="V90" s="366">
        <v>12</v>
      </c>
      <c r="W90" s="2278" t="s">
        <v>198</v>
      </c>
      <c r="X90" s="525" t="s">
        <v>565</v>
      </c>
      <c r="Y90" s="1674">
        <f t="shared" ref="Y90" si="7">S90*V90/1000</f>
        <v>600</v>
      </c>
      <c r="Z90" s="275"/>
      <c r="AA90" s="275"/>
      <c r="AB90" s="275"/>
      <c r="AC90" s="275"/>
      <c r="AD90" s="275"/>
    </row>
    <row r="91" spans="1:30" s="2278" customFormat="1" ht="19.899999999999999" customHeight="1">
      <c r="A91" s="910"/>
      <c r="B91" s="1126"/>
      <c r="C91" s="470"/>
      <c r="D91" s="1126"/>
      <c r="E91" s="1126" t="s">
        <v>2648</v>
      </c>
      <c r="F91" s="1141">
        <f>Y91</f>
        <v>642135</v>
      </c>
      <c r="G91" s="1141">
        <v>642135</v>
      </c>
      <c r="H91" s="338"/>
      <c r="I91" s="473"/>
      <c r="J91" s="1670" t="s">
        <v>194</v>
      </c>
      <c r="K91" s="1671"/>
      <c r="L91" s="1671"/>
      <c r="M91" s="1671"/>
      <c r="N91" s="1671"/>
      <c r="O91" s="1671"/>
      <c r="P91" s="1671"/>
      <c r="Q91" s="372"/>
      <c r="R91" s="1128"/>
      <c r="S91" s="524"/>
      <c r="V91" s="366"/>
      <c r="X91" s="525"/>
      <c r="Y91" s="1674">
        <f>SUM(Y92:Y96)</f>
        <v>642135</v>
      </c>
      <c r="Z91" s="275"/>
      <c r="AA91" s="275"/>
      <c r="AB91" s="275"/>
      <c r="AC91" s="275"/>
      <c r="AD91" s="275"/>
    </row>
    <row r="92" spans="1:30" s="2278" customFormat="1" ht="19.899999999999999" customHeight="1">
      <c r="A92" s="910"/>
      <c r="B92" s="1126"/>
      <c r="C92" s="470"/>
      <c r="D92" s="1126"/>
      <c r="E92" s="470"/>
      <c r="F92" s="1141"/>
      <c r="G92" s="1141"/>
      <c r="H92" s="523"/>
      <c r="I92" s="473"/>
      <c r="J92" s="1670" t="s">
        <v>4808</v>
      </c>
      <c r="K92" s="1671"/>
      <c r="L92" s="1671"/>
      <c r="M92" s="1671"/>
      <c r="N92" s="1671"/>
      <c r="O92" s="1671"/>
      <c r="P92" s="1671"/>
      <c r="Q92" s="372"/>
      <c r="R92" s="1128"/>
      <c r="S92" s="2047">
        <v>593946000</v>
      </c>
      <c r="T92" s="2278" t="s">
        <v>592</v>
      </c>
      <c r="V92" s="366">
        <v>1</v>
      </c>
      <c r="W92" s="2278" t="s">
        <v>217</v>
      </c>
      <c r="X92" s="525" t="s">
        <v>706</v>
      </c>
      <c r="Y92" s="1004">
        <f>S92*V92/1000</f>
        <v>593946</v>
      </c>
      <c r="Z92" s="275"/>
      <c r="AA92" s="275"/>
      <c r="AB92" s="275"/>
      <c r="AC92" s="275"/>
      <c r="AD92" s="275"/>
    </row>
    <row r="93" spans="1:30" s="2278" customFormat="1" ht="19.899999999999999" customHeight="1">
      <c r="A93" s="910"/>
      <c r="B93" s="1126"/>
      <c r="C93" s="470"/>
      <c r="D93" s="1126"/>
      <c r="E93" s="470"/>
      <c r="F93" s="1141"/>
      <c r="G93" s="1141"/>
      <c r="H93" s="523"/>
      <c r="I93" s="473"/>
      <c r="J93" s="1670" t="s">
        <v>2649</v>
      </c>
      <c r="K93" s="1671"/>
      <c r="L93" s="1671"/>
      <c r="M93" s="1671"/>
      <c r="N93" s="1671"/>
      <c r="O93" s="1671"/>
      <c r="P93" s="1671"/>
      <c r="Q93" s="372"/>
      <c r="R93" s="1128"/>
      <c r="S93" s="2047">
        <v>2600000</v>
      </c>
      <c r="T93" s="2278" t="s">
        <v>592</v>
      </c>
      <c r="V93" s="366">
        <v>12</v>
      </c>
      <c r="W93" s="2278" t="s">
        <v>198</v>
      </c>
      <c r="X93" s="525" t="s">
        <v>565</v>
      </c>
      <c r="Y93" s="1674">
        <f t="shared" ref="Y93" si="8">S93*V93/1000</f>
        <v>31200</v>
      </c>
      <c r="Z93" s="275"/>
      <c r="AA93" s="275"/>
      <c r="AB93" s="275"/>
      <c r="AC93" s="275"/>
      <c r="AD93" s="275"/>
    </row>
    <row r="94" spans="1:30" s="2278" customFormat="1" ht="19.899999999999999" customHeight="1">
      <c r="A94" s="910"/>
      <c r="B94" s="1126"/>
      <c r="C94" s="470"/>
      <c r="D94" s="1126"/>
      <c r="E94" s="470"/>
      <c r="F94" s="1141"/>
      <c r="G94" s="1141"/>
      <c r="H94" s="523"/>
      <c r="I94" s="473"/>
      <c r="J94" s="1670" t="s">
        <v>1194</v>
      </c>
      <c r="K94" s="1671"/>
      <c r="L94" s="1671"/>
      <c r="M94" s="1671"/>
      <c r="N94" s="1671"/>
      <c r="O94" s="1671"/>
      <c r="P94" s="1671"/>
      <c r="Q94" s="2048">
        <v>72410</v>
      </c>
      <c r="R94" s="2278" t="s">
        <v>763</v>
      </c>
      <c r="S94" s="2047">
        <v>137.95055931501173</v>
      </c>
      <c r="T94" s="2278" t="s">
        <v>592</v>
      </c>
      <c r="V94" s="366">
        <v>1</v>
      </c>
      <c r="W94" s="2278" t="s">
        <v>217</v>
      </c>
      <c r="X94" s="525" t="s">
        <v>706</v>
      </c>
      <c r="Y94" s="1674">
        <f>Q94*S94*V94/1000</f>
        <v>9989</v>
      </c>
      <c r="Z94" s="275"/>
      <c r="AA94" s="275"/>
      <c r="AB94" s="275"/>
      <c r="AC94" s="275"/>
      <c r="AD94" s="275"/>
    </row>
    <row r="95" spans="1:30" s="2278" customFormat="1" ht="19.899999999999999" customHeight="1">
      <c r="A95" s="910"/>
      <c r="B95" s="1126"/>
      <c r="C95" s="470"/>
      <c r="D95" s="1126"/>
      <c r="E95" s="470"/>
      <c r="F95" s="1141"/>
      <c r="G95" s="1141"/>
      <c r="H95" s="523"/>
      <c r="I95" s="473"/>
      <c r="J95" s="1670" t="s">
        <v>1195</v>
      </c>
      <c r="K95" s="1671"/>
      <c r="L95" s="1671"/>
      <c r="M95" s="1671"/>
      <c r="N95" s="1671"/>
      <c r="O95" s="1671"/>
      <c r="P95" s="1671"/>
      <c r="Q95" s="372"/>
      <c r="R95" s="1128"/>
      <c r="S95" s="2047">
        <v>1000000</v>
      </c>
      <c r="T95" s="2278" t="s">
        <v>592</v>
      </c>
      <c r="V95" s="366">
        <v>2</v>
      </c>
      <c r="W95" s="2278" t="s">
        <v>217</v>
      </c>
      <c r="X95" s="525" t="s">
        <v>706</v>
      </c>
      <c r="Y95" s="1674">
        <f>S95*V95/1000</f>
        <v>2000</v>
      </c>
      <c r="Z95" s="275"/>
      <c r="AA95" s="275"/>
      <c r="AB95" s="275"/>
      <c r="AC95" s="275"/>
      <c r="AD95" s="275"/>
    </row>
    <row r="96" spans="1:30" s="2278" customFormat="1" ht="19.899999999999999" customHeight="1">
      <c r="A96" s="910"/>
      <c r="B96" s="1126"/>
      <c r="C96" s="470"/>
      <c r="D96" s="1126"/>
      <c r="E96" s="470"/>
      <c r="F96" s="1141"/>
      <c r="G96" s="1141"/>
      <c r="H96" s="523"/>
      <c r="I96" s="473"/>
      <c r="J96" s="1670" t="s">
        <v>594</v>
      </c>
      <c r="K96" s="1671"/>
      <c r="L96" s="1671"/>
      <c r="M96" s="1671"/>
      <c r="N96" s="1671"/>
      <c r="O96" s="1671"/>
      <c r="P96" s="1671"/>
      <c r="Q96" s="372">
        <v>5000</v>
      </c>
      <c r="R96" s="2278" t="s">
        <v>763</v>
      </c>
      <c r="S96" s="2047">
        <v>500</v>
      </c>
      <c r="T96" s="2278" t="s">
        <v>592</v>
      </c>
      <c r="V96" s="366">
        <v>2</v>
      </c>
      <c r="W96" s="2278" t="s">
        <v>460</v>
      </c>
      <c r="X96" s="525" t="s">
        <v>706</v>
      </c>
      <c r="Y96" s="1674">
        <f>Q96*S96*V96/1000</f>
        <v>5000</v>
      </c>
      <c r="Z96" s="275"/>
      <c r="AA96" s="275"/>
      <c r="AB96" s="275"/>
      <c r="AC96" s="275"/>
      <c r="AD96" s="275"/>
    </row>
    <row r="97" spans="1:30" s="2278" customFormat="1" ht="19.899999999999999" customHeight="1">
      <c r="A97" s="910"/>
      <c r="B97" s="1126"/>
      <c r="C97" s="470"/>
      <c r="D97" s="1126"/>
      <c r="E97" s="1126" t="s">
        <v>223</v>
      </c>
      <c r="F97" s="1141">
        <f>Y97</f>
        <v>43200</v>
      </c>
      <c r="G97" s="1141">
        <v>43200</v>
      </c>
      <c r="H97" s="338"/>
      <c r="I97" s="473"/>
      <c r="J97" s="1670" t="s">
        <v>194</v>
      </c>
      <c r="K97" s="1671"/>
      <c r="L97" s="1671"/>
      <c r="M97" s="1671"/>
      <c r="N97" s="1671"/>
      <c r="O97" s="1671"/>
      <c r="P97" s="1671"/>
      <c r="Q97" s="372"/>
      <c r="R97" s="1128"/>
      <c r="S97" s="524"/>
      <c r="W97" s="366"/>
      <c r="X97" s="525"/>
      <c r="Y97" s="1674">
        <f>SUM(Y98:Y102)</f>
        <v>43200</v>
      </c>
      <c r="Z97" s="275"/>
      <c r="AA97" s="275"/>
      <c r="AB97" s="275"/>
      <c r="AC97" s="275"/>
      <c r="AD97" s="275"/>
    </row>
    <row r="98" spans="1:30" s="2278" customFormat="1" ht="19.899999999999999" customHeight="1">
      <c r="A98" s="910"/>
      <c r="B98" s="1126"/>
      <c r="C98" s="470"/>
      <c r="D98" s="1126"/>
      <c r="E98" s="1126"/>
      <c r="F98" s="1141"/>
      <c r="G98" s="1141"/>
      <c r="H98" s="523"/>
      <c r="I98" s="473"/>
      <c r="J98" s="1670" t="s">
        <v>2650</v>
      </c>
      <c r="K98" s="1671"/>
      <c r="L98" s="1671"/>
      <c r="M98" s="1671"/>
      <c r="N98" s="1671"/>
      <c r="O98" s="1671"/>
      <c r="P98" s="372"/>
      <c r="Q98" s="1128">
        <v>2</v>
      </c>
      <c r="R98" s="2049" t="s">
        <v>296</v>
      </c>
      <c r="S98" s="2288">
        <v>500000</v>
      </c>
      <c r="T98" s="2278" t="s">
        <v>592</v>
      </c>
      <c r="V98" s="366">
        <v>12</v>
      </c>
      <c r="W98" s="2278" t="s">
        <v>374</v>
      </c>
      <c r="X98" s="525" t="s">
        <v>706</v>
      </c>
      <c r="Y98" s="1674">
        <f>Q98*S98*V98/1000</f>
        <v>12000</v>
      </c>
      <c r="Z98" s="275"/>
      <c r="AA98" s="275"/>
      <c r="AB98" s="275"/>
      <c r="AC98" s="275"/>
      <c r="AD98" s="275"/>
    </row>
    <row r="99" spans="1:30" s="2278" customFormat="1" ht="19.899999999999999" customHeight="1">
      <c r="A99" s="910"/>
      <c r="B99" s="1126"/>
      <c r="C99" s="470"/>
      <c r="D99" s="1126"/>
      <c r="E99" s="1126"/>
      <c r="F99" s="1141"/>
      <c r="G99" s="1141"/>
      <c r="H99" s="523"/>
      <c r="I99" s="473"/>
      <c r="J99" s="1670" t="s">
        <v>2651</v>
      </c>
      <c r="K99" s="1671"/>
      <c r="L99" s="1671"/>
      <c r="M99" s="1671"/>
      <c r="N99" s="1671"/>
      <c r="O99" s="1671"/>
      <c r="P99" s="372"/>
      <c r="Q99" s="1128"/>
      <c r="R99" s="2049"/>
      <c r="S99" s="2288">
        <v>50000</v>
      </c>
      <c r="T99" s="2278" t="s">
        <v>592</v>
      </c>
      <c r="V99" s="366">
        <v>12</v>
      </c>
      <c r="W99" s="2278" t="s">
        <v>2</v>
      </c>
      <c r="X99" s="525" t="s">
        <v>1</v>
      </c>
      <c r="Y99" s="1674">
        <f>S99*V99/1000</f>
        <v>600</v>
      </c>
      <c r="Z99" s="275"/>
      <c r="AA99" s="275"/>
      <c r="AB99" s="275"/>
      <c r="AC99" s="275"/>
      <c r="AD99" s="275"/>
    </row>
    <row r="100" spans="1:30" s="2278" customFormat="1" ht="19.899999999999999" customHeight="1">
      <c r="A100" s="910"/>
      <c r="B100" s="1126"/>
      <c r="C100" s="470"/>
      <c r="D100" s="1126"/>
      <c r="E100" s="1126"/>
      <c r="F100" s="1141"/>
      <c r="G100" s="1141"/>
      <c r="H100" s="523"/>
      <c r="I100" s="473"/>
      <c r="J100" s="1670" t="s">
        <v>595</v>
      </c>
      <c r="K100" s="1671"/>
      <c r="L100" s="1671"/>
      <c r="M100" s="1671"/>
      <c r="N100" s="1671"/>
      <c r="O100" s="1671"/>
      <c r="P100" s="372"/>
      <c r="Q100" s="1128">
        <v>3</v>
      </c>
      <c r="R100" s="2049" t="s">
        <v>464</v>
      </c>
      <c r="S100" s="2288">
        <v>5000000</v>
      </c>
      <c r="T100" s="2278" t="s">
        <v>592</v>
      </c>
      <c r="V100" s="366">
        <v>1</v>
      </c>
      <c r="W100" s="2278" t="s">
        <v>460</v>
      </c>
      <c r="X100" s="525" t="s">
        <v>1</v>
      </c>
      <c r="Y100" s="1674">
        <f>Q100*S100*V100/1000</f>
        <v>15000</v>
      </c>
      <c r="Z100" s="275"/>
      <c r="AA100" s="275"/>
      <c r="AB100" s="275"/>
      <c r="AC100" s="275"/>
      <c r="AD100" s="275"/>
    </row>
    <row r="101" spans="1:30" s="2278" customFormat="1" ht="19.899999999999999" customHeight="1">
      <c r="A101" s="910"/>
      <c r="B101" s="1126"/>
      <c r="C101" s="470"/>
      <c r="D101" s="1126"/>
      <c r="E101" s="1126"/>
      <c r="F101" s="1141"/>
      <c r="G101" s="1141"/>
      <c r="H101" s="523"/>
      <c r="I101" s="473"/>
      <c r="J101" s="1670" t="s">
        <v>1196</v>
      </c>
      <c r="K101" s="1671"/>
      <c r="L101" s="1671"/>
      <c r="M101" s="1671"/>
      <c r="N101" s="1671"/>
      <c r="O101" s="1671"/>
      <c r="P101" s="372"/>
      <c r="Q101" s="1128">
        <v>4</v>
      </c>
      <c r="R101" s="2049" t="s">
        <v>464</v>
      </c>
      <c r="S101" s="2288">
        <v>300000</v>
      </c>
      <c r="T101" s="2278" t="s">
        <v>592</v>
      </c>
      <c r="V101" s="366">
        <v>12</v>
      </c>
      <c r="W101" s="2278" t="s">
        <v>198</v>
      </c>
      <c r="X101" s="525" t="s">
        <v>1</v>
      </c>
      <c r="Y101" s="1674">
        <f>Q101*S101*V101/1000</f>
        <v>14400</v>
      </c>
      <c r="Z101" s="275"/>
      <c r="AA101" s="275"/>
      <c r="AB101" s="275"/>
      <c r="AC101" s="275"/>
      <c r="AD101" s="275"/>
    </row>
    <row r="102" spans="1:30" s="2278" customFormat="1" ht="19.899999999999999" customHeight="1">
      <c r="A102" s="910"/>
      <c r="B102" s="1126"/>
      <c r="C102" s="470"/>
      <c r="D102" s="1126"/>
      <c r="E102" s="1126"/>
      <c r="F102" s="1141"/>
      <c r="G102" s="1141"/>
      <c r="H102" s="523"/>
      <c r="I102" s="473"/>
      <c r="J102" s="1670" t="s">
        <v>2652</v>
      </c>
      <c r="K102" s="1671"/>
      <c r="L102" s="1671"/>
      <c r="M102" s="1671"/>
      <c r="N102" s="1671"/>
      <c r="O102" s="1671"/>
      <c r="P102" s="372"/>
      <c r="Q102" s="1128">
        <v>4</v>
      </c>
      <c r="R102" s="2050" t="s">
        <v>296</v>
      </c>
      <c r="S102" s="2288">
        <v>25000</v>
      </c>
      <c r="T102" s="2278" t="s">
        <v>592</v>
      </c>
      <c r="U102" s="366"/>
      <c r="V102" s="2278">
        <v>12</v>
      </c>
      <c r="W102" s="2275" t="s">
        <v>198</v>
      </c>
      <c r="X102" s="907" t="s">
        <v>565</v>
      </c>
      <c r="Y102" s="1674">
        <f>Q102*S102*V102/1000</f>
        <v>1200</v>
      </c>
      <c r="Z102" s="275"/>
      <c r="AA102" s="275"/>
      <c r="AB102" s="275"/>
      <c r="AC102" s="275"/>
      <c r="AD102" s="275"/>
    </row>
    <row r="103" spans="1:30" s="2278" customFormat="1" ht="19.899999999999999" customHeight="1">
      <c r="A103" s="910"/>
      <c r="B103" s="1126"/>
      <c r="C103" s="470"/>
      <c r="D103" s="1126"/>
      <c r="E103" s="1126" t="s">
        <v>910</v>
      </c>
      <c r="F103" s="1141">
        <f>Y103</f>
        <v>14400</v>
      </c>
      <c r="G103" s="1141">
        <v>14400</v>
      </c>
      <c r="H103" s="338"/>
      <c r="I103" s="473"/>
      <c r="J103" s="1670" t="s">
        <v>194</v>
      </c>
      <c r="K103" s="1671"/>
      <c r="L103" s="1671"/>
      <c r="M103" s="1671"/>
      <c r="N103" s="1671"/>
      <c r="O103" s="1671"/>
      <c r="P103" s="372"/>
      <c r="Q103" s="372"/>
      <c r="S103" s="2047"/>
      <c r="V103" s="366"/>
      <c r="X103" s="525"/>
      <c r="Y103" s="1674">
        <f>SUM(Y104:Y105)</f>
        <v>14400</v>
      </c>
      <c r="Z103" s="275"/>
      <c r="AA103" s="275"/>
      <c r="AB103" s="275"/>
      <c r="AC103" s="275"/>
      <c r="AD103" s="275"/>
    </row>
    <row r="104" spans="1:30" s="2278" customFormat="1" ht="19.899999999999999" customHeight="1">
      <c r="A104" s="910"/>
      <c r="B104" s="1126"/>
      <c r="C104" s="470"/>
      <c r="D104" s="1126"/>
      <c r="E104" s="1126"/>
      <c r="F104" s="1141"/>
      <c r="G104" s="1141"/>
      <c r="H104" s="523"/>
      <c r="I104" s="473"/>
      <c r="J104" s="1670" t="s">
        <v>764</v>
      </c>
      <c r="K104" s="1671"/>
      <c r="L104" s="1671"/>
      <c r="M104" s="1671"/>
      <c r="N104" s="1671"/>
      <c r="O104" s="1671"/>
      <c r="P104" s="1671"/>
      <c r="Q104" s="372">
        <v>1</v>
      </c>
      <c r="R104" s="2278" t="s">
        <v>464</v>
      </c>
      <c r="S104" s="2047">
        <v>600000</v>
      </c>
      <c r="T104" s="2278" t="s">
        <v>354</v>
      </c>
      <c r="V104" s="366">
        <v>12</v>
      </c>
      <c r="W104" s="2278" t="s">
        <v>374</v>
      </c>
      <c r="X104" s="525" t="s">
        <v>706</v>
      </c>
      <c r="Y104" s="1674">
        <f>S104*V104/1000</f>
        <v>7200</v>
      </c>
      <c r="Z104" s="275"/>
      <c r="AA104" s="275"/>
      <c r="AB104" s="275"/>
      <c r="AC104" s="275"/>
      <c r="AD104" s="275"/>
    </row>
    <row r="105" spans="1:30" s="2278" customFormat="1" ht="19.899999999999999" customHeight="1">
      <c r="A105" s="910"/>
      <c r="B105" s="1126"/>
      <c r="C105" s="470"/>
      <c r="D105" s="1126"/>
      <c r="E105" s="1126"/>
      <c r="F105" s="1141"/>
      <c r="G105" s="1141"/>
      <c r="H105" s="523"/>
      <c r="I105" s="473"/>
      <c r="J105" s="1670" t="s">
        <v>765</v>
      </c>
      <c r="K105" s="1671"/>
      <c r="L105" s="1671"/>
      <c r="M105" s="1671"/>
      <c r="N105" s="1671"/>
      <c r="O105" s="1671"/>
      <c r="P105" s="1671"/>
      <c r="Q105" s="372">
        <v>2</v>
      </c>
      <c r="R105" s="2278" t="s">
        <v>464</v>
      </c>
      <c r="S105" s="524">
        <v>300000</v>
      </c>
      <c r="T105" s="2278" t="s">
        <v>592</v>
      </c>
      <c r="V105" s="524">
        <v>12</v>
      </c>
      <c r="W105" s="2278" t="s">
        <v>374</v>
      </c>
      <c r="X105" s="525" t="s">
        <v>706</v>
      </c>
      <c r="Y105" s="1674">
        <f>+Q105*S105*V105/1000</f>
        <v>7200</v>
      </c>
      <c r="Z105" s="275"/>
      <c r="AA105" s="275"/>
      <c r="AB105" s="275"/>
      <c r="AC105" s="275"/>
      <c r="AD105" s="275"/>
    </row>
    <row r="106" spans="1:30" s="2278" customFormat="1" ht="19.899999999999999" customHeight="1">
      <c r="A106" s="910"/>
      <c r="B106" s="1126"/>
      <c r="C106" s="470"/>
      <c r="D106" s="1126"/>
      <c r="E106" s="1126" t="s">
        <v>370</v>
      </c>
      <c r="F106" s="1141">
        <f>Y106</f>
        <v>14520</v>
      </c>
      <c r="G106" s="1141">
        <v>14520</v>
      </c>
      <c r="H106" s="338"/>
      <c r="I106" s="473"/>
      <c r="J106" s="1670" t="s">
        <v>194</v>
      </c>
      <c r="K106" s="1671"/>
      <c r="L106" s="1671"/>
      <c r="M106" s="1671"/>
      <c r="N106" s="1671"/>
      <c r="O106" s="1671"/>
      <c r="P106" s="1671"/>
      <c r="Q106" s="372"/>
      <c r="R106" s="1128"/>
      <c r="S106" s="524"/>
      <c r="V106" s="366"/>
      <c r="X106" s="2051"/>
      <c r="Y106" s="1674">
        <f>SUM(Y107:Y110)</f>
        <v>14520</v>
      </c>
      <c r="Z106" s="275"/>
      <c r="AA106" s="275"/>
      <c r="AB106" s="275"/>
      <c r="AC106" s="275"/>
      <c r="AD106" s="275"/>
    </row>
    <row r="107" spans="1:30" s="2278" customFormat="1" ht="19.899999999999999" customHeight="1">
      <c r="A107" s="910"/>
      <c r="B107" s="1126"/>
      <c r="C107" s="470"/>
      <c r="D107" s="1126"/>
      <c r="E107" s="1126"/>
      <c r="F107" s="1141"/>
      <c r="G107" s="1141"/>
      <c r="H107" s="523"/>
      <c r="I107" s="473"/>
      <c r="J107" s="1670" t="s">
        <v>755</v>
      </c>
      <c r="K107" s="1671"/>
      <c r="L107" s="1671"/>
      <c r="M107" s="1671"/>
      <c r="N107" s="1671"/>
      <c r="O107" s="1671"/>
      <c r="P107" s="1671"/>
      <c r="Q107" s="372"/>
      <c r="R107" s="1128"/>
      <c r="S107" s="524">
        <v>100000</v>
      </c>
      <c r="T107" s="466" t="s">
        <v>592</v>
      </c>
      <c r="V107" s="366">
        <v>12</v>
      </c>
      <c r="W107" s="466" t="s">
        <v>198</v>
      </c>
      <c r="X107" s="525" t="s">
        <v>565</v>
      </c>
      <c r="Y107" s="1674">
        <f>+V107*S107/1000</f>
        <v>1200</v>
      </c>
      <c r="Z107" s="275"/>
      <c r="AA107" s="275"/>
      <c r="AB107" s="275"/>
      <c r="AC107" s="275"/>
      <c r="AD107" s="275"/>
    </row>
    <row r="108" spans="1:30" s="2278" customFormat="1" ht="19.899999999999999" customHeight="1">
      <c r="A108" s="910"/>
      <c r="B108" s="1126"/>
      <c r="C108" s="470"/>
      <c r="D108" s="1126"/>
      <c r="E108" s="1126"/>
      <c r="F108" s="1141"/>
      <c r="G108" s="1141"/>
      <c r="H108" s="523"/>
      <c r="I108" s="473"/>
      <c r="J108" s="1670" t="s">
        <v>2653</v>
      </c>
      <c r="K108" s="1671"/>
      <c r="L108" s="1671"/>
      <c r="M108" s="1671"/>
      <c r="N108" s="1671"/>
      <c r="O108" s="1671"/>
      <c r="P108" s="1671"/>
      <c r="Q108" s="372">
        <v>5</v>
      </c>
      <c r="R108" s="1128" t="s">
        <v>296</v>
      </c>
      <c r="S108" s="524">
        <v>100000</v>
      </c>
      <c r="T108" s="466" t="s">
        <v>592</v>
      </c>
      <c r="V108" s="366">
        <v>12</v>
      </c>
      <c r="W108" s="466" t="s">
        <v>374</v>
      </c>
      <c r="X108" s="525" t="s">
        <v>706</v>
      </c>
      <c r="Y108" s="1674">
        <f>+V108*S108*Q108/1000</f>
        <v>6000</v>
      </c>
      <c r="Z108" s="275"/>
      <c r="AA108" s="275"/>
      <c r="AB108" s="275"/>
      <c r="AC108" s="275"/>
      <c r="AD108" s="275"/>
    </row>
    <row r="109" spans="1:30" s="2278" customFormat="1" ht="19.899999999999999" customHeight="1">
      <c r="A109" s="910"/>
      <c r="B109" s="1126"/>
      <c r="C109" s="470"/>
      <c r="D109" s="1126"/>
      <c r="E109" s="1126"/>
      <c r="F109" s="1141"/>
      <c r="G109" s="1141"/>
      <c r="H109" s="523"/>
      <c r="I109" s="473"/>
      <c r="J109" s="1670" t="s">
        <v>2654</v>
      </c>
      <c r="K109" s="1483"/>
      <c r="L109" s="1483"/>
      <c r="M109" s="1483"/>
      <c r="N109" s="1483"/>
      <c r="O109" s="1483"/>
      <c r="P109" s="1483"/>
      <c r="Q109" s="372">
        <v>1</v>
      </c>
      <c r="R109" s="1128" t="s">
        <v>2655</v>
      </c>
      <c r="S109" s="524">
        <v>500000</v>
      </c>
      <c r="T109" s="466" t="s">
        <v>592</v>
      </c>
      <c r="V109" s="366">
        <v>12</v>
      </c>
      <c r="W109" s="466" t="s">
        <v>374</v>
      </c>
      <c r="X109" s="525" t="s">
        <v>706</v>
      </c>
      <c r="Y109" s="1674">
        <f>S109*V109/1000</f>
        <v>6000</v>
      </c>
      <c r="Z109" s="275"/>
      <c r="AA109" s="275"/>
      <c r="AB109" s="275"/>
      <c r="AC109" s="275"/>
      <c r="AD109" s="275"/>
    </row>
    <row r="110" spans="1:30" s="2278" customFormat="1" ht="19.899999999999999" customHeight="1">
      <c r="A110" s="910"/>
      <c r="B110" s="1126"/>
      <c r="C110" s="470"/>
      <c r="D110" s="1126"/>
      <c r="E110" s="1126"/>
      <c r="F110" s="1141"/>
      <c r="G110" s="1141"/>
      <c r="H110" s="523"/>
      <c r="I110" s="473"/>
      <c r="J110" s="1670" t="s">
        <v>2656</v>
      </c>
      <c r="Q110" s="372">
        <v>2</v>
      </c>
      <c r="R110" s="1128" t="s">
        <v>296</v>
      </c>
      <c r="S110" s="524">
        <v>55000</v>
      </c>
      <c r="T110" s="2278" t="s">
        <v>592</v>
      </c>
      <c r="V110" s="366">
        <v>12</v>
      </c>
      <c r="W110" s="2278" t="s">
        <v>198</v>
      </c>
      <c r="X110" s="525" t="s">
        <v>565</v>
      </c>
      <c r="Y110" s="1674">
        <f>Q110*S110*V110/1000</f>
        <v>1320</v>
      </c>
      <c r="Z110" s="275"/>
      <c r="AA110" s="275"/>
      <c r="AB110" s="275"/>
      <c r="AC110" s="275"/>
      <c r="AD110" s="275"/>
    </row>
    <row r="111" spans="1:30" s="2278" customFormat="1" ht="19.899999999999999" customHeight="1">
      <c r="A111" s="910"/>
      <c r="B111" s="1126"/>
      <c r="C111" s="470"/>
      <c r="D111" s="1126"/>
      <c r="E111" s="470" t="s">
        <v>632</v>
      </c>
      <c r="F111" s="1141">
        <f>Y111</f>
        <v>2500</v>
      </c>
      <c r="G111" s="1141">
        <v>2500</v>
      </c>
      <c r="H111" s="338"/>
      <c r="I111" s="473"/>
      <c r="J111" s="1670" t="s">
        <v>194</v>
      </c>
      <c r="K111" s="2266"/>
      <c r="L111" s="2266"/>
      <c r="M111" s="2266"/>
      <c r="N111" s="2266"/>
      <c r="O111" s="2266"/>
      <c r="P111" s="2266"/>
      <c r="Q111" s="372"/>
      <c r="R111" s="1128"/>
      <c r="S111" s="524"/>
      <c r="T111" s="466"/>
      <c r="V111" s="366"/>
      <c r="W111" s="466"/>
      <c r="X111" s="525"/>
      <c r="Y111" s="1674">
        <f>SUM(Y112:Y113)</f>
        <v>2500</v>
      </c>
      <c r="Z111" s="275"/>
      <c r="AA111" s="275"/>
      <c r="AB111" s="275"/>
      <c r="AC111" s="275"/>
      <c r="AD111" s="275"/>
    </row>
    <row r="112" spans="1:30" s="2278" customFormat="1" ht="19.899999999999999" customHeight="1">
      <c r="A112" s="910"/>
      <c r="B112" s="1126"/>
      <c r="C112" s="470"/>
      <c r="D112" s="1126"/>
      <c r="E112" s="470"/>
      <c r="F112" s="1141"/>
      <c r="G112" s="1141"/>
      <c r="H112" s="523"/>
      <c r="I112" s="473"/>
      <c r="J112" s="1670" t="s">
        <v>1197</v>
      </c>
      <c r="K112" s="2266"/>
      <c r="L112" s="2266"/>
      <c r="M112" s="2266"/>
      <c r="N112" s="2266"/>
      <c r="O112" s="2266"/>
      <c r="P112" s="2266"/>
      <c r="Q112" s="372">
        <v>10</v>
      </c>
      <c r="R112" s="1128" t="s">
        <v>464</v>
      </c>
      <c r="S112" s="524">
        <v>20000</v>
      </c>
      <c r="T112" s="466" t="s">
        <v>354</v>
      </c>
      <c r="V112" s="366">
        <v>5</v>
      </c>
      <c r="W112" s="466" t="s">
        <v>460</v>
      </c>
      <c r="X112" s="525" t="s">
        <v>565</v>
      </c>
      <c r="Y112" s="1674">
        <f>Q112*S112*V112/1000</f>
        <v>1000</v>
      </c>
      <c r="Z112" s="275"/>
      <c r="AA112" s="275"/>
      <c r="AB112" s="275"/>
      <c r="AC112" s="275"/>
      <c r="AD112" s="275"/>
    </row>
    <row r="113" spans="1:30" s="2278" customFormat="1" ht="19.899999999999999" customHeight="1">
      <c r="A113" s="910"/>
      <c r="B113" s="1126"/>
      <c r="C113" s="470"/>
      <c r="D113" s="359"/>
      <c r="E113" s="2280"/>
      <c r="F113" s="359"/>
      <c r="G113" s="359"/>
      <c r="H113" s="361"/>
      <c r="I113" s="473"/>
      <c r="J113" s="348" t="s">
        <v>596</v>
      </c>
      <c r="Q113" s="372">
        <v>15</v>
      </c>
      <c r="R113" s="1128" t="s">
        <v>464</v>
      </c>
      <c r="S113" s="524">
        <v>20000</v>
      </c>
      <c r="T113" s="466" t="s">
        <v>354</v>
      </c>
      <c r="V113" s="366">
        <v>5</v>
      </c>
      <c r="W113" s="466" t="s">
        <v>460</v>
      </c>
      <c r="X113" s="525" t="s">
        <v>565</v>
      </c>
      <c r="Y113" s="1674">
        <f>Q113*S113*V113/1000</f>
        <v>1500</v>
      </c>
      <c r="Z113" s="275"/>
      <c r="AA113" s="275"/>
      <c r="AB113" s="275"/>
      <c r="AC113" s="275"/>
      <c r="AD113" s="275"/>
    </row>
    <row r="114" spans="1:30" s="2278" customFormat="1" ht="19.899999999999999" customHeight="1">
      <c r="A114" s="910"/>
      <c r="B114" s="1126"/>
      <c r="C114" s="470"/>
      <c r="D114" s="3284" t="s">
        <v>2657</v>
      </c>
      <c r="E114" s="3285"/>
      <c r="F114" s="978">
        <f>SUM(F115)</f>
        <v>20000</v>
      </c>
      <c r="G114" s="978">
        <f>SUM(G115)</f>
        <v>20000</v>
      </c>
      <c r="H114" s="1132">
        <f>F114-G114</f>
        <v>0</v>
      </c>
      <c r="I114" s="473"/>
      <c r="J114" s="835"/>
      <c r="K114" s="2276"/>
      <c r="L114" s="2276"/>
      <c r="M114" s="2276"/>
      <c r="N114" s="2276"/>
      <c r="O114" s="2276"/>
      <c r="P114" s="2276"/>
      <c r="Q114" s="485"/>
      <c r="R114" s="484"/>
      <c r="S114" s="520"/>
      <c r="T114" s="1364"/>
      <c r="U114" s="2276"/>
      <c r="V114" s="521"/>
      <c r="W114" s="1364"/>
      <c r="X114" s="375"/>
      <c r="Y114" s="463"/>
      <c r="Z114" s="275"/>
      <c r="AA114" s="275"/>
      <c r="AB114" s="275"/>
      <c r="AC114" s="275"/>
      <c r="AD114" s="275"/>
    </row>
    <row r="115" spans="1:30" s="2278" customFormat="1" ht="19.899999999999999" customHeight="1">
      <c r="A115" s="910"/>
      <c r="B115" s="1126"/>
      <c r="C115" s="470"/>
      <c r="D115" s="1154"/>
      <c r="E115" s="350" t="s">
        <v>2658</v>
      </c>
      <c r="F115" s="978">
        <f>Y115</f>
        <v>20000</v>
      </c>
      <c r="G115" s="978">
        <v>20000</v>
      </c>
      <c r="H115" s="352"/>
      <c r="I115" s="473"/>
      <c r="J115" s="911" t="s">
        <v>729</v>
      </c>
      <c r="K115" s="2277"/>
      <c r="L115" s="2277"/>
      <c r="M115" s="2277"/>
      <c r="N115" s="2277"/>
      <c r="O115" s="2277"/>
      <c r="P115" s="2277"/>
      <c r="Q115" s="1874"/>
      <c r="R115" s="353"/>
      <c r="S115" s="2052"/>
      <c r="T115" s="1804"/>
      <c r="U115" s="2277"/>
      <c r="V115" s="2053"/>
      <c r="W115" s="1804"/>
      <c r="X115" s="2054"/>
      <c r="Y115" s="1674">
        <f>SUM(Y116:Y117)</f>
        <v>20000</v>
      </c>
      <c r="Z115" s="275"/>
      <c r="AA115" s="275"/>
      <c r="AB115" s="275"/>
      <c r="AC115" s="275"/>
      <c r="AD115" s="275"/>
    </row>
    <row r="116" spans="1:30" s="2029" customFormat="1" ht="19.899999999999999" customHeight="1">
      <c r="A116" s="910"/>
      <c r="B116" s="1126"/>
      <c r="C116" s="470"/>
      <c r="D116" s="471"/>
      <c r="E116" s="1126"/>
      <c r="F116" s="1141"/>
      <c r="G116" s="1141"/>
      <c r="H116" s="523"/>
      <c r="I116" s="473"/>
      <c r="J116" s="1670" t="s">
        <v>2659</v>
      </c>
      <c r="K116" s="2278"/>
      <c r="L116" s="2278"/>
      <c r="M116" s="2278"/>
      <c r="N116" s="2278"/>
      <c r="O116" s="2278"/>
      <c r="P116" s="2278"/>
      <c r="Q116" s="372"/>
      <c r="R116" s="1128"/>
      <c r="S116" s="524">
        <v>1000000</v>
      </c>
      <c r="T116" s="466" t="s">
        <v>354</v>
      </c>
      <c r="U116" s="2278"/>
      <c r="V116" s="466">
        <v>5</v>
      </c>
      <c r="W116" s="2275" t="s">
        <v>707</v>
      </c>
      <c r="X116" s="2055" t="s">
        <v>565</v>
      </c>
      <c r="Y116" s="1674">
        <f>S116*V116/1000</f>
        <v>5000</v>
      </c>
      <c r="Z116" s="843"/>
      <c r="AA116" s="275"/>
      <c r="AB116" s="275"/>
      <c r="AC116" s="843"/>
      <c r="AD116" s="843"/>
    </row>
    <row r="117" spans="1:30" s="2029" customFormat="1" ht="19.899999999999999" customHeight="1" thickBot="1">
      <c r="A117" s="910"/>
      <c r="B117" s="1126"/>
      <c r="C117" s="1999"/>
      <c r="D117" s="1133"/>
      <c r="E117" s="1133"/>
      <c r="F117" s="562"/>
      <c r="G117" s="562"/>
      <c r="H117" s="2056"/>
      <c r="I117" s="896"/>
      <c r="J117" s="478" t="s">
        <v>2660</v>
      </c>
      <c r="K117" s="1170"/>
      <c r="L117" s="1170"/>
      <c r="M117" s="1170"/>
      <c r="N117" s="1170"/>
      <c r="O117" s="1170"/>
      <c r="P117" s="1170"/>
      <c r="Q117" s="2057"/>
      <c r="R117" s="1868"/>
      <c r="S117" s="2058">
        <v>15000000</v>
      </c>
      <c r="T117" s="1170" t="s">
        <v>592</v>
      </c>
      <c r="U117" s="1170"/>
      <c r="V117" s="2059">
        <v>1</v>
      </c>
      <c r="W117" s="1170" t="s">
        <v>707</v>
      </c>
      <c r="X117" s="2060" t="s">
        <v>565</v>
      </c>
      <c r="Y117" s="1674">
        <f>S117*V117/1000</f>
        <v>15000</v>
      </c>
      <c r="Z117" s="843"/>
      <c r="AA117" s="275"/>
      <c r="AB117" s="275"/>
      <c r="AC117" s="843"/>
      <c r="AD117" s="843"/>
    </row>
    <row r="118" spans="1:30" ht="19.899999999999999" customHeight="1" thickBot="1">
      <c r="A118" s="910"/>
      <c r="B118" s="1126"/>
      <c r="C118" s="3355" t="s">
        <v>2661</v>
      </c>
      <c r="D118" s="3310"/>
      <c r="E118" s="3311"/>
      <c r="F118" s="2061">
        <f>+F119+F150+F216+F306+F319+F331</f>
        <v>1128000</v>
      </c>
      <c r="G118" s="2061">
        <f>+G119+G150+G216+G306+G319+G331</f>
        <v>1128000</v>
      </c>
      <c r="H118" s="2062">
        <f>+F118-G118</f>
        <v>0</v>
      </c>
      <c r="I118" s="896"/>
      <c r="J118" s="2063"/>
      <c r="K118" s="1171"/>
      <c r="L118" s="1171"/>
      <c r="M118" s="1171"/>
      <c r="N118" s="1171"/>
      <c r="O118" s="1171"/>
      <c r="P118" s="1171"/>
      <c r="Q118" s="2064"/>
      <c r="R118" s="2065"/>
      <c r="S118" s="2066"/>
      <c r="T118" s="2067"/>
      <c r="U118" s="2067"/>
      <c r="V118" s="2066"/>
      <c r="W118" s="2067"/>
      <c r="X118" s="2068"/>
      <c r="Y118" s="2069"/>
      <c r="AB118" s="275"/>
    </row>
    <row r="119" spans="1:30" ht="19.899999999999999" customHeight="1">
      <c r="A119" s="910"/>
      <c r="B119" s="1126"/>
      <c r="C119" s="2403" t="s">
        <v>1286</v>
      </c>
      <c r="D119" s="2268"/>
      <c r="E119" s="2268"/>
      <c r="F119" s="527">
        <f>+F120+F137</f>
        <v>71000</v>
      </c>
      <c r="G119" s="527">
        <f>+G120+G137</f>
        <v>71000</v>
      </c>
      <c r="H119" s="1132">
        <f>F119-G119</f>
        <v>0</v>
      </c>
      <c r="I119" s="473"/>
      <c r="J119" s="1129"/>
      <c r="K119" s="846"/>
      <c r="L119" s="846"/>
      <c r="M119" s="846"/>
      <c r="N119" s="846"/>
      <c r="O119" s="846"/>
      <c r="P119" s="846"/>
      <c r="Q119" s="847"/>
      <c r="R119" s="846"/>
      <c r="S119" s="846"/>
      <c r="T119" s="846"/>
      <c r="U119" s="846"/>
      <c r="V119" s="846"/>
      <c r="W119" s="846"/>
      <c r="X119" s="2289"/>
      <c r="Y119" s="1158"/>
      <c r="AB119" s="275"/>
    </row>
    <row r="120" spans="1:30" ht="19.899999999999999" customHeight="1">
      <c r="A120" s="910"/>
      <c r="B120" s="1126"/>
      <c r="C120" s="2278"/>
      <c r="D120" s="3454" t="s">
        <v>2662</v>
      </c>
      <c r="E120" s="3455"/>
      <c r="F120" s="527">
        <f>SUM(F121:F136)</f>
        <v>56000</v>
      </c>
      <c r="G120" s="527">
        <f>SUM(G121:G136)</f>
        <v>56000</v>
      </c>
      <c r="H120" s="361">
        <f>F120-G120</f>
        <v>0</v>
      </c>
      <c r="I120" s="473"/>
      <c r="J120" s="826"/>
      <c r="K120" s="2289"/>
      <c r="L120" s="2289"/>
      <c r="M120" s="2289"/>
      <c r="N120" s="2289"/>
      <c r="O120" s="2289"/>
      <c r="P120" s="827"/>
      <c r="Q120" s="2289"/>
      <c r="R120" s="827"/>
      <c r="S120" s="2289"/>
      <c r="T120" s="827"/>
      <c r="U120" s="2289"/>
      <c r="V120" s="827"/>
      <c r="W120" s="2289"/>
      <c r="X120" s="2289"/>
      <c r="Y120" s="1158"/>
      <c r="AB120" s="275"/>
    </row>
    <row r="121" spans="1:30" ht="19.899999999999999" customHeight="1">
      <c r="A121" s="910"/>
      <c r="B121" s="1126"/>
      <c r="C121" s="2278"/>
      <c r="D121" s="433"/>
      <c r="E121" s="1126" t="s">
        <v>604</v>
      </c>
      <c r="F121" s="1141">
        <f t="shared" ref="F121:F122" si="9">Y121</f>
        <v>30000</v>
      </c>
      <c r="G121" s="1141">
        <v>30000</v>
      </c>
      <c r="H121" s="1324"/>
      <c r="I121" s="1127"/>
      <c r="J121" s="2274" t="s">
        <v>2663</v>
      </c>
      <c r="K121" s="2266"/>
      <c r="L121" s="2266"/>
      <c r="M121" s="2266"/>
      <c r="N121" s="2266"/>
      <c r="O121" s="2266"/>
      <c r="P121" s="2266"/>
      <c r="Q121" s="372">
        <v>1</v>
      </c>
      <c r="R121" s="1128" t="s">
        <v>464</v>
      </c>
      <c r="S121" s="524">
        <v>2500000</v>
      </c>
      <c r="T121" s="466" t="s">
        <v>592</v>
      </c>
      <c r="U121" s="2278"/>
      <c r="V121" s="366">
        <v>12</v>
      </c>
      <c r="W121" s="466" t="s">
        <v>617</v>
      </c>
      <c r="X121" s="525" t="s">
        <v>565</v>
      </c>
      <c r="Y121" s="1674">
        <f>S121*V121/1000</f>
        <v>30000</v>
      </c>
      <c r="AB121" s="275"/>
    </row>
    <row r="122" spans="1:30" ht="19.899999999999999" customHeight="1">
      <c r="A122" s="910"/>
      <c r="B122" s="1126"/>
      <c r="C122" s="2278"/>
      <c r="D122" s="1154"/>
      <c r="E122" s="1154" t="s">
        <v>199</v>
      </c>
      <c r="F122" s="1141">
        <f t="shared" si="9"/>
        <v>10000</v>
      </c>
      <c r="G122" s="1141">
        <v>10000</v>
      </c>
      <c r="H122" s="570"/>
      <c r="I122" s="473"/>
      <c r="J122" s="2265" t="s">
        <v>194</v>
      </c>
      <c r="Q122" s="1675"/>
      <c r="S122" s="1675"/>
      <c r="V122" s="1675"/>
      <c r="X122" s="1675"/>
      <c r="Y122" s="1674">
        <f>SUM(Y123:Y124)</f>
        <v>10000</v>
      </c>
      <c r="AB122" s="275"/>
    </row>
    <row r="123" spans="1:30" ht="19.899999999999999" customHeight="1">
      <c r="A123" s="348"/>
      <c r="B123" s="1126"/>
      <c r="C123" s="2278"/>
      <c r="D123" s="1154"/>
      <c r="E123" s="1154"/>
      <c r="F123" s="1141"/>
      <c r="G123" s="1141"/>
      <c r="H123" s="570"/>
      <c r="I123" s="473"/>
      <c r="J123" s="2274" t="s">
        <v>2664</v>
      </c>
      <c r="K123" s="2266"/>
      <c r="L123" s="2266"/>
      <c r="M123" s="2266"/>
      <c r="N123" s="2266"/>
      <c r="O123" s="2266"/>
      <c r="P123" s="2266"/>
      <c r="Q123" s="372"/>
      <c r="R123" s="1128"/>
      <c r="S123" s="524">
        <v>18000</v>
      </c>
      <c r="T123" s="466" t="s">
        <v>592</v>
      </c>
      <c r="U123" s="2278"/>
      <c r="V123" s="366">
        <v>500</v>
      </c>
      <c r="W123" s="466" t="s">
        <v>2665</v>
      </c>
      <c r="X123" s="525" t="s">
        <v>706</v>
      </c>
      <c r="Y123" s="1674">
        <f>S123*V123/1000</f>
        <v>9000</v>
      </c>
      <c r="AB123" s="275"/>
    </row>
    <row r="124" spans="1:30" ht="19.899999999999999" customHeight="1">
      <c r="A124" s="348"/>
      <c r="B124" s="1126"/>
      <c r="C124" s="2278"/>
      <c r="D124" s="1154"/>
      <c r="E124" s="1154"/>
      <c r="F124" s="1141"/>
      <c r="G124" s="1141"/>
      <c r="H124" s="570"/>
      <c r="I124" s="473"/>
      <c r="J124" s="2274" t="s">
        <v>2666</v>
      </c>
      <c r="K124" s="2266"/>
      <c r="L124" s="2266"/>
      <c r="M124" s="2266"/>
      <c r="N124" s="2266"/>
      <c r="O124" s="2266"/>
      <c r="P124" s="2266"/>
      <c r="Q124" s="372"/>
      <c r="R124" s="1128"/>
      <c r="S124" s="524">
        <v>10000</v>
      </c>
      <c r="T124" s="466" t="s">
        <v>592</v>
      </c>
      <c r="U124" s="2278"/>
      <c r="V124" s="366">
        <v>100</v>
      </c>
      <c r="W124" s="466" t="s">
        <v>2665</v>
      </c>
      <c r="X124" s="525" t="s">
        <v>706</v>
      </c>
      <c r="Y124" s="1674">
        <f>S124*V124/1000</f>
        <v>1000</v>
      </c>
      <c r="AB124" s="275"/>
    </row>
    <row r="125" spans="1:30" ht="19.899999999999999" customHeight="1">
      <c r="A125" s="2892"/>
      <c r="B125" s="1145"/>
      <c r="C125" s="2357"/>
      <c r="D125" s="1154"/>
      <c r="E125" s="1154" t="s">
        <v>224</v>
      </c>
      <c r="F125" s="1141">
        <f t="shared" ref="F125" si="10">Y125</f>
        <v>1000</v>
      </c>
      <c r="G125" s="1141">
        <v>1000</v>
      </c>
      <c r="H125" s="570"/>
      <c r="I125" s="473"/>
      <c r="J125" s="2892" t="s">
        <v>2673</v>
      </c>
      <c r="K125" s="2885"/>
      <c r="L125" s="2885"/>
      <c r="M125" s="2885"/>
      <c r="N125" s="2885"/>
      <c r="O125" s="2885"/>
      <c r="P125" s="2885"/>
      <c r="Q125" s="372"/>
      <c r="R125" s="1128"/>
      <c r="S125" s="524">
        <v>500000</v>
      </c>
      <c r="T125" s="466" t="s">
        <v>592</v>
      </c>
      <c r="U125" s="2357"/>
      <c r="V125" s="366">
        <v>2</v>
      </c>
      <c r="W125" s="466" t="s">
        <v>265</v>
      </c>
      <c r="X125" s="525" t="s">
        <v>563</v>
      </c>
      <c r="Y125" s="1674">
        <f>S125*V125/1000</f>
        <v>1000</v>
      </c>
      <c r="AB125" s="275"/>
    </row>
    <row r="126" spans="1:30" ht="19.899999999999999" customHeight="1">
      <c r="A126" s="2274"/>
      <c r="B126" s="1145"/>
      <c r="C126" s="2278"/>
      <c r="D126" s="1154"/>
      <c r="E126" s="1154" t="s">
        <v>195</v>
      </c>
      <c r="F126" s="1141">
        <f>Y126</f>
        <v>8000</v>
      </c>
      <c r="G126" s="1141">
        <v>8000</v>
      </c>
      <c r="H126" s="570"/>
      <c r="I126" s="473"/>
      <c r="J126" s="2274" t="s">
        <v>194</v>
      </c>
      <c r="K126" s="2266"/>
      <c r="L126" s="2266"/>
      <c r="M126" s="2266"/>
      <c r="N126" s="2266"/>
      <c r="O126" s="2266"/>
      <c r="P126" s="2266"/>
      <c r="Q126" s="372"/>
      <c r="R126" s="1128"/>
      <c r="S126" s="524"/>
      <c r="T126" s="466"/>
      <c r="U126" s="2278"/>
      <c r="V126" s="366"/>
      <c r="W126" s="466"/>
      <c r="X126" s="525"/>
      <c r="Y126" s="1674">
        <f>SUM(Y127:Y129)</f>
        <v>8000</v>
      </c>
      <c r="AB126" s="275"/>
    </row>
    <row r="127" spans="1:30" ht="19.899999999999999" customHeight="1">
      <c r="A127" s="2274"/>
      <c r="B127" s="1145"/>
      <c r="C127" s="2278"/>
      <c r="D127" s="1154"/>
      <c r="E127" s="1154"/>
      <c r="F127" s="1141"/>
      <c r="G127" s="1141"/>
      <c r="H127" s="570"/>
      <c r="I127" s="473"/>
      <c r="J127" s="2274" t="s">
        <v>2667</v>
      </c>
      <c r="K127" s="2266"/>
      <c r="L127" s="2266"/>
      <c r="M127" s="2266"/>
      <c r="N127" s="2266"/>
      <c r="O127" s="2266"/>
      <c r="P127" s="2266"/>
      <c r="Q127" s="372"/>
      <c r="R127" s="1128"/>
      <c r="S127" s="524">
        <v>4000000</v>
      </c>
      <c r="T127" s="466" t="s">
        <v>592</v>
      </c>
      <c r="U127" s="2278"/>
      <c r="V127" s="366">
        <v>1</v>
      </c>
      <c r="W127" s="466" t="s">
        <v>460</v>
      </c>
      <c r="X127" s="525" t="s">
        <v>565</v>
      </c>
      <c r="Y127" s="1674">
        <f>S127*V127/1000</f>
        <v>4000</v>
      </c>
      <c r="AB127" s="275"/>
    </row>
    <row r="128" spans="1:30" ht="19.899999999999999" customHeight="1">
      <c r="A128" s="2274"/>
      <c r="B128" s="1145"/>
      <c r="C128" s="2278"/>
      <c r="D128" s="1154"/>
      <c r="E128" s="1154"/>
      <c r="F128" s="1141"/>
      <c r="G128" s="1141"/>
      <c r="H128" s="570"/>
      <c r="I128" s="473"/>
      <c r="J128" s="2274" t="s">
        <v>597</v>
      </c>
      <c r="K128" s="2266"/>
      <c r="L128" s="2266"/>
      <c r="M128" s="2266"/>
      <c r="N128" s="2266"/>
      <c r="O128" s="2266"/>
      <c r="P128" s="2266"/>
      <c r="Q128" s="372">
        <v>10</v>
      </c>
      <c r="R128" s="1128" t="s">
        <v>464</v>
      </c>
      <c r="S128" s="524">
        <v>100000</v>
      </c>
      <c r="T128" s="466" t="s">
        <v>592</v>
      </c>
      <c r="U128" s="2278"/>
      <c r="V128" s="366">
        <v>3</v>
      </c>
      <c r="W128" s="466" t="s">
        <v>767</v>
      </c>
      <c r="X128" s="525" t="s">
        <v>565</v>
      </c>
      <c r="Y128" s="1674">
        <f>Q128*S128*V128/1000</f>
        <v>3000</v>
      </c>
      <c r="AB128" s="275"/>
    </row>
    <row r="129" spans="1:28" ht="19.899999999999999" customHeight="1">
      <c r="A129" s="2274"/>
      <c r="B129" s="1145"/>
      <c r="C129" s="2278"/>
      <c r="D129" s="1154"/>
      <c r="E129" s="1154"/>
      <c r="F129" s="1141"/>
      <c r="G129" s="1141"/>
      <c r="H129" s="570"/>
      <c r="I129" s="473"/>
      <c r="J129" s="2274" t="s">
        <v>2668</v>
      </c>
      <c r="K129" s="2266"/>
      <c r="L129" s="2266"/>
      <c r="M129" s="2266"/>
      <c r="N129" s="2266"/>
      <c r="O129" s="2266"/>
      <c r="P129" s="2266"/>
      <c r="Q129" s="372"/>
      <c r="R129" s="1128"/>
      <c r="S129" s="524">
        <v>100000</v>
      </c>
      <c r="T129" s="466" t="s">
        <v>592</v>
      </c>
      <c r="U129" s="2278"/>
      <c r="V129" s="366">
        <v>10</v>
      </c>
      <c r="W129" s="466" t="s">
        <v>460</v>
      </c>
      <c r="X129" s="525" t="s">
        <v>565</v>
      </c>
      <c r="Y129" s="1674">
        <f>S129*V129/1000</f>
        <v>1000</v>
      </c>
      <c r="AB129" s="275"/>
    </row>
    <row r="130" spans="1:28" ht="19.899999999999999" customHeight="1">
      <c r="A130" s="2892"/>
      <c r="B130" s="1145"/>
      <c r="C130" s="2357"/>
      <c r="D130" s="1154"/>
      <c r="E130" s="1154" t="s">
        <v>219</v>
      </c>
      <c r="F130" s="1141">
        <f t="shared" ref="F130:F131" si="11">Y130</f>
        <v>1000</v>
      </c>
      <c r="G130" s="1141">
        <v>1000</v>
      </c>
      <c r="H130" s="570"/>
      <c r="I130" s="473"/>
      <c r="J130" s="2892" t="s">
        <v>2671</v>
      </c>
      <c r="K130" s="2885"/>
      <c r="L130" s="2885"/>
      <c r="M130" s="2885"/>
      <c r="N130" s="2885"/>
      <c r="O130" s="2885"/>
      <c r="P130" s="2885"/>
      <c r="Q130" s="372"/>
      <c r="R130" s="1128"/>
      <c r="S130" s="524">
        <v>500000</v>
      </c>
      <c r="T130" s="466" t="s">
        <v>592</v>
      </c>
      <c r="U130" s="2357"/>
      <c r="V130" s="372">
        <v>2</v>
      </c>
      <c r="W130" s="466" t="s">
        <v>196</v>
      </c>
      <c r="X130" s="525" t="s">
        <v>266</v>
      </c>
      <c r="Y130" s="1674">
        <v>1000</v>
      </c>
      <c r="AB130" s="275"/>
    </row>
    <row r="131" spans="1:28" ht="19.899999999999999" customHeight="1">
      <c r="A131" s="2892"/>
      <c r="B131" s="1145"/>
      <c r="C131" s="2357"/>
      <c r="D131" s="1154"/>
      <c r="E131" s="1154" t="s">
        <v>21</v>
      </c>
      <c r="F131" s="1141">
        <f t="shared" si="11"/>
        <v>2500</v>
      </c>
      <c r="G131" s="1141">
        <v>2500</v>
      </c>
      <c r="H131" s="570"/>
      <c r="I131" s="473"/>
      <c r="J131" s="2884" t="s">
        <v>1198</v>
      </c>
      <c r="K131" s="2885"/>
      <c r="L131" s="2885"/>
      <c r="M131" s="2885"/>
      <c r="N131" s="2885"/>
      <c r="O131" s="2885"/>
      <c r="P131" s="2885"/>
      <c r="Q131" s="372"/>
      <c r="R131" s="1128"/>
      <c r="S131" s="524">
        <v>2500000</v>
      </c>
      <c r="T131" s="466" t="s">
        <v>592</v>
      </c>
      <c r="U131" s="2357"/>
      <c r="V131" s="372">
        <v>1</v>
      </c>
      <c r="W131" s="466" t="s">
        <v>196</v>
      </c>
      <c r="X131" s="525" t="s">
        <v>266</v>
      </c>
      <c r="Y131" s="1674">
        <f t="shared" ref="Y131" si="12">S131*V131/1000</f>
        <v>2500</v>
      </c>
      <c r="AB131" s="275"/>
    </row>
    <row r="132" spans="1:28" ht="19.899999999999999" customHeight="1">
      <c r="A132" s="2274"/>
      <c r="B132" s="1145"/>
      <c r="C132" s="2278"/>
      <c r="D132" s="1154"/>
      <c r="E132" s="1154" t="s">
        <v>571</v>
      </c>
      <c r="F132" s="1141">
        <f>Y132</f>
        <v>2000</v>
      </c>
      <c r="G132" s="1141">
        <v>2000</v>
      </c>
      <c r="H132" s="570"/>
      <c r="I132" s="473"/>
      <c r="J132" s="2265" t="s">
        <v>194</v>
      </c>
      <c r="K132" s="2266"/>
      <c r="L132" s="2266"/>
      <c r="M132" s="2266"/>
      <c r="N132" s="2266"/>
      <c r="O132" s="2266"/>
      <c r="P132" s="2266"/>
      <c r="Q132" s="372"/>
      <c r="R132" s="1128"/>
      <c r="S132" s="524"/>
      <c r="T132" s="466"/>
      <c r="U132" s="2278"/>
      <c r="V132" s="366"/>
      <c r="W132" s="466"/>
      <c r="X132" s="525"/>
      <c r="Y132" s="1674">
        <f>SUM(Y133:Y134)</f>
        <v>2000</v>
      </c>
      <c r="AB132" s="275"/>
    </row>
    <row r="133" spans="1:28" ht="19.899999999999999" customHeight="1">
      <c r="A133" s="2274"/>
      <c r="B133" s="1145"/>
      <c r="C133" s="2278"/>
      <c r="D133" s="1154"/>
      <c r="E133" s="1154"/>
      <c r="F133" s="1141"/>
      <c r="G133" s="1141"/>
      <c r="H133" s="570"/>
      <c r="I133" s="473"/>
      <c r="J133" s="2274" t="s">
        <v>2669</v>
      </c>
      <c r="K133" s="2266"/>
      <c r="L133" s="2266"/>
      <c r="M133" s="2266"/>
      <c r="N133" s="2266"/>
      <c r="O133" s="2266"/>
      <c r="P133" s="2266"/>
      <c r="Q133" s="372"/>
      <c r="R133" s="1128"/>
      <c r="S133" s="524">
        <v>200000</v>
      </c>
      <c r="T133" s="466" t="s">
        <v>592</v>
      </c>
      <c r="U133" s="2278"/>
      <c r="V133" s="372">
        <v>4</v>
      </c>
      <c r="W133" s="466" t="s">
        <v>702</v>
      </c>
      <c r="X133" s="525" t="s">
        <v>706</v>
      </c>
      <c r="Y133" s="1674">
        <f>S133*V133/1000</f>
        <v>800</v>
      </c>
      <c r="AB133" s="275"/>
    </row>
    <row r="134" spans="1:28" ht="19.899999999999999" customHeight="1">
      <c r="A134" s="2274"/>
      <c r="B134" s="1145"/>
      <c r="C134" s="2278"/>
      <c r="D134" s="1154"/>
      <c r="E134" s="1154"/>
      <c r="F134" s="1141"/>
      <c r="G134" s="1141"/>
      <c r="H134" s="570"/>
      <c r="I134" s="473"/>
      <c r="J134" s="2274" t="s">
        <v>2670</v>
      </c>
      <c r="K134" s="2266"/>
      <c r="L134" s="2266"/>
      <c r="M134" s="2266"/>
      <c r="N134" s="2266"/>
      <c r="O134" s="2266"/>
      <c r="P134" s="2266"/>
      <c r="Q134" s="372"/>
      <c r="R134" s="1128"/>
      <c r="S134" s="524">
        <v>300000</v>
      </c>
      <c r="T134" s="466" t="s">
        <v>592</v>
      </c>
      <c r="U134" s="2278"/>
      <c r="V134" s="372">
        <v>4</v>
      </c>
      <c r="W134" s="466" t="s">
        <v>702</v>
      </c>
      <c r="X134" s="525" t="s">
        <v>706</v>
      </c>
      <c r="Y134" s="1674">
        <f>S134*V134/1000</f>
        <v>1200</v>
      </c>
      <c r="AB134" s="275"/>
    </row>
    <row r="135" spans="1:28" ht="19.899999999999999" customHeight="1">
      <c r="A135" s="2274"/>
      <c r="B135" s="1145"/>
      <c r="C135" s="2278"/>
      <c r="D135" s="1154"/>
      <c r="E135" s="1154" t="s">
        <v>602</v>
      </c>
      <c r="F135" s="1141">
        <f t="shared" ref="F135:F136" si="13">Y135</f>
        <v>1000</v>
      </c>
      <c r="G135" s="1141">
        <v>1000</v>
      </c>
      <c r="H135" s="570"/>
      <c r="I135" s="473"/>
      <c r="J135" s="2274" t="s">
        <v>2672</v>
      </c>
      <c r="K135" s="2266"/>
      <c r="L135" s="2266"/>
      <c r="M135" s="2266"/>
      <c r="N135" s="2266"/>
      <c r="O135" s="2266"/>
      <c r="P135" s="2266"/>
      <c r="Q135" s="372"/>
      <c r="R135" s="1128"/>
      <c r="S135" s="524">
        <v>500000</v>
      </c>
      <c r="T135" s="466"/>
      <c r="U135" s="2278"/>
      <c r="V135" s="366">
        <v>2</v>
      </c>
      <c r="W135" s="466" t="s">
        <v>460</v>
      </c>
      <c r="X135" s="525"/>
      <c r="Y135" s="1674">
        <v>1000</v>
      </c>
      <c r="AB135" s="275"/>
    </row>
    <row r="136" spans="1:28" ht="19.899999999999999" customHeight="1">
      <c r="A136" s="2274"/>
      <c r="B136" s="1145"/>
      <c r="C136" s="2278"/>
      <c r="D136" s="1154"/>
      <c r="E136" s="1126" t="s">
        <v>632</v>
      </c>
      <c r="F136" s="1141">
        <f t="shared" si="13"/>
        <v>500</v>
      </c>
      <c r="G136" s="1141">
        <v>500</v>
      </c>
      <c r="H136" s="1147"/>
      <c r="I136" s="1127"/>
      <c r="J136" s="2265" t="s">
        <v>2674</v>
      </c>
      <c r="K136" s="2266"/>
      <c r="L136" s="2266"/>
      <c r="M136" s="2266"/>
      <c r="N136" s="2266"/>
      <c r="O136" s="2266"/>
      <c r="P136" s="2266"/>
      <c r="Q136" s="372"/>
      <c r="R136" s="1128"/>
      <c r="S136" s="524">
        <v>250000</v>
      </c>
      <c r="T136" s="466" t="s">
        <v>592</v>
      </c>
      <c r="U136" s="2278"/>
      <c r="V136" s="366">
        <v>2</v>
      </c>
      <c r="W136" s="466" t="s">
        <v>460</v>
      </c>
      <c r="X136" s="525" t="s">
        <v>565</v>
      </c>
      <c r="Y136" s="1674">
        <f>S136*V136/1000</f>
        <v>500</v>
      </c>
      <c r="AB136" s="275"/>
    </row>
    <row r="137" spans="1:28" ht="23.45" customHeight="1">
      <c r="A137" s="2274"/>
      <c r="B137" s="1145"/>
      <c r="C137" s="2278"/>
      <c r="D137" s="3266" t="s">
        <v>5777</v>
      </c>
      <c r="E137" s="3347"/>
      <c r="F137" s="1153">
        <f>SUM(F138:F149)</f>
        <v>15000</v>
      </c>
      <c r="G137" s="1153">
        <f>SUM(G138:G149)</f>
        <v>15000</v>
      </c>
      <c r="H137" s="1132">
        <f>F137-G137</f>
        <v>0</v>
      </c>
      <c r="I137" s="473"/>
      <c r="J137" s="374"/>
      <c r="K137" s="375"/>
      <c r="L137" s="375"/>
      <c r="M137" s="375"/>
      <c r="N137" s="375"/>
      <c r="O137" s="375"/>
      <c r="P137" s="376"/>
      <c r="Q137" s="375"/>
      <c r="R137" s="376"/>
      <c r="S137" s="375"/>
      <c r="T137" s="376"/>
      <c r="U137" s="375"/>
      <c r="V137" s="376"/>
      <c r="W137" s="375"/>
      <c r="X137" s="375"/>
      <c r="Y137" s="503"/>
      <c r="AB137" s="275"/>
    </row>
    <row r="138" spans="1:28" ht="23.45" customHeight="1">
      <c r="A138" s="2274"/>
      <c r="B138" s="1145"/>
      <c r="C138" s="2278"/>
      <c r="D138" s="433"/>
      <c r="E138" s="1154" t="s">
        <v>199</v>
      </c>
      <c r="F138" s="1141">
        <f t="shared" ref="F138:F139" si="14">Y138</f>
        <v>1000</v>
      </c>
      <c r="G138" s="1141">
        <v>1000</v>
      </c>
      <c r="H138" s="1324"/>
      <c r="I138" s="473"/>
      <c r="J138" s="2274" t="s">
        <v>2675</v>
      </c>
      <c r="K138" s="2266"/>
      <c r="L138" s="2266"/>
      <c r="M138" s="2266"/>
      <c r="N138" s="2266"/>
      <c r="O138" s="2266"/>
      <c r="P138" s="2266"/>
      <c r="Q138" s="372"/>
      <c r="R138" s="1128"/>
      <c r="S138" s="524">
        <v>10000</v>
      </c>
      <c r="T138" s="466" t="s">
        <v>592</v>
      </c>
      <c r="U138" s="2278"/>
      <c r="V138" s="366">
        <v>100</v>
      </c>
      <c r="W138" s="466" t="s">
        <v>2665</v>
      </c>
      <c r="X138" s="525" t="s">
        <v>706</v>
      </c>
      <c r="Y138" s="1674">
        <f>S138*V138/1000</f>
        <v>1000</v>
      </c>
      <c r="AB138" s="275"/>
    </row>
    <row r="139" spans="1:28" ht="23.45" customHeight="1">
      <c r="A139" s="2274"/>
      <c r="B139" s="1145"/>
      <c r="C139" s="2278"/>
      <c r="D139" s="1154"/>
      <c r="E139" s="1154" t="s">
        <v>195</v>
      </c>
      <c r="F139" s="1141">
        <f t="shared" si="14"/>
        <v>6800</v>
      </c>
      <c r="G139" s="1141">
        <v>6800</v>
      </c>
      <c r="H139" s="570"/>
      <c r="I139" s="473"/>
      <c r="J139" s="2274" t="s">
        <v>194</v>
      </c>
      <c r="K139" s="2266"/>
      <c r="L139" s="2266"/>
      <c r="M139" s="2266"/>
      <c r="N139" s="2266"/>
      <c r="O139" s="2266"/>
      <c r="P139" s="2266"/>
      <c r="Q139" s="372"/>
      <c r="R139" s="1128"/>
      <c r="S139" s="524"/>
      <c r="T139" s="466"/>
      <c r="U139" s="2278"/>
      <c r="V139" s="366"/>
      <c r="W139" s="466"/>
      <c r="X139" s="525"/>
      <c r="Y139" s="1674">
        <v>6800</v>
      </c>
      <c r="AB139" s="275"/>
    </row>
    <row r="140" spans="1:28" ht="23.45" customHeight="1">
      <c r="A140" s="2274"/>
      <c r="B140" s="1145"/>
      <c r="C140" s="2278"/>
      <c r="D140" s="1154"/>
      <c r="E140" s="1154"/>
      <c r="F140" s="1141"/>
      <c r="G140" s="1141"/>
      <c r="H140" s="570"/>
      <c r="I140" s="473"/>
      <c r="J140" s="2274" t="s">
        <v>2676</v>
      </c>
      <c r="K140" s="2266"/>
      <c r="L140" s="2266"/>
      <c r="M140" s="2266"/>
      <c r="N140" s="2266"/>
      <c r="O140" s="2266"/>
      <c r="P140" s="2266"/>
      <c r="Q140" s="372"/>
      <c r="R140" s="1128"/>
      <c r="S140" s="524">
        <v>2000000</v>
      </c>
      <c r="T140" s="466" t="s">
        <v>592</v>
      </c>
      <c r="U140" s="2278"/>
      <c r="V140" s="366">
        <v>1</v>
      </c>
      <c r="W140" s="466" t="s">
        <v>220</v>
      </c>
      <c r="X140" s="525" t="s">
        <v>565</v>
      </c>
      <c r="Y140" s="1674">
        <f>S140*V140/1000</f>
        <v>2000</v>
      </c>
      <c r="AB140" s="275"/>
    </row>
    <row r="141" spans="1:28" ht="23.45" customHeight="1">
      <c r="A141" s="2274"/>
      <c r="B141" s="1145"/>
      <c r="C141" s="2278"/>
      <c r="D141" s="1154"/>
      <c r="E141" s="1154"/>
      <c r="F141" s="1141"/>
      <c r="G141" s="1141"/>
      <c r="H141" s="570"/>
      <c r="I141" s="473"/>
      <c r="J141" s="2274" t="s">
        <v>597</v>
      </c>
      <c r="K141" s="2266"/>
      <c r="L141" s="2266"/>
      <c r="M141" s="2266"/>
      <c r="N141" s="2266"/>
      <c r="O141" s="2266"/>
      <c r="P141" s="2266"/>
      <c r="Q141" s="372"/>
      <c r="R141" s="1128"/>
      <c r="S141" s="524">
        <v>2000000</v>
      </c>
      <c r="T141" s="466" t="s">
        <v>592</v>
      </c>
      <c r="U141" s="2278"/>
      <c r="V141" s="366">
        <v>1</v>
      </c>
      <c r="W141" s="466" t="s">
        <v>220</v>
      </c>
      <c r="X141" s="525" t="s">
        <v>565</v>
      </c>
      <c r="Y141" s="1674">
        <f t="shared" ref="Y141:Y143" si="15">S141*V141/1000</f>
        <v>2000</v>
      </c>
      <c r="AB141" s="275"/>
    </row>
    <row r="142" spans="1:28" ht="23.45" customHeight="1">
      <c r="A142" s="2274"/>
      <c r="B142" s="1145"/>
      <c r="C142" s="2278"/>
      <c r="D142" s="1154"/>
      <c r="E142" s="1154"/>
      <c r="F142" s="1141"/>
      <c r="G142" s="1141"/>
      <c r="H142" s="570"/>
      <c r="I142" s="473"/>
      <c r="J142" s="2274" t="s">
        <v>2668</v>
      </c>
      <c r="K142" s="2266"/>
      <c r="L142" s="2266"/>
      <c r="M142" s="2266"/>
      <c r="N142" s="2266"/>
      <c r="O142" s="2266"/>
      <c r="P142" s="2266"/>
      <c r="Q142" s="372"/>
      <c r="R142" s="1128"/>
      <c r="S142" s="524">
        <v>280000</v>
      </c>
      <c r="T142" s="466" t="s">
        <v>592</v>
      </c>
      <c r="U142" s="2278"/>
      <c r="V142" s="366">
        <v>10</v>
      </c>
      <c r="W142" s="466" t="s">
        <v>460</v>
      </c>
      <c r="X142" s="525" t="s">
        <v>565</v>
      </c>
      <c r="Y142" s="1674">
        <f t="shared" si="15"/>
        <v>2800</v>
      </c>
      <c r="AB142" s="275"/>
    </row>
    <row r="143" spans="1:28" ht="23.45" customHeight="1">
      <c r="A143" s="2274"/>
      <c r="B143" s="1145"/>
      <c r="C143" s="2278"/>
      <c r="D143" s="1154"/>
      <c r="E143" s="1154" t="s">
        <v>571</v>
      </c>
      <c r="F143" s="1141">
        <f t="shared" ref="F143:F144" si="16">Y143</f>
        <v>4000</v>
      </c>
      <c r="G143" s="1141">
        <v>4000</v>
      </c>
      <c r="H143" s="1147"/>
      <c r="I143" s="473"/>
      <c r="J143" s="2265" t="s">
        <v>2677</v>
      </c>
      <c r="K143" s="2266"/>
      <c r="L143" s="2266"/>
      <c r="M143" s="2266"/>
      <c r="N143" s="2266"/>
      <c r="O143" s="2266"/>
      <c r="P143" s="2266"/>
      <c r="Q143" s="372"/>
      <c r="R143" s="1128"/>
      <c r="S143" s="524">
        <v>200000</v>
      </c>
      <c r="T143" s="466" t="s">
        <v>592</v>
      </c>
      <c r="U143" s="2278"/>
      <c r="V143" s="366">
        <v>20</v>
      </c>
      <c r="W143" s="466" t="s">
        <v>220</v>
      </c>
      <c r="X143" s="525" t="s">
        <v>565</v>
      </c>
      <c r="Y143" s="1674">
        <f t="shared" si="15"/>
        <v>4000</v>
      </c>
      <c r="AB143" s="275"/>
    </row>
    <row r="144" spans="1:28" ht="23.45" customHeight="1">
      <c r="A144" s="2274"/>
      <c r="B144" s="1145"/>
      <c r="C144" s="2278"/>
      <c r="D144" s="1154"/>
      <c r="E144" s="1154" t="s">
        <v>602</v>
      </c>
      <c r="F144" s="1141">
        <f t="shared" si="16"/>
        <v>3200</v>
      </c>
      <c r="G144" s="1141">
        <v>3200</v>
      </c>
      <c r="H144" s="1147"/>
      <c r="I144" s="473"/>
      <c r="J144" s="2274" t="s">
        <v>194</v>
      </c>
      <c r="K144" s="2266"/>
      <c r="L144" s="2266"/>
      <c r="M144" s="2266"/>
      <c r="N144" s="2266"/>
      <c r="O144" s="2266"/>
      <c r="P144" s="2266"/>
      <c r="Q144" s="372"/>
      <c r="R144" s="1128"/>
      <c r="S144" s="524"/>
      <c r="T144" s="466"/>
      <c r="U144" s="2278"/>
      <c r="V144" s="366"/>
      <c r="W144" s="466"/>
      <c r="X144" s="525"/>
      <c r="Y144" s="1674">
        <f>SUM(Y145:Y149)</f>
        <v>3200</v>
      </c>
      <c r="AB144" s="275"/>
    </row>
    <row r="145" spans="1:28" ht="23.45" customHeight="1">
      <c r="A145" s="2274"/>
      <c r="B145" s="1145"/>
      <c r="C145" s="2278"/>
      <c r="D145" s="1154"/>
      <c r="E145" s="1154"/>
      <c r="F145" s="1141"/>
      <c r="G145" s="1141"/>
      <c r="H145" s="570"/>
      <c r="I145" s="473"/>
      <c r="J145" s="2274" t="s">
        <v>2678</v>
      </c>
      <c r="K145" s="2266"/>
      <c r="L145" s="2266"/>
      <c r="M145" s="2266"/>
      <c r="N145" s="2266"/>
      <c r="O145" s="2266"/>
      <c r="P145" s="2266"/>
      <c r="Q145" s="372"/>
      <c r="R145" s="1128"/>
      <c r="S145" s="524">
        <v>1000000</v>
      </c>
      <c r="T145" s="466" t="s">
        <v>592</v>
      </c>
      <c r="U145" s="2278"/>
      <c r="V145" s="366">
        <v>1</v>
      </c>
      <c r="W145" s="466" t="s">
        <v>460</v>
      </c>
      <c r="X145" s="525" t="s">
        <v>565</v>
      </c>
      <c r="Y145" s="1674">
        <f>S145*V145/1000</f>
        <v>1000</v>
      </c>
      <c r="AB145" s="275"/>
    </row>
    <row r="146" spans="1:28" ht="23.45" customHeight="1">
      <c r="A146" s="2274"/>
      <c r="B146" s="1145"/>
      <c r="C146" s="2278"/>
      <c r="D146" s="1154"/>
      <c r="E146" s="1154"/>
      <c r="F146" s="1141"/>
      <c r="G146" s="1141"/>
      <c r="H146" s="570"/>
      <c r="I146" s="473"/>
      <c r="J146" s="2274" t="s">
        <v>2679</v>
      </c>
      <c r="K146" s="2266"/>
      <c r="L146" s="2266"/>
      <c r="M146" s="2266"/>
      <c r="N146" s="2266"/>
      <c r="O146" s="2266"/>
      <c r="P146" s="2266"/>
      <c r="Q146" s="372">
        <v>5</v>
      </c>
      <c r="R146" s="1128" t="s">
        <v>464</v>
      </c>
      <c r="S146" s="524">
        <v>10000</v>
      </c>
      <c r="T146" s="466" t="s">
        <v>592</v>
      </c>
      <c r="U146" s="2278"/>
      <c r="V146" s="366">
        <v>10</v>
      </c>
      <c r="W146" s="466" t="s">
        <v>196</v>
      </c>
      <c r="X146" s="525" t="s">
        <v>565</v>
      </c>
      <c r="Y146" s="1674">
        <f>Q146*S146*V146/1000</f>
        <v>500</v>
      </c>
      <c r="AB146" s="275"/>
    </row>
    <row r="147" spans="1:28" ht="23.45" customHeight="1">
      <c r="A147" s="2274"/>
      <c r="B147" s="1145"/>
      <c r="C147" s="2278"/>
      <c r="D147" s="1154"/>
      <c r="E147" s="1126"/>
      <c r="F147" s="1141"/>
      <c r="G147" s="1141"/>
      <c r="H147" s="1324"/>
      <c r="I147" s="1127"/>
      <c r="J147" s="2274" t="s">
        <v>2680</v>
      </c>
      <c r="K147" s="2266"/>
      <c r="L147" s="2266"/>
      <c r="M147" s="2266"/>
      <c r="N147" s="2266"/>
      <c r="O147" s="2266"/>
      <c r="P147" s="2266"/>
      <c r="Q147" s="372">
        <v>100</v>
      </c>
      <c r="R147" s="1128" t="s">
        <v>464</v>
      </c>
      <c r="S147" s="524">
        <v>4000</v>
      </c>
      <c r="T147" s="466" t="s">
        <v>592</v>
      </c>
      <c r="U147" s="2278"/>
      <c r="V147" s="366">
        <v>2</v>
      </c>
      <c r="W147" s="466" t="s">
        <v>460</v>
      </c>
      <c r="X147" s="525" t="s">
        <v>565</v>
      </c>
      <c r="Y147" s="1674">
        <f>Q147*S147*V147/1000</f>
        <v>800</v>
      </c>
      <c r="AB147" s="275"/>
    </row>
    <row r="148" spans="1:28" ht="23.45" customHeight="1">
      <c r="A148" s="2274"/>
      <c r="B148" s="1145"/>
      <c r="C148" s="470"/>
      <c r="D148" s="1126"/>
      <c r="E148" s="1126"/>
      <c r="F148" s="1141"/>
      <c r="G148" s="1141"/>
      <c r="H148" s="1324"/>
      <c r="I148" s="1127"/>
      <c r="J148" s="2274" t="s">
        <v>1199</v>
      </c>
      <c r="K148" s="2266"/>
      <c r="L148" s="2266"/>
      <c r="M148" s="2266"/>
      <c r="N148" s="2266"/>
      <c r="O148" s="2266"/>
      <c r="P148" s="2266"/>
      <c r="Q148" s="372"/>
      <c r="R148" s="1128"/>
      <c r="S148" s="524">
        <v>250000</v>
      </c>
      <c r="T148" s="466" t="s">
        <v>592</v>
      </c>
      <c r="U148" s="2278"/>
      <c r="V148" s="366">
        <v>2</v>
      </c>
      <c r="W148" s="466" t="s">
        <v>460</v>
      </c>
      <c r="X148" s="525" t="s">
        <v>565</v>
      </c>
      <c r="Y148" s="1674">
        <f>S148*V148/1000</f>
        <v>500</v>
      </c>
      <c r="AB148" s="275"/>
    </row>
    <row r="149" spans="1:28" ht="23.45" customHeight="1">
      <c r="A149" s="2274"/>
      <c r="B149" s="1145"/>
      <c r="C149" s="470"/>
      <c r="D149" s="1126"/>
      <c r="E149" s="1126"/>
      <c r="F149" s="1141"/>
      <c r="G149" s="1141"/>
      <c r="H149" s="1324"/>
      <c r="I149" s="1127"/>
      <c r="J149" s="2274" t="s">
        <v>2681</v>
      </c>
      <c r="K149" s="2266"/>
      <c r="L149" s="2266"/>
      <c r="M149" s="2266"/>
      <c r="N149" s="2266"/>
      <c r="O149" s="2266"/>
      <c r="P149" s="2266"/>
      <c r="Q149" s="372"/>
      <c r="R149" s="1128"/>
      <c r="S149" s="524">
        <v>200000</v>
      </c>
      <c r="T149" s="466" t="s">
        <v>592</v>
      </c>
      <c r="U149" s="2278"/>
      <c r="V149" s="366">
        <v>2</v>
      </c>
      <c r="W149" s="466" t="s">
        <v>460</v>
      </c>
      <c r="X149" s="525" t="s">
        <v>565</v>
      </c>
      <c r="Y149" s="1674">
        <f>S149*V149/1000</f>
        <v>400</v>
      </c>
      <c r="AB149" s="275"/>
    </row>
    <row r="150" spans="1:28" ht="23.45" customHeight="1">
      <c r="A150" s="1645"/>
      <c r="B150" s="1648"/>
      <c r="C150" s="3284" t="s">
        <v>1299</v>
      </c>
      <c r="D150" s="3354"/>
      <c r="E150" s="3285"/>
      <c r="F150" s="1153">
        <f>+F151+F169+F196+F205</f>
        <v>436000</v>
      </c>
      <c r="G150" s="1153">
        <f>+G151+G169+G196+G205</f>
        <v>436000</v>
      </c>
      <c r="H150" s="1132">
        <f>F150-G150</f>
        <v>0</v>
      </c>
      <c r="I150" s="473"/>
      <c r="J150" s="501"/>
      <c r="K150" s="2276"/>
      <c r="L150" s="2276"/>
      <c r="M150" s="2276"/>
      <c r="N150" s="2276"/>
      <c r="O150" s="2276"/>
      <c r="P150" s="2276"/>
      <c r="Q150" s="485"/>
      <c r="R150" s="484"/>
      <c r="S150" s="520"/>
      <c r="T150" s="2276"/>
      <c r="U150" s="2276"/>
      <c r="V150" s="521"/>
      <c r="W150" s="2276"/>
      <c r="X150" s="375"/>
      <c r="Y150" s="463"/>
      <c r="AB150" s="275"/>
    </row>
    <row r="151" spans="1:28" ht="23.45" customHeight="1">
      <c r="A151" s="1645"/>
      <c r="B151" s="1648"/>
      <c r="C151" s="2278"/>
      <c r="D151" s="3284" t="s">
        <v>2682</v>
      </c>
      <c r="E151" s="3354"/>
      <c r="F151" s="1153">
        <f>SUM(F152:F168)</f>
        <v>83200</v>
      </c>
      <c r="G151" s="1153">
        <f>SUM(G152:G168)</f>
        <v>83200</v>
      </c>
      <c r="H151" s="361">
        <f>F151-G151</f>
        <v>0</v>
      </c>
      <c r="I151" s="473"/>
      <c r="J151" s="501"/>
      <c r="K151" s="2276"/>
      <c r="L151" s="2276"/>
      <c r="M151" s="2276"/>
      <c r="N151" s="2276"/>
      <c r="O151" s="2276"/>
      <c r="P151" s="2276"/>
      <c r="Q151" s="485"/>
      <c r="R151" s="484"/>
      <c r="S151" s="520"/>
      <c r="T151" s="2276"/>
      <c r="U151" s="2276"/>
      <c r="V151" s="521"/>
      <c r="W151" s="2276"/>
      <c r="X151" s="375"/>
      <c r="Y151" s="432"/>
      <c r="AB151" s="275"/>
    </row>
    <row r="152" spans="1:28" ht="23.45" customHeight="1">
      <c r="A152" s="1645"/>
      <c r="B152" s="1648"/>
      <c r="C152" s="2278"/>
      <c r="D152" s="1154"/>
      <c r="E152" s="1154" t="s">
        <v>1164</v>
      </c>
      <c r="F152" s="1141">
        <f>Y152</f>
        <v>6000</v>
      </c>
      <c r="G152" s="1141">
        <v>6000</v>
      </c>
      <c r="H152" s="570"/>
      <c r="I152" s="473"/>
      <c r="J152" s="2265" t="s">
        <v>194</v>
      </c>
      <c r="K152" s="2278"/>
      <c r="L152" s="2278"/>
      <c r="M152" s="2278"/>
      <c r="N152" s="2278"/>
      <c r="O152" s="2278"/>
      <c r="P152" s="2278"/>
      <c r="Q152" s="372"/>
      <c r="R152" s="1128"/>
      <c r="S152" s="524"/>
      <c r="T152" s="466"/>
      <c r="U152" s="2278"/>
      <c r="V152" s="366"/>
      <c r="W152" s="466"/>
      <c r="X152" s="525"/>
      <c r="Y152" s="1674">
        <f>SUM(Y153:Y154)</f>
        <v>6000</v>
      </c>
      <c r="AB152" s="275"/>
    </row>
    <row r="153" spans="1:28" ht="23.45" customHeight="1">
      <c r="A153" s="1645"/>
      <c r="B153" s="1648"/>
      <c r="C153" s="2278"/>
      <c r="D153" s="1154"/>
      <c r="E153" s="1154"/>
      <c r="F153" s="1141"/>
      <c r="G153" s="1141"/>
      <c r="H153" s="570"/>
      <c r="I153" s="473"/>
      <c r="J153" s="2265" t="s">
        <v>1200</v>
      </c>
      <c r="K153" s="2278"/>
      <c r="L153" s="2278"/>
      <c r="M153" s="2278"/>
      <c r="N153" s="2278"/>
      <c r="O153" s="2278"/>
      <c r="P153" s="2278"/>
      <c r="Q153" s="372"/>
      <c r="R153" s="1128"/>
      <c r="S153" s="524">
        <v>4000000</v>
      </c>
      <c r="T153" s="466" t="s">
        <v>592</v>
      </c>
      <c r="U153" s="2278"/>
      <c r="V153" s="366">
        <v>1</v>
      </c>
      <c r="W153" s="466" t="s">
        <v>209</v>
      </c>
      <c r="X153" s="525" t="s">
        <v>706</v>
      </c>
      <c r="Y153" s="1674">
        <f>S153*V153/1000</f>
        <v>4000</v>
      </c>
      <c r="AB153" s="275"/>
    </row>
    <row r="154" spans="1:28" ht="23.45" customHeight="1">
      <c r="A154" s="1645"/>
      <c r="B154" s="1648"/>
      <c r="C154" s="2278"/>
      <c r="D154" s="1154"/>
      <c r="E154" s="1154"/>
      <c r="F154" s="1141"/>
      <c r="G154" s="1141"/>
      <c r="H154" s="570"/>
      <c r="I154" s="473"/>
      <c r="J154" s="2265" t="s">
        <v>1201</v>
      </c>
      <c r="K154" s="2278"/>
      <c r="L154" s="2278"/>
      <c r="M154" s="2278"/>
      <c r="N154" s="2278"/>
      <c r="O154" s="2278"/>
      <c r="P154" s="2278"/>
      <c r="Q154" s="372"/>
      <c r="R154" s="1128"/>
      <c r="S154" s="524">
        <v>1000000</v>
      </c>
      <c r="T154" s="466" t="s">
        <v>592</v>
      </c>
      <c r="U154" s="2278"/>
      <c r="V154" s="366">
        <v>2</v>
      </c>
      <c r="W154" s="466" t="s">
        <v>1202</v>
      </c>
      <c r="X154" s="525" t="s">
        <v>706</v>
      </c>
      <c r="Y154" s="1674">
        <f>S154*V154/1000</f>
        <v>2000</v>
      </c>
      <c r="AB154" s="275"/>
    </row>
    <row r="155" spans="1:28" ht="23.45" customHeight="1">
      <c r="A155" s="1645"/>
      <c r="B155" s="1648"/>
      <c r="C155" s="2278"/>
      <c r="D155" s="1154"/>
      <c r="E155" s="1154" t="s">
        <v>590</v>
      </c>
      <c r="F155" s="1141">
        <f t="shared" ref="F155:F156" si="17">Y155</f>
        <v>4500</v>
      </c>
      <c r="G155" s="1141">
        <v>4500</v>
      </c>
      <c r="H155" s="570"/>
      <c r="I155" s="473"/>
      <c r="J155" s="2265" t="s">
        <v>1203</v>
      </c>
      <c r="K155" s="2266"/>
      <c r="L155" s="2266"/>
      <c r="M155" s="2266"/>
      <c r="N155" s="2266"/>
      <c r="O155" s="2266"/>
      <c r="P155" s="2266"/>
      <c r="Q155" s="372"/>
      <c r="R155" s="1128"/>
      <c r="S155" s="524">
        <v>1500000000</v>
      </c>
      <c r="T155" s="466" t="s">
        <v>354</v>
      </c>
      <c r="U155" s="2278"/>
      <c r="V155" s="2070">
        <v>3.0000000000000001E-3</v>
      </c>
      <c r="W155" s="466"/>
      <c r="X155" s="525" t="s">
        <v>565</v>
      </c>
      <c r="Y155" s="1674">
        <f>S155*V155/1000</f>
        <v>4500</v>
      </c>
      <c r="AB155" s="275"/>
    </row>
    <row r="156" spans="1:28" ht="23.45" customHeight="1">
      <c r="A156" s="1645"/>
      <c r="B156" s="1648"/>
      <c r="C156" s="2278"/>
      <c r="D156" s="1154"/>
      <c r="E156" s="1154" t="s">
        <v>2683</v>
      </c>
      <c r="F156" s="1141">
        <f t="shared" si="17"/>
        <v>12000</v>
      </c>
      <c r="G156" s="1141">
        <v>12000</v>
      </c>
      <c r="H156" s="523"/>
      <c r="I156" s="473"/>
      <c r="J156" s="2265" t="s">
        <v>194</v>
      </c>
      <c r="K156" s="2278"/>
      <c r="L156" s="2278"/>
      <c r="M156" s="2278"/>
      <c r="N156" s="2278"/>
      <c r="O156" s="2278"/>
      <c r="P156" s="2278"/>
      <c r="Q156" s="372"/>
      <c r="R156" s="1128"/>
      <c r="S156" s="524"/>
      <c r="T156" s="2278"/>
      <c r="U156" s="2278"/>
      <c r="V156" s="366"/>
      <c r="W156" s="2278"/>
      <c r="X156" s="2051"/>
      <c r="Y156" s="1674">
        <f>SUM(Y157:Y158)</f>
        <v>12000</v>
      </c>
      <c r="AB156" s="275"/>
    </row>
    <row r="157" spans="1:28" ht="23.45" customHeight="1">
      <c r="A157" s="1645"/>
      <c r="B157" s="1648"/>
      <c r="C157" s="2278"/>
      <c r="D157" s="1154"/>
      <c r="E157" s="1154"/>
      <c r="F157" s="1141"/>
      <c r="G157" s="1141"/>
      <c r="H157" s="1324"/>
      <c r="I157" s="473"/>
      <c r="J157" s="2265" t="s">
        <v>2684</v>
      </c>
      <c r="K157" s="2278"/>
      <c r="L157" s="2278"/>
      <c r="M157" s="2278"/>
      <c r="N157" s="2278"/>
      <c r="O157" s="2278"/>
      <c r="P157" s="2278"/>
      <c r="Q157" s="372">
        <v>15</v>
      </c>
      <c r="R157" s="1128" t="s">
        <v>296</v>
      </c>
      <c r="S157" s="524">
        <v>300000</v>
      </c>
      <c r="T157" s="2278" t="s">
        <v>592</v>
      </c>
      <c r="U157" s="2278"/>
      <c r="V157" s="2071">
        <v>2</v>
      </c>
      <c r="W157" s="2278" t="s">
        <v>570</v>
      </c>
      <c r="X157" s="2051" t="s">
        <v>565</v>
      </c>
      <c r="Y157" s="1674">
        <f>Q157*S157*V157/1000</f>
        <v>9000</v>
      </c>
      <c r="AB157" s="275"/>
    </row>
    <row r="158" spans="1:28" ht="23.45" customHeight="1">
      <c r="A158" s="1645"/>
      <c r="B158" s="1648"/>
      <c r="C158" s="2278"/>
      <c r="D158" s="1154"/>
      <c r="E158" s="1154"/>
      <c r="F158" s="1141"/>
      <c r="G158" s="1141"/>
      <c r="H158" s="1324"/>
      <c r="I158" s="473"/>
      <c r="J158" s="2265" t="s">
        <v>2685</v>
      </c>
      <c r="K158" s="2278"/>
      <c r="L158" s="2278"/>
      <c r="M158" s="2278"/>
      <c r="N158" s="2278"/>
      <c r="O158" s="2278"/>
      <c r="P158" s="2278"/>
      <c r="Q158" s="372"/>
      <c r="R158" s="1128"/>
      <c r="S158" s="524">
        <v>1000000</v>
      </c>
      <c r="T158" s="2278" t="s">
        <v>592</v>
      </c>
      <c r="U158" s="2278"/>
      <c r="V158" s="366">
        <v>3</v>
      </c>
      <c r="W158" s="2278" t="s">
        <v>460</v>
      </c>
      <c r="X158" s="2051" t="s">
        <v>565</v>
      </c>
      <c r="Y158" s="1674">
        <f>S158*V158/1000</f>
        <v>3000</v>
      </c>
      <c r="AB158" s="275"/>
    </row>
    <row r="159" spans="1:28" ht="23.45" customHeight="1">
      <c r="A159" s="1645"/>
      <c r="B159" s="1648"/>
      <c r="C159" s="2278"/>
      <c r="D159" s="1154"/>
      <c r="E159" s="1154" t="s">
        <v>2686</v>
      </c>
      <c r="F159" s="1141">
        <f>Y159</f>
        <v>11700</v>
      </c>
      <c r="G159" s="1141">
        <v>11700</v>
      </c>
      <c r="H159" s="523"/>
      <c r="I159" s="473"/>
      <c r="J159" s="2265" t="s">
        <v>194</v>
      </c>
      <c r="K159" s="2278"/>
      <c r="L159" s="2278"/>
      <c r="M159" s="2278"/>
      <c r="N159" s="2278"/>
      <c r="O159" s="2278"/>
      <c r="P159" s="2278"/>
      <c r="Q159" s="372"/>
      <c r="R159" s="1128"/>
      <c r="S159" s="524"/>
      <c r="T159" s="466"/>
      <c r="U159" s="2278"/>
      <c r="V159" s="366"/>
      <c r="W159" s="466"/>
      <c r="X159" s="525"/>
      <c r="Y159" s="1674">
        <f>SUM(Y160:Y162)</f>
        <v>11700</v>
      </c>
      <c r="AB159" s="275"/>
    </row>
    <row r="160" spans="1:28" ht="23.45" customHeight="1">
      <c r="A160" s="1645"/>
      <c r="B160" s="1648"/>
      <c r="C160" s="2278"/>
      <c r="D160" s="1154"/>
      <c r="E160" s="1154"/>
      <c r="F160" s="1141"/>
      <c r="G160" s="1141"/>
      <c r="H160" s="1324"/>
      <c r="I160" s="473"/>
      <c r="J160" s="2265" t="s">
        <v>2687</v>
      </c>
      <c r="K160" s="2278"/>
      <c r="L160" s="2278"/>
      <c r="M160" s="2278"/>
      <c r="N160" s="2278"/>
      <c r="O160" s="2278"/>
      <c r="P160" s="2278"/>
      <c r="Q160" s="372"/>
      <c r="R160" s="1128"/>
      <c r="S160" s="524">
        <v>500000</v>
      </c>
      <c r="T160" s="466" t="s">
        <v>592</v>
      </c>
      <c r="U160" s="2278"/>
      <c r="V160" s="366">
        <v>12</v>
      </c>
      <c r="W160" s="466" t="s">
        <v>374</v>
      </c>
      <c r="X160" s="525" t="s">
        <v>706</v>
      </c>
      <c r="Y160" s="1674">
        <f>S160*V160/1000</f>
        <v>6000</v>
      </c>
      <c r="AB160" s="275"/>
    </row>
    <row r="161" spans="1:28" ht="23.45" customHeight="1">
      <c r="A161" s="1645"/>
      <c r="B161" s="1648"/>
      <c r="C161" s="2278"/>
      <c r="D161" s="1154"/>
      <c r="E161" s="1154"/>
      <c r="F161" s="1141"/>
      <c r="G161" s="1141"/>
      <c r="H161" s="1324"/>
      <c r="I161" s="473"/>
      <c r="J161" s="2265" t="s">
        <v>1204</v>
      </c>
      <c r="K161" s="2278"/>
      <c r="L161" s="2278"/>
      <c r="M161" s="2278"/>
      <c r="N161" s="2278"/>
      <c r="O161" s="2278"/>
      <c r="P161" s="2278"/>
      <c r="Q161" s="372"/>
      <c r="R161" s="1128"/>
      <c r="S161" s="524">
        <v>1000000</v>
      </c>
      <c r="T161" s="466" t="s">
        <v>592</v>
      </c>
      <c r="U161" s="2278"/>
      <c r="V161" s="366">
        <v>3</v>
      </c>
      <c r="W161" s="466" t="s">
        <v>1202</v>
      </c>
      <c r="X161" s="525" t="s">
        <v>706</v>
      </c>
      <c r="Y161" s="1674">
        <f>S161*V161/1000</f>
        <v>3000</v>
      </c>
      <c r="AB161" s="275"/>
    </row>
    <row r="162" spans="1:28" ht="23.45" customHeight="1">
      <c r="A162" s="1645"/>
      <c r="B162" s="1648"/>
      <c r="C162" s="2278"/>
      <c r="D162" s="1154"/>
      <c r="E162" s="1154"/>
      <c r="F162" s="1141"/>
      <c r="G162" s="1141"/>
      <c r="H162" s="1324"/>
      <c r="I162" s="473"/>
      <c r="J162" s="2265" t="s">
        <v>2688</v>
      </c>
      <c r="K162" s="2278"/>
      <c r="L162" s="2278"/>
      <c r="M162" s="2278"/>
      <c r="N162" s="2278"/>
      <c r="O162" s="2278"/>
      <c r="P162" s="2278"/>
      <c r="Q162" s="372"/>
      <c r="R162" s="1128"/>
      <c r="S162" s="524">
        <v>900000</v>
      </c>
      <c r="T162" s="466" t="s">
        <v>592</v>
      </c>
      <c r="U162" s="2278"/>
      <c r="V162" s="366">
        <v>3</v>
      </c>
      <c r="W162" s="466" t="s">
        <v>1202</v>
      </c>
      <c r="X162" s="525" t="s">
        <v>706</v>
      </c>
      <c r="Y162" s="1674">
        <f>S162*V162/1000</f>
        <v>2700</v>
      </c>
      <c r="AB162" s="275"/>
    </row>
    <row r="163" spans="1:28" ht="23.45" customHeight="1">
      <c r="A163" s="1645"/>
      <c r="B163" s="1648"/>
      <c r="C163" s="2278"/>
      <c r="D163" s="1154"/>
      <c r="E163" s="1154" t="s">
        <v>734</v>
      </c>
      <c r="F163" s="1141">
        <f t="shared" ref="F163:F165" si="18">Y163</f>
        <v>8000</v>
      </c>
      <c r="G163" s="1141">
        <v>8000</v>
      </c>
      <c r="H163" s="523"/>
      <c r="I163" s="473"/>
      <c r="J163" s="2274" t="s">
        <v>2689</v>
      </c>
      <c r="K163" s="2266"/>
      <c r="L163" s="2266"/>
      <c r="M163" s="2266"/>
      <c r="N163" s="2266"/>
      <c r="O163" s="2266"/>
      <c r="P163" s="2266"/>
      <c r="Q163" s="372"/>
      <c r="R163" s="1128"/>
      <c r="S163" s="524">
        <v>4000000</v>
      </c>
      <c r="T163" s="466" t="s">
        <v>354</v>
      </c>
      <c r="U163" s="2278"/>
      <c r="V163" s="2072">
        <v>2</v>
      </c>
      <c r="W163" s="466" t="s">
        <v>570</v>
      </c>
      <c r="X163" s="525" t="s">
        <v>565</v>
      </c>
      <c r="Y163" s="1674">
        <f>S163*V163/1000</f>
        <v>8000</v>
      </c>
      <c r="AB163" s="275"/>
    </row>
    <row r="164" spans="1:28" ht="23.45" customHeight="1">
      <c r="A164" s="1645"/>
      <c r="B164" s="1648"/>
      <c r="C164" s="2357"/>
      <c r="D164" s="1154"/>
      <c r="E164" s="1154" t="s">
        <v>269</v>
      </c>
      <c r="F164" s="1141">
        <f>Y164</f>
        <v>1000</v>
      </c>
      <c r="G164" s="1141">
        <v>1000</v>
      </c>
      <c r="H164" s="570"/>
      <c r="I164" s="473"/>
      <c r="J164" s="2892" t="s">
        <v>2694</v>
      </c>
      <c r="K164" s="2885"/>
      <c r="L164" s="2885"/>
      <c r="M164" s="2885"/>
      <c r="N164" s="2885"/>
      <c r="O164" s="2885"/>
      <c r="P164" s="2885"/>
      <c r="Q164" s="372"/>
      <c r="R164" s="1128"/>
      <c r="S164" s="524">
        <v>1000000</v>
      </c>
      <c r="T164" s="466" t="s">
        <v>264</v>
      </c>
      <c r="U164" s="2357"/>
      <c r="V164" s="2072">
        <v>1</v>
      </c>
      <c r="W164" s="466" t="s">
        <v>196</v>
      </c>
      <c r="X164" s="525" t="s">
        <v>266</v>
      </c>
      <c r="Y164" s="1674">
        <f>S164*V164/1000</f>
        <v>1000</v>
      </c>
      <c r="AB164" s="275"/>
    </row>
    <row r="165" spans="1:28" ht="23.45" customHeight="1">
      <c r="A165" s="1645"/>
      <c r="B165" s="1648"/>
      <c r="C165" s="2278"/>
      <c r="D165" s="1154"/>
      <c r="E165" s="1154" t="s">
        <v>631</v>
      </c>
      <c r="F165" s="1141">
        <f t="shared" si="18"/>
        <v>40000</v>
      </c>
      <c r="G165" s="1141">
        <v>40000</v>
      </c>
      <c r="H165" s="523"/>
      <c r="I165" s="473"/>
      <c r="J165" s="2274" t="s">
        <v>2690</v>
      </c>
      <c r="K165" s="2266"/>
      <c r="L165" s="2266"/>
      <c r="M165" s="2266"/>
      <c r="N165" s="2266"/>
      <c r="O165" s="2266"/>
      <c r="P165" s="2266"/>
      <c r="Q165" s="372"/>
      <c r="R165" s="1128"/>
      <c r="S165" s="524"/>
      <c r="T165" s="466"/>
      <c r="U165" s="2278"/>
      <c r="V165" s="2072"/>
      <c r="W165" s="466"/>
      <c r="X165" s="525"/>
      <c r="Y165" s="1674">
        <f>SUM(Y166:Y168)</f>
        <v>40000</v>
      </c>
      <c r="AB165" s="275"/>
    </row>
    <row r="166" spans="1:28" ht="23.45" customHeight="1">
      <c r="A166" s="1645"/>
      <c r="B166" s="1648"/>
      <c r="C166" s="2278"/>
      <c r="D166" s="1154"/>
      <c r="E166" s="1154"/>
      <c r="F166" s="1141"/>
      <c r="G166" s="1141"/>
      <c r="H166" s="570"/>
      <c r="I166" s="473"/>
      <c r="J166" s="2274" t="s">
        <v>2691</v>
      </c>
      <c r="K166" s="2266"/>
      <c r="L166" s="2266"/>
      <c r="M166" s="2266"/>
      <c r="N166" s="2266"/>
      <c r="O166" s="2266"/>
      <c r="P166" s="2266"/>
      <c r="Q166" s="372"/>
      <c r="R166" s="1128"/>
      <c r="S166" s="524">
        <v>20000000</v>
      </c>
      <c r="T166" s="466" t="s">
        <v>354</v>
      </c>
      <c r="U166" s="2278"/>
      <c r="V166" s="2072">
        <v>1</v>
      </c>
      <c r="W166" s="466" t="s">
        <v>196</v>
      </c>
      <c r="X166" s="525" t="s">
        <v>565</v>
      </c>
      <c r="Y166" s="1674">
        <f>S166*V166/1000</f>
        <v>20000</v>
      </c>
      <c r="AB166" s="275"/>
    </row>
    <row r="167" spans="1:28" ht="23.45" customHeight="1">
      <c r="A167" s="1645"/>
      <c r="B167" s="1648"/>
      <c r="C167" s="2278"/>
      <c r="D167" s="1154"/>
      <c r="E167" s="1154"/>
      <c r="F167" s="1141"/>
      <c r="G167" s="1141"/>
      <c r="H167" s="570"/>
      <c r="I167" s="473"/>
      <c r="J167" s="2274" t="s">
        <v>2692</v>
      </c>
      <c r="K167" s="2266"/>
      <c r="L167" s="2266"/>
      <c r="M167" s="2266"/>
      <c r="N167" s="2266"/>
      <c r="O167" s="2266"/>
      <c r="P167" s="2266"/>
      <c r="Q167" s="372"/>
      <c r="R167" s="1128"/>
      <c r="S167" s="524">
        <v>10000000</v>
      </c>
      <c r="T167" s="466" t="s">
        <v>354</v>
      </c>
      <c r="U167" s="2278"/>
      <c r="V167" s="2072">
        <v>1</v>
      </c>
      <c r="W167" s="466" t="s">
        <v>196</v>
      </c>
      <c r="X167" s="525" t="s">
        <v>565</v>
      </c>
      <c r="Y167" s="1674">
        <f>S167*V167/1000</f>
        <v>10000</v>
      </c>
      <c r="AB167" s="275"/>
    </row>
    <row r="168" spans="1:28" ht="23.45" customHeight="1">
      <c r="A168" s="1645"/>
      <c r="B168" s="1648"/>
      <c r="C168" s="2278"/>
      <c r="D168" s="1154"/>
      <c r="E168" s="1154"/>
      <c r="F168" s="1141"/>
      <c r="G168" s="1141"/>
      <c r="H168" s="570"/>
      <c r="I168" s="473"/>
      <c r="J168" s="2274" t="s">
        <v>2693</v>
      </c>
      <c r="K168" s="2266"/>
      <c r="L168" s="2266"/>
      <c r="M168" s="2266"/>
      <c r="N168" s="2266"/>
      <c r="O168" s="2266"/>
      <c r="P168" s="2266"/>
      <c r="Q168" s="372"/>
      <c r="R168" s="1128"/>
      <c r="S168" s="524">
        <v>5000000</v>
      </c>
      <c r="T168" s="466" t="s">
        <v>354</v>
      </c>
      <c r="U168" s="2278"/>
      <c r="V168" s="2072">
        <v>2</v>
      </c>
      <c r="W168" s="466" t="s">
        <v>460</v>
      </c>
      <c r="X168" s="525" t="s">
        <v>565</v>
      </c>
      <c r="Y168" s="1674">
        <f>S168*V168/1000</f>
        <v>10000</v>
      </c>
      <c r="AB168" s="275"/>
    </row>
    <row r="169" spans="1:28" ht="23.45" customHeight="1">
      <c r="A169" s="1645"/>
      <c r="B169" s="1648"/>
      <c r="C169" s="2278"/>
      <c r="D169" s="3358" t="s">
        <v>5261</v>
      </c>
      <c r="E169" s="3359"/>
      <c r="F169" s="2907">
        <f>SUM(F170:F195)</f>
        <v>259800</v>
      </c>
      <c r="G169" s="2907">
        <f>SUM(G170:G195)</f>
        <v>259800</v>
      </c>
      <c r="H169" s="689">
        <f>F169-G169</f>
        <v>0</v>
      </c>
      <c r="I169" s="533"/>
      <c r="J169" s="2369"/>
      <c r="K169" s="2640"/>
      <c r="L169" s="2640"/>
      <c r="M169" s="2640"/>
      <c r="N169" s="2640"/>
      <c r="O169" s="2640"/>
      <c r="P169" s="2640"/>
      <c r="Q169" s="736"/>
      <c r="R169" s="731"/>
      <c r="S169" s="2908"/>
      <c r="T169" s="2640"/>
      <c r="U169" s="2640"/>
      <c r="V169" s="2909"/>
      <c r="W169" s="2640"/>
      <c r="X169" s="2384"/>
      <c r="Y169" s="2910"/>
      <c r="AB169" s="275"/>
    </row>
    <row r="170" spans="1:28" ht="23.45" customHeight="1">
      <c r="A170" s="1645"/>
      <c r="B170" s="1648"/>
      <c r="C170" s="2278"/>
      <c r="D170" s="2843"/>
      <c r="E170" s="2843" t="s">
        <v>5246</v>
      </c>
      <c r="F170" s="511">
        <f t="shared" ref="F170:F171" si="19">Y170</f>
        <v>30000</v>
      </c>
      <c r="G170" s="511">
        <v>30000</v>
      </c>
      <c r="H170" s="2372"/>
      <c r="I170" s="533"/>
      <c r="J170" s="3024" t="s">
        <v>5215</v>
      </c>
      <c r="K170" s="3025"/>
      <c r="L170" s="3025"/>
      <c r="M170" s="3025"/>
      <c r="N170" s="3025"/>
      <c r="O170" s="3025"/>
      <c r="P170" s="3025"/>
      <c r="Q170" s="534"/>
      <c r="R170" s="535"/>
      <c r="S170" s="3026">
        <v>2500000</v>
      </c>
      <c r="T170" s="2381" t="s">
        <v>5216</v>
      </c>
      <c r="U170" s="2894"/>
      <c r="V170" s="530">
        <v>12</v>
      </c>
      <c r="W170" s="2381" t="s">
        <v>5217</v>
      </c>
      <c r="X170" s="531" t="s">
        <v>5218</v>
      </c>
      <c r="Y170" s="636">
        <f>S170*V170/1000</f>
        <v>30000</v>
      </c>
      <c r="AB170" s="275"/>
    </row>
    <row r="171" spans="1:28" ht="23.45" customHeight="1">
      <c r="A171" s="1645"/>
      <c r="B171" s="1648"/>
      <c r="C171" s="2278"/>
      <c r="D171" s="2843"/>
      <c r="E171" s="2843" t="s">
        <v>5247</v>
      </c>
      <c r="F171" s="511">
        <f t="shared" si="19"/>
        <v>52000</v>
      </c>
      <c r="G171" s="511">
        <v>52000</v>
      </c>
      <c r="H171" s="2372"/>
      <c r="I171" s="533"/>
      <c r="J171" s="3024" t="s">
        <v>5219</v>
      </c>
      <c r="K171" s="3025"/>
      <c r="L171" s="3025"/>
      <c r="M171" s="3025"/>
      <c r="N171" s="3025"/>
      <c r="O171" s="3025"/>
      <c r="P171" s="3025"/>
      <c r="Q171" s="534"/>
      <c r="R171" s="535"/>
      <c r="S171" s="3026"/>
      <c r="T171" s="2381"/>
      <c r="U171" s="2894"/>
      <c r="V171" s="530"/>
      <c r="W171" s="2381"/>
      <c r="X171" s="531"/>
      <c r="Y171" s="636">
        <f>+Y172+Y173</f>
        <v>52000</v>
      </c>
      <c r="AB171" s="275"/>
    </row>
    <row r="172" spans="1:28" ht="23.45" customHeight="1">
      <c r="A172" s="1645"/>
      <c r="B172" s="1648"/>
      <c r="C172" s="2278"/>
      <c r="D172" s="2843"/>
      <c r="E172" s="2843"/>
      <c r="F172" s="511"/>
      <c r="G172" s="511"/>
      <c r="H172" s="2372"/>
      <c r="I172" s="533"/>
      <c r="J172" s="3024" t="s">
        <v>5220</v>
      </c>
      <c r="K172" s="3025"/>
      <c r="L172" s="3025"/>
      <c r="M172" s="3025"/>
      <c r="N172" s="3025"/>
      <c r="O172" s="3025"/>
      <c r="P172" s="3025"/>
      <c r="Q172" s="534"/>
      <c r="R172" s="535"/>
      <c r="S172" s="3026">
        <v>11000000</v>
      </c>
      <c r="T172" s="2381" t="s">
        <v>5216</v>
      </c>
      <c r="U172" s="2894"/>
      <c r="V172" s="530">
        <v>2</v>
      </c>
      <c r="W172" s="2381" t="s">
        <v>5221</v>
      </c>
      <c r="X172" s="531" t="s">
        <v>5218</v>
      </c>
      <c r="Y172" s="636">
        <f t="shared" ref="Y172" si="20">S172*V172/1000</f>
        <v>22000</v>
      </c>
      <c r="AB172" s="275"/>
    </row>
    <row r="173" spans="1:28" ht="23.45" customHeight="1">
      <c r="A173" s="1645"/>
      <c r="B173" s="1648"/>
      <c r="C173" s="2278"/>
      <c r="D173" s="2843"/>
      <c r="E173" s="2843"/>
      <c r="F173" s="511"/>
      <c r="G173" s="511"/>
      <c r="H173" s="2372"/>
      <c r="I173" s="533"/>
      <c r="J173" s="3024" t="s">
        <v>5222</v>
      </c>
      <c r="K173" s="3025"/>
      <c r="L173" s="3025"/>
      <c r="M173" s="3025"/>
      <c r="N173" s="3025"/>
      <c r="O173" s="3025"/>
      <c r="P173" s="3025"/>
      <c r="Q173" s="534">
        <v>2</v>
      </c>
      <c r="R173" s="535" t="s">
        <v>5223</v>
      </c>
      <c r="S173" s="3026">
        <v>30000</v>
      </c>
      <c r="T173" s="2381" t="s">
        <v>5216</v>
      </c>
      <c r="U173" s="2894"/>
      <c r="V173" s="530">
        <v>500</v>
      </c>
      <c r="W173" s="2381" t="s">
        <v>5224</v>
      </c>
      <c r="X173" s="531" t="s">
        <v>5218</v>
      </c>
      <c r="Y173" s="636">
        <f>Q173*S173*V173/1000</f>
        <v>30000</v>
      </c>
      <c r="AB173" s="275"/>
    </row>
    <row r="174" spans="1:28" ht="23.45" customHeight="1">
      <c r="A174" s="1645"/>
      <c r="B174" s="1648"/>
      <c r="C174" s="2278"/>
      <c r="D174" s="2843"/>
      <c r="E174" s="2843" t="s">
        <v>5248</v>
      </c>
      <c r="F174" s="511">
        <f t="shared" ref="F174:F184" si="21">Y174</f>
        <v>2000</v>
      </c>
      <c r="G174" s="511">
        <v>2000</v>
      </c>
      <c r="H174" s="2372"/>
      <c r="I174" s="533"/>
      <c r="J174" s="3024" t="s">
        <v>5225</v>
      </c>
      <c r="K174" s="3025"/>
      <c r="L174" s="3025"/>
      <c r="M174" s="3025"/>
      <c r="N174" s="3025"/>
      <c r="O174" s="3025"/>
      <c r="P174" s="3025"/>
      <c r="Q174" s="534"/>
      <c r="R174" s="535"/>
      <c r="S174" s="3026">
        <v>1000000000</v>
      </c>
      <c r="T174" s="2381" t="s">
        <v>5216</v>
      </c>
      <c r="U174" s="2894"/>
      <c r="V174" s="3027">
        <v>2E-3</v>
      </c>
      <c r="W174" s="2381"/>
      <c r="X174" s="531" t="s">
        <v>5218</v>
      </c>
      <c r="Y174" s="636">
        <f t="shared" ref="Y174" si="22">S174*V174/1000</f>
        <v>2000</v>
      </c>
      <c r="AB174" s="275"/>
    </row>
    <row r="175" spans="1:28" ht="21.95" customHeight="1">
      <c r="A175" s="1645"/>
      <c r="B175" s="1648"/>
      <c r="C175" s="2357"/>
      <c r="D175" s="2843"/>
      <c r="E175" s="2843" t="s">
        <v>5262</v>
      </c>
      <c r="F175" s="511">
        <f t="shared" si="21"/>
        <v>2400</v>
      </c>
      <c r="G175" s="511">
        <v>0</v>
      </c>
      <c r="H175" s="2372">
        <f>F175-G175</f>
        <v>2400</v>
      </c>
      <c r="I175" s="533"/>
      <c r="J175" s="2894" t="s">
        <v>5219</v>
      </c>
      <c r="K175" s="2894"/>
      <c r="L175" s="2894"/>
      <c r="M175" s="2894"/>
      <c r="N175" s="2894"/>
      <c r="O175" s="2894"/>
      <c r="P175" s="2894"/>
      <c r="Q175" s="534"/>
      <c r="R175" s="535"/>
      <c r="S175" s="3026"/>
      <c r="T175" s="2381"/>
      <c r="U175" s="2894"/>
      <c r="V175" s="530"/>
      <c r="W175" s="2381"/>
      <c r="X175" s="531"/>
      <c r="Y175" s="636">
        <f>Z175/1000</f>
        <v>2400</v>
      </c>
      <c r="Z175" s="2906">
        <f>Z176+Z177</f>
        <v>2400000</v>
      </c>
      <c r="AB175" s="275"/>
    </row>
    <row r="176" spans="1:28" ht="21.95" customHeight="1">
      <c r="A176" s="1645"/>
      <c r="B176" s="1648"/>
      <c r="C176" s="2357"/>
      <c r="D176" s="2843"/>
      <c r="E176" s="2843"/>
      <c r="F176" s="511"/>
      <c r="G176" s="511"/>
      <c r="H176" s="2372"/>
      <c r="I176" s="533"/>
      <c r="J176" s="3024" t="s">
        <v>5258</v>
      </c>
      <c r="K176" s="3025"/>
      <c r="L176" s="3025"/>
      <c r="M176" s="3025"/>
      <c r="N176" s="3025"/>
      <c r="O176" s="3025"/>
      <c r="P176" s="3025"/>
      <c r="Q176" s="534"/>
      <c r="R176" s="535"/>
      <c r="S176" s="3026">
        <v>2000</v>
      </c>
      <c r="T176" s="2381" t="s">
        <v>5216</v>
      </c>
      <c r="U176" s="2894"/>
      <c r="V176" s="530">
        <v>1000</v>
      </c>
      <c r="W176" s="2381" t="s">
        <v>5259</v>
      </c>
      <c r="X176" s="531" t="s">
        <v>5218</v>
      </c>
      <c r="Y176" s="636">
        <f t="shared" ref="Y176:Y177" si="23">S176*V176/1000</f>
        <v>2000</v>
      </c>
      <c r="Z176" s="2906">
        <f>S176*V176</f>
        <v>2000000</v>
      </c>
      <c r="AB176" s="275"/>
    </row>
    <row r="177" spans="1:28" ht="21.95" customHeight="1">
      <c r="A177" s="1645"/>
      <c r="B177" s="1648"/>
      <c r="C177" s="2357"/>
      <c r="D177" s="2843"/>
      <c r="E177" s="2843"/>
      <c r="F177" s="511"/>
      <c r="G177" s="511"/>
      <c r="H177" s="2372"/>
      <c r="I177" s="533"/>
      <c r="J177" s="3024" t="s">
        <v>5260</v>
      </c>
      <c r="K177" s="3025"/>
      <c r="L177" s="3025"/>
      <c r="M177" s="3025"/>
      <c r="N177" s="3025"/>
      <c r="O177" s="3025"/>
      <c r="P177" s="3025"/>
      <c r="Q177" s="534"/>
      <c r="R177" s="535"/>
      <c r="S177" s="3026">
        <v>100000</v>
      </c>
      <c r="T177" s="2381" t="s">
        <v>5216</v>
      </c>
      <c r="U177" s="2894"/>
      <c r="V177" s="530">
        <v>4</v>
      </c>
      <c r="W177" s="2381" t="s">
        <v>5232</v>
      </c>
      <c r="X177" s="531" t="s">
        <v>5218</v>
      </c>
      <c r="Y177" s="636">
        <f t="shared" si="23"/>
        <v>400</v>
      </c>
      <c r="Z177" s="2906">
        <f>S177*V177</f>
        <v>400000</v>
      </c>
      <c r="AB177" s="275"/>
    </row>
    <row r="178" spans="1:28" ht="21.95" customHeight="1">
      <c r="A178" s="1645"/>
      <c r="B178" s="1648"/>
      <c r="C178" s="2278"/>
      <c r="D178" s="2843"/>
      <c r="E178" s="2843" t="s">
        <v>5249</v>
      </c>
      <c r="F178" s="511">
        <f t="shared" si="21"/>
        <v>3000</v>
      </c>
      <c r="G178" s="511">
        <v>3000</v>
      </c>
      <c r="H178" s="2372"/>
      <c r="I178" s="533"/>
      <c r="J178" s="3024" t="s">
        <v>5226</v>
      </c>
      <c r="K178" s="3025"/>
      <c r="L178" s="3025"/>
      <c r="M178" s="3025"/>
      <c r="N178" s="3025"/>
      <c r="O178" s="3025"/>
      <c r="P178" s="3025"/>
      <c r="Q178" s="534">
        <v>2</v>
      </c>
      <c r="R178" s="535" t="s">
        <v>5227</v>
      </c>
      <c r="S178" s="3026">
        <v>30000</v>
      </c>
      <c r="T178" s="2381" t="s">
        <v>5216</v>
      </c>
      <c r="U178" s="2894"/>
      <c r="V178" s="530">
        <v>50</v>
      </c>
      <c r="W178" s="2381" t="s">
        <v>5221</v>
      </c>
      <c r="X178" s="531" t="s">
        <v>5218</v>
      </c>
      <c r="Y178" s="636">
        <f>Q178*S178*V178/1000</f>
        <v>3000</v>
      </c>
      <c r="AB178" s="275"/>
    </row>
    <row r="179" spans="1:28" ht="21.95" customHeight="1">
      <c r="A179" s="1645"/>
      <c r="B179" s="1648"/>
      <c r="C179" s="2357"/>
      <c r="D179" s="2843"/>
      <c r="E179" s="2843" t="s">
        <v>5255</v>
      </c>
      <c r="F179" s="511">
        <f t="shared" si="21"/>
        <v>2400</v>
      </c>
      <c r="G179" s="511">
        <v>0</v>
      </c>
      <c r="H179" s="2372">
        <f t="shared" ref="H179:H195" si="24">F179-G179</f>
        <v>2400</v>
      </c>
      <c r="I179" s="533"/>
      <c r="J179" s="2894" t="s">
        <v>5244</v>
      </c>
      <c r="K179" s="2894"/>
      <c r="L179" s="2894"/>
      <c r="M179" s="2894"/>
      <c r="N179" s="2894"/>
      <c r="O179" s="2894"/>
      <c r="P179" s="2894"/>
      <c r="Q179" s="534"/>
      <c r="R179" s="535"/>
      <c r="S179" s="3026">
        <v>1200000</v>
      </c>
      <c r="T179" s="2381" t="s">
        <v>5216</v>
      </c>
      <c r="U179" s="2894"/>
      <c r="V179" s="530">
        <v>2</v>
      </c>
      <c r="W179" s="2381" t="s">
        <v>5232</v>
      </c>
      <c r="X179" s="531" t="s">
        <v>5218</v>
      </c>
      <c r="Y179" s="636">
        <f>S179*V179/1000</f>
        <v>2400</v>
      </c>
      <c r="AB179" s="275"/>
    </row>
    <row r="180" spans="1:28" ht="21.95" customHeight="1">
      <c r="A180" s="1645"/>
      <c r="B180" s="1648"/>
      <c r="C180" s="2357"/>
      <c r="D180" s="2843"/>
      <c r="E180" s="2843" t="s">
        <v>5251</v>
      </c>
      <c r="F180" s="511">
        <f t="shared" si="21"/>
        <v>16500</v>
      </c>
      <c r="G180" s="511">
        <v>4300</v>
      </c>
      <c r="H180" s="2372">
        <f t="shared" si="24"/>
        <v>12200</v>
      </c>
      <c r="I180" s="533"/>
      <c r="J180" s="3024" t="s">
        <v>5219</v>
      </c>
      <c r="K180" s="3025"/>
      <c r="L180" s="3025"/>
      <c r="M180" s="3025"/>
      <c r="N180" s="3025"/>
      <c r="O180" s="3025"/>
      <c r="P180" s="3025"/>
      <c r="Q180" s="534"/>
      <c r="R180" s="535"/>
      <c r="S180" s="3026"/>
      <c r="T180" s="2381"/>
      <c r="U180" s="2894"/>
      <c r="V180" s="530"/>
      <c r="W180" s="2381"/>
      <c r="X180" s="531"/>
      <c r="Y180" s="636">
        <f>+Y181+Y182+Y183</f>
        <v>16500</v>
      </c>
      <c r="AB180" s="275"/>
    </row>
    <row r="181" spans="1:28" ht="21.95" customHeight="1">
      <c r="A181" s="1645"/>
      <c r="B181" s="1648"/>
      <c r="C181" s="2357"/>
      <c r="D181" s="2843"/>
      <c r="E181" s="2843"/>
      <c r="F181" s="511"/>
      <c r="G181" s="511"/>
      <c r="H181" s="2372"/>
      <c r="I181" s="533"/>
      <c r="J181" s="3024" t="s">
        <v>5236</v>
      </c>
      <c r="K181" s="3025"/>
      <c r="L181" s="3025"/>
      <c r="M181" s="3025"/>
      <c r="N181" s="3025"/>
      <c r="O181" s="3025"/>
      <c r="P181" s="3025"/>
      <c r="Q181" s="534"/>
      <c r="R181" s="535"/>
      <c r="S181" s="3026">
        <v>5000000</v>
      </c>
      <c r="T181" s="2381" t="s">
        <v>5216</v>
      </c>
      <c r="U181" s="2894"/>
      <c r="V181" s="530">
        <v>1</v>
      </c>
      <c r="W181" s="2381" t="s">
        <v>5221</v>
      </c>
      <c r="X181" s="531" t="s">
        <v>5218</v>
      </c>
      <c r="Y181" s="636">
        <f>S181*V181/1000</f>
        <v>5000</v>
      </c>
      <c r="AB181" s="275"/>
    </row>
    <row r="182" spans="1:28" ht="21.95" customHeight="1">
      <c r="A182" s="1645"/>
      <c r="B182" s="1648"/>
      <c r="C182" s="2357"/>
      <c r="D182" s="2843"/>
      <c r="E182" s="2843"/>
      <c r="F182" s="511"/>
      <c r="G182" s="511"/>
      <c r="H182" s="2372"/>
      <c r="I182" s="533"/>
      <c r="J182" s="3024" t="s">
        <v>5237</v>
      </c>
      <c r="K182" s="3025"/>
      <c r="L182" s="3025"/>
      <c r="M182" s="3025"/>
      <c r="N182" s="3025" t="s">
        <v>5238</v>
      </c>
      <c r="O182" s="3025"/>
      <c r="P182" s="3025"/>
      <c r="Q182" s="534"/>
      <c r="R182" s="535"/>
      <c r="S182" s="3026">
        <v>500000</v>
      </c>
      <c r="T182" s="2381" t="s">
        <v>5216</v>
      </c>
      <c r="U182" s="2894"/>
      <c r="V182" s="530">
        <v>1</v>
      </c>
      <c r="W182" s="2381" t="s">
        <v>5221</v>
      </c>
      <c r="X182" s="531" t="s">
        <v>5218</v>
      </c>
      <c r="Y182" s="636">
        <f t="shared" ref="Y182:Y183" si="25">S182*V182/1000</f>
        <v>500</v>
      </c>
      <c r="AB182" s="275"/>
    </row>
    <row r="183" spans="1:28" ht="21.95" customHeight="1">
      <c r="A183" s="1645"/>
      <c r="B183" s="1648"/>
      <c r="C183" s="2357"/>
      <c r="D183" s="2843"/>
      <c r="E183" s="2843"/>
      <c r="F183" s="511"/>
      <c r="G183" s="511"/>
      <c r="H183" s="2372"/>
      <c r="I183" s="533"/>
      <c r="J183" s="3024" t="s">
        <v>5239</v>
      </c>
      <c r="K183" s="3025"/>
      <c r="L183" s="3025"/>
      <c r="M183" s="3025"/>
      <c r="N183" s="3025"/>
      <c r="O183" s="3025"/>
      <c r="P183" s="3025"/>
      <c r="Q183" s="534"/>
      <c r="R183" s="535"/>
      <c r="S183" s="3026">
        <v>11000000</v>
      </c>
      <c r="T183" s="2381" t="s">
        <v>5216</v>
      </c>
      <c r="U183" s="2894"/>
      <c r="V183" s="530">
        <v>1</v>
      </c>
      <c r="W183" s="2381" t="s">
        <v>5221</v>
      </c>
      <c r="X183" s="531" t="s">
        <v>5218</v>
      </c>
      <c r="Y183" s="636">
        <f t="shared" si="25"/>
        <v>11000</v>
      </c>
      <c r="AB183" s="275"/>
    </row>
    <row r="184" spans="1:28" ht="21.95" customHeight="1">
      <c r="A184" s="1645"/>
      <c r="B184" s="1648"/>
      <c r="C184" s="2278"/>
      <c r="D184" s="2843"/>
      <c r="E184" s="2843" t="s">
        <v>5250</v>
      </c>
      <c r="F184" s="511">
        <f t="shared" si="21"/>
        <v>142700</v>
      </c>
      <c r="G184" s="511">
        <v>161000</v>
      </c>
      <c r="H184" s="2372">
        <f t="shared" si="24"/>
        <v>-18300</v>
      </c>
      <c r="I184" s="533"/>
      <c r="J184" s="3024" t="s">
        <v>5219</v>
      </c>
      <c r="K184" s="3025"/>
      <c r="L184" s="3025"/>
      <c r="M184" s="3025"/>
      <c r="N184" s="3025"/>
      <c r="O184" s="3025"/>
      <c r="P184" s="3025"/>
      <c r="Q184" s="534"/>
      <c r="R184" s="535"/>
      <c r="S184" s="3026"/>
      <c r="T184" s="2381"/>
      <c r="U184" s="2894"/>
      <c r="V184" s="530"/>
      <c r="W184" s="2381"/>
      <c r="X184" s="531"/>
      <c r="Y184" s="636">
        <f>SUM(Y185:Y191)</f>
        <v>142700</v>
      </c>
      <c r="AB184" s="275"/>
    </row>
    <row r="185" spans="1:28" ht="21.95" customHeight="1">
      <c r="A185" s="1645"/>
      <c r="B185" s="1648"/>
      <c r="C185" s="2357"/>
      <c r="D185" s="2843"/>
      <c r="E185" s="2843"/>
      <c r="F185" s="511"/>
      <c r="G185" s="511"/>
      <c r="H185" s="2372"/>
      <c r="I185" s="533"/>
      <c r="J185" s="3024" t="s">
        <v>5228</v>
      </c>
      <c r="K185" s="3025"/>
      <c r="L185" s="3025"/>
      <c r="M185" s="3025"/>
      <c r="N185" s="3025"/>
      <c r="O185" s="3025"/>
      <c r="P185" s="3025"/>
      <c r="Q185" s="534"/>
      <c r="R185" s="535"/>
      <c r="S185" s="3026">
        <v>38000000</v>
      </c>
      <c r="T185" s="2381" t="s">
        <v>5216</v>
      </c>
      <c r="U185" s="2894"/>
      <c r="V185" s="530">
        <v>2</v>
      </c>
      <c r="W185" s="2381" t="s">
        <v>5221</v>
      </c>
      <c r="X185" s="531" t="s">
        <v>5218</v>
      </c>
      <c r="Y185" s="636">
        <f>S185*V185/1000</f>
        <v>76000</v>
      </c>
      <c r="AB185" s="275"/>
    </row>
    <row r="186" spans="1:28" ht="21.95" customHeight="1">
      <c r="A186" s="1645"/>
      <c r="B186" s="1648"/>
      <c r="C186" s="2357"/>
      <c r="D186" s="2843"/>
      <c r="E186" s="2843"/>
      <c r="F186" s="511"/>
      <c r="G186" s="511"/>
      <c r="H186" s="2372"/>
      <c r="I186" s="533"/>
      <c r="J186" s="3024" t="s">
        <v>5229</v>
      </c>
      <c r="K186" s="3025"/>
      <c r="L186" s="3025"/>
      <c r="M186" s="3025"/>
      <c r="N186" s="3025"/>
      <c r="O186" s="3025"/>
      <c r="P186" s="3025"/>
      <c r="Q186" s="534"/>
      <c r="R186" s="535"/>
      <c r="S186" s="3026">
        <v>12000000</v>
      </c>
      <c r="T186" s="2381" t="s">
        <v>5216</v>
      </c>
      <c r="U186" s="2894"/>
      <c r="V186" s="530">
        <v>2</v>
      </c>
      <c r="W186" s="2381" t="s">
        <v>5221</v>
      </c>
      <c r="X186" s="531" t="s">
        <v>5218</v>
      </c>
      <c r="Y186" s="636">
        <f>S186*V186/1000</f>
        <v>24000</v>
      </c>
      <c r="AB186" s="275"/>
    </row>
    <row r="187" spans="1:28" ht="21.95" customHeight="1">
      <c r="A187" s="1645"/>
      <c r="B187" s="1648"/>
      <c r="C187" s="2357"/>
      <c r="D187" s="2843"/>
      <c r="E187" s="2843"/>
      <c r="F187" s="511"/>
      <c r="G187" s="511"/>
      <c r="H187" s="2372"/>
      <c r="I187" s="533"/>
      <c r="J187" s="3024" t="s">
        <v>5230</v>
      </c>
      <c r="K187" s="3025"/>
      <c r="L187" s="3025"/>
      <c r="M187" s="3025"/>
      <c r="N187" s="3025"/>
      <c r="O187" s="3025"/>
      <c r="P187" s="3025"/>
      <c r="Q187" s="534"/>
      <c r="R187" s="535"/>
      <c r="S187" s="3026">
        <v>5000000</v>
      </c>
      <c r="T187" s="2381" t="s">
        <v>5216</v>
      </c>
      <c r="U187" s="2894"/>
      <c r="V187" s="530">
        <v>2</v>
      </c>
      <c r="W187" s="2381" t="s">
        <v>5221</v>
      </c>
      <c r="X187" s="531" t="s">
        <v>5218</v>
      </c>
      <c r="Y187" s="636">
        <f t="shared" ref="Y187:Y191" si="26">S187*V187/1000</f>
        <v>10000</v>
      </c>
      <c r="AB187" s="275"/>
    </row>
    <row r="188" spans="1:28" ht="21.95" customHeight="1">
      <c r="A188" s="1645"/>
      <c r="B188" s="1648"/>
      <c r="C188" s="2357"/>
      <c r="D188" s="2843"/>
      <c r="E188" s="2843"/>
      <c r="F188" s="511"/>
      <c r="G188" s="511"/>
      <c r="H188" s="2372"/>
      <c r="I188" s="533"/>
      <c r="J188" s="3024" t="s">
        <v>5231</v>
      </c>
      <c r="K188" s="3025"/>
      <c r="L188" s="3025"/>
      <c r="M188" s="3025"/>
      <c r="N188" s="3025"/>
      <c r="O188" s="3025"/>
      <c r="P188" s="3025"/>
      <c r="Q188" s="534"/>
      <c r="R188" s="535"/>
      <c r="S188" s="3026">
        <v>2000000</v>
      </c>
      <c r="T188" s="2381" t="s">
        <v>5216</v>
      </c>
      <c r="U188" s="2894"/>
      <c r="V188" s="530">
        <v>4</v>
      </c>
      <c r="W188" s="2381" t="s">
        <v>5232</v>
      </c>
      <c r="X188" s="531" t="s">
        <v>5218</v>
      </c>
      <c r="Y188" s="636">
        <f t="shared" si="26"/>
        <v>8000</v>
      </c>
      <c r="AB188" s="275"/>
    </row>
    <row r="189" spans="1:28" ht="21.95" customHeight="1">
      <c r="A189" s="1645"/>
      <c r="B189" s="1648"/>
      <c r="C189" s="2357"/>
      <c r="D189" s="2843"/>
      <c r="E189" s="2843"/>
      <c r="F189" s="511"/>
      <c r="G189" s="511"/>
      <c r="H189" s="2372"/>
      <c r="I189" s="533"/>
      <c r="J189" s="3024" t="s">
        <v>5233</v>
      </c>
      <c r="K189" s="3025"/>
      <c r="L189" s="3025"/>
      <c r="M189" s="3025"/>
      <c r="N189" s="3025"/>
      <c r="O189" s="3025"/>
      <c r="P189" s="3025"/>
      <c r="Q189" s="534"/>
      <c r="R189" s="535"/>
      <c r="S189" s="3026">
        <v>235000</v>
      </c>
      <c r="T189" s="2381" t="s">
        <v>5216</v>
      </c>
      <c r="U189" s="2894"/>
      <c r="V189" s="530">
        <v>20</v>
      </c>
      <c r="W189" s="2381" t="s">
        <v>5221</v>
      </c>
      <c r="X189" s="531" t="s">
        <v>5218</v>
      </c>
      <c r="Y189" s="636">
        <f t="shared" si="26"/>
        <v>4700</v>
      </c>
      <c r="AB189" s="275"/>
    </row>
    <row r="190" spans="1:28" ht="21.95" customHeight="1">
      <c r="A190" s="1645"/>
      <c r="B190" s="1648"/>
      <c r="C190" s="2278"/>
      <c r="D190" s="2843"/>
      <c r="E190" s="2843"/>
      <c r="F190" s="511"/>
      <c r="G190" s="511"/>
      <c r="H190" s="2372"/>
      <c r="I190" s="533"/>
      <c r="J190" s="3024" t="s">
        <v>5234</v>
      </c>
      <c r="K190" s="3025"/>
      <c r="L190" s="3025"/>
      <c r="M190" s="3025"/>
      <c r="N190" s="3025"/>
      <c r="O190" s="3025"/>
      <c r="P190" s="3025"/>
      <c r="Q190" s="534"/>
      <c r="R190" s="535"/>
      <c r="S190" s="3026">
        <v>5000000</v>
      </c>
      <c r="T190" s="2381" t="s">
        <v>5216</v>
      </c>
      <c r="U190" s="2894"/>
      <c r="V190" s="530">
        <v>2</v>
      </c>
      <c r="W190" s="2381" t="s">
        <v>5232</v>
      </c>
      <c r="X190" s="531" t="s">
        <v>5218</v>
      </c>
      <c r="Y190" s="636">
        <f t="shared" si="26"/>
        <v>10000</v>
      </c>
      <c r="AB190" s="275"/>
    </row>
    <row r="191" spans="1:28" ht="21.95" customHeight="1">
      <c r="A191" s="1645"/>
      <c r="B191" s="1648"/>
      <c r="C191" s="2278"/>
      <c r="D191" s="2843"/>
      <c r="E191" s="2843"/>
      <c r="F191" s="511"/>
      <c r="G191" s="511"/>
      <c r="H191" s="2372"/>
      <c r="I191" s="533"/>
      <c r="J191" s="3024" t="s">
        <v>5235</v>
      </c>
      <c r="K191" s="3025"/>
      <c r="L191" s="3025"/>
      <c r="M191" s="3025"/>
      <c r="N191" s="3025"/>
      <c r="O191" s="3025"/>
      <c r="P191" s="3025"/>
      <c r="Q191" s="534"/>
      <c r="R191" s="535"/>
      <c r="S191" s="3026">
        <v>10000000</v>
      </c>
      <c r="T191" s="2381" t="s">
        <v>5216</v>
      </c>
      <c r="U191" s="2894"/>
      <c r="V191" s="530">
        <v>1</v>
      </c>
      <c r="W191" s="2381" t="s">
        <v>5232</v>
      </c>
      <c r="X191" s="531" t="s">
        <v>5218</v>
      </c>
      <c r="Y191" s="636">
        <f t="shared" si="26"/>
        <v>10000</v>
      </c>
      <c r="AB191" s="275"/>
    </row>
    <row r="192" spans="1:28" ht="21.95" customHeight="1">
      <c r="A192" s="1645"/>
      <c r="B192" s="1648"/>
      <c r="C192" s="2278"/>
      <c r="D192" s="2843"/>
      <c r="E192" s="2843" t="s">
        <v>5254</v>
      </c>
      <c r="F192" s="511">
        <f t="shared" ref="F192:F193" si="27">Y192</f>
        <v>700</v>
      </c>
      <c r="G192" s="511">
        <v>0</v>
      </c>
      <c r="H192" s="2372">
        <f t="shared" si="24"/>
        <v>700</v>
      </c>
      <c r="I192" s="533"/>
      <c r="J192" s="2894" t="s">
        <v>5243</v>
      </c>
      <c r="K192" s="2894"/>
      <c r="L192" s="2894"/>
      <c r="M192" s="2894"/>
      <c r="N192" s="2894"/>
      <c r="O192" s="2894"/>
      <c r="P192" s="2894"/>
      <c r="Q192" s="534"/>
      <c r="R192" s="535"/>
      <c r="S192" s="3026">
        <v>700000</v>
      </c>
      <c r="T192" s="2381" t="s">
        <v>5216</v>
      </c>
      <c r="U192" s="2894"/>
      <c r="V192" s="530">
        <v>1</v>
      </c>
      <c r="W192" s="2381" t="s">
        <v>5221</v>
      </c>
      <c r="X192" s="531" t="s">
        <v>5218</v>
      </c>
      <c r="Y192" s="636">
        <f>S192*V192/1000</f>
        <v>700</v>
      </c>
      <c r="AB192" s="275"/>
    </row>
    <row r="193" spans="1:28" ht="21.95" customHeight="1">
      <c r="A193" s="1645"/>
      <c r="B193" s="1648"/>
      <c r="C193" s="2357"/>
      <c r="D193" s="2843"/>
      <c r="E193" s="2843" t="s">
        <v>5256</v>
      </c>
      <c r="F193" s="511">
        <f t="shared" si="27"/>
        <v>100</v>
      </c>
      <c r="G193" s="511">
        <v>0</v>
      </c>
      <c r="H193" s="2372">
        <f t="shared" si="24"/>
        <v>100</v>
      </c>
      <c r="I193" s="533"/>
      <c r="J193" s="3028" t="s">
        <v>5245</v>
      </c>
      <c r="K193" s="2894"/>
      <c r="L193" s="2894"/>
      <c r="M193" s="2894"/>
      <c r="N193" s="2894"/>
      <c r="O193" s="2894"/>
      <c r="P193" s="2894"/>
      <c r="Q193" s="534"/>
      <c r="R193" s="535"/>
      <c r="S193" s="3026">
        <v>100000</v>
      </c>
      <c r="T193" s="2381" t="s">
        <v>5216</v>
      </c>
      <c r="U193" s="2894"/>
      <c r="V193" s="530">
        <v>1</v>
      </c>
      <c r="W193" s="2381" t="s">
        <v>5232</v>
      </c>
      <c r="X193" s="531" t="s">
        <v>5218</v>
      </c>
      <c r="Y193" s="636">
        <f>S193*V193/1000</f>
        <v>100</v>
      </c>
      <c r="AB193" s="275"/>
    </row>
    <row r="194" spans="1:28" ht="21.95" customHeight="1">
      <c r="A194" s="1645"/>
      <c r="B194" s="1648"/>
      <c r="C194" s="2357"/>
      <c r="D194" s="2843"/>
      <c r="E194" s="508" t="s">
        <v>5252</v>
      </c>
      <c r="F194" s="511">
        <f t="shared" ref="F194" si="28">Y194</f>
        <v>7000</v>
      </c>
      <c r="G194" s="511">
        <v>7000</v>
      </c>
      <c r="H194" s="2372"/>
      <c r="I194" s="533"/>
      <c r="J194" s="3028" t="s">
        <v>5240</v>
      </c>
      <c r="K194" s="2894"/>
      <c r="L194" s="2894"/>
      <c r="M194" s="2894"/>
      <c r="N194" s="2894"/>
      <c r="O194" s="2894"/>
      <c r="P194" s="2894"/>
      <c r="Q194" s="534">
        <v>2</v>
      </c>
      <c r="R194" s="535" t="s">
        <v>5223</v>
      </c>
      <c r="S194" s="3026">
        <v>35000</v>
      </c>
      <c r="T194" s="2381" t="s">
        <v>5216</v>
      </c>
      <c r="U194" s="2894"/>
      <c r="V194" s="530">
        <v>100</v>
      </c>
      <c r="W194" s="2381" t="s">
        <v>5241</v>
      </c>
      <c r="X194" s="531" t="s">
        <v>5218</v>
      </c>
      <c r="Y194" s="636">
        <v>7000</v>
      </c>
      <c r="AB194" s="275"/>
    </row>
    <row r="195" spans="1:28" ht="21.95" customHeight="1">
      <c r="A195" s="1645"/>
      <c r="B195" s="1648"/>
      <c r="C195" s="2357"/>
      <c r="D195" s="2843"/>
      <c r="E195" s="2843" t="s">
        <v>5253</v>
      </c>
      <c r="F195" s="511">
        <f t="shared" ref="F195" si="29">Y195</f>
        <v>1000</v>
      </c>
      <c r="G195" s="511">
        <v>500</v>
      </c>
      <c r="H195" s="2372">
        <f t="shared" si="24"/>
        <v>500</v>
      </c>
      <c r="I195" s="533"/>
      <c r="J195" s="2894" t="s">
        <v>5242</v>
      </c>
      <c r="K195" s="2894"/>
      <c r="L195" s="2894"/>
      <c r="M195" s="2894"/>
      <c r="N195" s="2894"/>
      <c r="O195" s="2894"/>
      <c r="P195" s="2894"/>
      <c r="Q195" s="534"/>
      <c r="R195" s="535"/>
      <c r="S195" s="3026">
        <v>100000</v>
      </c>
      <c r="T195" s="2381" t="s">
        <v>5216</v>
      </c>
      <c r="U195" s="2894"/>
      <c r="V195" s="530">
        <v>10</v>
      </c>
      <c r="W195" s="2381" t="s">
        <v>5221</v>
      </c>
      <c r="X195" s="531" t="s">
        <v>5218</v>
      </c>
      <c r="Y195" s="636">
        <f t="shared" ref="Y195" si="30">S195*V195/1000</f>
        <v>1000</v>
      </c>
      <c r="AB195" s="275"/>
    </row>
    <row r="196" spans="1:28" ht="21.95" customHeight="1">
      <c r="A196" s="1645"/>
      <c r="B196" s="1648"/>
      <c r="C196" s="2278"/>
      <c r="D196" s="3266" t="s">
        <v>5757</v>
      </c>
      <c r="E196" s="3267"/>
      <c r="F196" s="1153">
        <f>SUM(F197:F204)</f>
        <v>23000</v>
      </c>
      <c r="G196" s="1153">
        <f>SUM(G197:G204)</f>
        <v>23000</v>
      </c>
      <c r="H196" s="1132">
        <f>F196-G196</f>
        <v>0</v>
      </c>
      <c r="I196" s="473"/>
      <c r="J196" s="501"/>
      <c r="K196" s="2276"/>
      <c r="L196" s="2276"/>
      <c r="M196" s="2276"/>
      <c r="N196" s="2276"/>
      <c r="O196" s="2276"/>
      <c r="P196" s="2276"/>
      <c r="Q196" s="485"/>
      <c r="R196" s="484"/>
      <c r="S196" s="520"/>
      <c r="T196" s="2276"/>
      <c r="U196" s="2276"/>
      <c r="V196" s="521"/>
      <c r="W196" s="2276"/>
      <c r="X196" s="375"/>
      <c r="Y196" s="432"/>
      <c r="AB196" s="275"/>
    </row>
    <row r="197" spans="1:28" ht="21.95" customHeight="1">
      <c r="A197" s="1645"/>
      <c r="B197" s="1648"/>
      <c r="C197" s="2278"/>
      <c r="D197" s="1154"/>
      <c r="E197" s="1154" t="s">
        <v>1164</v>
      </c>
      <c r="F197" s="1141">
        <f t="shared" ref="F197:F200" si="31">Y197</f>
        <v>3000</v>
      </c>
      <c r="G197" s="1141">
        <v>3000</v>
      </c>
      <c r="H197" s="1324"/>
      <c r="I197" s="473"/>
      <c r="J197" s="2265" t="s">
        <v>433</v>
      </c>
      <c r="K197" s="2266"/>
      <c r="L197" s="2266"/>
      <c r="M197" s="2266"/>
      <c r="N197" s="2266"/>
      <c r="O197" s="2266"/>
      <c r="P197" s="2266"/>
      <c r="Q197" s="372"/>
      <c r="R197" s="1128"/>
      <c r="S197" s="524">
        <v>1500000</v>
      </c>
      <c r="T197" s="466" t="s">
        <v>354</v>
      </c>
      <c r="U197" s="2278"/>
      <c r="V197" s="372">
        <v>2</v>
      </c>
      <c r="W197" s="1128" t="s">
        <v>460</v>
      </c>
      <c r="X197" s="525" t="s">
        <v>565</v>
      </c>
      <c r="Y197" s="1674">
        <v>3000</v>
      </c>
      <c r="AB197" s="275"/>
    </row>
    <row r="198" spans="1:28" ht="21.95" customHeight="1">
      <c r="A198" s="1645"/>
      <c r="B198" s="1648"/>
      <c r="C198" s="2278"/>
      <c r="D198" s="1154"/>
      <c r="E198" s="1154" t="s">
        <v>590</v>
      </c>
      <c r="F198" s="1141">
        <f t="shared" si="31"/>
        <v>500</v>
      </c>
      <c r="G198" s="1141">
        <v>500</v>
      </c>
      <c r="H198" s="1324"/>
      <c r="I198" s="473"/>
      <c r="J198" s="2265" t="s">
        <v>2695</v>
      </c>
      <c r="K198" s="2266"/>
      <c r="L198" s="2266"/>
      <c r="M198" s="2266"/>
      <c r="N198" s="2266"/>
      <c r="O198" s="2266"/>
      <c r="P198" s="2266"/>
      <c r="Q198" s="372"/>
      <c r="R198" s="1128"/>
      <c r="S198" s="524">
        <v>250000000</v>
      </c>
      <c r="T198" s="466" t="s">
        <v>354</v>
      </c>
      <c r="U198" s="2278"/>
      <c r="V198" s="2046">
        <v>2E-3</v>
      </c>
      <c r="W198" s="466"/>
      <c r="X198" s="525" t="s">
        <v>565</v>
      </c>
      <c r="Y198" s="1674">
        <f t="shared" ref="Y198" si="32">S198*V198/1000</f>
        <v>500</v>
      </c>
      <c r="AB198" s="275"/>
    </row>
    <row r="199" spans="1:28" ht="21.95" customHeight="1">
      <c r="A199" s="1645"/>
      <c r="B199" s="1648"/>
      <c r="C199" s="2357"/>
      <c r="D199" s="1154"/>
      <c r="E199" s="1154" t="s">
        <v>224</v>
      </c>
      <c r="F199" s="1141">
        <f t="shared" si="31"/>
        <v>2000</v>
      </c>
      <c r="G199" s="1141">
        <v>2000</v>
      </c>
      <c r="H199" s="570"/>
      <c r="I199" s="473"/>
      <c r="J199" s="2892" t="s">
        <v>2698</v>
      </c>
      <c r="K199" s="2885"/>
      <c r="L199" s="2885"/>
      <c r="M199" s="2885"/>
      <c r="N199" s="2885"/>
      <c r="O199" s="2885"/>
      <c r="P199" s="2885"/>
      <c r="Q199" s="372"/>
      <c r="R199" s="1128"/>
      <c r="S199" s="524">
        <v>1000000</v>
      </c>
      <c r="T199" s="466" t="s">
        <v>592</v>
      </c>
      <c r="U199" s="2357"/>
      <c r="V199" s="366">
        <v>2</v>
      </c>
      <c r="W199" s="466" t="s">
        <v>265</v>
      </c>
      <c r="X199" s="525" t="s">
        <v>563</v>
      </c>
      <c r="Y199" s="1674">
        <v>2000</v>
      </c>
      <c r="AB199" s="275"/>
    </row>
    <row r="200" spans="1:28" ht="21.95" customHeight="1">
      <c r="A200" s="1645"/>
      <c r="B200" s="1648"/>
      <c r="C200" s="2278"/>
      <c r="D200" s="1154"/>
      <c r="E200" s="1154" t="s">
        <v>631</v>
      </c>
      <c r="F200" s="1141">
        <f t="shared" si="31"/>
        <v>16000</v>
      </c>
      <c r="G200" s="1141">
        <v>16000</v>
      </c>
      <c r="H200" s="1324"/>
      <c r="I200" s="473"/>
      <c r="J200" s="2265" t="s">
        <v>194</v>
      </c>
      <c r="K200" s="2266"/>
      <c r="L200" s="2266"/>
      <c r="M200" s="2266"/>
      <c r="N200" s="2266"/>
      <c r="O200" s="2266"/>
      <c r="P200" s="2266"/>
      <c r="Q200" s="372"/>
      <c r="R200" s="1128"/>
      <c r="S200" s="524"/>
      <c r="T200" s="466"/>
      <c r="U200" s="2278"/>
      <c r="V200" s="366"/>
      <c r="W200" s="466"/>
      <c r="X200" s="525"/>
      <c r="Y200" s="1674">
        <v>16000</v>
      </c>
      <c r="AB200" s="275"/>
    </row>
    <row r="201" spans="1:28" ht="21.95" customHeight="1">
      <c r="A201" s="1645"/>
      <c r="B201" s="1648"/>
      <c r="C201" s="2278"/>
      <c r="D201" s="1154"/>
      <c r="E201" s="1154"/>
      <c r="F201" s="1141"/>
      <c r="G201" s="1141"/>
      <c r="H201" s="570"/>
      <c r="I201" s="473"/>
      <c r="J201" s="2265" t="s">
        <v>2696</v>
      </c>
      <c r="K201" s="2266"/>
      <c r="L201" s="2266"/>
      <c r="M201" s="2266"/>
      <c r="N201" s="2266"/>
      <c r="O201" s="2266"/>
      <c r="P201" s="2266"/>
      <c r="Q201" s="372"/>
      <c r="R201" s="1128"/>
      <c r="S201" s="524">
        <v>7000000</v>
      </c>
      <c r="T201" s="466" t="s">
        <v>354</v>
      </c>
      <c r="U201" s="2278"/>
      <c r="V201" s="366">
        <v>2</v>
      </c>
      <c r="W201" s="466" t="s">
        <v>460</v>
      </c>
      <c r="X201" s="525" t="s">
        <v>565</v>
      </c>
      <c r="Y201" s="1674">
        <f>S201*V201/1000</f>
        <v>14000</v>
      </c>
      <c r="AB201" s="275"/>
    </row>
    <row r="202" spans="1:28" ht="21.95" customHeight="1">
      <c r="A202" s="1645"/>
      <c r="B202" s="1648"/>
      <c r="C202" s="2278"/>
      <c r="D202" s="1154"/>
      <c r="E202" s="1154"/>
      <c r="F202" s="1141"/>
      <c r="G202" s="1141"/>
      <c r="H202" s="570"/>
      <c r="I202" s="473"/>
      <c r="J202" s="2265" t="s">
        <v>2697</v>
      </c>
      <c r="K202" s="2266"/>
      <c r="L202" s="2266"/>
      <c r="M202" s="2266"/>
      <c r="N202" s="2266"/>
      <c r="O202" s="2266"/>
      <c r="P202" s="2266"/>
      <c r="Q202" s="372"/>
      <c r="R202" s="1128"/>
      <c r="S202" s="524">
        <v>1000000</v>
      </c>
      <c r="T202" s="466" t="s">
        <v>354</v>
      </c>
      <c r="U202" s="2278"/>
      <c r="V202" s="366">
        <v>2</v>
      </c>
      <c r="W202" s="466" t="s">
        <v>460</v>
      </c>
      <c r="X202" s="525" t="s">
        <v>565</v>
      </c>
      <c r="Y202" s="1674">
        <f t="shared" ref="Y202" si="33">S202*V202/1000</f>
        <v>2000</v>
      </c>
      <c r="AB202" s="275"/>
    </row>
    <row r="203" spans="1:28" ht="21.95" customHeight="1">
      <c r="A203" s="1645"/>
      <c r="B203" s="1648"/>
      <c r="C203" s="2278"/>
      <c r="D203" s="1154"/>
      <c r="E203" s="1126" t="s">
        <v>602</v>
      </c>
      <c r="F203" s="1141">
        <f t="shared" ref="F203:F204" si="34">Y203</f>
        <v>1000</v>
      </c>
      <c r="G203" s="1141">
        <v>1000</v>
      </c>
      <c r="H203" s="1324"/>
      <c r="I203" s="473"/>
      <c r="J203" s="348" t="s">
        <v>698</v>
      </c>
      <c r="K203" s="2278"/>
      <c r="L203" s="2278"/>
      <c r="M203" s="2278"/>
      <c r="N203" s="2278"/>
      <c r="O203" s="2278"/>
      <c r="P203" s="2278"/>
      <c r="Q203" s="372"/>
      <c r="R203" s="1128"/>
      <c r="S203" s="524">
        <v>500000</v>
      </c>
      <c r="T203" s="466" t="s">
        <v>354</v>
      </c>
      <c r="U203" s="2278"/>
      <c r="V203" s="366">
        <v>2</v>
      </c>
      <c r="W203" s="466" t="s">
        <v>460</v>
      </c>
      <c r="X203" s="525" t="s">
        <v>565</v>
      </c>
      <c r="Y203" s="1674">
        <f>S203*V203/1000</f>
        <v>1000</v>
      </c>
      <c r="AB203" s="275"/>
    </row>
    <row r="204" spans="1:28" ht="21.95" customHeight="1">
      <c r="A204" s="1645"/>
      <c r="B204" s="1648"/>
      <c r="C204" s="2278"/>
      <c r="D204" s="1154"/>
      <c r="E204" s="1154" t="s">
        <v>632</v>
      </c>
      <c r="F204" s="1141">
        <f t="shared" si="34"/>
        <v>500</v>
      </c>
      <c r="G204" s="1141">
        <v>500</v>
      </c>
      <c r="H204" s="1324"/>
      <c r="I204" s="473"/>
      <c r="J204" s="348" t="s">
        <v>637</v>
      </c>
      <c r="K204" s="2278"/>
      <c r="L204" s="2278"/>
      <c r="M204" s="2278"/>
      <c r="N204" s="2278"/>
      <c r="O204" s="2278"/>
      <c r="P204" s="2278"/>
      <c r="Q204" s="372"/>
      <c r="R204" s="1128"/>
      <c r="S204" s="524">
        <v>100000</v>
      </c>
      <c r="T204" s="466" t="s">
        <v>354</v>
      </c>
      <c r="U204" s="2278"/>
      <c r="V204" s="366">
        <v>5</v>
      </c>
      <c r="W204" s="466" t="s">
        <v>460</v>
      </c>
      <c r="X204" s="525" t="s">
        <v>565</v>
      </c>
      <c r="Y204" s="1674">
        <f t="shared" ref="Y204" si="35">S204*V204/1000</f>
        <v>500</v>
      </c>
      <c r="AB204" s="275"/>
    </row>
    <row r="205" spans="1:28" ht="21.95" customHeight="1">
      <c r="A205" s="1645"/>
      <c r="B205" s="1648"/>
      <c r="C205" s="2357"/>
      <c r="D205" s="3358" t="s">
        <v>5716</v>
      </c>
      <c r="E205" s="3359"/>
      <c r="F205" s="2907">
        <f>SUM(F206:F215)</f>
        <v>70000</v>
      </c>
      <c r="G205" s="2907">
        <f>SUM(G206:G215)</f>
        <v>70000</v>
      </c>
      <c r="H205" s="3029">
        <f>F205-G205</f>
        <v>0</v>
      </c>
      <c r="I205" s="533"/>
      <c r="J205" s="3030"/>
      <c r="K205" s="3031"/>
      <c r="L205" s="3031"/>
      <c r="M205" s="3031"/>
      <c r="N205" s="3031"/>
      <c r="O205" s="3031"/>
      <c r="P205" s="3031"/>
      <c r="Q205" s="736"/>
      <c r="R205" s="731"/>
      <c r="S205" s="2908"/>
      <c r="T205" s="3032"/>
      <c r="U205" s="2640"/>
      <c r="V205" s="2909"/>
      <c r="W205" s="3032"/>
      <c r="X205" s="2384"/>
      <c r="Y205" s="704"/>
      <c r="Z205" s="3033"/>
      <c r="AB205" s="275"/>
    </row>
    <row r="206" spans="1:28" ht="21.95" customHeight="1">
      <c r="A206" s="1645"/>
      <c r="B206" s="1648"/>
      <c r="C206" s="2357"/>
      <c r="D206" s="2843"/>
      <c r="E206" s="2843" t="s">
        <v>5499</v>
      </c>
      <c r="F206" s="511">
        <f t="shared" ref="F206" si="36">Y206</f>
        <v>560</v>
      </c>
      <c r="G206" s="511">
        <v>0</v>
      </c>
      <c r="H206" s="3034">
        <f t="shared" ref="H206" si="37">F206-G206</f>
        <v>560</v>
      </c>
      <c r="I206" s="533"/>
      <c r="J206" s="3024" t="s">
        <v>5713</v>
      </c>
      <c r="K206" s="3025"/>
      <c r="L206" s="3025"/>
      <c r="M206" s="3025"/>
      <c r="N206" s="3025"/>
      <c r="O206" s="3025"/>
      <c r="P206" s="3025"/>
      <c r="Q206" s="534"/>
      <c r="R206" s="535"/>
      <c r="S206" s="3026">
        <v>70000</v>
      </c>
      <c r="T206" s="2381" t="s">
        <v>5454</v>
      </c>
      <c r="U206" s="2894"/>
      <c r="V206" s="530">
        <v>8</v>
      </c>
      <c r="W206" s="535" t="s">
        <v>5544</v>
      </c>
      <c r="X206" s="531" t="s">
        <v>5456</v>
      </c>
      <c r="Y206" s="636">
        <f t="shared" ref="Y206" si="38">S206*V206/1000</f>
        <v>560</v>
      </c>
      <c r="Z206" s="3033">
        <f t="shared" ref="Z206" si="39">S206*V206</f>
        <v>560000</v>
      </c>
      <c r="AB206" s="275"/>
    </row>
    <row r="207" spans="1:28" ht="21.95" customHeight="1">
      <c r="A207" s="1645"/>
      <c r="B207" s="1648"/>
      <c r="C207" s="2357"/>
      <c r="D207" s="2724"/>
      <c r="E207" s="2843" t="s">
        <v>5500</v>
      </c>
      <c r="F207" s="511">
        <f>Y207</f>
        <v>65040</v>
      </c>
      <c r="G207" s="511">
        <v>70000</v>
      </c>
      <c r="H207" s="3034">
        <f>F207-G207</f>
        <v>-4960</v>
      </c>
      <c r="I207" s="533"/>
      <c r="J207" s="3024" t="s">
        <v>5453</v>
      </c>
      <c r="K207" s="3025"/>
      <c r="L207" s="3025"/>
      <c r="M207" s="3025"/>
      <c r="N207" s="3025"/>
      <c r="O207" s="3025"/>
      <c r="P207" s="3025"/>
      <c r="Q207" s="534"/>
      <c r="R207" s="535"/>
      <c r="S207" s="3026"/>
      <c r="T207" s="2381"/>
      <c r="U207" s="2894"/>
      <c r="V207" s="530"/>
      <c r="W207" s="2381"/>
      <c r="X207" s="531"/>
      <c r="Y207" s="636">
        <f>SUM(Y208:Y213)</f>
        <v>65040</v>
      </c>
      <c r="Z207" s="3033">
        <f>Z208+Z209+Z210+Z211+Z212+Z213</f>
        <v>65040000</v>
      </c>
      <c r="AB207" s="275"/>
    </row>
    <row r="208" spans="1:28" ht="21.95" customHeight="1">
      <c r="A208" s="1645"/>
      <c r="B208" s="1648"/>
      <c r="C208" s="2357"/>
      <c r="D208" s="2724"/>
      <c r="E208" s="2843"/>
      <c r="F208" s="511"/>
      <c r="G208" s="511"/>
      <c r="H208" s="3034"/>
      <c r="I208" s="533"/>
      <c r="J208" s="3024" t="s">
        <v>5706</v>
      </c>
      <c r="K208" s="3025"/>
      <c r="L208" s="3025"/>
      <c r="M208" s="3025"/>
      <c r="N208" s="3025"/>
      <c r="O208" s="3025"/>
      <c r="P208" s="3025"/>
      <c r="Q208" s="534"/>
      <c r="R208" s="535"/>
      <c r="S208" s="3026">
        <v>10000000</v>
      </c>
      <c r="T208" s="2381" t="s">
        <v>5454</v>
      </c>
      <c r="U208" s="2894"/>
      <c r="V208" s="530">
        <v>1</v>
      </c>
      <c r="W208" s="2381" t="s">
        <v>5457</v>
      </c>
      <c r="X208" s="531" t="s">
        <v>5456</v>
      </c>
      <c r="Y208" s="636">
        <f>S208*V208/1000</f>
        <v>10000</v>
      </c>
      <c r="Z208" s="3033">
        <f>S208*V208</f>
        <v>10000000</v>
      </c>
      <c r="AB208" s="275"/>
    </row>
    <row r="209" spans="1:31" ht="21.95" customHeight="1">
      <c r="A209" s="1645"/>
      <c r="B209" s="1648"/>
      <c r="C209" s="2357"/>
      <c r="D209" s="2724"/>
      <c r="E209" s="2843"/>
      <c r="F209" s="511"/>
      <c r="G209" s="511"/>
      <c r="H209" s="3034"/>
      <c r="I209" s="533"/>
      <c r="J209" s="3024" t="s">
        <v>5707</v>
      </c>
      <c r="K209" s="3025"/>
      <c r="L209" s="3025"/>
      <c r="M209" s="3025"/>
      <c r="N209" s="3025"/>
      <c r="O209" s="3025"/>
      <c r="P209" s="3025"/>
      <c r="Q209" s="534"/>
      <c r="R209" s="535"/>
      <c r="S209" s="3026">
        <v>10000000</v>
      </c>
      <c r="T209" s="2381" t="s">
        <v>5454</v>
      </c>
      <c r="U209" s="2894"/>
      <c r="V209" s="530">
        <v>1</v>
      </c>
      <c r="W209" s="2381" t="s">
        <v>5457</v>
      </c>
      <c r="X209" s="531" t="s">
        <v>5456</v>
      </c>
      <c r="Y209" s="636">
        <f t="shared" ref="Y209:Y215" si="40">S209*V209/1000</f>
        <v>10000</v>
      </c>
      <c r="Z209" s="3033">
        <f t="shared" ref="Z209:Z215" si="41">S209*V209</f>
        <v>10000000</v>
      </c>
      <c r="AB209" s="275"/>
    </row>
    <row r="210" spans="1:31" ht="21.95" customHeight="1">
      <c r="A210" s="1645"/>
      <c r="B210" s="1648"/>
      <c r="C210" s="2357"/>
      <c r="D210" s="2724"/>
      <c r="E210" s="2843"/>
      <c r="F210" s="511"/>
      <c r="G210" s="511"/>
      <c r="H210" s="3034"/>
      <c r="I210" s="533"/>
      <c r="J210" s="3024" t="s">
        <v>5708</v>
      </c>
      <c r="K210" s="3025"/>
      <c r="L210" s="3025"/>
      <c r="M210" s="3025"/>
      <c r="N210" s="3025"/>
      <c r="O210" s="3025"/>
      <c r="P210" s="3025"/>
      <c r="Q210" s="534"/>
      <c r="R210" s="535"/>
      <c r="S210" s="3026">
        <v>10000000</v>
      </c>
      <c r="T210" s="2381" t="s">
        <v>5454</v>
      </c>
      <c r="U210" s="2894"/>
      <c r="V210" s="530">
        <v>1</v>
      </c>
      <c r="W210" s="2381" t="s">
        <v>5457</v>
      </c>
      <c r="X210" s="531" t="s">
        <v>5456</v>
      </c>
      <c r="Y210" s="636">
        <f t="shared" si="40"/>
        <v>10000</v>
      </c>
      <c r="Z210" s="3033">
        <f t="shared" si="41"/>
        <v>10000000</v>
      </c>
      <c r="AB210" s="275"/>
    </row>
    <row r="211" spans="1:31" ht="21.95" customHeight="1">
      <c r="A211" s="1645"/>
      <c r="B211" s="1648"/>
      <c r="C211" s="2357"/>
      <c r="D211" s="2843"/>
      <c r="E211" s="2843"/>
      <c r="F211" s="511"/>
      <c r="G211" s="511"/>
      <c r="H211" s="3034"/>
      <c r="I211" s="533"/>
      <c r="J211" s="3024" t="s">
        <v>5709</v>
      </c>
      <c r="K211" s="3025"/>
      <c r="L211" s="3025"/>
      <c r="M211" s="3025"/>
      <c r="N211" s="3025"/>
      <c r="O211" s="3025"/>
      <c r="P211" s="3025"/>
      <c r="Q211" s="534"/>
      <c r="R211" s="535"/>
      <c r="S211" s="3026">
        <v>10040000</v>
      </c>
      <c r="T211" s="2381" t="s">
        <v>5454</v>
      </c>
      <c r="U211" s="2894"/>
      <c r="V211" s="530">
        <v>1</v>
      </c>
      <c r="W211" s="2381" t="s">
        <v>5457</v>
      </c>
      <c r="X211" s="531" t="s">
        <v>5456</v>
      </c>
      <c r="Y211" s="636">
        <f t="shared" si="40"/>
        <v>10040</v>
      </c>
      <c r="Z211" s="3033">
        <f t="shared" si="41"/>
        <v>10040000</v>
      </c>
      <c r="AB211" s="275"/>
    </row>
    <row r="212" spans="1:31" ht="21.95" customHeight="1">
      <c r="A212" s="1645"/>
      <c r="B212" s="1648"/>
      <c r="C212" s="2357"/>
      <c r="D212" s="2843"/>
      <c r="E212" s="2843"/>
      <c r="F212" s="511"/>
      <c r="G212" s="511"/>
      <c r="H212" s="3034"/>
      <c r="I212" s="533"/>
      <c r="J212" s="3024" t="s">
        <v>5710</v>
      </c>
      <c r="K212" s="3025"/>
      <c r="L212" s="3025"/>
      <c r="M212" s="3025"/>
      <c r="N212" s="3025"/>
      <c r="O212" s="3025"/>
      <c r="P212" s="3025"/>
      <c r="Q212" s="534"/>
      <c r="R212" s="535"/>
      <c r="S212" s="3026">
        <v>20000000</v>
      </c>
      <c r="T212" s="2381" t="s">
        <v>5454</v>
      </c>
      <c r="U212" s="2894"/>
      <c r="V212" s="530">
        <v>1</v>
      </c>
      <c r="W212" s="2381" t="s">
        <v>5457</v>
      </c>
      <c r="X212" s="531" t="s">
        <v>5456</v>
      </c>
      <c r="Y212" s="636">
        <f t="shared" si="40"/>
        <v>20000</v>
      </c>
      <c r="Z212" s="3033">
        <f t="shared" si="41"/>
        <v>20000000</v>
      </c>
      <c r="AB212" s="275"/>
    </row>
    <row r="213" spans="1:31" ht="21.95" customHeight="1">
      <c r="A213" s="1645"/>
      <c r="B213" s="1648"/>
      <c r="C213" s="2357"/>
      <c r="D213" s="2843"/>
      <c r="E213" s="2843"/>
      <c r="F213" s="511"/>
      <c r="G213" s="511"/>
      <c r="H213" s="3034"/>
      <c r="I213" s="533"/>
      <c r="J213" s="3024" t="s">
        <v>5711</v>
      </c>
      <c r="K213" s="3025"/>
      <c r="L213" s="3025"/>
      <c r="M213" s="3025"/>
      <c r="N213" s="3025"/>
      <c r="O213" s="3025"/>
      <c r="P213" s="3025"/>
      <c r="Q213" s="534"/>
      <c r="R213" s="535"/>
      <c r="S213" s="3026">
        <v>5000000</v>
      </c>
      <c r="T213" s="2381" t="s">
        <v>5454</v>
      </c>
      <c r="U213" s="2894"/>
      <c r="V213" s="530">
        <v>1</v>
      </c>
      <c r="W213" s="2381" t="s">
        <v>5457</v>
      </c>
      <c r="X213" s="531" t="s">
        <v>5456</v>
      </c>
      <c r="Y213" s="636">
        <f t="shared" si="40"/>
        <v>5000</v>
      </c>
      <c r="Z213" s="3033">
        <f t="shared" si="41"/>
        <v>5000000</v>
      </c>
      <c r="AB213" s="275"/>
    </row>
    <row r="214" spans="1:31" ht="21.95" customHeight="1">
      <c r="A214" s="1645"/>
      <c r="B214" s="1648"/>
      <c r="C214" s="2357"/>
      <c r="D214" s="2843"/>
      <c r="E214" s="2843" t="s">
        <v>5715</v>
      </c>
      <c r="F214" s="511">
        <f t="shared" ref="F214:F215" si="42">Y214</f>
        <v>3900</v>
      </c>
      <c r="G214" s="511">
        <v>0</v>
      </c>
      <c r="H214" s="3034">
        <f t="shared" ref="H214:H215" si="43">F214-G214</f>
        <v>3900</v>
      </c>
      <c r="I214" s="533"/>
      <c r="J214" s="3024" t="s">
        <v>5712</v>
      </c>
      <c r="K214" s="3025"/>
      <c r="L214" s="3025"/>
      <c r="M214" s="3025"/>
      <c r="N214" s="3025"/>
      <c r="O214" s="3025"/>
      <c r="P214" s="3025"/>
      <c r="Q214" s="534"/>
      <c r="R214" s="535"/>
      <c r="S214" s="3026">
        <v>3900000</v>
      </c>
      <c r="T214" s="2381" t="s">
        <v>5454</v>
      </c>
      <c r="U214" s="2894"/>
      <c r="V214" s="530">
        <v>1</v>
      </c>
      <c r="W214" s="535" t="s">
        <v>5463</v>
      </c>
      <c r="X214" s="531" t="s">
        <v>5456</v>
      </c>
      <c r="Y214" s="636">
        <f t="shared" si="40"/>
        <v>3900</v>
      </c>
      <c r="Z214" s="3033">
        <f t="shared" si="41"/>
        <v>3900000</v>
      </c>
      <c r="AB214" s="275"/>
    </row>
    <row r="215" spans="1:31" ht="22.35" customHeight="1">
      <c r="A215" s="1645"/>
      <c r="B215" s="1648"/>
      <c r="C215" s="2357"/>
      <c r="D215" s="2843"/>
      <c r="E215" s="508" t="s">
        <v>5503</v>
      </c>
      <c r="F215" s="511">
        <f t="shared" si="42"/>
        <v>500</v>
      </c>
      <c r="G215" s="511">
        <v>0</v>
      </c>
      <c r="H215" s="3034">
        <f t="shared" si="43"/>
        <v>500</v>
      </c>
      <c r="I215" s="533"/>
      <c r="J215" s="3028" t="s">
        <v>5714</v>
      </c>
      <c r="K215" s="2894"/>
      <c r="L215" s="2894"/>
      <c r="M215" s="2894"/>
      <c r="N215" s="2894"/>
      <c r="O215" s="2894"/>
      <c r="P215" s="2894"/>
      <c r="Q215" s="534"/>
      <c r="R215" s="535"/>
      <c r="S215" s="3026">
        <v>500000</v>
      </c>
      <c r="T215" s="2381" t="s">
        <v>5454</v>
      </c>
      <c r="U215" s="2894"/>
      <c r="V215" s="530">
        <v>1</v>
      </c>
      <c r="W215" s="2381" t="s">
        <v>5463</v>
      </c>
      <c r="X215" s="531" t="s">
        <v>5456</v>
      </c>
      <c r="Y215" s="636">
        <f t="shared" si="40"/>
        <v>500</v>
      </c>
      <c r="Z215" s="3033">
        <f t="shared" si="41"/>
        <v>500000</v>
      </c>
      <c r="AB215" s="275"/>
    </row>
    <row r="216" spans="1:31" s="760" customFormat="1" ht="22.35" customHeight="1">
      <c r="A216" s="2074"/>
      <c r="B216" s="2075"/>
      <c r="C216" s="3284" t="s">
        <v>1321</v>
      </c>
      <c r="D216" s="3354"/>
      <c r="E216" s="3285"/>
      <c r="F216" s="1153">
        <f>+F217+F232+F243+F292+F250+F268+F281</f>
        <v>325000</v>
      </c>
      <c r="G216" s="1153">
        <f>+G217+G232+G243+G292+G250+G268+G281</f>
        <v>325000</v>
      </c>
      <c r="H216" s="1132">
        <f>F216-G216</f>
        <v>0</v>
      </c>
      <c r="I216" s="473"/>
      <c r="J216" s="501"/>
      <c r="K216" s="2355"/>
      <c r="L216" s="2355"/>
      <c r="M216" s="2355"/>
      <c r="N216" s="2355"/>
      <c r="O216" s="2355"/>
      <c r="P216" s="2355"/>
      <c r="Q216" s="485"/>
      <c r="R216" s="484"/>
      <c r="S216" s="520"/>
      <c r="T216" s="2355"/>
      <c r="U216" s="2355"/>
      <c r="V216" s="521"/>
      <c r="W216" s="2355"/>
      <c r="X216" s="375"/>
      <c r="Y216" s="463"/>
      <c r="Z216" s="759"/>
      <c r="AA216" s="759"/>
      <c r="AB216" s="275"/>
      <c r="AC216" s="759"/>
      <c r="AD216" s="759"/>
    </row>
    <row r="217" spans="1:31" s="760" customFormat="1" ht="21.95" customHeight="1">
      <c r="A217" s="2074"/>
      <c r="B217" s="2075"/>
      <c r="C217" s="2278"/>
      <c r="D217" s="3266" t="s">
        <v>5758</v>
      </c>
      <c r="E217" s="3347"/>
      <c r="F217" s="1153">
        <f>SUM(F218:F231)</f>
        <v>85000</v>
      </c>
      <c r="G217" s="1153">
        <f>SUM(G218:G231)</f>
        <v>85000</v>
      </c>
      <c r="H217" s="1132">
        <f>F217-G217</f>
        <v>0</v>
      </c>
      <c r="I217" s="473"/>
      <c r="J217" s="501"/>
      <c r="K217" s="2276"/>
      <c r="L217" s="2276"/>
      <c r="M217" s="2276"/>
      <c r="N217" s="2276"/>
      <c r="O217" s="2276"/>
      <c r="P217" s="2276"/>
      <c r="Q217" s="485"/>
      <c r="R217" s="484"/>
      <c r="S217" s="520"/>
      <c r="T217" s="2276"/>
      <c r="U217" s="2276"/>
      <c r="V217" s="521"/>
      <c r="W217" s="2276"/>
      <c r="X217" s="375"/>
      <c r="Y217" s="432"/>
      <c r="Z217" s="759"/>
      <c r="AA217" s="759"/>
      <c r="AB217" s="275"/>
      <c r="AC217" s="759"/>
      <c r="AD217" s="759"/>
    </row>
    <row r="218" spans="1:31" s="760" customFormat="1" ht="21.95" customHeight="1">
      <c r="A218" s="2074"/>
      <c r="B218" s="2075"/>
      <c r="C218" s="2278"/>
      <c r="D218" s="1154"/>
      <c r="E218" s="1154" t="s">
        <v>566</v>
      </c>
      <c r="F218" s="1141">
        <f>Y218</f>
        <v>30000</v>
      </c>
      <c r="G218" s="1141">
        <v>30000</v>
      </c>
      <c r="H218" s="523"/>
      <c r="I218" s="473"/>
      <c r="J218" s="2353" t="s">
        <v>2823</v>
      </c>
      <c r="K218" s="2354"/>
      <c r="L218" s="2354"/>
      <c r="M218" s="2350"/>
      <c r="N218" s="2350"/>
      <c r="O218" s="2350"/>
      <c r="P218" s="2350"/>
      <c r="Q218" s="372">
        <v>1</v>
      </c>
      <c r="R218" s="1128" t="s">
        <v>2806</v>
      </c>
      <c r="S218" s="524">
        <v>2500000</v>
      </c>
      <c r="T218" s="466" t="s">
        <v>2824</v>
      </c>
      <c r="U218" s="2357"/>
      <c r="V218" s="366">
        <v>12</v>
      </c>
      <c r="W218" s="466" t="s">
        <v>2808</v>
      </c>
      <c r="X218" s="525"/>
      <c r="Y218" s="1674">
        <f>SUM(Q218*S218*V218)/1000</f>
        <v>30000</v>
      </c>
      <c r="Z218" s="759"/>
      <c r="AA218" s="759"/>
      <c r="AB218" s="275"/>
      <c r="AC218" s="759"/>
      <c r="AD218" s="2076"/>
    </row>
    <row r="219" spans="1:31" s="760" customFormat="1" ht="21.95" customHeight="1">
      <c r="A219" s="2074"/>
      <c r="B219" s="2075"/>
      <c r="C219" s="2278"/>
      <c r="D219" s="1154"/>
      <c r="E219" s="1126" t="s">
        <v>2842</v>
      </c>
      <c r="F219" s="1141">
        <f>Y219</f>
        <v>6200</v>
      </c>
      <c r="G219" s="1141">
        <v>6200</v>
      </c>
      <c r="H219" s="523"/>
      <c r="I219" s="473"/>
      <c r="J219" s="348" t="s">
        <v>2825</v>
      </c>
      <c r="K219" s="2354"/>
      <c r="L219" s="2354"/>
      <c r="M219" s="2350"/>
      <c r="N219" s="2350"/>
      <c r="O219" s="2350"/>
      <c r="P219" s="2350"/>
      <c r="Q219" s="372"/>
      <c r="R219" s="1128"/>
      <c r="S219" s="524">
        <v>6200000</v>
      </c>
      <c r="T219" s="466" t="s">
        <v>2824</v>
      </c>
      <c r="U219" s="2357"/>
      <c r="V219" s="366">
        <v>1</v>
      </c>
      <c r="W219" s="466" t="s">
        <v>2826</v>
      </c>
      <c r="X219" s="525" t="s">
        <v>2827</v>
      </c>
      <c r="Y219" s="1674">
        <f>SUM(S219*V219)/1000</f>
        <v>6200</v>
      </c>
      <c r="Z219" s="759"/>
      <c r="AA219" s="759"/>
      <c r="AB219" s="275"/>
      <c r="AC219" s="759"/>
      <c r="AD219" s="759"/>
    </row>
    <row r="220" spans="1:31" s="760" customFormat="1" ht="21.95" customHeight="1">
      <c r="A220" s="2074"/>
      <c r="B220" s="2075"/>
      <c r="C220" s="2278"/>
      <c r="D220" s="1154"/>
      <c r="E220" s="1154" t="s">
        <v>2843</v>
      </c>
      <c r="F220" s="1141">
        <f>Y220</f>
        <v>5250</v>
      </c>
      <c r="G220" s="1141">
        <v>5250</v>
      </c>
      <c r="H220" s="523"/>
      <c r="I220" s="473"/>
      <c r="J220" s="2349" t="s">
        <v>2828</v>
      </c>
      <c r="K220" s="2354"/>
      <c r="L220" s="2354"/>
      <c r="M220" s="2350"/>
      <c r="N220" s="2350"/>
      <c r="O220" s="2350"/>
      <c r="P220" s="2350"/>
      <c r="Q220" s="372"/>
      <c r="R220" s="1128"/>
      <c r="S220" s="524"/>
      <c r="T220" s="466"/>
      <c r="U220" s="2357"/>
      <c r="V220" s="366"/>
      <c r="W220" s="466"/>
      <c r="X220" s="525"/>
      <c r="Y220" s="1674">
        <f>SUM(Y221:Y224)</f>
        <v>5250</v>
      </c>
      <c r="Z220" s="1647"/>
      <c r="AA220" s="1647"/>
      <c r="AB220" s="275"/>
      <c r="AC220" s="1647"/>
      <c r="AD220" s="1647"/>
      <c r="AE220" s="760" t="s">
        <v>757</v>
      </c>
    </row>
    <row r="221" spans="1:31" s="760" customFormat="1" ht="21.95" customHeight="1">
      <c r="A221" s="2074"/>
      <c r="B221" s="2075"/>
      <c r="C221" s="2278"/>
      <c r="D221" s="1154"/>
      <c r="E221" s="1154"/>
      <c r="F221" s="1141"/>
      <c r="G221" s="1141"/>
      <c r="H221" s="570"/>
      <c r="I221" s="473"/>
      <c r="J221" s="2353" t="s">
        <v>2829</v>
      </c>
      <c r="K221" s="2354"/>
      <c r="L221" s="2354"/>
      <c r="M221" s="2350"/>
      <c r="N221" s="2350"/>
      <c r="O221" s="2350"/>
      <c r="P221" s="2350"/>
      <c r="Q221" s="372"/>
      <c r="R221" s="1128"/>
      <c r="S221" s="524">
        <v>2000000</v>
      </c>
      <c r="T221" s="466" t="s">
        <v>2824</v>
      </c>
      <c r="U221" s="2357"/>
      <c r="V221" s="366">
        <v>1</v>
      </c>
      <c r="W221" s="466" t="s">
        <v>2826</v>
      </c>
      <c r="X221" s="525" t="s">
        <v>2827</v>
      </c>
      <c r="Y221" s="1674">
        <f>SUM(S221*V221)/1000</f>
        <v>2000</v>
      </c>
      <c r="Z221" s="1647"/>
      <c r="AA221" s="1647"/>
      <c r="AB221" s="275"/>
      <c r="AC221" s="1647"/>
      <c r="AD221" s="1647"/>
      <c r="AE221" s="760" t="s">
        <v>2700</v>
      </c>
    </row>
    <row r="222" spans="1:31" s="760" customFormat="1" ht="21.95" customHeight="1">
      <c r="A222" s="2074"/>
      <c r="B222" s="2075"/>
      <c r="C222" s="2278"/>
      <c r="D222" s="1154"/>
      <c r="E222" s="1154"/>
      <c r="F222" s="1141"/>
      <c r="G222" s="1141"/>
      <c r="H222" s="523"/>
      <c r="I222" s="473"/>
      <c r="J222" s="2353" t="s">
        <v>2830</v>
      </c>
      <c r="K222" s="2350"/>
      <c r="L222" s="2350"/>
      <c r="M222" s="2350"/>
      <c r="N222" s="2350"/>
      <c r="O222" s="2350"/>
      <c r="P222" s="2350"/>
      <c r="Q222" s="372"/>
      <c r="R222" s="1128"/>
      <c r="S222" s="524">
        <v>2000000</v>
      </c>
      <c r="T222" s="466" t="s">
        <v>2824</v>
      </c>
      <c r="U222" s="2357"/>
      <c r="V222" s="366">
        <v>1</v>
      </c>
      <c r="W222" s="466" t="s">
        <v>2826</v>
      </c>
      <c r="X222" s="525" t="s">
        <v>2809</v>
      </c>
      <c r="Y222" s="1674">
        <f t="shared" ref="Y222:Y230" si="44">SUM(S222*V222)/1000</f>
        <v>2000</v>
      </c>
      <c r="Z222" s="759"/>
      <c r="AA222" s="759"/>
      <c r="AB222" s="275"/>
      <c r="AC222" s="759"/>
      <c r="AD222" s="759"/>
    </row>
    <row r="223" spans="1:31" s="760" customFormat="1" ht="21.95" customHeight="1">
      <c r="A223" s="2074"/>
      <c r="B223" s="2075"/>
      <c r="C223" s="2278"/>
      <c r="D223" s="1154"/>
      <c r="E223" s="1154"/>
      <c r="F223" s="1141"/>
      <c r="G223" s="1141"/>
      <c r="H223" s="570"/>
      <c r="I223" s="473"/>
      <c r="J223" s="2353" t="s">
        <v>2831</v>
      </c>
      <c r="K223" s="2354"/>
      <c r="L223" s="2354"/>
      <c r="M223" s="2350"/>
      <c r="N223" s="2350"/>
      <c r="O223" s="2350"/>
      <c r="P223" s="2350"/>
      <c r="Q223" s="372"/>
      <c r="R223" s="1128"/>
      <c r="S223" s="524">
        <v>250000</v>
      </c>
      <c r="T223" s="466" t="s">
        <v>2824</v>
      </c>
      <c r="U223" s="2357"/>
      <c r="V223" s="366">
        <v>1</v>
      </c>
      <c r="W223" s="466" t="s">
        <v>2826</v>
      </c>
      <c r="X223" s="525" t="s">
        <v>2827</v>
      </c>
      <c r="Y223" s="1674">
        <f t="shared" si="44"/>
        <v>250</v>
      </c>
      <c r="Z223" s="759"/>
      <c r="AA223" s="759"/>
      <c r="AB223" s="275"/>
      <c r="AC223" s="759"/>
      <c r="AD223" s="759"/>
    </row>
    <row r="224" spans="1:31" s="760" customFormat="1" ht="21.95" customHeight="1">
      <c r="A224" s="2074"/>
      <c r="B224" s="2075"/>
      <c r="C224" s="2278"/>
      <c r="D224" s="1154"/>
      <c r="E224" s="1154"/>
      <c r="F224" s="1141"/>
      <c r="G224" s="1141"/>
      <c r="H224" s="570"/>
      <c r="I224" s="473"/>
      <c r="J224" s="2353" t="s">
        <v>2832</v>
      </c>
      <c r="K224" s="2354"/>
      <c r="L224" s="2354"/>
      <c r="M224" s="2350"/>
      <c r="N224" s="2350"/>
      <c r="O224" s="2350"/>
      <c r="P224" s="2350"/>
      <c r="Q224" s="372"/>
      <c r="R224" s="1128"/>
      <c r="S224" s="524">
        <v>1000000</v>
      </c>
      <c r="T224" s="466" t="s">
        <v>2824</v>
      </c>
      <c r="U224" s="2357"/>
      <c r="V224" s="366">
        <v>1</v>
      </c>
      <c r="W224" s="466" t="s">
        <v>2826</v>
      </c>
      <c r="X224" s="525" t="s">
        <v>2827</v>
      </c>
      <c r="Y224" s="1674">
        <f t="shared" si="44"/>
        <v>1000</v>
      </c>
      <c r="Z224" s="759"/>
      <c r="AA224" s="759"/>
      <c r="AB224" s="275"/>
      <c r="AC224" s="759"/>
      <c r="AD224" s="759"/>
    </row>
    <row r="225" spans="1:31" s="760" customFormat="1" ht="21.95" customHeight="1">
      <c r="A225" s="2074"/>
      <c r="B225" s="2075"/>
      <c r="C225" s="2278"/>
      <c r="D225" s="1154"/>
      <c r="E225" s="1154" t="s">
        <v>2817</v>
      </c>
      <c r="F225" s="1141">
        <f>Y225</f>
        <v>1500</v>
      </c>
      <c r="G225" s="1141">
        <v>1500</v>
      </c>
      <c r="H225" s="523"/>
      <c r="I225" s="473"/>
      <c r="J225" s="2353" t="s">
        <v>2833</v>
      </c>
      <c r="K225" s="2354"/>
      <c r="L225" s="2354"/>
      <c r="M225" s="2350"/>
      <c r="N225" s="2350"/>
      <c r="O225" s="2350"/>
      <c r="P225" s="2350"/>
      <c r="Q225" s="372">
        <v>1</v>
      </c>
      <c r="R225" s="1128" t="s">
        <v>2806</v>
      </c>
      <c r="S225" s="524">
        <v>30000</v>
      </c>
      <c r="T225" s="466" t="s">
        <v>2824</v>
      </c>
      <c r="U225" s="2357"/>
      <c r="V225" s="366">
        <v>50</v>
      </c>
      <c r="W225" s="466" t="s">
        <v>2834</v>
      </c>
      <c r="X225" s="525" t="s">
        <v>2827</v>
      </c>
      <c r="Y225" s="1674">
        <f t="shared" si="44"/>
        <v>1500</v>
      </c>
      <c r="Z225" s="759"/>
      <c r="AA225" s="759"/>
      <c r="AB225" s="275"/>
      <c r="AC225" s="759"/>
      <c r="AD225" s="759"/>
    </row>
    <row r="226" spans="1:31" s="760" customFormat="1" ht="21.95" customHeight="1">
      <c r="A226" s="2074"/>
      <c r="B226" s="2075"/>
      <c r="C226" s="2278"/>
      <c r="D226" s="1154"/>
      <c r="E226" s="1126" t="s">
        <v>2819</v>
      </c>
      <c r="F226" s="1141">
        <f t="shared" ref="F226:F227" si="45">Y226</f>
        <v>14400</v>
      </c>
      <c r="G226" s="1141">
        <v>14400</v>
      </c>
      <c r="H226" s="523"/>
      <c r="I226" s="473"/>
      <c r="J226" s="348" t="s">
        <v>2835</v>
      </c>
      <c r="K226" s="2357"/>
      <c r="L226" s="2357"/>
      <c r="M226" s="2357"/>
      <c r="N226" s="2357"/>
      <c r="O226" s="2357"/>
      <c r="P226" s="2357"/>
      <c r="Q226" s="372">
        <v>1</v>
      </c>
      <c r="R226" s="1128" t="s">
        <v>2806</v>
      </c>
      <c r="S226" s="524">
        <v>72000</v>
      </c>
      <c r="T226" s="2357" t="s">
        <v>2824</v>
      </c>
      <c r="U226" s="2357"/>
      <c r="V226" s="366">
        <v>200</v>
      </c>
      <c r="W226" s="2357" t="s">
        <v>2836</v>
      </c>
      <c r="X226" s="2051" t="s">
        <v>2809</v>
      </c>
      <c r="Y226" s="1674">
        <f>S226*V226/1000</f>
        <v>14400</v>
      </c>
      <c r="Z226" s="759"/>
      <c r="AA226" s="759"/>
      <c r="AB226" s="275"/>
      <c r="AC226" s="759"/>
      <c r="AD226" s="759"/>
    </row>
    <row r="227" spans="1:31" s="760" customFormat="1" ht="21.95" customHeight="1">
      <c r="A227" s="2074"/>
      <c r="B227" s="2075"/>
      <c r="C227" s="2278"/>
      <c r="D227" s="1154"/>
      <c r="E227" s="1126" t="s">
        <v>2818</v>
      </c>
      <c r="F227" s="1141">
        <f t="shared" si="45"/>
        <v>25000</v>
      </c>
      <c r="G227" s="1141">
        <v>25000</v>
      </c>
      <c r="H227" s="523"/>
      <c r="I227" s="473"/>
      <c r="J227" s="2349" t="s">
        <v>2803</v>
      </c>
      <c r="K227" s="2350"/>
      <c r="L227" s="2350"/>
      <c r="M227" s="2350"/>
      <c r="N227" s="2350"/>
      <c r="O227" s="2350"/>
      <c r="P227" s="2350"/>
      <c r="Q227" s="372"/>
      <c r="R227" s="1128"/>
      <c r="S227" s="524"/>
      <c r="T227" s="466"/>
      <c r="U227" s="2357"/>
      <c r="V227" s="366"/>
      <c r="W227" s="466"/>
      <c r="X227" s="525"/>
      <c r="Y227" s="1674">
        <f>SUM(Y228:Y229)</f>
        <v>25000</v>
      </c>
      <c r="Z227" s="759"/>
      <c r="AA227" s="759"/>
      <c r="AB227" s="275"/>
      <c r="AC227" s="759"/>
      <c r="AD227" s="759"/>
    </row>
    <row r="228" spans="1:31" s="760" customFormat="1" ht="21.95" customHeight="1">
      <c r="A228" s="2074"/>
      <c r="B228" s="2075"/>
      <c r="C228" s="2278"/>
      <c r="D228" s="1154"/>
      <c r="E228" s="1126"/>
      <c r="F228" s="1703"/>
      <c r="G228" s="1141"/>
      <c r="H228" s="523"/>
      <c r="I228" s="473"/>
      <c r="J228" s="2349" t="s">
        <v>2837</v>
      </c>
      <c r="K228" s="2350"/>
      <c r="L228" s="2350"/>
      <c r="M228" s="2350"/>
      <c r="N228" s="2350"/>
      <c r="O228" s="2350"/>
      <c r="P228" s="2350"/>
      <c r="Q228" s="372"/>
      <c r="R228" s="1128"/>
      <c r="S228" s="524">
        <v>5000000</v>
      </c>
      <c r="T228" s="466" t="s">
        <v>2807</v>
      </c>
      <c r="U228" s="2357"/>
      <c r="V228" s="366">
        <v>1</v>
      </c>
      <c r="W228" s="466" t="s">
        <v>2814</v>
      </c>
      <c r="X228" s="525" t="s">
        <v>2809</v>
      </c>
      <c r="Y228" s="1674">
        <f>S228*V228/1000</f>
        <v>5000</v>
      </c>
      <c r="Z228" s="759"/>
      <c r="AA228" s="759"/>
      <c r="AB228" s="275"/>
      <c r="AC228" s="759"/>
      <c r="AD228" s="759"/>
    </row>
    <row r="229" spans="1:31" s="760" customFormat="1" ht="21.95" customHeight="1">
      <c r="A229" s="2074"/>
      <c r="B229" s="2075"/>
      <c r="C229" s="2357"/>
      <c r="D229" s="1154"/>
      <c r="E229" s="1126"/>
      <c r="F229" s="1703"/>
      <c r="G229" s="1141"/>
      <c r="H229" s="523"/>
      <c r="I229" s="473"/>
      <c r="J229" s="2349" t="s">
        <v>2838</v>
      </c>
      <c r="K229" s="2350"/>
      <c r="L229" s="2350"/>
      <c r="M229" s="2350"/>
      <c r="N229" s="2350"/>
      <c r="O229" s="2350"/>
      <c r="P229" s="2350"/>
      <c r="Q229" s="372"/>
      <c r="R229" s="1128"/>
      <c r="S229" s="524">
        <v>20000000</v>
      </c>
      <c r="T229" s="466" t="s">
        <v>2807</v>
      </c>
      <c r="U229" s="2357"/>
      <c r="V229" s="366">
        <v>1</v>
      </c>
      <c r="W229" s="466" t="s">
        <v>2839</v>
      </c>
      <c r="X229" s="525" t="s">
        <v>2809</v>
      </c>
      <c r="Y229" s="1674">
        <f t="shared" ref="Y229" si="46">S229*V229/1000</f>
        <v>20000</v>
      </c>
      <c r="Z229" s="759"/>
      <c r="AA229" s="759"/>
      <c r="AB229" s="275"/>
      <c r="AC229" s="759"/>
      <c r="AD229" s="759"/>
    </row>
    <row r="230" spans="1:31" s="760" customFormat="1" ht="21.95" customHeight="1">
      <c r="A230" s="2074"/>
      <c r="B230" s="2075"/>
      <c r="C230" s="2357"/>
      <c r="D230" s="1154"/>
      <c r="E230" s="1126" t="s">
        <v>2820</v>
      </c>
      <c r="F230" s="1141">
        <f t="shared" ref="F230:F231" si="47">Y230</f>
        <v>2500</v>
      </c>
      <c r="G230" s="1141">
        <v>2500</v>
      </c>
      <c r="H230" s="523"/>
      <c r="I230" s="473"/>
      <c r="J230" s="348" t="s">
        <v>2840</v>
      </c>
      <c r="K230" s="2354"/>
      <c r="L230" s="2354"/>
      <c r="M230" s="2350"/>
      <c r="N230" s="2350"/>
      <c r="O230" s="2350"/>
      <c r="P230" s="2350"/>
      <c r="Q230" s="372"/>
      <c r="R230" s="1128"/>
      <c r="S230" s="524">
        <v>500000</v>
      </c>
      <c r="T230" s="466" t="s">
        <v>2824</v>
      </c>
      <c r="U230" s="2357"/>
      <c r="V230" s="366">
        <v>5</v>
      </c>
      <c r="W230" s="466" t="s">
        <v>2834</v>
      </c>
      <c r="X230" s="525" t="s">
        <v>2827</v>
      </c>
      <c r="Y230" s="1674">
        <f t="shared" si="44"/>
        <v>2500</v>
      </c>
      <c r="Z230" s="759"/>
      <c r="AA230" s="759"/>
      <c r="AB230" s="275"/>
      <c r="AC230" s="759"/>
      <c r="AD230" s="759"/>
    </row>
    <row r="231" spans="1:31" s="760" customFormat="1" ht="21.95" customHeight="1">
      <c r="A231" s="2074"/>
      <c r="B231" s="2075"/>
      <c r="C231" s="2278"/>
      <c r="D231" s="1154"/>
      <c r="E231" s="1126" t="s">
        <v>2821</v>
      </c>
      <c r="F231" s="1141">
        <f t="shared" si="47"/>
        <v>150</v>
      </c>
      <c r="G231" s="1141">
        <v>150</v>
      </c>
      <c r="H231" s="523"/>
      <c r="I231" s="473"/>
      <c r="J231" s="348" t="s">
        <v>2841</v>
      </c>
      <c r="K231" s="2354"/>
      <c r="L231" s="2354"/>
      <c r="M231" s="2350"/>
      <c r="N231" s="2350"/>
      <c r="O231" s="2350"/>
      <c r="P231" s="2350"/>
      <c r="Q231" s="372"/>
      <c r="R231" s="1128"/>
      <c r="S231" s="524">
        <v>75000</v>
      </c>
      <c r="T231" s="466" t="s">
        <v>2824</v>
      </c>
      <c r="U231" s="2357"/>
      <c r="V231" s="366">
        <v>2</v>
      </c>
      <c r="W231" s="466" t="s">
        <v>2834</v>
      </c>
      <c r="X231" s="525" t="s">
        <v>2827</v>
      </c>
      <c r="Y231" s="1674">
        <f>SUM(S231*V231)/1000</f>
        <v>150</v>
      </c>
      <c r="Z231" s="759"/>
      <c r="AA231" s="759"/>
      <c r="AB231" s="275"/>
      <c r="AC231" s="759"/>
      <c r="AD231" s="759"/>
    </row>
    <row r="232" spans="1:31" s="760" customFormat="1" ht="21.95" customHeight="1">
      <c r="A232" s="2074"/>
      <c r="B232" s="2075"/>
      <c r="C232" s="2278"/>
      <c r="D232" s="3266" t="s">
        <v>2702</v>
      </c>
      <c r="E232" s="3347"/>
      <c r="F232" s="1153">
        <f>SUM(F233:F242)</f>
        <v>70000</v>
      </c>
      <c r="G232" s="1153">
        <f>SUM(G233:G242)</f>
        <v>70000</v>
      </c>
      <c r="H232" s="1132">
        <f>F232-G232</f>
        <v>0</v>
      </c>
      <c r="I232" s="473"/>
      <c r="J232" s="501"/>
      <c r="K232" s="2276"/>
      <c r="L232" s="2276"/>
      <c r="M232" s="2276"/>
      <c r="N232" s="2276"/>
      <c r="O232" s="2276"/>
      <c r="P232" s="2276"/>
      <c r="Q232" s="485"/>
      <c r="R232" s="484"/>
      <c r="S232" s="520"/>
      <c r="T232" s="2276"/>
      <c r="U232" s="2276"/>
      <c r="V232" s="521"/>
      <c r="W232" s="2276"/>
      <c r="X232" s="375"/>
      <c r="Y232" s="432"/>
      <c r="Z232" s="759"/>
      <c r="AA232" s="759"/>
      <c r="AB232" s="275"/>
      <c r="AC232" s="759"/>
      <c r="AD232" s="759"/>
    </row>
    <row r="233" spans="1:31" s="760" customFormat="1" ht="21.95" customHeight="1">
      <c r="A233" s="2074"/>
      <c r="B233" s="2075"/>
      <c r="C233" s="2278"/>
      <c r="D233" s="1154"/>
      <c r="E233" s="1154" t="s">
        <v>604</v>
      </c>
      <c r="F233" s="1141">
        <f>Y233</f>
        <v>64800</v>
      </c>
      <c r="G233" s="1141">
        <v>64800</v>
      </c>
      <c r="H233" s="523"/>
      <c r="I233" s="473"/>
      <c r="J233" s="2265" t="s">
        <v>2699</v>
      </c>
      <c r="K233" s="2266"/>
      <c r="L233" s="2266"/>
      <c r="M233" s="2266"/>
      <c r="N233" s="2266"/>
      <c r="O233" s="2266"/>
      <c r="P233" s="2266"/>
      <c r="Q233" s="372"/>
      <c r="R233" s="1128"/>
      <c r="S233" s="524"/>
      <c r="T233" s="466"/>
      <c r="U233" s="2278"/>
      <c r="V233" s="366"/>
      <c r="W233" s="466"/>
      <c r="X233" s="525"/>
      <c r="Y233" s="1674">
        <f>SUM(Y234:Y235)</f>
        <v>64800</v>
      </c>
      <c r="Z233" s="759"/>
      <c r="AA233" s="759"/>
      <c r="AB233" s="275"/>
      <c r="AC233" s="759"/>
      <c r="AD233" s="759"/>
    </row>
    <row r="234" spans="1:31" s="760" customFormat="1" ht="21.95" customHeight="1">
      <c r="A234" s="2074"/>
      <c r="B234" s="2075"/>
      <c r="C234" s="2278"/>
      <c r="D234" s="1154"/>
      <c r="E234" s="1154"/>
      <c r="F234" s="1141"/>
      <c r="G234" s="1141"/>
      <c r="H234" s="523"/>
      <c r="I234" s="473"/>
      <c r="J234" s="2274" t="s">
        <v>1206</v>
      </c>
      <c r="K234" s="2266"/>
      <c r="L234" s="2266"/>
      <c r="M234" s="2266"/>
      <c r="N234" s="2266"/>
      <c r="O234" s="2266"/>
      <c r="P234" s="2266"/>
      <c r="Q234" s="372">
        <v>1</v>
      </c>
      <c r="R234" s="1128" t="s">
        <v>464</v>
      </c>
      <c r="S234" s="524">
        <v>2500000</v>
      </c>
      <c r="T234" s="466" t="s">
        <v>354</v>
      </c>
      <c r="U234" s="2278"/>
      <c r="V234" s="366">
        <v>12</v>
      </c>
      <c r="W234" s="466" t="s">
        <v>198</v>
      </c>
      <c r="X234" s="525" t="s">
        <v>565</v>
      </c>
      <c r="Y234" s="1674">
        <f>(Q234*S234*V234)/1000</f>
        <v>30000</v>
      </c>
      <c r="Z234" s="1647"/>
      <c r="AA234" s="1647"/>
      <c r="AB234" s="275"/>
      <c r="AC234" s="1647"/>
      <c r="AD234" s="1647"/>
    </row>
    <row r="235" spans="1:31" s="760" customFormat="1" ht="21.95" customHeight="1">
      <c r="A235" s="2074"/>
      <c r="B235" s="2075"/>
      <c r="C235" s="2278"/>
      <c r="D235" s="1154"/>
      <c r="E235" s="1154"/>
      <c r="F235" s="1141"/>
      <c r="G235" s="1141"/>
      <c r="H235" s="523"/>
      <c r="I235" s="473"/>
      <c r="J235" s="348" t="s">
        <v>2703</v>
      </c>
      <c r="K235" s="2278"/>
      <c r="L235" s="2278"/>
      <c r="M235" s="2278"/>
      <c r="N235" s="2278"/>
      <c r="O235" s="2278"/>
      <c r="P235" s="2278"/>
      <c r="Q235" s="372">
        <v>2</v>
      </c>
      <c r="R235" s="1128" t="s">
        <v>464</v>
      </c>
      <c r="S235" s="524">
        <v>1450000</v>
      </c>
      <c r="T235" s="466" t="s">
        <v>354</v>
      </c>
      <c r="U235" s="2278"/>
      <c r="V235" s="366">
        <v>12</v>
      </c>
      <c r="W235" s="466" t="s">
        <v>198</v>
      </c>
      <c r="X235" s="525" t="s">
        <v>565</v>
      </c>
      <c r="Y235" s="1674">
        <f>(Q235*S235*V235)/1000</f>
        <v>34800</v>
      </c>
      <c r="Z235" s="1647"/>
      <c r="AA235" s="1647"/>
      <c r="AB235" s="275"/>
      <c r="AC235" s="1647"/>
      <c r="AD235" s="1647"/>
      <c r="AE235" s="760" t="s">
        <v>757</v>
      </c>
    </row>
    <row r="236" spans="1:31" s="760" customFormat="1" ht="21.95" customHeight="1">
      <c r="A236" s="2074"/>
      <c r="B236" s="2075"/>
      <c r="C236" s="2278"/>
      <c r="D236" s="1126"/>
      <c r="E236" s="1154" t="s">
        <v>224</v>
      </c>
      <c r="F236" s="1141">
        <f>Y236</f>
        <v>1160</v>
      </c>
      <c r="G236" s="1141">
        <v>1160</v>
      </c>
      <c r="H236" s="523"/>
      <c r="I236" s="473"/>
      <c r="J236" s="348" t="s">
        <v>2699</v>
      </c>
      <c r="K236" s="2278"/>
      <c r="L236" s="2278"/>
      <c r="M236" s="2278"/>
      <c r="N236" s="2278"/>
      <c r="O236" s="2278"/>
      <c r="P236" s="2278"/>
      <c r="Q236" s="372"/>
      <c r="R236" s="1128"/>
      <c r="S236" s="524"/>
      <c r="T236" s="466"/>
      <c r="U236" s="2278"/>
      <c r="V236" s="366"/>
      <c r="W236" s="466"/>
      <c r="X236" s="525"/>
      <c r="Y236" s="1674">
        <f>SUM(Y237:Y238)</f>
        <v>1160</v>
      </c>
      <c r="Z236" s="1647"/>
      <c r="AA236" s="1647"/>
      <c r="AB236" s="275"/>
      <c r="AC236" s="1647"/>
      <c r="AD236" s="1647"/>
      <c r="AE236" s="760" t="s">
        <v>2700</v>
      </c>
    </row>
    <row r="237" spans="1:31" s="760" customFormat="1" ht="21.95" customHeight="1">
      <c r="A237" s="2074"/>
      <c r="B237" s="2075"/>
      <c r="C237" s="2278"/>
      <c r="D237" s="1126"/>
      <c r="E237" s="1154"/>
      <c r="F237" s="1141"/>
      <c r="G237" s="1141"/>
      <c r="H237" s="523"/>
      <c r="I237" s="473"/>
      <c r="J237" s="348" t="s">
        <v>2704</v>
      </c>
      <c r="K237" s="2278"/>
      <c r="L237" s="2278"/>
      <c r="M237" s="2278"/>
      <c r="N237" s="2278"/>
      <c r="O237" s="2278"/>
      <c r="P237" s="2278"/>
      <c r="Q237" s="372"/>
      <c r="R237" s="1128"/>
      <c r="S237" s="524">
        <v>200000</v>
      </c>
      <c r="T237" s="466" t="s">
        <v>592</v>
      </c>
      <c r="U237" s="2278"/>
      <c r="V237" s="366">
        <v>4</v>
      </c>
      <c r="W237" s="466" t="s">
        <v>217</v>
      </c>
      <c r="X237" s="525" t="s">
        <v>706</v>
      </c>
      <c r="Y237" s="1674">
        <f>SUM(S237*V237/1000)</f>
        <v>800</v>
      </c>
      <c r="Z237" s="759"/>
      <c r="AA237" s="759"/>
      <c r="AB237" s="275"/>
      <c r="AC237" s="759"/>
      <c r="AD237" s="759"/>
    </row>
    <row r="238" spans="1:31" s="760" customFormat="1" ht="21.95" customHeight="1">
      <c r="A238" s="2074"/>
      <c r="B238" s="2075"/>
      <c r="C238" s="2278"/>
      <c r="D238" s="1154"/>
      <c r="E238" s="1154"/>
      <c r="F238" s="1126"/>
      <c r="G238" s="1141"/>
      <c r="H238" s="523"/>
      <c r="I238" s="473"/>
      <c r="J238" s="2274" t="s">
        <v>2705</v>
      </c>
      <c r="K238" s="2266"/>
      <c r="L238" s="2266"/>
      <c r="M238" s="2266"/>
      <c r="N238" s="2266"/>
      <c r="O238" s="2266"/>
      <c r="P238" s="2266"/>
      <c r="Q238" s="372"/>
      <c r="R238" s="1128"/>
      <c r="S238" s="524">
        <v>90000</v>
      </c>
      <c r="T238" s="466" t="s">
        <v>592</v>
      </c>
      <c r="U238" s="2278"/>
      <c r="V238" s="366">
        <v>4</v>
      </c>
      <c r="W238" s="466" t="s">
        <v>217</v>
      </c>
      <c r="X238" s="525" t="s">
        <v>706</v>
      </c>
      <c r="Y238" s="1674">
        <f>S238*V238/1000</f>
        <v>360</v>
      </c>
      <c r="Z238" s="759"/>
      <c r="AA238" s="759"/>
      <c r="AB238" s="275"/>
      <c r="AC238" s="759"/>
      <c r="AD238" s="759"/>
    </row>
    <row r="239" spans="1:31" s="760" customFormat="1" ht="21.95" customHeight="1">
      <c r="A239" s="2074"/>
      <c r="B239" s="2075"/>
      <c r="C239" s="2278"/>
      <c r="D239" s="1154"/>
      <c r="E239" s="1126" t="s">
        <v>195</v>
      </c>
      <c r="F239" s="526">
        <f>SUM(Y239)</f>
        <v>800</v>
      </c>
      <c r="G239" s="1141">
        <v>800</v>
      </c>
      <c r="H239" s="523"/>
      <c r="I239" s="473"/>
      <c r="J239" s="2274" t="s">
        <v>2701</v>
      </c>
      <c r="K239" s="2266"/>
      <c r="L239" s="2266"/>
      <c r="M239" s="2266"/>
      <c r="N239" s="2266"/>
      <c r="O239" s="372"/>
      <c r="P239" s="1128"/>
      <c r="Q239" s="372">
        <v>1</v>
      </c>
      <c r="R239" s="1128" t="s">
        <v>464</v>
      </c>
      <c r="S239" s="524">
        <v>50000</v>
      </c>
      <c r="T239" s="466" t="s">
        <v>592</v>
      </c>
      <c r="U239" s="2278"/>
      <c r="V239" s="366">
        <v>16</v>
      </c>
      <c r="W239" s="466" t="s">
        <v>460</v>
      </c>
      <c r="X239" s="525" t="s">
        <v>565</v>
      </c>
      <c r="Y239" s="1674">
        <f>S239*V239/1000</f>
        <v>800</v>
      </c>
      <c r="Z239" s="759"/>
      <c r="AA239" s="759"/>
      <c r="AB239" s="275"/>
      <c r="AC239" s="759"/>
      <c r="AD239" s="759"/>
    </row>
    <row r="240" spans="1:31" s="760" customFormat="1" ht="21.95" customHeight="1">
      <c r="A240" s="2074"/>
      <c r="B240" s="2075"/>
      <c r="C240" s="2278"/>
      <c r="D240" s="1154"/>
      <c r="E240" s="1154" t="s">
        <v>573</v>
      </c>
      <c r="F240" s="526">
        <f>SUM(Y240)</f>
        <v>800</v>
      </c>
      <c r="G240" s="1141">
        <v>800</v>
      </c>
      <c r="H240" s="523"/>
      <c r="I240" s="473"/>
      <c r="J240" s="2274" t="s">
        <v>2706</v>
      </c>
      <c r="K240" s="2266"/>
      <c r="L240" s="2266"/>
      <c r="M240" s="2266"/>
      <c r="N240" s="2266"/>
      <c r="O240" s="2266"/>
      <c r="P240" s="2266"/>
      <c r="Q240" s="372"/>
      <c r="R240" s="1128"/>
      <c r="S240" s="524">
        <v>200000</v>
      </c>
      <c r="T240" s="466" t="s">
        <v>592</v>
      </c>
      <c r="U240" s="2278"/>
      <c r="V240" s="366">
        <v>4</v>
      </c>
      <c r="W240" s="466" t="s">
        <v>460</v>
      </c>
      <c r="X240" s="525" t="s">
        <v>565</v>
      </c>
      <c r="Y240" s="1674">
        <f>SUM(S240*V240/1000)</f>
        <v>800</v>
      </c>
      <c r="Z240" s="759"/>
      <c r="AA240" s="759"/>
      <c r="AB240" s="275"/>
      <c r="AC240" s="759"/>
      <c r="AD240" s="759"/>
    </row>
    <row r="241" spans="1:30" s="760" customFormat="1" ht="21.95" customHeight="1">
      <c r="A241" s="2074"/>
      <c r="B241" s="2075"/>
      <c r="C241" s="2278"/>
      <c r="D241" s="1154"/>
      <c r="E241" s="1154" t="s">
        <v>2707</v>
      </c>
      <c r="F241" s="1141">
        <f>Y241</f>
        <v>1440</v>
      </c>
      <c r="G241" s="1141">
        <v>1440</v>
      </c>
      <c r="H241" s="523"/>
      <c r="I241" s="473"/>
      <c r="J241" s="2274" t="s">
        <v>2708</v>
      </c>
      <c r="K241" s="2266"/>
      <c r="L241" s="2266"/>
      <c r="M241" s="2266"/>
      <c r="N241" s="2266"/>
      <c r="O241" s="2266"/>
      <c r="P241" s="2266"/>
      <c r="Q241" s="372">
        <v>2</v>
      </c>
      <c r="R241" s="1128" t="s">
        <v>464</v>
      </c>
      <c r="S241" s="524">
        <v>72000</v>
      </c>
      <c r="T241" s="466" t="s">
        <v>592</v>
      </c>
      <c r="U241" s="2278"/>
      <c r="V241" s="366">
        <v>10</v>
      </c>
      <c r="W241" s="466" t="s">
        <v>217</v>
      </c>
      <c r="X241" s="525" t="s">
        <v>706</v>
      </c>
      <c r="Y241" s="1674">
        <f>(Q241*S241*V241)/1000</f>
        <v>1440</v>
      </c>
      <c r="Z241" s="759"/>
      <c r="AA241" s="759"/>
      <c r="AB241" s="275"/>
      <c r="AC241" s="759"/>
      <c r="AD241" s="759"/>
    </row>
    <row r="242" spans="1:30" s="760" customFormat="1" ht="21.95" customHeight="1">
      <c r="A242" s="2074"/>
      <c r="B242" s="2075"/>
      <c r="C242" s="2278"/>
      <c r="D242" s="1154"/>
      <c r="E242" s="1154" t="s">
        <v>602</v>
      </c>
      <c r="F242" s="1141">
        <f>Y242</f>
        <v>1000</v>
      </c>
      <c r="G242" s="1141">
        <v>1000</v>
      </c>
      <c r="H242" s="523"/>
      <c r="I242" s="473"/>
      <c r="J242" s="2274" t="s">
        <v>2709</v>
      </c>
      <c r="K242" s="2266"/>
      <c r="L242" s="2266"/>
      <c r="M242" s="2266"/>
      <c r="N242" s="2266"/>
      <c r="O242" s="2266"/>
      <c r="P242" s="2266"/>
      <c r="Q242" s="372"/>
      <c r="R242" s="1128"/>
      <c r="S242" s="524">
        <v>200000</v>
      </c>
      <c r="T242" s="466" t="s">
        <v>592</v>
      </c>
      <c r="U242" s="2278"/>
      <c r="V242" s="366">
        <v>5</v>
      </c>
      <c r="W242" s="466" t="s">
        <v>217</v>
      </c>
      <c r="X242" s="525" t="s">
        <v>706</v>
      </c>
      <c r="Y242" s="1674">
        <f>(S242*V242)/1000</f>
        <v>1000</v>
      </c>
      <c r="Z242" s="759"/>
      <c r="AA242" s="759"/>
      <c r="AB242" s="275"/>
      <c r="AC242" s="759"/>
      <c r="AD242" s="759"/>
    </row>
    <row r="243" spans="1:30" s="760" customFormat="1" ht="21.95" customHeight="1">
      <c r="A243" s="2074"/>
      <c r="B243" s="2075"/>
      <c r="C243" s="2278"/>
      <c r="D243" s="3446" t="s">
        <v>2710</v>
      </c>
      <c r="E243" s="3347"/>
      <c r="F243" s="1153">
        <f>SUM(F244:F249)</f>
        <v>75000</v>
      </c>
      <c r="G243" s="1153">
        <f>SUM(G244:G249)</f>
        <v>75000</v>
      </c>
      <c r="H243" s="1132">
        <f t="shared" ref="H243" si="48">SUM(F243-G243)</f>
        <v>0</v>
      </c>
      <c r="I243" s="473"/>
      <c r="J243" s="501"/>
      <c r="K243" s="2276"/>
      <c r="L243" s="2276"/>
      <c r="M243" s="2276"/>
      <c r="N243" s="2276"/>
      <c r="O243" s="2276"/>
      <c r="P243" s="2276"/>
      <c r="Q243" s="485"/>
      <c r="R243" s="484"/>
      <c r="S243" s="520"/>
      <c r="T243" s="2276"/>
      <c r="U243" s="2276"/>
      <c r="V243" s="521"/>
      <c r="W243" s="2276"/>
      <c r="X243" s="375"/>
      <c r="Y243" s="432"/>
      <c r="Z243" s="759"/>
      <c r="AA243" s="759"/>
      <c r="AB243" s="275"/>
      <c r="AC243" s="759"/>
      <c r="AD243" s="759"/>
    </row>
    <row r="244" spans="1:30" s="760" customFormat="1" ht="21.95" customHeight="1">
      <c r="A244" s="2074"/>
      <c r="B244" s="2075"/>
      <c r="C244" s="2278"/>
      <c r="D244" s="350"/>
      <c r="E244" s="2357" t="s">
        <v>59</v>
      </c>
      <c r="F244" s="1141">
        <f t="shared" ref="F244:F249" si="49">Y244</f>
        <v>55000</v>
      </c>
      <c r="G244" s="1141">
        <v>55000</v>
      </c>
      <c r="H244" s="523"/>
      <c r="I244" s="473"/>
      <c r="J244" s="2349" t="s">
        <v>2844</v>
      </c>
      <c r="K244" s="2350"/>
      <c r="L244" s="2350"/>
      <c r="M244" s="2350"/>
      <c r="N244" s="2350"/>
      <c r="O244" s="2350"/>
      <c r="P244" s="2350"/>
      <c r="Q244" s="1128">
        <v>2</v>
      </c>
      <c r="R244" s="2049" t="s">
        <v>2806</v>
      </c>
      <c r="S244" s="2360">
        <v>2500000</v>
      </c>
      <c r="T244" s="2357" t="s">
        <v>2824</v>
      </c>
      <c r="U244" s="2357"/>
      <c r="V244" s="366">
        <v>11</v>
      </c>
      <c r="W244" s="2357" t="s">
        <v>2845</v>
      </c>
      <c r="X244" s="525" t="s">
        <v>2827</v>
      </c>
      <c r="Y244" s="1674">
        <f>Q244*S244*V244/1000</f>
        <v>55000</v>
      </c>
      <c r="Z244" s="759"/>
      <c r="AA244" s="759"/>
      <c r="AB244" s="275"/>
      <c r="AC244" s="759"/>
      <c r="AD244" s="759"/>
    </row>
    <row r="245" spans="1:30" s="760" customFormat="1" ht="21.95" customHeight="1">
      <c r="A245" s="2074"/>
      <c r="B245" s="2075"/>
      <c r="C245" s="2357"/>
      <c r="D245" s="1126"/>
      <c r="E245" s="1126" t="s">
        <v>199</v>
      </c>
      <c r="F245" s="1141">
        <f t="shared" si="49"/>
        <v>4000</v>
      </c>
      <c r="G245" s="1141">
        <v>4000</v>
      </c>
      <c r="H245" s="523"/>
      <c r="I245" s="473"/>
      <c r="J245" s="348" t="s">
        <v>2825</v>
      </c>
      <c r="K245" s="2354"/>
      <c r="L245" s="2354"/>
      <c r="M245" s="2350"/>
      <c r="N245" s="2350"/>
      <c r="O245" s="2350"/>
      <c r="P245" s="2350"/>
      <c r="Q245" s="372"/>
      <c r="R245" s="1128"/>
      <c r="S245" s="524">
        <v>4000000</v>
      </c>
      <c r="T245" s="466" t="s">
        <v>2824</v>
      </c>
      <c r="U245" s="2357"/>
      <c r="V245" s="366">
        <v>1</v>
      </c>
      <c r="W245" s="466" t="s">
        <v>2826</v>
      </c>
      <c r="X245" s="525" t="s">
        <v>2827</v>
      </c>
      <c r="Y245" s="1674">
        <f>SUM(S245*V245)/1000</f>
        <v>4000</v>
      </c>
      <c r="Z245" s="759"/>
      <c r="AA245" s="759"/>
      <c r="AB245" s="275"/>
      <c r="AC245" s="759"/>
      <c r="AD245" s="759"/>
    </row>
    <row r="246" spans="1:30" s="760" customFormat="1" ht="21.95" customHeight="1">
      <c r="A246" s="2074"/>
      <c r="B246" s="2075"/>
      <c r="C246" s="2357"/>
      <c r="D246" s="1126"/>
      <c r="E246" s="1154" t="s">
        <v>300</v>
      </c>
      <c r="F246" s="1141">
        <f t="shared" si="49"/>
        <v>4000</v>
      </c>
      <c r="G246" s="1141">
        <v>4000</v>
      </c>
      <c r="H246" s="523"/>
      <c r="I246" s="473"/>
      <c r="J246" s="2353" t="s">
        <v>2846</v>
      </c>
      <c r="K246" s="2350"/>
      <c r="L246" s="2350"/>
      <c r="M246" s="2350"/>
      <c r="N246" s="2350"/>
      <c r="O246" s="2350"/>
      <c r="P246" s="2350"/>
      <c r="Q246" s="372"/>
      <c r="R246" s="1128"/>
      <c r="S246" s="524">
        <v>500000</v>
      </c>
      <c r="T246" s="466" t="s">
        <v>2824</v>
      </c>
      <c r="U246" s="2357"/>
      <c r="V246" s="366">
        <v>8</v>
      </c>
      <c r="W246" s="466" t="s">
        <v>2814</v>
      </c>
      <c r="X246" s="525" t="s">
        <v>2827</v>
      </c>
      <c r="Y246" s="1674">
        <f>SUM(S246*V246)/1000</f>
        <v>4000</v>
      </c>
      <c r="Z246" s="759"/>
      <c r="AA246" s="759"/>
      <c r="AB246" s="275"/>
      <c r="AC246" s="759"/>
      <c r="AD246" s="759"/>
    </row>
    <row r="247" spans="1:30" s="760" customFormat="1" ht="21.95" customHeight="1">
      <c r="A247" s="2074"/>
      <c r="B247" s="2075"/>
      <c r="C247" s="2357"/>
      <c r="D247" s="1126"/>
      <c r="E247" s="2357" t="s">
        <v>462</v>
      </c>
      <c r="F247" s="1141">
        <f t="shared" si="49"/>
        <v>4000</v>
      </c>
      <c r="G247" s="1141">
        <v>4000</v>
      </c>
      <c r="H247" s="523"/>
      <c r="I247" s="473"/>
      <c r="J247" s="2353" t="s">
        <v>2833</v>
      </c>
      <c r="K247" s="2350"/>
      <c r="L247" s="2350"/>
      <c r="M247" s="2350"/>
      <c r="N247" s="2350"/>
      <c r="O247" s="372">
        <v>2</v>
      </c>
      <c r="P247" s="1128" t="s">
        <v>2806</v>
      </c>
      <c r="Q247" s="1128">
        <v>5.556</v>
      </c>
      <c r="R247" s="2049" t="s">
        <v>2805</v>
      </c>
      <c r="S247" s="2360">
        <v>30000</v>
      </c>
      <c r="T247" s="2357" t="s">
        <v>2824</v>
      </c>
      <c r="U247" s="2357"/>
      <c r="V247" s="366">
        <v>11.999040076793856</v>
      </c>
      <c r="W247" s="2357" t="s">
        <v>2845</v>
      </c>
      <c r="X247" s="525" t="s">
        <v>1</v>
      </c>
      <c r="Y247" s="1674">
        <f>+V247*S247*Q247*O247/1000</f>
        <v>4000</v>
      </c>
      <c r="Z247" s="759"/>
      <c r="AA247" s="759"/>
      <c r="AB247" s="275"/>
      <c r="AC247" s="759"/>
      <c r="AD247" s="759"/>
    </row>
    <row r="248" spans="1:30" s="760" customFormat="1" ht="21.95" customHeight="1">
      <c r="A248" s="2074"/>
      <c r="B248" s="2075"/>
      <c r="C248" s="2278"/>
      <c r="D248" s="1126"/>
      <c r="E248" s="2357" t="s">
        <v>223</v>
      </c>
      <c r="F248" s="1141">
        <f t="shared" ref="F248" si="50">Y248</f>
        <v>6000</v>
      </c>
      <c r="G248" s="1141">
        <v>6000</v>
      </c>
      <c r="H248" s="523"/>
      <c r="I248" s="473"/>
      <c r="J248" s="2353" t="s">
        <v>2847</v>
      </c>
      <c r="K248" s="2350"/>
      <c r="L248" s="2350"/>
      <c r="M248" s="2350"/>
      <c r="N248" s="2350"/>
      <c r="O248" s="372"/>
      <c r="P248" s="1128"/>
      <c r="Q248" s="1128"/>
      <c r="R248" s="2049"/>
      <c r="S248" s="2360">
        <v>500000</v>
      </c>
      <c r="T248" s="2357" t="s">
        <v>2824</v>
      </c>
      <c r="U248" s="2357"/>
      <c r="V248" s="366">
        <v>12</v>
      </c>
      <c r="W248" s="466" t="s">
        <v>2845</v>
      </c>
      <c r="X248" s="525" t="s">
        <v>1</v>
      </c>
      <c r="Y248" s="1674">
        <f t="shared" ref="Y248" si="51">S248*V248/1000</f>
        <v>6000</v>
      </c>
      <c r="Z248" s="759"/>
      <c r="AA248" s="759"/>
      <c r="AB248" s="275"/>
      <c r="AC248" s="759"/>
      <c r="AD248" s="759"/>
    </row>
    <row r="249" spans="1:30" s="760" customFormat="1" ht="21.95" customHeight="1">
      <c r="A249" s="2074"/>
      <c r="B249" s="2075"/>
      <c r="C249" s="2278"/>
      <c r="D249" s="2077"/>
      <c r="E249" s="1154" t="s">
        <v>67</v>
      </c>
      <c r="F249" s="1141">
        <f t="shared" si="49"/>
        <v>2000</v>
      </c>
      <c r="G249" s="1141">
        <v>2000</v>
      </c>
      <c r="H249" s="523"/>
      <c r="I249" s="473"/>
      <c r="J249" s="2353" t="s">
        <v>2848</v>
      </c>
      <c r="K249" s="2350"/>
      <c r="L249" s="2350"/>
      <c r="M249" s="2350"/>
      <c r="N249" s="2350"/>
      <c r="O249" s="2350"/>
      <c r="P249" s="2350"/>
      <c r="Q249" s="372"/>
      <c r="R249" s="1128"/>
      <c r="S249" s="524">
        <v>1000000</v>
      </c>
      <c r="T249" s="466" t="s">
        <v>2824</v>
      </c>
      <c r="U249" s="2357"/>
      <c r="V249" s="366">
        <v>2</v>
      </c>
      <c r="W249" s="466" t="s">
        <v>2834</v>
      </c>
      <c r="X249" s="525" t="s">
        <v>2827</v>
      </c>
      <c r="Y249" s="1674">
        <f>(S249*V249)/1000</f>
        <v>2000</v>
      </c>
      <c r="Z249" s="759"/>
      <c r="AA249" s="759"/>
      <c r="AB249" s="275"/>
      <c r="AC249" s="759"/>
      <c r="AD249" s="759"/>
    </row>
    <row r="250" spans="1:30" s="760" customFormat="1" ht="21.95" customHeight="1">
      <c r="A250" s="2074"/>
      <c r="B250" s="2075"/>
      <c r="C250" s="2278"/>
      <c r="D250" s="3266" t="s">
        <v>598</v>
      </c>
      <c r="E250" s="3267"/>
      <c r="F250" s="1153">
        <f>SUM(F251:F267)</f>
        <v>35000</v>
      </c>
      <c r="G250" s="1153">
        <f>SUM(G251:G267)</f>
        <v>35000</v>
      </c>
      <c r="H250" s="1132">
        <f>F250-G250</f>
        <v>0</v>
      </c>
      <c r="I250" s="473"/>
      <c r="J250" s="501"/>
      <c r="K250" s="2276"/>
      <c r="L250" s="2276"/>
      <c r="M250" s="2276"/>
      <c r="N250" s="2276"/>
      <c r="O250" s="2276"/>
      <c r="P250" s="2276"/>
      <c r="Q250" s="485"/>
      <c r="R250" s="484"/>
      <c r="S250" s="520"/>
      <c r="T250" s="2276"/>
      <c r="U250" s="2276"/>
      <c r="V250" s="521"/>
      <c r="W250" s="2276"/>
      <c r="X250" s="375"/>
      <c r="Y250" s="432"/>
      <c r="Z250" s="759"/>
      <c r="AA250" s="759"/>
      <c r="AB250" s="275"/>
      <c r="AC250" s="759"/>
      <c r="AD250" s="759"/>
    </row>
    <row r="251" spans="1:30" s="760" customFormat="1" ht="21.95" customHeight="1">
      <c r="A251" s="2074"/>
      <c r="B251" s="2075"/>
      <c r="C251" s="2278"/>
      <c r="D251" s="1154"/>
      <c r="E251" s="1154" t="s">
        <v>604</v>
      </c>
      <c r="F251" s="1141">
        <f>SUM(Y251)</f>
        <v>27500</v>
      </c>
      <c r="G251" s="1141">
        <v>27500</v>
      </c>
      <c r="H251" s="523"/>
      <c r="I251" s="473"/>
      <c r="J251" s="2274" t="s">
        <v>2711</v>
      </c>
      <c r="K251" s="2266"/>
      <c r="L251" s="2266"/>
      <c r="M251" s="2266"/>
      <c r="N251" s="2266"/>
      <c r="O251" s="2266"/>
      <c r="P251" s="2266"/>
      <c r="Q251" s="372">
        <v>1</v>
      </c>
      <c r="R251" s="1128" t="s">
        <v>464</v>
      </c>
      <c r="S251" s="524">
        <v>2500000</v>
      </c>
      <c r="T251" s="466" t="s">
        <v>592</v>
      </c>
      <c r="U251" s="2278"/>
      <c r="V251" s="366">
        <v>11</v>
      </c>
      <c r="W251" s="466" t="s">
        <v>198</v>
      </c>
      <c r="X251" s="525" t="s">
        <v>706</v>
      </c>
      <c r="Y251" s="1674">
        <f>Q251*S251*V251/1000</f>
        <v>27500</v>
      </c>
      <c r="Z251" s="759"/>
      <c r="AA251" s="759"/>
      <c r="AB251" s="275"/>
      <c r="AC251" s="759"/>
      <c r="AD251" s="759"/>
    </row>
    <row r="252" spans="1:30" s="760" customFormat="1" ht="21.95" customHeight="1">
      <c r="A252" s="2074"/>
      <c r="B252" s="2075"/>
      <c r="C252" s="2278"/>
      <c r="D252" s="1154"/>
      <c r="E252" s="1154" t="s">
        <v>199</v>
      </c>
      <c r="F252" s="1141">
        <f>SUM(Y252)</f>
        <v>1000</v>
      </c>
      <c r="G252" s="1141">
        <v>1000</v>
      </c>
      <c r="H252" s="523"/>
      <c r="I252" s="473"/>
      <c r="J252" s="348" t="s">
        <v>1205</v>
      </c>
      <c r="K252" s="2278"/>
      <c r="L252" s="2278"/>
      <c r="M252" s="2278"/>
      <c r="N252" s="2278"/>
      <c r="O252" s="2278"/>
      <c r="P252" s="2278"/>
      <c r="Q252" s="372">
        <v>1</v>
      </c>
      <c r="R252" s="1128" t="s">
        <v>7</v>
      </c>
      <c r="S252" s="524">
        <v>1000000</v>
      </c>
      <c r="T252" s="466" t="s">
        <v>0</v>
      </c>
      <c r="U252" s="2278"/>
      <c r="V252" s="366">
        <v>1</v>
      </c>
      <c r="W252" s="466" t="s">
        <v>196</v>
      </c>
      <c r="X252" s="525" t="s">
        <v>1</v>
      </c>
      <c r="Y252" s="1674">
        <f>Q252*S252*V252/1000</f>
        <v>1000</v>
      </c>
      <c r="Z252" s="759"/>
      <c r="AA252" s="759"/>
      <c r="AB252" s="275"/>
      <c r="AC252" s="759"/>
      <c r="AD252" s="759"/>
    </row>
    <row r="253" spans="1:30" s="760" customFormat="1" ht="21.95" customHeight="1">
      <c r="A253" s="2074"/>
      <c r="B253" s="2075"/>
      <c r="C253" s="2278"/>
      <c r="D253" s="1154"/>
      <c r="E253" s="1154" t="s">
        <v>2683</v>
      </c>
      <c r="F253" s="1141">
        <f>Y253</f>
        <v>1100</v>
      </c>
      <c r="G253" s="1141">
        <v>1100</v>
      </c>
      <c r="H253" s="523"/>
      <c r="I253" s="473"/>
      <c r="J253" s="2265" t="s">
        <v>194</v>
      </c>
      <c r="K253" s="2266"/>
      <c r="L253" s="2266"/>
      <c r="M253" s="2266"/>
      <c r="N253" s="2266"/>
      <c r="O253" s="2266"/>
      <c r="P253" s="2266"/>
      <c r="Q253" s="372"/>
      <c r="R253" s="1128"/>
      <c r="S253" s="524"/>
      <c r="T253" s="466"/>
      <c r="U253" s="2278"/>
      <c r="V253" s="366"/>
      <c r="W253" s="466"/>
      <c r="X253" s="525"/>
      <c r="Y253" s="1674">
        <f>SUM(Y254:Y255)</f>
        <v>1100</v>
      </c>
      <c r="Z253" s="759"/>
      <c r="AA253" s="759"/>
      <c r="AB253" s="275"/>
      <c r="AC253" s="759"/>
      <c r="AD253" s="759"/>
    </row>
    <row r="254" spans="1:30" s="760" customFormat="1" ht="21.95" customHeight="1">
      <c r="A254" s="2074"/>
      <c r="B254" s="2075"/>
      <c r="C254" s="2278"/>
      <c r="D254" s="1154"/>
      <c r="E254" s="1154"/>
      <c r="F254" s="1141"/>
      <c r="G254" s="1141"/>
      <c r="H254" s="523"/>
      <c r="I254" s="473"/>
      <c r="J254" s="2274" t="s">
        <v>2712</v>
      </c>
      <c r="K254" s="2275"/>
      <c r="L254" s="2275"/>
      <c r="M254" s="2266"/>
      <c r="N254" s="2266"/>
      <c r="O254" s="2266"/>
      <c r="P254" s="2266"/>
      <c r="Q254" s="372"/>
      <c r="R254" s="1128"/>
      <c r="S254" s="524">
        <v>200000</v>
      </c>
      <c r="T254" s="466" t="s">
        <v>592</v>
      </c>
      <c r="U254" s="2278"/>
      <c r="V254" s="366">
        <v>4</v>
      </c>
      <c r="W254" s="466" t="s">
        <v>217</v>
      </c>
      <c r="X254" s="525" t="s">
        <v>706</v>
      </c>
      <c r="Y254" s="1674">
        <f>SUM(S254*V254/1000)</f>
        <v>800</v>
      </c>
      <c r="Z254" s="759"/>
      <c r="AA254" s="759"/>
      <c r="AB254" s="275"/>
      <c r="AC254" s="759"/>
      <c r="AD254" s="759"/>
    </row>
    <row r="255" spans="1:30" s="760" customFormat="1" ht="21.95" customHeight="1">
      <c r="A255" s="2074"/>
      <c r="B255" s="2075"/>
      <c r="C255" s="2278"/>
      <c r="D255" s="1154"/>
      <c r="E255" s="1154"/>
      <c r="F255" s="1141"/>
      <c r="G255" s="1141"/>
      <c r="H255" s="523"/>
      <c r="I255" s="473"/>
      <c r="J255" s="2274" t="s">
        <v>2713</v>
      </c>
      <c r="K255" s="2275"/>
      <c r="L255" s="2275"/>
      <c r="M255" s="2266"/>
      <c r="N255" s="2266"/>
      <c r="O255" s="2266"/>
      <c r="P255" s="2266"/>
      <c r="Q255" s="372"/>
      <c r="R255" s="1128"/>
      <c r="S255" s="524">
        <v>100000</v>
      </c>
      <c r="T255" s="466" t="s">
        <v>592</v>
      </c>
      <c r="U255" s="2278"/>
      <c r="V255" s="366">
        <v>3</v>
      </c>
      <c r="W255" s="466" t="s">
        <v>217</v>
      </c>
      <c r="X255" s="525" t="s">
        <v>706</v>
      </c>
      <c r="Y255" s="1674">
        <f>S255*V255/1000</f>
        <v>300</v>
      </c>
      <c r="Z255" s="759"/>
      <c r="AA255" s="759"/>
      <c r="AB255" s="275"/>
      <c r="AC255" s="759"/>
      <c r="AD255" s="759"/>
    </row>
    <row r="256" spans="1:30" s="760" customFormat="1" ht="21.95" customHeight="1">
      <c r="A256" s="2074"/>
      <c r="B256" s="2075"/>
      <c r="C256" s="2278"/>
      <c r="D256" s="1154"/>
      <c r="E256" s="1126" t="s">
        <v>195</v>
      </c>
      <c r="F256" s="1141">
        <f>Y256</f>
        <v>1000</v>
      </c>
      <c r="G256" s="1141">
        <v>1000</v>
      </c>
      <c r="H256" s="523"/>
      <c r="I256" s="473"/>
      <c r="J256" s="2274" t="s">
        <v>2714</v>
      </c>
      <c r="K256" s="2266"/>
      <c r="L256" s="2266"/>
      <c r="M256" s="2266"/>
      <c r="N256" s="2266"/>
      <c r="O256" s="2266"/>
      <c r="P256" s="2266"/>
      <c r="Q256" s="372">
        <v>1</v>
      </c>
      <c r="R256" s="1128" t="s">
        <v>464</v>
      </c>
      <c r="S256" s="524">
        <v>20000</v>
      </c>
      <c r="T256" s="466" t="s">
        <v>592</v>
      </c>
      <c r="U256" s="2278"/>
      <c r="V256" s="366">
        <v>50</v>
      </c>
      <c r="W256" s="466" t="s">
        <v>460</v>
      </c>
      <c r="X256" s="525" t="s">
        <v>706</v>
      </c>
      <c r="Y256" s="1674">
        <f>Q256*S256*V256/1000</f>
        <v>1000</v>
      </c>
      <c r="Z256" s="759"/>
      <c r="AA256" s="759"/>
      <c r="AB256" s="275"/>
      <c r="AC256" s="759"/>
      <c r="AD256" s="759"/>
    </row>
    <row r="257" spans="1:30" s="760" customFormat="1" ht="21.95" customHeight="1">
      <c r="A257" s="2074"/>
      <c r="B257" s="2075"/>
      <c r="C257" s="2278"/>
      <c r="D257" s="1154"/>
      <c r="E257" s="1154" t="s">
        <v>219</v>
      </c>
      <c r="F257" s="1141">
        <f>Y257</f>
        <v>100</v>
      </c>
      <c r="G257" s="1141">
        <v>100</v>
      </c>
      <c r="H257" s="523"/>
      <c r="I257" s="473"/>
      <c r="J257" s="2659" t="s">
        <v>4640</v>
      </c>
      <c r="K257" s="2266"/>
      <c r="L257" s="2266"/>
      <c r="M257" s="2266"/>
      <c r="N257" s="2266"/>
      <c r="O257" s="2266"/>
      <c r="P257" s="2266"/>
      <c r="Q257" s="372"/>
      <c r="R257" s="1128"/>
      <c r="S257" s="524">
        <v>20000</v>
      </c>
      <c r="T257" s="466" t="s">
        <v>0</v>
      </c>
      <c r="U257" s="2278"/>
      <c r="V257" s="366">
        <v>5</v>
      </c>
      <c r="W257" s="466" t="s">
        <v>63</v>
      </c>
      <c r="X257" s="525" t="s">
        <v>1</v>
      </c>
      <c r="Y257" s="1674">
        <f t="shared" ref="Y257" si="52">S257*V257/1000</f>
        <v>100</v>
      </c>
      <c r="Z257" s="759"/>
      <c r="AA257" s="759"/>
      <c r="AB257" s="275"/>
      <c r="AC257" s="759"/>
      <c r="AD257" s="759"/>
    </row>
    <row r="258" spans="1:30" s="760" customFormat="1" ht="24" customHeight="1">
      <c r="A258" s="2074"/>
      <c r="B258" s="2075"/>
      <c r="C258" s="2278"/>
      <c r="D258" s="1154"/>
      <c r="E258" s="1154" t="s">
        <v>571</v>
      </c>
      <c r="F258" s="1141">
        <f>Y258</f>
        <v>2250</v>
      </c>
      <c r="G258" s="1141">
        <v>2250</v>
      </c>
      <c r="H258" s="523"/>
      <c r="I258" s="473"/>
      <c r="J258" s="2265" t="s">
        <v>194</v>
      </c>
      <c r="K258" s="2266"/>
      <c r="L258" s="2266"/>
      <c r="M258" s="2266"/>
      <c r="N258" s="2266"/>
      <c r="O258" s="2266"/>
      <c r="P258" s="2266"/>
      <c r="Q258" s="372"/>
      <c r="R258" s="1128"/>
      <c r="S258" s="524"/>
      <c r="T258" s="466"/>
      <c r="U258" s="2278"/>
      <c r="V258" s="366"/>
      <c r="W258" s="466"/>
      <c r="X258" s="525"/>
      <c r="Y258" s="1674">
        <f>SUM(Y259:Y261)</f>
        <v>2250</v>
      </c>
      <c r="Z258" s="759"/>
      <c r="AA258" s="759"/>
      <c r="AB258" s="275"/>
      <c r="AC258" s="759"/>
      <c r="AD258" s="759"/>
    </row>
    <row r="259" spans="1:30" s="760" customFormat="1" ht="24" customHeight="1">
      <c r="A259" s="2074"/>
      <c r="B259" s="2075"/>
      <c r="C259" s="2278"/>
      <c r="D259" s="1154"/>
      <c r="E259" s="1154"/>
      <c r="F259" s="1141"/>
      <c r="G259" s="1141"/>
      <c r="H259" s="523"/>
      <c r="I259" s="473"/>
      <c r="J259" s="2274" t="s">
        <v>126</v>
      </c>
      <c r="K259" s="2275"/>
      <c r="L259" s="2275"/>
      <c r="M259" s="2266"/>
      <c r="N259" s="2266"/>
      <c r="O259" s="2266"/>
      <c r="P259" s="2266"/>
      <c r="Q259" s="372">
        <v>1</v>
      </c>
      <c r="R259" s="1128" t="s">
        <v>23</v>
      </c>
      <c r="S259" s="524">
        <v>72000</v>
      </c>
      <c r="T259" s="466" t="s">
        <v>0</v>
      </c>
      <c r="U259" s="2278"/>
      <c r="V259" s="366">
        <v>5</v>
      </c>
      <c r="W259" s="466" t="s">
        <v>60</v>
      </c>
      <c r="X259" s="525" t="s">
        <v>1</v>
      </c>
      <c r="Y259" s="1674">
        <f>SUM(Q259*S259*V259/1000)</f>
        <v>360</v>
      </c>
      <c r="Z259" s="759"/>
      <c r="AA259" s="759"/>
      <c r="AB259" s="275"/>
      <c r="AC259" s="759"/>
      <c r="AD259" s="759"/>
    </row>
    <row r="260" spans="1:30" s="760" customFormat="1" ht="24" customHeight="1">
      <c r="A260" s="2074"/>
      <c r="B260" s="2075"/>
      <c r="C260" s="2278"/>
      <c r="D260" s="1154"/>
      <c r="E260" s="1154"/>
      <c r="F260" s="1141"/>
      <c r="G260" s="1141"/>
      <c r="H260" s="523"/>
      <c r="I260" s="473"/>
      <c r="J260" s="2934" t="s">
        <v>6100</v>
      </c>
      <c r="K260" s="2275"/>
      <c r="L260" s="2275"/>
      <c r="M260" s="2266"/>
      <c r="N260" s="2266"/>
      <c r="O260" s="2266"/>
      <c r="P260" s="2266"/>
      <c r="Q260" s="372">
        <v>1</v>
      </c>
      <c r="R260" s="1128" t="s">
        <v>23</v>
      </c>
      <c r="S260" s="524">
        <v>70000</v>
      </c>
      <c r="T260" s="466" t="s">
        <v>0</v>
      </c>
      <c r="U260" s="2278"/>
      <c r="V260" s="366">
        <v>8</v>
      </c>
      <c r="W260" s="466" t="s">
        <v>3</v>
      </c>
      <c r="X260" s="525" t="s">
        <v>1</v>
      </c>
      <c r="Y260" s="1674">
        <f>SUM(Q260*S260*V260/1000)</f>
        <v>560</v>
      </c>
      <c r="Z260" s="759"/>
      <c r="AA260" s="759"/>
      <c r="AB260" s="275"/>
      <c r="AC260" s="759"/>
      <c r="AD260" s="759"/>
    </row>
    <row r="261" spans="1:30" s="760" customFormat="1" ht="24" customHeight="1">
      <c r="A261" s="2074"/>
      <c r="B261" s="2075"/>
      <c r="C261" s="2278"/>
      <c r="D261" s="1154"/>
      <c r="E261" s="1154"/>
      <c r="F261" s="1141"/>
      <c r="G261" s="1141"/>
      <c r="H261" s="523"/>
      <c r="I261" s="473"/>
      <c r="J261" s="2274" t="s">
        <v>1207</v>
      </c>
      <c r="K261" s="2275"/>
      <c r="L261" s="2275"/>
      <c r="M261" s="2266"/>
      <c r="N261" s="2266"/>
      <c r="O261" s="2266"/>
      <c r="P261" s="2266"/>
      <c r="Q261" s="372">
        <v>1</v>
      </c>
      <c r="R261" s="1128" t="s">
        <v>23</v>
      </c>
      <c r="S261" s="524">
        <v>70000</v>
      </c>
      <c r="T261" s="466" t="s">
        <v>0</v>
      </c>
      <c r="U261" s="2278"/>
      <c r="V261" s="366">
        <v>19</v>
      </c>
      <c r="W261" s="466" t="s">
        <v>3</v>
      </c>
      <c r="X261" s="525" t="s">
        <v>1</v>
      </c>
      <c r="Y261" s="1674">
        <f>S261*V261/1000</f>
        <v>1330</v>
      </c>
      <c r="Z261" s="759"/>
      <c r="AA261" s="759"/>
      <c r="AB261" s="275"/>
      <c r="AC261" s="759"/>
      <c r="AD261" s="759"/>
    </row>
    <row r="262" spans="1:30" s="760" customFormat="1" ht="24" customHeight="1">
      <c r="A262" s="2074"/>
      <c r="B262" s="2075"/>
      <c r="C262" s="2278"/>
      <c r="D262" s="1154"/>
      <c r="E262" s="1154" t="s">
        <v>631</v>
      </c>
      <c r="F262" s="1141">
        <f>Y262</f>
        <v>1000</v>
      </c>
      <c r="G262" s="1141">
        <v>1000</v>
      </c>
      <c r="H262" s="523"/>
      <c r="I262" s="473"/>
      <c r="J262" s="2265" t="s">
        <v>1208</v>
      </c>
      <c r="K262" s="2266"/>
      <c r="L262" s="2266"/>
      <c r="M262" s="2266"/>
      <c r="N262" s="2266"/>
      <c r="O262" s="2266"/>
      <c r="P262" s="2266"/>
      <c r="Q262" s="372"/>
      <c r="R262" s="1128"/>
      <c r="S262" s="524">
        <v>1000000</v>
      </c>
      <c r="T262" s="466" t="s">
        <v>592</v>
      </c>
      <c r="U262" s="2278"/>
      <c r="V262" s="366">
        <v>1</v>
      </c>
      <c r="W262" s="466" t="s">
        <v>196</v>
      </c>
      <c r="X262" s="525" t="s">
        <v>706</v>
      </c>
      <c r="Y262" s="1674">
        <f>S262*V262/1000</f>
        <v>1000</v>
      </c>
      <c r="Z262" s="759"/>
      <c r="AA262" s="759"/>
      <c r="AB262" s="275"/>
      <c r="AC262" s="759"/>
      <c r="AD262" s="759"/>
    </row>
    <row r="263" spans="1:30" s="760" customFormat="1" ht="24" customHeight="1">
      <c r="A263" s="2074"/>
      <c r="B263" s="2075"/>
      <c r="C263" s="2278"/>
      <c r="D263" s="1154"/>
      <c r="E263" s="1154" t="s">
        <v>370</v>
      </c>
      <c r="F263" s="1141">
        <f>Y263</f>
        <v>100</v>
      </c>
      <c r="G263" s="1141">
        <v>100</v>
      </c>
      <c r="H263" s="523"/>
      <c r="I263" s="473"/>
      <c r="J263" s="2265" t="s">
        <v>2715</v>
      </c>
      <c r="K263" s="2266"/>
      <c r="L263" s="2266"/>
      <c r="M263" s="2266"/>
      <c r="N263" s="2266"/>
      <c r="O263" s="2266"/>
      <c r="P263" s="2266"/>
      <c r="Q263" s="372"/>
      <c r="R263" s="1128"/>
      <c r="S263" s="524">
        <v>1000</v>
      </c>
      <c r="T263" s="466" t="s">
        <v>592</v>
      </c>
      <c r="U263" s="2278"/>
      <c r="V263" s="524">
        <v>100</v>
      </c>
      <c r="W263" s="466" t="s">
        <v>459</v>
      </c>
      <c r="X263" s="525" t="s">
        <v>565</v>
      </c>
      <c r="Y263" s="1674">
        <f>S263*V263/1000</f>
        <v>100</v>
      </c>
      <c r="Z263" s="759"/>
      <c r="AA263" s="759"/>
      <c r="AB263" s="275"/>
      <c r="AC263" s="759"/>
      <c r="AD263" s="759"/>
    </row>
    <row r="264" spans="1:30" s="760" customFormat="1" ht="24" customHeight="1">
      <c r="A264" s="2074"/>
      <c r="B264" s="2075"/>
      <c r="C264" s="2278"/>
      <c r="D264" s="1154"/>
      <c r="E264" s="1154" t="s">
        <v>602</v>
      </c>
      <c r="F264" s="1141">
        <f>Y264</f>
        <v>850</v>
      </c>
      <c r="G264" s="1141">
        <v>850</v>
      </c>
      <c r="H264" s="523"/>
      <c r="I264" s="473"/>
      <c r="J264" s="2265" t="s">
        <v>194</v>
      </c>
      <c r="K264" s="2266"/>
      <c r="L264" s="2266"/>
      <c r="M264" s="2266"/>
      <c r="N264" s="2266"/>
      <c r="O264" s="2266"/>
      <c r="P264" s="2266"/>
      <c r="Q264" s="372"/>
      <c r="R264" s="1128"/>
      <c r="S264" s="524"/>
      <c r="T264" s="466"/>
      <c r="U264" s="2278"/>
      <c r="V264" s="366"/>
      <c r="W264" s="466"/>
      <c r="X264" s="525"/>
      <c r="Y264" s="1674">
        <f>SUM(Y265:Y266)</f>
        <v>850</v>
      </c>
      <c r="Z264" s="759"/>
      <c r="AA264" s="759"/>
      <c r="AB264" s="275"/>
      <c r="AC264" s="759"/>
      <c r="AD264" s="759"/>
    </row>
    <row r="265" spans="1:30" s="760" customFormat="1" ht="24" customHeight="1">
      <c r="A265" s="2074"/>
      <c r="B265" s="2075"/>
      <c r="C265" s="2278"/>
      <c r="D265" s="1154"/>
      <c r="E265" s="1154"/>
      <c r="F265" s="1141"/>
      <c r="G265" s="1141"/>
      <c r="H265" s="523"/>
      <c r="I265" s="473"/>
      <c r="J265" s="2265" t="s">
        <v>2716</v>
      </c>
      <c r="K265" s="2266"/>
      <c r="L265" s="2266"/>
      <c r="M265" s="2266"/>
      <c r="N265" s="2266"/>
      <c r="O265" s="2266"/>
      <c r="P265" s="2266"/>
      <c r="Q265" s="372"/>
      <c r="R265" s="1128"/>
      <c r="S265" s="524">
        <v>225000</v>
      </c>
      <c r="T265" s="466" t="s">
        <v>592</v>
      </c>
      <c r="U265" s="2278"/>
      <c r="V265" s="366">
        <v>2</v>
      </c>
      <c r="W265" s="466" t="s">
        <v>217</v>
      </c>
      <c r="X265" s="525" t="s">
        <v>706</v>
      </c>
      <c r="Y265" s="1674">
        <f>S265*V265/1000</f>
        <v>450</v>
      </c>
      <c r="Z265" s="759"/>
      <c r="AA265" s="759"/>
      <c r="AB265" s="275"/>
      <c r="AC265" s="759"/>
      <c r="AD265" s="759"/>
    </row>
    <row r="266" spans="1:30" s="760" customFormat="1" ht="24" customHeight="1">
      <c r="A266" s="2074"/>
      <c r="B266" s="2075"/>
      <c r="C266" s="2278"/>
      <c r="D266" s="1154"/>
      <c r="E266" s="1154"/>
      <c r="F266" s="1141"/>
      <c r="G266" s="1141"/>
      <c r="H266" s="523"/>
      <c r="I266" s="473"/>
      <c r="J266" s="2265" t="s">
        <v>1209</v>
      </c>
      <c r="K266" s="2266"/>
      <c r="L266" s="2266"/>
      <c r="M266" s="2266"/>
      <c r="N266" s="2266"/>
      <c r="O266" s="2266"/>
      <c r="P266" s="2266"/>
      <c r="Q266" s="372"/>
      <c r="R266" s="1128"/>
      <c r="S266" s="524">
        <v>200000</v>
      </c>
      <c r="T266" s="466" t="s">
        <v>354</v>
      </c>
      <c r="U266" s="2278"/>
      <c r="V266" s="366">
        <v>2</v>
      </c>
      <c r="W266" s="466" t="s">
        <v>460</v>
      </c>
      <c r="X266" s="525" t="s">
        <v>565</v>
      </c>
      <c r="Y266" s="1674">
        <f>(S266*V266)/1000</f>
        <v>400</v>
      </c>
      <c r="Z266" s="759"/>
      <c r="AA266" s="759"/>
      <c r="AB266" s="275"/>
      <c r="AC266" s="759"/>
      <c r="AD266" s="759"/>
    </row>
    <row r="267" spans="1:30" s="760" customFormat="1" ht="24" customHeight="1">
      <c r="A267" s="2074"/>
      <c r="B267" s="2075"/>
      <c r="C267" s="2278"/>
      <c r="D267" s="1154"/>
      <c r="E267" s="1154" t="s">
        <v>632</v>
      </c>
      <c r="F267" s="1141">
        <f>Y267</f>
        <v>100</v>
      </c>
      <c r="G267" s="1141">
        <v>100</v>
      </c>
      <c r="H267" s="523"/>
      <c r="I267" s="473"/>
      <c r="J267" s="2265" t="s">
        <v>2717</v>
      </c>
      <c r="K267" s="2266"/>
      <c r="L267" s="2266"/>
      <c r="M267" s="2266"/>
      <c r="N267" s="2266"/>
      <c r="O267" s="2266"/>
      <c r="P267" s="2266"/>
      <c r="Q267" s="372">
        <v>5</v>
      </c>
      <c r="R267" s="1128" t="s">
        <v>23</v>
      </c>
      <c r="S267" s="524">
        <v>10000</v>
      </c>
      <c r="T267" s="466" t="s">
        <v>592</v>
      </c>
      <c r="U267" s="2278"/>
      <c r="V267" s="524">
        <v>2</v>
      </c>
      <c r="W267" s="466" t="s">
        <v>460</v>
      </c>
      <c r="X267" s="525" t="s">
        <v>565</v>
      </c>
      <c r="Y267" s="1674">
        <f>SUM(Q267*S267*V267)/1000</f>
        <v>100</v>
      </c>
      <c r="Z267" s="759"/>
      <c r="AA267" s="759"/>
      <c r="AB267" s="275"/>
      <c r="AC267" s="759"/>
      <c r="AD267" s="759"/>
    </row>
    <row r="268" spans="1:30" s="760" customFormat="1" ht="24" customHeight="1">
      <c r="A268" s="348"/>
      <c r="B268" s="1126"/>
      <c r="C268" s="2278"/>
      <c r="D268" s="3266" t="s">
        <v>2718</v>
      </c>
      <c r="E268" s="3267"/>
      <c r="F268" s="1153">
        <f>SUM(F269:F280)</f>
        <v>30000</v>
      </c>
      <c r="G268" s="1153">
        <f>SUM(G269:G280)</f>
        <v>30000</v>
      </c>
      <c r="H268" s="2078">
        <f>SUM(H272:H280)</f>
        <v>0</v>
      </c>
      <c r="I268" s="473"/>
      <c r="J268" s="501"/>
      <c r="K268" s="2276"/>
      <c r="L268" s="2276"/>
      <c r="M268" s="2276"/>
      <c r="N268" s="2276"/>
      <c r="O268" s="2276"/>
      <c r="P268" s="2276"/>
      <c r="Q268" s="485"/>
      <c r="R268" s="484"/>
      <c r="S268" s="520"/>
      <c r="T268" s="2276"/>
      <c r="U268" s="2276"/>
      <c r="V268" s="521"/>
      <c r="W268" s="2276"/>
      <c r="X268" s="375"/>
      <c r="Y268" s="432"/>
      <c r="Z268" s="759"/>
      <c r="AA268" s="759"/>
      <c r="AB268" s="275"/>
      <c r="AC268" s="759"/>
      <c r="AD268" s="759"/>
    </row>
    <row r="269" spans="1:30" s="760" customFormat="1" ht="24" customHeight="1">
      <c r="A269" s="348"/>
      <c r="B269" s="1126"/>
      <c r="C269" s="2278"/>
      <c r="D269" s="1154"/>
      <c r="E269" s="1154" t="s">
        <v>199</v>
      </c>
      <c r="F269" s="1141">
        <f>+Y269</f>
        <v>3000</v>
      </c>
      <c r="G269" s="1141">
        <v>3000</v>
      </c>
      <c r="H269" s="1324"/>
      <c r="I269" s="473"/>
      <c r="J269" s="2265" t="s">
        <v>2719</v>
      </c>
      <c r="K269" s="2266"/>
      <c r="L269" s="2266"/>
      <c r="M269" s="2266"/>
      <c r="N269" s="2266"/>
      <c r="O269" s="2266"/>
      <c r="P269" s="2266"/>
      <c r="Q269" s="372"/>
      <c r="R269" s="1128"/>
      <c r="S269" s="524">
        <v>30000</v>
      </c>
      <c r="T269" s="466" t="s">
        <v>0</v>
      </c>
      <c r="U269" s="2278"/>
      <c r="V269" s="524">
        <v>100</v>
      </c>
      <c r="W269" s="466" t="s">
        <v>218</v>
      </c>
      <c r="X269" s="525" t="s">
        <v>1</v>
      </c>
      <c r="Y269" s="1674">
        <f>S269*V269/1000</f>
        <v>3000</v>
      </c>
      <c r="Z269" s="759"/>
      <c r="AA269" s="759"/>
      <c r="AB269" s="275"/>
      <c r="AC269" s="759"/>
      <c r="AD269" s="759"/>
    </row>
    <row r="270" spans="1:30" s="760" customFormat="1" ht="24" customHeight="1">
      <c r="A270" s="348"/>
      <c r="B270" s="1126"/>
      <c r="C270" s="2278"/>
      <c r="D270" s="1154"/>
      <c r="E270" s="1154" t="s">
        <v>590</v>
      </c>
      <c r="F270" s="1141">
        <v>200</v>
      </c>
      <c r="G270" s="1141">
        <v>200</v>
      </c>
      <c r="H270" s="1324"/>
      <c r="I270" s="473"/>
      <c r="J270" s="2274" t="s">
        <v>2720</v>
      </c>
      <c r="K270" s="2266"/>
      <c r="L270" s="2266"/>
      <c r="M270" s="2266"/>
      <c r="N270" s="2266"/>
      <c r="O270" s="2266"/>
      <c r="P270" s="2266"/>
      <c r="Q270" s="372">
        <v>17</v>
      </c>
      <c r="R270" s="1128" t="s">
        <v>464</v>
      </c>
      <c r="S270" s="524">
        <v>5000</v>
      </c>
      <c r="T270" s="466" t="s">
        <v>354</v>
      </c>
      <c r="U270" s="2278"/>
      <c r="V270" s="366">
        <v>2</v>
      </c>
      <c r="W270" s="466" t="s">
        <v>1158</v>
      </c>
      <c r="X270" s="525" t="s">
        <v>565</v>
      </c>
      <c r="Y270" s="1674">
        <v>170</v>
      </c>
      <c r="Z270" s="759"/>
      <c r="AA270" s="759"/>
      <c r="AB270" s="275"/>
      <c r="AC270" s="759"/>
      <c r="AD270" s="759"/>
    </row>
    <row r="271" spans="1:30" s="760" customFormat="1" ht="24" customHeight="1">
      <c r="A271" s="348"/>
      <c r="B271" s="1126"/>
      <c r="C271" s="2278"/>
      <c r="D271" s="1154"/>
      <c r="E271" s="1154"/>
      <c r="F271" s="1141"/>
      <c r="G271" s="1141"/>
      <c r="H271" s="523"/>
      <c r="I271" s="473"/>
      <c r="J271" s="2274" t="s">
        <v>2721</v>
      </c>
      <c r="K271" s="2266"/>
      <c r="L271" s="2266"/>
      <c r="M271" s="2266"/>
      <c r="N271" s="2266"/>
      <c r="O271" s="2266"/>
      <c r="P271" s="2266"/>
      <c r="Q271" s="372">
        <v>15</v>
      </c>
      <c r="R271" s="1128" t="s">
        <v>464</v>
      </c>
      <c r="S271" s="524">
        <v>2000</v>
      </c>
      <c r="T271" s="466" t="s">
        <v>354</v>
      </c>
      <c r="U271" s="2278"/>
      <c r="V271" s="366">
        <v>1</v>
      </c>
      <c r="W271" s="466" t="s">
        <v>1158</v>
      </c>
      <c r="X271" s="525" t="s">
        <v>1</v>
      </c>
      <c r="Y271" s="1674">
        <v>30</v>
      </c>
      <c r="Z271" s="759"/>
      <c r="AA271" s="759"/>
      <c r="AB271" s="275"/>
      <c r="AC271" s="759"/>
      <c r="AD271" s="759"/>
    </row>
    <row r="272" spans="1:30" s="760" customFormat="1" ht="24" customHeight="1">
      <c r="A272" s="348"/>
      <c r="B272" s="1126"/>
      <c r="C272" s="2278"/>
      <c r="D272" s="1154"/>
      <c r="E272" s="1154" t="s">
        <v>224</v>
      </c>
      <c r="F272" s="1141">
        <f>+Y272</f>
        <v>800</v>
      </c>
      <c r="G272" s="1141">
        <v>800</v>
      </c>
      <c r="H272" s="523"/>
      <c r="I272" s="473"/>
      <c r="J272" s="2265" t="s">
        <v>101</v>
      </c>
      <c r="K272" s="2266"/>
      <c r="L272" s="2266"/>
      <c r="M272" s="2266"/>
      <c r="N272" s="2266"/>
      <c r="O272" s="2266"/>
      <c r="P272" s="2266"/>
      <c r="Q272" s="372"/>
      <c r="R272" s="1128"/>
      <c r="S272" s="524">
        <v>100000</v>
      </c>
      <c r="T272" s="466" t="s">
        <v>0</v>
      </c>
      <c r="U272" s="2278"/>
      <c r="V272" s="524">
        <v>8</v>
      </c>
      <c r="W272" s="466" t="s">
        <v>3</v>
      </c>
      <c r="X272" s="525" t="s">
        <v>1</v>
      </c>
      <c r="Y272" s="1674">
        <f>S272*V272/1000</f>
        <v>800</v>
      </c>
      <c r="Z272" s="759"/>
      <c r="AA272" s="759"/>
      <c r="AB272" s="275"/>
      <c r="AC272" s="759"/>
      <c r="AD272" s="759"/>
    </row>
    <row r="273" spans="1:30" s="760" customFormat="1" ht="24" customHeight="1">
      <c r="A273" s="348"/>
      <c r="B273" s="1126"/>
      <c r="C273" s="2278"/>
      <c r="D273" s="1154"/>
      <c r="E273" s="1154" t="s">
        <v>571</v>
      </c>
      <c r="F273" s="1141">
        <f>+Y273</f>
        <v>13000</v>
      </c>
      <c r="G273" s="1141">
        <v>13000</v>
      </c>
      <c r="H273" s="1324"/>
      <c r="I273" s="473"/>
      <c r="J273" s="348" t="s">
        <v>8</v>
      </c>
      <c r="K273" s="2278"/>
      <c r="L273" s="2278"/>
      <c r="M273" s="2278"/>
      <c r="N273" s="2278"/>
      <c r="O273" s="2278"/>
      <c r="P273" s="2278"/>
      <c r="Q273" s="372"/>
      <c r="R273" s="1128"/>
      <c r="S273" s="524"/>
      <c r="T273" s="466"/>
      <c r="U273" s="2278"/>
      <c r="V273" s="366"/>
      <c r="W273" s="466"/>
      <c r="X273" s="525"/>
      <c r="Y273" s="1674">
        <f>Y274+Y275</f>
        <v>13000</v>
      </c>
      <c r="Z273" s="759"/>
      <c r="AA273" s="759"/>
      <c r="AB273" s="275"/>
      <c r="AC273" s="759"/>
      <c r="AD273" s="759"/>
    </row>
    <row r="274" spans="1:30" s="760" customFormat="1" ht="24" customHeight="1">
      <c r="A274" s="348"/>
      <c r="B274" s="1126"/>
      <c r="C274" s="2278"/>
      <c r="D274" s="1154"/>
      <c r="E274" s="1154"/>
      <c r="F274" s="1141"/>
      <c r="G274" s="1141"/>
      <c r="H274" s="523"/>
      <c r="I274" s="473"/>
      <c r="J274" s="348" t="s">
        <v>2722</v>
      </c>
      <c r="K274" s="2278"/>
      <c r="L274" s="2278"/>
      <c r="M274" s="2278"/>
      <c r="N274" s="2278"/>
      <c r="O274" s="2278"/>
      <c r="P274" s="2278"/>
      <c r="Q274" s="372">
        <v>6</v>
      </c>
      <c r="R274" s="1128" t="s">
        <v>23</v>
      </c>
      <c r="S274" s="524">
        <v>10000</v>
      </c>
      <c r="T274" s="466" t="s">
        <v>0</v>
      </c>
      <c r="U274" s="2278"/>
      <c r="V274" s="366">
        <v>150</v>
      </c>
      <c r="W274" s="466" t="s">
        <v>60</v>
      </c>
      <c r="X274" s="525" t="s">
        <v>1</v>
      </c>
      <c r="Y274" s="1674">
        <f>Q274*S274*V274/1000</f>
        <v>9000</v>
      </c>
      <c r="Z274" s="759"/>
      <c r="AA274" s="759"/>
      <c r="AB274" s="275"/>
      <c r="AC274" s="759"/>
      <c r="AD274" s="759"/>
    </row>
    <row r="275" spans="1:30" s="760" customFormat="1" ht="24" customHeight="1">
      <c r="A275" s="348"/>
      <c r="B275" s="1126"/>
      <c r="C275" s="2278"/>
      <c r="D275" s="1154"/>
      <c r="E275" s="1154"/>
      <c r="F275" s="1141"/>
      <c r="G275" s="1141"/>
      <c r="H275" s="523"/>
      <c r="I275" s="473"/>
      <c r="J275" s="2274" t="s">
        <v>1210</v>
      </c>
      <c r="K275" s="2266"/>
      <c r="L275" s="2266"/>
      <c r="M275" s="2266"/>
      <c r="N275" s="2266"/>
      <c r="O275" s="2266"/>
      <c r="P275" s="2266"/>
      <c r="Q275" s="372">
        <v>4</v>
      </c>
      <c r="R275" s="1128" t="s">
        <v>23</v>
      </c>
      <c r="S275" s="524">
        <v>250000</v>
      </c>
      <c r="T275" s="466" t="s">
        <v>0</v>
      </c>
      <c r="U275" s="2278"/>
      <c r="V275" s="366">
        <v>4</v>
      </c>
      <c r="W275" s="466" t="s">
        <v>460</v>
      </c>
      <c r="X275" s="525" t="s">
        <v>1</v>
      </c>
      <c r="Y275" s="1674">
        <f>Q275*S275*V275/1000</f>
        <v>4000</v>
      </c>
      <c r="Z275" s="759"/>
      <c r="AA275" s="759"/>
      <c r="AB275" s="275"/>
      <c r="AC275" s="759"/>
      <c r="AD275" s="759"/>
    </row>
    <row r="276" spans="1:30" s="760" customFormat="1" ht="24" customHeight="1">
      <c r="A276" s="348"/>
      <c r="B276" s="1126"/>
      <c r="C276" s="2278"/>
      <c r="D276" s="1154"/>
      <c r="E276" s="1154" t="s">
        <v>631</v>
      </c>
      <c r="F276" s="1141">
        <f t="shared" ref="F276:F280" si="53">+Y276</f>
        <v>5200</v>
      </c>
      <c r="G276" s="1141">
        <v>5200</v>
      </c>
      <c r="H276" s="1324"/>
      <c r="I276" s="473"/>
      <c r="J276" s="2265" t="s">
        <v>2723</v>
      </c>
      <c r="K276" s="2266"/>
      <c r="L276" s="2266"/>
      <c r="M276" s="2266"/>
      <c r="N276" s="2266"/>
      <c r="O276" s="2266"/>
      <c r="P276" s="2266"/>
      <c r="Q276" s="372"/>
      <c r="R276" s="1128"/>
      <c r="S276" s="524">
        <v>100000</v>
      </c>
      <c r="T276" s="466" t="s">
        <v>0</v>
      </c>
      <c r="U276" s="2278"/>
      <c r="V276" s="524">
        <v>52</v>
      </c>
      <c r="W276" s="466" t="s">
        <v>570</v>
      </c>
      <c r="X276" s="525" t="s">
        <v>1</v>
      </c>
      <c r="Y276" s="1674">
        <f t="shared" ref="Y276:Y278" si="54">S276*V276/1000</f>
        <v>5200</v>
      </c>
      <c r="Z276" s="759"/>
      <c r="AA276" s="759"/>
      <c r="AB276" s="275"/>
      <c r="AC276" s="759"/>
      <c r="AD276" s="759"/>
    </row>
    <row r="277" spans="1:30" s="760" customFormat="1" ht="24" customHeight="1">
      <c r="A277" s="348"/>
      <c r="B277" s="1126"/>
      <c r="C277" s="2278"/>
      <c r="D277" s="1154"/>
      <c r="E277" s="1154" t="s">
        <v>370</v>
      </c>
      <c r="F277" s="1141">
        <f>+Y277</f>
        <v>100</v>
      </c>
      <c r="G277" s="1141">
        <v>100</v>
      </c>
      <c r="H277" s="570"/>
      <c r="I277" s="473"/>
      <c r="J277" s="2265" t="s">
        <v>2724</v>
      </c>
      <c r="K277" s="2266"/>
      <c r="L277" s="2266"/>
      <c r="M277" s="2266"/>
      <c r="N277" s="2266"/>
      <c r="O277" s="2266"/>
      <c r="P277" s="2266"/>
      <c r="Q277" s="372"/>
      <c r="R277" s="1128"/>
      <c r="S277" s="524">
        <v>2000</v>
      </c>
      <c r="T277" s="466" t="s">
        <v>0</v>
      </c>
      <c r="U277" s="2278"/>
      <c r="V277" s="366">
        <v>50</v>
      </c>
      <c r="W277" s="466" t="s">
        <v>220</v>
      </c>
      <c r="X277" s="525" t="s">
        <v>1</v>
      </c>
      <c r="Y277" s="1674">
        <f t="shared" si="54"/>
        <v>100</v>
      </c>
      <c r="Z277" s="759"/>
      <c r="AA277" s="759"/>
      <c r="AB277" s="275"/>
      <c r="AC277" s="759"/>
      <c r="AD277" s="759"/>
    </row>
    <row r="278" spans="1:30" s="760" customFormat="1" ht="24" customHeight="1">
      <c r="A278" s="348"/>
      <c r="B278" s="1126"/>
      <c r="C278" s="2278"/>
      <c r="D278" s="1154"/>
      <c r="E278" s="1154" t="s">
        <v>574</v>
      </c>
      <c r="F278" s="1141">
        <f>+Y278</f>
        <v>5000</v>
      </c>
      <c r="G278" s="1141">
        <v>5000</v>
      </c>
      <c r="H278" s="1324"/>
      <c r="I278" s="473"/>
      <c r="J278" s="2274" t="s">
        <v>2725</v>
      </c>
      <c r="K278" s="2266"/>
      <c r="L278" s="2266"/>
      <c r="M278" s="2266"/>
      <c r="N278" s="2266"/>
      <c r="O278" s="2266"/>
      <c r="P278" s="2266"/>
      <c r="Q278" s="372"/>
      <c r="R278" s="1128"/>
      <c r="S278" s="524">
        <v>100000</v>
      </c>
      <c r="T278" s="466" t="s">
        <v>0</v>
      </c>
      <c r="U278" s="2278"/>
      <c r="V278" s="524">
        <v>50</v>
      </c>
      <c r="W278" s="466" t="s">
        <v>220</v>
      </c>
      <c r="X278" s="525" t="s">
        <v>1</v>
      </c>
      <c r="Y278" s="1674">
        <f t="shared" si="54"/>
        <v>5000</v>
      </c>
      <c r="Z278" s="759"/>
      <c r="AA278" s="759"/>
      <c r="AB278" s="275"/>
      <c r="AC278" s="759"/>
      <c r="AD278" s="759"/>
    </row>
    <row r="279" spans="1:30" s="760" customFormat="1" ht="24" customHeight="1">
      <c r="A279" s="348"/>
      <c r="B279" s="1126"/>
      <c r="C279" s="2278"/>
      <c r="D279" s="1154"/>
      <c r="E279" s="1154" t="s">
        <v>602</v>
      </c>
      <c r="F279" s="1141">
        <f t="shared" si="53"/>
        <v>2200</v>
      </c>
      <c r="G279" s="1141">
        <v>2200</v>
      </c>
      <c r="H279" s="1324"/>
      <c r="I279" s="473"/>
      <c r="J279" s="2274" t="s">
        <v>1211</v>
      </c>
      <c r="K279" s="2266"/>
      <c r="L279" s="2266"/>
      <c r="M279" s="2266"/>
      <c r="N279" s="2266"/>
      <c r="O279" s="2266"/>
      <c r="P279" s="2266"/>
      <c r="Q279" s="372"/>
      <c r="R279" s="1128"/>
      <c r="S279" s="524">
        <v>200000</v>
      </c>
      <c r="T279" s="466" t="s">
        <v>0</v>
      </c>
      <c r="U279" s="2278"/>
      <c r="V279" s="366">
        <v>11</v>
      </c>
      <c r="W279" s="466" t="s">
        <v>26</v>
      </c>
      <c r="X279" s="525" t="s">
        <v>1</v>
      </c>
      <c r="Y279" s="1674">
        <f>S279*V279/1000</f>
        <v>2200</v>
      </c>
      <c r="Z279" s="759"/>
      <c r="AA279" s="759"/>
      <c r="AB279" s="275"/>
      <c r="AC279" s="759"/>
      <c r="AD279" s="759"/>
    </row>
    <row r="280" spans="1:30" s="760" customFormat="1" ht="24" customHeight="1">
      <c r="A280" s="348"/>
      <c r="B280" s="1126"/>
      <c r="C280" s="2278"/>
      <c r="D280" s="1154"/>
      <c r="E280" s="2279" t="s">
        <v>632</v>
      </c>
      <c r="F280" s="527">
        <f t="shared" si="53"/>
        <v>500</v>
      </c>
      <c r="G280" s="527">
        <v>500</v>
      </c>
      <c r="H280" s="2079"/>
      <c r="I280" s="473"/>
      <c r="J280" s="2080" t="s">
        <v>1212</v>
      </c>
      <c r="K280" s="2073"/>
      <c r="L280" s="2073"/>
      <c r="M280" s="2073"/>
      <c r="N280" s="2073"/>
      <c r="O280" s="2073"/>
      <c r="P280" s="2073"/>
      <c r="Q280" s="528"/>
      <c r="R280" s="1130"/>
      <c r="S280" s="2044">
        <v>250000</v>
      </c>
      <c r="T280" s="529" t="s">
        <v>0</v>
      </c>
      <c r="U280" s="2285"/>
      <c r="V280" s="2044">
        <v>2</v>
      </c>
      <c r="W280" s="529" t="s">
        <v>3</v>
      </c>
      <c r="X280" s="2289" t="s">
        <v>1</v>
      </c>
      <c r="Y280" s="1674">
        <f>S280*V280/1000</f>
        <v>500</v>
      </c>
      <c r="Z280" s="759"/>
      <c r="AA280" s="759"/>
      <c r="AB280" s="275"/>
      <c r="AC280" s="759"/>
      <c r="AD280" s="759"/>
    </row>
    <row r="281" spans="1:30" s="760" customFormat="1" ht="24" customHeight="1">
      <c r="A281" s="2074"/>
      <c r="B281" s="2075"/>
      <c r="C281" s="770"/>
      <c r="D281" s="3266" t="s">
        <v>2822</v>
      </c>
      <c r="E281" s="3267"/>
      <c r="F281" s="1153">
        <f>SUM(F282:F291)</f>
        <v>15000</v>
      </c>
      <c r="G281" s="1153">
        <f>SUM(G282:G291)</f>
        <v>15000</v>
      </c>
      <c r="H281" s="1132">
        <f>F281-G281</f>
        <v>0</v>
      </c>
      <c r="I281" s="473"/>
      <c r="J281" s="501"/>
      <c r="K281" s="2276"/>
      <c r="L281" s="2276"/>
      <c r="M281" s="2276"/>
      <c r="N281" s="2276"/>
      <c r="O281" s="2276"/>
      <c r="P281" s="2276"/>
      <c r="Q281" s="485"/>
      <c r="R281" s="484"/>
      <c r="S281" s="520"/>
      <c r="T281" s="2276"/>
      <c r="U281" s="2276"/>
      <c r="V281" s="521"/>
      <c r="W281" s="2276"/>
      <c r="X281" s="375"/>
      <c r="Y281" s="432"/>
      <c r="Z281" s="759"/>
      <c r="AA281" s="759"/>
      <c r="AB281" s="275"/>
      <c r="AC281" s="759"/>
      <c r="AD281" s="759"/>
    </row>
    <row r="282" spans="1:30" s="760" customFormat="1" ht="24" customHeight="1">
      <c r="A282" s="2074"/>
      <c r="B282" s="2075"/>
      <c r="C282" s="2081"/>
      <c r="D282" s="1154"/>
      <c r="E282" s="1154" t="s">
        <v>199</v>
      </c>
      <c r="F282" s="1141">
        <f>Y282</f>
        <v>1000</v>
      </c>
      <c r="G282" s="1141">
        <v>1000</v>
      </c>
      <c r="H282" s="523"/>
      <c r="I282" s="473"/>
      <c r="J282" s="348" t="s">
        <v>2726</v>
      </c>
      <c r="K282" s="2278"/>
      <c r="L282" s="2278"/>
      <c r="M282" s="2278"/>
      <c r="N282" s="2278"/>
      <c r="O282" s="2278"/>
      <c r="P282" s="2278"/>
      <c r="Q282" s="372">
        <v>1</v>
      </c>
      <c r="R282" s="1128" t="s">
        <v>619</v>
      </c>
      <c r="S282" s="524">
        <v>1000</v>
      </c>
      <c r="T282" s="466" t="s">
        <v>592</v>
      </c>
      <c r="U282" s="2278"/>
      <c r="V282" s="366">
        <v>1000</v>
      </c>
      <c r="W282" s="466" t="s">
        <v>2727</v>
      </c>
      <c r="X282" s="525" t="s">
        <v>706</v>
      </c>
      <c r="Y282" s="1674">
        <f>Q282*S282*V282/1000</f>
        <v>1000</v>
      </c>
      <c r="Z282" s="759">
        <f>Q282*S282*V282</f>
        <v>1000000</v>
      </c>
      <c r="AA282" s="759"/>
      <c r="AB282" s="275"/>
      <c r="AC282" s="759"/>
      <c r="AD282" s="759"/>
    </row>
    <row r="283" spans="1:30" s="760" customFormat="1" ht="24" customHeight="1">
      <c r="A283" s="2074"/>
      <c r="B283" s="2075"/>
      <c r="C283" s="2081"/>
      <c r="D283" s="1154"/>
      <c r="E283" s="1154" t="s">
        <v>590</v>
      </c>
      <c r="F283" s="1141">
        <f>Y283</f>
        <v>200</v>
      </c>
      <c r="G283" s="1141">
        <v>200</v>
      </c>
      <c r="H283" s="523"/>
      <c r="I283" s="473"/>
      <c r="J283" s="348" t="s">
        <v>2728</v>
      </c>
      <c r="K283" s="2278"/>
      <c r="L283" s="1671"/>
      <c r="M283" s="1671"/>
      <c r="N283" s="1671"/>
      <c r="O283" s="1671"/>
      <c r="P283" s="1671"/>
      <c r="Q283" s="372"/>
      <c r="R283" s="1128"/>
      <c r="S283" s="524">
        <v>50000</v>
      </c>
      <c r="T283" s="2278" t="s">
        <v>354</v>
      </c>
      <c r="U283" s="2278"/>
      <c r="V283" s="366">
        <v>4</v>
      </c>
      <c r="W283" s="2278" t="s">
        <v>217</v>
      </c>
      <c r="X283" s="525" t="s">
        <v>706</v>
      </c>
      <c r="Y283" s="1674">
        <f t="shared" ref="Y283" si="55">S283*V283/1000</f>
        <v>200</v>
      </c>
      <c r="Z283" s="759"/>
      <c r="AA283" s="759"/>
      <c r="AB283" s="275"/>
      <c r="AC283" s="759"/>
      <c r="AD283" s="759"/>
    </row>
    <row r="284" spans="1:30" s="760" customFormat="1" ht="24" customHeight="1">
      <c r="A284" s="2074"/>
      <c r="B284" s="2075"/>
      <c r="C284" s="2081"/>
      <c r="D284" s="1154"/>
      <c r="E284" s="1154" t="s">
        <v>224</v>
      </c>
      <c r="F284" s="1141">
        <f>Y284</f>
        <v>1320</v>
      </c>
      <c r="G284" s="1141">
        <v>1320</v>
      </c>
      <c r="H284" s="523"/>
      <c r="I284" s="473"/>
      <c r="J284" s="348" t="s">
        <v>2729</v>
      </c>
      <c r="K284" s="2278"/>
      <c r="L284" s="2278"/>
      <c r="M284" s="2278"/>
      <c r="N284" s="2278"/>
      <c r="O284" s="2278"/>
      <c r="P284" s="2278"/>
      <c r="Q284" s="372"/>
      <c r="R284" s="1128"/>
      <c r="S284" s="524">
        <v>220000</v>
      </c>
      <c r="T284" s="466" t="s">
        <v>592</v>
      </c>
      <c r="U284" s="2278"/>
      <c r="V284" s="366">
        <v>6</v>
      </c>
      <c r="W284" s="466" t="s">
        <v>217</v>
      </c>
      <c r="X284" s="525" t="s">
        <v>706</v>
      </c>
      <c r="Y284" s="1674">
        <f>S284*V284/1000</f>
        <v>1320</v>
      </c>
      <c r="Z284" s="759"/>
      <c r="AA284" s="759"/>
      <c r="AB284" s="275"/>
      <c r="AC284" s="759"/>
      <c r="AD284" s="759"/>
    </row>
    <row r="285" spans="1:30" s="760" customFormat="1" ht="24" customHeight="1">
      <c r="A285" s="2074"/>
      <c r="B285" s="2075"/>
      <c r="C285" s="2081"/>
      <c r="D285" s="1154"/>
      <c r="E285" s="1154" t="s">
        <v>571</v>
      </c>
      <c r="F285" s="1141">
        <f>Y285</f>
        <v>4800</v>
      </c>
      <c r="G285" s="1141">
        <v>4800</v>
      </c>
      <c r="H285" s="523"/>
      <c r="I285" s="473"/>
      <c r="J285" s="348" t="s">
        <v>2699</v>
      </c>
      <c r="K285" s="2278"/>
      <c r="L285" s="2278"/>
      <c r="M285" s="2278"/>
      <c r="N285" s="2278"/>
      <c r="O285" s="2278"/>
      <c r="P285" s="2278"/>
      <c r="Q285" s="372"/>
      <c r="R285" s="1128"/>
      <c r="S285" s="524"/>
      <c r="T285" s="466"/>
      <c r="U285" s="2278"/>
      <c r="V285" s="366"/>
      <c r="W285" s="466"/>
      <c r="X285" s="525"/>
      <c r="Y285" s="1674">
        <f>SUM(Y286:Y287)</f>
        <v>4800</v>
      </c>
      <c r="Z285" s="759"/>
      <c r="AA285" s="759"/>
      <c r="AB285" s="275"/>
      <c r="AC285" s="759"/>
      <c r="AD285" s="759"/>
    </row>
    <row r="286" spans="1:30" s="760" customFormat="1" ht="24" customHeight="1">
      <c r="A286" s="2074"/>
      <c r="B286" s="2075"/>
      <c r="C286" s="2081"/>
      <c r="D286" s="1154"/>
      <c r="E286" s="1154"/>
      <c r="F286" s="1141"/>
      <c r="G286" s="1141"/>
      <c r="H286" s="523"/>
      <c r="I286" s="473"/>
      <c r="J286" s="348" t="s">
        <v>2730</v>
      </c>
      <c r="K286" s="2278"/>
      <c r="L286" s="2278"/>
      <c r="M286" s="2278"/>
      <c r="N286" s="2278"/>
      <c r="O286" s="2278"/>
      <c r="P286" s="2278"/>
      <c r="Q286" s="372">
        <v>1</v>
      </c>
      <c r="R286" s="1128" t="s">
        <v>464</v>
      </c>
      <c r="S286" s="524">
        <v>200000</v>
      </c>
      <c r="T286" s="466" t="s">
        <v>592</v>
      </c>
      <c r="U286" s="2278"/>
      <c r="V286" s="366">
        <v>16</v>
      </c>
      <c r="W286" s="466" t="s">
        <v>217</v>
      </c>
      <c r="X286" s="525" t="s">
        <v>706</v>
      </c>
      <c r="Y286" s="1674">
        <f>Q286*S286*V286/1000</f>
        <v>3200</v>
      </c>
      <c r="Z286" s="759"/>
      <c r="AA286" s="759"/>
      <c r="AB286" s="275"/>
      <c r="AC286" s="759"/>
      <c r="AD286" s="759"/>
    </row>
    <row r="287" spans="1:30" s="760" customFormat="1" ht="24" customHeight="1">
      <c r="A287" s="2074"/>
      <c r="B287" s="2075"/>
      <c r="C287" s="2081"/>
      <c r="D287" s="1154"/>
      <c r="E287" s="1154"/>
      <c r="F287" s="1141"/>
      <c r="G287" s="1141"/>
      <c r="H287" s="523"/>
      <c r="I287" s="473"/>
      <c r="J287" s="2274" t="s">
        <v>2731</v>
      </c>
      <c r="K287" s="2266"/>
      <c r="L287" s="2266"/>
      <c r="M287" s="2266"/>
      <c r="N287" s="2266"/>
      <c r="O287" s="2266"/>
      <c r="P287" s="2266"/>
      <c r="Q287" s="372">
        <v>1</v>
      </c>
      <c r="R287" s="1128" t="s">
        <v>464</v>
      </c>
      <c r="S287" s="524">
        <v>400000</v>
      </c>
      <c r="T287" s="466" t="s">
        <v>592</v>
      </c>
      <c r="U287" s="2278"/>
      <c r="V287" s="366">
        <v>4</v>
      </c>
      <c r="W287" s="466" t="s">
        <v>217</v>
      </c>
      <c r="X287" s="525" t="s">
        <v>706</v>
      </c>
      <c r="Y287" s="1674">
        <f>Q287*S287*V287/1000</f>
        <v>1600</v>
      </c>
      <c r="Z287" s="759"/>
      <c r="AA287" s="759"/>
      <c r="AB287" s="275"/>
      <c r="AC287" s="759"/>
      <c r="AD287" s="759"/>
    </row>
    <row r="288" spans="1:30" s="760" customFormat="1" ht="24" customHeight="1">
      <c r="A288" s="2074"/>
      <c r="B288" s="2075"/>
      <c r="C288" s="2081"/>
      <c r="D288" s="1154"/>
      <c r="E288" s="1154" t="s">
        <v>223</v>
      </c>
      <c r="F288" s="1141">
        <f>Y288</f>
        <v>2000</v>
      </c>
      <c r="G288" s="1141">
        <v>2000</v>
      </c>
      <c r="H288" s="523"/>
      <c r="I288" s="473"/>
      <c r="J288" s="2265" t="s">
        <v>1213</v>
      </c>
      <c r="K288" s="2266"/>
      <c r="L288" s="2266"/>
      <c r="M288" s="2266"/>
      <c r="N288" s="2266"/>
      <c r="O288" s="2266"/>
      <c r="P288" s="2266"/>
      <c r="Q288" s="372"/>
      <c r="R288" s="1128"/>
      <c r="S288" s="524">
        <v>500000</v>
      </c>
      <c r="T288" s="466" t="s">
        <v>592</v>
      </c>
      <c r="U288" s="2278"/>
      <c r="V288" s="366">
        <v>4</v>
      </c>
      <c r="W288" s="466" t="s">
        <v>217</v>
      </c>
      <c r="X288" s="525" t="s">
        <v>706</v>
      </c>
      <c r="Y288" s="1674">
        <f t="shared" ref="Y288:Y290" si="56">S288*V288/1000</f>
        <v>2000</v>
      </c>
      <c r="Z288" s="759"/>
      <c r="AA288" s="759"/>
      <c r="AB288" s="275"/>
      <c r="AC288" s="759"/>
      <c r="AD288" s="759"/>
    </row>
    <row r="289" spans="1:30" s="760" customFormat="1" ht="24" customHeight="1">
      <c r="A289" s="2074"/>
      <c r="B289" s="2075"/>
      <c r="C289" s="2081"/>
      <c r="D289" s="1154"/>
      <c r="E289" s="1154" t="s">
        <v>370</v>
      </c>
      <c r="F289" s="1141">
        <f>Y289</f>
        <v>200</v>
      </c>
      <c r="G289" s="1141">
        <v>200</v>
      </c>
      <c r="H289" s="523"/>
      <c r="I289" s="473"/>
      <c r="J289" s="2265" t="s">
        <v>701</v>
      </c>
      <c r="K289" s="2266"/>
      <c r="L289" s="2266"/>
      <c r="M289" s="2266"/>
      <c r="N289" s="2266"/>
      <c r="O289" s="2266"/>
      <c r="P289" s="2266"/>
      <c r="Q289" s="372"/>
      <c r="R289" s="1128"/>
      <c r="S289" s="524">
        <v>2000</v>
      </c>
      <c r="T289" s="466" t="s">
        <v>592</v>
      </c>
      <c r="U289" s="2278"/>
      <c r="V289" s="366">
        <v>100</v>
      </c>
      <c r="W289" s="466" t="s">
        <v>2732</v>
      </c>
      <c r="X289" s="525" t="s">
        <v>706</v>
      </c>
      <c r="Y289" s="1674">
        <f t="shared" si="56"/>
        <v>200</v>
      </c>
      <c r="Z289" s="759"/>
      <c r="AA289" s="759"/>
      <c r="AB289" s="275"/>
      <c r="AC289" s="759"/>
      <c r="AD289" s="759"/>
    </row>
    <row r="290" spans="1:30" s="760" customFormat="1" ht="24" customHeight="1">
      <c r="A290" s="2074"/>
      <c r="B290" s="2075"/>
      <c r="C290" s="2081"/>
      <c r="D290" s="1154"/>
      <c r="E290" s="1154" t="s">
        <v>602</v>
      </c>
      <c r="F290" s="1141">
        <f>Y290</f>
        <v>5280</v>
      </c>
      <c r="G290" s="1141">
        <v>5280</v>
      </c>
      <c r="H290" s="523"/>
      <c r="I290" s="473"/>
      <c r="J290" s="2265" t="s">
        <v>2733</v>
      </c>
      <c r="K290" s="2266"/>
      <c r="L290" s="2266"/>
      <c r="M290" s="2266"/>
      <c r="N290" s="2266"/>
      <c r="O290" s="2266"/>
      <c r="P290" s="2266"/>
      <c r="Q290" s="372"/>
      <c r="R290" s="1128"/>
      <c r="S290" s="524">
        <v>120000</v>
      </c>
      <c r="T290" s="466" t="s">
        <v>592</v>
      </c>
      <c r="U290" s="2278"/>
      <c r="V290" s="366">
        <v>44</v>
      </c>
      <c r="W290" s="466" t="s">
        <v>217</v>
      </c>
      <c r="X290" s="525" t="s">
        <v>706</v>
      </c>
      <c r="Y290" s="1674">
        <f t="shared" si="56"/>
        <v>5280</v>
      </c>
      <c r="Z290" s="759"/>
      <c r="AA290" s="759"/>
      <c r="AB290" s="275"/>
      <c r="AC290" s="759"/>
      <c r="AD290" s="759"/>
    </row>
    <row r="291" spans="1:30" s="760" customFormat="1" ht="24" customHeight="1">
      <c r="A291" s="2074"/>
      <c r="B291" s="2075"/>
      <c r="C291" s="2075"/>
      <c r="D291" s="1154"/>
      <c r="E291" s="1154" t="s">
        <v>632</v>
      </c>
      <c r="F291" s="1141">
        <f>Y291</f>
        <v>200</v>
      </c>
      <c r="G291" s="1141">
        <v>200</v>
      </c>
      <c r="H291" s="523"/>
      <c r="I291" s="473"/>
      <c r="J291" s="2265" t="s">
        <v>637</v>
      </c>
      <c r="K291" s="2266"/>
      <c r="L291" s="2266"/>
      <c r="M291" s="2266"/>
      <c r="N291" s="2266"/>
      <c r="O291" s="2266"/>
      <c r="P291" s="2266"/>
      <c r="Q291" s="372">
        <v>5</v>
      </c>
      <c r="R291" s="1128" t="s">
        <v>464</v>
      </c>
      <c r="S291" s="524">
        <v>10000</v>
      </c>
      <c r="T291" s="466" t="s">
        <v>592</v>
      </c>
      <c r="U291" s="2278"/>
      <c r="V291" s="366">
        <v>4</v>
      </c>
      <c r="W291" s="466" t="s">
        <v>217</v>
      </c>
      <c r="X291" s="525" t="s">
        <v>706</v>
      </c>
      <c r="Y291" s="1674">
        <f>SUM(Q291*S291*V291/1000)</f>
        <v>200</v>
      </c>
      <c r="Z291" s="759"/>
      <c r="AA291" s="759"/>
      <c r="AB291" s="275"/>
      <c r="AC291" s="759"/>
      <c r="AD291" s="759"/>
    </row>
    <row r="292" spans="1:30" s="760" customFormat="1" ht="24" customHeight="1">
      <c r="A292" s="2074"/>
      <c r="B292" s="2075"/>
      <c r="C292" s="770"/>
      <c r="D292" s="3266" t="s">
        <v>2734</v>
      </c>
      <c r="E292" s="3267"/>
      <c r="F292" s="1153">
        <f>SUM(F293:F305)</f>
        <v>15000</v>
      </c>
      <c r="G292" s="1153">
        <f>SUM(G293:G305)</f>
        <v>15000</v>
      </c>
      <c r="H292" s="1132">
        <f>F292-G292</f>
        <v>0</v>
      </c>
      <c r="I292" s="473"/>
      <c r="J292" s="501"/>
      <c r="K292" s="2276"/>
      <c r="L292" s="2276"/>
      <c r="M292" s="2276"/>
      <c r="N292" s="2276"/>
      <c r="O292" s="2276"/>
      <c r="P292" s="2276"/>
      <c r="Q292" s="485"/>
      <c r="R292" s="484"/>
      <c r="S292" s="520"/>
      <c r="T292" s="2276"/>
      <c r="U292" s="2276"/>
      <c r="V292" s="521"/>
      <c r="W292" s="2276"/>
      <c r="X292" s="375"/>
      <c r="Y292" s="463"/>
      <c r="Z292" s="759"/>
      <c r="AA292" s="759"/>
      <c r="AB292" s="275"/>
      <c r="AC292" s="759"/>
      <c r="AD292" s="759"/>
    </row>
    <row r="293" spans="1:30" s="760" customFormat="1" ht="24" customHeight="1">
      <c r="A293" s="2074"/>
      <c r="B293" s="2075"/>
      <c r="C293" s="770"/>
      <c r="D293" s="1154"/>
      <c r="E293" s="1154" t="s">
        <v>199</v>
      </c>
      <c r="F293" s="1141">
        <f>Y293</f>
        <v>2000</v>
      </c>
      <c r="G293" s="1141">
        <v>2000</v>
      </c>
      <c r="H293" s="2045"/>
      <c r="I293" s="473"/>
      <c r="J293" s="348" t="s">
        <v>2735</v>
      </c>
      <c r="K293" s="2278"/>
      <c r="L293" s="2278"/>
      <c r="M293" s="2278"/>
      <c r="N293" s="2278"/>
      <c r="O293" s="2278"/>
      <c r="P293" s="2278"/>
      <c r="Q293" s="372">
        <v>1</v>
      </c>
      <c r="R293" s="1128" t="s">
        <v>7</v>
      </c>
      <c r="S293" s="524">
        <v>50000</v>
      </c>
      <c r="T293" s="466" t="s">
        <v>0</v>
      </c>
      <c r="U293" s="2278"/>
      <c r="V293" s="366">
        <v>40</v>
      </c>
      <c r="W293" s="466" t="s">
        <v>63</v>
      </c>
      <c r="X293" s="525" t="s">
        <v>1</v>
      </c>
      <c r="Y293" s="1674">
        <f>Q293*S293*V293/1000</f>
        <v>2000</v>
      </c>
      <c r="Z293" s="759"/>
      <c r="AA293" s="759"/>
      <c r="AB293" s="275"/>
      <c r="AC293" s="759"/>
      <c r="AD293" s="759"/>
    </row>
    <row r="294" spans="1:30" s="760" customFormat="1" ht="24" customHeight="1">
      <c r="A294" s="2074"/>
      <c r="B294" s="2075"/>
      <c r="C294" s="770"/>
      <c r="D294" s="1154"/>
      <c r="E294" s="1154" t="s">
        <v>195</v>
      </c>
      <c r="F294" s="1141">
        <f>Y294</f>
        <v>9000</v>
      </c>
      <c r="G294" s="1141">
        <v>9000</v>
      </c>
      <c r="H294" s="523"/>
      <c r="I294" s="473"/>
      <c r="J294" s="348" t="s">
        <v>700</v>
      </c>
      <c r="K294" s="2278"/>
      <c r="L294" s="2278"/>
      <c r="M294" s="2278"/>
      <c r="N294" s="2278"/>
      <c r="O294" s="2278"/>
      <c r="P294" s="2278"/>
      <c r="Q294" s="372"/>
      <c r="R294" s="1128"/>
      <c r="S294" s="524">
        <v>4500000</v>
      </c>
      <c r="T294" s="466" t="s">
        <v>0</v>
      </c>
      <c r="U294" s="2278"/>
      <c r="V294" s="366">
        <v>2</v>
      </c>
      <c r="W294" s="466" t="s">
        <v>220</v>
      </c>
      <c r="X294" s="525" t="s">
        <v>1</v>
      </c>
      <c r="Y294" s="1674">
        <f t="shared" ref="Y294:Y302" si="57">S294*V294/1000</f>
        <v>9000</v>
      </c>
      <c r="Z294" s="759"/>
      <c r="AA294" s="759"/>
      <c r="AB294" s="275"/>
      <c r="AC294" s="759"/>
      <c r="AD294" s="759"/>
    </row>
    <row r="295" spans="1:30" s="760" customFormat="1" ht="24.95" customHeight="1">
      <c r="A295" s="2074"/>
      <c r="B295" s="2075"/>
      <c r="C295" s="770"/>
      <c r="D295" s="1154"/>
      <c r="E295" s="1154" t="s">
        <v>571</v>
      </c>
      <c r="F295" s="1141">
        <f>Y295</f>
        <v>2000</v>
      </c>
      <c r="G295" s="1141">
        <v>2000</v>
      </c>
      <c r="H295" s="523"/>
      <c r="I295" s="473"/>
      <c r="J295" s="348" t="s">
        <v>194</v>
      </c>
      <c r="K295" s="2278"/>
      <c r="L295" s="2278"/>
      <c r="M295" s="2278"/>
      <c r="N295" s="2278"/>
      <c r="O295" s="2278"/>
      <c r="P295" s="2278"/>
      <c r="Q295" s="372"/>
      <c r="R295" s="1128"/>
      <c r="S295" s="524"/>
      <c r="T295" s="466"/>
      <c r="U295" s="2278"/>
      <c r="V295" s="366"/>
      <c r="W295" s="466"/>
      <c r="X295" s="525"/>
      <c r="Y295" s="1674">
        <f>SUM(Y296:Y298)</f>
        <v>2000</v>
      </c>
      <c r="Z295" s="759"/>
      <c r="AA295" s="759"/>
      <c r="AB295" s="275"/>
      <c r="AC295" s="759"/>
      <c r="AD295" s="759"/>
    </row>
    <row r="296" spans="1:30" s="760" customFormat="1" ht="24.95" customHeight="1">
      <c r="A296" s="2074"/>
      <c r="B296" s="2075"/>
      <c r="C296" s="770"/>
      <c r="D296" s="1154"/>
      <c r="E296" s="1154"/>
      <c r="F296" s="1141"/>
      <c r="G296" s="1141"/>
      <c r="H296" s="523"/>
      <c r="I296" s="473"/>
      <c r="J296" s="348" t="s">
        <v>127</v>
      </c>
      <c r="K296" s="2278"/>
      <c r="L296" s="2278"/>
      <c r="M296" s="2278"/>
      <c r="N296" s="2278"/>
      <c r="O296" s="2278"/>
      <c r="P296" s="2278"/>
      <c r="Q296" s="372">
        <v>2</v>
      </c>
      <c r="R296" s="1128" t="s">
        <v>23</v>
      </c>
      <c r="S296" s="524">
        <v>300000</v>
      </c>
      <c r="T296" s="466" t="s">
        <v>0</v>
      </c>
      <c r="U296" s="2278"/>
      <c r="V296" s="366">
        <v>1</v>
      </c>
      <c r="W296" s="466" t="s">
        <v>3</v>
      </c>
      <c r="X296" s="525" t="s">
        <v>1</v>
      </c>
      <c r="Y296" s="1674">
        <f>Q296*S296*V296/1000</f>
        <v>600</v>
      </c>
      <c r="Z296" s="759"/>
      <c r="AA296" s="759"/>
      <c r="AB296" s="275"/>
      <c r="AC296" s="759"/>
      <c r="AD296" s="759"/>
    </row>
    <row r="297" spans="1:30" s="760" customFormat="1" ht="24.95" customHeight="1">
      <c r="A297" s="2074"/>
      <c r="B297" s="2075"/>
      <c r="C297" s="770"/>
      <c r="D297" s="1154"/>
      <c r="E297" s="1154"/>
      <c r="F297" s="1141"/>
      <c r="G297" s="1141"/>
      <c r="H297" s="523"/>
      <c r="I297" s="473"/>
      <c r="J297" s="2274" t="s">
        <v>2736</v>
      </c>
      <c r="K297" s="2278"/>
      <c r="L297" s="2278"/>
      <c r="M297" s="2278"/>
      <c r="N297" s="2278"/>
      <c r="O297" s="2278"/>
      <c r="P297" s="2278"/>
      <c r="Q297" s="372">
        <v>3</v>
      </c>
      <c r="R297" s="1128" t="s">
        <v>23</v>
      </c>
      <c r="S297" s="524">
        <v>200000</v>
      </c>
      <c r="T297" s="466" t="s">
        <v>0</v>
      </c>
      <c r="U297" s="2278"/>
      <c r="V297" s="366">
        <v>2</v>
      </c>
      <c r="W297" s="466" t="s">
        <v>3</v>
      </c>
      <c r="X297" s="525" t="s">
        <v>1</v>
      </c>
      <c r="Y297" s="1674">
        <f>Q297*S297*V297/1000</f>
        <v>1200</v>
      </c>
      <c r="Z297" s="759"/>
      <c r="AA297" s="759"/>
      <c r="AB297" s="275"/>
      <c r="AC297" s="759"/>
      <c r="AD297" s="759"/>
    </row>
    <row r="298" spans="1:30" s="760" customFormat="1" ht="24.95" customHeight="1">
      <c r="A298" s="2074"/>
      <c r="B298" s="2075"/>
      <c r="C298" s="770"/>
      <c r="D298" s="1154"/>
      <c r="E298" s="1154"/>
      <c r="F298" s="1141"/>
      <c r="G298" s="1141"/>
      <c r="H298" s="523"/>
      <c r="I298" s="473"/>
      <c r="J298" s="2758" t="s">
        <v>4854</v>
      </c>
      <c r="K298" s="2266"/>
      <c r="L298" s="2266"/>
      <c r="M298" s="2266"/>
      <c r="N298" s="2266"/>
      <c r="O298" s="2266"/>
      <c r="P298" s="2266"/>
      <c r="Q298" s="372">
        <v>1</v>
      </c>
      <c r="R298" s="1128" t="s">
        <v>23</v>
      </c>
      <c r="S298" s="524">
        <v>200000</v>
      </c>
      <c r="T298" s="466" t="s">
        <v>0</v>
      </c>
      <c r="U298" s="2278"/>
      <c r="V298" s="366">
        <v>1</v>
      </c>
      <c r="W298" s="466" t="s">
        <v>3</v>
      </c>
      <c r="X298" s="525" t="s">
        <v>1</v>
      </c>
      <c r="Y298" s="1674">
        <f>Q298*S298*V298/1000</f>
        <v>200</v>
      </c>
      <c r="Z298" s="759"/>
      <c r="AA298" s="759"/>
      <c r="AB298" s="275"/>
      <c r="AC298" s="759"/>
      <c r="AD298" s="759"/>
    </row>
    <row r="299" spans="1:30" s="760" customFormat="1" ht="24.95" customHeight="1">
      <c r="A299" s="2074"/>
      <c r="B299" s="2075"/>
      <c r="C299" s="770"/>
      <c r="D299" s="1154"/>
      <c r="E299" s="1154" t="s">
        <v>602</v>
      </c>
      <c r="F299" s="1141">
        <f>Y299</f>
        <v>1700</v>
      </c>
      <c r="G299" s="1141">
        <v>1700</v>
      </c>
      <c r="H299" s="523"/>
      <c r="I299" s="473"/>
      <c r="J299" s="2265" t="s">
        <v>194</v>
      </c>
      <c r="K299" s="2266"/>
      <c r="L299" s="2266"/>
      <c r="M299" s="2266"/>
      <c r="N299" s="2266"/>
      <c r="O299" s="2266"/>
      <c r="P299" s="2266"/>
      <c r="Q299" s="372"/>
      <c r="R299" s="1128"/>
      <c r="S299" s="524"/>
      <c r="T299" s="466"/>
      <c r="U299" s="2278"/>
      <c r="V299" s="366"/>
      <c r="W299" s="466"/>
      <c r="X299" s="525"/>
      <c r="Y299" s="1674">
        <f>SUM(Y300:Y302)</f>
        <v>1700</v>
      </c>
      <c r="Z299" s="759"/>
      <c r="AA299" s="759"/>
      <c r="AB299" s="275"/>
      <c r="AC299" s="759"/>
      <c r="AD299" s="759"/>
    </row>
    <row r="300" spans="1:30" s="760" customFormat="1" ht="24.95" customHeight="1">
      <c r="A300" s="2074"/>
      <c r="B300" s="2075"/>
      <c r="C300" s="770"/>
      <c r="D300" s="1154"/>
      <c r="E300" s="1154"/>
      <c r="F300" s="1141"/>
      <c r="G300" s="1141"/>
      <c r="H300" s="523"/>
      <c r="I300" s="473"/>
      <c r="J300" s="2265" t="s">
        <v>390</v>
      </c>
      <c r="K300" s="2266"/>
      <c r="L300" s="2266"/>
      <c r="M300" s="2266"/>
      <c r="N300" s="2266"/>
      <c r="O300" s="2266"/>
      <c r="P300" s="2266"/>
      <c r="Q300" s="372"/>
      <c r="R300" s="1128"/>
      <c r="S300" s="524">
        <v>350000</v>
      </c>
      <c r="T300" s="466" t="s">
        <v>0</v>
      </c>
      <c r="U300" s="2278"/>
      <c r="V300" s="366">
        <v>2</v>
      </c>
      <c r="W300" s="466" t="s">
        <v>3</v>
      </c>
      <c r="X300" s="525" t="s">
        <v>1</v>
      </c>
      <c r="Y300" s="1674">
        <f t="shared" si="57"/>
        <v>700</v>
      </c>
      <c r="Z300" s="759"/>
      <c r="AA300" s="759"/>
      <c r="AB300" s="275"/>
      <c r="AC300" s="759"/>
      <c r="AD300" s="759"/>
    </row>
    <row r="301" spans="1:30" s="760" customFormat="1" ht="24.95" customHeight="1">
      <c r="A301" s="2074"/>
      <c r="B301" s="2075"/>
      <c r="C301" s="770"/>
      <c r="D301" s="1154"/>
      <c r="E301" s="1154"/>
      <c r="F301" s="1141"/>
      <c r="G301" s="1141"/>
      <c r="H301" s="523"/>
      <c r="I301" s="473"/>
      <c r="J301" s="2265" t="s">
        <v>2737</v>
      </c>
      <c r="K301" s="2266"/>
      <c r="L301" s="2266"/>
      <c r="M301" s="2266"/>
      <c r="N301" s="2266"/>
      <c r="O301" s="2266"/>
      <c r="P301" s="2266"/>
      <c r="Q301" s="372"/>
      <c r="R301" s="1128"/>
      <c r="S301" s="524">
        <v>200000</v>
      </c>
      <c r="T301" s="466" t="s">
        <v>0</v>
      </c>
      <c r="U301" s="2278"/>
      <c r="V301" s="366">
        <v>2</v>
      </c>
      <c r="W301" s="466" t="s">
        <v>3</v>
      </c>
      <c r="X301" s="525" t="s">
        <v>1</v>
      </c>
      <c r="Y301" s="1674">
        <f t="shared" si="57"/>
        <v>400</v>
      </c>
      <c r="Z301" s="759"/>
      <c r="AA301" s="759"/>
      <c r="AB301" s="275"/>
      <c r="AC301" s="759"/>
      <c r="AD301" s="759"/>
    </row>
    <row r="302" spans="1:30" s="760" customFormat="1" ht="24.95" customHeight="1">
      <c r="A302" s="2074"/>
      <c r="B302" s="2075"/>
      <c r="C302" s="770"/>
      <c r="D302" s="1154"/>
      <c r="E302" s="1154"/>
      <c r="F302" s="1141"/>
      <c r="G302" s="1141"/>
      <c r="H302" s="523"/>
      <c r="I302" s="473"/>
      <c r="J302" s="2265" t="s">
        <v>391</v>
      </c>
      <c r="K302" s="2266"/>
      <c r="L302" s="2266"/>
      <c r="M302" s="2266"/>
      <c r="N302" s="2266"/>
      <c r="O302" s="2266"/>
      <c r="P302" s="2266"/>
      <c r="Q302" s="372"/>
      <c r="R302" s="1128"/>
      <c r="S302" s="524">
        <v>300000</v>
      </c>
      <c r="T302" s="466" t="s">
        <v>0</v>
      </c>
      <c r="U302" s="2278"/>
      <c r="V302" s="366">
        <v>2</v>
      </c>
      <c r="W302" s="466" t="s">
        <v>3</v>
      </c>
      <c r="X302" s="525" t="s">
        <v>1</v>
      </c>
      <c r="Y302" s="1674">
        <f t="shared" si="57"/>
        <v>600</v>
      </c>
      <c r="Z302" s="759"/>
      <c r="AA302" s="759"/>
      <c r="AB302" s="275"/>
      <c r="AC302" s="759"/>
      <c r="AD302" s="759"/>
    </row>
    <row r="303" spans="1:30" s="760" customFormat="1" ht="24.95" customHeight="1">
      <c r="A303" s="2074"/>
      <c r="B303" s="2075"/>
      <c r="C303" s="770"/>
      <c r="D303" s="1154"/>
      <c r="E303" s="1154" t="s">
        <v>632</v>
      </c>
      <c r="F303" s="1141">
        <f>Y303</f>
        <v>300</v>
      </c>
      <c r="G303" s="1141">
        <v>300</v>
      </c>
      <c r="H303" s="523"/>
      <c r="I303" s="473"/>
      <c r="J303" s="2265" t="s">
        <v>194</v>
      </c>
      <c r="K303" s="2266"/>
      <c r="L303" s="2266"/>
      <c r="M303" s="2266"/>
      <c r="N303" s="2266"/>
      <c r="O303" s="2266"/>
      <c r="P303" s="2266"/>
      <c r="Q303" s="372"/>
      <c r="R303" s="1128"/>
      <c r="S303" s="524"/>
      <c r="T303" s="466"/>
      <c r="U303" s="2278"/>
      <c r="V303" s="524"/>
      <c r="W303" s="466"/>
      <c r="X303" s="525"/>
      <c r="Y303" s="1674">
        <f>SUM(Y304:Y305)</f>
        <v>300</v>
      </c>
      <c r="Z303" s="759"/>
      <c r="AA303" s="759"/>
      <c r="AB303" s="275"/>
      <c r="AC303" s="759"/>
      <c r="AD303" s="759"/>
    </row>
    <row r="304" spans="1:30" s="760" customFormat="1" ht="24.95" customHeight="1">
      <c r="A304" s="2074"/>
      <c r="B304" s="2075"/>
      <c r="C304" s="770"/>
      <c r="D304" s="1154"/>
      <c r="E304" s="1154"/>
      <c r="F304" s="1141"/>
      <c r="G304" s="1141"/>
      <c r="H304" s="523"/>
      <c r="I304" s="473"/>
      <c r="J304" s="2265" t="s">
        <v>128</v>
      </c>
      <c r="K304" s="2266"/>
      <c r="L304" s="2266"/>
      <c r="M304" s="2266"/>
      <c r="N304" s="2266"/>
      <c r="O304" s="2266"/>
      <c r="P304" s="2266"/>
      <c r="Q304" s="372">
        <v>10</v>
      </c>
      <c r="R304" s="1128" t="s">
        <v>23</v>
      </c>
      <c r="S304" s="524">
        <v>10000</v>
      </c>
      <c r="T304" s="466" t="s">
        <v>0</v>
      </c>
      <c r="U304" s="2278"/>
      <c r="V304" s="524">
        <v>1</v>
      </c>
      <c r="W304" s="466" t="s">
        <v>3</v>
      </c>
      <c r="X304" s="525" t="s">
        <v>1</v>
      </c>
      <c r="Y304" s="1674">
        <f>SUM(Q304*S304*V304/1000)</f>
        <v>100</v>
      </c>
      <c r="Z304" s="759"/>
      <c r="AA304" s="759"/>
      <c r="AB304" s="275"/>
      <c r="AC304" s="759"/>
      <c r="AD304" s="759"/>
    </row>
    <row r="305" spans="1:30" s="760" customFormat="1" ht="24.95" customHeight="1">
      <c r="A305" s="2074"/>
      <c r="B305" s="2075"/>
      <c r="C305" s="2081"/>
      <c r="D305" s="2279"/>
      <c r="E305" s="2279"/>
      <c r="F305" s="527"/>
      <c r="G305" s="527"/>
      <c r="H305" s="2079"/>
      <c r="I305" s="473"/>
      <c r="J305" s="2080" t="s">
        <v>1214</v>
      </c>
      <c r="K305" s="2073"/>
      <c r="L305" s="2073"/>
      <c r="M305" s="2073"/>
      <c r="N305" s="2073"/>
      <c r="O305" s="2073"/>
      <c r="P305" s="2073"/>
      <c r="Q305" s="528">
        <v>5</v>
      </c>
      <c r="R305" s="1130" t="s">
        <v>23</v>
      </c>
      <c r="S305" s="2044">
        <v>10000</v>
      </c>
      <c r="T305" s="529" t="s">
        <v>0</v>
      </c>
      <c r="U305" s="2285"/>
      <c r="V305" s="2044">
        <v>4</v>
      </c>
      <c r="W305" s="529" t="s">
        <v>3</v>
      </c>
      <c r="X305" s="2289" t="s">
        <v>1</v>
      </c>
      <c r="Y305" s="1674">
        <f>SUM(Q305*S305*V305/1000)</f>
        <v>200</v>
      </c>
      <c r="Z305" s="759"/>
      <c r="AA305" s="759"/>
      <c r="AB305" s="275"/>
      <c r="AC305" s="759"/>
      <c r="AD305" s="759"/>
    </row>
    <row r="306" spans="1:30" s="760" customFormat="1" ht="24.95" customHeight="1">
      <c r="A306" s="348"/>
      <c r="B306" s="1126"/>
      <c r="C306" s="3284" t="s">
        <v>2978</v>
      </c>
      <c r="D306" s="3354"/>
      <c r="E306" s="3285"/>
      <c r="F306" s="1153">
        <f>+F307+F309</f>
        <v>106000</v>
      </c>
      <c r="G306" s="1153">
        <f>+G307+G309</f>
        <v>106000</v>
      </c>
      <c r="H306" s="1132"/>
      <c r="I306" s="473"/>
      <c r="J306" s="501"/>
      <c r="K306" s="2276"/>
      <c r="L306" s="2276"/>
      <c r="M306" s="2276"/>
      <c r="N306" s="2276"/>
      <c r="O306" s="2276"/>
      <c r="P306" s="2276"/>
      <c r="Q306" s="485"/>
      <c r="R306" s="484"/>
      <c r="S306" s="520"/>
      <c r="T306" s="2276"/>
      <c r="U306" s="2276"/>
      <c r="V306" s="521"/>
      <c r="W306" s="2276"/>
      <c r="X306" s="375"/>
      <c r="Y306" s="463"/>
      <c r="Z306" s="759"/>
      <c r="AA306" s="759"/>
      <c r="AB306" s="275"/>
      <c r="AC306" s="759"/>
      <c r="AD306" s="759"/>
    </row>
    <row r="307" spans="1:30" s="760" customFormat="1" ht="24.95" customHeight="1">
      <c r="A307" s="348"/>
      <c r="B307" s="1126"/>
      <c r="C307" s="2278"/>
      <c r="D307" s="3284" t="s">
        <v>2979</v>
      </c>
      <c r="E307" s="3285"/>
      <c r="F307" s="1153">
        <f>+SUM(F308:F308)</f>
        <v>20000</v>
      </c>
      <c r="G307" s="1153">
        <f>+SUM(G308:G308)</f>
        <v>20000</v>
      </c>
      <c r="H307" s="1132">
        <f>F307-G307</f>
        <v>0</v>
      </c>
      <c r="I307" s="473"/>
      <c r="J307" s="501"/>
      <c r="K307" s="2276"/>
      <c r="L307" s="2276"/>
      <c r="M307" s="2276"/>
      <c r="N307" s="2276"/>
      <c r="O307" s="2276"/>
      <c r="P307" s="2276"/>
      <c r="Q307" s="485"/>
      <c r="R307" s="484"/>
      <c r="S307" s="520"/>
      <c r="T307" s="2276"/>
      <c r="U307" s="2276"/>
      <c r="V307" s="521"/>
      <c r="W307" s="2276"/>
      <c r="X307" s="375"/>
      <c r="Y307" s="432"/>
      <c r="Z307" s="759"/>
      <c r="AA307" s="759"/>
      <c r="AB307" s="275"/>
      <c r="AC307" s="759"/>
      <c r="AD307" s="759"/>
    </row>
    <row r="308" spans="1:30" s="760" customFormat="1" ht="24.95" customHeight="1">
      <c r="A308" s="348"/>
      <c r="B308" s="1126"/>
      <c r="C308" s="2278"/>
      <c r="D308" s="471"/>
      <c r="E308" s="471" t="s">
        <v>631</v>
      </c>
      <c r="F308" s="1141">
        <f>+Y308</f>
        <v>20000</v>
      </c>
      <c r="G308" s="1141">
        <v>20000</v>
      </c>
      <c r="H308" s="570"/>
      <c r="I308" s="473"/>
      <c r="J308" s="348" t="s">
        <v>2738</v>
      </c>
      <c r="K308" s="761"/>
      <c r="L308" s="761"/>
      <c r="M308" s="761"/>
      <c r="N308" s="761"/>
      <c r="O308" s="761"/>
      <c r="P308" s="761"/>
      <c r="Q308" s="372"/>
      <c r="R308" s="1128"/>
      <c r="S308" s="524">
        <v>1000000</v>
      </c>
      <c r="T308" s="466" t="s">
        <v>354</v>
      </c>
      <c r="U308" s="2278"/>
      <c r="V308" s="366">
        <v>20</v>
      </c>
      <c r="W308" s="466" t="s">
        <v>570</v>
      </c>
      <c r="X308" s="525" t="s">
        <v>565</v>
      </c>
      <c r="Y308" s="1674">
        <f>(S308*V308)/1000</f>
        <v>20000</v>
      </c>
      <c r="Z308" s="759"/>
      <c r="AA308" s="759"/>
      <c r="AB308" s="275"/>
      <c r="AC308" s="759"/>
      <c r="AD308" s="759"/>
    </row>
    <row r="309" spans="1:30" s="760" customFormat="1" ht="24.95" customHeight="1">
      <c r="A309" s="348"/>
      <c r="B309" s="1126"/>
      <c r="C309" s="2278"/>
      <c r="D309" s="3284" t="s">
        <v>1215</v>
      </c>
      <c r="E309" s="3285"/>
      <c r="F309" s="1153">
        <f>SUM(F310:F318)</f>
        <v>86000</v>
      </c>
      <c r="G309" s="1153">
        <f>SUM(G310:G318)</f>
        <v>86000</v>
      </c>
      <c r="H309" s="1132">
        <f>F309-G309</f>
        <v>0</v>
      </c>
      <c r="I309" s="473"/>
      <c r="J309" s="501"/>
      <c r="K309" s="2276"/>
      <c r="L309" s="2276"/>
      <c r="M309" s="2276"/>
      <c r="N309" s="2276"/>
      <c r="O309" s="2276"/>
      <c r="P309" s="2276"/>
      <c r="Q309" s="485"/>
      <c r="R309" s="484"/>
      <c r="S309" s="520"/>
      <c r="T309" s="2276"/>
      <c r="U309" s="2276"/>
      <c r="V309" s="521"/>
      <c r="W309" s="2276"/>
      <c r="X309" s="375"/>
      <c r="Y309" s="432"/>
      <c r="Z309" s="759"/>
      <c r="AA309" s="759"/>
      <c r="AB309" s="275"/>
      <c r="AC309" s="759"/>
      <c r="AD309" s="759"/>
    </row>
    <row r="310" spans="1:30" s="760" customFormat="1" ht="24.95" customHeight="1">
      <c r="A310" s="348"/>
      <c r="B310" s="1126"/>
      <c r="C310" s="2278"/>
      <c r="D310" s="471"/>
      <c r="E310" s="2083" t="s">
        <v>59</v>
      </c>
      <c r="F310" s="978">
        <f>+Y310</f>
        <v>30000</v>
      </c>
      <c r="G310" s="978">
        <v>30000</v>
      </c>
      <c r="H310" s="570"/>
      <c r="I310" s="473"/>
      <c r="J310" s="2084" t="s">
        <v>2849</v>
      </c>
      <c r="K310" s="2085"/>
      <c r="L310" s="2085"/>
      <c r="M310" s="2085"/>
      <c r="N310" s="2085"/>
      <c r="O310" s="2085"/>
      <c r="P310" s="2085"/>
      <c r="Q310" s="1874">
        <v>1</v>
      </c>
      <c r="R310" s="353" t="s">
        <v>2806</v>
      </c>
      <c r="S310" s="2052">
        <v>2500000</v>
      </c>
      <c r="T310" s="1804" t="s">
        <v>2824</v>
      </c>
      <c r="U310" s="2356"/>
      <c r="V310" s="2053">
        <v>12</v>
      </c>
      <c r="W310" s="1804" t="s">
        <v>2850</v>
      </c>
      <c r="X310" s="2054" t="s">
        <v>2827</v>
      </c>
      <c r="Y310" s="1674">
        <f>Q310*S310*V310/1000</f>
        <v>30000</v>
      </c>
      <c r="Z310" s="759"/>
      <c r="AA310" s="759"/>
      <c r="AB310" s="275"/>
      <c r="AC310" s="759"/>
      <c r="AD310" s="759"/>
    </row>
    <row r="311" spans="1:30" s="760" customFormat="1" ht="24.95" customHeight="1">
      <c r="A311" s="348"/>
      <c r="B311" s="1126"/>
      <c r="C311" s="2357"/>
      <c r="D311" s="471"/>
      <c r="E311" s="1154" t="s">
        <v>199</v>
      </c>
      <c r="F311" s="1141">
        <f t="shared" ref="F311" si="58">+Y311</f>
        <v>20000</v>
      </c>
      <c r="G311" s="1141">
        <v>20000</v>
      </c>
      <c r="H311" s="570"/>
      <c r="I311" s="473"/>
      <c r="J311" s="348" t="s">
        <v>2856</v>
      </c>
      <c r="K311" s="2357"/>
      <c r="L311" s="2357"/>
      <c r="M311" s="2357"/>
      <c r="N311" s="2357"/>
      <c r="O311" s="2357"/>
      <c r="P311" s="2357"/>
      <c r="Q311" s="372">
        <v>1</v>
      </c>
      <c r="R311" s="1128" t="s">
        <v>365</v>
      </c>
      <c r="S311" s="524">
        <v>10000</v>
      </c>
      <c r="T311" s="466" t="s">
        <v>592</v>
      </c>
      <c r="U311" s="2357"/>
      <c r="V311" s="366">
        <v>2000</v>
      </c>
      <c r="W311" s="466" t="s">
        <v>2665</v>
      </c>
      <c r="X311" s="525" t="s">
        <v>563</v>
      </c>
      <c r="Y311" s="1674">
        <f>Q311*S311*V311/1000</f>
        <v>20000</v>
      </c>
      <c r="Z311" s="759"/>
      <c r="AA311" s="759"/>
      <c r="AB311" s="275"/>
      <c r="AC311" s="759"/>
      <c r="AD311" s="759"/>
    </row>
    <row r="312" spans="1:30" s="760" customFormat="1" ht="24.95" customHeight="1">
      <c r="A312" s="348"/>
      <c r="B312" s="1126"/>
      <c r="C312" s="2278"/>
      <c r="D312" s="471"/>
      <c r="E312" s="471" t="s">
        <v>300</v>
      </c>
      <c r="F312" s="1141">
        <f>+Y312</f>
        <v>2000</v>
      </c>
      <c r="G312" s="1141">
        <v>2000</v>
      </c>
      <c r="H312" s="570"/>
      <c r="I312" s="473"/>
      <c r="J312" s="2086" t="s">
        <v>2851</v>
      </c>
      <c r="K312" s="761"/>
      <c r="L312" s="761"/>
      <c r="M312" s="761"/>
      <c r="N312" s="761"/>
      <c r="O312" s="761"/>
      <c r="P312" s="761"/>
      <c r="Q312" s="372"/>
      <c r="R312" s="1128"/>
      <c r="S312" s="524">
        <v>500000</v>
      </c>
      <c r="T312" s="466" t="s">
        <v>2807</v>
      </c>
      <c r="U312" s="2357"/>
      <c r="V312" s="366">
        <v>4</v>
      </c>
      <c r="W312" s="466" t="s">
        <v>2814</v>
      </c>
      <c r="X312" s="525" t="s">
        <v>2809</v>
      </c>
      <c r="Y312" s="1674">
        <f>S312*V312/1000</f>
        <v>2000</v>
      </c>
      <c r="Z312" s="759"/>
      <c r="AA312" s="759"/>
      <c r="AB312" s="275"/>
      <c r="AC312" s="759"/>
      <c r="AD312" s="759"/>
    </row>
    <row r="313" spans="1:30" s="760" customFormat="1" ht="24.95" customHeight="1">
      <c r="A313" s="348"/>
      <c r="B313" s="1126"/>
      <c r="C313" s="2278"/>
      <c r="D313" s="471"/>
      <c r="E313" s="471" t="s">
        <v>301</v>
      </c>
      <c r="F313" s="1141">
        <f>+Y313</f>
        <v>7280</v>
      </c>
      <c r="G313" s="1141">
        <v>7280</v>
      </c>
      <c r="H313" s="570"/>
      <c r="I313" s="473"/>
      <c r="J313" s="348" t="s">
        <v>2803</v>
      </c>
      <c r="K313" s="761"/>
      <c r="L313" s="761"/>
      <c r="M313" s="761"/>
      <c r="N313" s="761"/>
      <c r="O313" s="761"/>
      <c r="P313" s="761"/>
      <c r="Q313" s="372"/>
      <c r="R313" s="1128"/>
      <c r="S313" s="524"/>
      <c r="T313" s="466"/>
      <c r="U313" s="2357"/>
      <c r="V313" s="366"/>
      <c r="W313" s="466"/>
      <c r="X313" s="525"/>
      <c r="Y313" s="1674">
        <f>SUM(Y314:Y315)</f>
        <v>7280</v>
      </c>
      <c r="Z313" s="759"/>
      <c r="AA313" s="759"/>
      <c r="AB313" s="275"/>
      <c r="AC313" s="759"/>
      <c r="AD313" s="759"/>
    </row>
    <row r="314" spans="1:30" s="760" customFormat="1" ht="24.95" customHeight="1">
      <c r="A314" s="348"/>
      <c r="B314" s="1126"/>
      <c r="C314" s="2278"/>
      <c r="D314" s="471"/>
      <c r="E314" s="471"/>
      <c r="F314" s="1141"/>
      <c r="G314" s="1141"/>
      <c r="H314" s="570"/>
      <c r="I314" s="473"/>
      <c r="J314" s="348" t="s">
        <v>2852</v>
      </c>
      <c r="K314" s="761"/>
      <c r="L314" s="761"/>
      <c r="M314" s="761"/>
      <c r="N314" s="761"/>
      <c r="O314" s="761"/>
      <c r="P314" s="761"/>
      <c r="Q314" s="372"/>
      <c r="R314" s="1128"/>
      <c r="S314" s="524">
        <v>4280000</v>
      </c>
      <c r="T314" s="466" t="s">
        <v>2824</v>
      </c>
      <c r="U314" s="2357"/>
      <c r="V314" s="366">
        <v>1</v>
      </c>
      <c r="W314" s="466" t="s">
        <v>2826</v>
      </c>
      <c r="X314" s="525" t="s">
        <v>2827</v>
      </c>
      <c r="Y314" s="1674">
        <f t="shared" ref="Y314:Y315" si="59">S314*V314/1000</f>
        <v>4280</v>
      </c>
      <c r="Z314" s="759"/>
      <c r="AA314" s="759"/>
      <c r="AB314" s="275"/>
      <c r="AC314" s="759"/>
      <c r="AD314" s="759"/>
    </row>
    <row r="315" spans="1:30" s="760" customFormat="1" ht="24.95" customHeight="1">
      <c r="A315" s="348"/>
      <c r="B315" s="1126"/>
      <c r="C315" s="2278"/>
      <c r="D315" s="471"/>
      <c r="E315" s="471"/>
      <c r="F315" s="1141"/>
      <c r="G315" s="1141"/>
      <c r="H315" s="570"/>
      <c r="I315" s="473"/>
      <c r="J315" s="348" t="s">
        <v>2853</v>
      </c>
      <c r="K315" s="761"/>
      <c r="L315" s="761"/>
      <c r="M315" s="761"/>
      <c r="N315" s="761"/>
      <c r="O315" s="761"/>
      <c r="P315" s="761"/>
      <c r="Q315" s="372"/>
      <c r="R315" s="1128"/>
      <c r="S315" s="524">
        <v>1000000</v>
      </c>
      <c r="T315" s="466" t="s">
        <v>2824</v>
      </c>
      <c r="U315" s="2357"/>
      <c r="V315" s="366">
        <v>3</v>
      </c>
      <c r="W315" s="466" t="s">
        <v>2826</v>
      </c>
      <c r="X315" s="525" t="s">
        <v>2827</v>
      </c>
      <c r="Y315" s="1674">
        <f t="shared" si="59"/>
        <v>3000</v>
      </c>
      <c r="Z315" s="759"/>
      <c r="AA315" s="759"/>
      <c r="AB315" s="275"/>
      <c r="AC315" s="759"/>
      <c r="AD315" s="759"/>
    </row>
    <row r="316" spans="1:30" s="760" customFormat="1" ht="24.95" customHeight="1">
      <c r="A316" s="348"/>
      <c r="B316" s="1126"/>
      <c r="C316" s="2278"/>
      <c r="D316" s="471"/>
      <c r="E316" s="471" t="s">
        <v>287</v>
      </c>
      <c r="F316" s="1141">
        <f t="shared" ref="F316" si="60">+Y316</f>
        <v>26720</v>
      </c>
      <c r="G316" s="1141">
        <v>26720</v>
      </c>
      <c r="H316" s="570"/>
      <c r="I316" s="473"/>
      <c r="J316" s="348" t="s">
        <v>2803</v>
      </c>
      <c r="K316" s="761"/>
      <c r="L316" s="761"/>
      <c r="M316" s="761"/>
      <c r="N316" s="761"/>
      <c r="O316" s="761"/>
      <c r="P316" s="761"/>
      <c r="Q316" s="372"/>
      <c r="R316" s="1128"/>
      <c r="S316" s="524"/>
      <c r="T316" s="466"/>
      <c r="U316" s="2357"/>
      <c r="V316" s="366"/>
      <c r="W316" s="466"/>
      <c r="X316" s="525"/>
      <c r="Y316" s="1674">
        <f>SUM(Y317:Y318)</f>
        <v>26720</v>
      </c>
      <c r="Z316" s="759"/>
      <c r="AA316" s="759"/>
      <c r="AB316" s="275"/>
      <c r="AC316" s="759"/>
      <c r="AD316" s="759"/>
    </row>
    <row r="317" spans="1:30" s="760" customFormat="1" ht="24.95" customHeight="1">
      <c r="A317" s="348"/>
      <c r="B317" s="1126"/>
      <c r="C317" s="2278"/>
      <c r="D317" s="471"/>
      <c r="E317" s="471"/>
      <c r="F317" s="1141"/>
      <c r="G317" s="1141"/>
      <c r="H317" s="570"/>
      <c r="I317" s="473"/>
      <c r="J317" s="2086" t="s">
        <v>2854</v>
      </c>
      <c r="K317" s="761"/>
      <c r="L317" s="761"/>
      <c r="M317" s="761"/>
      <c r="N317" s="761"/>
      <c r="O317" s="761"/>
      <c r="P317" s="761"/>
      <c r="Q317" s="372"/>
      <c r="R317" s="1128"/>
      <c r="S317" s="524">
        <v>20120000</v>
      </c>
      <c r="T317" s="466" t="s">
        <v>2824</v>
      </c>
      <c r="U317" s="2357"/>
      <c r="V317" s="366">
        <v>1</v>
      </c>
      <c r="W317" s="466" t="s">
        <v>2826</v>
      </c>
      <c r="X317" s="525" t="s">
        <v>2827</v>
      </c>
      <c r="Y317" s="1674">
        <f t="shared" ref="Y317:Y318" si="61">S317*V317/1000</f>
        <v>20120</v>
      </c>
      <c r="Z317" s="759"/>
      <c r="AA317" s="759"/>
      <c r="AB317" s="275"/>
      <c r="AC317" s="759"/>
      <c r="AD317" s="759"/>
    </row>
    <row r="318" spans="1:30" s="760" customFormat="1" ht="24.95" customHeight="1">
      <c r="A318" s="348"/>
      <c r="B318" s="1126"/>
      <c r="C318" s="2357"/>
      <c r="D318" s="471"/>
      <c r="E318" s="471"/>
      <c r="F318" s="1141"/>
      <c r="G318" s="1141"/>
      <c r="H318" s="570"/>
      <c r="I318" s="473"/>
      <c r="J318" s="2086" t="s">
        <v>2855</v>
      </c>
      <c r="K318" s="761"/>
      <c r="L318" s="761"/>
      <c r="M318" s="761"/>
      <c r="N318" s="761"/>
      <c r="O318" s="761"/>
      <c r="P318" s="761"/>
      <c r="Q318" s="372"/>
      <c r="R318" s="1128"/>
      <c r="S318" s="524">
        <v>550000</v>
      </c>
      <c r="T318" s="466" t="s">
        <v>2807</v>
      </c>
      <c r="U318" s="2357"/>
      <c r="V318" s="366">
        <v>12</v>
      </c>
      <c r="W318" s="466" t="s">
        <v>2816</v>
      </c>
      <c r="X318" s="525" t="s">
        <v>2809</v>
      </c>
      <c r="Y318" s="1674">
        <f t="shared" si="61"/>
        <v>6600</v>
      </c>
      <c r="Z318" s="759"/>
      <c r="AA318" s="759"/>
      <c r="AB318" s="275"/>
      <c r="AC318" s="759"/>
      <c r="AD318" s="759"/>
    </row>
    <row r="319" spans="1:30" s="760" customFormat="1" ht="24.95" customHeight="1">
      <c r="A319" s="2074"/>
      <c r="B319" s="2075"/>
      <c r="C319" s="2267" t="s">
        <v>719</v>
      </c>
      <c r="D319" s="2267"/>
      <c r="E319" s="2267"/>
      <c r="F319" s="1153">
        <f>+F320</f>
        <v>30000</v>
      </c>
      <c r="G319" s="1153">
        <f>+G320</f>
        <v>30000</v>
      </c>
      <c r="H319" s="1132">
        <f>F319-G319</f>
        <v>0</v>
      </c>
      <c r="I319" s="473"/>
      <c r="J319" s="501"/>
      <c r="K319" s="800"/>
      <c r="L319" s="800"/>
      <c r="M319" s="800"/>
      <c r="N319" s="800"/>
      <c r="O319" s="800"/>
      <c r="P319" s="800"/>
      <c r="Q319" s="857"/>
      <c r="R319" s="800"/>
      <c r="S319" s="800"/>
      <c r="T319" s="800"/>
      <c r="U319" s="800"/>
      <c r="V319" s="800"/>
      <c r="W319" s="800"/>
      <c r="X319" s="375"/>
      <c r="Y319" s="503"/>
      <c r="Z319" s="759"/>
      <c r="AA319" s="759"/>
      <c r="AB319" s="275"/>
      <c r="AC319" s="759"/>
      <c r="AD319" s="759"/>
    </row>
    <row r="320" spans="1:30" s="760" customFormat="1" ht="24.95" customHeight="1">
      <c r="A320" s="2074"/>
      <c r="B320" s="2075"/>
      <c r="C320" s="2278"/>
      <c r="D320" s="3266" t="s">
        <v>2739</v>
      </c>
      <c r="E320" s="3267"/>
      <c r="F320" s="1153">
        <f>SUM(F321:F330)</f>
        <v>30000</v>
      </c>
      <c r="G320" s="1153">
        <f>SUM(G321:G330)</f>
        <v>30000</v>
      </c>
      <c r="H320" s="1132">
        <f>F320-G320</f>
        <v>0</v>
      </c>
      <c r="I320" s="473"/>
      <c r="J320" s="374"/>
      <c r="K320" s="375"/>
      <c r="L320" s="375"/>
      <c r="M320" s="375"/>
      <c r="N320" s="375"/>
      <c r="O320" s="375"/>
      <c r="P320" s="376"/>
      <c r="Q320" s="375"/>
      <c r="R320" s="376"/>
      <c r="S320" s="375"/>
      <c r="T320" s="376"/>
      <c r="U320" s="375"/>
      <c r="V320" s="376"/>
      <c r="W320" s="375"/>
      <c r="X320" s="375"/>
      <c r="Y320" s="503"/>
      <c r="Z320" s="759"/>
      <c r="AA320" s="759"/>
      <c r="AB320" s="275"/>
      <c r="AC320" s="759"/>
      <c r="AD320" s="759"/>
    </row>
    <row r="321" spans="1:30" s="760" customFormat="1" ht="24.95" customHeight="1">
      <c r="A321" s="2074"/>
      <c r="B321" s="2075"/>
      <c r="C321" s="2278"/>
      <c r="D321" s="1154"/>
      <c r="E321" s="837" t="s">
        <v>572</v>
      </c>
      <c r="F321" s="978">
        <f>Y321</f>
        <v>2000</v>
      </c>
      <c r="G321" s="1141">
        <v>2000</v>
      </c>
      <c r="H321" s="1324"/>
      <c r="I321" s="473"/>
      <c r="J321" s="2265" t="s">
        <v>2740</v>
      </c>
      <c r="K321" s="2266"/>
      <c r="L321" s="2266"/>
      <c r="M321" s="2266"/>
      <c r="N321" s="2266"/>
      <c r="O321" s="2266"/>
      <c r="P321" s="2266"/>
      <c r="Q321" s="372"/>
      <c r="R321" s="1128"/>
      <c r="S321" s="524">
        <v>1000000</v>
      </c>
      <c r="T321" s="466" t="s">
        <v>592</v>
      </c>
      <c r="U321" s="2278"/>
      <c r="V321" s="366">
        <v>2</v>
      </c>
      <c r="W321" s="466" t="s">
        <v>217</v>
      </c>
      <c r="X321" s="525" t="s">
        <v>706</v>
      </c>
      <c r="Y321" s="1674">
        <f>S321*V321/1000</f>
        <v>2000</v>
      </c>
      <c r="Z321" s="759"/>
      <c r="AA321" s="759"/>
      <c r="AB321" s="275"/>
      <c r="AC321" s="759"/>
      <c r="AD321" s="759"/>
    </row>
    <row r="322" spans="1:30" s="760" customFormat="1" ht="24.95" customHeight="1">
      <c r="A322" s="2074"/>
      <c r="B322" s="2075"/>
      <c r="C322" s="2278"/>
      <c r="D322" s="1154"/>
      <c r="E322" s="1154" t="s">
        <v>199</v>
      </c>
      <c r="F322" s="1141">
        <f>Y322</f>
        <v>10000</v>
      </c>
      <c r="G322" s="1141">
        <v>10000</v>
      </c>
      <c r="H322" s="1324"/>
      <c r="I322" s="473"/>
      <c r="J322" s="2265" t="s">
        <v>194</v>
      </c>
      <c r="K322" s="2266"/>
      <c r="L322" s="2266"/>
      <c r="M322" s="2266"/>
      <c r="N322" s="2266"/>
      <c r="O322" s="2266"/>
      <c r="P322" s="2266"/>
      <c r="Q322" s="372"/>
      <c r="R322" s="1128"/>
      <c r="S322" s="524"/>
      <c r="T322" s="466"/>
      <c r="U322" s="2278"/>
      <c r="V322" s="366"/>
      <c r="W322" s="466"/>
      <c r="X322" s="525"/>
      <c r="Y322" s="1674">
        <f>SUM(Y323:Y325)</f>
        <v>10000</v>
      </c>
      <c r="Z322" s="759"/>
      <c r="AA322" s="759"/>
      <c r="AB322" s="275"/>
      <c r="AC322" s="759"/>
      <c r="AD322" s="759"/>
    </row>
    <row r="323" spans="1:30" s="760" customFormat="1" ht="24.95" customHeight="1">
      <c r="A323" s="2074"/>
      <c r="B323" s="2075"/>
      <c r="C323" s="2278"/>
      <c r="D323" s="1154"/>
      <c r="E323" s="1154"/>
      <c r="F323" s="1141"/>
      <c r="G323" s="1141"/>
      <c r="H323" s="570"/>
      <c r="I323" s="473"/>
      <c r="J323" s="2265" t="s">
        <v>2741</v>
      </c>
      <c r="K323" s="2266"/>
      <c r="L323" s="2266"/>
      <c r="M323" s="2266"/>
      <c r="N323" s="2266"/>
      <c r="O323" s="2266"/>
      <c r="P323" s="2266"/>
      <c r="Q323" s="372"/>
      <c r="R323" s="1128"/>
      <c r="S323" s="524">
        <v>10000</v>
      </c>
      <c r="T323" s="466" t="s">
        <v>592</v>
      </c>
      <c r="U323" s="2278"/>
      <c r="V323" s="366">
        <v>300</v>
      </c>
      <c r="W323" s="466" t="s">
        <v>2665</v>
      </c>
      <c r="X323" s="525" t="s">
        <v>706</v>
      </c>
      <c r="Y323" s="1674">
        <f>S323*V323/1000</f>
        <v>3000</v>
      </c>
      <c r="Z323" s="759"/>
      <c r="AA323" s="759"/>
      <c r="AB323" s="275"/>
      <c r="AC323" s="759"/>
      <c r="AD323" s="759"/>
    </row>
    <row r="324" spans="1:30" s="760" customFormat="1" ht="24.95" customHeight="1">
      <c r="A324" s="2074"/>
      <c r="B324" s="2075"/>
      <c r="C324" s="2278"/>
      <c r="D324" s="1154"/>
      <c r="E324" s="1154"/>
      <c r="F324" s="1141"/>
      <c r="G324" s="1141"/>
      <c r="H324" s="570"/>
      <c r="I324" s="473"/>
      <c r="J324" s="2265" t="s">
        <v>2742</v>
      </c>
      <c r="K324" s="2266"/>
      <c r="L324" s="2266"/>
      <c r="M324" s="2266"/>
      <c r="N324" s="2266"/>
      <c r="O324" s="2266"/>
      <c r="P324" s="2266"/>
      <c r="Q324" s="372">
        <v>2</v>
      </c>
      <c r="R324" s="1128" t="s">
        <v>619</v>
      </c>
      <c r="S324" s="524">
        <v>125</v>
      </c>
      <c r="T324" s="466" t="s">
        <v>354</v>
      </c>
      <c r="U324" s="2278"/>
      <c r="V324" s="366">
        <v>20000</v>
      </c>
      <c r="W324" s="466" t="s">
        <v>570</v>
      </c>
      <c r="X324" s="525" t="s">
        <v>565</v>
      </c>
      <c r="Y324" s="1674">
        <f>S324*V324*Q324/1000</f>
        <v>5000</v>
      </c>
      <c r="Z324" s="759"/>
      <c r="AA324" s="759"/>
      <c r="AB324" s="275"/>
      <c r="AC324" s="759"/>
      <c r="AD324" s="759"/>
    </row>
    <row r="325" spans="1:30" s="760" customFormat="1" ht="24.95" customHeight="1">
      <c r="A325" s="2074"/>
      <c r="B325" s="2075"/>
      <c r="C325" s="2278"/>
      <c r="D325" s="1154"/>
      <c r="E325" s="1154"/>
      <c r="F325" s="1141"/>
      <c r="G325" s="1141"/>
      <c r="H325" s="570"/>
      <c r="I325" s="473"/>
      <c r="J325" s="2287" t="s">
        <v>2743</v>
      </c>
      <c r="K325" s="2282"/>
      <c r="L325" s="2282"/>
      <c r="M325" s="2282"/>
      <c r="N325" s="2278"/>
      <c r="O325" s="2278"/>
      <c r="P325" s="2278"/>
      <c r="Q325" s="372">
        <v>1</v>
      </c>
      <c r="R325" s="1128" t="s">
        <v>619</v>
      </c>
      <c r="S325" s="524">
        <v>200</v>
      </c>
      <c r="T325" s="466" t="s">
        <v>592</v>
      </c>
      <c r="U325" s="2278"/>
      <c r="V325" s="366">
        <v>10000</v>
      </c>
      <c r="W325" s="466" t="s">
        <v>2665</v>
      </c>
      <c r="X325" s="525" t="s">
        <v>706</v>
      </c>
      <c r="Y325" s="1674">
        <f>Q325*S325*V325/1000</f>
        <v>2000</v>
      </c>
      <c r="Z325" s="2087"/>
      <c r="AA325" s="759"/>
      <c r="AB325" s="275"/>
      <c r="AC325" s="759"/>
      <c r="AD325" s="759"/>
    </row>
    <row r="326" spans="1:30" s="760" customFormat="1" ht="24.95" customHeight="1">
      <c r="A326" s="2074"/>
      <c r="B326" s="2075"/>
      <c r="C326" s="2278"/>
      <c r="D326" s="1154"/>
      <c r="E326" s="1126" t="s">
        <v>224</v>
      </c>
      <c r="F326" s="1703">
        <f>Y326</f>
        <v>1000</v>
      </c>
      <c r="G326" s="1703">
        <v>1000</v>
      </c>
      <c r="H326" s="1324"/>
      <c r="I326" s="473"/>
      <c r="J326" s="2265" t="s">
        <v>2744</v>
      </c>
      <c r="K326" s="2266"/>
      <c r="L326" s="2266"/>
      <c r="M326" s="2266"/>
      <c r="N326" s="2266"/>
      <c r="O326" s="2266"/>
      <c r="P326" s="2266"/>
      <c r="Q326" s="372"/>
      <c r="R326" s="1128"/>
      <c r="S326" s="524">
        <v>1000000</v>
      </c>
      <c r="T326" s="466" t="s">
        <v>592</v>
      </c>
      <c r="U326" s="2278"/>
      <c r="V326" s="366">
        <v>1</v>
      </c>
      <c r="W326" s="466" t="s">
        <v>217</v>
      </c>
      <c r="X326" s="525" t="s">
        <v>706</v>
      </c>
      <c r="Y326" s="1674">
        <f>S326*V326/1000</f>
        <v>1000</v>
      </c>
      <c r="Z326" s="759"/>
      <c r="AA326" s="759"/>
      <c r="AB326" s="275"/>
      <c r="AC326" s="759"/>
      <c r="AD326" s="759"/>
    </row>
    <row r="327" spans="1:30" s="760" customFormat="1" ht="24.95" customHeight="1">
      <c r="A327" s="2074"/>
      <c r="B327" s="2075"/>
      <c r="C327" s="2278"/>
      <c r="D327" s="1154"/>
      <c r="E327" s="1154" t="s">
        <v>631</v>
      </c>
      <c r="F327" s="1141">
        <f>Y327</f>
        <v>15000</v>
      </c>
      <c r="G327" s="1141">
        <v>15000</v>
      </c>
      <c r="H327" s="1324"/>
      <c r="I327" s="473"/>
      <c r="J327" s="2265" t="s">
        <v>194</v>
      </c>
      <c r="K327" s="2266"/>
      <c r="L327" s="2266"/>
      <c r="M327" s="2266"/>
      <c r="N327" s="2266"/>
      <c r="O327" s="2266"/>
      <c r="P327" s="2266"/>
      <c r="Q327" s="372"/>
      <c r="R327" s="1128"/>
      <c r="S327" s="524"/>
      <c r="T327" s="466"/>
      <c r="U327" s="2278"/>
      <c r="V327" s="366"/>
      <c r="W327" s="466"/>
      <c r="X327" s="525"/>
      <c r="Y327" s="1674">
        <f>SUM(Y328:Y329)</f>
        <v>15000</v>
      </c>
      <c r="Z327" s="759"/>
      <c r="AA327" s="759"/>
      <c r="AB327" s="275"/>
      <c r="AC327" s="759"/>
      <c r="AD327" s="759"/>
    </row>
    <row r="328" spans="1:30" s="760" customFormat="1" ht="24.95" customHeight="1">
      <c r="A328" s="2074"/>
      <c r="B328" s="2075"/>
      <c r="C328" s="2278"/>
      <c r="D328" s="1154"/>
      <c r="E328" s="1154"/>
      <c r="F328" s="1141"/>
      <c r="G328" s="1141"/>
      <c r="H328" s="570"/>
      <c r="I328" s="473"/>
      <c r="J328" s="2265" t="s">
        <v>2745</v>
      </c>
      <c r="K328" s="2266"/>
      <c r="L328" s="2266"/>
      <c r="M328" s="2266"/>
      <c r="N328" s="2266"/>
      <c r="O328" s="2266"/>
      <c r="P328" s="2266"/>
      <c r="Q328" s="372"/>
      <c r="R328" s="1128"/>
      <c r="S328" s="524">
        <v>100000</v>
      </c>
      <c r="T328" s="466" t="s">
        <v>592</v>
      </c>
      <c r="U328" s="2278"/>
      <c r="V328" s="366">
        <v>50</v>
      </c>
      <c r="W328" s="466" t="s">
        <v>2746</v>
      </c>
      <c r="X328" s="525" t="s">
        <v>706</v>
      </c>
      <c r="Y328" s="1674">
        <f>S328*V328/1000</f>
        <v>5000</v>
      </c>
      <c r="Z328" s="759"/>
      <c r="AA328" s="759"/>
      <c r="AB328" s="275"/>
      <c r="AC328" s="759"/>
      <c r="AD328" s="759"/>
    </row>
    <row r="329" spans="1:30" s="760" customFormat="1" ht="24.95" customHeight="1">
      <c r="A329" s="2074"/>
      <c r="B329" s="2075"/>
      <c r="C329" s="2278"/>
      <c r="D329" s="1154"/>
      <c r="E329" s="1154"/>
      <c r="F329" s="1141"/>
      <c r="G329" s="1141"/>
      <c r="H329" s="570"/>
      <c r="I329" s="473"/>
      <c r="J329" s="2265" t="s">
        <v>2747</v>
      </c>
      <c r="K329" s="2266"/>
      <c r="L329" s="2266"/>
      <c r="M329" s="2266"/>
      <c r="N329" s="2266"/>
      <c r="O329" s="2266"/>
      <c r="P329" s="2266"/>
      <c r="Q329" s="372">
        <v>10</v>
      </c>
      <c r="R329" s="1128" t="s">
        <v>619</v>
      </c>
      <c r="S329" s="524">
        <v>100000</v>
      </c>
      <c r="T329" s="466" t="s">
        <v>354</v>
      </c>
      <c r="U329" s="2278"/>
      <c r="V329" s="366">
        <v>10</v>
      </c>
      <c r="W329" s="466" t="s">
        <v>570</v>
      </c>
      <c r="X329" s="525" t="s">
        <v>565</v>
      </c>
      <c r="Y329" s="1674">
        <f>S329*V329*Q329/1000</f>
        <v>10000</v>
      </c>
      <c r="Z329" s="759"/>
      <c r="AA329" s="759"/>
      <c r="AB329" s="275"/>
      <c r="AC329" s="759"/>
      <c r="AD329" s="759"/>
    </row>
    <row r="330" spans="1:30" s="357" customFormat="1" ht="24.95" customHeight="1">
      <c r="A330" s="2074"/>
      <c r="B330" s="2075"/>
      <c r="C330" s="1126"/>
      <c r="D330" s="1154"/>
      <c r="E330" s="1154" t="s">
        <v>602</v>
      </c>
      <c r="F330" s="1141">
        <v>2000</v>
      </c>
      <c r="G330" s="1141">
        <v>2000</v>
      </c>
      <c r="H330" s="570"/>
      <c r="I330" s="473"/>
      <c r="J330" s="2265" t="s">
        <v>2748</v>
      </c>
      <c r="K330" s="2266"/>
      <c r="L330" s="2266"/>
      <c r="M330" s="2266"/>
      <c r="N330" s="2266"/>
      <c r="O330" s="2266"/>
      <c r="P330" s="2266"/>
      <c r="Q330" s="372"/>
      <c r="R330" s="1128"/>
      <c r="S330" s="524">
        <v>1000000</v>
      </c>
      <c r="T330" s="466" t="s">
        <v>592</v>
      </c>
      <c r="U330" s="2278"/>
      <c r="V330" s="366">
        <v>2</v>
      </c>
      <c r="W330" s="466" t="s">
        <v>217</v>
      </c>
      <c r="X330" s="525" t="s">
        <v>706</v>
      </c>
      <c r="Y330" s="1674">
        <f>S330*V330/1000</f>
        <v>2000</v>
      </c>
      <c r="Z330" s="2087"/>
      <c r="AA330" s="1675"/>
      <c r="AB330" s="275"/>
    </row>
    <row r="331" spans="1:30" s="760" customFormat="1" ht="24.95" customHeight="1">
      <c r="A331" s="348"/>
      <c r="B331" s="1126"/>
      <c r="C331" s="2257" t="s">
        <v>599</v>
      </c>
      <c r="D331" s="2267"/>
      <c r="E331" s="2267"/>
      <c r="F331" s="373">
        <f>F332</f>
        <v>160000</v>
      </c>
      <c r="G331" s="373">
        <f>G332</f>
        <v>160000</v>
      </c>
      <c r="H331" s="1132">
        <f>F331-G331</f>
        <v>0</v>
      </c>
      <c r="I331" s="1127"/>
      <c r="J331" s="501"/>
      <c r="K331" s="800"/>
      <c r="L331" s="800"/>
      <c r="M331" s="800"/>
      <c r="N331" s="800"/>
      <c r="O331" s="800"/>
      <c r="P331" s="800"/>
      <c r="Q331" s="857"/>
      <c r="R331" s="800"/>
      <c r="S331" s="800"/>
      <c r="T331" s="800"/>
      <c r="U331" s="800"/>
      <c r="V331" s="800"/>
      <c r="W331" s="800"/>
      <c r="X331" s="375"/>
      <c r="Y331" s="503"/>
      <c r="Z331" s="2087"/>
      <c r="AA331" s="759"/>
      <c r="AB331" s="275"/>
      <c r="AC331" s="759"/>
      <c r="AD331" s="759"/>
    </row>
    <row r="332" spans="1:30" s="760" customFormat="1" ht="24.6" customHeight="1">
      <c r="A332" s="348"/>
      <c r="B332" s="1126"/>
      <c r="C332" s="2278"/>
      <c r="D332" s="3275" t="s">
        <v>599</v>
      </c>
      <c r="E332" s="3276"/>
      <c r="F332" s="500">
        <f>SUM(F333:F348)</f>
        <v>160000</v>
      </c>
      <c r="G332" s="500">
        <f>SUM(G333:G348)</f>
        <v>160000</v>
      </c>
      <c r="H332" s="1132">
        <f>F332-G332</f>
        <v>0</v>
      </c>
      <c r="I332" s="1127"/>
      <c r="J332" s="501"/>
      <c r="K332" s="2276"/>
      <c r="L332" s="2276"/>
      <c r="M332" s="2276"/>
      <c r="N332" s="2276"/>
      <c r="O332" s="2276"/>
      <c r="P332" s="484"/>
      <c r="Q332" s="2276"/>
      <c r="R332" s="1146"/>
      <c r="S332" s="484"/>
      <c r="T332" s="2276"/>
      <c r="U332" s="2276"/>
      <c r="V332" s="484"/>
      <c r="W332" s="2276"/>
      <c r="X332" s="502"/>
      <c r="Y332" s="503"/>
      <c r="Z332" s="2087"/>
      <c r="AA332" s="759"/>
      <c r="AB332" s="275"/>
      <c r="AC332" s="759"/>
      <c r="AD332" s="759"/>
    </row>
    <row r="333" spans="1:30" s="760" customFormat="1" ht="24.6" customHeight="1">
      <c r="A333" s="348"/>
      <c r="B333" s="1126"/>
      <c r="C333" s="2278"/>
      <c r="D333" s="1289"/>
      <c r="E333" s="1134" t="s">
        <v>733</v>
      </c>
      <c r="F333" s="1899">
        <f>Y333</f>
        <v>91000</v>
      </c>
      <c r="G333" s="337">
        <v>91000</v>
      </c>
      <c r="H333" s="570"/>
      <c r="I333" s="1127"/>
      <c r="J333" s="2287" t="s">
        <v>194</v>
      </c>
      <c r="K333" s="2282"/>
      <c r="L333" s="2282"/>
      <c r="M333" s="2282"/>
      <c r="N333" s="2282"/>
      <c r="O333" s="2282"/>
      <c r="P333" s="1675"/>
      <c r="Q333" s="2288"/>
      <c r="R333" s="2262"/>
      <c r="S333" s="2288"/>
      <c r="T333" s="2288"/>
      <c r="U333" s="1675"/>
      <c r="V333" s="2288"/>
      <c r="W333" s="2288"/>
      <c r="X333" s="1140"/>
      <c r="Y333" s="1674">
        <f>SUM(Y334:Y337)</f>
        <v>91000</v>
      </c>
      <c r="Z333" s="2087"/>
      <c r="AA333" s="759"/>
      <c r="AB333" s="275"/>
      <c r="AC333" s="759"/>
      <c r="AD333" s="759"/>
    </row>
    <row r="334" spans="1:30" s="760" customFormat="1" ht="22.5" customHeight="1">
      <c r="A334" s="348"/>
      <c r="B334" s="1126"/>
      <c r="C334" s="2278"/>
      <c r="D334" s="1144"/>
      <c r="E334" s="1134"/>
      <c r="F334" s="1899"/>
      <c r="G334" s="337"/>
      <c r="H334" s="570"/>
      <c r="I334" s="1127"/>
      <c r="J334" s="2287" t="s">
        <v>2749</v>
      </c>
      <c r="K334" s="2282"/>
      <c r="L334" s="2282"/>
      <c r="M334" s="2282"/>
      <c r="N334" s="2282"/>
      <c r="O334" s="1673"/>
      <c r="P334" s="1675"/>
      <c r="Q334" s="2288">
        <v>1</v>
      </c>
      <c r="R334" s="2262" t="s">
        <v>756</v>
      </c>
      <c r="S334" s="2288">
        <v>2500000</v>
      </c>
      <c r="T334" s="2288" t="s">
        <v>354</v>
      </c>
      <c r="U334" s="1675"/>
      <c r="V334" s="2288">
        <v>12</v>
      </c>
      <c r="W334" s="2262" t="s">
        <v>201</v>
      </c>
      <c r="X334" s="1140" t="s">
        <v>565</v>
      </c>
      <c r="Y334" s="1674">
        <f>Q334*S334*V334/1000</f>
        <v>30000</v>
      </c>
      <c r="Z334" s="2087"/>
      <c r="AA334" s="759"/>
      <c r="AB334" s="275"/>
      <c r="AC334" s="759"/>
      <c r="AD334" s="759"/>
    </row>
    <row r="335" spans="1:30" s="760" customFormat="1" ht="22.5" customHeight="1">
      <c r="A335" s="348"/>
      <c r="B335" s="1126"/>
      <c r="C335" s="2278"/>
      <c r="D335" s="1144"/>
      <c r="E335" s="1134"/>
      <c r="F335" s="1899"/>
      <c r="G335" s="337"/>
      <c r="H335" s="570"/>
      <c r="I335" s="1127"/>
      <c r="J335" s="2287" t="s">
        <v>2750</v>
      </c>
      <c r="K335" s="2282"/>
      <c r="L335" s="2282"/>
      <c r="M335" s="2282"/>
      <c r="N335" s="2282"/>
      <c r="O335" s="1673"/>
      <c r="P335" s="1675"/>
      <c r="Q335" s="2288">
        <v>1</v>
      </c>
      <c r="R335" s="2262" t="s">
        <v>756</v>
      </c>
      <c r="S335" s="2288">
        <v>2500000</v>
      </c>
      <c r="T335" s="2288" t="s">
        <v>354</v>
      </c>
      <c r="U335" s="1675"/>
      <c r="V335" s="2288">
        <v>12</v>
      </c>
      <c r="W335" s="2262" t="s">
        <v>201</v>
      </c>
      <c r="X335" s="1140" t="s">
        <v>565</v>
      </c>
      <c r="Y335" s="1674">
        <f>Q335*S335*V335/1000</f>
        <v>30000</v>
      </c>
      <c r="Z335" s="2087"/>
      <c r="AA335" s="759"/>
      <c r="AB335" s="275"/>
      <c r="AC335" s="759"/>
      <c r="AD335" s="759"/>
    </row>
    <row r="336" spans="1:30" s="760" customFormat="1" ht="22.5" customHeight="1">
      <c r="A336" s="348"/>
      <c r="B336" s="1126"/>
      <c r="C336" s="2278"/>
      <c r="D336" s="1144"/>
      <c r="E336" s="1134"/>
      <c r="F336" s="1899"/>
      <c r="G336" s="337"/>
      <c r="H336" s="570"/>
      <c r="I336" s="1127"/>
      <c r="J336" s="2939" t="s">
        <v>6101</v>
      </c>
      <c r="K336" s="2282"/>
      <c r="L336" s="2282"/>
      <c r="M336" s="2282"/>
      <c r="N336" s="2282"/>
      <c r="O336" s="1673"/>
      <c r="P336" s="1675"/>
      <c r="Q336" s="2288">
        <v>1</v>
      </c>
      <c r="R336" s="2262" t="s">
        <v>756</v>
      </c>
      <c r="S336" s="2288">
        <v>2500000</v>
      </c>
      <c r="T336" s="2288" t="s">
        <v>354</v>
      </c>
      <c r="U336" s="1675"/>
      <c r="V336" s="2288">
        <v>10</v>
      </c>
      <c r="W336" s="2262" t="s">
        <v>201</v>
      </c>
      <c r="X336" s="1140" t="s">
        <v>565</v>
      </c>
      <c r="Y336" s="1674">
        <f>Q336*S336*V336/1000</f>
        <v>25000</v>
      </c>
      <c r="Z336" s="2087"/>
      <c r="AA336" s="759"/>
      <c r="AB336" s="275"/>
      <c r="AC336" s="759"/>
      <c r="AD336" s="759"/>
    </row>
    <row r="337" spans="1:30" s="760" customFormat="1" ht="22.5" customHeight="1">
      <c r="A337" s="348"/>
      <c r="B337" s="1126"/>
      <c r="C337" s="2278"/>
      <c r="D337" s="1144"/>
      <c r="E337" s="1134"/>
      <c r="F337" s="1899"/>
      <c r="G337" s="337"/>
      <c r="H337" s="570"/>
      <c r="I337" s="1127"/>
      <c r="J337" s="2287" t="s">
        <v>2751</v>
      </c>
      <c r="K337" s="2282"/>
      <c r="L337" s="2282"/>
      <c r="M337" s="2282"/>
      <c r="N337" s="2282"/>
      <c r="O337" s="1673"/>
      <c r="P337" s="1675"/>
      <c r="Q337" s="2288">
        <v>1</v>
      </c>
      <c r="R337" s="2262" t="s">
        <v>756</v>
      </c>
      <c r="S337" s="2288">
        <v>1500000</v>
      </c>
      <c r="T337" s="2288" t="s">
        <v>354</v>
      </c>
      <c r="U337" s="1675"/>
      <c r="V337" s="2288">
        <v>4</v>
      </c>
      <c r="W337" s="2262" t="s">
        <v>201</v>
      </c>
      <c r="X337" s="1140" t="s">
        <v>565</v>
      </c>
      <c r="Y337" s="1674">
        <f>Q337*S337*V337/1000</f>
        <v>6000</v>
      </c>
      <c r="Z337" s="2087"/>
      <c r="AA337" s="759"/>
      <c r="AB337" s="275"/>
      <c r="AC337" s="759"/>
      <c r="AD337" s="759"/>
    </row>
    <row r="338" spans="1:30" s="760" customFormat="1" ht="22.5" customHeight="1">
      <c r="A338" s="348"/>
      <c r="B338" s="1126"/>
      <c r="C338" s="2278"/>
      <c r="D338" s="1144"/>
      <c r="E338" s="1134" t="s">
        <v>294</v>
      </c>
      <c r="F338" s="1899">
        <f>Y338</f>
        <v>8100</v>
      </c>
      <c r="G338" s="337">
        <v>8100</v>
      </c>
      <c r="H338" s="570"/>
      <c r="I338" s="1127"/>
      <c r="J338" s="2287" t="s">
        <v>2752</v>
      </c>
      <c r="K338" s="2282"/>
      <c r="L338" s="2282"/>
      <c r="M338" s="2282"/>
      <c r="N338" s="2282"/>
      <c r="O338" s="1673"/>
      <c r="P338" s="1675"/>
      <c r="Q338" s="2288"/>
      <c r="R338" s="2262"/>
      <c r="S338" s="2288">
        <v>2025000</v>
      </c>
      <c r="T338" s="2288" t="s">
        <v>354</v>
      </c>
      <c r="U338" s="1675"/>
      <c r="V338" s="2288">
        <v>4</v>
      </c>
      <c r="W338" s="2262" t="s">
        <v>203</v>
      </c>
      <c r="X338" s="1140" t="s">
        <v>565</v>
      </c>
      <c r="Y338" s="1674">
        <f>S338*V338/1000</f>
        <v>8100</v>
      </c>
      <c r="Z338" s="759"/>
      <c r="AA338" s="759"/>
      <c r="AB338" s="275"/>
      <c r="AC338" s="759"/>
      <c r="AD338" s="759"/>
    </row>
    <row r="339" spans="1:30" s="760" customFormat="1" ht="22.5" customHeight="1">
      <c r="A339" s="348"/>
      <c r="B339" s="1126"/>
      <c r="C339" s="2278"/>
      <c r="D339" s="1144"/>
      <c r="E339" s="1134" t="s">
        <v>224</v>
      </c>
      <c r="F339" s="1899">
        <f>Y339</f>
        <v>3300</v>
      </c>
      <c r="G339" s="337">
        <v>3300</v>
      </c>
      <c r="H339" s="570"/>
      <c r="I339" s="1127"/>
      <c r="J339" s="2287" t="s">
        <v>194</v>
      </c>
      <c r="K339" s="2282"/>
      <c r="L339" s="2282"/>
      <c r="M339" s="2282"/>
      <c r="N339" s="2282"/>
      <c r="O339" s="1673"/>
      <c r="P339" s="1675"/>
      <c r="Q339" s="2288"/>
      <c r="R339" s="2262"/>
      <c r="S339" s="2288"/>
      <c r="T339" s="2288"/>
      <c r="U339" s="1675"/>
      <c r="V339" s="2288"/>
      <c r="W339" s="2262"/>
      <c r="X339" s="1140"/>
      <c r="Y339" s="1674">
        <f>SUM(Y340:Y342)</f>
        <v>3300</v>
      </c>
      <c r="Z339" s="759"/>
      <c r="AA339" s="759"/>
      <c r="AB339" s="275"/>
      <c r="AC339" s="759"/>
      <c r="AD339" s="759"/>
    </row>
    <row r="340" spans="1:30" s="760" customFormat="1" ht="22.5" customHeight="1">
      <c r="A340" s="348"/>
      <c r="B340" s="1126"/>
      <c r="C340" s="2278"/>
      <c r="D340" s="1144"/>
      <c r="E340" s="1134"/>
      <c r="F340" s="1899"/>
      <c r="G340" s="337"/>
      <c r="H340" s="570"/>
      <c r="I340" s="1127"/>
      <c r="J340" s="2287" t="s">
        <v>2753</v>
      </c>
      <c r="K340" s="2282"/>
      <c r="L340" s="2282"/>
      <c r="M340" s="2282"/>
      <c r="N340" s="2282"/>
      <c r="O340" s="1673"/>
      <c r="P340" s="1675"/>
      <c r="Q340" s="2288">
        <v>1</v>
      </c>
      <c r="R340" s="2262" t="s">
        <v>296</v>
      </c>
      <c r="S340" s="2288">
        <v>500000</v>
      </c>
      <c r="T340" s="2288" t="s">
        <v>354</v>
      </c>
      <c r="U340" s="1675"/>
      <c r="V340" s="2288">
        <v>3</v>
      </c>
      <c r="W340" s="2262" t="s">
        <v>203</v>
      </c>
      <c r="X340" s="1140" t="s">
        <v>565</v>
      </c>
      <c r="Y340" s="1674">
        <f>Q340*S340*V340/1000</f>
        <v>1500</v>
      </c>
      <c r="Z340" s="759"/>
      <c r="AA340" s="759"/>
      <c r="AB340" s="275"/>
      <c r="AC340" s="759"/>
      <c r="AD340" s="759"/>
    </row>
    <row r="341" spans="1:30" s="760" customFormat="1" ht="22.5" customHeight="1">
      <c r="A341" s="2274"/>
      <c r="B341" s="1145"/>
      <c r="C341" s="2278"/>
      <c r="D341" s="1144"/>
      <c r="E341" s="1134"/>
      <c r="F341" s="1899"/>
      <c r="G341" s="337"/>
      <c r="H341" s="570"/>
      <c r="I341" s="1127"/>
      <c r="J341" s="2287" t="s">
        <v>2754</v>
      </c>
      <c r="K341" s="2282"/>
      <c r="L341" s="2282"/>
      <c r="M341" s="2282"/>
      <c r="N341" s="2282"/>
      <c r="O341" s="1673"/>
      <c r="P341" s="1675"/>
      <c r="Q341" s="2288"/>
      <c r="R341" s="2262"/>
      <c r="S341" s="2288">
        <v>25000</v>
      </c>
      <c r="T341" s="2288" t="s">
        <v>354</v>
      </c>
      <c r="U341" s="1675"/>
      <c r="V341" s="2288">
        <v>12</v>
      </c>
      <c r="W341" s="2262" t="s">
        <v>201</v>
      </c>
      <c r="X341" s="1140" t="s">
        <v>565</v>
      </c>
      <c r="Y341" s="1674">
        <f>S341*V341/1000</f>
        <v>300</v>
      </c>
      <c r="Z341" s="759"/>
      <c r="AA341" s="759"/>
      <c r="AB341" s="275"/>
      <c r="AC341" s="759"/>
      <c r="AD341" s="759"/>
    </row>
    <row r="342" spans="1:30" s="760" customFormat="1" ht="22.5" customHeight="1">
      <c r="A342" s="2274"/>
      <c r="B342" s="1145"/>
      <c r="C342" s="2278"/>
      <c r="D342" s="1144"/>
      <c r="E342" s="1134"/>
      <c r="F342" s="1899"/>
      <c r="G342" s="337"/>
      <c r="H342" s="570"/>
      <c r="I342" s="1127"/>
      <c r="J342" s="2287" t="s">
        <v>2755</v>
      </c>
      <c r="K342" s="2282"/>
      <c r="L342" s="2282"/>
      <c r="M342" s="2282"/>
      <c r="N342" s="2282"/>
      <c r="O342" s="1673"/>
      <c r="P342" s="1675"/>
      <c r="Q342" s="2288"/>
      <c r="R342" s="2262"/>
      <c r="S342" s="2288">
        <v>125000</v>
      </c>
      <c r="T342" s="2288" t="s">
        <v>354</v>
      </c>
      <c r="U342" s="1675"/>
      <c r="V342" s="2288">
        <v>12</v>
      </c>
      <c r="W342" s="2262" t="s">
        <v>198</v>
      </c>
      <c r="X342" s="1140" t="s">
        <v>565</v>
      </c>
      <c r="Y342" s="1674">
        <v>1500</v>
      </c>
      <c r="Z342" s="759"/>
      <c r="AA342" s="759"/>
      <c r="AB342" s="275"/>
      <c r="AC342" s="759"/>
      <c r="AD342" s="759"/>
    </row>
    <row r="343" spans="1:30" s="760" customFormat="1" ht="22.5" customHeight="1">
      <c r="A343" s="2274"/>
      <c r="B343" s="1145"/>
      <c r="C343" s="2278"/>
      <c r="D343" s="1144"/>
      <c r="E343" s="1134" t="s">
        <v>573</v>
      </c>
      <c r="F343" s="1899">
        <f>Y343</f>
        <v>1200</v>
      </c>
      <c r="G343" s="337">
        <v>1200</v>
      </c>
      <c r="H343" s="570"/>
      <c r="I343" s="1127"/>
      <c r="J343" s="2287" t="s">
        <v>194</v>
      </c>
      <c r="K343" s="2282"/>
      <c r="L343" s="2282"/>
      <c r="M343" s="2282"/>
      <c r="N343" s="2282"/>
      <c r="O343" s="1673"/>
      <c r="P343" s="1675"/>
      <c r="Q343" s="2288"/>
      <c r="R343" s="2262"/>
      <c r="S343" s="2288"/>
      <c r="T343" s="2288"/>
      <c r="U343" s="1675"/>
      <c r="V343" s="2288"/>
      <c r="W343" s="2262"/>
      <c r="X343" s="1140" t="s">
        <v>565</v>
      </c>
      <c r="Y343" s="1674">
        <f>SUM(Y344:Y345)</f>
        <v>1200</v>
      </c>
      <c r="Z343" s="759"/>
      <c r="AA343" s="759"/>
      <c r="AB343" s="275"/>
      <c r="AC343" s="759"/>
      <c r="AD343" s="759"/>
    </row>
    <row r="344" spans="1:30" s="760" customFormat="1" ht="22.5" customHeight="1">
      <c r="A344" s="348"/>
      <c r="B344" s="1126"/>
      <c r="C344" s="2278"/>
      <c r="D344" s="1144"/>
      <c r="E344" s="1134"/>
      <c r="F344" s="1899"/>
      <c r="G344" s="337"/>
      <c r="H344" s="570"/>
      <c r="I344" s="1127"/>
      <c r="J344" s="2287" t="s">
        <v>2756</v>
      </c>
      <c r="K344" s="2282"/>
      <c r="L344" s="2282"/>
      <c r="M344" s="2282"/>
      <c r="N344" s="2282"/>
      <c r="O344" s="1673"/>
      <c r="P344" s="1675"/>
      <c r="Q344" s="2288"/>
      <c r="R344" s="2262"/>
      <c r="S344" s="2288">
        <v>50000</v>
      </c>
      <c r="T344" s="2288" t="s">
        <v>354</v>
      </c>
      <c r="U344" s="1675"/>
      <c r="V344" s="2288">
        <v>12</v>
      </c>
      <c r="W344" s="2262" t="s">
        <v>201</v>
      </c>
      <c r="X344" s="1140" t="s">
        <v>565</v>
      </c>
      <c r="Y344" s="1674">
        <f>S344*V344/1000</f>
        <v>600</v>
      </c>
      <c r="Z344" s="759"/>
      <c r="AA344" s="759"/>
      <c r="AB344" s="275"/>
      <c r="AC344" s="759"/>
      <c r="AD344" s="759"/>
    </row>
    <row r="345" spans="1:30" s="760" customFormat="1" ht="22.5" customHeight="1">
      <c r="A345" s="348"/>
      <c r="B345" s="1126"/>
      <c r="C345" s="2278"/>
      <c r="D345" s="1144"/>
      <c r="E345" s="1134"/>
      <c r="F345" s="1899"/>
      <c r="G345" s="337"/>
      <c r="H345" s="570"/>
      <c r="I345" s="1127"/>
      <c r="J345" s="2287" t="s">
        <v>1216</v>
      </c>
      <c r="K345" s="2282"/>
      <c r="L345" s="2282"/>
      <c r="M345" s="2282"/>
      <c r="N345" s="2282"/>
      <c r="O345" s="1673"/>
      <c r="P345" s="1675"/>
      <c r="Q345" s="2288"/>
      <c r="R345" s="2262"/>
      <c r="S345" s="2288">
        <v>50000</v>
      </c>
      <c r="T345" s="2288" t="s">
        <v>354</v>
      </c>
      <c r="U345" s="1675"/>
      <c r="V345" s="2288">
        <v>12</v>
      </c>
      <c r="W345" s="2262" t="s">
        <v>201</v>
      </c>
      <c r="X345" s="1140" t="s">
        <v>565</v>
      </c>
      <c r="Y345" s="1674">
        <f>S345*V345/1000</f>
        <v>600</v>
      </c>
      <c r="Z345" s="759"/>
      <c r="AA345" s="759"/>
      <c r="AB345" s="275"/>
      <c r="AC345" s="759"/>
      <c r="AD345" s="759"/>
    </row>
    <row r="346" spans="1:30" s="760" customFormat="1" ht="22.5" customHeight="1">
      <c r="A346" s="348"/>
      <c r="B346" s="1126"/>
      <c r="C346" s="2278"/>
      <c r="D346" s="1144"/>
      <c r="E346" s="1134" t="s">
        <v>708</v>
      </c>
      <c r="F346" s="1899">
        <f>Y346</f>
        <v>56400</v>
      </c>
      <c r="G346" s="337">
        <v>56400</v>
      </c>
      <c r="H346" s="570"/>
      <c r="I346" s="1127"/>
      <c r="J346" s="2287" t="s">
        <v>194</v>
      </c>
      <c r="K346" s="2282"/>
      <c r="L346" s="2282"/>
      <c r="M346" s="2282"/>
      <c r="N346" s="2282"/>
      <c r="O346" s="1673"/>
      <c r="P346" s="1675"/>
      <c r="Q346" s="2288"/>
      <c r="R346" s="2262"/>
      <c r="S346" s="2288"/>
      <c r="T346" s="2288"/>
      <c r="U346" s="1675"/>
      <c r="V346" s="2288"/>
      <c r="W346" s="2262"/>
      <c r="X346" s="1140"/>
      <c r="Y346" s="1674">
        <f>SUM(Y347:Y348)</f>
        <v>56400</v>
      </c>
      <c r="Z346" s="759"/>
      <c r="AA346" s="759"/>
      <c r="AB346" s="275"/>
      <c r="AC346" s="759"/>
      <c r="AD346" s="759"/>
    </row>
    <row r="347" spans="1:30" s="760" customFormat="1" ht="22.5" customHeight="1">
      <c r="A347" s="910"/>
      <c r="B347" s="1126"/>
      <c r="C347" s="2278"/>
      <c r="D347" s="1144"/>
      <c r="E347" s="1134"/>
      <c r="F347" s="1899"/>
      <c r="G347" s="337"/>
      <c r="H347" s="570"/>
      <c r="I347" s="1127"/>
      <c r="J347" s="2287" t="s">
        <v>2757</v>
      </c>
      <c r="K347" s="2282"/>
      <c r="L347" s="2282"/>
      <c r="M347" s="2282"/>
      <c r="N347" s="2282"/>
      <c r="O347" s="1673"/>
      <c r="P347" s="1675"/>
      <c r="Q347" s="2288"/>
      <c r="R347" s="2262"/>
      <c r="S347" s="2288">
        <v>2500000</v>
      </c>
      <c r="T347" s="2288" t="s">
        <v>354</v>
      </c>
      <c r="U347" s="1675"/>
      <c r="V347" s="2288">
        <v>12</v>
      </c>
      <c r="W347" s="2262" t="s">
        <v>201</v>
      </c>
      <c r="X347" s="1140" t="s">
        <v>565</v>
      </c>
      <c r="Y347" s="1674">
        <f>S347*V347/1000</f>
        <v>30000</v>
      </c>
      <c r="Z347" s="759"/>
      <c r="AA347" s="759"/>
      <c r="AB347" s="275"/>
      <c r="AC347" s="759"/>
      <c r="AD347" s="759"/>
    </row>
    <row r="348" spans="1:30" s="760" customFormat="1" ht="22.5" customHeight="1">
      <c r="A348" s="475"/>
      <c r="B348" s="1145"/>
      <c r="C348" s="2278"/>
      <c r="D348" s="1144"/>
      <c r="E348" s="1134"/>
      <c r="F348" s="1899"/>
      <c r="G348" s="337"/>
      <c r="H348" s="570"/>
      <c r="I348" s="1127"/>
      <c r="J348" s="2287" t="s">
        <v>2758</v>
      </c>
      <c r="K348" s="2282"/>
      <c r="L348" s="2282"/>
      <c r="M348" s="2282"/>
      <c r="N348" s="2282"/>
      <c r="O348" s="1673"/>
      <c r="P348" s="1675"/>
      <c r="Q348" s="2288"/>
      <c r="R348" s="2262"/>
      <c r="S348" s="2288">
        <v>2200000</v>
      </c>
      <c r="T348" s="2288" t="s">
        <v>354</v>
      </c>
      <c r="U348" s="1675"/>
      <c r="V348" s="2288">
        <v>12</v>
      </c>
      <c r="W348" s="2262" t="s">
        <v>201</v>
      </c>
      <c r="X348" s="1140" t="s">
        <v>565</v>
      </c>
      <c r="Y348" s="1674">
        <f>S348*V348/1000</f>
        <v>26400</v>
      </c>
      <c r="Z348" s="759"/>
      <c r="AA348" s="759"/>
      <c r="AB348" s="275"/>
      <c r="AC348" s="759"/>
      <c r="AD348" s="759"/>
    </row>
    <row r="349" spans="1:30" ht="22.5" customHeight="1"/>
  </sheetData>
  <autoFilter ref="A4:AE348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0">
    <mergeCell ref="D137:E137"/>
    <mergeCell ref="A1:Y1"/>
    <mergeCell ref="A3:E3"/>
    <mergeCell ref="F3:F4"/>
    <mergeCell ref="G3:G4"/>
    <mergeCell ref="H3:H4"/>
    <mergeCell ref="J3:Y4"/>
    <mergeCell ref="C7:E7"/>
    <mergeCell ref="D8:E8"/>
    <mergeCell ref="D114:E114"/>
    <mergeCell ref="C118:E118"/>
    <mergeCell ref="D120:E120"/>
    <mergeCell ref="D292:E292"/>
    <mergeCell ref="C150:E150"/>
    <mergeCell ref="D151:E151"/>
    <mergeCell ref="D169:E169"/>
    <mergeCell ref="D196:E196"/>
    <mergeCell ref="C216:E216"/>
    <mergeCell ref="D217:E217"/>
    <mergeCell ref="D232:E232"/>
    <mergeCell ref="D243:E243"/>
    <mergeCell ref="D250:E250"/>
    <mergeCell ref="D268:E268"/>
    <mergeCell ref="D281:E281"/>
    <mergeCell ref="D205:E205"/>
    <mergeCell ref="C306:E306"/>
    <mergeCell ref="D307:E307"/>
    <mergeCell ref="D309:E309"/>
    <mergeCell ref="D320:E320"/>
    <mergeCell ref="D332:E332"/>
  </mergeCells>
  <phoneticPr fontId="19" type="noConversion"/>
  <printOptions horizontalCentered="1"/>
  <pageMargins left="0.59055118110236227" right="0.59055118110236227" top="0.51181102362204722" bottom="0.51181102362204722" header="0.31496062992125984" footer="0.31496062992125984"/>
  <pageSetup paperSize="9" scale="53" firstPageNumber="81" fitToHeight="100" orientation="landscape" useFirstPageNumber="1" r:id="rId1"/>
  <headerFooter scaleWithDoc="0" alignWithMargins="0"/>
  <rowBreaks count="3" manualBreakCount="3">
    <brk id="41" max="24" man="1"/>
    <brk id="81" max="24" man="1"/>
    <brk id="117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274"/>
  <sheetViews>
    <sheetView view="pageBreakPreview" zoomScale="70" zoomScaleNormal="55" zoomScaleSheetLayoutView="70" workbookViewId="0">
      <pane ySplit="6" topLeftCell="A258" activePane="bottomLeft" state="frozen"/>
      <selection activeCell="F154" sqref="F154"/>
      <selection pane="bottomLeft" activeCell="J278" sqref="J278"/>
    </sheetView>
  </sheetViews>
  <sheetFormatPr defaultRowHeight="21.75" customHeight="1"/>
  <cols>
    <col min="1" max="1" width="6.77734375" style="1155" customWidth="1"/>
    <col min="2" max="2" width="8" style="1155" customWidth="1"/>
    <col min="3" max="4" width="6.77734375" style="1155" customWidth="1"/>
    <col min="5" max="5" width="16" style="1155" customWidth="1"/>
    <col min="6" max="7" width="13.77734375" style="742" customWidth="1"/>
    <col min="8" max="8" width="13.77734375" style="647" customWidth="1"/>
    <col min="9" max="9" width="1.77734375" style="1938" customWidth="1"/>
    <col min="10" max="10" width="18.88671875" style="743" customWidth="1"/>
    <col min="11" max="11" width="2" style="743" customWidth="1"/>
    <col min="12" max="12" width="2.5546875" style="743" customWidth="1"/>
    <col min="13" max="13" width="8.77734375" style="743" customWidth="1"/>
    <col min="14" max="14" width="10.77734375" style="743" customWidth="1"/>
    <col min="15" max="16" width="7.77734375" style="743" customWidth="1"/>
    <col min="17" max="17" width="9.5546875" style="744" customWidth="1"/>
    <col min="18" max="18" width="6.88671875" style="1155" customWidth="1"/>
    <col min="19" max="19" width="14.77734375" style="1155" customWidth="1"/>
    <col min="20" max="21" width="6.88671875" style="1155" customWidth="1"/>
    <col min="22" max="22" width="7.44140625" style="1155" customWidth="1"/>
    <col min="23" max="23" width="6.88671875" style="1155" customWidth="1"/>
    <col min="24" max="24" width="3" style="1155" customWidth="1"/>
    <col min="25" max="25" width="14.77734375" style="745" customWidth="1"/>
    <col min="26" max="26" width="15.77734375" style="1155" customWidth="1"/>
    <col min="27" max="27" width="26.44140625" style="1155" bestFit="1" customWidth="1"/>
    <col min="28" max="28" width="25.21875" style="1143" bestFit="1" customWidth="1"/>
    <col min="29" max="29" width="13.77734375" style="1143" bestFit="1" customWidth="1"/>
    <col min="30" max="30" width="14.21875" style="1143" bestFit="1" customWidth="1"/>
    <col min="31" max="31" width="13.21875" style="1155" bestFit="1" customWidth="1"/>
    <col min="32" max="32" width="10" style="1155" bestFit="1" customWidth="1"/>
    <col min="33" max="33" width="12.77734375" style="1155" bestFit="1" customWidth="1"/>
    <col min="34" max="34" width="11.33203125" style="1155" bestFit="1" customWidth="1"/>
    <col min="35" max="35" width="9.6640625" style="1155" bestFit="1" customWidth="1"/>
    <col min="36" max="256" width="8.88671875" style="1155"/>
    <col min="257" max="260" width="6.77734375" style="1155" customWidth="1"/>
    <col min="261" max="261" width="16" style="1155" customWidth="1"/>
    <col min="262" max="264" width="13.77734375" style="1155" customWidth="1"/>
    <col min="265" max="265" width="1.77734375" style="1155" customWidth="1"/>
    <col min="266" max="266" width="2.88671875" style="1155" customWidth="1"/>
    <col min="267" max="267" width="2" style="1155" customWidth="1"/>
    <col min="268" max="269" width="8.77734375" style="1155" customWidth="1"/>
    <col min="270" max="270" width="10.77734375" style="1155" customWidth="1"/>
    <col min="271" max="272" width="7.77734375" style="1155" customWidth="1"/>
    <col min="273" max="273" width="8.109375" style="1155" customWidth="1"/>
    <col min="274" max="274" width="6.88671875" style="1155" customWidth="1"/>
    <col min="275" max="275" width="14.77734375" style="1155" customWidth="1"/>
    <col min="276" max="277" width="6.88671875" style="1155" customWidth="1"/>
    <col min="278" max="278" width="7.44140625" style="1155" customWidth="1"/>
    <col min="279" max="279" width="6.88671875" style="1155" customWidth="1"/>
    <col min="280" max="280" width="3" style="1155" customWidth="1"/>
    <col min="281" max="281" width="14.77734375" style="1155" customWidth="1"/>
    <col min="282" max="282" width="15.77734375" style="1155" customWidth="1"/>
    <col min="283" max="283" width="15.44140625" style="1155" bestFit="1" customWidth="1"/>
    <col min="284" max="284" width="17.5546875" style="1155" bestFit="1" customWidth="1"/>
    <col min="285" max="285" width="12.21875" style="1155" bestFit="1" customWidth="1"/>
    <col min="286" max="286" width="9" style="1155" bestFit="1" customWidth="1"/>
    <col min="287" max="287" width="8.88671875" style="1155"/>
    <col min="288" max="288" width="9.44140625" style="1155" bestFit="1" customWidth="1"/>
    <col min="289" max="512" width="8.88671875" style="1155"/>
    <col min="513" max="516" width="6.77734375" style="1155" customWidth="1"/>
    <col min="517" max="517" width="16" style="1155" customWidth="1"/>
    <col min="518" max="520" width="13.77734375" style="1155" customWidth="1"/>
    <col min="521" max="521" width="1.77734375" style="1155" customWidth="1"/>
    <col min="522" max="522" width="2.88671875" style="1155" customWidth="1"/>
    <col min="523" max="523" width="2" style="1155" customWidth="1"/>
    <col min="524" max="525" width="8.77734375" style="1155" customWidth="1"/>
    <col min="526" max="526" width="10.77734375" style="1155" customWidth="1"/>
    <col min="527" max="528" width="7.77734375" style="1155" customWidth="1"/>
    <col min="529" max="529" width="8.109375" style="1155" customWidth="1"/>
    <col min="530" max="530" width="6.88671875" style="1155" customWidth="1"/>
    <col min="531" max="531" width="14.77734375" style="1155" customWidth="1"/>
    <col min="532" max="533" width="6.88671875" style="1155" customWidth="1"/>
    <col min="534" max="534" width="7.44140625" style="1155" customWidth="1"/>
    <col min="535" max="535" width="6.88671875" style="1155" customWidth="1"/>
    <col min="536" max="536" width="3" style="1155" customWidth="1"/>
    <col min="537" max="537" width="14.77734375" style="1155" customWidth="1"/>
    <col min="538" max="538" width="15.77734375" style="1155" customWidth="1"/>
    <col min="539" max="539" width="15.44140625" style="1155" bestFit="1" customWidth="1"/>
    <col min="540" max="540" width="17.5546875" style="1155" bestFit="1" customWidth="1"/>
    <col min="541" max="541" width="12.21875" style="1155" bestFit="1" customWidth="1"/>
    <col min="542" max="542" width="9" style="1155" bestFit="1" customWidth="1"/>
    <col min="543" max="543" width="8.88671875" style="1155"/>
    <col min="544" max="544" width="9.44140625" style="1155" bestFit="1" customWidth="1"/>
    <col min="545" max="768" width="8.88671875" style="1155"/>
    <col min="769" max="772" width="6.77734375" style="1155" customWidth="1"/>
    <col min="773" max="773" width="16" style="1155" customWidth="1"/>
    <col min="774" max="776" width="13.77734375" style="1155" customWidth="1"/>
    <col min="777" max="777" width="1.77734375" style="1155" customWidth="1"/>
    <col min="778" max="778" width="2.88671875" style="1155" customWidth="1"/>
    <col min="779" max="779" width="2" style="1155" customWidth="1"/>
    <col min="780" max="781" width="8.77734375" style="1155" customWidth="1"/>
    <col min="782" max="782" width="10.77734375" style="1155" customWidth="1"/>
    <col min="783" max="784" width="7.77734375" style="1155" customWidth="1"/>
    <col min="785" max="785" width="8.109375" style="1155" customWidth="1"/>
    <col min="786" max="786" width="6.88671875" style="1155" customWidth="1"/>
    <col min="787" max="787" width="14.77734375" style="1155" customWidth="1"/>
    <col min="788" max="789" width="6.88671875" style="1155" customWidth="1"/>
    <col min="790" max="790" width="7.44140625" style="1155" customWidth="1"/>
    <col min="791" max="791" width="6.88671875" style="1155" customWidth="1"/>
    <col min="792" max="792" width="3" style="1155" customWidth="1"/>
    <col min="793" max="793" width="14.77734375" style="1155" customWidth="1"/>
    <col min="794" max="794" width="15.77734375" style="1155" customWidth="1"/>
    <col min="795" max="795" width="15.44140625" style="1155" bestFit="1" customWidth="1"/>
    <col min="796" max="796" width="17.5546875" style="1155" bestFit="1" customWidth="1"/>
    <col min="797" max="797" width="12.21875" style="1155" bestFit="1" customWidth="1"/>
    <col min="798" max="798" width="9" style="1155" bestFit="1" customWidth="1"/>
    <col min="799" max="799" width="8.88671875" style="1155"/>
    <col min="800" max="800" width="9.44140625" style="1155" bestFit="1" customWidth="1"/>
    <col min="801" max="1024" width="8.88671875" style="1155"/>
    <col min="1025" max="1028" width="6.77734375" style="1155" customWidth="1"/>
    <col min="1029" max="1029" width="16" style="1155" customWidth="1"/>
    <col min="1030" max="1032" width="13.77734375" style="1155" customWidth="1"/>
    <col min="1033" max="1033" width="1.77734375" style="1155" customWidth="1"/>
    <col min="1034" max="1034" width="2.88671875" style="1155" customWidth="1"/>
    <col min="1035" max="1035" width="2" style="1155" customWidth="1"/>
    <col min="1036" max="1037" width="8.77734375" style="1155" customWidth="1"/>
    <col min="1038" max="1038" width="10.77734375" style="1155" customWidth="1"/>
    <col min="1039" max="1040" width="7.77734375" style="1155" customWidth="1"/>
    <col min="1041" max="1041" width="8.109375" style="1155" customWidth="1"/>
    <col min="1042" max="1042" width="6.88671875" style="1155" customWidth="1"/>
    <col min="1043" max="1043" width="14.77734375" style="1155" customWidth="1"/>
    <col min="1044" max="1045" width="6.88671875" style="1155" customWidth="1"/>
    <col min="1046" max="1046" width="7.44140625" style="1155" customWidth="1"/>
    <col min="1047" max="1047" width="6.88671875" style="1155" customWidth="1"/>
    <col min="1048" max="1048" width="3" style="1155" customWidth="1"/>
    <col min="1049" max="1049" width="14.77734375" style="1155" customWidth="1"/>
    <col min="1050" max="1050" width="15.77734375" style="1155" customWidth="1"/>
    <col min="1051" max="1051" width="15.44140625" style="1155" bestFit="1" customWidth="1"/>
    <col min="1052" max="1052" width="17.5546875" style="1155" bestFit="1" customWidth="1"/>
    <col min="1053" max="1053" width="12.21875" style="1155" bestFit="1" customWidth="1"/>
    <col min="1054" max="1054" width="9" style="1155" bestFit="1" customWidth="1"/>
    <col min="1055" max="1055" width="8.88671875" style="1155"/>
    <col min="1056" max="1056" width="9.44140625" style="1155" bestFit="1" customWidth="1"/>
    <col min="1057" max="1280" width="8.88671875" style="1155"/>
    <col min="1281" max="1284" width="6.77734375" style="1155" customWidth="1"/>
    <col min="1285" max="1285" width="16" style="1155" customWidth="1"/>
    <col min="1286" max="1288" width="13.77734375" style="1155" customWidth="1"/>
    <col min="1289" max="1289" width="1.77734375" style="1155" customWidth="1"/>
    <col min="1290" max="1290" width="2.88671875" style="1155" customWidth="1"/>
    <col min="1291" max="1291" width="2" style="1155" customWidth="1"/>
    <col min="1292" max="1293" width="8.77734375" style="1155" customWidth="1"/>
    <col min="1294" max="1294" width="10.77734375" style="1155" customWidth="1"/>
    <col min="1295" max="1296" width="7.77734375" style="1155" customWidth="1"/>
    <col min="1297" max="1297" width="8.109375" style="1155" customWidth="1"/>
    <col min="1298" max="1298" width="6.88671875" style="1155" customWidth="1"/>
    <col min="1299" max="1299" width="14.77734375" style="1155" customWidth="1"/>
    <col min="1300" max="1301" width="6.88671875" style="1155" customWidth="1"/>
    <col min="1302" max="1302" width="7.44140625" style="1155" customWidth="1"/>
    <col min="1303" max="1303" width="6.88671875" style="1155" customWidth="1"/>
    <col min="1304" max="1304" width="3" style="1155" customWidth="1"/>
    <col min="1305" max="1305" width="14.77734375" style="1155" customWidth="1"/>
    <col min="1306" max="1306" width="15.77734375" style="1155" customWidth="1"/>
    <col min="1307" max="1307" width="15.44140625" style="1155" bestFit="1" customWidth="1"/>
    <col min="1308" max="1308" width="17.5546875" style="1155" bestFit="1" customWidth="1"/>
    <col min="1309" max="1309" width="12.21875" style="1155" bestFit="1" customWidth="1"/>
    <col min="1310" max="1310" width="9" style="1155" bestFit="1" customWidth="1"/>
    <col min="1311" max="1311" width="8.88671875" style="1155"/>
    <col min="1312" max="1312" width="9.44140625" style="1155" bestFit="1" customWidth="1"/>
    <col min="1313" max="1536" width="8.88671875" style="1155"/>
    <col min="1537" max="1540" width="6.77734375" style="1155" customWidth="1"/>
    <col min="1541" max="1541" width="16" style="1155" customWidth="1"/>
    <col min="1542" max="1544" width="13.77734375" style="1155" customWidth="1"/>
    <col min="1545" max="1545" width="1.77734375" style="1155" customWidth="1"/>
    <col min="1546" max="1546" width="2.88671875" style="1155" customWidth="1"/>
    <col min="1547" max="1547" width="2" style="1155" customWidth="1"/>
    <col min="1548" max="1549" width="8.77734375" style="1155" customWidth="1"/>
    <col min="1550" max="1550" width="10.77734375" style="1155" customWidth="1"/>
    <col min="1551" max="1552" width="7.77734375" style="1155" customWidth="1"/>
    <col min="1553" max="1553" width="8.109375" style="1155" customWidth="1"/>
    <col min="1554" max="1554" width="6.88671875" style="1155" customWidth="1"/>
    <col min="1555" max="1555" width="14.77734375" style="1155" customWidth="1"/>
    <col min="1556" max="1557" width="6.88671875" style="1155" customWidth="1"/>
    <col min="1558" max="1558" width="7.44140625" style="1155" customWidth="1"/>
    <col min="1559" max="1559" width="6.88671875" style="1155" customWidth="1"/>
    <col min="1560" max="1560" width="3" style="1155" customWidth="1"/>
    <col min="1561" max="1561" width="14.77734375" style="1155" customWidth="1"/>
    <col min="1562" max="1562" width="15.77734375" style="1155" customWidth="1"/>
    <col min="1563" max="1563" width="15.44140625" style="1155" bestFit="1" customWidth="1"/>
    <col min="1564" max="1564" width="17.5546875" style="1155" bestFit="1" customWidth="1"/>
    <col min="1565" max="1565" width="12.21875" style="1155" bestFit="1" customWidth="1"/>
    <col min="1566" max="1566" width="9" style="1155" bestFit="1" customWidth="1"/>
    <col min="1567" max="1567" width="8.88671875" style="1155"/>
    <col min="1568" max="1568" width="9.44140625" style="1155" bestFit="1" customWidth="1"/>
    <col min="1569" max="1792" width="8.88671875" style="1155"/>
    <col min="1793" max="1796" width="6.77734375" style="1155" customWidth="1"/>
    <col min="1797" max="1797" width="16" style="1155" customWidth="1"/>
    <col min="1798" max="1800" width="13.77734375" style="1155" customWidth="1"/>
    <col min="1801" max="1801" width="1.77734375" style="1155" customWidth="1"/>
    <col min="1802" max="1802" width="2.88671875" style="1155" customWidth="1"/>
    <col min="1803" max="1803" width="2" style="1155" customWidth="1"/>
    <col min="1804" max="1805" width="8.77734375" style="1155" customWidth="1"/>
    <col min="1806" max="1806" width="10.77734375" style="1155" customWidth="1"/>
    <col min="1807" max="1808" width="7.77734375" style="1155" customWidth="1"/>
    <col min="1809" max="1809" width="8.109375" style="1155" customWidth="1"/>
    <col min="1810" max="1810" width="6.88671875" style="1155" customWidth="1"/>
    <col min="1811" max="1811" width="14.77734375" style="1155" customWidth="1"/>
    <col min="1812" max="1813" width="6.88671875" style="1155" customWidth="1"/>
    <col min="1814" max="1814" width="7.44140625" style="1155" customWidth="1"/>
    <col min="1815" max="1815" width="6.88671875" style="1155" customWidth="1"/>
    <col min="1816" max="1816" width="3" style="1155" customWidth="1"/>
    <col min="1817" max="1817" width="14.77734375" style="1155" customWidth="1"/>
    <col min="1818" max="1818" width="15.77734375" style="1155" customWidth="1"/>
    <col min="1819" max="1819" width="15.44140625" style="1155" bestFit="1" customWidth="1"/>
    <col min="1820" max="1820" width="17.5546875" style="1155" bestFit="1" customWidth="1"/>
    <col min="1821" max="1821" width="12.21875" style="1155" bestFit="1" customWidth="1"/>
    <col min="1822" max="1822" width="9" style="1155" bestFit="1" customWidth="1"/>
    <col min="1823" max="1823" width="8.88671875" style="1155"/>
    <col min="1824" max="1824" width="9.44140625" style="1155" bestFit="1" customWidth="1"/>
    <col min="1825" max="2048" width="8.88671875" style="1155"/>
    <col min="2049" max="2052" width="6.77734375" style="1155" customWidth="1"/>
    <col min="2053" max="2053" width="16" style="1155" customWidth="1"/>
    <col min="2054" max="2056" width="13.77734375" style="1155" customWidth="1"/>
    <col min="2057" max="2057" width="1.77734375" style="1155" customWidth="1"/>
    <col min="2058" max="2058" width="2.88671875" style="1155" customWidth="1"/>
    <col min="2059" max="2059" width="2" style="1155" customWidth="1"/>
    <col min="2060" max="2061" width="8.77734375" style="1155" customWidth="1"/>
    <col min="2062" max="2062" width="10.77734375" style="1155" customWidth="1"/>
    <col min="2063" max="2064" width="7.77734375" style="1155" customWidth="1"/>
    <col min="2065" max="2065" width="8.109375" style="1155" customWidth="1"/>
    <col min="2066" max="2066" width="6.88671875" style="1155" customWidth="1"/>
    <col min="2067" max="2067" width="14.77734375" style="1155" customWidth="1"/>
    <col min="2068" max="2069" width="6.88671875" style="1155" customWidth="1"/>
    <col min="2070" max="2070" width="7.44140625" style="1155" customWidth="1"/>
    <col min="2071" max="2071" width="6.88671875" style="1155" customWidth="1"/>
    <col min="2072" max="2072" width="3" style="1155" customWidth="1"/>
    <col min="2073" max="2073" width="14.77734375" style="1155" customWidth="1"/>
    <col min="2074" max="2074" width="15.77734375" style="1155" customWidth="1"/>
    <col min="2075" max="2075" width="15.44140625" style="1155" bestFit="1" customWidth="1"/>
    <col min="2076" max="2076" width="17.5546875" style="1155" bestFit="1" customWidth="1"/>
    <col min="2077" max="2077" width="12.21875" style="1155" bestFit="1" customWidth="1"/>
    <col min="2078" max="2078" width="9" style="1155" bestFit="1" customWidth="1"/>
    <col min="2079" max="2079" width="8.88671875" style="1155"/>
    <col min="2080" max="2080" width="9.44140625" style="1155" bestFit="1" customWidth="1"/>
    <col min="2081" max="2304" width="8.88671875" style="1155"/>
    <col min="2305" max="2308" width="6.77734375" style="1155" customWidth="1"/>
    <col min="2309" max="2309" width="16" style="1155" customWidth="1"/>
    <col min="2310" max="2312" width="13.77734375" style="1155" customWidth="1"/>
    <col min="2313" max="2313" width="1.77734375" style="1155" customWidth="1"/>
    <col min="2314" max="2314" width="2.88671875" style="1155" customWidth="1"/>
    <col min="2315" max="2315" width="2" style="1155" customWidth="1"/>
    <col min="2316" max="2317" width="8.77734375" style="1155" customWidth="1"/>
    <col min="2318" max="2318" width="10.77734375" style="1155" customWidth="1"/>
    <col min="2319" max="2320" width="7.77734375" style="1155" customWidth="1"/>
    <col min="2321" max="2321" width="8.109375" style="1155" customWidth="1"/>
    <col min="2322" max="2322" width="6.88671875" style="1155" customWidth="1"/>
    <col min="2323" max="2323" width="14.77734375" style="1155" customWidth="1"/>
    <col min="2324" max="2325" width="6.88671875" style="1155" customWidth="1"/>
    <col min="2326" max="2326" width="7.44140625" style="1155" customWidth="1"/>
    <col min="2327" max="2327" width="6.88671875" style="1155" customWidth="1"/>
    <col min="2328" max="2328" width="3" style="1155" customWidth="1"/>
    <col min="2329" max="2329" width="14.77734375" style="1155" customWidth="1"/>
    <col min="2330" max="2330" width="15.77734375" style="1155" customWidth="1"/>
    <col min="2331" max="2331" width="15.44140625" style="1155" bestFit="1" customWidth="1"/>
    <col min="2332" max="2332" width="17.5546875" style="1155" bestFit="1" customWidth="1"/>
    <col min="2333" max="2333" width="12.21875" style="1155" bestFit="1" customWidth="1"/>
    <col min="2334" max="2334" width="9" style="1155" bestFit="1" customWidth="1"/>
    <col min="2335" max="2335" width="8.88671875" style="1155"/>
    <col min="2336" max="2336" width="9.44140625" style="1155" bestFit="1" customWidth="1"/>
    <col min="2337" max="2560" width="8.88671875" style="1155"/>
    <col min="2561" max="2564" width="6.77734375" style="1155" customWidth="1"/>
    <col min="2565" max="2565" width="16" style="1155" customWidth="1"/>
    <col min="2566" max="2568" width="13.77734375" style="1155" customWidth="1"/>
    <col min="2569" max="2569" width="1.77734375" style="1155" customWidth="1"/>
    <col min="2570" max="2570" width="2.88671875" style="1155" customWidth="1"/>
    <col min="2571" max="2571" width="2" style="1155" customWidth="1"/>
    <col min="2572" max="2573" width="8.77734375" style="1155" customWidth="1"/>
    <col min="2574" max="2574" width="10.77734375" style="1155" customWidth="1"/>
    <col min="2575" max="2576" width="7.77734375" style="1155" customWidth="1"/>
    <col min="2577" max="2577" width="8.109375" style="1155" customWidth="1"/>
    <col min="2578" max="2578" width="6.88671875" style="1155" customWidth="1"/>
    <col min="2579" max="2579" width="14.77734375" style="1155" customWidth="1"/>
    <col min="2580" max="2581" width="6.88671875" style="1155" customWidth="1"/>
    <col min="2582" max="2582" width="7.44140625" style="1155" customWidth="1"/>
    <col min="2583" max="2583" width="6.88671875" style="1155" customWidth="1"/>
    <col min="2584" max="2584" width="3" style="1155" customWidth="1"/>
    <col min="2585" max="2585" width="14.77734375" style="1155" customWidth="1"/>
    <col min="2586" max="2586" width="15.77734375" style="1155" customWidth="1"/>
    <col min="2587" max="2587" width="15.44140625" style="1155" bestFit="1" customWidth="1"/>
    <col min="2588" max="2588" width="17.5546875" style="1155" bestFit="1" customWidth="1"/>
    <col min="2589" max="2589" width="12.21875" style="1155" bestFit="1" customWidth="1"/>
    <col min="2590" max="2590" width="9" style="1155" bestFit="1" customWidth="1"/>
    <col min="2591" max="2591" width="8.88671875" style="1155"/>
    <col min="2592" max="2592" width="9.44140625" style="1155" bestFit="1" customWidth="1"/>
    <col min="2593" max="2816" width="8.88671875" style="1155"/>
    <col min="2817" max="2820" width="6.77734375" style="1155" customWidth="1"/>
    <col min="2821" max="2821" width="16" style="1155" customWidth="1"/>
    <col min="2822" max="2824" width="13.77734375" style="1155" customWidth="1"/>
    <col min="2825" max="2825" width="1.77734375" style="1155" customWidth="1"/>
    <col min="2826" max="2826" width="2.88671875" style="1155" customWidth="1"/>
    <col min="2827" max="2827" width="2" style="1155" customWidth="1"/>
    <col min="2828" max="2829" width="8.77734375" style="1155" customWidth="1"/>
    <col min="2830" max="2830" width="10.77734375" style="1155" customWidth="1"/>
    <col min="2831" max="2832" width="7.77734375" style="1155" customWidth="1"/>
    <col min="2833" max="2833" width="8.109375" style="1155" customWidth="1"/>
    <col min="2834" max="2834" width="6.88671875" style="1155" customWidth="1"/>
    <col min="2835" max="2835" width="14.77734375" style="1155" customWidth="1"/>
    <col min="2836" max="2837" width="6.88671875" style="1155" customWidth="1"/>
    <col min="2838" max="2838" width="7.44140625" style="1155" customWidth="1"/>
    <col min="2839" max="2839" width="6.88671875" style="1155" customWidth="1"/>
    <col min="2840" max="2840" width="3" style="1155" customWidth="1"/>
    <col min="2841" max="2841" width="14.77734375" style="1155" customWidth="1"/>
    <col min="2842" max="2842" width="15.77734375" style="1155" customWidth="1"/>
    <col min="2843" max="2843" width="15.44140625" style="1155" bestFit="1" customWidth="1"/>
    <col min="2844" max="2844" width="17.5546875" style="1155" bestFit="1" customWidth="1"/>
    <col min="2845" max="2845" width="12.21875" style="1155" bestFit="1" customWidth="1"/>
    <col min="2846" max="2846" width="9" style="1155" bestFit="1" customWidth="1"/>
    <col min="2847" max="2847" width="8.88671875" style="1155"/>
    <col min="2848" max="2848" width="9.44140625" style="1155" bestFit="1" customWidth="1"/>
    <col min="2849" max="3072" width="8.88671875" style="1155"/>
    <col min="3073" max="3076" width="6.77734375" style="1155" customWidth="1"/>
    <col min="3077" max="3077" width="16" style="1155" customWidth="1"/>
    <col min="3078" max="3080" width="13.77734375" style="1155" customWidth="1"/>
    <col min="3081" max="3081" width="1.77734375" style="1155" customWidth="1"/>
    <col min="3082" max="3082" width="2.88671875" style="1155" customWidth="1"/>
    <col min="3083" max="3083" width="2" style="1155" customWidth="1"/>
    <col min="3084" max="3085" width="8.77734375" style="1155" customWidth="1"/>
    <col min="3086" max="3086" width="10.77734375" style="1155" customWidth="1"/>
    <col min="3087" max="3088" width="7.77734375" style="1155" customWidth="1"/>
    <col min="3089" max="3089" width="8.109375" style="1155" customWidth="1"/>
    <col min="3090" max="3090" width="6.88671875" style="1155" customWidth="1"/>
    <col min="3091" max="3091" width="14.77734375" style="1155" customWidth="1"/>
    <col min="3092" max="3093" width="6.88671875" style="1155" customWidth="1"/>
    <col min="3094" max="3094" width="7.44140625" style="1155" customWidth="1"/>
    <col min="3095" max="3095" width="6.88671875" style="1155" customWidth="1"/>
    <col min="3096" max="3096" width="3" style="1155" customWidth="1"/>
    <col min="3097" max="3097" width="14.77734375" style="1155" customWidth="1"/>
    <col min="3098" max="3098" width="15.77734375" style="1155" customWidth="1"/>
    <col min="3099" max="3099" width="15.44140625" style="1155" bestFit="1" customWidth="1"/>
    <col min="3100" max="3100" width="17.5546875" style="1155" bestFit="1" customWidth="1"/>
    <col min="3101" max="3101" width="12.21875" style="1155" bestFit="1" customWidth="1"/>
    <col min="3102" max="3102" width="9" style="1155" bestFit="1" customWidth="1"/>
    <col min="3103" max="3103" width="8.88671875" style="1155"/>
    <col min="3104" max="3104" width="9.44140625" style="1155" bestFit="1" customWidth="1"/>
    <col min="3105" max="3328" width="8.88671875" style="1155"/>
    <col min="3329" max="3332" width="6.77734375" style="1155" customWidth="1"/>
    <col min="3333" max="3333" width="16" style="1155" customWidth="1"/>
    <col min="3334" max="3336" width="13.77734375" style="1155" customWidth="1"/>
    <col min="3337" max="3337" width="1.77734375" style="1155" customWidth="1"/>
    <col min="3338" max="3338" width="2.88671875" style="1155" customWidth="1"/>
    <col min="3339" max="3339" width="2" style="1155" customWidth="1"/>
    <col min="3340" max="3341" width="8.77734375" style="1155" customWidth="1"/>
    <col min="3342" max="3342" width="10.77734375" style="1155" customWidth="1"/>
    <col min="3343" max="3344" width="7.77734375" style="1155" customWidth="1"/>
    <col min="3345" max="3345" width="8.109375" style="1155" customWidth="1"/>
    <col min="3346" max="3346" width="6.88671875" style="1155" customWidth="1"/>
    <col min="3347" max="3347" width="14.77734375" style="1155" customWidth="1"/>
    <col min="3348" max="3349" width="6.88671875" style="1155" customWidth="1"/>
    <col min="3350" max="3350" width="7.44140625" style="1155" customWidth="1"/>
    <col min="3351" max="3351" width="6.88671875" style="1155" customWidth="1"/>
    <col min="3352" max="3352" width="3" style="1155" customWidth="1"/>
    <col min="3353" max="3353" width="14.77734375" style="1155" customWidth="1"/>
    <col min="3354" max="3354" width="15.77734375" style="1155" customWidth="1"/>
    <col min="3355" max="3355" width="15.44140625" style="1155" bestFit="1" customWidth="1"/>
    <col min="3356" max="3356" width="17.5546875" style="1155" bestFit="1" customWidth="1"/>
    <col min="3357" max="3357" width="12.21875" style="1155" bestFit="1" customWidth="1"/>
    <col min="3358" max="3358" width="9" style="1155" bestFit="1" customWidth="1"/>
    <col min="3359" max="3359" width="8.88671875" style="1155"/>
    <col min="3360" max="3360" width="9.44140625" style="1155" bestFit="1" customWidth="1"/>
    <col min="3361" max="3584" width="8.88671875" style="1155"/>
    <col min="3585" max="3588" width="6.77734375" style="1155" customWidth="1"/>
    <col min="3589" max="3589" width="16" style="1155" customWidth="1"/>
    <col min="3590" max="3592" width="13.77734375" style="1155" customWidth="1"/>
    <col min="3593" max="3593" width="1.77734375" style="1155" customWidth="1"/>
    <col min="3594" max="3594" width="2.88671875" style="1155" customWidth="1"/>
    <col min="3595" max="3595" width="2" style="1155" customWidth="1"/>
    <col min="3596" max="3597" width="8.77734375" style="1155" customWidth="1"/>
    <col min="3598" max="3598" width="10.77734375" style="1155" customWidth="1"/>
    <col min="3599" max="3600" width="7.77734375" style="1155" customWidth="1"/>
    <col min="3601" max="3601" width="8.109375" style="1155" customWidth="1"/>
    <col min="3602" max="3602" width="6.88671875" style="1155" customWidth="1"/>
    <col min="3603" max="3603" width="14.77734375" style="1155" customWidth="1"/>
    <col min="3604" max="3605" width="6.88671875" style="1155" customWidth="1"/>
    <col min="3606" max="3606" width="7.44140625" style="1155" customWidth="1"/>
    <col min="3607" max="3607" width="6.88671875" style="1155" customWidth="1"/>
    <col min="3608" max="3608" width="3" style="1155" customWidth="1"/>
    <col min="3609" max="3609" width="14.77734375" style="1155" customWidth="1"/>
    <col min="3610" max="3610" width="15.77734375" style="1155" customWidth="1"/>
    <col min="3611" max="3611" width="15.44140625" style="1155" bestFit="1" customWidth="1"/>
    <col min="3612" max="3612" width="17.5546875" style="1155" bestFit="1" customWidth="1"/>
    <col min="3613" max="3613" width="12.21875" style="1155" bestFit="1" customWidth="1"/>
    <col min="3614" max="3614" width="9" style="1155" bestFit="1" customWidth="1"/>
    <col min="3615" max="3615" width="8.88671875" style="1155"/>
    <col min="3616" max="3616" width="9.44140625" style="1155" bestFit="1" customWidth="1"/>
    <col min="3617" max="3840" width="8.88671875" style="1155"/>
    <col min="3841" max="3844" width="6.77734375" style="1155" customWidth="1"/>
    <col min="3845" max="3845" width="16" style="1155" customWidth="1"/>
    <col min="3846" max="3848" width="13.77734375" style="1155" customWidth="1"/>
    <col min="3849" max="3849" width="1.77734375" style="1155" customWidth="1"/>
    <col min="3850" max="3850" width="2.88671875" style="1155" customWidth="1"/>
    <col min="3851" max="3851" width="2" style="1155" customWidth="1"/>
    <col min="3852" max="3853" width="8.77734375" style="1155" customWidth="1"/>
    <col min="3854" max="3854" width="10.77734375" style="1155" customWidth="1"/>
    <col min="3855" max="3856" width="7.77734375" style="1155" customWidth="1"/>
    <col min="3857" max="3857" width="8.109375" style="1155" customWidth="1"/>
    <col min="3858" max="3858" width="6.88671875" style="1155" customWidth="1"/>
    <col min="3859" max="3859" width="14.77734375" style="1155" customWidth="1"/>
    <col min="3860" max="3861" width="6.88671875" style="1155" customWidth="1"/>
    <col min="3862" max="3862" width="7.44140625" style="1155" customWidth="1"/>
    <col min="3863" max="3863" width="6.88671875" style="1155" customWidth="1"/>
    <col min="3864" max="3864" width="3" style="1155" customWidth="1"/>
    <col min="3865" max="3865" width="14.77734375" style="1155" customWidth="1"/>
    <col min="3866" max="3866" width="15.77734375" style="1155" customWidth="1"/>
    <col min="3867" max="3867" width="15.44140625" style="1155" bestFit="1" customWidth="1"/>
    <col min="3868" max="3868" width="17.5546875" style="1155" bestFit="1" customWidth="1"/>
    <col min="3869" max="3869" width="12.21875" style="1155" bestFit="1" customWidth="1"/>
    <col min="3870" max="3870" width="9" style="1155" bestFit="1" customWidth="1"/>
    <col min="3871" max="3871" width="8.88671875" style="1155"/>
    <col min="3872" max="3872" width="9.44140625" style="1155" bestFit="1" customWidth="1"/>
    <col min="3873" max="4096" width="8.88671875" style="1155"/>
    <col min="4097" max="4100" width="6.77734375" style="1155" customWidth="1"/>
    <col min="4101" max="4101" width="16" style="1155" customWidth="1"/>
    <col min="4102" max="4104" width="13.77734375" style="1155" customWidth="1"/>
    <col min="4105" max="4105" width="1.77734375" style="1155" customWidth="1"/>
    <col min="4106" max="4106" width="2.88671875" style="1155" customWidth="1"/>
    <col min="4107" max="4107" width="2" style="1155" customWidth="1"/>
    <col min="4108" max="4109" width="8.77734375" style="1155" customWidth="1"/>
    <col min="4110" max="4110" width="10.77734375" style="1155" customWidth="1"/>
    <col min="4111" max="4112" width="7.77734375" style="1155" customWidth="1"/>
    <col min="4113" max="4113" width="8.109375" style="1155" customWidth="1"/>
    <col min="4114" max="4114" width="6.88671875" style="1155" customWidth="1"/>
    <col min="4115" max="4115" width="14.77734375" style="1155" customWidth="1"/>
    <col min="4116" max="4117" width="6.88671875" style="1155" customWidth="1"/>
    <col min="4118" max="4118" width="7.44140625" style="1155" customWidth="1"/>
    <col min="4119" max="4119" width="6.88671875" style="1155" customWidth="1"/>
    <col min="4120" max="4120" width="3" style="1155" customWidth="1"/>
    <col min="4121" max="4121" width="14.77734375" style="1155" customWidth="1"/>
    <col min="4122" max="4122" width="15.77734375" style="1155" customWidth="1"/>
    <col min="4123" max="4123" width="15.44140625" style="1155" bestFit="1" customWidth="1"/>
    <col min="4124" max="4124" width="17.5546875" style="1155" bestFit="1" customWidth="1"/>
    <col min="4125" max="4125" width="12.21875" style="1155" bestFit="1" customWidth="1"/>
    <col min="4126" max="4126" width="9" style="1155" bestFit="1" customWidth="1"/>
    <col min="4127" max="4127" width="8.88671875" style="1155"/>
    <col min="4128" max="4128" width="9.44140625" style="1155" bestFit="1" customWidth="1"/>
    <col min="4129" max="4352" width="8.88671875" style="1155"/>
    <col min="4353" max="4356" width="6.77734375" style="1155" customWidth="1"/>
    <col min="4357" max="4357" width="16" style="1155" customWidth="1"/>
    <col min="4358" max="4360" width="13.77734375" style="1155" customWidth="1"/>
    <col min="4361" max="4361" width="1.77734375" style="1155" customWidth="1"/>
    <col min="4362" max="4362" width="2.88671875" style="1155" customWidth="1"/>
    <col min="4363" max="4363" width="2" style="1155" customWidth="1"/>
    <col min="4364" max="4365" width="8.77734375" style="1155" customWidth="1"/>
    <col min="4366" max="4366" width="10.77734375" style="1155" customWidth="1"/>
    <col min="4367" max="4368" width="7.77734375" style="1155" customWidth="1"/>
    <col min="4369" max="4369" width="8.109375" style="1155" customWidth="1"/>
    <col min="4370" max="4370" width="6.88671875" style="1155" customWidth="1"/>
    <col min="4371" max="4371" width="14.77734375" style="1155" customWidth="1"/>
    <col min="4372" max="4373" width="6.88671875" style="1155" customWidth="1"/>
    <col min="4374" max="4374" width="7.44140625" style="1155" customWidth="1"/>
    <col min="4375" max="4375" width="6.88671875" style="1155" customWidth="1"/>
    <col min="4376" max="4376" width="3" style="1155" customWidth="1"/>
    <col min="4377" max="4377" width="14.77734375" style="1155" customWidth="1"/>
    <col min="4378" max="4378" width="15.77734375" style="1155" customWidth="1"/>
    <col min="4379" max="4379" width="15.44140625" style="1155" bestFit="1" customWidth="1"/>
    <col min="4380" max="4380" width="17.5546875" style="1155" bestFit="1" customWidth="1"/>
    <col min="4381" max="4381" width="12.21875" style="1155" bestFit="1" customWidth="1"/>
    <col min="4382" max="4382" width="9" style="1155" bestFit="1" customWidth="1"/>
    <col min="4383" max="4383" width="8.88671875" style="1155"/>
    <col min="4384" max="4384" width="9.44140625" style="1155" bestFit="1" customWidth="1"/>
    <col min="4385" max="4608" width="8.88671875" style="1155"/>
    <col min="4609" max="4612" width="6.77734375" style="1155" customWidth="1"/>
    <col min="4613" max="4613" width="16" style="1155" customWidth="1"/>
    <col min="4614" max="4616" width="13.77734375" style="1155" customWidth="1"/>
    <col min="4617" max="4617" width="1.77734375" style="1155" customWidth="1"/>
    <col min="4618" max="4618" width="2.88671875" style="1155" customWidth="1"/>
    <col min="4619" max="4619" width="2" style="1155" customWidth="1"/>
    <col min="4620" max="4621" width="8.77734375" style="1155" customWidth="1"/>
    <col min="4622" max="4622" width="10.77734375" style="1155" customWidth="1"/>
    <col min="4623" max="4624" width="7.77734375" style="1155" customWidth="1"/>
    <col min="4625" max="4625" width="8.109375" style="1155" customWidth="1"/>
    <col min="4626" max="4626" width="6.88671875" style="1155" customWidth="1"/>
    <col min="4627" max="4627" width="14.77734375" style="1155" customWidth="1"/>
    <col min="4628" max="4629" width="6.88671875" style="1155" customWidth="1"/>
    <col min="4630" max="4630" width="7.44140625" style="1155" customWidth="1"/>
    <col min="4631" max="4631" width="6.88671875" style="1155" customWidth="1"/>
    <col min="4632" max="4632" width="3" style="1155" customWidth="1"/>
    <col min="4633" max="4633" width="14.77734375" style="1155" customWidth="1"/>
    <col min="4634" max="4634" width="15.77734375" style="1155" customWidth="1"/>
    <col min="4635" max="4635" width="15.44140625" style="1155" bestFit="1" customWidth="1"/>
    <col min="4636" max="4636" width="17.5546875" style="1155" bestFit="1" customWidth="1"/>
    <col min="4637" max="4637" width="12.21875" style="1155" bestFit="1" customWidth="1"/>
    <col min="4638" max="4638" width="9" style="1155" bestFit="1" customWidth="1"/>
    <col min="4639" max="4639" width="8.88671875" style="1155"/>
    <col min="4640" max="4640" width="9.44140625" style="1155" bestFit="1" customWidth="1"/>
    <col min="4641" max="4864" width="8.88671875" style="1155"/>
    <col min="4865" max="4868" width="6.77734375" style="1155" customWidth="1"/>
    <col min="4869" max="4869" width="16" style="1155" customWidth="1"/>
    <col min="4870" max="4872" width="13.77734375" style="1155" customWidth="1"/>
    <col min="4873" max="4873" width="1.77734375" style="1155" customWidth="1"/>
    <col min="4874" max="4874" width="2.88671875" style="1155" customWidth="1"/>
    <col min="4875" max="4875" width="2" style="1155" customWidth="1"/>
    <col min="4876" max="4877" width="8.77734375" style="1155" customWidth="1"/>
    <col min="4878" max="4878" width="10.77734375" style="1155" customWidth="1"/>
    <col min="4879" max="4880" width="7.77734375" style="1155" customWidth="1"/>
    <col min="4881" max="4881" width="8.109375" style="1155" customWidth="1"/>
    <col min="4882" max="4882" width="6.88671875" style="1155" customWidth="1"/>
    <col min="4883" max="4883" width="14.77734375" style="1155" customWidth="1"/>
    <col min="4884" max="4885" width="6.88671875" style="1155" customWidth="1"/>
    <col min="4886" max="4886" width="7.44140625" style="1155" customWidth="1"/>
    <col min="4887" max="4887" width="6.88671875" style="1155" customWidth="1"/>
    <col min="4888" max="4888" width="3" style="1155" customWidth="1"/>
    <col min="4889" max="4889" width="14.77734375" style="1155" customWidth="1"/>
    <col min="4890" max="4890" width="15.77734375" style="1155" customWidth="1"/>
    <col min="4891" max="4891" width="15.44140625" style="1155" bestFit="1" customWidth="1"/>
    <col min="4892" max="4892" width="17.5546875" style="1155" bestFit="1" customWidth="1"/>
    <col min="4893" max="4893" width="12.21875" style="1155" bestFit="1" customWidth="1"/>
    <col min="4894" max="4894" width="9" style="1155" bestFit="1" customWidth="1"/>
    <col min="4895" max="4895" width="8.88671875" style="1155"/>
    <col min="4896" max="4896" width="9.44140625" style="1155" bestFit="1" customWidth="1"/>
    <col min="4897" max="5120" width="8.88671875" style="1155"/>
    <col min="5121" max="5124" width="6.77734375" style="1155" customWidth="1"/>
    <col min="5125" max="5125" width="16" style="1155" customWidth="1"/>
    <col min="5126" max="5128" width="13.77734375" style="1155" customWidth="1"/>
    <col min="5129" max="5129" width="1.77734375" style="1155" customWidth="1"/>
    <col min="5130" max="5130" width="2.88671875" style="1155" customWidth="1"/>
    <col min="5131" max="5131" width="2" style="1155" customWidth="1"/>
    <col min="5132" max="5133" width="8.77734375" style="1155" customWidth="1"/>
    <col min="5134" max="5134" width="10.77734375" style="1155" customWidth="1"/>
    <col min="5135" max="5136" width="7.77734375" style="1155" customWidth="1"/>
    <col min="5137" max="5137" width="8.109375" style="1155" customWidth="1"/>
    <col min="5138" max="5138" width="6.88671875" style="1155" customWidth="1"/>
    <col min="5139" max="5139" width="14.77734375" style="1155" customWidth="1"/>
    <col min="5140" max="5141" width="6.88671875" style="1155" customWidth="1"/>
    <col min="5142" max="5142" width="7.44140625" style="1155" customWidth="1"/>
    <col min="5143" max="5143" width="6.88671875" style="1155" customWidth="1"/>
    <col min="5144" max="5144" width="3" style="1155" customWidth="1"/>
    <col min="5145" max="5145" width="14.77734375" style="1155" customWidth="1"/>
    <col min="5146" max="5146" width="15.77734375" style="1155" customWidth="1"/>
    <col min="5147" max="5147" width="15.44140625" style="1155" bestFit="1" customWidth="1"/>
    <col min="5148" max="5148" width="17.5546875" style="1155" bestFit="1" customWidth="1"/>
    <col min="5149" max="5149" width="12.21875" style="1155" bestFit="1" customWidth="1"/>
    <col min="5150" max="5150" width="9" style="1155" bestFit="1" customWidth="1"/>
    <col min="5151" max="5151" width="8.88671875" style="1155"/>
    <col min="5152" max="5152" width="9.44140625" style="1155" bestFit="1" customWidth="1"/>
    <col min="5153" max="5376" width="8.88671875" style="1155"/>
    <col min="5377" max="5380" width="6.77734375" style="1155" customWidth="1"/>
    <col min="5381" max="5381" width="16" style="1155" customWidth="1"/>
    <col min="5382" max="5384" width="13.77734375" style="1155" customWidth="1"/>
    <col min="5385" max="5385" width="1.77734375" style="1155" customWidth="1"/>
    <col min="5386" max="5386" width="2.88671875" style="1155" customWidth="1"/>
    <col min="5387" max="5387" width="2" style="1155" customWidth="1"/>
    <col min="5388" max="5389" width="8.77734375" style="1155" customWidth="1"/>
    <col min="5390" max="5390" width="10.77734375" style="1155" customWidth="1"/>
    <col min="5391" max="5392" width="7.77734375" style="1155" customWidth="1"/>
    <col min="5393" max="5393" width="8.109375" style="1155" customWidth="1"/>
    <col min="5394" max="5394" width="6.88671875" style="1155" customWidth="1"/>
    <col min="5395" max="5395" width="14.77734375" style="1155" customWidth="1"/>
    <col min="5396" max="5397" width="6.88671875" style="1155" customWidth="1"/>
    <col min="5398" max="5398" width="7.44140625" style="1155" customWidth="1"/>
    <col min="5399" max="5399" width="6.88671875" style="1155" customWidth="1"/>
    <col min="5400" max="5400" width="3" style="1155" customWidth="1"/>
    <col min="5401" max="5401" width="14.77734375" style="1155" customWidth="1"/>
    <col min="5402" max="5402" width="15.77734375" style="1155" customWidth="1"/>
    <col min="5403" max="5403" width="15.44140625" style="1155" bestFit="1" customWidth="1"/>
    <col min="5404" max="5404" width="17.5546875" style="1155" bestFit="1" customWidth="1"/>
    <col min="5405" max="5405" width="12.21875" style="1155" bestFit="1" customWidth="1"/>
    <col min="5406" max="5406" width="9" style="1155" bestFit="1" customWidth="1"/>
    <col min="5407" max="5407" width="8.88671875" style="1155"/>
    <col min="5408" max="5408" width="9.44140625" style="1155" bestFit="1" customWidth="1"/>
    <col min="5409" max="5632" width="8.88671875" style="1155"/>
    <col min="5633" max="5636" width="6.77734375" style="1155" customWidth="1"/>
    <col min="5637" max="5637" width="16" style="1155" customWidth="1"/>
    <col min="5638" max="5640" width="13.77734375" style="1155" customWidth="1"/>
    <col min="5641" max="5641" width="1.77734375" style="1155" customWidth="1"/>
    <col min="5642" max="5642" width="2.88671875" style="1155" customWidth="1"/>
    <col min="5643" max="5643" width="2" style="1155" customWidth="1"/>
    <col min="5644" max="5645" width="8.77734375" style="1155" customWidth="1"/>
    <col min="5646" max="5646" width="10.77734375" style="1155" customWidth="1"/>
    <col min="5647" max="5648" width="7.77734375" style="1155" customWidth="1"/>
    <col min="5649" max="5649" width="8.109375" style="1155" customWidth="1"/>
    <col min="5650" max="5650" width="6.88671875" style="1155" customWidth="1"/>
    <col min="5651" max="5651" width="14.77734375" style="1155" customWidth="1"/>
    <col min="5652" max="5653" width="6.88671875" style="1155" customWidth="1"/>
    <col min="5654" max="5654" width="7.44140625" style="1155" customWidth="1"/>
    <col min="5655" max="5655" width="6.88671875" style="1155" customWidth="1"/>
    <col min="5656" max="5656" width="3" style="1155" customWidth="1"/>
    <col min="5657" max="5657" width="14.77734375" style="1155" customWidth="1"/>
    <col min="5658" max="5658" width="15.77734375" style="1155" customWidth="1"/>
    <col min="5659" max="5659" width="15.44140625" style="1155" bestFit="1" customWidth="1"/>
    <col min="5660" max="5660" width="17.5546875" style="1155" bestFit="1" customWidth="1"/>
    <col min="5661" max="5661" width="12.21875" style="1155" bestFit="1" customWidth="1"/>
    <col min="5662" max="5662" width="9" style="1155" bestFit="1" customWidth="1"/>
    <col min="5663" max="5663" width="8.88671875" style="1155"/>
    <col min="5664" max="5664" width="9.44140625" style="1155" bestFit="1" customWidth="1"/>
    <col min="5665" max="5888" width="8.88671875" style="1155"/>
    <col min="5889" max="5892" width="6.77734375" style="1155" customWidth="1"/>
    <col min="5893" max="5893" width="16" style="1155" customWidth="1"/>
    <col min="5894" max="5896" width="13.77734375" style="1155" customWidth="1"/>
    <col min="5897" max="5897" width="1.77734375" style="1155" customWidth="1"/>
    <col min="5898" max="5898" width="2.88671875" style="1155" customWidth="1"/>
    <col min="5899" max="5899" width="2" style="1155" customWidth="1"/>
    <col min="5900" max="5901" width="8.77734375" style="1155" customWidth="1"/>
    <col min="5902" max="5902" width="10.77734375" style="1155" customWidth="1"/>
    <col min="5903" max="5904" width="7.77734375" style="1155" customWidth="1"/>
    <col min="5905" max="5905" width="8.109375" style="1155" customWidth="1"/>
    <col min="5906" max="5906" width="6.88671875" style="1155" customWidth="1"/>
    <col min="5907" max="5907" width="14.77734375" style="1155" customWidth="1"/>
    <col min="5908" max="5909" width="6.88671875" style="1155" customWidth="1"/>
    <col min="5910" max="5910" width="7.44140625" style="1155" customWidth="1"/>
    <col min="5911" max="5911" width="6.88671875" style="1155" customWidth="1"/>
    <col min="5912" max="5912" width="3" style="1155" customWidth="1"/>
    <col min="5913" max="5913" width="14.77734375" style="1155" customWidth="1"/>
    <col min="5914" max="5914" width="15.77734375" style="1155" customWidth="1"/>
    <col min="5915" max="5915" width="15.44140625" style="1155" bestFit="1" customWidth="1"/>
    <col min="5916" max="5916" width="17.5546875" style="1155" bestFit="1" customWidth="1"/>
    <col min="5917" max="5917" width="12.21875" style="1155" bestFit="1" customWidth="1"/>
    <col min="5918" max="5918" width="9" style="1155" bestFit="1" customWidth="1"/>
    <col min="5919" max="5919" width="8.88671875" style="1155"/>
    <col min="5920" max="5920" width="9.44140625" style="1155" bestFit="1" customWidth="1"/>
    <col min="5921" max="6144" width="8.88671875" style="1155"/>
    <col min="6145" max="6148" width="6.77734375" style="1155" customWidth="1"/>
    <col min="6149" max="6149" width="16" style="1155" customWidth="1"/>
    <col min="6150" max="6152" width="13.77734375" style="1155" customWidth="1"/>
    <col min="6153" max="6153" width="1.77734375" style="1155" customWidth="1"/>
    <col min="6154" max="6154" width="2.88671875" style="1155" customWidth="1"/>
    <col min="6155" max="6155" width="2" style="1155" customWidth="1"/>
    <col min="6156" max="6157" width="8.77734375" style="1155" customWidth="1"/>
    <col min="6158" max="6158" width="10.77734375" style="1155" customWidth="1"/>
    <col min="6159" max="6160" width="7.77734375" style="1155" customWidth="1"/>
    <col min="6161" max="6161" width="8.109375" style="1155" customWidth="1"/>
    <col min="6162" max="6162" width="6.88671875" style="1155" customWidth="1"/>
    <col min="6163" max="6163" width="14.77734375" style="1155" customWidth="1"/>
    <col min="6164" max="6165" width="6.88671875" style="1155" customWidth="1"/>
    <col min="6166" max="6166" width="7.44140625" style="1155" customWidth="1"/>
    <col min="6167" max="6167" width="6.88671875" style="1155" customWidth="1"/>
    <col min="6168" max="6168" width="3" style="1155" customWidth="1"/>
    <col min="6169" max="6169" width="14.77734375" style="1155" customWidth="1"/>
    <col min="6170" max="6170" width="15.77734375" style="1155" customWidth="1"/>
    <col min="6171" max="6171" width="15.44140625" style="1155" bestFit="1" customWidth="1"/>
    <col min="6172" max="6172" width="17.5546875" style="1155" bestFit="1" customWidth="1"/>
    <col min="6173" max="6173" width="12.21875" style="1155" bestFit="1" customWidth="1"/>
    <col min="6174" max="6174" width="9" style="1155" bestFit="1" customWidth="1"/>
    <col min="6175" max="6175" width="8.88671875" style="1155"/>
    <col min="6176" max="6176" width="9.44140625" style="1155" bestFit="1" customWidth="1"/>
    <col min="6177" max="6400" width="8.88671875" style="1155"/>
    <col min="6401" max="6404" width="6.77734375" style="1155" customWidth="1"/>
    <col min="6405" max="6405" width="16" style="1155" customWidth="1"/>
    <col min="6406" max="6408" width="13.77734375" style="1155" customWidth="1"/>
    <col min="6409" max="6409" width="1.77734375" style="1155" customWidth="1"/>
    <col min="6410" max="6410" width="2.88671875" style="1155" customWidth="1"/>
    <col min="6411" max="6411" width="2" style="1155" customWidth="1"/>
    <col min="6412" max="6413" width="8.77734375" style="1155" customWidth="1"/>
    <col min="6414" max="6414" width="10.77734375" style="1155" customWidth="1"/>
    <col min="6415" max="6416" width="7.77734375" style="1155" customWidth="1"/>
    <col min="6417" max="6417" width="8.109375" style="1155" customWidth="1"/>
    <col min="6418" max="6418" width="6.88671875" style="1155" customWidth="1"/>
    <col min="6419" max="6419" width="14.77734375" style="1155" customWidth="1"/>
    <col min="6420" max="6421" width="6.88671875" style="1155" customWidth="1"/>
    <col min="6422" max="6422" width="7.44140625" style="1155" customWidth="1"/>
    <col min="6423" max="6423" width="6.88671875" style="1155" customWidth="1"/>
    <col min="6424" max="6424" width="3" style="1155" customWidth="1"/>
    <col min="6425" max="6425" width="14.77734375" style="1155" customWidth="1"/>
    <col min="6426" max="6426" width="15.77734375" style="1155" customWidth="1"/>
    <col min="6427" max="6427" width="15.44140625" style="1155" bestFit="1" customWidth="1"/>
    <col min="6428" max="6428" width="17.5546875" style="1155" bestFit="1" customWidth="1"/>
    <col min="6429" max="6429" width="12.21875" style="1155" bestFit="1" customWidth="1"/>
    <col min="6430" max="6430" width="9" style="1155" bestFit="1" customWidth="1"/>
    <col min="6431" max="6431" width="8.88671875" style="1155"/>
    <col min="6432" max="6432" width="9.44140625" style="1155" bestFit="1" customWidth="1"/>
    <col min="6433" max="6656" width="8.88671875" style="1155"/>
    <col min="6657" max="6660" width="6.77734375" style="1155" customWidth="1"/>
    <col min="6661" max="6661" width="16" style="1155" customWidth="1"/>
    <col min="6662" max="6664" width="13.77734375" style="1155" customWidth="1"/>
    <col min="6665" max="6665" width="1.77734375" style="1155" customWidth="1"/>
    <col min="6666" max="6666" width="2.88671875" style="1155" customWidth="1"/>
    <col min="6667" max="6667" width="2" style="1155" customWidth="1"/>
    <col min="6668" max="6669" width="8.77734375" style="1155" customWidth="1"/>
    <col min="6670" max="6670" width="10.77734375" style="1155" customWidth="1"/>
    <col min="6671" max="6672" width="7.77734375" style="1155" customWidth="1"/>
    <col min="6673" max="6673" width="8.109375" style="1155" customWidth="1"/>
    <col min="6674" max="6674" width="6.88671875" style="1155" customWidth="1"/>
    <col min="6675" max="6675" width="14.77734375" style="1155" customWidth="1"/>
    <col min="6676" max="6677" width="6.88671875" style="1155" customWidth="1"/>
    <col min="6678" max="6678" width="7.44140625" style="1155" customWidth="1"/>
    <col min="6679" max="6679" width="6.88671875" style="1155" customWidth="1"/>
    <col min="6680" max="6680" width="3" style="1155" customWidth="1"/>
    <col min="6681" max="6681" width="14.77734375" style="1155" customWidth="1"/>
    <col min="6682" max="6682" width="15.77734375" style="1155" customWidth="1"/>
    <col min="6683" max="6683" width="15.44140625" style="1155" bestFit="1" customWidth="1"/>
    <col min="6684" max="6684" width="17.5546875" style="1155" bestFit="1" customWidth="1"/>
    <col min="6685" max="6685" width="12.21875" style="1155" bestFit="1" customWidth="1"/>
    <col min="6686" max="6686" width="9" style="1155" bestFit="1" customWidth="1"/>
    <col min="6687" max="6687" width="8.88671875" style="1155"/>
    <col min="6688" max="6688" width="9.44140625" style="1155" bestFit="1" customWidth="1"/>
    <col min="6689" max="6912" width="8.88671875" style="1155"/>
    <col min="6913" max="6916" width="6.77734375" style="1155" customWidth="1"/>
    <col min="6917" max="6917" width="16" style="1155" customWidth="1"/>
    <col min="6918" max="6920" width="13.77734375" style="1155" customWidth="1"/>
    <col min="6921" max="6921" width="1.77734375" style="1155" customWidth="1"/>
    <col min="6922" max="6922" width="2.88671875" style="1155" customWidth="1"/>
    <col min="6923" max="6923" width="2" style="1155" customWidth="1"/>
    <col min="6924" max="6925" width="8.77734375" style="1155" customWidth="1"/>
    <col min="6926" max="6926" width="10.77734375" style="1155" customWidth="1"/>
    <col min="6927" max="6928" width="7.77734375" style="1155" customWidth="1"/>
    <col min="6929" max="6929" width="8.109375" style="1155" customWidth="1"/>
    <col min="6930" max="6930" width="6.88671875" style="1155" customWidth="1"/>
    <col min="6931" max="6931" width="14.77734375" style="1155" customWidth="1"/>
    <col min="6932" max="6933" width="6.88671875" style="1155" customWidth="1"/>
    <col min="6934" max="6934" width="7.44140625" style="1155" customWidth="1"/>
    <col min="6935" max="6935" width="6.88671875" style="1155" customWidth="1"/>
    <col min="6936" max="6936" width="3" style="1155" customWidth="1"/>
    <col min="6937" max="6937" width="14.77734375" style="1155" customWidth="1"/>
    <col min="6938" max="6938" width="15.77734375" style="1155" customWidth="1"/>
    <col min="6939" max="6939" width="15.44140625" style="1155" bestFit="1" customWidth="1"/>
    <col min="6940" max="6940" width="17.5546875" style="1155" bestFit="1" customWidth="1"/>
    <col min="6941" max="6941" width="12.21875" style="1155" bestFit="1" customWidth="1"/>
    <col min="6942" max="6942" width="9" style="1155" bestFit="1" customWidth="1"/>
    <col min="6943" max="6943" width="8.88671875" style="1155"/>
    <col min="6944" max="6944" width="9.44140625" style="1155" bestFit="1" customWidth="1"/>
    <col min="6945" max="7168" width="8.88671875" style="1155"/>
    <col min="7169" max="7172" width="6.77734375" style="1155" customWidth="1"/>
    <col min="7173" max="7173" width="16" style="1155" customWidth="1"/>
    <col min="7174" max="7176" width="13.77734375" style="1155" customWidth="1"/>
    <col min="7177" max="7177" width="1.77734375" style="1155" customWidth="1"/>
    <col min="7178" max="7178" width="2.88671875" style="1155" customWidth="1"/>
    <col min="7179" max="7179" width="2" style="1155" customWidth="1"/>
    <col min="7180" max="7181" width="8.77734375" style="1155" customWidth="1"/>
    <col min="7182" max="7182" width="10.77734375" style="1155" customWidth="1"/>
    <col min="7183" max="7184" width="7.77734375" style="1155" customWidth="1"/>
    <col min="7185" max="7185" width="8.109375" style="1155" customWidth="1"/>
    <col min="7186" max="7186" width="6.88671875" style="1155" customWidth="1"/>
    <col min="7187" max="7187" width="14.77734375" style="1155" customWidth="1"/>
    <col min="7188" max="7189" width="6.88671875" style="1155" customWidth="1"/>
    <col min="7190" max="7190" width="7.44140625" style="1155" customWidth="1"/>
    <col min="7191" max="7191" width="6.88671875" style="1155" customWidth="1"/>
    <col min="7192" max="7192" width="3" style="1155" customWidth="1"/>
    <col min="7193" max="7193" width="14.77734375" style="1155" customWidth="1"/>
    <col min="7194" max="7194" width="15.77734375" style="1155" customWidth="1"/>
    <col min="7195" max="7195" width="15.44140625" style="1155" bestFit="1" customWidth="1"/>
    <col min="7196" max="7196" width="17.5546875" style="1155" bestFit="1" customWidth="1"/>
    <col min="7197" max="7197" width="12.21875" style="1155" bestFit="1" customWidth="1"/>
    <col min="7198" max="7198" width="9" style="1155" bestFit="1" customWidth="1"/>
    <col min="7199" max="7199" width="8.88671875" style="1155"/>
    <col min="7200" max="7200" width="9.44140625" style="1155" bestFit="1" customWidth="1"/>
    <col min="7201" max="7424" width="8.88671875" style="1155"/>
    <col min="7425" max="7428" width="6.77734375" style="1155" customWidth="1"/>
    <col min="7429" max="7429" width="16" style="1155" customWidth="1"/>
    <col min="7430" max="7432" width="13.77734375" style="1155" customWidth="1"/>
    <col min="7433" max="7433" width="1.77734375" style="1155" customWidth="1"/>
    <col min="7434" max="7434" width="2.88671875" style="1155" customWidth="1"/>
    <col min="7435" max="7435" width="2" style="1155" customWidth="1"/>
    <col min="7436" max="7437" width="8.77734375" style="1155" customWidth="1"/>
    <col min="7438" max="7438" width="10.77734375" style="1155" customWidth="1"/>
    <col min="7439" max="7440" width="7.77734375" style="1155" customWidth="1"/>
    <col min="7441" max="7441" width="8.109375" style="1155" customWidth="1"/>
    <col min="7442" max="7442" width="6.88671875" style="1155" customWidth="1"/>
    <col min="7443" max="7443" width="14.77734375" style="1155" customWidth="1"/>
    <col min="7444" max="7445" width="6.88671875" style="1155" customWidth="1"/>
    <col min="7446" max="7446" width="7.44140625" style="1155" customWidth="1"/>
    <col min="7447" max="7447" width="6.88671875" style="1155" customWidth="1"/>
    <col min="7448" max="7448" width="3" style="1155" customWidth="1"/>
    <col min="7449" max="7449" width="14.77734375" style="1155" customWidth="1"/>
    <col min="7450" max="7450" width="15.77734375" style="1155" customWidth="1"/>
    <col min="7451" max="7451" width="15.44140625" style="1155" bestFit="1" customWidth="1"/>
    <col min="7452" max="7452" width="17.5546875" style="1155" bestFit="1" customWidth="1"/>
    <col min="7453" max="7453" width="12.21875" style="1155" bestFit="1" customWidth="1"/>
    <col min="7454" max="7454" width="9" style="1155" bestFit="1" customWidth="1"/>
    <col min="7455" max="7455" width="8.88671875" style="1155"/>
    <col min="7456" max="7456" width="9.44140625" style="1155" bestFit="1" customWidth="1"/>
    <col min="7457" max="7680" width="8.88671875" style="1155"/>
    <col min="7681" max="7684" width="6.77734375" style="1155" customWidth="1"/>
    <col min="7685" max="7685" width="16" style="1155" customWidth="1"/>
    <col min="7686" max="7688" width="13.77734375" style="1155" customWidth="1"/>
    <col min="7689" max="7689" width="1.77734375" style="1155" customWidth="1"/>
    <col min="7690" max="7690" width="2.88671875" style="1155" customWidth="1"/>
    <col min="7691" max="7691" width="2" style="1155" customWidth="1"/>
    <col min="7692" max="7693" width="8.77734375" style="1155" customWidth="1"/>
    <col min="7694" max="7694" width="10.77734375" style="1155" customWidth="1"/>
    <col min="7695" max="7696" width="7.77734375" style="1155" customWidth="1"/>
    <col min="7697" max="7697" width="8.109375" style="1155" customWidth="1"/>
    <col min="7698" max="7698" width="6.88671875" style="1155" customWidth="1"/>
    <col min="7699" max="7699" width="14.77734375" style="1155" customWidth="1"/>
    <col min="7700" max="7701" width="6.88671875" style="1155" customWidth="1"/>
    <col min="7702" max="7702" width="7.44140625" style="1155" customWidth="1"/>
    <col min="7703" max="7703" width="6.88671875" style="1155" customWidth="1"/>
    <col min="7704" max="7704" width="3" style="1155" customWidth="1"/>
    <col min="7705" max="7705" width="14.77734375" style="1155" customWidth="1"/>
    <col min="7706" max="7706" width="15.77734375" style="1155" customWidth="1"/>
    <col min="7707" max="7707" width="15.44140625" style="1155" bestFit="1" customWidth="1"/>
    <col min="7708" max="7708" width="17.5546875" style="1155" bestFit="1" customWidth="1"/>
    <col min="7709" max="7709" width="12.21875" style="1155" bestFit="1" customWidth="1"/>
    <col min="7710" max="7710" width="9" style="1155" bestFit="1" customWidth="1"/>
    <col min="7711" max="7711" width="8.88671875" style="1155"/>
    <col min="7712" max="7712" width="9.44140625" style="1155" bestFit="1" customWidth="1"/>
    <col min="7713" max="7936" width="8.88671875" style="1155"/>
    <col min="7937" max="7940" width="6.77734375" style="1155" customWidth="1"/>
    <col min="7941" max="7941" width="16" style="1155" customWidth="1"/>
    <col min="7942" max="7944" width="13.77734375" style="1155" customWidth="1"/>
    <col min="7945" max="7945" width="1.77734375" style="1155" customWidth="1"/>
    <col min="7946" max="7946" width="2.88671875" style="1155" customWidth="1"/>
    <col min="7947" max="7947" width="2" style="1155" customWidth="1"/>
    <col min="7948" max="7949" width="8.77734375" style="1155" customWidth="1"/>
    <col min="7950" max="7950" width="10.77734375" style="1155" customWidth="1"/>
    <col min="7951" max="7952" width="7.77734375" style="1155" customWidth="1"/>
    <col min="7953" max="7953" width="8.109375" style="1155" customWidth="1"/>
    <col min="7954" max="7954" width="6.88671875" style="1155" customWidth="1"/>
    <col min="7955" max="7955" width="14.77734375" style="1155" customWidth="1"/>
    <col min="7956" max="7957" width="6.88671875" style="1155" customWidth="1"/>
    <col min="7958" max="7958" width="7.44140625" style="1155" customWidth="1"/>
    <col min="7959" max="7959" width="6.88671875" style="1155" customWidth="1"/>
    <col min="7960" max="7960" width="3" style="1155" customWidth="1"/>
    <col min="7961" max="7961" width="14.77734375" style="1155" customWidth="1"/>
    <col min="7962" max="7962" width="15.77734375" style="1155" customWidth="1"/>
    <col min="7963" max="7963" width="15.44140625" style="1155" bestFit="1" customWidth="1"/>
    <col min="7964" max="7964" width="17.5546875" style="1155" bestFit="1" customWidth="1"/>
    <col min="7965" max="7965" width="12.21875" style="1155" bestFit="1" customWidth="1"/>
    <col min="7966" max="7966" width="9" style="1155" bestFit="1" customWidth="1"/>
    <col min="7967" max="7967" width="8.88671875" style="1155"/>
    <col min="7968" max="7968" width="9.44140625" style="1155" bestFit="1" customWidth="1"/>
    <col min="7969" max="8192" width="8.88671875" style="1155"/>
    <col min="8193" max="8196" width="6.77734375" style="1155" customWidth="1"/>
    <col min="8197" max="8197" width="16" style="1155" customWidth="1"/>
    <col min="8198" max="8200" width="13.77734375" style="1155" customWidth="1"/>
    <col min="8201" max="8201" width="1.77734375" style="1155" customWidth="1"/>
    <col min="8202" max="8202" width="2.88671875" style="1155" customWidth="1"/>
    <col min="8203" max="8203" width="2" style="1155" customWidth="1"/>
    <col min="8204" max="8205" width="8.77734375" style="1155" customWidth="1"/>
    <col min="8206" max="8206" width="10.77734375" style="1155" customWidth="1"/>
    <col min="8207" max="8208" width="7.77734375" style="1155" customWidth="1"/>
    <col min="8209" max="8209" width="8.109375" style="1155" customWidth="1"/>
    <col min="8210" max="8210" width="6.88671875" style="1155" customWidth="1"/>
    <col min="8211" max="8211" width="14.77734375" style="1155" customWidth="1"/>
    <col min="8212" max="8213" width="6.88671875" style="1155" customWidth="1"/>
    <col min="8214" max="8214" width="7.44140625" style="1155" customWidth="1"/>
    <col min="8215" max="8215" width="6.88671875" style="1155" customWidth="1"/>
    <col min="8216" max="8216" width="3" style="1155" customWidth="1"/>
    <col min="8217" max="8217" width="14.77734375" style="1155" customWidth="1"/>
    <col min="8218" max="8218" width="15.77734375" style="1155" customWidth="1"/>
    <col min="8219" max="8219" width="15.44140625" style="1155" bestFit="1" customWidth="1"/>
    <col min="8220" max="8220" width="17.5546875" style="1155" bestFit="1" customWidth="1"/>
    <col min="8221" max="8221" width="12.21875" style="1155" bestFit="1" customWidth="1"/>
    <col min="8222" max="8222" width="9" style="1155" bestFit="1" customWidth="1"/>
    <col min="8223" max="8223" width="8.88671875" style="1155"/>
    <col min="8224" max="8224" width="9.44140625" style="1155" bestFit="1" customWidth="1"/>
    <col min="8225" max="8448" width="8.88671875" style="1155"/>
    <col min="8449" max="8452" width="6.77734375" style="1155" customWidth="1"/>
    <col min="8453" max="8453" width="16" style="1155" customWidth="1"/>
    <col min="8454" max="8456" width="13.77734375" style="1155" customWidth="1"/>
    <col min="8457" max="8457" width="1.77734375" style="1155" customWidth="1"/>
    <col min="8458" max="8458" width="2.88671875" style="1155" customWidth="1"/>
    <col min="8459" max="8459" width="2" style="1155" customWidth="1"/>
    <col min="8460" max="8461" width="8.77734375" style="1155" customWidth="1"/>
    <col min="8462" max="8462" width="10.77734375" style="1155" customWidth="1"/>
    <col min="8463" max="8464" width="7.77734375" style="1155" customWidth="1"/>
    <col min="8465" max="8465" width="8.109375" style="1155" customWidth="1"/>
    <col min="8466" max="8466" width="6.88671875" style="1155" customWidth="1"/>
    <col min="8467" max="8467" width="14.77734375" style="1155" customWidth="1"/>
    <col min="8468" max="8469" width="6.88671875" style="1155" customWidth="1"/>
    <col min="8470" max="8470" width="7.44140625" style="1155" customWidth="1"/>
    <col min="8471" max="8471" width="6.88671875" style="1155" customWidth="1"/>
    <col min="8472" max="8472" width="3" style="1155" customWidth="1"/>
    <col min="8473" max="8473" width="14.77734375" style="1155" customWidth="1"/>
    <col min="8474" max="8474" width="15.77734375" style="1155" customWidth="1"/>
    <col min="8475" max="8475" width="15.44140625" style="1155" bestFit="1" customWidth="1"/>
    <col min="8476" max="8476" width="17.5546875" style="1155" bestFit="1" customWidth="1"/>
    <col min="8477" max="8477" width="12.21875" style="1155" bestFit="1" customWidth="1"/>
    <col min="8478" max="8478" width="9" style="1155" bestFit="1" customWidth="1"/>
    <col min="8479" max="8479" width="8.88671875" style="1155"/>
    <col min="8480" max="8480" width="9.44140625" style="1155" bestFit="1" customWidth="1"/>
    <col min="8481" max="8704" width="8.88671875" style="1155"/>
    <col min="8705" max="8708" width="6.77734375" style="1155" customWidth="1"/>
    <col min="8709" max="8709" width="16" style="1155" customWidth="1"/>
    <col min="8710" max="8712" width="13.77734375" style="1155" customWidth="1"/>
    <col min="8713" max="8713" width="1.77734375" style="1155" customWidth="1"/>
    <col min="8714" max="8714" width="2.88671875" style="1155" customWidth="1"/>
    <col min="8715" max="8715" width="2" style="1155" customWidth="1"/>
    <col min="8716" max="8717" width="8.77734375" style="1155" customWidth="1"/>
    <col min="8718" max="8718" width="10.77734375" style="1155" customWidth="1"/>
    <col min="8719" max="8720" width="7.77734375" style="1155" customWidth="1"/>
    <col min="8721" max="8721" width="8.109375" style="1155" customWidth="1"/>
    <col min="8722" max="8722" width="6.88671875" style="1155" customWidth="1"/>
    <col min="8723" max="8723" width="14.77734375" style="1155" customWidth="1"/>
    <col min="8724" max="8725" width="6.88671875" style="1155" customWidth="1"/>
    <col min="8726" max="8726" width="7.44140625" style="1155" customWidth="1"/>
    <col min="8727" max="8727" width="6.88671875" style="1155" customWidth="1"/>
    <col min="8728" max="8728" width="3" style="1155" customWidth="1"/>
    <col min="8729" max="8729" width="14.77734375" style="1155" customWidth="1"/>
    <col min="8730" max="8730" width="15.77734375" style="1155" customWidth="1"/>
    <col min="8731" max="8731" width="15.44140625" style="1155" bestFit="1" customWidth="1"/>
    <col min="8732" max="8732" width="17.5546875" style="1155" bestFit="1" customWidth="1"/>
    <col min="8733" max="8733" width="12.21875" style="1155" bestFit="1" customWidth="1"/>
    <col min="8734" max="8734" width="9" style="1155" bestFit="1" customWidth="1"/>
    <col min="8735" max="8735" width="8.88671875" style="1155"/>
    <col min="8736" max="8736" width="9.44140625" style="1155" bestFit="1" customWidth="1"/>
    <col min="8737" max="8960" width="8.88671875" style="1155"/>
    <col min="8961" max="8964" width="6.77734375" style="1155" customWidth="1"/>
    <col min="8965" max="8965" width="16" style="1155" customWidth="1"/>
    <col min="8966" max="8968" width="13.77734375" style="1155" customWidth="1"/>
    <col min="8969" max="8969" width="1.77734375" style="1155" customWidth="1"/>
    <col min="8970" max="8970" width="2.88671875" style="1155" customWidth="1"/>
    <col min="8971" max="8971" width="2" style="1155" customWidth="1"/>
    <col min="8972" max="8973" width="8.77734375" style="1155" customWidth="1"/>
    <col min="8974" max="8974" width="10.77734375" style="1155" customWidth="1"/>
    <col min="8975" max="8976" width="7.77734375" style="1155" customWidth="1"/>
    <col min="8977" max="8977" width="8.109375" style="1155" customWidth="1"/>
    <col min="8978" max="8978" width="6.88671875" style="1155" customWidth="1"/>
    <col min="8979" max="8979" width="14.77734375" style="1155" customWidth="1"/>
    <col min="8980" max="8981" width="6.88671875" style="1155" customWidth="1"/>
    <col min="8982" max="8982" width="7.44140625" style="1155" customWidth="1"/>
    <col min="8983" max="8983" width="6.88671875" style="1155" customWidth="1"/>
    <col min="8984" max="8984" width="3" style="1155" customWidth="1"/>
    <col min="8985" max="8985" width="14.77734375" style="1155" customWidth="1"/>
    <col min="8986" max="8986" width="15.77734375" style="1155" customWidth="1"/>
    <col min="8987" max="8987" width="15.44140625" style="1155" bestFit="1" customWidth="1"/>
    <col min="8988" max="8988" width="17.5546875" style="1155" bestFit="1" customWidth="1"/>
    <col min="8989" max="8989" width="12.21875" style="1155" bestFit="1" customWidth="1"/>
    <col min="8990" max="8990" width="9" style="1155" bestFit="1" customWidth="1"/>
    <col min="8991" max="8991" width="8.88671875" style="1155"/>
    <col min="8992" max="8992" width="9.44140625" style="1155" bestFit="1" customWidth="1"/>
    <col min="8993" max="9216" width="8.88671875" style="1155"/>
    <col min="9217" max="9220" width="6.77734375" style="1155" customWidth="1"/>
    <col min="9221" max="9221" width="16" style="1155" customWidth="1"/>
    <col min="9222" max="9224" width="13.77734375" style="1155" customWidth="1"/>
    <col min="9225" max="9225" width="1.77734375" style="1155" customWidth="1"/>
    <col min="9226" max="9226" width="2.88671875" style="1155" customWidth="1"/>
    <col min="9227" max="9227" width="2" style="1155" customWidth="1"/>
    <col min="9228" max="9229" width="8.77734375" style="1155" customWidth="1"/>
    <col min="9230" max="9230" width="10.77734375" style="1155" customWidth="1"/>
    <col min="9231" max="9232" width="7.77734375" style="1155" customWidth="1"/>
    <col min="9233" max="9233" width="8.109375" style="1155" customWidth="1"/>
    <col min="9234" max="9234" width="6.88671875" style="1155" customWidth="1"/>
    <col min="9235" max="9235" width="14.77734375" style="1155" customWidth="1"/>
    <col min="9236" max="9237" width="6.88671875" style="1155" customWidth="1"/>
    <col min="9238" max="9238" width="7.44140625" style="1155" customWidth="1"/>
    <col min="9239" max="9239" width="6.88671875" style="1155" customWidth="1"/>
    <col min="9240" max="9240" width="3" style="1155" customWidth="1"/>
    <col min="9241" max="9241" width="14.77734375" style="1155" customWidth="1"/>
    <col min="9242" max="9242" width="15.77734375" style="1155" customWidth="1"/>
    <col min="9243" max="9243" width="15.44140625" style="1155" bestFit="1" customWidth="1"/>
    <col min="9244" max="9244" width="17.5546875" style="1155" bestFit="1" customWidth="1"/>
    <col min="9245" max="9245" width="12.21875" style="1155" bestFit="1" customWidth="1"/>
    <col min="9246" max="9246" width="9" style="1155" bestFit="1" customWidth="1"/>
    <col min="9247" max="9247" width="8.88671875" style="1155"/>
    <col min="9248" max="9248" width="9.44140625" style="1155" bestFit="1" customWidth="1"/>
    <col min="9249" max="9472" width="8.88671875" style="1155"/>
    <col min="9473" max="9476" width="6.77734375" style="1155" customWidth="1"/>
    <col min="9477" max="9477" width="16" style="1155" customWidth="1"/>
    <col min="9478" max="9480" width="13.77734375" style="1155" customWidth="1"/>
    <col min="9481" max="9481" width="1.77734375" style="1155" customWidth="1"/>
    <col min="9482" max="9482" width="2.88671875" style="1155" customWidth="1"/>
    <col min="9483" max="9483" width="2" style="1155" customWidth="1"/>
    <col min="9484" max="9485" width="8.77734375" style="1155" customWidth="1"/>
    <col min="9486" max="9486" width="10.77734375" style="1155" customWidth="1"/>
    <col min="9487" max="9488" width="7.77734375" style="1155" customWidth="1"/>
    <col min="9489" max="9489" width="8.109375" style="1155" customWidth="1"/>
    <col min="9490" max="9490" width="6.88671875" style="1155" customWidth="1"/>
    <col min="9491" max="9491" width="14.77734375" style="1155" customWidth="1"/>
    <col min="9492" max="9493" width="6.88671875" style="1155" customWidth="1"/>
    <col min="9494" max="9494" width="7.44140625" style="1155" customWidth="1"/>
    <col min="9495" max="9495" width="6.88671875" style="1155" customWidth="1"/>
    <col min="9496" max="9496" width="3" style="1155" customWidth="1"/>
    <col min="9497" max="9497" width="14.77734375" style="1155" customWidth="1"/>
    <col min="9498" max="9498" width="15.77734375" style="1155" customWidth="1"/>
    <col min="9499" max="9499" width="15.44140625" style="1155" bestFit="1" customWidth="1"/>
    <col min="9500" max="9500" width="17.5546875" style="1155" bestFit="1" customWidth="1"/>
    <col min="9501" max="9501" width="12.21875" style="1155" bestFit="1" customWidth="1"/>
    <col min="9502" max="9502" width="9" style="1155" bestFit="1" customWidth="1"/>
    <col min="9503" max="9503" width="8.88671875" style="1155"/>
    <col min="9504" max="9504" width="9.44140625" style="1155" bestFit="1" customWidth="1"/>
    <col min="9505" max="9728" width="8.88671875" style="1155"/>
    <col min="9729" max="9732" width="6.77734375" style="1155" customWidth="1"/>
    <col min="9733" max="9733" width="16" style="1155" customWidth="1"/>
    <col min="9734" max="9736" width="13.77734375" style="1155" customWidth="1"/>
    <col min="9737" max="9737" width="1.77734375" style="1155" customWidth="1"/>
    <col min="9738" max="9738" width="2.88671875" style="1155" customWidth="1"/>
    <col min="9739" max="9739" width="2" style="1155" customWidth="1"/>
    <col min="9740" max="9741" width="8.77734375" style="1155" customWidth="1"/>
    <col min="9742" max="9742" width="10.77734375" style="1155" customWidth="1"/>
    <col min="9743" max="9744" width="7.77734375" style="1155" customWidth="1"/>
    <col min="9745" max="9745" width="8.109375" style="1155" customWidth="1"/>
    <col min="9746" max="9746" width="6.88671875" style="1155" customWidth="1"/>
    <col min="9747" max="9747" width="14.77734375" style="1155" customWidth="1"/>
    <col min="9748" max="9749" width="6.88671875" style="1155" customWidth="1"/>
    <col min="9750" max="9750" width="7.44140625" style="1155" customWidth="1"/>
    <col min="9751" max="9751" width="6.88671875" style="1155" customWidth="1"/>
    <col min="9752" max="9752" width="3" style="1155" customWidth="1"/>
    <col min="9753" max="9753" width="14.77734375" style="1155" customWidth="1"/>
    <col min="9754" max="9754" width="15.77734375" style="1155" customWidth="1"/>
    <col min="9755" max="9755" width="15.44140625" style="1155" bestFit="1" customWidth="1"/>
    <col min="9756" max="9756" width="17.5546875" style="1155" bestFit="1" customWidth="1"/>
    <col min="9757" max="9757" width="12.21875" style="1155" bestFit="1" customWidth="1"/>
    <col min="9758" max="9758" width="9" style="1155" bestFit="1" customWidth="1"/>
    <col min="9759" max="9759" width="8.88671875" style="1155"/>
    <col min="9760" max="9760" width="9.44140625" style="1155" bestFit="1" customWidth="1"/>
    <col min="9761" max="9984" width="8.88671875" style="1155"/>
    <col min="9985" max="9988" width="6.77734375" style="1155" customWidth="1"/>
    <col min="9989" max="9989" width="16" style="1155" customWidth="1"/>
    <col min="9990" max="9992" width="13.77734375" style="1155" customWidth="1"/>
    <col min="9993" max="9993" width="1.77734375" style="1155" customWidth="1"/>
    <col min="9994" max="9994" width="2.88671875" style="1155" customWidth="1"/>
    <col min="9995" max="9995" width="2" style="1155" customWidth="1"/>
    <col min="9996" max="9997" width="8.77734375" style="1155" customWidth="1"/>
    <col min="9998" max="9998" width="10.77734375" style="1155" customWidth="1"/>
    <col min="9999" max="10000" width="7.77734375" style="1155" customWidth="1"/>
    <col min="10001" max="10001" width="8.109375" style="1155" customWidth="1"/>
    <col min="10002" max="10002" width="6.88671875" style="1155" customWidth="1"/>
    <col min="10003" max="10003" width="14.77734375" style="1155" customWidth="1"/>
    <col min="10004" max="10005" width="6.88671875" style="1155" customWidth="1"/>
    <col min="10006" max="10006" width="7.44140625" style="1155" customWidth="1"/>
    <col min="10007" max="10007" width="6.88671875" style="1155" customWidth="1"/>
    <col min="10008" max="10008" width="3" style="1155" customWidth="1"/>
    <col min="10009" max="10009" width="14.77734375" style="1155" customWidth="1"/>
    <col min="10010" max="10010" width="15.77734375" style="1155" customWidth="1"/>
    <col min="10011" max="10011" width="15.44140625" style="1155" bestFit="1" customWidth="1"/>
    <col min="10012" max="10012" width="17.5546875" style="1155" bestFit="1" customWidth="1"/>
    <col min="10013" max="10013" width="12.21875" style="1155" bestFit="1" customWidth="1"/>
    <col min="10014" max="10014" width="9" style="1155" bestFit="1" customWidth="1"/>
    <col min="10015" max="10015" width="8.88671875" style="1155"/>
    <col min="10016" max="10016" width="9.44140625" style="1155" bestFit="1" customWidth="1"/>
    <col min="10017" max="10240" width="8.88671875" style="1155"/>
    <col min="10241" max="10244" width="6.77734375" style="1155" customWidth="1"/>
    <col min="10245" max="10245" width="16" style="1155" customWidth="1"/>
    <col min="10246" max="10248" width="13.77734375" style="1155" customWidth="1"/>
    <col min="10249" max="10249" width="1.77734375" style="1155" customWidth="1"/>
    <col min="10250" max="10250" width="2.88671875" style="1155" customWidth="1"/>
    <col min="10251" max="10251" width="2" style="1155" customWidth="1"/>
    <col min="10252" max="10253" width="8.77734375" style="1155" customWidth="1"/>
    <col min="10254" max="10254" width="10.77734375" style="1155" customWidth="1"/>
    <col min="10255" max="10256" width="7.77734375" style="1155" customWidth="1"/>
    <col min="10257" max="10257" width="8.109375" style="1155" customWidth="1"/>
    <col min="10258" max="10258" width="6.88671875" style="1155" customWidth="1"/>
    <col min="10259" max="10259" width="14.77734375" style="1155" customWidth="1"/>
    <col min="10260" max="10261" width="6.88671875" style="1155" customWidth="1"/>
    <col min="10262" max="10262" width="7.44140625" style="1155" customWidth="1"/>
    <col min="10263" max="10263" width="6.88671875" style="1155" customWidth="1"/>
    <col min="10264" max="10264" width="3" style="1155" customWidth="1"/>
    <col min="10265" max="10265" width="14.77734375" style="1155" customWidth="1"/>
    <col min="10266" max="10266" width="15.77734375" style="1155" customWidth="1"/>
    <col min="10267" max="10267" width="15.44140625" style="1155" bestFit="1" customWidth="1"/>
    <col min="10268" max="10268" width="17.5546875" style="1155" bestFit="1" customWidth="1"/>
    <col min="10269" max="10269" width="12.21875" style="1155" bestFit="1" customWidth="1"/>
    <col min="10270" max="10270" width="9" style="1155" bestFit="1" customWidth="1"/>
    <col min="10271" max="10271" width="8.88671875" style="1155"/>
    <col min="10272" max="10272" width="9.44140625" style="1155" bestFit="1" customWidth="1"/>
    <col min="10273" max="10496" width="8.88671875" style="1155"/>
    <col min="10497" max="10500" width="6.77734375" style="1155" customWidth="1"/>
    <col min="10501" max="10501" width="16" style="1155" customWidth="1"/>
    <col min="10502" max="10504" width="13.77734375" style="1155" customWidth="1"/>
    <col min="10505" max="10505" width="1.77734375" style="1155" customWidth="1"/>
    <col min="10506" max="10506" width="2.88671875" style="1155" customWidth="1"/>
    <col min="10507" max="10507" width="2" style="1155" customWidth="1"/>
    <col min="10508" max="10509" width="8.77734375" style="1155" customWidth="1"/>
    <col min="10510" max="10510" width="10.77734375" style="1155" customWidth="1"/>
    <col min="10511" max="10512" width="7.77734375" style="1155" customWidth="1"/>
    <col min="10513" max="10513" width="8.109375" style="1155" customWidth="1"/>
    <col min="10514" max="10514" width="6.88671875" style="1155" customWidth="1"/>
    <col min="10515" max="10515" width="14.77734375" style="1155" customWidth="1"/>
    <col min="10516" max="10517" width="6.88671875" style="1155" customWidth="1"/>
    <col min="10518" max="10518" width="7.44140625" style="1155" customWidth="1"/>
    <col min="10519" max="10519" width="6.88671875" style="1155" customWidth="1"/>
    <col min="10520" max="10520" width="3" style="1155" customWidth="1"/>
    <col min="10521" max="10521" width="14.77734375" style="1155" customWidth="1"/>
    <col min="10522" max="10522" width="15.77734375" style="1155" customWidth="1"/>
    <col min="10523" max="10523" width="15.44140625" style="1155" bestFit="1" customWidth="1"/>
    <col min="10524" max="10524" width="17.5546875" style="1155" bestFit="1" customWidth="1"/>
    <col min="10525" max="10525" width="12.21875" style="1155" bestFit="1" customWidth="1"/>
    <col min="10526" max="10526" width="9" style="1155" bestFit="1" customWidth="1"/>
    <col min="10527" max="10527" width="8.88671875" style="1155"/>
    <col min="10528" max="10528" width="9.44140625" style="1155" bestFit="1" customWidth="1"/>
    <col min="10529" max="10752" width="8.88671875" style="1155"/>
    <col min="10753" max="10756" width="6.77734375" style="1155" customWidth="1"/>
    <col min="10757" max="10757" width="16" style="1155" customWidth="1"/>
    <col min="10758" max="10760" width="13.77734375" style="1155" customWidth="1"/>
    <col min="10761" max="10761" width="1.77734375" style="1155" customWidth="1"/>
    <col min="10762" max="10762" width="2.88671875" style="1155" customWidth="1"/>
    <col min="10763" max="10763" width="2" style="1155" customWidth="1"/>
    <col min="10764" max="10765" width="8.77734375" style="1155" customWidth="1"/>
    <col min="10766" max="10766" width="10.77734375" style="1155" customWidth="1"/>
    <col min="10767" max="10768" width="7.77734375" style="1155" customWidth="1"/>
    <col min="10769" max="10769" width="8.109375" style="1155" customWidth="1"/>
    <col min="10770" max="10770" width="6.88671875" style="1155" customWidth="1"/>
    <col min="10771" max="10771" width="14.77734375" style="1155" customWidth="1"/>
    <col min="10772" max="10773" width="6.88671875" style="1155" customWidth="1"/>
    <col min="10774" max="10774" width="7.44140625" style="1155" customWidth="1"/>
    <col min="10775" max="10775" width="6.88671875" style="1155" customWidth="1"/>
    <col min="10776" max="10776" width="3" style="1155" customWidth="1"/>
    <col min="10777" max="10777" width="14.77734375" style="1155" customWidth="1"/>
    <col min="10778" max="10778" width="15.77734375" style="1155" customWidth="1"/>
    <col min="10779" max="10779" width="15.44140625" style="1155" bestFit="1" customWidth="1"/>
    <col min="10780" max="10780" width="17.5546875" style="1155" bestFit="1" customWidth="1"/>
    <col min="10781" max="10781" width="12.21875" style="1155" bestFit="1" customWidth="1"/>
    <col min="10782" max="10782" width="9" style="1155" bestFit="1" customWidth="1"/>
    <col min="10783" max="10783" width="8.88671875" style="1155"/>
    <col min="10784" max="10784" width="9.44140625" style="1155" bestFit="1" customWidth="1"/>
    <col min="10785" max="11008" width="8.88671875" style="1155"/>
    <col min="11009" max="11012" width="6.77734375" style="1155" customWidth="1"/>
    <col min="11013" max="11013" width="16" style="1155" customWidth="1"/>
    <col min="11014" max="11016" width="13.77734375" style="1155" customWidth="1"/>
    <col min="11017" max="11017" width="1.77734375" style="1155" customWidth="1"/>
    <col min="11018" max="11018" width="2.88671875" style="1155" customWidth="1"/>
    <col min="11019" max="11019" width="2" style="1155" customWidth="1"/>
    <col min="11020" max="11021" width="8.77734375" style="1155" customWidth="1"/>
    <col min="11022" max="11022" width="10.77734375" style="1155" customWidth="1"/>
    <col min="11023" max="11024" width="7.77734375" style="1155" customWidth="1"/>
    <col min="11025" max="11025" width="8.109375" style="1155" customWidth="1"/>
    <col min="11026" max="11026" width="6.88671875" style="1155" customWidth="1"/>
    <col min="11027" max="11027" width="14.77734375" style="1155" customWidth="1"/>
    <col min="11028" max="11029" width="6.88671875" style="1155" customWidth="1"/>
    <col min="11030" max="11030" width="7.44140625" style="1155" customWidth="1"/>
    <col min="11031" max="11031" width="6.88671875" style="1155" customWidth="1"/>
    <col min="11032" max="11032" width="3" style="1155" customWidth="1"/>
    <col min="11033" max="11033" width="14.77734375" style="1155" customWidth="1"/>
    <col min="11034" max="11034" width="15.77734375" style="1155" customWidth="1"/>
    <col min="11035" max="11035" width="15.44140625" style="1155" bestFit="1" customWidth="1"/>
    <col min="11036" max="11036" width="17.5546875" style="1155" bestFit="1" customWidth="1"/>
    <col min="11037" max="11037" width="12.21875" style="1155" bestFit="1" customWidth="1"/>
    <col min="11038" max="11038" width="9" style="1155" bestFit="1" customWidth="1"/>
    <col min="11039" max="11039" width="8.88671875" style="1155"/>
    <col min="11040" max="11040" width="9.44140625" style="1155" bestFit="1" customWidth="1"/>
    <col min="11041" max="11264" width="8.88671875" style="1155"/>
    <col min="11265" max="11268" width="6.77734375" style="1155" customWidth="1"/>
    <col min="11269" max="11269" width="16" style="1155" customWidth="1"/>
    <col min="11270" max="11272" width="13.77734375" style="1155" customWidth="1"/>
    <col min="11273" max="11273" width="1.77734375" style="1155" customWidth="1"/>
    <col min="11274" max="11274" width="2.88671875" style="1155" customWidth="1"/>
    <col min="11275" max="11275" width="2" style="1155" customWidth="1"/>
    <col min="11276" max="11277" width="8.77734375" style="1155" customWidth="1"/>
    <col min="11278" max="11278" width="10.77734375" style="1155" customWidth="1"/>
    <col min="11279" max="11280" width="7.77734375" style="1155" customWidth="1"/>
    <col min="11281" max="11281" width="8.109375" style="1155" customWidth="1"/>
    <col min="11282" max="11282" width="6.88671875" style="1155" customWidth="1"/>
    <col min="11283" max="11283" width="14.77734375" style="1155" customWidth="1"/>
    <col min="11284" max="11285" width="6.88671875" style="1155" customWidth="1"/>
    <col min="11286" max="11286" width="7.44140625" style="1155" customWidth="1"/>
    <col min="11287" max="11287" width="6.88671875" style="1155" customWidth="1"/>
    <col min="11288" max="11288" width="3" style="1155" customWidth="1"/>
    <col min="11289" max="11289" width="14.77734375" style="1155" customWidth="1"/>
    <col min="11290" max="11290" width="15.77734375" style="1155" customWidth="1"/>
    <col min="11291" max="11291" width="15.44140625" style="1155" bestFit="1" customWidth="1"/>
    <col min="11292" max="11292" width="17.5546875" style="1155" bestFit="1" customWidth="1"/>
    <col min="11293" max="11293" width="12.21875" style="1155" bestFit="1" customWidth="1"/>
    <col min="11294" max="11294" width="9" style="1155" bestFit="1" customWidth="1"/>
    <col min="11295" max="11295" width="8.88671875" style="1155"/>
    <col min="11296" max="11296" width="9.44140625" style="1155" bestFit="1" customWidth="1"/>
    <col min="11297" max="11520" width="8.88671875" style="1155"/>
    <col min="11521" max="11524" width="6.77734375" style="1155" customWidth="1"/>
    <col min="11525" max="11525" width="16" style="1155" customWidth="1"/>
    <col min="11526" max="11528" width="13.77734375" style="1155" customWidth="1"/>
    <col min="11529" max="11529" width="1.77734375" style="1155" customWidth="1"/>
    <col min="11530" max="11530" width="2.88671875" style="1155" customWidth="1"/>
    <col min="11531" max="11531" width="2" style="1155" customWidth="1"/>
    <col min="11532" max="11533" width="8.77734375" style="1155" customWidth="1"/>
    <col min="11534" max="11534" width="10.77734375" style="1155" customWidth="1"/>
    <col min="11535" max="11536" width="7.77734375" style="1155" customWidth="1"/>
    <col min="11537" max="11537" width="8.109375" style="1155" customWidth="1"/>
    <col min="11538" max="11538" width="6.88671875" style="1155" customWidth="1"/>
    <col min="11539" max="11539" width="14.77734375" style="1155" customWidth="1"/>
    <col min="11540" max="11541" width="6.88671875" style="1155" customWidth="1"/>
    <col min="11542" max="11542" width="7.44140625" style="1155" customWidth="1"/>
    <col min="11543" max="11543" width="6.88671875" style="1155" customWidth="1"/>
    <col min="11544" max="11544" width="3" style="1155" customWidth="1"/>
    <col min="11545" max="11545" width="14.77734375" style="1155" customWidth="1"/>
    <col min="11546" max="11546" width="15.77734375" style="1155" customWidth="1"/>
    <col min="11547" max="11547" width="15.44140625" style="1155" bestFit="1" customWidth="1"/>
    <col min="11548" max="11548" width="17.5546875" style="1155" bestFit="1" customWidth="1"/>
    <col min="11549" max="11549" width="12.21875" style="1155" bestFit="1" customWidth="1"/>
    <col min="11550" max="11550" width="9" style="1155" bestFit="1" customWidth="1"/>
    <col min="11551" max="11551" width="8.88671875" style="1155"/>
    <col min="11552" max="11552" width="9.44140625" style="1155" bestFit="1" customWidth="1"/>
    <col min="11553" max="11776" width="8.88671875" style="1155"/>
    <col min="11777" max="11780" width="6.77734375" style="1155" customWidth="1"/>
    <col min="11781" max="11781" width="16" style="1155" customWidth="1"/>
    <col min="11782" max="11784" width="13.77734375" style="1155" customWidth="1"/>
    <col min="11785" max="11785" width="1.77734375" style="1155" customWidth="1"/>
    <col min="11786" max="11786" width="2.88671875" style="1155" customWidth="1"/>
    <col min="11787" max="11787" width="2" style="1155" customWidth="1"/>
    <col min="11788" max="11789" width="8.77734375" style="1155" customWidth="1"/>
    <col min="11790" max="11790" width="10.77734375" style="1155" customWidth="1"/>
    <col min="11791" max="11792" width="7.77734375" style="1155" customWidth="1"/>
    <col min="11793" max="11793" width="8.109375" style="1155" customWidth="1"/>
    <col min="11794" max="11794" width="6.88671875" style="1155" customWidth="1"/>
    <col min="11795" max="11795" width="14.77734375" style="1155" customWidth="1"/>
    <col min="11796" max="11797" width="6.88671875" style="1155" customWidth="1"/>
    <col min="11798" max="11798" width="7.44140625" style="1155" customWidth="1"/>
    <col min="11799" max="11799" width="6.88671875" style="1155" customWidth="1"/>
    <col min="11800" max="11800" width="3" style="1155" customWidth="1"/>
    <col min="11801" max="11801" width="14.77734375" style="1155" customWidth="1"/>
    <col min="11802" max="11802" width="15.77734375" style="1155" customWidth="1"/>
    <col min="11803" max="11803" width="15.44140625" style="1155" bestFit="1" customWidth="1"/>
    <col min="11804" max="11804" width="17.5546875" style="1155" bestFit="1" customWidth="1"/>
    <col min="11805" max="11805" width="12.21875" style="1155" bestFit="1" customWidth="1"/>
    <col min="11806" max="11806" width="9" style="1155" bestFit="1" customWidth="1"/>
    <col min="11807" max="11807" width="8.88671875" style="1155"/>
    <col min="11808" max="11808" width="9.44140625" style="1155" bestFit="1" customWidth="1"/>
    <col min="11809" max="12032" width="8.88671875" style="1155"/>
    <col min="12033" max="12036" width="6.77734375" style="1155" customWidth="1"/>
    <col min="12037" max="12037" width="16" style="1155" customWidth="1"/>
    <col min="12038" max="12040" width="13.77734375" style="1155" customWidth="1"/>
    <col min="12041" max="12041" width="1.77734375" style="1155" customWidth="1"/>
    <col min="12042" max="12042" width="2.88671875" style="1155" customWidth="1"/>
    <col min="12043" max="12043" width="2" style="1155" customWidth="1"/>
    <col min="12044" max="12045" width="8.77734375" style="1155" customWidth="1"/>
    <col min="12046" max="12046" width="10.77734375" style="1155" customWidth="1"/>
    <col min="12047" max="12048" width="7.77734375" style="1155" customWidth="1"/>
    <col min="12049" max="12049" width="8.109375" style="1155" customWidth="1"/>
    <col min="12050" max="12050" width="6.88671875" style="1155" customWidth="1"/>
    <col min="12051" max="12051" width="14.77734375" style="1155" customWidth="1"/>
    <col min="12052" max="12053" width="6.88671875" style="1155" customWidth="1"/>
    <col min="12054" max="12054" width="7.44140625" style="1155" customWidth="1"/>
    <col min="12055" max="12055" width="6.88671875" style="1155" customWidth="1"/>
    <col min="12056" max="12056" width="3" style="1155" customWidth="1"/>
    <col min="12057" max="12057" width="14.77734375" style="1155" customWidth="1"/>
    <col min="12058" max="12058" width="15.77734375" style="1155" customWidth="1"/>
    <col min="12059" max="12059" width="15.44140625" style="1155" bestFit="1" customWidth="1"/>
    <col min="12060" max="12060" width="17.5546875" style="1155" bestFit="1" customWidth="1"/>
    <col min="12061" max="12061" width="12.21875" style="1155" bestFit="1" customWidth="1"/>
    <col min="12062" max="12062" width="9" style="1155" bestFit="1" customWidth="1"/>
    <col min="12063" max="12063" width="8.88671875" style="1155"/>
    <col min="12064" max="12064" width="9.44140625" style="1155" bestFit="1" customWidth="1"/>
    <col min="12065" max="12288" width="8.88671875" style="1155"/>
    <col min="12289" max="12292" width="6.77734375" style="1155" customWidth="1"/>
    <col min="12293" max="12293" width="16" style="1155" customWidth="1"/>
    <col min="12294" max="12296" width="13.77734375" style="1155" customWidth="1"/>
    <col min="12297" max="12297" width="1.77734375" style="1155" customWidth="1"/>
    <col min="12298" max="12298" width="2.88671875" style="1155" customWidth="1"/>
    <col min="12299" max="12299" width="2" style="1155" customWidth="1"/>
    <col min="12300" max="12301" width="8.77734375" style="1155" customWidth="1"/>
    <col min="12302" max="12302" width="10.77734375" style="1155" customWidth="1"/>
    <col min="12303" max="12304" width="7.77734375" style="1155" customWidth="1"/>
    <col min="12305" max="12305" width="8.109375" style="1155" customWidth="1"/>
    <col min="12306" max="12306" width="6.88671875" style="1155" customWidth="1"/>
    <col min="12307" max="12307" width="14.77734375" style="1155" customWidth="1"/>
    <col min="12308" max="12309" width="6.88671875" style="1155" customWidth="1"/>
    <col min="12310" max="12310" width="7.44140625" style="1155" customWidth="1"/>
    <col min="12311" max="12311" width="6.88671875" style="1155" customWidth="1"/>
    <col min="12312" max="12312" width="3" style="1155" customWidth="1"/>
    <col min="12313" max="12313" width="14.77734375" style="1155" customWidth="1"/>
    <col min="12314" max="12314" width="15.77734375" style="1155" customWidth="1"/>
    <col min="12315" max="12315" width="15.44140625" style="1155" bestFit="1" customWidth="1"/>
    <col min="12316" max="12316" width="17.5546875" style="1155" bestFit="1" customWidth="1"/>
    <col min="12317" max="12317" width="12.21875" style="1155" bestFit="1" customWidth="1"/>
    <col min="12318" max="12318" width="9" style="1155" bestFit="1" customWidth="1"/>
    <col min="12319" max="12319" width="8.88671875" style="1155"/>
    <col min="12320" max="12320" width="9.44140625" style="1155" bestFit="1" customWidth="1"/>
    <col min="12321" max="12544" width="8.88671875" style="1155"/>
    <col min="12545" max="12548" width="6.77734375" style="1155" customWidth="1"/>
    <col min="12549" max="12549" width="16" style="1155" customWidth="1"/>
    <col min="12550" max="12552" width="13.77734375" style="1155" customWidth="1"/>
    <col min="12553" max="12553" width="1.77734375" style="1155" customWidth="1"/>
    <col min="12554" max="12554" width="2.88671875" style="1155" customWidth="1"/>
    <col min="12555" max="12555" width="2" style="1155" customWidth="1"/>
    <col min="12556" max="12557" width="8.77734375" style="1155" customWidth="1"/>
    <col min="12558" max="12558" width="10.77734375" style="1155" customWidth="1"/>
    <col min="12559" max="12560" width="7.77734375" style="1155" customWidth="1"/>
    <col min="12561" max="12561" width="8.109375" style="1155" customWidth="1"/>
    <col min="12562" max="12562" width="6.88671875" style="1155" customWidth="1"/>
    <col min="12563" max="12563" width="14.77734375" style="1155" customWidth="1"/>
    <col min="12564" max="12565" width="6.88671875" style="1155" customWidth="1"/>
    <col min="12566" max="12566" width="7.44140625" style="1155" customWidth="1"/>
    <col min="12567" max="12567" width="6.88671875" style="1155" customWidth="1"/>
    <col min="12568" max="12568" width="3" style="1155" customWidth="1"/>
    <col min="12569" max="12569" width="14.77734375" style="1155" customWidth="1"/>
    <col min="12570" max="12570" width="15.77734375" style="1155" customWidth="1"/>
    <col min="12571" max="12571" width="15.44140625" style="1155" bestFit="1" customWidth="1"/>
    <col min="12572" max="12572" width="17.5546875" style="1155" bestFit="1" customWidth="1"/>
    <col min="12573" max="12573" width="12.21875" style="1155" bestFit="1" customWidth="1"/>
    <col min="12574" max="12574" width="9" style="1155" bestFit="1" customWidth="1"/>
    <col min="12575" max="12575" width="8.88671875" style="1155"/>
    <col min="12576" max="12576" width="9.44140625" style="1155" bestFit="1" customWidth="1"/>
    <col min="12577" max="12800" width="8.88671875" style="1155"/>
    <col min="12801" max="12804" width="6.77734375" style="1155" customWidth="1"/>
    <col min="12805" max="12805" width="16" style="1155" customWidth="1"/>
    <col min="12806" max="12808" width="13.77734375" style="1155" customWidth="1"/>
    <col min="12809" max="12809" width="1.77734375" style="1155" customWidth="1"/>
    <col min="12810" max="12810" width="2.88671875" style="1155" customWidth="1"/>
    <col min="12811" max="12811" width="2" style="1155" customWidth="1"/>
    <col min="12812" max="12813" width="8.77734375" style="1155" customWidth="1"/>
    <col min="12814" max="12814" width="10.77734375" style="1155" customWidth="1"/>
    <col min="12815" max="12816" width="7.77734375" style="1155" customWidth="1"/>
    <col min="12817" max="12817" width="8.109375" style="1155" customWidth="1"/>
    <col min="12818" max="12818" width="6.88671875" style="1155" customWidth="1"/>
    <col min="12819" max="12819" width="14.77734375" style="1155" customWidth="1"/>
    <col min="12820" max="12821" width="6.88671875" style="1155" customWidth="1"/>
    <col min="12822" max="12822" width="7.44140625" style="1155" customWidth="1"/>
    <col min="12823" max="12823" width="6.88671875" style="1155" customWidth="1"/>
    <col min="12824" max="12824" width="3" style="1155" customWidth="1"/>
    <col min="12825" max="12825" width="14.77734375" style="1155" customWidth="1"/>
    <col min="12826" max="12826" width="15.77734375" style="1155" customWidth="1"/>
    <col min="12827" max="12827" width="15.44140625" style="1155" bestFit="1" customWidth="1"/>
    <col min="12828" max="12828" width="17.5546875" style="1155" bestFit="1" customWidth="1"/>
    <col min="12829" max="12829" width="12.21875" style="1155" bestFit="1" customWidth="1"/>
    <col min="12830" max="12830" width="9" style="1155" bestFit="1" customWidth="1"/>
    <col min="12831" max="12831" width="8.88671875" style="1155"/>
    <col min="12832" max="12832" width="9.44140625" style="1155" bestFit="1" customWidth="1"/>
    <col min="12833" max="13056" width="8.88671875" style="1155"/>
    <col min="13057" max="13060" width="6.77734375" style="1155" customWidth="1"/>
    <col min="13061" max="13061" width="16" style="1155" customWidth="1"/>
    <col min="13062" max="13064" width="13.77734375" style="1155" customWidth="1"/>
    <col min="13065" max="13065" width="1.77734375" style="1155" customWidth="1"/>
    <col min="13066" max="13066" width="2.88671875" style="1155" customWidth="1"/>
    <col min="13067" max="13067" width="2" style="1155" customWidth="1"/>
    <col min="13068" max="13069" width="8.77734375" style="1155" customWidth="1"/>
    <col min="13070" max="13070" width="10.77734375" style="1155" customWidth="1"/>
    <col min="13071" max="13072" width="7.77734375" style="1155" customWidth="1"/>
    <col min="13073" max="13073" width="8.109375" style="1155" customWidth="1"/>
    <col min="13074" max="13074" width="6.88671875" style="1155" customWidth="1"/>
    <col min="13075" max="13075" width="14.77734375" style="1155" customWidth="1"/>
    <col min="13076" max="13077" width="6.88671875" style="1155" customWidth="1"/>
    <col min="13078" max="13078" width="7.44140625" style="1155" customWidth="1"/>
    <col min="13079" max="13079" width="6.88671875" style="1155" customWidth="1"/>
    <col min="13080" max="13080" width="3" style="1155" customWidth="1"/>
    <col min="13081" max="13081" width="14.77734375" style="1155" customWidth="1"/>
    <col min="13082" max="13082" width="15.77734375" style="1155" customWidth="1"/>
    <col min="13083" max="13083" width="15.44140625" style="1155" bestFit="1" customWidth="1"/>
    <col min="13084" max="13084" width="17.5546875" style="1155" bestFit="1" customWidth="1"/>
    <col min="13085" max="13085" width="12.21875" style="1155" bestFit="1" customWidth="1"/>
    <col min="13086" max="13086" width="9" style="1155" bestFit="1" customWidth="1"/>
    <col min="13087" max="13087" width="8.88671875" style="1155"/>
    <col min="13088" max="13088" width="9.44140625" style="1155" bestFit="1" customWidth="1"/>
    <col min="13089" max="13312" width="8.88671875" style="1155"/>
    <col min="13313" max="13316" width="6.77734375" style="1155" customWidth="1"/>
    <col min="13317" max="13317" width="16" style="1155" customWidth="1"/>
    <col min="13318" max="13320" width="13.77734375" style="1155" customWidth="1"/>
    <col min="13321" max="13321" width="1.77734375" style="1155" customWidth="1"/>
    <col min="13322" max="13322" width="2.88671875" style="1155" customWidth="1"/>
    <col min="13323" max="13323" width="2" style="1155" customWidth="1"/>
    <col min="13324" max="13325" width="8.77734375" style="1155" customWidth="1"/>
    <col min="13326" max="13326" width="10.77734375" style="1155" customWidth="1"/>
    <col min="13327" max="13328" width="7.77734375" style="1155" customWidth="1"/>
    <col min="13329" max="13329" width="8.109375" style="1155" customWidth="1"/>
    <col min="13330" max="13330" width="6.88671875" style="1155" customWidth="1"/>
    <col min="13331" max="13331" width="14.77734375" style="1155" customWidth="1"/>
    <col min="13332" max="13333" width="6.88671875" style="1155" customWidth="1"/>
    <col min="13334" max="13334" width="7.44140625" style="1155" customWidth="1"/>
    <col min="13335" max="13335" width="6.88671875" style="1155" customWidth="1"/>
    <col min="13336" max="13336" width="3" style="1155" customWidth="1"/>
    <col min="13337" max="13337" width="14.77734375" style="1155" customWidth="1"/>
    <col min="13338" max="13338" width="15.77734375" style="1155" customWidth="1"/>
    <col min="13339" max="13339" width="15.44140625" style="1155" bestFit="1" customWidth="1"/>
    <col min="13340" max="13340" width="17.5546875" style="1155" bestFit="1" customWidth="1"/>
    <col min="13341" max="13341" width="12.21875" style="1155" bestFit="1" customWidth="1"/>
    <col min="13342" max="13342" width="9" style="1155" bestFit="1" customWidth="1"/>
    <col min="13343" max="13343" width="8.88671875" style="1155"/>
    <col min="13344" max="13344" width="9.44140625" style="1155" bestFit="1" customWidth="1"/>
    <col min="13345" max="13568" width="8.88671875" style="1155"/>
    <col min="13569" max="13572" width="6.77734375" style="1155" customWidth="1"/>
    <col min="13573" max="13573" width="16" style="1155" customWidth="1"/>
    <col min="13574" max="13576" width="13.77734375" style="1155" customWidth="1"/>
    <col min="13577" max="13577" width="1.77734375" style="1155" customWidth="1"/>
    <col min="13578" max="13578" width="2.88671875" style="1155" customWidth="1"/>
    <col min="13579" max="13579" width="2" style="1155" customWidth="1"/>
    <col min="13580" max="13581" width="8.77734375" style="1155" customWidth="1"/>
    <col min="13582" max="13582" width="10.77734375" style="1155" customWidth="1"/>
    <col min="13583" max="13584" width="7.77734375" style="1155" customWidth="1"/>
    <col min="13585" max="13585" width="8.109375" style="1155" customWidth="1"/>
    <col min="13586" max="13586" width="6.88671875" style="1155" customWidth="1"/>
    <col min="13587" max="13587" width="14.77734375" style="1155" customWidth="1"/>
    <col min="13588" max="13589" width="6.88671875" style="1155" customWidth="1"/>
    <col min="13590" max="13590" width="7.44140625" style="1155" customWidth="1"/>
    <col min="13591" max="13591" width="6.88671875" style="1155" customWidth="1"/>
    <col min="13592" max="13592" width="3" style="1155" customWidth="1"/>
    <col min="13593" max="13593" width="14.77734375" style="1155" customWidth="1"/>
    <col min="13594" max="13594" width="15.77734375" style="1155" customWidth="1"/>
    <col min="13595" max="13595" width="15.44140625" style="1155" bestFit="1" customWidth="1"/>
    <col min="13596" max="13596" width="17.5546875" style="1155" bestFit="1" customWidth="1"/>
    <col min="13597" max="13597" width="12.21875" style="1155" bestFit="1" customWidth="1"/>
    <col min="13598" max="13598" width="9" style="1155" bestFit="1" customWidth="1"/>
    <col min="13599" max="13599" width="8.88671875" style="1155"/>
    <col min="13600" max="13600" width="9.44140625" style="1155" bestFit="1" customWidth="1"/>
    <col min="13601" max="13824" width="8.88671875" style="1155"/>
    <col min="13825" max="13828" width="6.77734375" style="1155" customWidth="1"/>
    <col min="13829" max="13829" width="16" style="1155" customWidth="1"/>
    <col min="13830" max="13832" width="13.77734375" style="1155" customWidth="1"/>
    <col min="13833" max="13833" width="1.77734375" style="1155" customWidth="1"/>
    <col min="13834" max="13834" width="2.88671875" style="1155" customWidth="1"/>
    <col min="13835" max="13835" width="2" style="1155" customWidth="1"/>
    <col min="13836" max="13837" width="8.77734375" style="1155" customWidth="1"/>
    <col min="13838" max="13838" width="10.77734375" style="1155" customWidth="1"/>
    <col min="13839" max="13840" width="7.77734375" style="1155" customWidth="1"/>
    <col min="13841" max="13841" width="8.109375" style="1155" customWidth="1"/>
    <col min="13842" max="13842" width="6.88671875" style="1155" customWidth="1"/>
    <col min="13843" max="13843" width="14.77734375" style="1155" customWidth="1"/>
    <col min="13844" max="13845" width="6.88671875" style="1155" customWidth="1"/>
    <col min="13846" max="13846" width="7.44140625" style="1155" customWidth="1"/>
    <col min="13847" max="13847" width="6.88671875" style="1155" customWidth="1"/>
    <col min="13848" max="13848" width="3" style="1155" customWidth="1"/>
    <col min="13849" max="13849" width="14.77734375" style="1155" customWidth="1"/>
    <col min="13850" max="13850" width="15.77734375" style="1155" customWidth="1"/>
    <col min="13851" max="13851" width="15.44140625" style="1155" bestFit="1" customWidth="1"/>
    <col min="13852" max="13852" width="17.5546875" style="1155" bestFit="1" customWidth="1"/>
    <col min="13853" max="13853" width="12.21875" style="1155" bestFit="1" customWidth="1"/>
    <col min="13854" max="13854" width="9" style="1155" bestFit="1" customWidth="1"/>
    <col min="13855" max="13855" width="8.88671875" style="1155"/>
    <col min="13856" max="13856" width="9.44140625" style="1155" bestFit="1" customWidth="1"/>
    <col min="13857" max="14080" width="8.88671875" style="1155"/>
    <col min="14081" max="14084" width="6.77734375" style="1155" customWidth="1"/>
    <col min="14085" max="14085" width="16" style="1155" customWidth="1"/>
    <col min="14086" max="14088" width="13.77734375" style="1155" customWidth="1"/>
    <col min="14089" max="14089" width="1.77734375" style="1155" customWidth="1"/>
    <col min="14090" max="14090" width="2.88671875" style="1155" customWidth="1"/>
    <col min="14091" max="14091" width="2" style="1155" customWidth="1"/>
    <col min="14092" max="14093" width="8.77734375" style="1155" customWidth="1"/>
    <col min="14094" max="14094" width="10.77734375" style="1155" customWidth="1"/>
    <col min="14095" max="14096" width="7.77734375" style="1155" customWidth="1"/>
    <col min="14097" max="14097" width="8.109375" style="1155" customWidth="1"/>
    <col min="14098" max="14098" width="6.88671875" style="1155" customWidth="1"/>
    <col min="14099" max="14099" width="14.77734375" style="1155" customWidth="1"/>
    <col min="14100" max="14101" width="6.88671875" style="1155" customWidth="1"/>
    <col min="14102" max="14102" width="7.44140625" style="1155" customWidth="1"/>
    <col min="14103" max="14103" width="6.88671875" style="1155" customWidth="1"/>
    <col min="14104" max="14104" width="3" style="1155" customWidth="1"/>
    <col min="14105" max="14105" width="14.77734375" style="1155" customWidth="1"/>
    <col min="14106" max="14106" width="15.77734375" style="1155" customWidth="1"/>
    <col min="14107" max="14107" width="15.44140625" style="1155" bestFit="1" customWidth="1"/>
    <col min="14108" max="14108" width="17.5546875" style="1155" bestFit="1" customWidth="1"/>
    <col min="14109" max="14109" width="12.21875" style="1155" bestFit="1" customWidth="1"/>
    <col min="14110" max="14110" width="9" style="1155" bestFit="1" customWidth="1"/>
    <col min="14111" max="14111" width="8.88671875" style="1155"/>
    <col min="14112" max="14112" width="9.44140625" style="1155" bestFit="1" customWidth="1"/>
    <col min="14113" max="14336" width="8.88671875" style="1155"/>
    <col min="14337" max="14340" width="6.77734375" style="1155" customWidth="1"/>
    <col min="14341" max="14341" width="16" style="1155" customWidth="1"/>
    <col min="14342" max="14344" width="13.77734375" style="1155" customWidth="1"/>
    <col min="14345" max="14345" width="1.77734375" style="1155" customWidth="1"/>
    <col min="14346" max="14346" width="2.88671875" style="1155" customWidth="1"/>
    <col min="14347" max="14347" width="2" style="1155" customWidth="1"/>
    <col min="14348" max="14349" width="8.77734375" style="1155" customWidth="1"/>
    <col min="14350" max="14350" width="10.77734375" style="1155" customWidth="1"/>
    <col min="14351" max="14352" width="7.77734375" style="1155" customWidth="1"/>
    <col min="14353" max="14353" width="8.109375" style="1155" customWidth="1"/>
    <col min="14354" max="14354" width="6.88671875" style="1155" customWidth="1"/>
    <col min="14355" max="14355" width="14.77734375" style="1155" customWidth="1"/>
    <col min="14356" max="14357" width="6.88671875" style="1155" customWidth="1"/>
    <col min="14358" max="14358" width="7.44140625" style="1155" customWidth="1"/>
    <col min="14359" max="14359" width="6.88671875" style="1155" customWidth="1"/>
    <col min="14360" max="14360" width="3" style="1155" customWidth="1"/>
    <col min="14361" max="14361" width="14.77734375" style="1155" customWidth="1"/>
    <col min="14362" max="14362" width="15.77734375" style="1155" customWidth="1"/>
    <col min="14363" max="14363" width="15.44140625" style="1155" bestFit="1" customWidth="1"/>
    <col min="14364" max="14364" width="17.5546875" style="1155" bestFit="1" customWidth="1"/>
    <col min="14365" max="14365" width="12.21875" style="1155" bestFit="1" customWidth="1"/>
    <col min="14366" max="14366" width="9" style="1155" bestFit="1" customWidth="1"/>
    <col min="14367" max="14367" width="8.88671875" style="1155"/>
    <col min="14368" max="14368" width="9.44140625" style="1155" bestFit="1" customWidth="1"/>
    <col min="14369" max="14592" width="8.88671875" style="1155"/>
    <col min="14593" max="14596" width="6.77734375" style="1155" customWidth="1"/>
    <col min="14597" max="14597" width="16" style="1155" customWidth="1"/>
    <col min="14598" max="14600" width="13.77734375" style="1155" customWidth="1"/>
    <col min="14601" max="14601" width="1.77734375" style="1155" customWidth="1"/>
    <col min="14602" max="14602" width="2.88671875" style="1155" customWidth="1"/>
    <col min="14603" max="14603" width="2" style="1155" customWidth="1"/>
    <col min="14604" max="14605" width="8.77734375" style="1155" customWidth="1"/>
    <col min="14606" max="14606" width="10.77734375" style="1155" customWidth="1"/>
    <col min="14607" max="14608" width="7.77734375" style="1155" customWidth="1"/>
    <col min="14609" max="14609" width="8.109375" style="1155" customWidth="1"/>
    <col min="14610" max="14610" width="6.88671875" style="1155" customWidth="1"/>
    <col min="14611" max="14611" width="14.77734375" style="1155" customWidth="1"/>
    <col min="14612" max="14613" width="6.88671875" style="1155" customWidth="1"/>
    <col min="14614" max="14614" width="7.44140625" style="1155" customWidth="1"/>
    <col min="14615" max="14615" width="6.88671875" style="1155" customWidth="1"/>
    <col min="14616" max="14616" width="3" style="1155" customWidth="1"/>
    <col min="14617" max="14617" width="14.77734375" style="1155" customWidth="1"/>
    <col min="14618" max="14618" width="15.77734375" style="1155" customWidth="1"/>
    <col min="14619" max="14619" width="15.44140625" style="1155" bestFit="1" customWidth="1"/>
    <col min="14620" max="14620" width="17.5546875" style="1155" bestFit="1" customWidth="1"/>
    <col min="14621" max="14621" width="12.21875" style="1155" bestFit="1" customWidth="1"/>
    <col min="14622" max="14622" width="9" style="1155" bestFit="1" customWidth="1"/>
    <col min="14623" max="14623" width="8.88671875" style="1155"/>
    <col min="14624" max="14624" width="9.44140625" style="1155" bestFit="1" customWidth="1"/>
    <col min="14625" max="14848" width="8.88671875" style="1155"/>
    <col min="14849" max="14852" width="6.77734375" style="1155" customWidth="1"/>
    <col min="14853" max="14853" width="16" style="1155" customWidth="1"/>
    <col min="14854" max="14856" width="13.77734375" style="1155" customWidth="1"/>
    <col min="14857" max="14857" width="1.77734375" style="1155" customWidth="1"/>
    <col min="14858" max="14858" width="2.88671875" style="1155" customWidth="1"/>
    <col min="14859" max="14859" width="2" style="1155" customWidth="1"/>
    <col min="14860" max="14861" width="8.77734375" style="1155" customWidth="1"/>
    <col min="14862" max="14862" width="10.77734375" style="1155" customWidth="1"/>
    <col min="14863" max="14864" width="7.77734375" style="1155" customWidth="1"/>
    <col min="14865" max="14865" width="8.109375" style="1155" customWidth="1"/>
    <col min="14866" max="14866" width="6.88671875" style="1155" customWidth="1"/>
    <col min="14867" max="14867" width="14.77734375" style="1155" customWidth="1"/>
    <col min="14868" max="14869" width="6.88671875" style="1155" customWidth="1"/>
    <col min="14870" max="14870" width="7.44140625" style="1155" customWidth="1"/>
    <col min="14871" max="14871" width="6.88671875" style="1155" customWidth="1"/>
    <col min="14872" max="14872" width="3" style="1155" customWidth="1"/>
    <col min="14873" max="14873" width="14.77734375" style="1155" customWidth="1"/>
    <col min="14874" max="14874" width="15.77734375" style="1155" customWidth="1"/>
    <col min="14875" max="14875" width="15.44140625" style="1155" bestFit="1" customWidth="1"/>
    <col min="14876" max="14876" width="17.5546875" style="1155" bestFit="1" customWidth="1"/>
    <col min="14877" max="14877" width="12.21875" style="1155" bestFit="1" customWidth="1"/>
    <col min="14878" max="14878" width="9" style="1155" bestFit="1" customWidth="1"/>
    <col min="14879" max="14879" width="8.88671875" style="1155"/>
    <col min="14880" max="14880" width="9.44140625" style="1155" bestFit="1" customWidth="1"/>
    <col min="14881" max="15104" width="8.88671875" style="1155"/>
    <col min="15105" max="15108" width="6.77734375" style="1155" customWidth="1"/>
    <col min="15109" max="15109" width="16" style="1155" customWidth="1"/>
    <col min="15110" max="15112" width="13.77734375" style="1155" customWidth="1"/>
    <col min="15113" max="15113" width="1.77734375" style="1155" customWidth="1"/>
    <col min="15114" max="15114" width="2.88671875" style="1155" customWidth="1"/>
    <col min="15115" max="15115" width="2" style="1155" customWidth="1"/>
    <col min="15116" max="15117" width="8.77734375" style="1155" customWidth="1"/>
    <col min="15118" max="15118" width="10.77734375" style="1155" customWidth="1"/>
    <col min="15119" max="15120" width="7.77734375" style="1155" customWidth="1"/>
    <col min="15121" max="15121" width="8.109375" style="1155" customWidth="1"/>
    <col min="15122" max="15122" width="6.88671875" style="1155" customWidth="1"/>
    <col min="15123" max="15123" width="14.77734375" style="1155" customWidth="1"/>
    <col min="15124" max="15125" width="6.88671875" style="1155" customWidth="1"/>
    <col min="15126" max="15126" width="7.44140625" style="1155" customWidth="1"/>
    <col min="15127" max="15127" width="6.88671875" style="1155" customWidth="1"/>
    <col min="15128" max="15128" width="3" style="1155" customWidth="1"/>
    <col min="15129" max="15129" width="14.77734375" style="1155" customWidth="1"/>
    <col min="15130" max="15130" width="15.77734375" style="1155" customWidth="1"/>
    <col min="15131" max="15131" width="15.44140625" style="1155" bestFit="1" customWidth="1"/>
    <col min="15132" max="15132" width="17.5546875" style="1155" bestFit="1" customWidth="1"/>
    <col min="15133" max="15133" width="12.21875" style="1155" bestFit="1" customWidth="1"/>
    <col min="15134" max="15134" width="9" style="1155" bestFit="1" customWidth="1"/>
    <col min="15135" max="15135" width="8.88671875" style="1155"/>
    <col min="15136" max="15136" width="9.44140625" style="1155" bestFit="1" customWidth="1"/>
    <col min="15137" max="15360" width="8.88671875" style="1155"/>
    <col min="15361" max="15364" width="6.77734375" style="1155" customWidth="1"/>
    <col min="15365" max="15365" width="16" style="1155" customWidth="1"/>
    <col min="15366" max="15368" width="13.77734375" style="1155" customWidth="1"/>
    <col min="15369" max="15369" width="1.77734375" style="1155" customWidth="1"/>
    <col min="15370" max="15370" width="2.88671875" style="1155" customWidth="1"/>
    <col min="15371" max="15371" width="2" style="1155" customWidth="1"/>
    <col min="15372" max="15373" width="8.77734375" style="1155" customWidth="1"/>
    <col min="15374" max="15374" width="10.77734375" style="1155" customWidth="1"/>
    <col min="15375" max="15376" width="7.77734375" style="1155" customWidth="1"/>
    <col min="15377" max="15377" width="8.109375" style="1155" customWidth="1"/>
    <col min="15378" max="15378" width="6.88671875" style="1155" customWidth="1"/>
    <col min="15379" max="15379" width="14.77734375" style="1155" customWidth="1"/>
    <col min="15380" max="15381" width="6.88671875" style="1155" customWidth="1"/>
    <col min="15382" max="15382" width="7.44140625" style="1155" customWidth="1"/>
    <col min="15383" max="15383" width="6.88671875" style="1155" customWidth="1"/>
    <col min="15384" max="15384" width="3" style="1155" customWidth="1"/>
    <col min="15385" max="15385" width="14.77734375" style="1155" customWidth="1"/>
    <col min="15386" max="15386" width="15.77734375" style="1155" customWidth="1"/>
    <col min="15387" max="15387" width="15.44140625" style="1155" bestFit="1" customWidth="1"/>
    <col min="15388" max="15388" width="17.5546875" style="1155" bestFit="1" customWidth="1"/>
    <col min="15389" max="15389" width="12.21875" style="1155" bestFit="1" customWidth="1"/>
    <col min="15390" max="15390" width="9" style="1155" bestFit="1" customWidth="1"/>
    <col min="15391" max="15391" width="8.88671875" style="1155"/>
    <col min="15392" max="15392" width="9.44140625" style="1155" bestFit="1" customWidth="1"/>
    <col min="15393" max="15616" width="8.88671875" style="1155"/>
    <col min="15617" max="15620" width="6.77734375" style="1155" customWidth="1"/>
    <col min="15621" max="15621" width="16" style="1155" customWidth="1"/>
    <col min="15622" max="15624" width="13.77734375" style="1155" customWidth="1"/>
    <col min="15625" max="15625" width="1.77734375" style="1155" customWidth="1"/>
    <col min="15626" max="15626" width="2.88671875" style="1155" customWidth="1"/>
    <col min="15627" max="15627" width="2" style="1155" customWidth="1"/>
    <col min="15628" max="15629" width="8.77734375" style="1155" customWidth="1"/>
    <col min="15630" max="15630" width="10.77734375" style="1155" customWidth="1"/>
    <col min="15631" max="15632" width="7.77734375" style="1155" customWidth="1"/>
    <col min="15633" max="15633" width="8.109375" style="1155" customWidth="1"/>
    <col min="15634" max="15634" width="6.88671875" style="1155" customWidth="1"/>
    <col min="15635" max="15635" width="14.77734375" style="1155" customWidth="1"/>
    <col min="15636" max="15637" width="6.88671875" style="1155" customWidth="1"/>
    <col min="15638" max="15638" width="7.44140625" style="1155" customWidth="1"/>
    <col min="15639" max="15639" width="6.88671875" style="1155" customWidth="1"/>
    <col min="15640" max="15640" width="3" style="1155" customWidth="1"/>
    <col min="15641" max="15641" width="14.77734375" style="1155" customWidth="1"/>
    <col min="15642" max="15642" width="15.77734375" style="1155" customWidth="1"/>
    <col min="15643" max="15643" width="15.44140625" style="1155" bestFit="1" customWidth="1"/>
    <col min="15644" max="15644" width="17.5546875" style="1155" bestFit="1" customWidth="1"/>
    <col min="15645" max="15645" width="12.21875" style="1155" bestFit="1" customWidth="1"/>
    <col min="15646" max="15646" width="9" style="1155" bestFit="1" customWidth="1"/>
    <col min="15647" max="15647" width="8.88671875" style="1155"/>
    <col min="15648" max="15648" width="9.44140625" style="1155" bestFit="1" customWidth="1"/>
    <col min="15649" max="15872" width="8.88671875" style="1155"/>
    <col min="15873" max="15876" width="6.77734375" style="1155" customWidth="1"/>
    <col min="15877" max="15877" width="16" style="1155" customWidth="1"/>
    <col min="15878" max="15880" width="13.77734375" style="1155" customWidth="1"/>
    <col min="15881" max="15881" width="1.77734375" style="1155" customWidth="1"/>
    <col min="15882" max="15882" width="2.88671875" style="1155" customWidth="1"/>
    <col min="15883" max="15883" width="2" style="1155" customWidth="1"/>
    <col min="15884" max="15885" width="8.77734375" style="1155" customWidth="1"/>
    <col min="15886" max="15886" width="10.77734375" style="1155" customWidth="1"/>
    <col min="15887" max="15888" width="7.77734375" style="1155" customWidth="1"/>
    <col min="15889" max="15889" width="8.109375" style="1155" customWidth="1"/>
    <col min="15890" max="15890" width="6.88671875" style="1155" customWidth="1"/>
    <col min="15891" max="15891" width="14.77734375" style="1155" customWidth="1"/>
    <col min="15892" max="15893" width="6.88671875" style="1155" customWidth="1"/>
    <col min="15894" max="15894" width="7.44140625" style="1155" customWidth="1"/>
    <col min="15895" max="15895" width="6.88671875" style="1155" customWidth="1"/>
    <col min="15896" max="15896" width="3" style="1155" customWidth="1"/>
    <col min="15897" max="15897" width="14.77734375" style="1155" customWidth="1"/>
    <col min="15898" max="15898" width="15.77734375" style="1155" customWidth="1"/>
    <col min="15899" max="15899" width="15.44140625" style="1155" bestFit="1" customWidth="1"/>
    <col min="15900" max="15900" width="17.5546875" style="1155" bestFit="1" customWidth="1"/>
    <col min="15901" max="15901" width="12.21875" style="1155" bestFit="1" customWidth="1"/>
    <col min="15902" max="15902" width="9" style="1155" bestFit="1" customWidth="1"/>
    <col min="15903" max="15903" width="8.88671875" style="1155"/>
    <col min="15904" max="15904" width="9.44140625" style="1155" bestFit="1" customWidth="1"/>
    <col min="15905" max="16128" width="8.88671875" style="1155"/>
    <col min="16129" max="16132" width="6.77734375" style="1155" customWidth="1"/>
    <col min="16133" max="16133" width="16" style="1155" customWidth="1"/>
    <col min="16134" max="16136" width="13.77734375" style="1155" customWidth="1"/>
    <col min="16137" max="16137" width="1.77734375" style="1155" customWidth="1"/>
    <col min="16138" max="16138" width="2.88671875" style="1155" customWidth="1"/>
    <col min="16139" max="16139" width="2" style="1155" customWidth="1"/>
    <col min="16140" max="16141" width="8.77734375" style="1155" customWidth="1"/>
    <col min="16142" max="16142" width="10.77734375" style="1155" customWidth="1"/>
    <col min="16143" max="16144" width="7.77734375" style="1155" customWidth="1"/>
    <col min="16145" max="16145" width="8.109375" style="1155" customWidth="1"/>
    <col min="16146" max="16146" width="6.88671875" style="1155" customWidth="1"/>
    <col min="16147" max="16147" width="14.77734375" style="1155" customWidth="1"/>
    <col min="16148" max="16149" width="6.88671875" style="1155" customWidth="1"/>
    <col min="16150" max="16150" width="7.44140625" style="1155" customWidth="1"/>
    <col min="16151" max="16151" width="6.88671875" style="1155" customWidth="1"/>
    <col min="16152" max="16152" width="3" style="1155" customWidth="1"/>
    <col min="16153" max="16153" width="14.77734375" style="1155" customWidth="1"/>
    <col min="16154" max="16154" width="15.77734375" style="1155" customWidth="1"/>
    <col min="16155" max="16155" width="15.44140625" style="1155" bestFit="1" customWidth="1"/>
    <col min="16156" max="16156" width="17.5546875" style="1155" bestFit="1" customWidth="1"/>
    <col min="16157" max="16157" width="12.21875" style="1155" bestFit="1" customWidth="1"/>
    <col min="16158" max="16158" width="9" style="1155" bestFit="1" customWidth="1"/>
    <col min="16159" max="16159" width="8.88671875" style="1155"/>
    <col min="16160" max="16160" width="9.44140625" style="1155" bestFit="1" customWidth="1"/>
    <col min="16161" max="16384" width="8.88671875" style="1155"/>
  </cols>
  <sheetData>
    <row r="1" spans="1:30" ht="27" customHeight="1">
      <c r="A1" s="3250" t="s">
        <v>5061</v>
      </c>
      <c r="B1" s="3250"/>
      <c r="C1" s="3250"/>
      <c r="D1" s="3250"/>
      <c r="E1" s="3250"/>
      <c r="F1" s="3250"/>
      <c r="G1" s="3250"/>
      <c r="H1" s="3250"/>
      <c r="I1" s="3250"/>
      <c r="J1" s="3250"/>
      <c r="K1" s="3250"/>
      <c r="L1" s="3250"/>
      <c r="M1" s="3250"/>
      <c r="N1" s="3250"/>
      <c r="O1" s="3250"/>
      <c r="P1" s="3250"/>
      <c r="Q1" s="3250"/>
      <c r="R1" s="3250"/>
      <c r="S1" s="3250"/>
      <c r="T1" s="3250"/>
      <c r="U1" s="3250"/>
      <c r="V1" s="3250"/>
      <c r="W1" s="3250"/>
      <c r="X1" s="3250"/>
      <c r="Y1" s="3250"/>
      <c r="Z1" s="645"/>
      <c r="AA1" s="1938"/>
    </row>
    <row r="2" spans="1:30" s="1938" customFormat="1" ht="22.5" customHeight="1" thickBot="1">
      <c r="A2" s="646"/>
      <c r="B2" s="646"/>
      <c r="C2" s="646"/>
      <c r="D2" s="646" t="s">
        <v>431</v>
      </c>
      <c r="E2" s="646"/>
      <c r="F2" s="275"/>
      <c r="G2" s="267"/>
      <c r="H2" s="647" t="s">
        <v>171</v>
      </c>
      <c r="J2" s="646" t="s">
        <v>431</v>
      </c>
      <c r="K2" s="646"/>
      <c r="L2" s="648" t="s">
        <v>431</v>
      </c>
      <c r="M2" s="646"/>
      <c r="N2" s="646"/>
      <c r="O2" s="646"/>
      <c r="P2" s="649"/>
      <c r="Q2" s="650"/>
      <c r="Y2" s="354" t="s">
        <v>171</v>
      </c>
      <c r="Z2" s="354"/>
      <c r="AB2" s="275"/>
      <c r="AC2" s="275"/>
      <c r="AD2" s="275"/>
    </row>
    <row r="3" spans="1:30" ht="22.5" customHeight="1">
      <c r="A3" s="3251" t="s">
        <v>813</v>
      </c>
      <c r="B3" s="3252"/>
      <c r="C3" s="3252"/>
      <c r="D3" s="3252"/>
      <c r="E3" s="3435"/>
      <c r="F3" s="3254" t="s">
        <v>814</v>
      </c>
      <c r="G3" s="3256" t="s">
        <v>423</v>
      </c>
      <c r="H3" s="3258" t="s">
        <v>189</v>
      </c>
      <c r="I3" s="473"/>
      <c r="J3" s="3445" t="s">
        <v>190</v>
      </c>
      <c r="K3" s="3449"/>
      <c r="L3" s="3449"/>
      <c r="M3" s="3449"/>
      <c r="N3" s="3449"/>
      <c r="O3" s="3449"/>
      <c r="P3" s="3449"/>
      <c r="Q3" s="3449"/>
      <c r="R3" s="3449"/>
      <c r="S3" s="3449"/>
      <c r="T3" s="3449"/>
      <c r="U3" s="3449"/>
      <c r="V3" s="3449"/>
      <c r="W3" s="3449"/>
      <c r="X3" s="3449"/>
      <c r="Y3" s="3450"/>
      <c r="Z3" s="651"/>
      <c r="AA3" s="1938"/>
    </row>
    <row r="4" spans="1:30" s="657" customFormat="1" ht="22.5" customHeight="1" thickBot="1">
      <c r="A4" s="652" t="s">
        <v>583</v>
      </c>
      <c r="B4" s="653" t="s">
        <v>204</v>
      </c>
      <c r="C4" s="654" t="s">
        <v>191</v>
      </c>
      <c r="D4" s="654" t="s">
        <v>205</v>
      </c>
      <c r="E4" s="654" t="s">
        <v>815</v>
      </c>
      <c r="F4" s="3255"/>
      <c r="G4" s="3257"/>
      <c r="H4" s="3259"/>
      <c r="I4" s="655"/>
      <c r="J4" s="3451"/>
      <c r="K4" s="3452"/>
      <c r="L4" s="3452"/>
      <c r="M4" s="3452"/>
      <c r="N4" s="3452"/>
      <c r="O4" s="3452"/>
      <c r="P4" s="3452"/>
      <c r="Q4" s="3452"/>
      <c r="R4" s="3452"/>
      <c r="S4" s="3452"/>
      <c r="T4" s="3452"/>
      <c r="U4" s="3452"/>
      <c r="V4" s="3452"/>
      <c r="W4" s="3452"/>
      <c r="X4" s="3452"/>
      <c r="Y4" s="3453"/>
      <c r="Z4" s="656"/>
      <c r="AA4" s="1944"/>
      <c r="AB4" s="1143"/>
      <c r="AC4" s="1143"/>
      <c r="AD4" s="1143"/>
    </row>
    <row r="5" spans="1:30" s="657" customFormat="1" ht="22.5" customHeight="1" thickBot="1">
      <c r="A5" s="3268" t="s">
        <v>1217</v>
      </c>
      <c r="B5" s="3269"/>
      <c r="C5" s="3269"/>
      <c r="D5" s="3269"/>
      <c r="E5" s="3270"/>
      <c r="F5" s="658"/>
      <c r="G5" s="1914"/>
      <c r="H5" s="1915"/>
      <c r="I5" s="655"/>
      <c r="J5" s="1945"/>
      <c r="K5" s="1946"/>
      <c r="L5" s="1946"/>
      <c r="M5" s="1946"/>
      <c r="N5" s="1946"/>
      <c r="O5" s="1946"/>
      <c r="P5" s="1946"/>
      <c r="Q5" s="1946"/>
      <c r="R5" s="1946"/>
      <c r="S5" s="1946"/>
      <c r="T5" s="1946"/>
      <c r="U5" s="1946"/>
      <c r="V5" s="1946"/>
      <c r="W5" s="1946"/>
      <c r="X5" s="1946"/>
      <c r="Y5" s="1947"/>
      <c r="Z5" s="656"/>
      <c r="AA5" s="1944"/>
      <c r="AB5" s="1143"/>
      <c r="AC5" s="1143"/>
      <c r="AD5" s="1143"/>
    </row>
    <row r="6" spans="1:30" s="1938" customFormat="1" ht="22.5" customHeight="1" thickBot="1">
      <c r="A6" s="775"/>
      <c r="B6" s="776" t="s">
        <v>1217</v>
      </c>
      <c r="C6" s="777"/>
      <c r="D6" s="777"/>
      <c r="E6" s="778"/>
      <c r="F6" s="2093">
        <f>F7+F84</f>
        <v>3750000</v>
      </c>
      <c r="G6" s="2093">
        <f>G7+G84</f>
        <v>3705000</v>
      </c>
      <c r="H6" s="926">
        <f>+H7+H84</f>
        <v>45000</v>
      </c>
      <c r="I6" s="1960"/>
      <c r="J6" s="1961"/>
      <c r="K6" s="1962"/>
      <c r="L6" s="1962"/>
      <c r="M6" s="1962"/>
      <c r="N6" s="1962"/>
      <c r="O6" s="1962"/>
      <c r="P6" s="1963"/>
      <c r="Q6" s="1964"/>
      <c r="R6" s="2351"/>
      <c r="S6" s="1337"/>
      <c r="T6" s="1336"/>
      <c r="U6" s="1337"/>
      <c r="V6" s="1336"/>
      <c r="W6" s="1336"/>
      <c r="X6" s="1337"/>
      <c r="Y6" s="1966"/>
      <c r="Z6" s="1376"/>
      <c r="AB6" s="275"/>
      <c r="AC6" s="275"/>
      <c r="AD6" s="275"/>
    </row>
    <row r="7" spans="1:30" ht="23.1" customHeight="1">
      <c r="A7" s="475"/>
      <c r="B7" s="2354"/>
      <c r="C7" s="3361" t="s">
        <v>817</v>
      </c>
      <c r="D7" s="3362"/>
      <c r="E7" s="3363"/>
      <c r="F7" s="2094">
        <f>F8+F20+F80</f>
        <v>2267200</v>
      </c>
      <c r="G7" s="2094">
        <f>G8+G20+G80</f>
        <v>2267200</v>
      </c>
      <c r="H7" s="2095">
        <f>F7-G7</f>
        <v>0</v>
      </c>
      <c r="I7" s="1127"/>
      <c r="J7" s="2096"/>
      <c r="K7" s="2097"/>
      <c r="L7" s="2097"/>
      <c r="M7" s="2097"/>
      <c r="N7" s="2097"/>
      <c r="O7" s="2097"/>
      <c r="P7" s="2098"/>
      <c r="Q7" s="2099"/>
      <c r="R7" s="2100"/>
      <c r="S7" s="2101"/>
      <c r="T7" s="2352"/>
      <c r="U7" s="2101"/>
      <c r="V7" s="2352"/>
      <c r="W7" s="2352"/>
      <c r="X7" s="2101"/>
      <c r="Y7" s="2102"/>
      <c r="Z7" s="1158"/>
      <c r="AA7" s="1938"/>
    </row>
    <row r="8" spans="1:30" s="195" customFormat="1" ht="23.1" customHeight="1">
      <c r="A8" s="676"/>
      <c r="B8" s="1179"/>
      <c r="C8" s="508"/>
      <c r="D8" s="3462" t="s">
        <v>1434</v>
      </c>
      <c r="E8" s="3463"/>
      <c r="F8" s="1165">
        <f>+F9+F16+F17</f>
        <v>828000</v>
      </c>
      <c r="G8" s="1165">
        <f>+G9+G16+G17</f>
        <v>828000</v>
      </c>
      <c r="H8" s="689">
        <f>+H9+H16+H17</f>
        <v>0</v>
      </c>
      <c r="I8" s="533"/>
      <c r="J8" s="690"/>
      <c r="K8" s="691"/>
      <c r="L8" s="691"/>
      <c r="M8" s="691"/>
      <c r="N8" s="691"/>
      <c r="O8" s="691"/>
      <c r="P8" s="692"/>
      <c r="Q8" s="693"/>
      <c r="R8" s="1178"/>
      <c r="S8" s="694"/>
      <c r="T8" s="2380"/>
      <c r="U8" s="694"/>
      <c r="V8" s="2380"/>
      <c r="W8" s="2380"/>
      <c r="X8" s="694"/>
      <c r="Y8" s="695"/>
      <c r="Z8" s="696"/>
      <c r="AA8" s="200"/>
      <c r="AB8" s="260"/>
      <c r="AC8" s="260"/>
    </row>
    <row r="9" spans="1:30" s="195" customFormat="1" ht="23.1" customHeight="1">
      <c r="A9" s="676"/>
      <c r="B9" s="1179"/>
      <c r="C9" s="508"/>
      <c r="D9" s="508"/>
      <c r="E9" s="620" t="s">
        <v>1435</v>
      </c>
      <c r="F9" s="697">
        <f>+Y9</f>
        <v>670470</v>
      </c>
      <c r="G9" s="697">
        <v>670470</v>
      </c>
      <c r="H9" s="2448"/>
      <c r="I9" s="533"/>
      <c r="J9" s="698" t="s">
        <v>1436</v>
      </c>
      <c r="K9" s="699"/>
      <c r="L9" s="699"/>
      <c r="M9" s="699"/>
      <c r="N9" s="2449"/>
      <c r="O9" s="2449"/>
      <c r="P9" s="699"/>
      <c r="Q9" s="2421"/>
      <c r="R9" s="1685"/>
      <c r="S9" s="1685"/>
      <c r="T9" s="1685"/>
      <c r="U9" s="1685"/>
      <c r="V9" s="1685"/>
      <c r="W9" s="1685"/>
      <c r="X9" s="1685"/>
      <c r="Y9" s="636">
        <f t="shared" ref="Y9:Y19" si="0">+Z9/1000</f>
        <v>670470</v>
      </c>
      <c r="Z9" s="637">
        <f>+Z10+Z12+Z14</f>
        <v>670470000</v>
      </c>
      <c r="AA9" s="262">
        <f>F9*1000000</f>
        <v>670470000000</v>
      </c>
      <c r="AB9" s="260"/>
      <c r="AC9" s="260"/>
    </row>
    <row r="10" spans="1:30" s="195" customFormat="1" ht="23.1" customHeight="1">
      <c r="A10" s="507"/>
      <c r="B10" s="1684"/>
      <c r="C10" s="2422"/>
      <c r="D10" s="508"/>
      <c r="E10" s="620"/>
      <c r="F10" s="697"/>
      <c r="G10" s="697"/>
      <c r="H10" s="700"/>
      <c r="I10" s="533"/>
      <c r="J10" s="698" t="s">
        <v>1437</v>
      </c>
      <c r="K10" s="2450"/>
      <c r="L10" s="2392"/>
      <c r="M10" s="2392"/>
      <c r="N10" s="2449"/>
      <c r="O10" s="2449"/>
      <c r="P10" s="699"/>
      <c r="Q10" s="2421" t="s">
        <v>1438</v>
      </c>
      <c r="R10" s="1685" t="s">
        <v>1439</v>
      </c>
      <c r="S10" s="701"/>
      <c r="T10" s="1685"/>
      <c r="U10" s="1685"/>
      <c r="V10" s="1685"/>
      <c r="W10" s="1685"/>
      <c r="X10" s="1685"/>
      <c r="Y10" s="636">
        <f t="shared" si="0"/>
        <v>565200</v>
      </c>
      <c r="Z10" s="637">
        <f>SUM(Z11:Z11)</f>
        <v>565200000</v>
      </c>
      <c r="AA10" s="262">
        <f t="shared" ref="AA10:AA72" si="1">F10*1000000</f>
        <v>0</v>
      </c>
      <c r="AB10" s="260"/>
      <c r="AC10" s="260"/>
    </row>
    <row r="11" spans="1:30" s="195" customFormat="1" ht="23.1" customHeight="1">
      <c r="A11" s="507"/>
      <c r="B11" s="1684"/>
      <c r="C11" s="2422"/>
      <c r="D11" s="508"/>
      <c r="E11" s="620"/>
      <c r="F11" s="697"/>
      <c r="G11" s="697"/>
      <c r="H11" s="700"/>
      <c r="I11" s="533"/>
      <c r="J11" s="698"/>
      <c r="K11" s="2391" t="s">
        <v>1440</v>
      </c>
      <c r="L11" s="2392"/>
      <c r="M11" s="2392"/>
      <c r="N11" s="2451"/>
      <c r="O11" s="699"/>
      <c r="P11" s="699"/>
      <c r="Q11" s="2421" t="s">
        <v>1441</v>
      </c>
      <c r="R11" s="1685" t="s">
        <v>1442</v>
      </c>
      <c r="S11" s="1686">
        <v>3925000</v>
      </c>
      <c r="T11" s="1685" t="s">
        <v>1443</v>
      </c>
      <c r="U11" s="1685"/>
      <c r="V11" s="1685">
        <v>12</v>
      </c>
      <c r="W11" s="1685" t="s">
        <v>1444</v>
      </c>
      <c r="X11" s="1685" t="s">
        <v>1445</v>
      </c>
      <c r="Y11" s="636">
        <f t="shared" si="0"/>
        <v>565200</v>
      </c>
      <c r="Z11" s="636">
        <f>S11*Q11*V11</f>
        <v>565200000</v>
      </c>
      <c r="AA11" s="262">
        <f t="shared" si="1"/>
        <v>0</v>
      </c>
      <c r="AB11" s="260">
        <f>47100000*12</f>
        <v>565200000</v>
      </c>
      <c r="AC11" s="260">
        <f>AB11/V11/Q11</f>
        <v>3925000</v>
      </c>
    </row>
    <row r="12" spans="1:30" s="195" customFormat="1" ht="23.1" customHeight="1">
      <c r="A12" s="507"/>
      <c r="B12" s="1684"/>
      <c r="C12" s="2422"/>
      <c r="D12" s="508"/>
      <c r="E12" s="620"/>
      <c r="F12" s="697"/>
      <c r="G12" s="697"/>
      <c r="H12" s="700"/>
      <c r="I12" s="533"/>
      <c r="J12" s="698" t="s">
        <v>1446</v>
      </c>
      <c r="K12" s="2450"/>
      <c r="L12" s="2392"/>
      <c r="M12" s="2392"/>
      <c r="N12" s="2451"/>
      <c r="O12" s="699"/>
      <c r="P12" s="699"/>
      <c r="Q12" s="2421"/>
      <c r="R12" s="2347"/>
      <c r="S12" s="1685"/>
      <c r="T12" s="2347"/>
      <c r="U12" s="1685"/>
      <c r="V12" s="1685"/>
      <c r="W12" s="1685"/>
      <c r="X12" s="1685"/>
      <c r="Y12" s="636">
        <f t="shared" si="0"/>
        <v>81600</v>
      </c>
      <c r="Z12" s="636">
        <f>SUM(Z13:Z13)</f>
        <v>81600000</v>
      </c>
      <c r="AA12" s="262">
        <f t="shared" si="1"/>
        <v>0</v>
      </c>
      <c r="AB12" s="260"/>
      <c r="AC12" s="260"/>
    </row>
    <row r="13" spans="1:30" s="195" customFormat="1" ht="23.1" customHeight="1">
      <c r="A13" s="507"/>
      <c r="B13" s="1684"/>
      <c r="C13" s="2422"/>
      <c r="D13" s="508"/>
      <c r="E13" s="620"/>
      <c r="F13" s="697"/>
      <c r="G13" s="697"/>
      <c r="H13" s="700"/>
      <c r="I13" s="533"/>
      <c r="J13" s="698"/>
      <c r="K13" s="2391" t="s">
        <v>1440</v>
      </c>
      <c r="L13" s="2392"/>
      <c r="M13" s="2392"/>
      <c r="N13" s="2451"/>
      <c r="O13" s="699"/>
      <c r="P13" s="699"/>
      <c r="Q13" s="2421" t="s">
        <v>1441</v>
      </c>
      <c r="R13" s="1685" t="s">
        <v>1442</v>
      </c>
      <c r="S13" s="1686">
        <v>566666.66666666663</v>
      </c>
      <c r="T13" s="1685" t="s">
        <v>1443</v>
      </c>
      <c r="U13" s="1685"/>
      <c r="V13" s="1685">
        <v>12</v>
      </c>
      <c r="W13" s="1685" t="s">
        <v>1444</v>
      </c>
      <c r="X13" s="1685" t="s">
        <v>1445</v>
      </c>
      <c r="Y13" s="636">
        <f t="shared" si="0"/>
        <v>81600</v>
      </c>
      <c r="Z13" s="636">
        <f>ROUNDUP(S13*Q13*V13,-3)</f>
        <v>81600000</v>
      </c>
      <c r="AA13" s="262">
        <f t="shared" si="1"/>
        <v>0</v>
      </c>
      <c r="AB13" s="260">
        <f>6800000*12</f>
        <v>81600000</v>
      </c>
      <c r="AC13" s="260">
        <f>AB13/V13/Q13</f>
        <v>566666.66666666663</v>
      </c>
    </row>
    <row r="14" spans="1:30" s="195" customFormat="1" ht="23.1" customHeight="1">
      <c r="A14" s="507"/>
      <c r="B14" s="1684"/>
      <c r="C14" s="2422"/>
      <c r="D14" s="508"/>
      <c r="E14" s="620"/>
      <c r="F14" s="697"/>
      <c r="G14" s="697"/>
      <c r="H14" s="700"/>
      <c r="I14" s="533"/>
      <c r="J14" s="698" t="s">
        <v>1447</v>
      </c>
      <c r="K14" s="2450"/>
      <c r="L14" s="2392"/>
      <c r="M14" s="2392"/>
      <c r="N14" s="2451"/>
      <c r="O14" s="699"/>
      <c r="P14" s="699"/>
      <c r="Q14" s="2421"/>
      <c r="R14" s="2347"/>
      <c r="S14" s="1685"/>
      <c r="T14" s="2347"/>
      <c r="U14" s="1685"/>
      <c r="V14" s="1685"/>
      <c r="W14" s="1685"/>
      <c r="X14" s="1685"/>
      <c r="Y14" s="636">
        <f t="shared" si="0"/>
        <v>23670</v>
      </c>
      <c r="Z14" s="636">
        <f>SUM(Z15:Z15)</f>
        <v>23670000</v>
      </c>
      <c r="AA14" s="262">
        <f t="shared" si="1"/>
        <v>0</v>
      </c>
      <c r="AB14" s="260"/>
      <c r="AC14" s="260"/>
    </row>
    <row r="15" spans="1:30" s="195" customFormat="1" ht="23.1" customHeight="1">
      <c r="A15" s="507"/>
      <c r="B15" s="1684"/>
      <c r="C15" s="2422"/>
      <c r="D15" s="508"/>
      <c r="E15" s="620"/>
      <c r="F15" s="697"/>
      <c r="G15" s="697"/>
      <c r="H15" s="700"/>
      <c r="I15" s="533"/>
      <c r="J15" s="698"/>
      <c r="K15" s="2391" t="s">
        <v>1440</v>
      </c>
      <c r="L15" s="2392"/>
      <c r="M15" s="2392"/>
      <c r="N15" s="2451"/>
      <c r="O15" s="699"/>
      <c r="P15" s="699"/>
      <c r="Q15" s="2421" t="s">
        <v>1441</v>
      </c>
      <c r="R15" s="1685" t="s">
        <v>1442</v>
      </c>
      <c r="S15" s="1686">
        <v>1972500</v>
      </c>
      <c r="T15" s="1685" t="s">
        <v>1443</v>
      </c>
      <c r="U15" s="1685"/>
      <c r="V15" s="1685">
        <v>1</v>
      </c>
      <c r="W15" s="1685" t="s">
        <v>1448</v>
      </c>
      <c r="X15" s="1685" t="s">
        <v>1445</v>
      </c>
      <c r="Y15" s="636">
        <f t="shared" si="0"/>
        <v>23670</v>
      </c>
      <c r="Z15" s="636">
        <f>ROUNDUP(S15*Q15*V15,-3)</f>
        <v>23670000</v>
      </c>
      <c r="AA15" s="262">
        <f t="shared" si="1"/>
        <v>0</v>
      </c>
      <c r="AB15" s="260">
        <v>23670000</v>
      </c>
      <c r="AC15" s="260">
        <f>AB15/Q15</f>
        <v>1972500</v>
      </c>
    </row>
    <row r="16" spans="1:30" s="195" customFormat="1" ht="23.1" customHeight="1">
      <c r="A16" s="507"/>
      <c r="B16" s="1684"/>
      <c r="C16" s="2422"/>
      <c r="D16" s="508"/>
      <c r="E16" s="621" t="s">
        <v>1449</v>
      </c>
      <c r="F16" s="702">
        <f>Y16</f>
        <v>80850</v>
      </c>
      <c r="G16" s="1688">
        <v>80850</v>
      </c>
      <c r="H16" s="703"/>
      <c r="I16" s="533"/>
      <c r="J16" s="2452" t="s">
        <v>1450</v>
      </c>
      <c r="K16" s="2453"/>
      <c r="L16" s="2454"/>
      <c r="M16" s="2454"/>
      <c r="N16" s="2455"/>
      <c r="O16" s="2455"/>
      <c r="P16" s="2453"/>
      <c r="Q16" s="2456"/>
      <c r="R16" s="626"/>
      <c r="S16" s="627">
        <f>+Z11+Z13</f>
        <v>646800000</v>
      </c>
      <c r="T16" s="626" t="s">
        <v>1451</v>
      </c>
      <c r="U16" s="2457">
        <v>12</v>
      </c>
      <c r="V16" s="626" t="s">
        <v>1452</v>
      </c>
      <c r="W16" s="2458">
        <v>1.5</v>
      </c>
      <c r="X16" s="626" t="s">
        <v>1445</v>
      </c>
      <c r="Y16" s="704">
        <f t="shared" si="0"/>
        <v>80850</v>
      </c>
      <c r="Z16" s="637">
        <f>+(S16/U16*W16)</f>
        <v>80850000</v>
      </c>
      <c r="AA16" s="262">
        <f t="shared" si="1"/>
        <v>80850000000</v>
      </c>
      <c r="AB16" s="260"/>
      <c r="AC16" s="260"/>
    </row>
    <row r="17" spans="1:30" s="195" customFormat="1" ht="23.1" customHeight="1">
      <c r="A17" s="507"/>
      <c r="B17" s="1684"/>
      <c r="C17" s="2422"/>
      <c r="D17" s="508"/>
      <c r="E17" s="621" t="s">
        <v>1453</v>
      </c>
      <c r="F17" s="1688">
        <f>Y17</f>
        <v>76680</v>
      </c>
      <c r="G17" s="1688">
        <v>76680</v>
      </c>
      <c r="H17" s="703"/>
      <c r="I17" s="533"/>
      <c r="J17" s="2452" t="s">
        <v>1454</v>
      </c>
      <c r="K17" s="2453"/>
      <c r="L17" s="2453"/>
      <c r="M17" s="2453"/>
      <c r="N17" s="2455"/>
      <c r="O17" s="2455"/>
      <c r="P17" s="2453"/>
      <c r="Q17" s="2456"/>
      <c r="R17" s="626"/>
      <c r="S17" s="626"/>
      <c r="T17" s="626"/>
      <c r="U17" s="626"/>
      <c r="V17" s="626"/>
      <c r="W17" s="626"/>
      <c r="X17" s="626"/>
      <c r="Y17" s="636">
        <f t="shared" si="0"/>
        <v>76680</v>
      </c>
      <c r="Z17" s="631">
        <f>SUM(Z18:Z19)</f>
        <v>76680000</v>
      </c>
      <c r="AA17" s="262">
        <f t="shared" si="1"/>
        <v>76680000000</v>
      </c>
      <c r="AB17" s="260"/>
      <c r="AC17" s="260"/>
    </row>
    <row r="18" spans="1:30" s="1089" customFormat="1" ht="23.1" customHeight="1">
      <c r="A18" s="1780"/>
      <c r="B18" s="620"/>
      <c r="C18" s="706"/>
      <c r="D18" s="508"/>
      <c r="E18" s="620"/>
      <c r="F18" s="697"/>
      <c r="G18" s="697"/>
      <c r="H18" s="700"/>
      <c r="I18" s="533"/>
      <c r="J18" s="698" t="s">
        <v>1455</v>
      </c>
      <c r="K18" s="699"/>
      <c r="L18" s="699"/>
      <c r="M18" s="699"/>
      <c r="N18" s="2449"/>
      <c r="O18" s="699"/>
      <c r="P18" s="699"/>
      <c r="Q18" s="2421"/>
      <c r="R18" s="1685"/>
      <c r="S18" s="1686">
        <f>+S16</f>
        <v>646800000</v>
      </c>
      <c r="T18" s="1685" t="s">
        <v>1443</v>
      </c>
      <c r="U18" s="1685"/>
      <c r="V18" s="2459">
        <v>0.1</v>
      </c>
      <c r="W18" s="1685"/>
      <c r="X18" s="1685" t="s">
        <v>1445</v>
      </c>
      <c r="Y18" s="636">
        <f t="shared" si="0"/>
        <v>64680</v>
      </c>
      <c r="Z18" s="637">
        <f>ROUNDUP(S18*V18,-3)</f>
        <v>64680000</v>
      </c>
      <c r="AA18" s="262">
        <f t="shared" si="1"/>
        <v>0</v>
      </c>
      <c r="AB18" s="260"/>
      <c r="AC18" s="1776"/>
    </row>
    <row r="19" spans="1:30" s="195" customFormat="1" ht="23.1" customHeight="1">
      <c r="A19" s="507"/>
      <c r="B19" s="1684"/>
      <c r="C19" s="2422"/>
      <c r="D19" s="2423"/>
      <c r="E19" s="707"/>
      <c r="F19" s="708"/>
      <c r="G19" s="708"/>
      <c r="H19" s="1166"/>
      <c r="I19" s="533"/>
      <c r="J19" s="2460" t="s">
        <v>1456</v>
      </c>
      <c r="K19" s="2461"/>
      <c r="L19" s="2461"/>
      <c r="M19" s="2461"/>
      <c r="N19" s="2462"/>
      <c r="O19" s="2462"/>
      <c r="P19" s="2461"/>
      <c r="Q19" s="2463"/>
      <c r="R19" s="709"/>
      <c r="S19" s="710">
        <v>1000000</v>
      </c>
      <c r="T19" s="709" t="s">
        <v>1443</v>
      </c>
      <c r="U19" s="709"/>
      <c r="V19" s="2464">
        <v>12</v>
      </c>
      <c r="W19" s="709" t="s">
        <v>1457</v>
      </c>
      <c r="X19" s="709" t="s">
        <v>1445</v>
      </c>
      <c r="Y19" s="711">
        <f t="shared" si="0"/>
        <v>12000</v>
      </c>
      <c r="Z19" s="712">
        <f>ROUNDUP(S19*V19,-3)</f>
        <v>12000000</v>
      </c>
      <c r="AA19" s="262">
        <f t="shared" si="1"/>
        <v>0</v>
      </c>
      <c r="AB19" s="260"/>
      <c r="AC19" s="260"/>
    </row>
    <row r="20" spans="1:30" ht="23.1" customHeight="1">
      <c r="A20" s="475"/>
      <c r="B20" s="335"/>
      <c r="C20" s="1126"/>
      <c r="D20" s="3284" t="s">
        <v>829</v>
      </c>
      <c r="E20" s="3285"/>
      <c r="F20" s="555">
        <f>SUM(F21:F79)</f>
        <v>1419200</v>
      </c>
      <c r="G20" s="555">
        <f>SUM(G21:G79)</f>
        <v>1419200</v>
      </c>
      <c r="H20" s="386">
        <f>F20-G20</f>
        <v>0</v>
      </c>
      <c r="I20" s="473"/>
      <c r="J20" s="2108"/>
      <c r="K20" s="2109"/>
      <c r="L20" s="2109"/>
      <c r="M20" s="2109"/>
      <c r="N20" s="2109"/>
      <c r="O20" s="2109"/>
      <c r="P20" s="2109"/>
      <c r="Q20" s="1979"/>
      <c r="R20" s="827"/>
      <c r="S20" s="2149"/>
      <c r="T20" s="827"/>
      <c r="U20" s="2149"/>
      <c r="V20" s="827"/>
      <c r="W20" s="2149"/>
      <c r="X20" s="2149"/>
      <c r="Y20" s="345"/>
      <c r="Z20" s="1158"/>
      <c r="AA20" s="262">
        <f t="shared" si="1"/>
        <v>1419200000000</v>
      </c>
      <c r="AB20" s="505"/>
    </row>
    <row r="21" spans="1:30" s="357" customFormat="1" ht="23.1" customHeight="1">
      <c r="A21" s="475"/>
      <c r="B21" s="335"/>
      <c r="C21" s="1126"/>
      <c r="D21" s="1126"/>
      <c r="E21" s="350" t="s">
        <v>716</v>
      </c>
      <c r="F21" s="932">
        <f>Y21</f>
        <v>3750</v>
      </c>
      <c r="G21" s="932">
        <v>3750</v>
      </c>
      <c r="H21" s="908"/>
      <c r="I21" s="473"/>
      <c r="J21" s="2110" t="s">
        <v>760</v>
      </c>
      <c r="K21" s="2111"/>
      <c r="L21" s="2111"/>
      <c r="M21" s="2111"/>
      <c r="N21" s="2111"/>
      <c r="O21" s="2111"/>
      <c r="P21" s="2111"/>
      <c r="Q21" s="1998"/>
      <c r="R21" s="1933"/>
      <c r="S21" s="2112">
        <v>250000</v>
      </c>
      <c r="T21" s="1937" t="s">
        <v>458</v>
      </c>
      <c r="U21" s="2112"/>
      <c r="V21" s="1937">
        <v>15</v>
      </c>
      <c r="W21" s="1937" t="s">
        <v>569</v>
      </c>
      <c r="X21" s="2112" t="s">
        <v>418</v>
      </c>
      <c r="Y21" s="356">
        <f t="shared" ref="Y21:Y41" si="2">+Z21/1000</f>
        <v>3750</v>
      </c>
      <c r="Z21" s="1881">
        <f>S21*V21</f>
        <v>3750000</v>
      </c>
      <c r="AA21" s="262">
        <f t="shared" si="1"/>
        <v>3750000000</v>
      </c>
      <c r="AB21" s="505"/>
      <c r="AC21" s="1143"/>
      <c r="AD21" s="358"/>
    </row>
    <row r="22" spans="1:30" ht="23.1" customHeight="1">
      <c r="A22" s="475"/>
      <c r="B22" s="335"/>
      <c r="C22" s="1126"/>
      <c r="D22" s="471"/>
      <c r="E22" s="1145" t="s">
        <v>427</v>
      </c>
      <c r="F22" s="741">
        <f>SUM(Y22)</f>
        <v>1200</v>
      </c>
      <c r="G22" s="2113">
        <v>1200</v>
      </c>
      <c r="H22" s="391"/>
      <c r="I22" s="473"/>
      <c r="J22" s="2103" t="s">
        <v>535</v>
      </c>
      <c r="K22" s="2105"/>
      <c r="L22" s="2105"/>
      <c r="M22" s="2105"/>
      <c r="N22" s="2104"/>
      <c r="O22" s="2105"/>
      <c r="P22" s="2105"/>
      <c r="Q22" s="804"/>
      <c r="R22" s="1671"/>
      <c r="S22" s="1672">
        <v>100000</v>
      </c>
      <c r="T22" s="1671" t="s">
        <v>458</v>
      </c>
      <c r="U22" s="1671"/>
      <c r="V22" s="1671">
        <v>12</v>
      </c>
      <c r="W22" s="1671" t="s">
        <v>569</v>
      </c>
      <c r="X22" s="1671" t="s">
        <v>418</v>
      </c>
      <c r="Y22" s="1674">
        <f t="shared" si="2"/>
        <v>1200</v>
      </c>
      <c r="Z22" s="355">
        <f>S22*V22</f>
        <v>1200000</v>
      </c>
      <c r="AA22" s="262">
        <f t="shared" si="1"/>
        <v>1200000000</v>
      </c>
      <c r="AB22" s="505"/>
    </row>
    <row r="23" spans="1:30" ht="23.1" customHeight="1">
      <c r="A23" s="475"/>
      <c r="B23" s="335"/>
      <c r="C23" s="1126"/>
      <c r="D23" s="1145"/>
      <c r="E23" s="465" t="s">
        <v>199</v>
      </c>
      <c r="F23" s="598">
        <f>ROUNDUP(+Z23/1000,0)</f>
        <v>6100</v>
      </c>
      <c r="G23" s="598">
        <v>6100</v>
      </c>
      <c r="H23" s="391"/>
      <c r="I23" s="473"/>
      <c r="J23" s="1009" t="s">
        <v>194</v>
      </c>
      <c r="K23" s="2105"/>
      <c r="L23" s="2105"/>
      <c r="M23" s="2105"/>
      <c r="N23" s="2104"/>
      <c r="O23" s="2105"/>
      <c r="P23" s="2105"/>
      <c r="Q23" s="804"/>
      <c r="R23" s="1671"/>
      <c r="S23" s="1672"/>
      <c r="T23" s="1671"/>
      <c r="U23" s="1671"/>
      <c r="V23" s="1671"/>
      <c r="W23" s="1671"/>
      <c r="X23" s="1671"/>
      <c r="Y23" s="1674">
        <f t="shared" si="2"/>
        <v>6100</v>
      </c>
      <c r="Z23" s="355">
        <f>SUM(Z24:Z26)</f>
        <v>6100000</v>
      </c>
      <c r="AA23" s="262">
        <f t="shared" si="1"/>
        <v>6100000000</v>
      </c>
      <c r="AB23" s="505"/>
    </row>
    <row r="24" spans="1:30" ht="23.1" customHeight="1">
      <c r="A24" s="475"/>
      <c r="B24" s="335"/>
      <c r="C24" s="1126"/>
      <c r="D24" s="1145"/>
      <c r="E24" s="465"/>
      <c r="F24" s="598"/>
      <c r="G24" s="598"/>
      <c r="H24" s="404"/>
      <c r="I24" s="473"/>
      <c r="J24" s="2103" t="s">
        <v>1128</v>
      </c>
      <c r="K24" s="2105"/>
      <c r="L24" s="2105"/>
      <c r="M24" s="2105"/>
      <c r="N24" s="2104"/>
      <c r="O24" s="2105"/>
      <c r="P24" s="2105"/>
      <c r="Q24" s="804"/>
      <c r="R24" s="1671"/>
      <c r="S24" s="1672">
        <v>1000000</v>
      </c>
      <c r="T24" s="1671" t="s">
        <v>458</v>
      </c>
      <c r="U24" s="1671"/>
      <c r="V24" s="1671">
        <v>1</v>
      </c>
      <c r="W24" s="1671" t="s">
        <v>212</v>
      </c>
      <c r="X24" s="1671" t="s">
        <v>418</v>
      </c>
      <c r="Y24" s="1674">
        <f t="shared" si="2"/>
        <v>1000</v>
      </c>
      <c r="Z24" s="355">
        <f>S24*V24</f>
        <v>1000000</v>
      </c>
      <c r="AA24" s="262">
        <f t="shared" si="1"/>
        <v>0</v>
      </c>
      <c r="AB24" s="505"/>
    </row>
    <row r="25" spans="1:30" ht="23.1" customHeight="1">
      <c r="A25" s="475"/>
      <c r="B25" s="335"/>
      <c r="C25" s="1126"/>
      <c r="D25" s="1145"/>
      <c r="E25" s="465"/>
      <c r="F25" s="598"/>
      <c r="G25" s="598"/>
      <c r="H25" s="404"/>
      <c r="I25" s="473"/>
      <c r="J25" s="2103" t="s">
        <v>1218</v>
      </c>
      <c r="K25" s="2105"/>
      <c r="L25" s="2105"/>
      <c r="M25" s="2105"/>
      <c r="N25" s="2104"/>
      <c r="O25" s="2105"/>
      <c r="P25" s="2105"/>
      <c r="Q25" s="804"/>
      <c r="R25" s="1671"/>
      <c r="S25" s="1672">
        <v>1400000</v>
      </c>
      <c r="T25" s="1671" t="s">
        <v>458</v>
      </c>
      <c r="U25" s="1671"/>
      <c r="V25" s="1671">
        <v>3</v>
      </c>
      <c r="W25" s="1671" t="s">
        <v>212</v>
      </c>
      <c r="X25" s="1671" t="s">
        <v>418</v>
      </c>
      <c r="Y25" s="1674">
        <f t="shared" si="2"/>
        <v>4200</v>
      </c>
      <c r="Z25" s="355">
        <f>S25*V25</f>
        <v>4200000</v>
      </c>
      <c r="AA25" s="262">
        <f t="shared" si="1"/>
        <v>0</v>
      </c>
      <c r="AB25" s="505"/>
    </row>
    <row r="26" spans="1:30" ht="23.1" customHeight="1">
      <c r="A26" s="475"/>
      <c r="B26" s="335"/>
      <c r="C26" s="1126"/>
      <c r="D26" s="1145"/>
      <c r="E26" s="465"/>
      <c r="F26" s="598"/>
      <c r="G26" s="598"/>
      <c r="H26" s="404"/>
      <c r="I26" s="473"/>
      <c r="J26" s="2103" t="s">
        <v>1219</v>
      </c>
      <c r="K26" s="2105"/>
      <c r="L26" s="2105"/>
      <c r="M26" s="2105"/>
      <c r="N26" s="2104"/>
      <c r="O26" s="2105"/>
      <c r="P26" s="2105"/>
      <c r="Q26" s="804"/>
      <c r="R26" s="1671"/>
      <c r="S26" s="1672">
        <v>300000</v>
      </c>
      <c r="T26" s="1671" t="s">
        <v>831</v>
      </c>
      <c r="U26" s="1671"/>
      <c r="V26" s="1671">
        <v>3</v>
      </c>
      <c r="W26" s="1671" t="s">
        <v>1220</v>
      </c>
      <c r="X26" s="1671" t="s">
        <v>833</v>
      </c>
      <c r="Y26" s="1674">
        <f t="shared" si="2"/>
        <v>900</v>
      </c>
      <c r="Z26" s="355">
        <f>S26*V26</f>
        <v>900000</v>
      </c>
      <c r="AA26" s="262">
        <f t="shared" si="1"/>
        <v>0</v>
      </c>
      <c r="AB26" s="505"/>
    </row>
    <row r="27" spans="1:30" ht="23.1" customHeight="1">
      <c r="A27" s="475"/>
      <c r="B27" s="335"/>
      <c r="C27" s="1126"/>
      <c r="D27" s="1145"/>
      <c r="E27" s="465" t="s">
        <v>24</v>
      </c>
      <c r="F27" s="741">
        <f>SUM(Y27)</f>
        <v>7000</v>
      </c>
      <c r="G27" s="2113">
        <v>7000</v>
      </c>
      <c r="H27" s="482"/>
      <c r="I27" s="473"/>
      <c r="J27" s="2103" t="s">
        <v>1221</v>
      </c>
      <c r="K27" s="2105"/>
      <c r="L27" s="2105"/>
      <c r="M27" s="2105"/>
      <c r="N27" s="2104"/>
      <c r="O27" s="2105"/>
      <c r="P27" s="2105"/>
      <c r="Q27" s="804"/>
      <c r="R27" s="1671"/>
      <c r="S27" s="1672">
        <v>7000000</v>
      </c>
      <c r="T27" s="1671" t="s">
        <v>831</v>
      </c>
      <c r="U27" s="1671"/>
      <c r="V27" s="1671">
        <v>1</v>
      </c>
      <c r="W27" s="1671" t="s">
        <v>1187</v>
      </c>
      <c r="X27" s="1671" t="s">
        <v>833</v>
      </c>
      <c r="Y27" s="1674">
        <f t="shared" si="2"/>
        <v>7000</v>
      </c>
      <c r="Z27" s="355">
        <f>S27*V27</f>
        <v>7000000</v>
      </c>
      <c r="AA27" s="262">
        <f t="shared" si="1"/>
        <v>7000000000</v>
      </c>
      <c r="AB27" s="505"/>
    </row>
    <row r="28" spans="1:30" ht="23.1" customHeight="1">
      <c r="A28" s="475"/>
      <c r="B28" s="335"/>
      <c r="C28" s="1126"/>
      <c r="D28" s="1145"/>
      <c r="E28" s="465" t="s">
        <v>841</v>
      </c>
      <c r="F28" s="741">
        <f>SUM(Y28)</f>
        <v>6000</v>
      </c>
      <c r="G28" s="2113">
        <v>6000</v>
      </c>
      <c r="H28" s="482"/>
      <c r="I28" s="473"/>
      <c r="J28" s="1009" t="s">
        <v>835</v>
      </c>
      <c r="K28" s="2105"/>
      <c r="L28" s="2105"/>
      <c r="M28" s="2105"/>
      <c r="N28" s="2104"/>
      <c r="O28" s="2105"/>
      <c r="P28" s="2105"/>
      <c r="Q28" s="804"/>
      <c r="R28" s="1671"/>
      <c r="S28" s="1672"/>
      <c r="T28" s="1671"/>
      <c r="U28" s="1671"/>
      <c r="V28" s="1671"/>
      <c r="W28" s="1671"/>
      <c r="X28" s="1671"/>
      <c r="Y28" s="1674">
        <f t="shared" si="2"/>
        <v>6000</v>
      </c>
      <c r="Z28" s="355">
        <f>SUM(Z29:Z30)</f>
        <v>6000000</v>
      </c>
      <c r="AA28" s="262">
        <f t="shared" si="1"/>
        <v>6000000000</v>
      </c>
      <c r="AB28" s="505"/>
    </row>
    <row r="29" spans="1:30" ht="23.1" customHeight="1">
      <c r="A29" s="475"/>
      <c r="B29" s="335"/>
      <c r="C29" s="1126"/>
      <c r="D29" s="1145"/>
      <c r="E29" s="465"/>
      <c r="F29" s="2113"/>
      <c r="G29" s="2113"/>
      <c r="H29" s="391"/>
      <c r="I29" s="473"/>
      <c r="J29" s="2103" t="s">
        <v>1222</v>
      </c>
      <c r="K29" s="2105"/>
      <c r="L29" s="2105"/>
      <c r="M29" s="2105"/>
      <c r="N29" s="2104"/>
      <c r="O29" s="2105"/>
      <c r="P29" s="2105"/>
      <c r="Q29" s="804"/>
      <c r="R29" s="1671"/>
      <c r="S29" s="1672">
        <v>100000</v>
      </c>
      <c r="T29" s="1671" t="s">
        <v>831</v>
      </c>
      <c r="U29" s="1671"/>
      <c r="V29" s="1671">
        <v>12</v>
      </c>
      <c r="W29" s="1671" t="s">
        <v>844</v>
      </c>
      <c r="X29" s="1671" t="s">
        <v>833</v>
      </c>
      <c r="Y29" s="1674">
        <f t="shared" si="2"/>
        <v>1200</v>
      </c>
      <c r="Z29" s="355">
        <f>+S29*V29</f>
        <v>1200000</v>
      </c>
      <c r="AA29" s="262">
        <f t="shared" si="1"/>
        <v>0</v>
      </c>
      <c r="AB29" s="505"/>
    </row>
    <row r="30" spans="1:30" ht="23.1" customHeight="1">
      <c r="A30" s="475"/>
      <c r="B30" s="335"/>
      <c r="C30" s="1126"/>
      <c r="D30" s="1145"/>
      <c r="E30" s="465"/>
      <c r="F30" s="2113"/>
      <c r="G30" s="2113"/>
      <c r="H30" s="391"/>
      <c r="I30" s="473"/>
      <c r="J30" s="2103" t="s">
        <v>1223</v>
      </c>
      <c r="K30" s="2105"/>
      <c r="L30" s="2105"/>
      <c r="M30" s="2105"/>
      <c r="N30" s="2104"/>
      <c r="O30" s="2105"/>
      <c r="P30" s="2105"/>
      <c r="Q30" s="804" t="s">
        <v>1224</v>
      </c>
      <c r="R30" s="1671" t="s">
        <v>1225</v>
      </c>
      <c r="S30" s="1672">
        <v>200000</v>
      </c>
      <c r="T30" s="1671" t="s">
        <v>831</v>
      </c>
      <c r="U30" s="1671"/>
      <c r="V30" s="1671">
        <v>12</v>
      </c>
      <c r="W30" s="1671" t="s">
        <v>844</v>
      </c>
      <c r="X30" s="1671" t="s">
        <v>833</v>
      </c>
      <c r="Y30" s="1674">
        <f t="shared" si="2"/>
        <v>4800</v>
      </c>
      <c r="Z30" s="355">
        <f>Q30*S30*V30</f>
        <v>4800000</v>
      </c>
      <c r="AA30" s="262">
        <f t="shared" si="1"/>
        <v>0</v>
      </c>
      <c r="AB30" s="505"/>
    </row>
    <row r="31" spans="1:30" ht="23.1" customHeight="1">
      <c r="A31" s="475"/>
      <c r="B31" s="335"/>
      <c r="C31" s="1126"/>
      <c r="D31" s="1145"/>
      <c r="E31" s="465" t="s">
        <v>846</v>
      </c>
      <c r="F31" s="741">
        <f>+Y31</f>
        <v>25200</v>
      </c>
      <c r="G31" s="2113">
        <v>25200</v>
      </c>
      <c r="H31" s="482"/>
      <c r="I31" s="473"/>
      <c r="J31" s="1009" t="s">
        <v>835</v>
      </c>
      <c r="K31" s="2105"/>
      <c r="L31" s="2105"/>
      <c r="M31" s="2105"/>
      <c r="N31" s="2104"/>
      <c r="O31" s="2105"/>
      <c r="P31" s="2105"/>
      <c r="Q31" s="804"/>
      <c r="R31" s="1671"/>
      <c r="S31" s="1672"/>
      <c r="T31" s="1671"/>
      <c r="U31" s="1671"/>
      <c r="V31" s="1671"/>
      <c r="W31" s="1671"/>
      <c r="X31" s="1671"/>
      <c r="Y31" s="1674">
        <f t="shared" si="2"/>
        <v>25200</v>
      </c>
      <c r="Z31" s="355">
        <f>SUM(Z32:Z35)</f>
        <v>25200000</v>
      </c>
      <c r="AA31" s="262">
        <f t="shared" si="1"/>
        <v>25200000000</v>
      </c>
      <c r="AB31" s="505"/>
    </row>
    <row r="32" spans="1:30" ht="23.1" customHeight="1">
      <c r="A32" s="475"/>
      <c r="B32" s="335"/>
      <c r="C32" s="1126"/>
      <c r="D32" s="1145"/>
      <c r="E32" s="465"/>
      <c r="F32" s="2113"/>
      <c r="G32" s="2113"/>
      <c r="H32" s="391"/>
      <c r="I32" s="473"/>
      <c r="J32" s="2103" t="s">
        <v>1226</v>
      </c>
      <c r="K32" s="2105"/>
      <c r="L32" s="2105"/>
      <c r="M32" s="2105"/>
      <c r="N32" s="2104"/>
      <c r="O32" s="2105"/>
      <c r="P32" s="2105"/>
      <c r="Q32" s="804"/>
      <c r="R32" s="1671"/>
      <c r="S32" s="1672">
        <v>5000000</v>
      </c>
      <c r="T32" s="1671" t="s">
        <v>831</v>
      </c>
      <c r="U32" s="1671"/>
      <c r="V32" s="1671">
        <v>4</v>
      </c>
      <c r="W32" s="1671" t="s">
        <v>1187</v>
      </c>
      <c r="X32" s="1671" t="s">
        <v>833</v>
      </c>
      <c r="Y32" s="1674">
        <f t="shared" si="2"/>
        <v>20000</v>
      </c>
      <c r="Z32" s="355">
        <f>SUM(S32*V32)</f>
        <v>20000000</v>
      </c>
      <c r="AA32" s="262">
        <f t="shared" si="1"/>
        <v>0</v>
      </c>
      <c r="AB32" s="505"/>
    </row>
    <row r="33" spans="1:30" ht="23.1" customHeight="1">
      <c r="A33" s="475"/>
      <c r="B33" s="335"/>
      <c r="C33" s="1126"/>
      <c r="D33" s="1145"/>
      <c r="E33" s="465"/>
      <c r="F33" s="2113"/>
      <c r="G33" s="2113"/>
      <c r="H33" s="391"/>
      <c r="I33" s="473"/>
      <c r="J33" s="2103" t="s">
        <v>1227</v>
      </c>
      <c r="K33" s="2105"/>
      <c r="L33" s="2105"/>
      <c r="M33" s="2105"/>
      <c r="N33" s="2104"/>
      <c r="O33" s="2105"/>
      <c r="P33" s="2105"/>
      <c r="Q33" s="804"/>
      <c r="R33" s="1671"/>
      <c r="S33" s="1672">
        <v>1500000</v>
      </c>
      <c r="T33" s="1671" t="s">
        <v>831</v>
      </c>
      <c r="U33" s="1671"/>
      <c r="V33" s="1671">
        <v>2</v>
      </c>
      <c r="W33" s="1671" t="s">
        <v>837</v>
      </c>
      <c r="X33" s="1671" t="s">
        <v>833</v>
      </c>
      <c r="Y33" s="1674">
        <f t="shared" si="2"/>
        <v>3000</v>
      </c>
      <c r="Z33" s="355">
        <f>SUM(S33*V33)</f>
        <v>3000000</v>
      </c>
      <c r="AA33" s="262">
        <f t="shared" si="1"/>
        <v>0</v>
      </c>
      <c r="AB33" s="505"/>
    </row>
    <row r="34" spans="1:30" ht="23.1" customHeight="1">
      <c r="A34" s="475"/>
      <c r="B34" s="335"/>
      <c r="C34" s="1126"/>
      <c r="D34" s="1145"/>
      <c r="E34" s="465"/>
      <c r="F34" s="2113"/>
      <c r="G34" s="2113"/>
      <c r="H34" s="391"/>
      <c r="I34" s="473"/>
      <c r="J34" s="2103" t="s">
        <v>1228</v>
      </c>
      <c r="K34" s="2105"/>
      <c r="L34" s="2105"/>
      <c r="M34" s="2105"/>
      <c r="N34" s="2104"/>
      <c r="O34" s="2105"/>
      <c r="P34" s="2105"/>
      <c r="Q34" s="804"/>
      <c r="R34" s="1671"/>
      <c r="S34" s="1672">
        <v>400000</v>
      </c>
      <c r="T34" s="1671" t="s">
        <v>831</v>
      </c>
      <c r="U34" s="1671"/>
      <c r="V34" s="1671">
        <v>2</v>
      </c>
      <c r="W34" s="1671" t="s">
        <v>1187</v>
      </c>
      <c r="X34" s="1671" t="s">
        <v>833</v>
      </c>
      <c r="Y34" s="1674">
        <f t="shared" si="2"/>
        <v>800</v>
      </c>
      <c r="Z34" s="355">
        <f>SUM(S34*V34)</f>
        <v>800000</v>
      </c>
      <c r="AA34" s="262">
        <f t="shared" si="1"/>
        <v>0</v>
      </c>
      <c r="AB34" s="505"/>
    </row>
    <row r="35" spans="1:30" ht="23.1" customHeight="1">
      <c r="A35" s="475"/>
      <c r="B35" s="335"/>
      <c r="C35" s="1126"/>
      <c r="D35" s="1145"/>
      <c r="E35" s="465"/>
      <c r="F35" s="2113"/>
      <c r="G35" s="2113"/>
      <c r="H35" s="391"/>
      <c r="I35" s="473"/>
      <c r="J35" s="2103" t="s">
        <v>1229</v>
      </c>
      <c r="K35" s="2105"/>
      <c r="L35" s="2105"/>
      <c r="M35" s="2105"/>
      <c r="N35" s="2104"/>
      <c r="O35" s="2105"/>
      <c r="P35" s="2105"/>
      <c r="Q35" s="804"/>
      <c r="R35" s="1671"/>
      <c r="S35" s="1672">
        <v>1400000</v>
      </c>
      <c r="T35" s="1671" t="s">
        <v>831</v>
      </c>
      <c r="U35" s="1671"/>
      <c r="V35" s="1671">
        <v>1</v>
      </c>
      <c r="W35" s="1671" t="s">
        <v>837</v>
      </c>
      <c r="X35" s="1671" t="s">
        <v>833</v>
      </c>
      <c r="Y35" s="1674">
        <f t="shared" si="2"/>
        <v>1400</v>
      </c>
      <c r="Z35" s="355">
        <f>SUM(S35*V35)</f>
        <v>1400000</v>
      </c>
      <c r="AA35" s="262">
        <f t="shared" si="1"/>
        <v>0</v>
      </c>
      <c r="AB35" s="505"/>
    </row>
    <row r="36" spans="1:30" ht="23.1" customHeight="1">
      <c r="A36" s="475"/>
      <c r="B36" s="335"/>
      <c r="C36" s="1126"/>
      <c r="D36" s="1145"/>
      <c r="E36" s="465" t="s">
        <v>851</v>
      </c>
      <c r="F36" s="741">
        <f>SUM(Y36)</f>
        <v>40431</v>
      </c>
      <c r="G36" s="2113">
        <v>40431</v>
      </c>
      <c r="H36" s="391"/>
      <c r="I36" s="473"/>
      <c r="J36" s="1009" t="s">
        <v>835</v>
      </c>
      <c r="K36" s="2105"/>
      <c r="L36" s="2105"/>
      <c r="M36" s="2105"/>
      <c r="N36" s="2104"/>
      <c r="O36" s="2104"/>
      <c r="P36" s="2105"/>
      <c r="Q36" s="1673"/>
      <c r="R36" s="1671"/>
      <c r="S36" s="1671"/>
      <c r="T36" s="1671"/>
      <c r="U36" s="1671"/>
      <c r="V36" s="1671"/>
      <c r="W36" s="1671"/>
      <c r="X36" s="1671"/>
      <c r="Y36" s="1674">
        <f t="shared" si="2"/>
        <v>40431</v>
      </c>
      <c r="Z36" s="2114">
        <f>SUM(Z37:Z41)</f>
        <v>40431000</v>
      </c>
      <c r="AA36" s="262">
        <f t="shared" si="1"/>
        <v>40431000000</v>
      </c>
      <c r="AB36" s="505"/>
    </row>
    <row r="37" spans="1:30" ht="23.1" customHeight="1">
      <c r="A37" s="475"/>
      <c r="B37" s="335"/>
      <c r="C37" s="1126"/>
      <c r="D37" s="1145"/>
      <c r="E37" s="465"/>
      <c r="F37" s="2113"/>
      <c r="G37" s="2113"/>
      <c r="H37" s="391"/>
      <c r="I37" s="473"/>
      <c r="J37" s="2103" t="s">
        <v>1230</v>
      </c>
      <c r="K37" s="2105"/>
      <c r="L37" s="2105"/>
      <c r="M37" s="2105"/>
      <c r="N37" s="2104"/>
      <c r="O37" s="2105"/>
      <c r="P37" s="2105"/>
      <c r="Q37" s="1673"/>
      <c r="R37" s="1671"/>
      <c r="S37" s="1672">
        <v>2200000</v>
      </c>
      <c r="T37" s="1671" t="s">
        <v>831</v>
      </c>
      <c r="U37" s="1671"/>
      <c r="V37" s="1671">
        <v>12</v>
      </c>
      <c r="W37" s="1671" t="s">
        <v>844</v>
      </c>
      <c r="X37" s="1671" t="s">
        <v>833</v>
      </c>
      <c r="Y37" s="1674">
        <f t="shared" si="2"/>
        <v>26400</v>
      </c>
      <c r="Z37" s="2114">
        <f>SUM(S37*V37)</f>
        <v>26400000</v>
      </c>
      <c r="AA37" s="262">
        <f t="shared" si="1"/>
        <v>0</v>
      </c>
      <c r="AB37" s="505"/>
    </row>
    <row r="38" spans="1:30" ht="23.1" customHeight="1">
      <c r="A38" s="475"/>
      <c r="B38" s="335"/>
      <c r="C38" s="1126"/>
      <c r="D38" s="1145"/>
      <c r="E38" s="465"/>
      <c r="F38" s="2113"/>
      <c r="G38" s="2113"/>
      <c r="H38" s="391"/>
      <c r="I38" s="473"/>
      <c r="J38" s="2103" t="s">
        <v>1231</v>
      </c>
      <c r="K38" s="2105"/>
      <c r="L38" s="2105"/>
      <c r="M38" s="2105"/>
      <c r="N38" s="2104"/>
      <c r="O38" s="2105"/>
      <c r="P38" s="2105"/>
      <c r="Q38" s="1673">
        <v>200000</v>
      </c>
      <c r="R38" s="1671" t="s">
        <v>1232</v>
      </c>
      <c r="S38" s="1672">
        <v>30</v>
      </c>
      <c r="T38" s="1671" t="s">
        <v>831</v>
      </c>
      <c r="U38" s="1671"/>
      <c r="V38" s="1671">
        <v>1</v>
      </c>
      <c r="W38" s="1671" t="s">
        <v>837</v>
      </c>
      <c r="X38" s="1671" t="s">
        <v>833</v>
      </c>
      <c r="Y38" s="1674">
        <f t="shared" si="2"/>
        <v>6000</v>
      </c>
      <c r="Z38" s="2114">
        <f>SUM(Q38*S38*V38)</f>
        <v>6000000</v>
      </c>
      <c r="AA38" s="262">
        <f t="shared" si="1"/>
        <v>0</v>
      </c>
      <c r="AB38" s="505"/>
    </row>
    <row r="39" spans="1:30" ht="23.1" customHeight="1">
      <c r="A39" s="475"/>
      <c r="B39" s="335"/>
      <c r="C39" s="1126"/>
      <c r="D39" s="1145"/>
      <c r="E39" s="465"/>
      <c r="F39" s="2113"/>
      <c r="G39" s="2113"/>
      <c r="H39" s="391"/>
      <c r="I39" s="473"/>
      <c r="J39" s="2115" t="s">
        <v>857</v>
      </c>
      <c r="K39" s="1010"/>
      <c r="L39" s="1010"/>
      <c r="M39" s="1010"/>
      <c r="N39" s="2116"/>
      <c r="O39" s="2105"/>
      <c r="P39" s="2105"/>
      <c r="Q39" s="1671">
        <v>60</v>
      </c>
      <c r="R39" s="1671" t="s">
        <v>858</v>
      </c>
      <c r="S39" s="1672">
        <v>5000</v>
      </c>
      <c r="T39" s="1671" t="s">
        <v>831</v>
      </c>
      <c r="U39" s="1671"/>
      <c r="V39" s="1671">
        <v>12</v>
      </c>
      <c r="W39" s="1671" t="s">
        <v>844</v>
      </c>
      <c r="X39" s="1671" t="s">
        <v>833</v>
      </c>
      <c r="Y39" s="1674">
        <f t="shared" si="2"/>
        <v>3600</v>
      </c>
      <c r="Z39" s="2114">
        <f>SUM(Q39*S39*V39)</f>
        <v>3600000</v>
      </c>
      <c r="AA39" s="262">
        <f t="shared" si="1"/>
        <v>0</v>
      </c>
      <c r="AB39" s="505"/>
    </row>
    <row r="40" spans="1:30" ht="23.1" customHeight="1">
      <c r="A40" s="475"/>
      <c r="B40" s="335"/>
      <c r="C40" s="1126"/>
      <c r="D40" s="1145"/>
      <c r="E40" s="465"/>
      <c r="F40" s="2113"/>
      <c r="G40" s="2113"/>
      <c r="H40" s="391"/>
      <c r="I40" s="473"/>
      <c r="J40" s="2115" t="s">
        <v>1233</v>
      </c>
      <c r="K40" s="1010"/>
      <c r="L40" s="1010"/>
      <c r="M40" s="1010"/>
      <c r="N40" s="2116"/>
      <c r="O40" s="2105"/>
      <c r="P40" s="2105"/>
      <c r="Q40" s="1671">
        <v>5</v>
      </c>
      <c r="R40" s="1671" t="s">
        <v>860</v>
      </c>
      <c r="S40" s="1672">
        <v>120000</v>
      </c>
      <c r="T40" s="1671" t="s">
        <v>831</v>
      </c>
      <c r="U40" s="1671"/>
      <c r="V40" s="1671">
        <v>4</v>
      </c>
      <c r="W40" s="1671" t="s">
        <v>837</v>
      </c>
      <c r="X40" s="1671" t="s">
        <v>833</v>
      </c>
      <c r="Y40" s="1674">
        <f t="shared" si="2"/>
        <v>2400</v>
      </c>
      <c r="Z40" s="2114">
        <f>SUM(Q40*S40*V40)</f>
        <v>2400000</v>
      </c>
      <c r="AA40" s="2774">
        <f t="shared" si="1"/>
        <v>0</v>
      </c>
      <c r="AB40" s="505"/>
    </row>
    <row r="41" spans="1:30" ht="23.1" customHeight="1">
      <c r="A41" s="475"/>
      <c r="B41" s="335"/>
      <c r="C41" s="1126"/>
      <c r="D41" s="1145"/>
      <c r="E41" s="465"/>
      <c r="F41" s="2113"/>
      <c r="G41" s="2113"/>
      <c r="H41" s="391"/>
      <c r="I41" s="473"/>
      <c r="J41" s="2103" t="s">
        <v>1234</v>
      </c>
      <c r="K41" s="2105"/>
      <c r="L41" s="2105"/>
      <c r="M41" s="2105"/>
      <c r="N41" s="2104"/>
      <c r="O41" s="2104"/>
      <c r="P41" s="2105"/>
      <c r="Q41" s="1673"/>
      <c r="R41" s="1671"/>
      <c r="S41" s="1671">
        <v>338500</v>
      </c>
      <c r="T41" s="1671" t="s">
        <v>831</v>
      </c>
      <c r="U41" s="1671"/>
      <c r="V41" s="1671">
        <v>6</v>
      </c>
      <c r="W41" s="1671" t="s">
        <v>837</v>
      </c>
      <c r="X41" s="1671" t="s">
        <v>833</v>
      </c>
      <c r="Y41" s="1674">
        <f t="shared" si="2"/>
        <v>2031</v>
      </c>
      <c r="Z41" s="2114">
        <f>SUM(S41*V41)</f>
        <v>2031000</v>
      </c>
      <c r="AA41" s="2774">
        <f t="shared" si="1"/>
        <v>0</v>
      </c>
      <c r="AB41" s="505"/>
    </row>
    <row r="42" spans="1:30" s="1938" customFormat="1" ht="23.1" customHeight="1">
      <c r="A42" s="475"/>
      <c r="B42" s="335"/>
      <c r="C42" s="1126"/>
      <c r="D42" s="1145"/>
      <c r="E42" s="465" t="s">
        <v>868</v>
      </c>
      <c r="F42" s="741">
        <f>SUM(Y42)</f>
        <v>286800</v>
      </c>
      <c r="G42" s="2113">
        <v>286800</v>
      </c>
      <c r="H42" s="482"/>
      <c r="I42" s="473"/>
      <c r="J42" s="1009" t="s">
        <v>835</v>
      </c>
      <c r="K42" s="2105"/>
      <c r="L42" s="2105"/>
      <c r="M42" s="2105"/>
      <c r="N42" s="2104"/>
      <c r="O42" s="2104"/>
      <c r="P42" s="2105"/>
      <c r="Q42" s="804"/>
      <c r="R42" s="1671"/>
      <c r="S42" s="1671"/>
      <c r="T42" s="1671"/>
      <c r="U42" s="1671"/>
      <c r="V42" s="1671"/>
      <c r="W42" s="1671"/>
      <c r="X42" s="397"/>
      <c r="Y42" s="406">
        <f>SUM(Y43:Y45)</f>
        <v>286800</v>
      </c>
      <c r="Z42" s="407">
        <f>SUM(Z43:Z45)</f>
        <v>286800000</v>
      </c>
      <c r="AA42" s="2774">
        <f t="shared" si="1"/>
        <v>286800000000</v>
      </c>
      <c r="AB42" s="505">
        <f>AA42-20000000</f>
        <v>286780000000</v>
      </c>
      <c r="AC42" s="1143"/>
      <c r="AD42" s="275"/>
    </row>
    <row r="43" spans="1:30" ht="21" customHeight="1">
      <c r="A43" s="475"/>
      <c r="B43" s="335"/>
      <c r="C43" s="1126"/>
      <c r="D43" s="1145"/>
      <c r="E43" s="465"/>
      <c r="F43" s="2113"/>
      <c r="G43" s="2113"/>
      <c r="H43" s="391"/>
      <c r="I43" s="473"/>
      <c r="J43" s="2103" t="s">
        <v>869</v>
      </c>
      <c r="K43" s="2105"/>
      <c r="L43" s="2105"/>
      <c r="M43" s="2105"/>
      <c r="N43" s="2104"/>
      <c r="O43" s="2105"/>
      <c r="P43" s="2105"/>
      <c r="Q43" s="804"/>
      <c r="R43" s="1671"/>
      <c r="S43" s="1672">
        <v>11000000</v>
      </c>
      <c r="T43" s="1671" t="s">
        <v>831</v>
      </c>
      <c r="U43" s="1671"/>
      <c r="V43" s="1671">
        <v>12</v>
      </c>
      <c r="W43" s="1671" t="s">
        <v>844</v>
      </c>
      <c r="X43" s="397" t="s">
        <v>833</v>
      </c>
      <c r="Y43" s="406">
        <f>+Z43/1000</f>
        <v>132000</v>
      </c>
      <c r="Z43" s="407">
        <f>+V43*S43</f>
        <v>132000000</v>
      </c>
      <c r="AA43" s="2774">
        <f t="shared" si="1"/>
        <v>0</v>
      </c>
      <c r="AB43" s="505"/>
    </row>
    <row r="44" spans="1:30" s="1938" customFormat="1" ht="21" customHeight="1">
      <c r="A44" s="475"/>
      <c r="B44" s="335"/>
      <c r="C44" s="1126"/>
      <c r="D44" s="1145"/>
      <c r="E44" s="465"/>
      <c r="F44" s="2113"/>
      <c r="G44" s="2113"/>
      <c r="H44" s="391"/>
      <c r="I44" s="473"/>
      <c r="J44" s="2103" t="s">
        <v>1235</v>
      </c>
      <c r="K44" s="2105"/>
      <c r="L44" s="2105"/>
      <c r="M44" s="2105"/>
      <c r="N44" s="2104"/>
      <c r="O44" s="2105"/>
      <c r="P44" s="2105"/>
      <c r="Q44" s="804"/>
      <c r="R44" s="1671"/>
      <c r="S44" s="1672">
        <v>2900000</v>
      </c>
      <c r="T44" s="1671" t="s">
        <v>831</v>
      </c>
      <c r="U44" s="1671"/>
      <c r="V44" s="1671">
        <v>12</v>
      </c>
      <c r="W44" s="1671" t="s">
        <v>844</v>
      </c>
      <c r="X44" s="397" t="s">
        <v>833</v>
      </c>
      <c r="Y44" s="406">
        <f>+Z44/1000</f>
        <v>34800</v>
      </c>
      <c r="Z44" s="407">
        <f>+V44*S44</f>
        <v>34800000</v>
      </c>
      <c r="AA44" s="2774">
        <f t="shared" si="1"/>
        <v>0</v>
      </c>
      <c r="AB44" s="505"/>
      <c r="AC44" s="1143"/>
      <c r="AD44" s="275"/>
    </row>
    <row r="45" spans="1:30" s="1170" customFormat="1" ht="21" customHeight="1" thickBot="1">
      <c r="A45" s="475"/>
      <c r="B45" s="335"/>
      <c r="C45" s="1126"/>
      <c r="D45" s="1145"/>
      <c r="E45" s="465"/>
      <c r="F45" s="2113"/>
      <c r="G45" s="2113"/>
      <c r="H45" s="391"/>
      <c r="I45" s="473"/>
      <c r="J45" s="2103" t="s">
        <v>1236</v>
      </c>
      <c r="K45" s="2105"/>
      <c r="L45" s="2105"/>
      <c r="M45" s="2105"/>
      <c r="N45" s="2104"/>
      <c r="O45" s="2104"/>
      <c r="P45" s="2105"/>
      <c r="Q45" s="804"/>
      <c r="R45" s="1671"/>
      <c r="S45" s="1672">
        <v>10000000</v>
      </c>
      <c r="T45" s="1671" t="s">
        <v>831</v>
      </c>
      <c r="U45" s="1671"/>
      <c r="V45" s="1671">
        <v>12</v>
      </c>
      <c r="W45" s="1671" t="s">
        <v>844</v>
      </c>
      <c r="X45" s="397" t="s">
        <v>833</v>
      </c>
      <c r="Y45" s="406">
        <f>+Z45/1000</f>
        <v>120000</v>
      </c>
      <c r="Z45" s="407">
        <f>+V45*S45</f>
        <v>120000000</v>
      </c>
      <c r="AA45" s="2774">
        <f t="shared" si="1"/>
        <v>0</v>
      </c>
      <c r="AB45" s="505"/>
      <c r="AC45" s="1143"/>
      <c r="AD45" s="2120"/>
    </row>
    <row r="46" spans="1:30" ht="21" customHeight="1">
      <c r="A46" s="475"/>
      <c r="B46" s="335"/>
      <c r="C46" s="1126"/>
      <c r="D46" s="1145"/>
      <c r="E46" s="465" t="s">
        <v>871</v>
      </c>
      <c r="F46" s="741">
        <f>SUM(Y46)</f>
        <v>10437</v>
      </c>
      <c r="G46" s="2113">
        <v>10437</v>
      </c>
      <c r="H46" s="391"/>
      <c r="I46" s="473"/>
      <c r="J46" s="1009" t="s">
        <v>835</v>
      </c>
      <c r="K46" s="2105"/>
      <c r="L46" s="2105"/>
      <c r="M46" s="2105"/>
      <c r="N46" s="2104"/>
      <c r="O46" s="2104"/>
      <c r="P46" s="2105"/>
      <c r="Q46" s="804"/>
      <c r="R46" s="1671"/>
      <c r="S46" s="1672"/>
      <c r="T46" s="1671"/>
      <c r="U46" s="1671"/>
      <c r="V46" s="1671"/>
      <c r="W46" s="1671"/>
      <c r="X46" s="397"/>
      <c r="Y46" s="406">
        <f>SUM(Y47:Y48)</f>
        <v>10437</v>
      </c>
      <c r="Z46" s="407">
        <f>SUM(Z47:Z48)</f>
        <v>10437000</v>
      </c>
      <c r="AA46" s="2774">
        <f t="shared" si="1"/>
        <v>10437000000</v>
      </c>
      <c r="AB46" s="505"/>
    </row>
    <row r="47" spans="1:30" ht="21" customHeight="1">
      <c r="A47" s="475"/>
      <c r="B47" s="335"/>
      <c r="C47" s="1126"/>
      <c r="D47" s="1145"/>
      <c r="E47" s="465"/>
      <c r="F47" s="2113"/>
      <c r="G47" s="2113"/>
      <c r="H47" s="391"/>
      <c r="I47" s="473"/>
      <c r="J47" s="2103" t="s">
        <v>872</v>
      </c>
      <c r="K47" s="2105"/>
      <c r="L47" s="2105"/>
      <c r="M47" s="2105"/>
      <c r="N47" s="2104"/>
      <c r="O47" s="2104"/>
      <c r="P47" s="2105"/>
      <c r="Q47" s="804"/>
      <c r="R47" s="1671"/>
      <c r="S47" s="1672">
        <v>700000</v>
      </c>
      <c r="T47" s="1671" t="s">
        <v>831</v>
      </c>
      <c r="U47" s="1671"/>
      <c r="V47" s="1671">
        <v>12</v>
      </c>
      <c r="W47" s="1671" t="s">
        <v>844</v>
      </c>
      <c r="X47" s="397" t="s">
        <v>833</v>
      </c>
      <c r="Y47" s="406">
        <f>SUM(Z47/1000)</f>
        <v>8400</v>
      </c>
      <c r="Z47" s="407">
        <f>S47*V47</f>
        <v>8400000</v>
      </c>
      <c r="AA47" s="2774">
        <f t="shared" si="1"/>
        <v>0</v>
      </c>
      <c r="AB47" s="505"/>
    </row>
    <row r="48" spans="1:30" ht="21" customHeight="1">
      <c r="A48" s="475"/>
      <c r="B48" s="335"/>
      <c r="C48" s="1126"/>
      <c r="D48" s="1145"/>
      <c r="E48" s="465"/>
      <c r="F48" s="2113"/>
      <c r="G48" s="2113"/>
      <c r="H48" s="391"/>
      <c r="I48" s="473"/>
      <c r="J48" s="2103" t="s">
        <v>1237</v>
      </c>
      <c r="K48" s="2105"/>
      <c r="L48" s="2105"/>
      <c r="M48" s="2105"/>
      <c r="N48" s="2104"/>
      <c r="O48" s="2104"/>
      <c r="P48" s="2105"/>
      <c r="Q48" s="804"/>
      <c r="R48" s="1671"/>
      <c r="S48" s="1672">
        <v>2037000000</v>
      </c>
      <c r="T48" s="1671" t="s">
        <v>831</v>
      </c>
      <c r="U48" s="1671"/>
      <c r="V48" s="1702">
        <v>0.1</v>
      </c>
      <c r="W48" s="1671" t="s">
        <v>1238</v>
      </c>
      <c r="X48" s="397" t="s">
        <v>833</v>
      </c>
      <c r="Y48" s="406">
        <f>SUM(Z48/1000)</f>
        <v>2037</v>
      </c>
      <c r="Z48" s="407">
        <f>SUM(S48*V48/100)</f>
        <v>2037000</v>
      </c>
      <c r="AA48" s="2774">
        <f t="shared" si="1"/>
        <v>0</v>
      </c>
      <c r="AB48" s="505"/>
    </row>
    <row r="49" spans="1:30" ht="21" customHeight="1">
      <c r="A49" s="475"/>
      <c r="B49" s="335"/>
      <c r="C49" s="1126"/>
      <c r="D49" s="1145"/>
      <c r="E49" s="465" t="s">
        <v>875</v>
      </c>
      <c r="F49" s="741">
        <f>SUM(Y49)</f>
        <v>8268</v>
      </c>
      <c r="G49" s="2113">
        <v>8268</v>
      </c>
      <c r="H49" s="391"/>
      <c r="I49" s="473"/>
      <c r="J49" s="1009" t="s">
        <v>835</v>
      </c>
      <c r="K49" s="2105"/>
      <c r="L49" s="2105"/>
      <c r="M49" s="2105"/>
      <c r="N49" s="2104"/>
      <c r="O49" s="2104"/>
      <c r="P49" s="2105"/>
      <c r="Q49" s="804"/>
      <c r="R49" s="1671"/>
      <c r="S49" s="1672"/>
      <c r="T49" s="1671"/>
      <c r="U49" s="1671"/>
      <c r="V49" s="2121"/>
      <c r="W49" s="1671"/>
      <c r="X49" s="397"/>
      <c r="Y49" s="406">
        <f>SUM(Y50:Y52)</f>
        <v>8268</v>
      </c>
      <c r="Z49" s="407">
        <f>SUM(Z50:Z52)</f>
        <v>8268000</v>
      </c>
      <c r="AA49" s="2774">
        <f t="shared" si="1"/>
        <v>8268000000</v>
      </c>
      <c r="AB49" s="505"/>
    </row>
    <row r="50" spans="1:30" ht="21" customHeight="1">
      <c r="A50" s="475"/>
      <c r="B50" s="335"/>
      <c r="C50" s="1126"/>
      <c r="D50" s="1145"/>
      <c r="E50" s="465"/>
      <c r="F50" s="2113"/>
      <c r="G50" s="2113"/>
      <c r="H50" s="391"/>
      <c r="I50" s="473"/>
      <c r="J50" s="2103" t="s">
        <v>876</v>
      </c>
      <c r="K50" s="2105"/>
      <c r="L50" s="2105"/>
      <c r="M50" s="2105"/>
      <c r="N50" s="2104"/>
      <c r="O50" s="2122" t="s">
        <v>1239</v>
      </c>
      <c r="P50" s="2105" t="s">
        <v>840</v>
      </c>
      <c r="Q50" s="804" t="s">
        <v>1240</v>
      </c>
      <c r="R50" s="1671" t="s">
        <v>877</v>
      </c>
      <c r="S50" s="1672">
        <v>20000</v>
      </c>
      <c r="T50" s="1671" t="s">
        <v>831</v>
      </c>
      <c r="U50" s="1671"/>
      <c r="V50" s="1671">
        <v>12</v>
      </c>
      <c r="W50" s="1671" t="s">
        <v>844</v>
      </c>
      <c r="X50" s="397" t="s">
        <v>833</v>
      </c>
      <c r="Y50" s="406">
        <f>SUM(Z50/1000)</f>
        <v>7920</v>
      </c>
      <c r="Z50" s="407">
        <f>SUM(O50*Q50*S50*V50)</f>
        <v>7920000</v>
      </c>
      <c r="AA50" s="262">
        <f t="shared" si="1"/>
        <v>0</v>
      </c>
      <c r="AB50" s="505"/>
    </row>
    <row r="51" spans="1:30" ht="21" customHeight="1">
      <c r="A51" s="475"/>
      <c r="B51" s="335"/>
      <c r="C51" s="1126"/>
      <c r="D51" s="1145"/>
      <c r="E51" s="465"/>
      <c r="F51" s="2113"/>
      <c r="G51" s="2113"/>
      <c r="H51" s="391"/>
      <c r="I51" s="473"/>
      <c r="J51" s="2103" t="s">
        <v>1241</v>
      </c>
      <c r="K51" s="2105"/>
      <c r="L51" s="2105"/>
      <c r="M51" s="2105"/>
      <c r="N51" s="2104"/>
      <c r="O51" s="2122" t="s">
        <v>1242</v>
      </c>
      <c r="P51" s="2105" t="s">
        <v>1243</v>
      </c>
      <c r="Q51" s="804" t="s">
        <v>1224</v>
      </c>
      <c r="R51" s="1671" t="s">
        <v>877</v>
      </c>
      <c r="S51" s="1672">
        <v>2500</v>
      </c>
      <c r="T51" s="1671" t="s">
        <v>831</v>
      </c>
      <c r="U51" s="1671"/>
      <c r="V51" s="1671">
        <v>12</v>
      </c>
      <c r="W51" s="1671" t="s">
        <v>844</v>
      </c>
      <c r="X51" s="397" t="s">
        <v>833</v>
      </c>
      <c r="Y51" s="406">
        <f>+Z51/1000</f>
        <v>300</v>
      </c>
      <c r="Z51" s="407">
        <f>SUM(O51*Q51*S51*V51)</f>
        <v>300000</v>
      </c>
      <c r="AA51" s="262">
        <f t="shared" si="1"/>
        <v>0</v>
      </c>
      <c r="AB51" s="505"/>
    </row>
    <row r="52" spans="1:30" ht="21" customHeight="1">
      <c r="A52" s="1934"/>
      <c r="B52" s="1145"/>
      <c r="C52" s="1126"/>
      <c r="D52" s="1145"/>
      <c r="E52" s="465"/>
      <c r="F52" s="2113"/>
      <c r="G52" s="2113"/>
      <c r="H52" s="391"/>
      <c r="I52" s="473"/>
      <c r="J52" s="2103" t="s">
        <v>1244</v>
      </c>
      <c r="K52" s="2105"/>
      <c r="L52" s="2105"/>
      <c r="M52" s="2105"/>
      <c r="N52" s="2104"/>
      <c r="O52" s="2122" t="s">
        <v>1245</v>
      </c>
      <c r="P52" s="2105" t="s">
        <v>1189</v>
      </c>
      <c r="Q52" s="804" t="s">
        <v>1224</v>
      </c>
      <c r="R52" s="1671" t="s">
        <v>877</v>
      </c>
      <c r="S52" s="1672">
        <v>2000</v>
      </c>
      <c r="T52" s="1671" t="s">
        <v>831</v>
      </c>
      <c r="U52" s="1671"/>
      <c r="V52" s="1671">
        <v>12</v>
      </c>
      <c r="W52" s="1671" t="s">
        <v>837</v>
      </c>
      <c r="X52" s="397" t="s">
        <v>833</v>
      </c>
      <c r="Y52" s="406">
        <f>+Z52/1000</f>
        <v>48</v>
      </c>
      <c r="Z52" s="407">
        <f>SUM(O52*Q52*S52*V52)</f>
        <v>48000</v>
      </c>
      <c r="AA52" s="262">
        <f t="shared" si="1"/>
        <v>0</v>
      </c>
      <c r="AB52" s="505"/>
    </row>
    <row r="53" spans="1:30" ht="21" customHeight="1">
      <c r="A53" s="1934"/>
      <c r="B53" s="1145"/>
      <c r="C53" s="1126"/>
      <c r="D53" s="1145"/>
      <c r="E53" s="465" t="s">
        <v>878</v>
      </c>
      <c r="F53" s="741">
        <f>SUM(Y53)</f>
        <v>130355</v>
      </c>
      <c r="G53" s="2113">
        <v>130355</v>
      </c>
      <c r="H53" s="482"/>
      <c r="I53" s="473"/>
      <c r="J53" s="1009" t="s">
        <v>835</v>
      </c>
      <c r="K53" s="2105"/>
      <c r="L53" s="2105"/>
      <c r="M53" s="2105"/>
      <c r="N53" s="2104"/>
      <c r="O53" s="2105"/>
      <c r="P53" s="2105"/>
      <c r="Q53" s="1673"/>
      <c r="R53" s="1671"/>
      <c r="S53" s="1672"/>
      <c r="T53" s="1671"/>
      <c r="U53" s="1671"/>
      <c r="V53" s="1671"/>
      <c r="W53" s="1671"/>
      <c r="X53" s="397"/>
      <c r="Y53" s="406">
        <f>SUM(Y54:Y55)</f>
        <v>130355</v>
      </c>
      <c r="Z53" s="407">
        <f>SUM(Z54:Z55)</f>
        <v>130355000</v>
      </c>
      <c r="AA53" s="262">
        <f t="shared" si="1"/>
        <v>130355000000</v>
      </c>
      <c r="AB53" s="505"/>
    </row>
    <row r="54" spans="1:30" s="1938" customFormat="1" ht="21" customHeight="1">
      <c r="A54" s="1934"/>
      <c r="B54" s="1145"/>
      <c r="C54" s="1126"/>
      <c r="D54" s="1145"/>
      <c r="E54" s="465"/>
      <c r="F54" s="2113"/>
      <c r="G54" s="2113"/>
      <c r="H54" s="391"/>
      <c r="I54" s="473"/>
      <c r="J54" s="2103" t="s">
        <v>1246</v>
      </c>
      <c r="K54" s="2105"/>
      <c r="L54" s="2105"/>
      <c r="M54" s="2105"/>
      <c r="N54" s="2104"/>
      <c r="O54" s="2105"/>
      <c r="P54" s="2105"/>
      <c r="Q54" s="1673">
        <v>3986.0062893081763</v>
      </c>
      <c r="R54" s="1671" t="s">
        <v>1186</v>
      </c>
      <c r="S54" s="1672">
        <v>15900</v>
      </c>
      <c r="T54" s="1671" t="s">
        <v>831</v>
      </c>
      <c r="U54" s="1671"/>
      <c r="V54" s="1671">
        <v>2</v>
      </c>
      <c r="W54" s="1671" t="s">
        <v>837</v>
      </c>
      <c r="X54" s="397" t="s">
        <v>833</v>
      </c>
      <c r="Y54" s="406">
        <f>+Z54/1000</f>
        <v>126755</v>
      </c>
      <c r="Z54" s="407">
        <f>+Q54*S54*V54</f>
        <v>126755000</v>
      </c>
      <c r="AA54" s="262">
        <f t="shared" si="1"/>
        <v>0</v>
      </c>
      <c r="AB54" s="505"/>
      <c r="AC54" s="1143"/>
      <c r="AD54" s="275"/>
    </row>
    <row r="55" spans="1:30" ht="21" customHeight="1">
      <c r="A55" s="1934"/>
      <c r="B55" s="1145"/>
      <c r="C55" s="1126"/>
      <c r="D55" s="1145"/>
      <c r="E55" s="465"/>
      <c r="F55" s="2113"/>
      <c r="G55" s="2113"/>
      <c r="H55" s="391"/>
      <c r="I55" s="473"/>
      <c r="J55" s="2103" t="s">
        <v>1247</v>
      </c>
      <c r="K55" s="2105"/>
      <c r="L55" s="2105"/>
      <c r="M55" s="2105"/>
      <c r="N55" s="2104"/>
      <c r="O55" s="2105"/>
      <c r="P55" s="2105"/>
      <c r="Q55" s="1673">
        <v>1</v>
      </c>
      <c r="R55" s="1671" t="s">
        <v>860</v>
      </c>
      <c r="S55" s="1672">
        <v>300000</v>
      </c>
      <c r="T55" s="1671" t="s">
        <v>879</v>
      </c>
      <c r="U55" s="1671"/>
      <c r="V55" s="1671">
        <v>12</v>
      </c>
      <c r="W55" s="1671" t="s">
        <v>880</v>
      </c>
      <c r="X55" s="397" t="s">
        <v>873</v>
      </c>
      <c r="Y55" s="406">
        <f>+Z55/1000</f>
        <v>3600</v>
      </c>
      <c r="Z55" s="407">
        <f>+Q55*S55*V55</f>
        <v>3600000</v>
      </c>
      <c r="AA55" s="262">
        <f t="shared" si="1"/>
        <v>0</v>
      </c>
      <c r="AB55" s="505"/>
    </row>
    <row r="56" spans="1:30" ht="21" customHeight="1">
      <c r="A56" s="1934"/>
      <c r="B56" s="1145"/>
      <c r="C56" s="1126"/>
      <c r="D56" s="1145"/>
      <c r="E56" s="465" t="s">
        <v>881</v>
      </c>
      <c r="F56" s="741">
        <f>SUM(Y56)</f>
        <v>1040</v>
      </c>
      <c r="G56" s="2113">
        <v>1040</v>
      </c>
      <c r="H56" s="391"/>
      <c r="I56" s="473"/>
      <c r="J56" s="1009" t="s">
        <v>835</v>
      </c>
      <c r="K56" s="2105"/>
      <c r="L56" s="2105"/>
      <c r="M56" s="2105"/>
      <c r="N56" s="2104"/>
      <c r="O56" s="2104"/>
      <c r="P56" s="2105"/>
      <c r="Q56" s="804"/>
      <c r="R56" s="1671"/>
      <c r="S56" s="1672"/>
      <c r="T56" s="1671"/>
      <c r="U56" s="1671"/>
      <c r="V56" s="1671"/>
      <c r="W56" s="1671"/>
      <c r="X56" s="397"/>
      <c r="Y56" s="406">
        <f>SUM(Y57:Y58)</f>
        <v>1040</v>
      </c>
      <c r="Z56" s="407">
        <f>SUM(Z57:Z58)</f>
        <v>1040000</v>
      </c>
      <c r="AA56" s="262">
        <f t="shared" si="1"/>
        <v>1040000000</v>
      </c>
      <c r="AB56" s="505"/>
    </row>
    <row r="57" spans="1:30" ht="21" customHeight="1">
      <c r="A57" s="1934"/>
      <c r="B57" s="1145"/>
      <c r="C57" s="1126"/>
      <c r="D57" s="1145"/>
      <c r="E57" s="465"/>
      <c r="F57" s="2113"/>
      <c r="G57" s="2113"/>
      <c r="H57" s="391"/>
      <c r="I57" s="473"/>
      <c r="J57" s="2103" t="s">
        <v>1248</v>
      </c>
      <c r="K57" s="2105"/>
      <c r="L57" s="2105"/>
      <c r="M57" s="2105"/>
      <c r="N57" s="2104"/>
      <c r="O57" s="2104"/>
      <c r="P57" s="2105"/>
      <c r="Q57" s="804" t="s">
        <v>1249</v>
      </c>
      <c r="R57" s="1671" t="s">
        <v>987</v>
      </c>
      <c r="S57" s="1672">
        <v>11750</v>
      </c>
      <c r="T57" s="1671" t="s">
        <v>887</v>
      </c>
      <c r="U57" s="1671"/>
      <c r="V57" s="1671">
        <v>12</v>
      </c>
      <c r="W57" s="1671" t="s">
        <v>888</v>
      </c>
      <c r="X57" s="397" t="s">
        <v>889</v>
      </c>
      <c r="Y57" s="406">
        <f>SUM(Z57/1000)</f>
        <v>564</v>
      </c>
      <c r="Z57" s="407">
        <f>SUM(Q57*S57*V57)</f>
        <v>564000</v>
      </c>
      <c r="AA57" s="262">
        <f t="shared" si="1"/>
        <v>0</v>
      </c>
      <c r="AB57" s="505"/>
    </row>
    <row r="58" spans="1:30" ht="21" customHeight="1">
      <c r="A58" s="1934"/>
      <c r="B58" s="1145"/>
      <c r="C58" s="1126"/>
      <c r="D58" s="1145"/>
      <c r="E58" s="465"/>
      <c r="F58" s="2113"/>
      <c r="G58" s="2113"/>
      <c r="H58" s="391"/>
      <c r="I58" s="473"/>
      <c r="J58" s="2103" t="s">
        <v>1250</v>
      </c>
      <c r="K58" s="2105"/>
      <c r="L58" s="2105"/>
      <c r="M58" s="2105"/>
      <c r="N58" s="2104"/>
      <c r="O58" s="2104"/>
      <c r="P58" s="2105"/>
      <c r="Q58" s="804" t="s">
        <v>1251</v>
      </c>
      <c r="R58" s="1671" t="s">
        <v>1252</v>
      </c>
      <c r="S58" s="1672">
        <v>47600</v>
      </c>
      <c r="T58" s="1671" t="s">
        <v>1163</v>
      </c>
      <c r="U58" s="1671"/>
      <c r="V58" s="1671">
        <v>1</v>
      </c>
      <c r="W58" s="1671" t="s">
        <v>1166</v>
      </c>
      <c r="X58" s="397" t="s">
        <v>1173</v>
      </c>
      <c r="Y58" s="406">
        <f>SUM(Z58/1000)</f>
        <v>476</v>
      </c>
      <c r="Z58" s="407">
        <f>SUM(Q58*S58*V58)</f>
        <v>476000</v>
      </c>
      <c r="AA58" s="262">
        <f t="shared" si="1"/>
        <v>0</v>
      </c>
      <c r="AB58" s="505"/>
    </row>
    <row r="59" spans="1:30" s="1938" customFormat="1" ht="21" customHeight="1">
      <c r="A59" s="1934"/>
      <c r="B59" s="1145"/>
      <c r="C59" s="1126"/>
      <c r="D59" s="1145"/>
      <c r="E59" s="465" t="s">
        <v>1253</v>
      </c>
      <c r="F59" s="741">
        <f>SUM(Y59)</f>
        <v>48560</v>
      </c>
      <c r="G59" s="2113">
        <v>48560</v>
      </c>
      <c r="H59" s="391"/>
      <c r="I59" s="473"/>
      <c r="J59" s="1009" t="s">
        <v>1165</v>
      </c>
      <c r="K59" s="2105"/>
      <c r="L59" s="2105"/>
      <c r="M59" s="2105"/>
      <c r="N59" s="2104"/>
      <c r="O59" s="2104"/>
      <c r="P59" s="2105"/>
      <c r="Q59" s="804"/>
      <c r="R59" s="1671"/>
      <c r="S59" s="1671"/>
      <c r="T59" s="1671"/>
      <c r="U59" s="1671"/>
      <c r="V59" s="1671"/>
      <c r="W59" s="1671"/>
      <c r="X59" s="397"/>
      <c r="Y59" s="406">
        <f>SUM(Y60:Y63)</f>
        <v>48560</v>
      </c>
      <c r="Z59" s="407">
        <f>SUM(Z60:Z63)</f>
        <v>48560000</v>
      </c>
      <c r="AA59" s="262">
        <f t="shared" si="1"/>
        <v>48560000000</v>
      </c>
      <c r="AB59" s="505"/>
      <c r="AC59" s="1143"/>
      <c r="AD59" s="275"/>
    </row>
    <row r="60" spans="1:30" s="1938" customFormat="1" ht="21" customHeight="1">
      <c r="A60" s="1934"/>
      <c r="B60" s="1145"/>
      <c r="C60" s="1126"/>
      <c r="D60" s="1145"/>
      <c r="E60" s="465"/>
      <c r="F60" s="741"/>
      <c r="G60" s="2113"/>
      <c r="H60" s="391"/>
      <c r="I60" s="473"/>
      <c r="J60" s="2103" t="s">
        <v>1254</v>
      </c>
      <c r="K60" s="2105"/>
      <c r="L60" s="2105"/>
      <c r="M60" s="2105"/>
      <c r="N60" s="2104"/>
      <c r="O60" s="2105"/>
      <c r="P60" s="2105"/>
      <c r="Q60" s="804"/>
      <c r="R60" s="1671"/>
      <c r="S60" s="1672">
        <v>2800000</v>
      </c>
      <c r="T60" s="1671" t="s">
        <v>1163</v>
      </c>
      <c r="U60" s="1671"/>
      <c r="V60" s="1671">
        <v>12</v>
      </c>
      <c r="W60" s="1671" t="s">
        <v>1168</v>
      </c>
      <c r="X60" s="397" t="s">
        <v>1255</v>
      </c>
      <c r="Y60" s="406">
        <f>+Z60/1000</f>
        <v>33600</v>
      </c>
      <c r="Z60" s="407">
        <f>S60*V60</f>
        <v>33600000</v>
      </c>
      <c r="AA60" s="262">
        <f t="shared" si="1"/>
        <v>0</v>
      </c>
      <c r="AB60" s="505"/>
      <c r="AC60" s="1143"/>
      <c r="AD60" s="275"/>
    </row>
    <row r="61" spans="1:30" s="1938" customFormat="1" ht="21" customHeight="1">
      <c r="A61" s="1934"/>
      <c r="B61" s="1145"/>
      <c r="C61" s="1126"/>
      <c r="D61" s="1145"/>
      <c r="E61" s="465"/>
      <c r="F61" s="741"/>
      <c r="G61" s="2113"/>
      <c r="H61" s="391"/>
      <c r="I61" s="473"/>
      <c r="J61" s="2103" t="s">
        <v>1256</v>
      </c>
      <c r="K61" s="2105"/>
      <c r="L61" s="2105"/>
      <c r="M61" s="2105"/>
      <c r="N61" s="2104"/>
      <c r="O61" s="2105"/>
      <c r="P61" s="2105"/>
      <c r="Q61" s="804">
        <v>1</v>
      </c>
      <c r="R61" s="1671" t="s">
        <v>1257</v>
      </c>
      <c r="S61" s="1672">
        <v>4360000</v>
      </c>
      <c r="T61" s="1671" t="s">
        <v>1163</v>
      </c>
      <c r="U61" s="1671"/>
      <c r="V61" s="1671">
        <v>1</v>
      </c>
      <c r="W61" s="1671" t="s">
        <v>1258</v>
      </c>
      <c r="X61" s="397" t="s">
        <v>1255</v>
      </c>
      <c r="Y61" s="406">
        <f>+Z61/1000</f>
        <v>4360</v>
      </c>
      <c r="Z61" s="407">
        <f>S61*Q61*V61</f>
        <v>4360000</v>
      </c>
      <c r="AA61" s="262">
        <f t="shared" si="1"/>
        <v>0</v>
      </c>
      <c r="AB61" s="505"/>
      <c r="AC61" s="1143"/>
      <c r="AD61" s="275"/>
    </row>
    <row r="62" spans="1:30" s="1938" customFormat="1" ht="21" customHeight="1">
      <c r="A62" s="1934"/>
      <c r="B62" s="1145"/>
      <c r="C62" s="1126"/>
      <c r="D62" s="1145"/>
      <c r="E62" s="465"/>
      <c r="F62" s="741"/>
      <c r="G62" s="2113"/>
      <c r="H62" s="391"/>
      <c r="I62" s="473"/>
      <c r="J62" s="2103" t="s">
        <v>1259</v>
      </c>
      <c r="K62" s="2105"/>
      <c r="L62" s="2105"/>
      <c r="M62" s="2105"/>
      <c r="N62" s="2104"/>
      <c r="O62" s="2105"/>
      <c r="P62" s="2105"/>
      <c r="Q62" s="1673"/>
      <c r="R62" s="1671"/>
      <c r="S62" s="1672">
        <v>5000000</v>
      </c>
      <c r="T62" s="1671" t="s">
        <v>1163</v>
      </c>
      <c r="U62" s="1671"/>
      <c r="V62" s="1671">
        <v>1</v>
      </c>
      <c r="W62" s="1671" t="s">
        <v>1260</v>
      </c>
      <c r="X62" s="397" t="s">
        <v>1173</v>
      </c>
      <c r="Y62" s="406">
        <f>+Z62/1000</f>
        <v>5000</v>
      </c>
      <c r="Z62" s="407">
        <f>+S62*V62</f>
        <v>5000000</v>
      </c>
      <c r="AA62" s="262">
        <f t="shared" si="1"/>
        <v>0</v>
      </c>
      <c r="AB62" s="505"/>
      <c r="AC62" s="1143"/>
      <c r="AD62" s="275"/>
    </row>
    <row r="63" spans="1:30" ht="21" customHeight="1">
      <c r="A63" s="1934"/>
      <c r="B63" s="1145"/>
      <c r="C63" s="1126"/>
      <c r="D63" s="1145"/>
      <c r="E63" s="465"/>
      <c r="F63" s="2113"/>
      <c r="G63" s="2113"/>
      <c r="H63" s="391"/>
      <c r="I63" s="473"/>
      <c r="J63" s="2103" t="s">
        <v>1261</v>
      </c>
      <c r="K63" s="2105"/>
      <c r="L63" s="2105"/>
      <c r="M63" s="2105"/>
      <c r="N63" s="2104"/>
      <c r="O63" s="2105"/>
      <c r="P63" s="2105"/>
      <c r="Q63" s="804"/>
      <c r="R63" s="1671"/>
      <c r="S63" s="1672">
        <v>200000</v>
      </c>
      <c r="T63" s="1671" t="s">
        <v>1163</v>
      </c>
      <c r="U63" s="1671"/>
      <c r="V63" s="1671">
        <v>28</v>
      </c>
      <c r="W63" s="1671" t="s">
        <v>1258</v>
      </c>
      <c r="X63" s="397" t="s">
        <v>1255</v>
      </c>
      <c r="Y63" s="406">
        <f>+Z63/1000</f>
        <v>5600</v>
      </c>
      <c r="Z63" s="407">
        <f>V63*S63</f>
        <v>5600000</v>
      </c>
      <c r="AA63" s="262">
        <f t="shared" si="1"/>
        <v>0</v>
      </c>
      <c r="AB63" s="505"/>
    </row>
    <row r="64" spans="1:30" ht="21" customHeight="1">
      <c r="A64" s="1934"/>
      <c r="B64" s="1145"/>
      <c r="C64" s="1126"/>
      <c r="D64" s="1145"/>
      <c r="E64" s="465" t="s">
        <v>1262</v>
      </c>
      <c r="F64" s="741">
        <f>SUM(Y64)</f>
        <v>787019</v>
      </c>
      <c r="G64" s="2113">
        <v>787019</v>
      </c>
      <c r="H64" s="482"/>
      <c r="I64" s="473"/>
      <c r="J64" s="1009" t="s">
        <v>1165</v>
      </c>
      <c r="K64" s="2105"/>
      <c r="L64" s="2105"/>
      <c r="M64" s="2105"/>
      <c r="N64" s="2104"/>
      <c r="O64" s="2104"/>
      <c r="P64" s="2105"/>
      <c r="Q64" s="804"/>
      <c r="R64" s="1671"/>
      <c r="S64" s="1671"/>
      <c r="T64" s="1671"/>
      <c r="U64" s="1671"/>
      <c r="V64" s="1671"/>
      <c r="W64" s="1671"/>
      <c r="X64" s="397"/>
      <c r="Y64" s="406">
        <f>SUM(Y65:Y67)</f>
        <v>787019</v>
      </c>
      <c r="Z64" s="407">
        <f>SUM(Z65:Z67)</f>
        <v>787019000</v>
      </c>
      <c r="AA64" s="262">
        <f t="shared" si="1"/>
        <v>787019000000</v>
      </c>
      <c r="AB64" s="505"/>
    </row>
    <row r="65" spans="1:30" ht="21" customHeight="1">
      <c r="A65" s="1934"/>
      <c r="B65" s="1145"/>
      <c r="C65" s="1126"/>
      <c r="D65" s="1145"/>
      <c r="E65" s="465"/>
      <c r="F65" s="2113"/>
      <c r="G65" s="2113"/>
      <c r="H65" s="391"/>
      <c r="J65" s="2117" t="s">
        <v>1263</v>
      </c>
      <c r="K65" s="2118"/>
      <c r="L65" s="2118"/>
      <c r="M65" s="2118"/>
      <c r="N65" s="2119"/>
      <c r="O65" s="2118"/>
      <c r="P65" s="2118"/>
      <c r="Q65" s="1773"/>
      <c r="R65" s="1667"/>
      <c r="S65" s="1666">
        <v>736857000</v>
      </c>
      <c r="T65" s="1667" t="s">
        <v>1163</v>
      </c>
      <c r="U65" s="1667"/>
      <c r="V65" s="1667">
        <v>1</v>
      </c>
      <c r="W65" s="1667" t="s">
        <v>1264</v>
      </c>
      <c r="X65" s="1665" t="s">
        <v>1173</v>
      </c>
      <c r="Y65" s="325">
        <f>+Z65/1000</f>
        <v>736857</v>
      </c>
      <c r="Z65" s="407">
        <f>S65*V65</f>
        <v>736857000</v>
      </c>
      <c r="AA65" s="262">
        <f t="shared" si="1"/>
        <v>0</v>
      </c>
      <c r="AB65" s="505"/>
    </row>
    <row r="66" spans="1:30" ht="21" customHeight="1">
      <c r="A66" s="1934"/>
      <c r="B66" s="1145"/>
      <c r="C66" s="1126"/>
      <c r="D66" s="1145"/>
      <c r="E66" s="465"/>
      <c r="F66" s="2113"/>
      <c r="G66" s="2113"/>
      <c r="H66" s="391"/>
      <c r="J66" s="2103" t="s">
        <v>1265</v>
      </c>
      <c r="K66" s="2105"/>
      <c r="L66" s="2105"/>
      <c r="M66" s="2105"/>
      <c r="N66" s="2105"/>
      <c r="O66" s="2105"/>
      <c r="P66" s="2105"/>
      <c r="Q66" s="804"/>
      <c r="R66" s="1671"/>
      <c r="S66" s="1672">
        <v>3346833.3333333302</v>
      </c>
      <c r="T66" s="1671" t="s">
        <v>1163</v>
      </c>
      <c r="U66" s="1671"/>
      <c r="V66" s="1671">
        <v>12</v>
      </c>
      <c r="W66" s="1671" t="s">
        <v>1168</v>
      </c>
      <c r="X66" s="397" t="s">
        <v>1173</v>
      </c>
      <c r="Y66" s="406">
        <f>+Z66/1000</f>
        <v>40161.999999999964</v>
      </c>
      <c r="Z66" s="407">
        <f>S66*V66</f>
        <v>40161999.999999963</v>
      </c>
      <c r="AA66" s="262">
        <f t="shared" si="1"/>
        <v>0</v>
      </c>
      <c r="AB66" s="505"/>
    </row>
    <row r="67" spans="1:30" ht="21" customHeight="1">
      <c r="A67" s="1934"/>
      <c r="B67" s="1145"/>
      <c r="C67" s="1126"/>
      <c r="D67" s="1145"/>
      <c r="E67" s="465"/>
      <c r="F67" s="2113"/>
      <c r="G67" s="2113"/>
      <c r="H67" s="391"/>
      <c r="J67" s="2103" t="s">
        <v>1266</v>
      </c>
      <c r="K67" s="2105"/>
      <c r="L67" s="2105"/>
      <c r="M67" s="2105"/>
      <c r="N67" s="2105"/>
      <c r="O67" s="2105"/>
      <c r="P67" s="2105"/>
      <c r="Q67" s="804"/>
      <c r="R67" s="1671"/>
      <c r="S67" s="1672">
        <v>2500000</v>
      </c>
      <c r="T67" s="1671" t="s">
        <v>1163</v>
      </c>
      <c r="U67" s="1671"/>
      <c r="V67" s="1671">
        <v>4</v>
      </c>
      <c r="W67" s="1671" t="s">
        <v>1166</v>
      </c>
      <c r="X67" s="397" t="s">
        <v>1173</v>
      </c>
      <c r="Y67" s="406">
        <f>+Z67/1000</f>
        <v>10000</v>
      </c>
      <c r="Z67" s="407">
        <f>S67*V67</f>
        <v>10000000</v>
      </c>
      <c r="AA67" s="262">
        <f t="shared" si="1"/>
        <v>0</v>
      </c>
      <c r="AB67" s="505"/>
    </row>
    <row r="68" spans="1:30" ht="21" customHeight="1">
      <c r="A68" s="1934"/>
      <c r="B68" s="1145"/>
      <c r="C68" s="1126"/>
      <c r="D68" s="1145"/>
      <c r="E68" s="465" t="s">
        <v>1267</v>
      </c>
      <c r="F68" s="741">
        <f>SUM(Y68)</f>
        <v>20280</v>
      </c>
      <c r="G68" s="2113">
        <v>20280</v>
      </c>
      <c r="H68" s="482"/>
      <c r="J68" s="1009" t="s">
        <v>1165</v>
      </c>
      <c r="K68" s="2105"/>
      <c r="L68" s="2105"/>
      <c r="M68" s="2105"/>
      <c r="N68" s="2104"/>
      <c r="O68" s="2104"/>
      <c r="P68" s="2105"/>
      <c r="Q68" s="804"/>
      <c r="R68" s="1671"/>
      <c r="S68" s="1672"/>
      <c r="T68" s="1671"/>
      <c r="U68" s="1671"/>
      <c r="V68" s="1671"/>
      <c r="W68" s="1671"/>
      <c r="X68" s="397"/>
      <c r="Y68" s="406">
        <f>SUM(Y69:Y70)</f>
        <v>20280</v>
      </c>
      <c r="Z68" s="407">
        <f>SUM(Z69:Z70)</f>
        <v>20280000</v>
      </c>
      <c r="AA68" s="262">
        <f t="shared" si="1"/>
        <v>20280000000</v>
      </c>
      <c r="AB68" s="505"/>
    </row>
    <row r="69" spans="1:30" ht="21" customHeight="1">
      <c r="A69" s="1934"/>
      <c r="B69" s="1145"/>
      <c r="C69" s="1126"/>
      <c r="D69" s="1145"/>
      <c r="E69" s="465"/>
      <c r="F69" s="741"/>
      <c r="G69" s="2113"/>
      <c r="H69" s="482"/>
      <c r="I69" s="2357"/>
      <c r="J69" s="2103" t="s">
        <v>1268</v>
      </c>
      <c r="K69" s="2105"/>
      <c r="L69" s="2105"/>
      <c r="M69" s="2105"/>
      <c r="N69" s="2104"/>
      <c r="O69" s="2104"/>
      <c r="P69" s="2105"/>
      <c r="Q69" s="804" t="s">
        <v>1269</v>
      </c>
      <c r="R69" s="1671" t="s">
        <v>1184</v>
      </c>
      <c r="S69" s="1672">
        <v>850000</v>
      </c>
      <c r="T69" s="1671" t="s">
        <v>1163</v>
      </c>
      <c r="U69" s="1671"/>
      <c r="V69" s="1671">
        <v>12</v>
      </c>
      <c r="W69" s="1671" t="s">
        <v>1168</v>
      </c>
      <c r="X69" s="1671" t="s">
        <v>1173</v>
      </c>
      <c r="Y69" s="874">
        <f>SUM(Z69/1000)</f>
        <v>10200</v>
      </c>
      <c r="Z69" s="355">
        <f>SUM(Q69*S69*V69)</f>
        <v>10200000</v>
      </c>
      <c r="AA69" s="2774">
        <f t="shared" si="1"/>
        <v>0</v>
      </c>
      <c r="AB69" s="505"/>
    </row>
    <row r="70" spans="1:30" ht="21" customHeight="1">
      <c r="A70" s="1934"/>
      <c r="B70" s="1145"/>
      <c r="C70" s="1126"/>
      <c r="D70" s="1145"/>
      <c r="E70" s="465"/>
      <c r="F70" s="741"/>
      <c r="G70" s="2113"/>
      <c r="H70" s="482"/>
      <c r="I70" s="2357"/>
      <c r="J70" s="2103" t="s">
        <v>1270</v>
      </c>
      <c r="K70" s="2105"/>
      <c r="L70" s="2105"/>
      <c r="M70" s="2105"/>
      <c r="N70" s="2104"/>
      <c r="O70" s="2104"/>
      <c r="P70" s="2105"/>
      <c r="Q70" s="804" t="s">
        <v>1271</v>
      </c>
      <c r="R70" s="1671" t="s">
        <v>1184</v>
      </c>
      <c r="S70" s="1672">
        <v>210000</v>
      </c>
      <c r="T70" s="1671" t="s">
        <v>1163</v>
      </c>
      <c r="U70" s="1671"/>
      <c r="V70" s="1671">
        <v>12</v>
      </c>
      <c r="W70" s="1671" t="s">
        <v>1168</v>
      </c>
      <c r="X70" s="1671" t="s">
        <v>1173</v>
      </c>
      <c r="Y70" s="874">
        <f>SUM(Z70/1000)</f>
        <v>10080</v>
      </c>
      <c r="Z70" s="355">
        <f>SUM(Q70*S70*V70)</f>
        <v>10080000</v>
      </c>
      <c r="AA70" s="2774">
        <f t="shared" si="1"/>
        <v>0</v>
      </c>
      <c r="AB70" s="505"/>
    </row>
    <row r="71" spans="1:30" ht="21" customHeight="1">
      <c r="A71" s="1934"/>
      <c r="B71" s="1145"/>
      <c r="C71" s="1126"/>
      <c r="D71" s="1145"/>
      <c r="E71" s="465" t="s">
        <v>1272</v>
      </c>
      <c r="F71" s="741">
        <f>SUM(Y71)</f>
        <v>14400</v>
      </c>
      <c r="G71" s="2113">
        <v>14400</v>
      </c>
      <c r="H71" s="391"/>
      <c r="I71" s="2357"/>
      <c r="J71" s="1009" t="s">
        <v>1165</v>
      </c>
      <c r="K71" s="2105"/>
      <c r="L71" s="2105"/>
      <c r="M71" s="2105"/>
      <c r="N71" s="2104"/>
      <c r="O71" s="2104"/>
      <c r="P71" s="2105"/>
      <c r="Q71" s="804"/>
      <c r="R71" s="1671"/>
      <c r="S71" s="1672"/>
      <c r="T71" s="1671"/>
      <c r="U71" s="1671"/>
      <c r="V71" s="1671"/>
      <c r="W71" s="1671"/>
      <c r="X71" s="1671"/>
      <c r="Y71" s="874">
        <f>SUM(Y72:Y73)</f>
        <v>14400</v>
      </c>
      <c r="Z71" s="355">
        <f>SUM(Z72:Z73)</f>
        <v>14400000</v>
      </c>
      <c r="AA71" s="2774">
        <f t="shared" si="1"/>
        <v>14400000000</v>
      </c>
      <c r="AB71" s="505"/>
    </row>
    <row r="72" spans="1:30" s="1938" customFormat="1" ht="21" customHeight="1">
      <c r="A72" s="1934"/>
      <c r="B72" s="1145"/>
      <c r="C72" s="1126"/>
      <c r="D72" s="1145"/>
      <c r="E72" s="465"/>
      <c r="F72" s="2113"/>
      <c r="G72" s="2113"/>
      <c r="H72" s="391"/>
      <c r="I72" s="2357"/>
      <c r="J72" s="2103" t="s">
        <v>1273</v>
      </c>
      <c r="K72" s="2105"/>
      <c r="L72" s="2105"/>
      <c r="M72" s="2105"/>
      <c r="N72" s="2104"/>
      <c r="O72" s="2104"/>
      <c r="P72" s="2105"/>
      <c r="Q72" s="804" t="s">
        <v>1269</v>
      </c>
      <c r="R72" s="1671" t="s">
        <v>1182</v>
      </c>
      <c r="S72" s="1672">
        <v>600000</v>
      </c>
      <c r="T72" s="1671" t="s">
        <v>1163</v>
      </c>
      <c r="U72" s="1671"/>
      <c r="V72" s="1671">
        <v>12</v>
      </c>
      <c r="W72" s="1671" t="s">
        <v>1168</v>
      </c>
      <c r="X72" s="1671" t="s">
        <v>1173</v>
      </c>
      <c r="Y72" s="874">
        <f>SUM(Z72/1000)</f>
        <v>7200</v>
      </c>
      <c r="Z72" s="355">
        <f>SUM(Q72*S72*V72)</f>
        <v>7200000</v>
      </c>
      <c r="AA72" s="2774">
        <f t="shared" si="1"/>
        <v>0</v>
      </c>
      <c r="AB72" s="505"/>
      <c r="AC72" s="1143"/>
      <c r="AD72" s="275"/>
    </row>
    <row r="73" spans="1:30" s="1938" customFormat="1" ht="21" customHeight="1">
      <c r="A73" s="1934"/>
      <c r="B73" s="1145"/>
      <c r="C73" s="1126"/>
      <c r="D73" s="1145"/>
      <c r="E73" s="465"/>
      <c r="F73" s="2113"/>
      <c r="G73" s="2113"/>
      <c r="H73" s="391"/>
      <c r="I73" s="2357"/>
      <c r="J73" s="2103" t="s">
        <v>1274</v>
      </c>
      <c r="K73" s="2105"/>
      <c r="L73" s="2105"/>
      <c r="M73" s="2105"/>
      <c r="N73" s="2104"/>
      <c r="O73" s="2104"/>
      <c r="P73" s="2105"/>
      <c r="Q73" s="804" t="s">
        <v>1275</v>
      </c>
      <c r="R73" s="1671" t="s">
        <v>1182</v>
      </c>
      <c r="S73" s="1672">
        <v>300000</v>
      </c>
      <c r="T73" s="1671" t="s">
        <v>1163</v>
      </c>
      <c r="U73" s="1671"/>
      <c r="V73" s="1671">
        <v>12</v>
      </c>
      <c r="W73" s="1671" t="s">
        <v>1168</v>
      </c>
      <c r="X73" s="1671" t="s">
        <v>1173</v>
      </c>
      <c r="Y73" s="874">
        <f>SUM(Z73/1000)</f>
        <v>7200</v>
      </c>
      <c r="Z73" s="355">
        <f>ROUNDUP(S73*Q73*V73,-3)</f>
        <v>7200000</v>
      </c>
      <c r="AA73" s="2774">
        <f t="shared" ref="AA73:AA82" si="3">F73*1000000</f>
        <v>0</v>
      </c>
      <c r="AB73" s="505"/>
      <c r="AC73" s="1143"/>
      <c r="AD73" s="275"/>
    </row>
    <row r="74" spans="1:30" s="1170" customFormat="1" ht="21" customHeight="1" thickBot="1">
      <c r="A74" s="1934"/>
      <c r="B74" s="1145"/>
      <c r="C74" s="1126"/>
      <c r="D74" s="1145"/>
      <c r="E74" s="465" t="s">
        <v>1276</v>
      </c>
      <c r="F74" s="741">
        <f>SUM(Y74)</f>
        <v>20460</v>
      </c>
      <c r="G74" s="2113">
        <v>20460</v>
      </c>
      <c r="H74" s="391"/>
      <c r="I74" s="2357"/>
      <c r="J74" s="1009" t="s">
        <v>1165</v>
      </c>
      <c r="K74" s="2105"/>
      <c r="L74" s="2105"/>
      <c r="M74" s="2105"/>
      <c r="N74" s="2104"/>
      <c r="O74" s="2105"/>
      <c r="P74" s="2105"/>
      <c r="Q74" s="804"/>
      <c r="R74" s="1671"/>
      <c r="S74" s="1672"/>
      <c r="T74" s="1671"/>
      <c r="U74" s="1671"/>
      <c r="V74" s="1671"/>
      <c r="W74" s="1671"/>
      <c r="X74" s="1671"/>
      <c r="Y74" s="874">
        <f>SUM(Y75:Y78)</f>
        <v>20460</v>
      </c>
      <c r="Z74" s="355">
        <f>SUM(Z75:Z78)</f>
        <v>20460000</v>
      </c>
      <c r="AA74" s="2774">
        <f t="shared" si="3"/>
        <v>20460000000</v>
      </c>
      <c r="AB74" s="505"/>
      <c r="AC74" s="1143"/>
      <c r="AD74" s="2120"/>
    </row>
    <row r="75" spans="1:30" ht="21" customHeight="1">
      <c r="A75" s="1934"/>
      <c r="B75" s="1145"/>
      <c r="C75" s="1126"/>
      <c r="D75" s="1145"/>
      <c r="E75" s="465"/>
      <c r="F75" s="2113"/>
      <c r="G75" s="2113"/>
      <c r="H75" s="391"/>
      <c r="I75" s="2357"/>
      <c r="J75" s="2103" t="s">
        <v>1277</v>
      </c>
      <c r="K75" s="2105"/>
      <c r="L75" s="2105"/>
      <c r="M75" s="2105"/>
      <c r="N75" s="2104"/>
      <c r="O75" s="2105"/>
      <c r="P75" s="2105"/>
      <c r="Q75" s="804"/>
      <c r="R75" s="1671"/>
      <c r="S75" s="1672">
        <v>1600000</v>
      </c>
      <c r="T75" s="1671" t="s">
        <v>1163</v>
      </c>
      <c r="U75" s="1671"/>
      <c r="V75" s="1671">
        <v>12</v>
      </c>
      <c r="W75" s="1671" t="s">
        <v>1168</v>
      </c>
      <c r="X75" s="1671" t="s">
        <v>1173</v>
      </c>
      <c r="Y75" s="874">
        <f t="shared" ref="Y75:Y79" si="4">+Z75/1000</f>
        <v>19200</v>
      </c>
      <c r="Z75" s="355">
        <f>S75*V75</f>
        <v>19200000</v>
      </c>
      <c r="AA75" s="2774">
        <f t="shared" si="3"/>
        <v>0</v>
      </c>
      <c r="AB75" s="505"/>
    </row>
    <row r="76" spans="1:30" ht="21" customHeight="1">
      <c r="A76" s="1934"/>
      <c r="B76" s="1145"/>
      <c r="C76" s="1126"/>
      <c r="D76" s="1145"/>
      <c r="E76" s="465"/>
      <c r="F76" s="2113"/>
      <c r="G76" s="2113"/>
      <c r="H76" s="391"/>
      <c r="I76" s="2357"/>
      <c r="J76" s="2103" t="s">
        <v>1278</v>
      </c>
      <c r="K76" s="2105"/>
      <c r="L76" s="2105"/>
      <c r="M76" s="2105"/>
      <c r="N76" s="2104"/>
      <c r="O76" s="2105"/>
      <c r="P76" s="2105"/>
      <c r="Q76" s="804"/>
      <c r="R76" s="1671"/>
      <c r="S76" s="1672">
        <v>50000</v>
      </c>
      <c r="T76" s="1671" t="s">
        <v>1163</v>
      </c>
      <c r="U76" s="1671"/>
      <c r="V76" s="1671">
        <v>12</v>
      </c>
      <c r="W76" s="1671" t="s">
        <v>1168</v>
      </c>
      <c r="X76" s="1671" t="s">
        <v>1173</v>
      </c>
      <c r="Y76" s="874">
        <f t="shared" si="4"/>
        <v>600</v>
      </c>
      <c r="Z76" s="355">
        <f>S76*V76</f>
        <v>600000</v>
      </c>
      <c r="AA76" s="2774">
        <f t="shared" si="3"/>
        <v>0</v>
      </c>
      <c r="AB76" s="505"/>
    </row>
    <row r="77" spans="1:30" ht="21" customHeight="1">
      <c r="A77" s="1934"/>
      <c r="B77" s="1145"/>
      <c r="C77" s="1126"/>
      <c r="D77" s="1145"/>
      <c r="E77" s="465"/>
      <c r="F77" s="2113"/>
      <c r="G77" s="2113"/>
      <c r="H77" s="391"/>
      <c r="I77" s="2357"/>
      <c r="J77" s="2103" t="s">
        <v>1279</v>
      </c>
      <c r="K77" s="2105"/>
      <c r="L77" s="2105"/>
      <c r="M77" s="2105"/>
      <c r="N77" s="2104"/>
      <c r="O77" s="2105"/>
      <c r="P77" s="2105"/>
      <c r="Q77" s="804"/>
      <c r="R77" s="1671"/>
      <c r="S77" s="1672">
        <v>20000</v>
      </c>
      <c r="T77" s="1671" t="s">
        <v>1163</v>
      </c>
      <c r="U77" s="1671"/>
      <c r="V77" s="1671">
        <v>12</v>
      </c>
      <c r="W77" s="1671" t="s">
        <v>1168</v>
      </c>
      <c r="X77" s="1671" t="s">
        <v>1173</v>
      </c>
      <c r="Y77" s="874">
        <f t="shared" si="4"/>
        <v>240</v>
      </c>
      <c r="Z77" s="355">
        <f>S77*V77</f>
        <v>240000</v>
      </c>
      <c r="AA77" s="2774">
        <f t="shared" si="3"/>
        <v>0</v>
      </c>
      <c r="AB77" s="505"/>
    </row>
    <row r="78" spans="1:30" ht="21" customHeight="1">
      <c r="A78" s="1934"/>
      <c r="B78" s="1145"/>
      <c r="C78" s="1126"/>
      <c r="D78" s="1145"/>
      <c r="E78" s="465"/>
      <c r="F78" s="2113"/>
      <c r="G78" s="2113"/>
      <c r="H78" s="391"/>
      <c r="J78" s="2103" t="s">
        <v>1280</v>
      </c>
      <c r="K78" s="2105"/>
      <c r="L78" s="2105" t="s">
        <v>866</v>
      </c>
      <c r="M78" s="2105"/>
      <c r="N78" s="2104"/>
      <c r="O78" s="2105"/>
      <c r="P78" s="2105"/>
      <c r="Q78" s="804" t="s">
        <v>1245</v>
      </c>
      <c r="R78" s="1671" t="s">
        <v>1189</v>
      </c>
      <c r="S78" s="1672">
        <v>35000</v>
      </c>
      <c r="T78" s="1671" t="s">
        <v>831</v>
      </c>
      <c r="U78" s="1671"/>
      <c r="V78" s="1671">
        <v>12</v>
      </c>
      <c r="W78" s="1671" t="s">
        <v>844</v>
      </c>
      <c r="X78" s="1671" t="s">
        <v>833</v>
      </c>
      <c r="Y78" s="874">
        <f t="shared" si="4"/>
        <v>420</v>
      </c>
      <c r="Z78" s="355">
        <f>SUM(Q78*S78*V78)</f>
        <v>420000</v>
      </c>
      <c r="AA78" s="262">
        <f t="shared" si="3"/>
        <v>0</v>
      </c>
      <c r="AB78" s="505"/>
    </row>
    <row r="79" spans="1:30" ht="21" customHeight="1">
      <c r="A79" s="1934"/>
      <c r="B79" s="1145"/>
      <c r="C79" s="1126"/>
      <c r="D79" s="1145"/>
      <c r="E79" s="819" t="s">
        <v>1281</v>
      </c>
      <c r="F79" s="741">
        <f>SUM(Y79)</f>
        <v>1900</v>
      </c>
      <c r="G79" s="2123">
        <v>1900</v>
      </c>
      <c r="H79" s="425"/>
      <c r="J79" s="2124" t="s">
        <v>1282</v>
      </c>
      <c r="K79" s="2106"/>
      <c r="L79" s="2106"/>
      <c r="M79" s="2106"/>
      <c r="N79" s="2107"/>
      <c r="O79" s="2106"/>
      <c r="P79" s="2106"/>
      <c r="Q79" s="824" t="s">
        <v>2898</v>
      </c>
      <c r="R79" s="371" t="s">
        <v>877</v>
      </c>
      <c r="S79" s="458">
        <v>10000</v>
      </c>
      <c r="T79" s="371" t="s">
        <v>831</v>
      </c>
      <c r="U79" s="371"/>
      <c r="V79" s="371">
        <v>10</v>
      </c>
      <c r="W79" s="371" t="s">
        <v>832</v>
      </c>
      <c r="X79" s="371" t="s">
        <v>833</v>
      </c>
      <c r="Y79" s="1910">
        <f t="shared" si="4"/>
        <v>1900</v>
      </c>
      <c r="Z79" s="364">
        <f>SUM(Q79*S79*V79)</f>
        <v>1900000</v>
      </c>
      <c r="AA79" s="262">
        <f t="shared" si="3"/>
        <v>1900000000</v>
      </c>
      <c r="AB79" s="505"/>
    </row>
    <row r="80" spans="1:30" ht="21" customHeight="1">
      <c r="A80" s="1934"/>
      <c r="B80" s="1145"/>
      <c r="C80" s="1126"/>
      <c r="D80" s="3284" t="s">
        <v>1283</v>
      </c>
      <c r="E80" s="3285"/>
      <c r="F80" s="2125">
        <f>F81</f>
        <v>20000</v>
      </c>
      <c r="G80" s="2125">
        <f>G81</f>
        <v>20000</v>
      </c>
      <c r="H80" s="908">
        <f>F80-G80</f>
        <v>0</v>
      </c>
      <c r="I80" s="473"/>
      <c r="J80" s="2126"/>
      <c r="K80" s="2127"/>
      <c r="L80" s="2127"/>
      <c r="M80" s="2127"/>
      <c r="N80" s="2127"/>
      <c r="O80" s="2127"/>
      <c r="P80" s="2127"/>
      <c r="Q80" s="799"/>
      <c r="R80" s="376"/>
      <c r="S80" s="375"/>
      <c r="T80" s="376"/>
      <c r="U80" s="375"/>
      <c r="V80" s="376"/>
      <c r="W80" s="375"/>
      <c r="X80" s="375"/>
      <c r="Y80" s="801"/>
      <c r="Z80" s="503">
        <f>+Z82+Z83</f>
        <v>20000000</v>
      </c>
      <c r="AA80" s="262">
        <f t="shared" si="3"/>
        <v>20000000000</v>
      </c>
      <c r="AB80" s="505"/>
    </row>
    <row r="81" spans="1:30" s="1938" customFormat="1" ht="21" customHeight="1">
      <c r="A81" s="1934"/>
      <c r="B81" s="1145"/>
      <c r="C81" s="1126"/>
      <c r="D81" s="350"/>
      <c r="E81" s="350" t="s">
        <v>1284</v>
      </c>
      <c r="F81" s="2128">
        <f>Y81</f>
        <v>20000</v>
      </c>
      <c r="G81" s="2129">
        <v>20000</v>
      </c>
      <c r="H81" s="908"/>
      <c r="I81" s="473"/>
      <c r="J81" s="2110" t="s">
        <v>835</v>
      </c>
      <c r="K81" s="2111"/>
      <c r="L81" s="2111"/>
      <c r="M81" s="2111"/>
      <c r="N81" s="2111"/>
      <c r="O81" s="2111"/>
      <c r="P81" s="2111"/>
      <c r="Q81" s="1937"/>
      <c r="R81" s="1937"/>
      <c r="S81" s="1937"/>
      <c r="T81" s="1937"/>
      <c r="U81" s="1937"/>
      <c r="V81" s="1937"/>
      <c r="W81" s="1937"/>
      <c r="X81" s="1937"/>
      <c r="Y81" s="1976">
        <f>+Z81/1000</f>
        <v>20000</v>
      </c>
      <c r="Z81" s="1768">
        <f>+Z82+Z83</f>
        <v>20000000</v>
      </c>
      <c r="AA81" s="262">
        <f t="shared" si="3"/>
        <v>20000000000</v>
      </c>
      <c r="AB81" s="505"/>
      <c r="AC81" s="1143"/>
      <c r="AD81" s="275"/>
    </row>
    <row r="82" spans="1:30" s="1938" customFormat="1" ht="21" customHeight="1">
      <c r="A82" s="1934"/>
      <c r="B82" s="1145"/>
      <c r="C82" s="1126"/>
      <c r="D82" s="1126"/>
      <c r="E82" s="1126"/>
      <c r="F82" s="2113"/>
      <c r="G82" s="741"/>
      <c r="H82" s="391"/>
      <c r="I82" s="473"/>
      <c r="J82" s="1009" t="s">
        <v>5915</v>
      </c>
      <c r="K82" s="1010"/>
      <c r="L82" s="1010"/>
      <c r="M82" s="1010"/>
      <c r="N82" s="1706"/>
      <c r="O82" s="1706"/>
      <c r="P82" s="1706"/>
      <c r="Q82" s="650"/>
      <c r="R82" s="1927"/>
      <c r="S82" s="408">
        <v>17000000</v>
      </c>
      <c r="T82" s="1944" t="s">
        <v>831</v>
      </c>
      <c r="U82" s="1944" t="s">
        <v>865</v>
      </c>
      <c r="V82" s="1944">
        <v>1</v>
      </c>
      <c r="W82" s="1944" t="s">
        <v>1285</v>
      </c>
      <c r="X82" s="1671" t="s">
        <v>833</v>
      </c>
      <c r="Y82" s="874">
        <f>+Z82/1000</f>
        <v>17000</v>
      </c>
      <c r="Z82" s="355">
        <f>S82*V82</f>
        <v>17000000</v>
      </c>
      <c r="AA82" s="262">
        <f t="shared" si="3"/>
        <v>0</v>
      </c>
      <c r="AB82" s="505"/>
      <c r="AC82" s="1143"/>
      <c r="AD82" s="275"/>
    </row>
    <row r="83" spans="1:30" s="1938" customFormat="1" ht="21" customHeight="1" thickBot="1">
      <c r="A83" s="1934"/>
      <c r="B83" s="1145"/>
      <c r="C83" s="1133"/>
      <c r="D83" s="1133"/>
      <c r="E83" s="1133"/>
      <c r="F83" s="2130"/>
      <c r="G83" s="2131"/>
      <c r="H83" s="921"/>
      <c r="I83" s="473"/>
      <c r="J83" s="1012" t="s">
        <v>5916</v>
      </c>
      <c r="K83" s="1013"/>
      <c r="L83" s="1013"/>
      <c r="M83" s="1013"/>
      <c r="N83" s="2132"/>
      <c r="O83" s="2132"/>
      <c r="P83" s="2132"/>
      <c r="Q83" s="2003"/>
      <c r="R83" s="564"/>
      <c r="S83" s="865">
        <v>3000000</v>
      </c>
      <c r="T83" s="1162" t="s">
        <v>831</v>
      </c>
      <c r="U83" s="1162" t="s">
        <v>865</v>
      </c>
      <c r="V83" s="1162">
        <v>1</v>
      </c>
      <c r="W83" s="1162" t="s">
        <v>1285</v>
      </c>
      <c r="X83" s="479" t="s">
        <v>833</v>
      </c>
      <c r="Y83" s="2004">
        <f>+Z83/1000</f>
        <v>3000</v>
      </c>
      <c r="Z83" s="2133">
        <f>S83*V83</f>
        <v>3000000</v>
      </c>
      <c r="AA83" s="262"/>
      <c r="AB83" s="505"/>
      <c r="AC83" s="1143"/>
      <c r="AD83" s="275"/>
    </row>
    <row r="84" spans="1:30" s="2139" customFormat="1" ht="24.6" customHeight="1" thickBot="1">
      <c r="A84" s="1629"/>
      <c r="B84" s="1630"/>
      <c r="C84" s="3491" t="s">
        <v>71</v>
      </c>
      <c r="D84" s="3492"/>
      <c r="E84" s="3493"/>
      <c r="F84" s="2134">
        <f>+F85+F120+F140+F198+F261+F273</f>
        <v>1482800</v>
      </c>
      <c r="G84" s="2134">
        <f>+G85+G120+G140+G198+G261+G273</f>
        <v>1437800</v>
      </c>
      <c r="H84" s="2135">
        <f>+F84-G84</f>
        <v>45000</v>
      </c>
      <c r="I84" s="315"/>
      <c r="J84" s="2844"/>
      <c r="K84" s="2845"/>
      <c r="L84" s="2845"/>
      <c r="M84" s="2845"/>
      <c r="N84" s="2845"/>
      <c r="O84" s="2845"/>
      <c r="P84" s="2845"/>
      <c r="Q84" s="1336"/>
      <c r="R84" s="1374"/>
      <c r="S84" s="2846"/>
      <c r="T84" s="1336"/>
      <c r="U84" s="1336"/>
      <c r="V84" s="1374"/>
      <c r="W84" s="1336"/>
      <c r="X84" s="1336"/>
      <c r="Y84" s="1376"/>
      <c r="Z84" s="2136"/>
      <c r="AA84" s="262"/>
      <c r="AB84" s="2137"/>
      <c r="AC84" s="2138"/>
      <c r="AD84" s="2138"/>
    </row>
    <row r="85" spans="1:30" s="357" customFormat="1" ht="24.6" customHeight="1">
      <c r="A85" s="1934"/>
      <c r="B85" s="1145"/>
      <c r="C85" s="3473" t="s">
        <v>1286</v>
      </c>
      <c r="D85" s="3479"/>
      <c r="E85" s="3474"/>
      <c r="F85" s="2125">
        <f>F86+F100</f>
        <v>67000</v>
      </c>
      <c r="G85" s="2125">
        <f>G86+G100</f>
        <v>67000</v>
      </c>
      <c r="H85" s="431">
        <f>F85-G85</f>
        <v>0</v>
      </c>
      <c r="I85" s="473"/>
      <c r="J85" s="1948"/>
      <c r="K85" s="1949"/>
      <c r="L85" s="1949"/>
      <c r="M85" s="1949"/>
      <c r="N85" s="1949"/>
      <c r="O85" s="1949"/>
      <c r="P85" s="1949"/>
      <c r="Q85" s="1938"/>
      <c r="R85" s="1128"/>
      <c r="S85" s="1944"/>
      <c r="T85" s="1938"/>
      <c r="U85" s="1938"/>
      <c r="V85" s="1128"/>
      <c r="W85" s="1938"/>
      <c r="X85" s="1938"/>
      <c r="Y85" s="494"/>
      <c r="Z85" s="2140"/>
      <c r="AA85" s="262"/>
      <c r="AB85" s="505"/>
      <c r="AC85" s="358"/>
      <c r="AD85" s="358"/>
    </row>
    <row r="86" spans="1:30" ht="24.6" customHeight="1">
      <c r="A86" s="1645"/>
      <c r="B86" s="1648"/>
      <c r="C86" s="2141"/>
      <c r="D86" s="2173" t="s">
        <v>1287</v>
      </c>
      <c r="E86" s="2173"/>
      <c r="F86" s="2125">
        <f>SUM(F87:F99)</f>
        <v>37000</v>
      </c>
      <c r="G86" s="2125">
        <f>SUM(G87:G99)</f>
        <v>37000</v>
      </c>
      <c r="H86" s="431">
        <f>F86-G86</f>
        <v>0</v>
      </c>
      <c r="I86" s="473"/>
      <c r="J86" s="2165"/>
      <c r="K86" s="2166"/>
      <c r="L86" s="2166"/>
      <c r="M86" s="2166"/>
      <c r="N86" s="2166"/>
      <c r="O86" s="2166"/>
      <c r="P86" s="2166"/>
      <c r="Q86" s="1364"/>
      <c r="R86" s="2142"/>
      <c r="S86" s="1365"/>
      <c r="T86" s="1364"/>
      <c r="U86" s="1936"/>
      <c r="V86" s="521"/>
      <c r="W86" s="1364"/>
      <c r="X86" s="1364"/>
      <c r="Y86" s="2143"/>
      <c r="Z86" s="364"/>
      <c r="AA86" s="262"/>
      <c r="AB86" s="505"/>
    </row>
    <row r="87" spans="1:30" ht="24.6" customHeight="1">
      <c r="A87" s="1645"/>
      <c r="B87" s="1648"/>
      <c r="C87" s="471"/>
      <c r="D87" s="350"/>
      <c r="E87" s="1148" t="s">
        <v>1288</v>
      </c>
      <c r="F87" s="741">
        <f>Y87</f>
        <v>2880</v>
      </c>
      <c r="G87" s="741">
        <v>2880</v>
      </c>
      <c r="H87" s="908"/>
      <c r="I87" s="473"/>
      <c r="J87" s="2359" t="s">
        <v>835</v>
      </c>
      <c r="K87" s="2358"/>
      <c r="L87" s="2358"/>
      <c r="M87" s="2358"/>
      <c r="N87" s="2358"/>
      <c r="O87" s="2358"/>
      <c r="P87" s="2358"/>
      <c r="Q87" s="2358"/>
      <c r="R87" s="405"/>
      <c r="S87" s="2360"/>
      <c r="T87" s="2360"/>
      <c r="U87" s="2360"/>
      <c r="V87" s="2360"/>
      <c r="W87" s="2360"/>
      <c r="X87" s="2360" t="s">
        <v>866</v>
      </c>
      <c r="Y87" s="1674">
        <f>SUM(Y88:Y89)</f>
        <v>2880</v>
      </c>
      <c r="Z87" s="407">
        <f>SUM(Z88:Z89)</f>
        <v>2880000</v>
      </c>
      <c r="AA87" s="262"/>
      <c r="AB87" s="505"/>
    </row>
    <row r="88" spans="1:30" ht="24.6" customHeight="1">
      <c r="A88" s="1645"/>
      <c r="B88" s="1648"/>
      <c r="C88" s="471"/>
      <c r="D88" s="1126"/>
      <c r="E88" s="1148"/>
      <c r="F88" s="741"/>
      <c r="G88" s="741"/>
      <c r="H88" s="391"/>
      <c r="I88" s="473"/>
      <c r="J88" s="2359" t="s">
        <v>1289</v>
      </c>
      <c r="K88" s="2358"/>
      <c r="L88" s="2358"/>
      <c r="M88" s="2358"/>
      <c r="N88" s="2358"/>
      <c r="O88" s="2358"/>
      <c r="P88" s="2358"/>
      <c r="Q88" s="1673">
        <v>1</v>
      </c>
      <c r="R88" s="405" t="s">
        <v>840</v>
      </c>
      <c r="S88" s="1672">
        <v>72000</v>
      </c>
      <c r="T88" s="2360" t="s">
        <v>831</v>
      </c>
      <c r="U88" s="2360"/>
      <c r="V88" s="2360">
        <v>35</v>
      </c>
      <c r="W88" s="2360" t="s">
        <v>837</v>
      </c>
      <c r="X88" s="2360" t="s">
        <v>833</v>
      </c>
      <c r="Y88" s="1674">
        <f t="shared" ref="Y88" si="5">+Z88/1000</f>
        <v>2520</v>
      </c>
      <c r="Z88" s="407">
        <f>Q88*S88*V88</f>
        <v>2520000</v>
      </c>
      <c r="AA88" s="262"/>
      <c r="AB88" s="505"/>
    </row>
    <row r="89" spans="1:30" ht="24.6" customHeight="1">
      <c r="A89" s="1645"/>
      <c r="B89" s="1648"/>
      <c r="C89" s="471"/>
      <c r="D89" s="1126"/>
      <c r="E89" s="1148"/>
      <c r="F89" s="741"/>
      <c r="G89" s="741"/>
      <c r="H89" s="391"/>
      <c r="I89" s="473"/>
      <c r="J89" s="2359" t="s">
        <v>1290</v>
      </c>
      <c r="K89" s="2358"/>
      <c r="L89" s="2358"/>
      <c r="M89" s="2358"/>
      <c r="N89" s="2358"/>
      <c r="O89" s="2358"/>
      <c r="P89" s="2358"/>
      <c r="Q89" s="1673">
        <v>1</v>
      </c>
      <c r="R89" s="405" t="s">
        <v>840</v>
      </c>
      <c r="S89" s="2360">
        <v>72000</v>
      </c>
      <c r="T89" s="2360" t="s">
        <v>831</v>
      </c>
      <c r="U89" s="2360"/>
      <c r="V89" s="2360">
        <v>5</v>
      </c>
      <c r="W89" s="2360" t="s">
        <v>856</v>
      </c>
      <c r="X89" s="2360" t="s">
        <v>833</v>
      </c>
      <c r="Y89" s="1674">
        <f>Z89/1000</f>
        <v>360</v>
      </c>
      <c r="Z89" s="407">
        <f>Q89*S89*V89</f>
        <v>360000</v>
      </c>
      <c r="AA89" s="262"/>
      <c r="AB89" s="505"/>
    </row>
    <row r="90" spans="1:30" ht="24.6" customHeight="1">
      <c r="A90" s="1645"/>
      <c r="B90" s="1648"/>
      <c r="C90" s="471"/>
      <c r="D90" s="2144"/>
      <c r="E90" s="1148" t="s">
        <v>927</v>
      </c>
      <c r="F90" s="741">
        <f>Y90</f>
        <v>28000</v>
      </c>
      <c r="G90" s="741">
        <v>28000</v>
      </c>
      <c r="H90" s="391"/>
      <c r="I90" s="473"/>
      <c r="J90" s="2359" t="s">
        <v>835</v>
      </c>
      <c r="K90" s="2358"/>
      <c r="L90" s="2358"/>
      <c r="M90" s="2358"/>
      <c r="N90" s="2358"/>
      <c r="O90" s="2358"/>
      <c r="P90" s="2358"/>
      <c r="Q90" s="2360"/>
      <c r="R90" s="2360"/>
      <c r="S90" s="1671"/>
      <c r="T90" s="1671"/>
      <c r="U90" s="2360"/>
      <c r="V90" s="2360"/>
      <c r="W90" s="2360"/>
      <c r="X90" s="2360"/>
      <c r="Y90" s="1674">
        <f>SUM(Y91:Y92)</f>
        <v>28000</v>
      </c>
      <c r="Z90" s="407">
        <f>SUM(Z91:Z92)</f>
        <v>28000000</v>
      </c>
      <c r="AA90" s="262"/>
      <c r="AB90" s="505"/>
    </row>
    <row r="91" spans="1:30" ht="24.6" customHeight="1">
      <c r="A91" s="1645"/>
      <c r="B91" s="1648"/>
      <c r="C91" s="471"/>
      <c r="D91" s="2144"/>
      <c r="E91" s="1148"/>
      <c r="F91" s="741"/>
      <c r="G91" s="741"/>
      <c r="H91" s="391"/>
      <c r="I91" s="473"/>
      <c r="J91" s="2359" t="s">
        <v>1291</v>
      </c>
      <c r="K91" s="2358"/>
      <c r="L91" s="2358"/>
      <c r="M91" s="2358"/>
      <c r="N91" s="2358"/>
      <c r="O91" s="2358"/>
      <c r="P91" s="2358"/>
      <c r="Q91" s="408">
        <v>500</v>
      </c>
      <c r="R91" s="2360" t="s">
        <v>882</v>
      </c>
      <c r="S91" s="1672">
        <v>16000</v>
      </c>
      <c r="T91" s="2360" t="s">
        <v>831</v>
      </c>
      <c r="U91" s="2360"/>
      <c r="V91" s="2360">
        <v>1</v>
      </c>
      <c r="W91" s="2360" t="s">
        <v>837</v>
      </c>
      <c r="X91" s="2360" t="s">
        <v>833</v>
      </c>
      <c r="Y91" s="1674">
        <f t="shared" ref="Y91:Y92" si="6">+Z91/1000</f>
        <v>8000</v>
      </c>
      <c r="Z91" s="407">
        <f>Q91*S91*V91</f>
        <v>8000000</v>
      </c>
      <c r="AA91" s="262"/>
      <c r="AB91" s="505"/>
    </row>
    <row r="92" spans="1:30" ht="24.6" customHeight="1">
      <c r="A92" s="1645"/>
      <c r="B92" s="1648"/>
      <c r="C92" s="471"/>
      <c r="D92" s="2144"/>
      <c r="E92" s="1148"/>
      <c r="F92" s="741"/>
      <c r="G92" s="741"/>
      <c r="H92" s="391"/>
      <c r="I92" s="473"/>
      <c r="J92" s="2359" t="s">
        <v>1292</v>
      </c>
      <c r="K92" s="2358"/>
      <c r="L92" s="2358"/>
      <c r="M92" s="2358"/>
      <c r="N92" s="2358"/>
      <c r="O92" s="2358"/>
      <c r="P92" s="2358"/>
      <c r="Q92" s="2360">
        <v>1000</v>
      </c>
      <c r="R92" s="2360" t="s">
        <v>882</v>
      </c>
      <c r="S92" s="1672">
        <v>10000</v>
      </c>
      <c r="T92" s="2360" t="s">
        <v>831</v>
      </c>
      <c r="U92" s="2360"/>
      <c r="V92" s="2360">
        <v>2</v>
      </c>
      <c r="W92" s="2360" t="s">
        <v>837</v>
      </c>
      <c r="X92" s="2360" t="s">
        <v>833</v>
      </c>
      <c r="Y92" s="1674">
        <f t="shared" si="6"/>
        <v>20000</v>
      </c>
      <c r="Z92" s="407">
        <f>Q92*S92*V92</f>
        <v>20000000</v>
      </c>
      <c r="AA92" s="262"/>
      <c r="AB92" s="505"/>
    </row>
    <row r="93" spans="1:30" ht="24.6" customHeight="1">
      <c r="A93" s="1645"/>
      <c r="B93" s="1648"/>
      <c r="C93" s="471"/>
      <c r="D93" s="2144"/>
      <c r="E93" s="1148" t="s">
        <v>851</v>
      </c>
      <c r="F93" s="741">
        <f>Y93</f>
        <v>1820</v>
      </c>
      <c r="G93" s="741">
        <v>1820</v>
      </c>
      <c r="H93" s="391"/>
      <c r="I93" s="473"/>
      <c r="J93" s="2359" t="s">
        <v>835</v>
      </c>
      <c r="K93" s="2358"/>
      <c r="L93" s="2358"/>
      <c r="M93" s="2358"/>
      <c r="N93" s="2358"/>
      <c r="O93" s="2358"/>
      <c r="P93" s="2358"/>
      <c r="Q93" s="2360"/>
      <c r="R93" s="2360"/>
      <c r="S93" s="1671"/>
      <c r="T93" s="1671"/>
      <c r="U93" s="2360"/>
      <c r="V93" s="2360"/>
      <c r="W93" s="2360"/>
      <c r="X93" s="2360"/>
      <c r="Y93" s="1674">
        <f>SUM(Y94:Y95)</f>
        <v>1820</v>
      </c>
      <c r="Z93" s="407">
        <f>SUM(Z94:Z95)</f>
        <v>1820000</v>
      </c>
      <c r="AA93" s="262"/>
      <c r="AB93" s="505"/>
    </row>
    <row r="94" spans="1:30" ht="24.6" customHeight="1">
      <c r="A94" s="1645"/>
      <c r="B94" s="1648"/>
      <c r="C94" s="471"/>
      <c r="D94" s="2144"/>
      <c r="E94" s="1148"/>
      <c r="F94" s="741"/>
      <c r="G94" s="741"/>
      <c r="H94" s="391"/>
      <c r="I94" s="473"/>
      <c r="J94" s="2359" t="s">
        <v>1293</v>
      </c>
      <c r="K94" s="2358"/>
      <c r="L94" s="2358"/>
      <c r="M94" s="2358"/>
      <c r="N94" s="2358"/>
      <c r="O94" s="2358"/>
      <c r="P94" s="2358"/>
      <c r="Q94" s="2360"/>
      <c r="R94" s="2360"/>
      <c r="S94" s="1672">
        <v>860000</v>
      </c>
      <c r="T94" s="2360" t="s">
        <v>831</v>
      </c>
      <c r="U94" s="2360"/>
      <c r="V94" s="2360">
        <v>2</v>
      </c>
      <c r="W94" s="2360" t="s">
        <v>837</v>
      </c>
      <c r="X94" s="2360" t="s">
        <v>833</v>
      </c>
      <c r="Y94" s="1674">
        <f t="shared" ref="Y94:Y95" si="7">+Z94/1000</f>
        <v>1720</v>
      </c>
      <c r="Z94" s="407">
        <f>S94*V94</f>
        <v>1720000</v>
      </c>
      <c r="AA94" s="262"/>
      <c r="AB94" s="505"/>
    </row>
    <row r="95" spans="1:30" ht="24.6" customHeight="1">
      <c r="A95" s="1645"/>
      <c r="B95" s="1648"/>
      <c r="C95" s="471"/>
      <c r="D95" s="2144"/>
      <c r="E95" s="1148"/>
      <c r="F95" s="741"/>
      <c r="G95" s="741"/>
      <c r="H95" s="391"/>
      <c r="I95" s="473"/>
      <c r="J95" s="2359" t="s">
        <v>1294</v>
      </c>
      <c r="K95" s="2358"/>
      <c r="L95" s="2358"/>
      <c r="M95" s="2358"/>
      <c r="N95" s="2358"/>
      <c r="O95" s="2358"/>
      <c r="P95" s="2358"/>
      <c r="Q95" s="2360"/>
      <c r="R95" s="2360"/>
      <c r="S95" s="1672">
        <v>100000</v>
      </c>
      <c r="T95" s="2360" t="s">
        <v>831</v>
      </c>
      <c r="U95" s="2360"/>
      <c r="V95" s="2360">
        <v>1</v>
      </c>
      <c r="W95" s="2360" t="s">
        <v>837</v>
      </c>
      <c r="X95" s="2360" t="s">
        <v>833</v>
      </c>
      <c r="Y95" s="1674">
        <f t="shared" si="7"/>
        <v>100</v>
      </c>
      <c r="Z95" s="407">
        <f>S95*V95</f>
        <v>100000</v>
      </c>
      <c r="AA95" s="262"/>
      <c r="AB95" s="505"/>
    </row>
    <row r="96" spans="1:30" ht="24.6" customHeight="1">
      <c r="A96" s="1645"/>
      <c r="B96" s="1648"/>
      <c r="C96" s="471"/>
      <c r="D96" s="2144"/>
      <c r="E96" s="1148" t="s">
        <v>1295</v>
      </c>
      <c r="F96" s="741">
        <f t="shared" ref="F96:F99" si="8">Y96</f>
        <v>4000</v>
      </c>
      <c r="G96" s="741">
        <v>4000</v>
      </c>
      <c r="H96" s="391"/>
      <c r="I96" s="473"/>
      <c r="J96" s="2359" t="s">
        <v>835</v>
      </c>
      <c r="K96" s="2358"/>
      <c r="L96" s="2358"/>
      <c r="M96" s="2358"/>
      <c r="N96" s="2358"/>
      <c r="O96" s="2358"/>
      <c r="P96" s="2358"/>
      <c r="Q96" s="2360"/>
      <c r="R96" s="2360"/>
      <c r="S96" s="1671"/>
      <c r="T96" s="1671"/>
      <c r="U96" s="2360"/>
      <c r="V96" s="2360"/>
      <c r="W96" s="2360"/>
      <c r="X96" s="2360"/>
      <c r="Y96" s="1674">
        <f>SUM(Y97:Y98)</f>
        <v>4000</v>
      </c>
      <c r="Z96" s="407">
        <f>SUM(Z97:Z98)</f>
        <v>4000000</v>
      </c>
      <c r="AA96" s="262"/>
      <c r="AB96" s="505"/>
    </row>
    <row r="97" spans="1:28" ht="24.6" customHeight="1">
      <c r="A97" s="1645"/>
      <c r="B97" s="1648"/>
      <c r="C97" s="471"/>
      <c r="D97" s="2144"/>
      <c r="E97" s="1148"/>
      <c r="F97" s="741"/>
      <c r="G97" s="741"/>
      <c r="H97" s="391"/>
      <c r="I97" s="473"/>
      <c r="J97" s="2359" t="s">
        <v>1296</v>
      </c>
      <c r="K97" s="2358"/>
      <c r="L97" s="2358"/>
      <c r="M97" s="2358"/>
      <c r="N97" s="2358"/>
      <c r="O97" s="2358"/>
      <c r="P97" s="2358"/>
      <c r="Q97" s="2360"/>
      <c r="R97" s="2360"/>
      <c r="S97" s="1672">
        <v>100000</v>
      </c>
      <c r="T97" s="2360" t="s">
        <v>831</v>
      </c>
      <c r="U97" s="2360"/>
      <c r="V97" s="2360">
        <v>10</v>
      </c>
      <c r="W97" s="2360" t="s">
        <v>1187</v>
      </c>
      <c r="X97" s="2360" t="s">
        <v>833</v>
      </c>
      <c r="Y97" s="1674">
        <f t="shared" ref="Y97:Y98" si="9">+Z97/1000</f>
        <v>1000</v>
      </c>
      <c r="Z97" s="407">
        <f>S97*V97</f>
        <v>1000000</v>
      </c>
      <c r="AA97" s="262"/>
      <c r="AB97" s="505"/>
    </row>
    <row r="98" spans="1:28" ht="24.6" customHeight="1">
      <c r="A98" s="1645"/>
      <c r="B98" s="1648"/>
      <c r="C98" s="471"/>
      <c r="D98" s="2144"/>
      <c r="E98" s="1148"/>
      <c r="F98" s="741"/>
      <c r="G98" s="741"/>
      <c r="H98" s="391"/>
      <c r="I98" s="473"/>
      <c r="J98" s="2359" t="s">
        <v>1297</v>
      </c>
      <c r="K98" s="2358"/>
      <c r="L98" s="2358"/>
      <c r="M98" s="2358"/>
      <c r="N98" s="2358"/>
      <c r="O98" s="2358"/>
      <c r="P98" s="2358"/>
      <c r="Q98" s="408">
        <v>3</v>
      </c>
      <c r="R98" s="2360" t="s">
        <v>877</v>
      </c>
      <c r="S98" s="1672">
        <v>1000000</v>
      </c>
      <c r="T98" s="2360" t="s">
        <v>831</v>
      </c>
      <c r="U98" s="2360"/>
      <c r="V98" s="2360">
        <v>1</v>
      </c>
      <c r="W98" s="2360" t="s">
        <v>1187</v>
      </c>
      <c r="X98" s="2360" t="s">
        <v>833</v>
      </c>
      <c r="Y98" s="1674">
        <f t="shared" si="9"/>
        <v>3000</v>
      </c>
      <c r="Z98" s="407">
        <f>Q98*S98*V98</f>
        <v>3000000</v>
      </c>
      <c r="AA98" s="262"/>
      <c r="AB98" s="505"/>
    </row>
    <row r="99" spans="1:28" ht="24.6" customHeight="1">
      <c r="A99" s="1645"/>
      <c r="B99" s="1648"/>
      <c r="C99" s="471"/>
      <c r="D99" s="2144"/>
      <c r="E99" s="1134" t="s">
        <v>1281</v>
      </c>
      <c r="F99" s="741">
        <f t="shared" si="8"/>
        <v>300</v>
      </c>
      <c r="G99" s="741">
        <v>300</v>
      </c>
      <c r="H99" s="391"/>
      <c r="I99" s="473"/>
      <c r="J99" s="2359" t="s">
        <v>1298</v>
      </c>
      <c r="K99" s="2358"/>
      <c r="L99" s="2358"/>
      <c r="M99" s="2358"/>
      <c r="N99" s="2358"/>
      <c r="O99" s="2358"/>
      <c r="P99" s="2358"/>
      <c r="Q99" s="804" t="s">
        <v>1242</v>
      </c>
      <c r="R99" s="1671" t="s">
        <v>877</v>
      </c>
      <c r="S99" s="1672">
        <v>10000</v>
      </c>
      <c r="T99" s="2360" t="s">
        <v>831</v>
      </c>
      <c r="U99" s="2360"/>
      <c r="V99" s="2360">
        <v>6</v>
      </c>
      <c r="W99" s="2360" t="s">
        <v>832</v>
      </c>
      <c r="X99" s="2348" t="s">
        <v>833</v>
      </c>
      <c r="Y99" s="406">
        <f t="shared" ref="Y99" si="10">Z99/1000</f>
        <v>300</v>
      </c>
      <c r="Z99" s="407">
        <f>Q99*S99*V99</f>
        <v>300000</v>
      </c>
      <c r="AA99" s="262"/>
      <c r="AB99" s="505"/>
    </row>
    <row r="100" spans="1:28" ht="24.6" customHeight="1">
      <c r="A100" s="1645"/>
      <c r="B100" s="1648"/>
      <c r="C100" s="471"/>
      <c r="D100" s="3494" t="s">
        <v>2857</v>
      </c>
      <c r="E100" s="3495"/>
      <c r="F100" s="2125">
        <f>SUM(F101:F119)</f>
        <v>30000</v>
      </c>
      <c r="G100" s="2125">
        <f>SUM(G101:G119)</f>
        <v>30000</v>
      </c>
      <c r="H100" s="386">
        <f>F100-G100</f>
        <v>0</v>
      </c>
      <c r="I100" s="473"/>
      <c r="J100" s="1135"/>
      <c r="K100" s="2346"/>
      <c r="L100" s="2346"/>
      <c r="M100" s="2346"/>
      <c r="N100" s="2346"/>
      <c r="O100" s="2346"/>
      <c r="P100" s="2346"/>
      <c r="Q100" s="1983"/>
      <c r="R100" s="462"/>
      <c r="S100" s="399"/>
      <c r="T100" s="1136"/>
      <c r="U100" s="1136"/>
      <c r="V100" s="1136"/>
      <c r="W100" s="1136"/>
      <c r="X100" s="1137"/>
      <c r="Y100" s="431"/>
      <c r="Z100" s="463"/>
      <c r="AA100" s="262"/>
      <c r="AB100" s="505"/>
    </row>
    <row r="101" spans="1:28" ht="24.6" customHeight="1">
      <c r="A101" s="1645"/>
      <c r="B101" s="1648"/>
      <c r="C101" s="471"/>
      <c r="D101" s="2424"/>
      <c r="E101" s="2373" t="s">
        <v>59</v>
      </c>
      <c r="F101" s="741">
        <f>Y101</f>
        <v>480</v>
      </c>
      <c r="G101" s="741">
        <v>480</v>
      </c>
      <c r="H101" s="391"/>
      <c r="I101" s="473"/>
      <c r="J101" s="2899" t="s">
        <v>4847</v>
      </c>
      <c r="K101" s="2425"/>
      <c r="L101" s="2425"/>
      <c r="M101" s="2425"/>
      <c r="N101" s="2425"/>
      <c r="O101" s="2425"/>
      <c r="P101" s="2425"/>
      <c r="Q101" s="516">
        <v>3</v>
      </c>
      <c r="R101" s="516" t="s">
        <v>220</v>
      </c>
      <c r="S101" s="2426">
        <v>80000</v>
      </c>
      <c r="T101" s="516" t="s">
        <v>264</v>
      </c>
      <c r="U101" s="516"/>
      <c r="V101" s="2427">
        <v>2</v>
      </c>
      <c r="W101" s="2427" t="s">
        <v>265</v>
      </c>
      <c r="X101" s="2900" t="s">
        <v>266</v>
      </c>
      <c r="Y101" s="636">
        <f t="shared" ref="Y101:Y105" si="11">+Z101/1000</f>
        <v>480</v>
      </c>
      <c r="Z101" s="532">
        <f>Q101*S101*V101</f>
        <v>480000</v>
      </c>
      <c r="AA101" s="262"/>
      <c r="AB101" s="505"/>
    </row>
    <row r="102" spans="1:28" ht="24.6" customHeight="1">
      <c r="A102" s="1645"/>
      <c r="B102" s="1648"/>
      <c r="C102" s="471"/>
      <c r="D102" s="2424"/>
      <c r="E102" s="2373" t="s">
        <v>1164</v>
      </c>
      <c r="F102" s="741">
        <f>Y102</f>
        <v>7000</v>
      </c>
      <c r="G102" s="741">
        <v>7000</v>
      </c>
      <c r="H102" s="391"/>
      <c r="I102" s="473"/>
      <c r="J102" s="2899" t="s">
        <v>1392</v>
      </c>
      <c r="K102" s="2425"/>
      <c r="L102" s="2425"/>
      <c r="M102" s="2425"/>
      <c r="N102" s="2425"/>
      <c r="O102" s="2425"/>
      <c r="P102" s="2425"/>
      <c r="Q102" s="516"/>
      <c r="R102" s="516"/>
      <c r="S102" s="2426">
        <v>7000000</v>
      </c>
      <c r="T102" s="516" t="s">
        <v>264</v>
      </c>
      <c r="U102" s="516"/>
      <c r="V102" s="2427">
        <v>1</v>
      </c>
      <c r="W102" s="2427" t="s">
        <v>265</v>
      </c>
      <c r="X102" s="2900" t="s">
        <v>266</v>
      </c>
      <c r="Y102" s="636">
        <f t="shared" si="11"/>
        <v>7000</v>
      </c>
      <c r="Z102" s="532">
        <f>S102*V102</f>
        <v>7000000</v>
      </c>
      <c r="AA102" s="262"/>
      <c r="AB102" s="505"/>
    </row>
    <row r="103" spans="1:28" ht="24.6" customHeight="1">
      <c r="A103" s="1645"/>
      <c r="B103" s="1648"/>
      <c r="C103" s="471"/>
      <c r="D103" s="2424"/>
      <c r="E103" s="2373" t="s">
        <v>73</v>
      </c>
      <c r="F103" s="741">
        <f>Y103</f>
        <v>1000</v>
      </c>
      <c r="G103" s="741">
        <v>1000</v>
      </c>
      <c r="H103" s="391"/>
      <c r="I103" s="473"/>
      <c r="J103" s="2899" t="s">
        <v>194</v>
      </c>
      <c r="K103" s="2425"/>
      <c r="L103" s="2425"/>
      <c r="M103" s="2425"/>
      <c r="N103" s="2425"/>
      <c r="O103" s="2425"/>
      <c r="P103" s="2425"/>
      <c r="Q103" s="516"/>
      <c r="R103" s="516"/>
      <c r="S103" s="2426"/>
      <c r="T103" s="516"/>
      <c r="U103" s="516"/>
      <c r="V103" s="2427"/>
      <c r="W103" s="2427"/>
      <c r="X103" s="516"/>
      <c r="Y103" s="636">
        <f t="shared" si="11"/>
        <v>1000</v>
      </c>
      <c r="Z103" s="532">
        <f>SUM(Z104:Z105)</f>
        <v>1000000</v>
      </c>
      <c r="AA103" s="262"/>
      <c r="AB103" s="505"/>
    </row>
    <row r="104" spans="1:28" ht="24.6" customHeight="1">
      <c r="A104" s="1645"/>
      <c r="B104" s="1648"/>
      <c r="C104" s="471"/>
      <c r="D104" s="2424"/>
      <c r="E104" s="2373"/>
      <c r="F104" s="741"/>
      <c r="G104" s="741"/>
      <c r="H104" s="391"/>
      <c r="I104" s="473"/>
      <c r="J104" s="2939" t="s">
        <v>5888</v>
      </c>
      <c r="K104" s="2899"/>
      <c r="L104" s="2899"/>
      <c r="M104" s="2425"/>
      <c r="N104" s="2425"/>
      <c r="O104" s="2425"/>
      <c r="P104" s="2425"/>
      <c r="Q104" s="516"/>
      <c r="R104" s="516"/>
      <c r="S104" s="2426">
        <v>700000</v>
      </c>
      <c r="T104" s="516"/>
      <c r="U104" s="516"/>
      <c r="V104" s="2427">
        <v>1</v>
      </c>
      <c r="W104" s="2427" t="s">
        <v>196</v>
      </c>
      <c r="X104" s="2900" t="s">
        <v>266</v>
      </c>
      <c r="Y104" s="636">
        <f t="shared" si="11"/>
        <v>700</v>
      </c>
      <c r="Z104" s="532">
        <f>S104*V104</f>
        <v>700000</v>
      </c>
      <c r="AA104" s="262"/>
      <c r="AB104" s="505"/>
    </row>
    <row r="105" spans="1:28" ht="24.6" customHeight="1">
      <c r="A105" s="1645"/>
      <c r="B105" s="1648"/>
      <c r="C105" s="471"/>
      <c r="D105" s="2424"/>
      <c r="E105" s="2373"/>
      <c r="F105" s="741"/>
      <c r="G105" s="741"/>
      <c r="H105" s="391"/>
      <c r="I105" s="473"/>
      <c r="J105" s="2939" t="s">
        <v>5889</v>
      </c>
      <c r="K105" s="2425"/>
      <c r="L105" s="2425"/>
      <c r="M105" s="2425"/>
      <c r="N105" s="2425"/>
      <c r="O105" s="2425"/>
      <c r="P105" s="2425"/>
      <c r="Q105" s="516"/>
      <c r="R105" s="516"/>
      <c r="S105" s="2426">
        <v>300000</v>
      </c>
      <c r="T105" s="516"/>
      <c r="U105" s="516"/>
      <c r="V105" s="2427">
        <v>1</v>
      </c>
      <c r="W105" s="2427" t="s">
        <v>265</v>
      </c>
      <c r="X105" s="2900" t="s">
        <v>266</v>
      </c>
      <c r="Y105" s="636">
        <f t="shared" si="11"/>
        <v>300</v>
      </c>
      <c r="Z105" s="532">
        <f>S105*V105</f>
        <v>300000</v>
      </c>
      <c r="AA105" s="262"/>
      <c r="AB105" s="505"/>
    </row>
    <row r="106" spans="1:28" ht="24.6" customHeight="1">
      <c r="A106" s="1645"/>
      <c r="B106" s="1648"/>
      <c r="C106" s="471"/>
      <c r="D106" s="2424"/>
      <c r="E106" s="2373" t="s">
        <v>84</v>
      </c>
      <c r="F106" s="741">
        <f>Y106</f>
        <v>2000</v>
      </c>
      <c r="G106" s="741">
        <v>2000</v>
      </c>
      <c r="H106" s="391"/>
      <c r="I106" s="473"/>
      <c r="J106" s="2899" t="s">
        <v>194</v>
      </c>
      <c r="K106" s="2425"/>
      <c r="L106" s="2425"/>
      <c r="M106" s="2425"/>
      <c r="N106" s="2425"/>
      <c r="O106" s="2425"/>
      <c r="P106" s="2425"/>
      <c r="Q106" s="516"/>
      <c r="R106" s="516"/>
      <c r="S106" s="2426"/>
      <c r="T106" s="516"/>
      <c r="U106" s="516"/>
      <c r="V106" s="2427"/>
      <c r="W106" s="2427"/>
      <c r="X106" s="516"/>
      <c r="Y106" s="636">
        <f>+Z106/1000</f>
        <v>2000</v>
      </c>
      <c r="Z106" s="532">
        <f>SUM(Z107:Z109)</f>
        <v>2000000</v>
      </c>
      <c r="AA106" s="262"/>
      <c r="AB106" s="505"/>
    </row>
    <row r="107" spans="1:28" ht="24.6" customHeight="1">
      <c r="A107" s="1645"/>
      <c r="B107" s="1648"/>
      <c r="C107" s="471"/>
      <c r="D107" s="2424"/>
      <c r="E107" s="2373"/>
      <c r="F107" s="741"/>
      <c r="G107" s="741"/>
      <c r="H107" s="391"/>
      <c r="I107" s="473"/>
      <c r="J107" s="2939" t="s">
        <v>5885</v>
      </c>
      <c r="K107" s="2425"/>
      <c r="L107" s="2425"/>
      <c r="M107" s="2425"/>
      <c r="N107" s="2425"/>
      <c r="O107" s="2425"/>
      <c r="P107" s="2425"/>
      <c r="Q107" s="516">
        <v>2</v>
      </c>
      <c r="R107" s="516" t="s">
        <v>265</v>
      </c>
      <c r="S107" s="2426">
        <v>50000</v>
      </c>
      <c r="T107" s="516"/>
      <c r="U107" s="516"/>
      <c r="V107" s="2427">
        <v>5</v>
      </c>
      <c r="W107" s="2427" t="s">
        <v>367</v>
      </c>
      <c r="X107" s="2900" t="s">
        <v>266</v>
      </c>
      <c r="Y107" s="636">
        <f>+Z107/1000</f>
        <v>500</v>
      </c>
      <c r="Z107" s="532">
        <f t="shared" ref="Z107:Z108" si="12">Q107*S107*V107</f>
        <v>500000</v>
      </c>
      <c r="AA107" s="262"/>
      <c r="AB107" s="505"/>
    </row>
    <row r="108" spans="1:28" ht="24.6" customHeight="1">
      <c r="A108" s="1645"/>
      <c r="B108" s="1648"/>
      <c r="C108" s="471"/>
      <c r="D108" s="2424"/>
      <c r="E108" s="2373"/>
      <c r="F108" s="741"/>
      <c r="G108" s="741"/>
      <c r="H108" s="391"/>
      <c r="I108" s="473"/>
      <c r="J108" s="2939" t="s">
        <v>5886</v>
      </c>
      <c r="K108" s="2900"/>
      <c r="L108" s="2900"/>
      <c r="M108" s="2900"/>
      <c r="N108" s="2425"/>
      <c r="O108" s="2425"/>
      <c r="P108" s="2425"/>
      <c r="Q108" s="516">
        <v>1</v>
      </c>
      <c r="R108" s="516" t="s">
        <v>265</v>
      </c>
      <c r="S108" s="2426">
        <v>100000</v>
      </c>
      <c r="T108" s="516"/>
      <c r="U108" s="516"/>
      <c r="V108" s="2427">
        <v>10</v>
      </c>
      <c r="W108" s="2427" t="s">
        <v>367</v>
      </c>
      <c r="X108" s="2900" t="s">
        <v>266</v>
      </c>
      <c r="Y108" s="636">
        <f t="shared" ref="Y108:Y109" si="13">+Z108/1000</f>
        <v>1000</v>
      </c>
      <c r="Z108" s="532">
        <f t="shared" si="12"/>
        <v>1000000</v>
      </c>
      <c r="AA108" s="262"/>
      <c r="AB108" s="505"/>
    </row>
    <row r="109" spans="1:28" ht="24.6" customHeight="1">
      <c r="A109" s="1645"/>
      <c r="B109" s="1648"/>
      <c r="C109" s="471"/>
      <c r="D109" s="2424"/>
      <c r="E109" s="2373"/>
      <c r="F109" s="741"/>
      <c r="G109" s="741"/>
      <c r="H109" s="391"/>
      <c r="I109" s="473"/>
      <c r="J109" s="2939" t="s">
        <v>5887</v>
      </c>
      <c r="K109" s="2899"/>
      <c r="L109" s="2899"/>
      <c r="M109" s="2899"/>
      <c r="N109" s="2425"/>
      <c r="O109" s="2425"/>
      <c r="P109" s="2425"/>
      <c r="Q109" s="516">
        <v>4</v>
      </c>
      <c r="R109" s="516" t="s">
        <v>265</v>
      </c>
      <c r="S109" s="2426">
        <v>25000</v>
      </c>
      <c r="T109" s="516"/>
      <c r="U109" s="516"/>
      <c r="V109" s="2427">
        <v>5</v>
      </c>
      <c r="W109" s="2427" t="s">
        <v>367</v>
      </c>
      <c r="X109" s="2900" t="s">
        <v>266</v>
      </c>
      <c r="Y109" s="636">
        <f t="shared" si="13"/>
        <v>500</v>
      </c>
      <c r="Z109" s="532">
        <f>Q109*S109*V109</f>
        <v>500000</v>
      </c>
      <c r="AA109" s="262"/>
      <c r="AB109" s="505"/>
    </row>
    <row r="110" spans="1:28" ht="24.6" customHeight="1">
      <c r="A110" s="1645"/>
      <c r="B110" s="1648"/>
      <c r="C110" s="471"/>
      <c r="D110" s="2424"/>
      <c r="E110" s="2373" t="s">
        <v>269</v>
      </c>
      <c r="F110" s="741">
        <f>Y110</f>
        <v>7500</v>
      </c>
      <c r="G110" s="741">
        <v>7500</v>
      </c>
      <c r="H110" s="391"/>
      <c r="I110" s="473"/>
      <c r="J110" s="2899" t="s">
        <v>194</v>
      </c>
      <c r="K110" s="2425"/>
      <c r="L110" s="2425"/>
      <c r="M110" s="2425"/>
      <c r="N110" s="2425"/>
      <c r="O110" s="2425"/>
      <c r="P110" s="2425"/>
      <c r="Q110" s="516"/>
      <c r="R110" s="516"/>
      <c r="S110" s="675"/>
      <c r="T110" s="516"/>
      <c r="U110" s="516"/>
      <c r="V110" s="516"/>
      <c r="W110" s="516"/>
      <c r="X110" s="516"/>
      <c r="Y110" s="636">
        <f>SUM(Y111:Y113)</f>
        <v>7500</v>
      </c>
      <c r="Z110" s="532">
        <f>SUM(Z111:Z113)</f>
        <v>7500000</v>
      </c>
      <c r="AA110" s="262"/>
      <c r="AB110" s="505"/>
    </row>
    <row r="111" spans="1:28" ht="24.6" customHeight="1">
      <c r="A111" s="1645"/>
      <c r="B111" s="1648"/>
      <c r="C111" s="471"/>
      <c r="D111" s="2424"/>
      <c r="E111" s="2373"/>
      <c r="F111" s="741"/>
      <c r="G111" s="741"/>
      <c r="H111" s="391"/>
      <c r="I111" s="473"/>
      <c r="J111" s="2899" t="s">
        <v>568</v>
      </c>
      <c r="K111" s="2425"/>
      <c r="L111" s="2425"/>
      <c r="M111" s="2425"/>
      <c r="N111" s="2425"/>
      <c r="O111" s="2425"/>
      <c r="P111" s="2425"/>
      <c r="Q111" s="516">
        <v>2</v>
      </c>
      <c r="R111" s="516" t="s">
        <v>202</v>
      </c>
      <c r="S111" s="2426">
        <v>300000</v>
      </c>
      <c r="T111" s="516" t="s">
        <v>264</v>
      </c>
      <c r="U111" s="516"/>
      <c r="V111" s="2427">
        <v>5</v>
      </c>
      <c r="W111" s="2427" t="s">
        <v>367</v>
      </c>
      <c r="X111" s="2900" t="s">
        <v>266</v>
      </c>
      <c r="Y111" s="636">
        <f t="shared" ref="Y111:Y113" si="14">+Z111/1000</f>
        <v>3000</v>
      </c>
      <c r="Z111" s="532">
        <f t="shared" ref="Z111:Z113" si="15">Q111*S111*V111</f>
        <v>3000000</v>
      </c>
      <c r="AA111" s="262"/>
      <c r="AB111" s="505"/>
    </row>
    <row r="112" spans="1:28" ht="24.6" customHeight="1">
      <c r="A112" s="1645"/>
      <c r="B112" s="1648"/>
      <c r="C112" s="471"/>
      <c r="D112" s="2424"/>
      <c r="E112" s="2373"/>
      <c r="F112" s="741"/>
      <c r="G112" s="741"/>
      <c r="H112" s="391"/>
      <c r="I112" s="473"/>
      <c r="J112" s="2899" t="s">
        <v>2859</v>
      </c>
      <c r="K112" s="2425"/>
      <c r="L112" s="2425"/>
      <c r="M112" s="2425"/>
      <c r="N112" s="2425"/>
      <c r="O112" s="2425"/>
      <c r="P112" s="2425"/>
      <c r="Q112" s="516">
        <v>2</v>
      </c>
      <c r="R112" s="516" t="s">
        <v>202</v>
      </c>
      <c r="S112" s="2426">
        <v>150000</v>
      </c>
      <c r="T112" s="516" t="s">
        <v>264</v>
      </c>
      <c r="U112" s="516"/>
      <c r="V112" s="2427">
        <v>5</v>
      </c>
      <c r="W112" s="2427" t="s">
        <v>367</v>
      </c>
      <c r="X112" s="2900" t="s">
        <v>266</v>
      </c>
      <c r="Y112" s="636">
        <f t="shared" si="14"/>
        <v>1500</v>
      </c>
      <c r="Z112" s="532">
        <f t="shared" si="15"/>
        <v>1500000</v>
      </c>
      <c r="AA112" s="262"/>
      <c r="AB112" s="505"/>
    </row>
    <row r="113" spans="1:36" ht="24.6" customHeight="1">
      <c r="A113" s="1645"/>
      <c r="B113" s="1648"/>
      <c r="C113" s="471"/>
      <c r="D113" s="2424"/>
      <c r="E113" s="2373"/>
      <c r="F113" s="741"/>
      <c r="G113" s="741"/>
      <c r="H113" s="391"/>
      <c r="I113" s="473"/>
      <c r="J113" s="2899" t="s">
        <v>2860</v>
      </c>
      <c r="K113" s="2425"/>
      <c r="L113" s="2425"/>
      <c r="M113" s="2425"/>
      <c r="N113" s="2425"/>
      <c r="O113" s="2425"/>
      <c r="P113" s="2425"/>
      <c r="Q113" s="516">
        <v>2</v>
      </c>
      <c r="R113" s="516" t="s">
        <v>202</v>
      </c>
      <c r="S113" s="2426">
        <v>300000</v>
      </c>
      <c r="T113" s="516" t="s">
        <v>264</v>
      </c>
      <c r="U113" s="516"/>
      <c r="V113" s="2427">
        <v>5</v>
      </c>
      <c r="W113" s="2427" t="s">
        <v>367</v>
      </c>
      <c r="X113" s="2900" t="s">
        <v>266</v>
      </c>
      <c r="Y113" s="636">
        <f t="shared" si="14"/>
        <v>3000</v>
      </c>
      <c r="Z113" s="532">
        <f t="shared" si="15"/>
        <v>3000000</v>
      </c>
      <c r="AA113" s="262"/>
      <c r="AB113" s="505"/>
    </row>
    <row r="114" spans="1:36" ht="24.6" customHeight="1">
      <c r="A114" s="1645"/>
      <c r="B114" s="1648"/>
      <c r="C114" s="471"/>
      <c r="D114" s="2424"/>
      <c r="E114" s="2373" t="s">
        <v>287</v>
      </c>
      <c r="F114" s="741">
        <f>Y114</f>
        <v>8000</v>
      </c>
      <c r="G114" s="741">
        <v>8000</v>
      </c>
      <c r="H114" s="391"/>
      <c r="I114" s="473"/>
      <c r="J114" s="2763" t="s">
        <v>4846</v>
      </c>
      <c r="K114" s="2425"/>
      <c r="L114" s="2425"/>
      <c r="M114" s="2425"/>
      <c r="N114" s="2425"/>
      <c r="O114" s="2425"/>
      <c r="P114" s="2425"/>
      <c r="Q114" s="516"/>
      <c r="R114" s="516"/>
      <c r="S114" s="675">
        <v>8000000</v>
      </c>
      <c r="T114" s="516" t="s">
        <v>343</v>
      </c>
      <c r="U114" s="516"/>
      <c r="V114" s="516">
        <v>1</v>
      </c>
      <c r="W114" s="516" t="s">
        <v>2858</v>
      </c>
      <c r="X114" s="2764" t="s">
        <v>465</v>
      </c>
      <c r="Y114" s="636">
        <f t="shared" ref="Y114" si="16">+Z114/1000</f>
        <v>8000</v>
      </c>
      <c r="Z114" s="532">
        <f>S114*V114</f>
        <v>8000000</v>
      </c>
      <c r="AA114" s="262"/>
      <c r="AB114" s="505"/>
    </row>
    <row r="115" spans="1:36" ht="24.6" customHeight="1">
      <c r="A115" s="1645"/>
      <c r="B115" s="1648"/>
      <c r="C115" s="471"/>
      <c r="D115" s="2424"/>
      <c r="E115" s="2373" t="s">
        <v>56</v>
      </c>
      <c r="F115" s="741">
        <f>Y115</f>
        <v>3020</v>
      </c>
      <c r="G115" s="741">
        <v>3020</v>
      </c>
      <c r="H115" s="391"/>
      <c r="I115" s="473"/>
      <c r="J115" s="2359" t="s">
        <v>835</v>
      </c>
      <c r="K115" s="2425"/>
      <c r="L115" s="2425"/>
      <c r="M115" s="2425"/>
      <c r="N115" s="2425"/>
      <c r="O115" s="2425"/>
      <c r="P115" s="2425"/>
      <c r="Q115" s="516"/>
      <c r="R115" s="516"/>
      <c r="S115" s="2426"/>
      <c r="T115" s="516"/>
      <c r="U115" s="516"/>
      <c r="V115" s="2427"/>
      <c r="W115" s="2427"/>
      <c r="X115" s="516"/>
      <c r="Y115" s="636">
        <f>+Z115/1000</f>
        <v>3020</v>
      </c>
      <c r="Z115" s="532">
        <f>SUM(Z116:Z118)</f>
        <v>3020000</v>
      </c>
      <c r="AA115" s="262"/>
      <c r="AB115" s="505"/>
    </row>
    <row r="116" spans="1:36" ht="24.6" customHeight="1">
      <c r="A116" s="1645"/>
      <c r="B116" s="1648"/>
      <c r="C116" s="471"/>
      <c r="D116" s="2424"/>
      <c r="E116" s="2373"/>
      <c r="F116" s="741"/>
      <c r="G116" s="741"/>
      <c r="H116" s="391"/>
      <c r="I116" s="473"/>
      <c r="J116" s="2939" t="s">
        <v>5912</v>
      </c>
      <c r="K116" s="2359"/>
      <c r="L116" s="2359"/>
      <c r="M116" s="2359"/>
      <c r="N116" s="2425"/>
      <c r="O116" s="2425"/>
      <c r="P116" s="2425"/>
      <c r="Q116" s="516"/>
      <c r="R116" s="516"/>
      <c r="S116" s="2426">
        <v>2000000</v>
      </c>
      <c r="T116" s="516"/>
      <c r="U116" s="516"/>
      <c r="V116" s="2427">
        <v>1</v>
      </c>
      <c r="W116" s="2427" t="s">
        <v>302</v>
      </c>
      <c r="X116" s="2360" t="s">
        <v>465</v>
      </c>
      <c r="Y116" s="636">
        <f t="shared" ref="Y116:Y118" si="17">+Z116/1000</f>
        <v>2000</v>
      </c>
      <c r="Z116" s="532">
        <f>S116*V116</f>
        <v>2000000</v>
      </c>
      <c r="AA116" s="262"/>
      <c r="AB116" s="505"/>
    </row>
    <row r="117" spans="1:36" ht="24.6" customHeight="1">
      <c r="A117" s="1645"/>
      <c r="B117" s="1648"/>
      <c r="C117" s="471"/>
      <c r="D117" s="2424"/>
      <c r="E117" s="2373"/>
      <c r="F117" s="741"/>
      <c r="G117" s="741"/>
      <c r="H117" s="391"/>
      <c r="I117" s="473"/>
      <c r="J117" s="2939" t="s">
        <v>5913</v>
      </c>
      <c r="K117" s="2359"/>
      <c r="L117" s="2360"/>
      <c r="M117" s="2360"/>
      <c r="N117" s="2425"/>
      <c r="O117" s="2425"/>
      <c r="P117" s="2425"/>
      <c r="Q117" s="516">
        <v>3</v>
      </c>
      <c r="R117" s="516" t="s">
        <v>567</v>
      </c>
      <c r="S117" s="2426">
        <v>20000</v>
      </c>
      <c r="T117" s="516"/>
      <c r="U117" s="516"/>
      <c r="V117" s="2427">
        <v>10</v>
      </c>
      <c r="W117" s="2427" t="s">
        <v>367</v>
      </c>
      <c r="X117" s="2360" t="s">
        <v>465</v>
      </c>
      <c r="Y117" s="636">
        <f t="shared" si="17"/>
        <v>600</v>
      </c>
      <c r="Z117" s="532">
        <f>Q117*S117*V117</f>
        <v>600000</v>
      </c>
      <c r="AA117" s="262"/>
      <c r="AB117" s="505"/>
    </row>
    <row r="118" spans="1:36" ht="24.6" customHeight="1">
      <c r="A118" s="1645"/>
      <c r="B118" s="1648"/>
      <c r="C118" s="471"/>
      <c r="D118" s="2424"/>
      <c r="E118" s="2373"/>
      <c r="F118" s="741"/>
      <c r="G118" s="741"/>
      <c r="H118" s="391"/>
      <c r="I118" s="473"/>
      <c r="J118" s="2939" t="s">
        <v>5914</v>
      </c>
      <c r="K118" s="2360"/>
      <c r="L118" s="2425"/>
      <c r="M118" s="2425"/>
      <c r="N118" s="2425"/>
      <c r="O118" s="2425"/>
      <c r="P118" s="2425"/>
      <c r="Q118" s="516"/>
      <c r="R118" s="516"/>
      <c r="S118" s="2426">
        <v>420000</v>
      </c>
      <c r="T118" s="516"/>
      <c r="U118" s="516"/>
      <c r="V118" s="2427">
        <v>1</v>
      </c>
      <c r="W118" s="2427" t="s">
        <v>302</v>
      </c>
      <c r="X118" s="2360" t="s">
        <v>465</v>
      </c>
      <c r="Y118" s="636">
        <f t="shared" si="17"/>
        <v>420</v>
      </c>
      <c r="Z118" s="532">
        <f>S118*V118</f>
        <v>420000</v>
      </c>
      <c r="AA118" s="262"/>
      <c r="AB118" s="505"/>
    </row>
    <row r="119" spans="1:36" ht="24.6" customHeight="1">
      <c r="A119" s="1645"/>
      <c r="B119" s="1648"/>
      <c r="C119" s="471"/>
      <c r="D119" s="2424"/>
      <c r="E119" s="2373" t="s">
        <v>55</v>
      </c>
      <c r="F119" s="741">
        <f>Y119</f>
        <v>1000</v>
      </c>
      <c r="G119" s="741">
        <v>1000</v>
      </c>
      <c r="H119" s="391"/>
      <c r="I119" s="473"/>
      <c r="J119" s="2763" t="s">
        <v>4848</v>
      </c>
      <c r="K119" s="2425"/>
      <c r="L119" s="2425"/>
      <c r="M119" s="2425"/>
      <c r="N119" s="2425"/>
      <c r="O119" s="2425"/>
      <c r="P119" s="2425"/>
      <c r="Q119" s="516">
        <v>5</v>
      </c>
      <c r="R119" s="516" t="s">
        <v>340</v>
      </c>
      <c r="S119" s="2426">
        <v>20000</v>
      </c>
      <c r="T119" s="516"/>
      <c r="U119" s="516"/>
      <c r="V119" s="2427">
        <v>10</v>
      </c>
      <c r="W119" s="2427" t="s">
        <v>367</v>
      </c>
      <c r="X119" s="2764" t="s">
        <v>465</v>
      </c>
      <c r="Y119" s="636">
        <f>+Z119/1000</f>
        <v>1000</v>
      </c>
      <c r="Z119" s="532">
        <f t="shared" ref="Z119" si="18">Q119*S119*V119</f>
        <v>1000000</v>
      </c>
      <c r="AA119" s="262"/>
      <c r="AB119" s="505"/>
    </row>
    <row r="120" spans="1:36" s="1938" customFormat="1" ht="24" customHeight="1">
      <c r="A120" s="348"/>
      <c r="B120" s="1126"/>
      <c r="C120" s="3473" t="s">
        <v>1299</v>
      </c>
      <c r="D120" s="3479"/>
      <c r="E120" s="3474"/>
      <c r="F120" s="555">
        <f>F121+F134</f>
        <v>694500</v>
      </c>
      <c r="G120" s="555">
        <f>G121+G134</f>
        <v>694500</v>
      </c>
      <c r="H120" s="431">
        <f>F120-G120</f>
        <v>0</v>
      </c>
      <c r="I120" s="473"/>
      <c r="J120" s="1135"/>
      <c r="K120" s="2346"/>
      <c r="L120" s="2346"/>
      <c r="M120" s="2346"/>
      <c r="N120" s="2346"/>
      <c r="O120" s="2346"/>
      <c r="P120" s="2346"/>
      <c r="Q120" s="836"/>
      <c r="R120" s="395"/>
      <c r="S120" s="399"/>
      <c r="T120" s="1136"/>
      <c r="U120" s="1136"/>
      <c r="V120" s="1136"/>
      <c r="W120" s="1136"/>
      <c r="X120" s="1137"/>
      <c r="Y120" s="431"/>
      <c r="Z120" s="463"/>
      <c r="AA120" s="262"/>
      <c r="AB120" s="505"/>
      <c r="AC120" s="275"/>
      <c r="AD120" s="275"/>
    </row>
    <row r="121" spans="1:36" s="1938" customFormat="1" ht="24" customHeight="1">
      <c r="A121" s="348"/>
      <c r="B121" s="1141"/>
      <c r="C121" s="2141" t="s">
        <v>866</v>
      </c>
      <c r="D121" s="1921" t="s">
        <v>1300</v>
      </c>
      <c r="E121" s="1925"/>
      <c r="F121" s="538">
        <f>SUM(F122:F133)</f>
        <v>200000</v>
      </c>
      <c r="G121" s="538">
        <f>SUM(G122:G133)</f>
        <v>200000</v>
      </c>
      <c r="H121" s="431">
        <f>F121-G121</f>
        <v>0</v>
      </c>
      <c r="I121" s="473"/>
      <c r="J121" s="2145"/>
      <c r="K121" s="2146"/>
      <c r="L121" s="2146"/>
      <c r="M121" s="2146"/>
      <c r="N121" s="2146"/>
      <c r="O121" s="2146"/>
      <c r="P121" s="2146"/>
      <c r="Q121" s="375"/>
      <c r="R121" s="375"/>
      <c r="S121" s="375"/>
      <c r="T121" s="1936"/>
      <c r="U121" s="1936"/>
      <c r="V121" s="484"/>
      <c r="W121" s="1936"/>
      <c r="X121" s="375"/>
      <c r="Y121" s="2147"/>
      <c r="Z121" s="503"/>
      <c r="AA121" s="262"/>
      <c r="AB121" s="505"/>
      <c r="AC121" s="275"/>
      <c r="AD121" s="275"/>
    </row>
    <row r="122" spans="1:36" s="357" customFormat="1" ht="24" customHeight="1">
      <c r="A122" s="1645"/>
      <c r="B122" s="1648"/>
      <c r="C122" s="1126"/>
      <c r="D122" s="1154"/>
      <c r="E122" s="1126" t="s">
        <v>51</v>
      </c>
      <c r="F122" s="741">
        <f>Y122</f>
        <v>10000</v>
      </c>
      <c r="G122" s="1141">
        <v>10000</v>
      </c>
      <c r="H122" s="2148"/>
      <c r="I122" s="473"/>
      <c r="J122" s="3456" t="s">
        <v>1301</v>
      </c>
      <c r="K122" s="3457"/>
      <c r="L122" s="3457"/>
      <c r="M122" s="3457"/>
      <c r="N122" s="3457"/>
      <c r="O122" s="3457"/>
      <c r="P122" s="3457"/>
      <c r="Q122" s="466">
        <v>4</v>
      </c>
      <c r="R122" s="547" t="s">
        <v>28</v>
      </c>
      <c r="S122" s="546">
        <v>500000</v>
      </c>
      <c r="T122" s="466" t="s">
        <v>0</v>
      </c>
      <c r="U122" s="1938"/>
      <c r="V122" s="366">
        <v>5</v>
      </c>
      <c r="W122" s="466" t="s">
        <v>125</v>
      </c>
      <c r="X122" s="466" t="s">
        <v>129</v>
      </c>
      <c r="Y122" s="740">
        <f t="shared" ref="Y122:Y133" si="19">Z122/1000</f>
        <v>10000</v>
      </c>
      <c r="Z122" s="355">
        <f>Q122*S122*V122</f>
        <v>10000000</v>
      </c>
      <c r="AA122" s="262"/>
      <c r="AB122" s="505"/>
      <c r="AC122" s="358"/>
      <c r="AD122" s="358"/>
    </row>
    <row r="123" spans="1:36" s="1675" customFormat="1" ht="24" customHeight="1">
      <c r="A123" s="1645"/>
      <c r="B123" s="1648"/>
      <c r="C123" s="1126"/>
      <c r="D123" s="1154"/>
      <c r="E123" s="1126" t="s">
        <v>851</v>
      </c>
      <c r="F123" s="741">
        <f>Y123</f>
        <v>24000</v>
      </c>
      <c r="G123" s="1141">
        <v>24000</v>
      </c>
      <c r="H123" s="2148"/>
      <c r="I123" s="473"/>
      <c r="J123" s="3456" t="s">
        <v>1302</v>
      </c>
      <c r="K123" s="3457"/>
      <c r="L123" s="3457"/>
      <c r="M123" s="3457"/>
      <c r="N123" s="3457"/>
      <c r="O123" s="3457"/>
      <c r="P123" s="3457"/>
      <c r="Q123" s="466">
        <v>10</v>
      </c>
      <c r="R123" s="547" t="s">
        <v>1303</v>
      </c>
      <c r="S123" s="546">
        <v>200000</v>
      </c>
      <c r="T123" s="466" t="s">
        <v>0</v>
      </c>
      <c r="U123" s="1938"/>
      <c r="V123" s="366">
        <v>12</v>
      </c>
      <c r="W123" s="466" t="s">
        <v>844</v>
      </c>
      <c r="X123" s="466" t="s">
        <v>129</v>
      </c>
      <c r="Y123" s="740">
        <f t="shared" si="19"/>
        <v>24000</v>
      </c>
      <c r="Z123" s="355">
        <f>Q123*S123*V123</f>
        <v>24000000</v>
      </c>
      <c r="AA123" s="262"/>
      <c r="AB123" s="505"/>
      <c r="AC123" s="347"/>
      <c r="AD123" s="347"/>
    </row>
    <row r="124" spans="1:36" s="1675" customFormat="1" ht="24" customHeight="1">
      <c r="A124" s="1645"/>
      <c r="B124" s="1648"/>
      <c r="C124" s="1126"/>
      <c r="D124" s="1154"/>
      <c r="E124" s="1145" t="s">
        <v>875</v>
      </c>
      <c r="F124" s="741">
        <f>Y124</f>
        <v>1000</v>
      </c>
      <c r="G124" s="1141">
        <v>1000</v>
      </c>
      <c r="H124" s="2148"/>
      <c r="I124" s="473"/>
      <c r="J124" s="1704" t="s">
        <v>1304</v>
      </c>
      <c r="K124" s="1705"/>
      <c r="L124" s="1705"/>
      <c r="M124" s="1705"/>
      <c r="N124" s="1706"/>
      <c r="O124" s="1706"/>
      <c r="P124" s="1706"/>
      <c r="Q124" s="466">
        <v>10</v>
      </c>
      <c r="R124" s="547" t="s">
        <v>28</v>
      </c>
      <c r="S124" s="1944">
        <v>20000</v>
      </c>
      <c r="T124" s="1938" t="s">
        <v>0</v>
      </c>
      <c r="U124" s="1938"/>
      <c r="V124" s="366">
        <v>5</v>
      </c>
      <c r="W124" s="1938" t="s">
        <v>25</v>
      </c>
      <c r="X124" s="1938" t="s">
        <v>129</v>
      </c>
      <c r="Y124" s="740">
        <f t="shared" si="19"/>
        <v>1000</v>
      </c>
      <c r="Z124" s="355">
        <f>Q124*S124*V124</f>
        <v>1000000</v>
      </c>
      <c r="AA124" s="262"/>
      <c r="AB124" s="505"/>
      <c r="AC124" s="347"/>
      <c r="AD124" s="347"/>
    </row>
    <row r="125" spans="1:36" s="1141" customFormat="1" ht="24" customHeight="1">
      <c r="A125" s="1645"/>
      <c r="B125" s="1648"/>
      <c r="C125" s="1126"/>
      <c r="D125" s="433"/>
      <c r="E125" s="1126" t="s">
        <v>75</v>
      </c>
      <c r="F125" s="741">
        <f>Y125</f>
        <v>154700</v>
      </c>
      <c r="G125" s="1141">
        <v>154700</v>
      </c>
      <c r="H125" s="2148"/>
      <c r="I125" s="473"/>
      <c r="J125" s="3456" t="s">
        <v>835</v>
      </c>
      <c r="K125" s="3457"/>
      <c r="L125" s="3457"/>
      <c r="M125" s="3457"/>
      <c r="N125" s="3457"/>
      <c r="O125" s="3457"/>
      <c r="P125" s="3457"/>
      <c r="Q125" s="466"/>
      <c r="R125" s="547"/>
      <c r="S125" s="546"/>
      <c r="T125" s="466"/>
      <c r="U125" s="1938"/>
      <c r="V125" s="366"/>
      <c r="W125" s="466"/>
      <c r="X125" s="466"/>
      <c r="Y125" s="740">
        <f>SUM(Y126:Y129)</f>
        <v>154700</v>
      </c>
      <c r="Z125" s="355">
        <f>SUM(Z126:Z129)</f>
        <v>154700000</v>
      </c>
      <c r="AA125" s="262"/>
      <c r="AB125" s="505"/>
      <c r="AC125" s="358"/>
      <c r="AD125" s="536"/>
      <c r="AE125" s="1648"/>
      <c r="AF125" s="1126"/>
      <c r="AG125" s="433"/>
      <c r="AH125" s="1126"/>
      <c r="AI125" s="741"/>
      <c r="AJ125" s="1155"/>
    </row>
    <row r="126" spans="1:36" s="1141" customFormat="1" ht="24" customHeight="1">
      <c r="A126" s="1645"/>
      <c r="B126" s="1648"/>
      <c r="C126" s="1126"/>
      <c r="D126" s="433"/>
      <c r="E126" s="1126"/>
      <c r="F126" s="741"/>
      <c r="H126" s="2148"/>
      <c r="I126" s="473"/>
      <c r="J126" s="3489" t="s">
        <v>1305</v>
      </c>
      <c r="K126" s="3490"/>
      <c r="L126" s="3490"/>
      <c r="M126" s="3490"/>
      <c r="N126" s="3490"/>
      <c r="O126" s="3490"/>
      <c r="P126" s="3490"/>
      <c r="Q126" s="466">
        <v>12</v>
      </c>
      <c r="R126" s="547" t="s">
        <v>1306</v>
      </c>
      <c r="S126" s="546">
        <v>527777.77777777775</v>
      </c>
      <c r="T126" s="466" t="s">
        <v>0</v>
      </c>
      <c r="U126" s="1938"/>
      <c r="V126" s="366">
        <v>6</v>
      </c>
      <c r="W126" s="466" t="s">
        <v>1220</v>
      </c>
      <c r="X126" s="466" t="s">
        <v>129</v>
      </c>
      <c r="Y126" s="740">
        <f t="shared" ref="Y126:Y128" si="20">Z126/1000</f>
        <v>38000</v>
      </c>
      <c r="Z126" s="355">
        <f>Q126*S126*V126</f>
        <v>38000000</v>
      </c>
      <c r="AA126" s="262"/>
      <c r="AB126" s="505"/>
      <c r="AC126" s="347"/>
      <c r="AD126" s="536"/>
      <c r="AE126" s="1648"/>
      <c r="AF126" s="1126"/>
      <c r="AG126" s="433"/>
      <c r="AH126" s="1126"/>
      <c r="AI126" s="741"/>
      <c r="AJ126" s="1155"/>
    </row>
    <row r="127" spans="1:36" s="1141" customFormat="1" ht="24" customHeight="1">
      <c r="A127" s="1645"/>
      <c r="B127" s="1648"/>
      <c r="C127" s="1126"/>
      <c r="D127" s="433"/>
      <c r="E127" s="1126"/>
      <c r="F127" s="741"/>
      <c r="H127" s="2148"/>
      <c r="I127" s="473"/>
      <c r="J127" s="3456" t="s">
        <v>1307</v>
      </c>
      <c r="K127" s="3457"/>
      <c r="L127" s="3457"/>
      <c r="M127" s="3457"/>
      <c r="N127" s="3457"/>
      <c r="O127" s="3457"/>
      <c r="P127" s="3457"/>
      <c r="Q127" s="466">
        <v>12</v>
      </c>
      <c r="R127" s="547" t="s">
        <v>1306</v>
      </c>
      <c r="S127" s="546">
        <v>625000</v>
      </c>
      <c r="T127" s="466" t="s">
        <v>0</v>
      </c>
      <c r="U127" s="1938"/>
      <c r="V127" s="366">
        <v>4</v>
      </c>
      <c r="W127" s="466" t="s">
        <v>125</v>
      </c>
      <c r="X127" s="466" t="s">
        <v>129</v>
      </c>
      <c r="Y127" s="740">
        <f>Z127/1000</f>
        <v>30000</v>
      </c>
      <c r="Z127" s="355">
        <f>Q127*S127*V127</f>
        <v>30000000</v>
      </c>
      <c r="AA127" s="262"/>
      <c r="AB127" s="505"/>
      <c r="AC127" s="347"/>
      <c r="AD127" s="536"/>
      <c r="AE127" s="1648"/>
      <c r="AF127" s="1126"/>
      <c r="AG127" s="433"/>
      <c r="AH127" s="1126"/>
      <c r="AI127" s="741"/>
      <c r="AJ127" s="1155"/>
    </row>
    <row r="128" spans="1:36" s="1675" customFormat="1" ht="24" customHeight="1">
      <c r="A128" s="1645"/>
      <c r="B128" s="1648"/>
      <c r="C128" s="1154"/>
      <c r="D128" s="542"/>
      <c r="E128" s="543"/>
      <c r="F128" s="741"/>
      <c r="G128" s="1141"/>
      <c r="H128" s="2148"/>
      <c r="I128" s="473"/>
      <c r="J128" s="3456" t="s">
        <v>1308</v>
      </c>
      <c r="K128" s="3457"/>
      <c r="L128" s="3457"/>
      <c r="M128" s="3457"/>
      <c r="N128" s="3457"/>
      <c r="O128" s="3457"/>
      <c r="P128" s="3457"/>
      <c r="Q128" s="466">
        <v>6</v>
      </c>
      <c r="R128" s="547" t="s">
        <v>28</v>
      </c>
      <c r="S128" s="546">
        <v>697500</v>
      </c>
      <c r="T128" s="466" t="s">
        <v>0</v>
      </c>
      <c r="U128" s="1938"/>
      <c r="V128" s="366">
        <v>10</v>
      </c>
      <c r="W128" s="466" t="s">
        <v>125</v>
      </c>
      <c r="X128" s="466" t="s">
        <v>129</v>
      </c>
      <c r="Y128" s="740">
        <f t="shared" si="20"/>
        <v>41850</v>
      </c>
      <c r="Z128" s="355">
        <f>Q128*S128*V128</f>
        <v>41850000</v>
      </c>
      <c r="AA128" s="262"/>
      <c r="AB128" s="505"/>
      <c r="AC128" s="347"/>
      <c r="AD128" s="347"/>
    </row>
    <row r="129" spans="1:36" s="1675" customFormat="1" ht="24" customHeight="1">
      <c r="A129" s="1645"/>
      <c r="B129" s="1648"/>
      <c r="C129" s="1126"/>
      <c r="D129" s="433"/>
      <c r="E129" s="1126"/>
      <c r="F129" s="741"/>
      <c r="G129" s="1141"/>
      <c r="H129" s="2148"/>
      <c r="I129" s="473"/>
      <c r="J129" s="3456" t="s">
        <v>1309</v>
      </c>
      <c r="K129" s="3457"/>
      <c r="L129" s="3457"/>
      <c r="M129" s="3457"/>
      <c r="N129" s="3457"/>
      <c r="O129" s="3457"/>
      <c r="P129" s="3457"/>
      <c r="Q129" s="466">
        <v>12</v>
      </c>
      <c r="R129" s="547" t="s">
        <v>1306</v>
      </c>
      <c r="S129" s="546">
        <v>3737500</v>
      </c>
      <c r="T129" s="466" t="s">
        <v>0</v>
      </c>
      <c r="U129" s="1938"/>
      <c r="V129" s="366">
        <v>1</v>
      </c>
      <c r="W129" s="466" t="s">
        <v>1187</v>
      </c>
      <c r="X129" s="466" t="s">
        <v>129</v>
      </c>
      <c r="Y129" s="740">
        <f>Z129/1000</f>
        <v>44850</v>
      </c>
      <c r="Z129" s="355">
        <f>Q129*S129*V129</f>
        <v>44850000</v>
      </c>
      <c r="AA129" s="262"/>
      <c r="AB129" s="505"/>
      <c r="AC129" s="347"/>
      <c r="AD129" s="347"/>
    </row>
    <row r="130" spans="1:36" s="1675" customFormat="1" ht="24" customHeight="1">
      <c r="A130" s="1645"/>
      <c r="B130" s="1648"/>
      <c r="C130" s="1154"/>
      <c r="D130" s="542"/>
      <c r="E130" s="542" t="s">
        <v>881</v>
      </c>
      <c r="F130" s="741">
        <f>Y130</f>
        <v>4000</v>
      </c>
      <c r="G130" s="1141">
        <v>4000</v>
      </c>
      <c r="H130" s="2148"/>
      <c r="I130" s="473"/>
      <c r="J130" s="3456" t="s">
        <v>1310</v>
      </c>
      <c r="K130" s="3457"/>
      <c r="L130" s="3457"/>
      <c r="M130" s="3457"/>
      <c r="N130" s="3457"/>
      <c r="O130" s="3457"/>
      <c r="P130" s="3457"/>
      <c r="Q130" s="466"/>
      <c r="R130" s="547"/>
      <c r="S130" s="1944">
        <v>400000</v>
      </c>
      <c r="T130" s="1938" t="s">
        <v>0</v>
      </c>
      <c r="U130" s="1938"/>
      <c r="V130" s="366">
        <v>10</v>
      </c>
      <c r="W130" s="1938" t="s">
        <v>1220</v>
      </c>
      <c r="X130" s="1938" t="s">
        <v>129</v>
      </c>
      <c r="Y130" s="740">
        <f t="shared" si="19"/>
        <v>4000</v>
      </c>
      <c r="Z130" s="355">
        <f>S130*V130</f>
        <v>4000000</v>
      </c>
      <c r="AA130" s="262"/>
      <c r="AB130" s="505"/>
      <c r="AC130" s="347"/>
      <c r="AD130" s="347"/>
    </row>
    <row r="131" spans="1:36" s="1675" customFormat="1" ht="24" customHeight="1">
      <c r="A131" s="1645"/>
      <c r="B131" s="1648"/>
      <c r="C131" s="1126"/>
      <c r="D131" s="1154"/>
      <c r="E131" s="1126" t="s">
        <v>884</v>
      </c>
      <c r="F131" s="741">
        <f>Y131</f>
        <v>4000</v>
      </c>
      <c r="G131" s="1141">
        <v>4000</v>
      </c>
      <c r="H131" s="2148"/>
      <c r="I131" s="473"/>
      <c r="J131" s="3456" t="s">
        <v>1311</v>
      </c>
      <c r="K131" s="3457"/>
      <c r="L131" s="3457"/>
      <c r="M131" s="3457"/>
      <c r="N131" s="3457"/>
      <c r="O131" s="3457"/>
      <c r="P131" s="3457"/>
      <c r="Q131" s="466">
        <v>2</v>
      </c>
      <c r="R131" s="547" t="s">
        <v>877</v>
      </c>
      <c r="S131" s="546">
        <v>200000</v>
      </c>
      <c r="T131" s="466" t="s">
        <v>0</v>
      </c>
      <c r="U131" s="1938"/>
      <c r="V131" s="366">
        <v>10</v>
      </c>
      <c r="W131" s="466" t="s">
        <v>832</v>
      </c>
      <c r="X131" s="466" t="s">
        <v>129</v>
      </c>
      <c r="Y131" s="740">
        <f t="shared" si="19"/>
        <v>4000</v>
      </c>
      <c r="Z131" s="355">
        <f>Q131*S131*V131</f>
        <v>4000000</v>
      </c>
      <c r="AA131" s="262"/>
      <c r="AB131" s="505"/>
      <c r="AC131" s="347"/>
      <c r="AD131" s="347"/>
    </row>
    <row r="132" spans="1:36" s="1675" customFormat="1" ht="24" customHeight="1">
      <c r="A132" s="1645"/>
      <c r="B132" s="1648"/>
      <c r="C132" s="1154"/>
      <c r="D132" s="433"/>
      <c r="E132" s="1126" t="s">
        <v>1312</v>
      </c>
      <c r="F132" s="741">
        <f>Y132</f>
        <v>300</v>
      </c>
      <c r="G132" s="1141">
        <v>300</v>
      </c>
      <c r="H132" s="2148"/>
      <c r="I132" s="473"/>
      <c r="J132" s="3456" t="s">
        <v>1313</v>
      </c>
      <c r="K132" s="3457"/>
      <c r="L132" s="3457"/>
      <c r="M132" s="3457"/>
      <c r="N132" s="3457"/>
      <c r="O132" s="3457"/>
      <c r="P132" s="3457"/>
      <c r="Q132" s="466">
        <v>12</v>
      </c>
      <c r="R132" s="547" t="s">
        <v>1306</v>
      </c>
      <c r="S132" s="1944">
        <v>25000</v>
      </c>
      <c r="T132" s="1938" t="s">
        <v>0</v>
      </c>
      <c r="U132" s="1938"/>
      <c r="V132" s="366">
        <v>1</v>
      </c>
      <c r="W132" s="1938" t="s">
        <v>1187</v>
      </c>
      <c r="X132" s="1938" t="s">
        <v>129</v>
      </c>
      <c r="Y132" s="740">
        <f t="shared" si="19"/>
        <v>300</v>
      </c>
      <c r="Z132" s="355">
        <f>Q132*S132*V132</f>
        <v>300000</v>
      </c>
      <c r="AA132" s="262"/>
      <c r="AB132" s="505"/>
      <c r="AC132" s="347"/>
      <c r="AD132" s="347"/>
    </row>
    <row r="133" spans="1:36" s="1675" customFormat="1" ht="24" customHeight="1">
      <c r="A133" s="1645"/>
      <c r="B133" s="1648"/>
      <c r="C133" s="1154"/>
      <c r="D133" s="1154"/>
      <c r="E133" s="1145" t="s">
        <v>55</v>
      </c>
      <c r="F133" s="741">
        <f>Y133</f>
        <v>2000</v>
      </c>
      <c r="G133" s="1703">
        <v>2000</v>
      </c>
      <c r="H133" s="2148"/>
      <c r="I133" s="473"/>
      <c r="J133" s="3456" t="s">
        <v>1314</v>
      </c>
      <c r="K133" s="3457"/>
      <c r="L133" s="3457"/>
      <c r="M133" s="3457"/>
      <c r="N133" s="3457"/>
      <c r="O133" s="3457"/>
      <c r="P133" s="3457"/>
      <c r="Q133" s="466">
        <v>20</v>
      </c>
      <c r="R133" s="547" t="s">
        <v>28</v>
      </c>
      <c r="S133" s="1944">
        <v>10000</v>
      </c>
      <c r="T133" s="1938" t="s">
        <v>0</v>
      </c>
      <c r="U133" s="1938"/>
      <c r="V133" s="366">
        <v>10</v>
      </c>
      <c r="W133" s="1938" t="s">
        <v>25</v>
      </c>
      <c r="X133" s="1938" t="s">
        <v>129</v>
      </c>
      <c r="Y133" s="740">
        <f t="shared" si="19"/>
        <v>2000</v>
      </c>
      <c r="Z133" s="355">
        <f>Q133*S133*V133</f>
        <v>2000000</v>
      </c>
      <c r="AA133" s="262"/>
      <c r="AB133" s="505"/>
      <c r="AC133" s="347"/>
      <c r="AD133" s="347"/>
    </row>
    <row r="134" spans="1:36" s="347" customFormat="1" ht="24" customHeight="1">
      <c r="A134" s="536"/>
      <c r="B134" s="537"/>
      <c r="C134" s="392"/>
      <c r="D134" s="3485" t="s">
        <v>1315</v>
      </c>
      <c r="E134" s="3486"/>
      <c r="F134" s="538">
        <f>SUM(F135:F139)</f>
        <v>494500</v>
      </c>
      <c r="G134" s="538">
        <f>SUM(G135:G139)</f>
        <v>494500</v>
      </c>
      <c r="H134" s="431">
        <f>F134-G134</f>
        <v>0</v>
      </c>
      <c r="I134" s="473"/>
      <c r="J134" s="1005"/>
      <c r="K134" s="1006"/>
      <c r="L134" s="1006"/>
      <c r="M134" s="1006"/>
      <c r="N134" s="1006"/>
      <c r="O134" s="1006"/>
      <c r="P134" s="1006"/>
      <c r="Q134" s="539"/>
      <c r="R134" s="540"/>
      <c r="S134" s="541"/>
      <c r="T134" s="541"/>
      <c r="U134" s="541"/>
      <c r="V134" s="539"/>
      <c r="W134" s="541"/>
      <c r="X134" s="541"/>
      <c r="Y134" s="432"/>
      <c r="Z134" s="463"/>
      <c r="AA134" s="262"/>
      <c r="AB134" s="505"/>
    </row>
    <row r="135" spans="1:36" s="347" customFormat="1" ht="24" customHeight="1">
      <c r="A135" s="536"/>
      <c r="B135" s="537"/>
      <c r="C135" s="392"/>
      <c r="D135" s="542"/>
      <c r="E135" s="542" t="s">
        <v>1295</v>
      </c>
      <c r="F135" s="544">
        <f>Y135</f>
        <v>493500</v>
      </c>
      <c r="G135" s="544">
        <v>493500</v>
      </c>
      <c r="H135" s="406"/>
      <c r="I135" s="473"/>
      <c r="J135" s="3456" t="s">
        <v>835</v>
      </c>
      <c r="K135" s="3457"/>
      <c r="L135" s="3457"/>
      <c r="M135" s="3457"/>
      <c r="N135" s="3457"/>
      <c r="O135" s="3457"/>
      <c r="P135" s="3457"/>
      <c r="Q135" s="466"/>
      <c r="R135" s="547"/>
      <c r="S135" s="546"/>
      <c r="T135" s="466"/>
      <c r="U135" s="1938"/>
      <c r="V135" s="366"/>
      <c r="W135" s="466"/>
      <c r="X135" s="466"/>
      <c r="Y135" s="740">
        <f>SUM(Y136:Y137)</f>
        <v>493500</v>
      </c>
      <c r="Z135" s="355">
        <f>SUM(Z136:Z137)</f>
        <v>493500000</v>
      </c>
      <c r="AA135" s="262"/>
      <c r="AB135" s="505"/>
    </row>
    <row r="136" spans="1:36" s="347" customFormat="1" ht="24" customHeight="1">
      <c r="A136" s="536"/>
      <c r="B136" s="537"/>
      <c r="C136" s="392"/>
      <c r="D136" s="542"/>
      <c r="E136" s="542"/>
      <c r="F136" s="544"/>
      <c r="G136" s="544"/>
      <c r="H136" s="406"/>
      <c r="I136" s="473"/>
      <c r="J136" s="3489" t="s">
        <v>1318</v>
      </c>
      <c r="K136" s="3490"/>
      <c r="L136" s="3490"/>
      <c r="M136" s="3490"/>
      <c r="N136" s="3490"/>
      <c r="O136" s="3490"/>
      <c r="P136" s="3490"/>
      <c r="Q136" s="466">
        <v>12</v>
      </c>
      <c r="R136" s="547" t="s">
        <v>840</v>
      </c>
      <c r="S136" s="546">
        <v>37125000</v>
      </c>
      <c r="T136" s="466" t="s">
        <v>0</v>
      </c>
      <c r="U136" s="1938"/>
      <c r="V136" s="366">
        <v>1</v>
      </c>
      <c r="W136" s="466" t="s">
        <v>1187</v>
      </c>
      <c r="X136" s="466" t="s">
        <v>129</v>
      </c>
      <c r="Y136" s="740">
        <f t="shared" ref="Y136" si="21">Z136/1000</f>
        <v>445500</v>
      </c>
      <c r="Z136" s="355">
        <f>Q136*S136*V136</f>
        <v>445500000</v>
      </c>
      <c r="AA136" s="262"/>
      <c r="AB136" s="505"/>
    </row>
    <row r="137" spans="1:36" s="347" customFormat="1" ht="24" customHeight="1">
      <c r="A137" s="536"/>
      <c r="B137" s="537"/>
      <c r="C137" s="392"/>
      <c r="D137" s="542"/>
      <c r="E137" s="542"/>
      <c r="F137" s="544"/>
      <c r="G137" s="544"/>
      <c r="H137" s="406"/>
      <c r="I137" s="473"/>
      <c r="J137" s="3456" t="s">
        <v>1319</v>
      </c>
      <c r="K137" s="3457"/>
      <c r="L137" s="3457"/>
      <c r="M137" s="3457"/>
      <c r="N137" s="3457"/>
      <c r="O137" s="3457"/>
      <c r="P137" s="3457"/>
      <c r="Q137" s="466">
        <v>12</v>
      </c>
      <c r="R137" s="547" t="s">
        <v>1306</v>
      </c>
      <c r="S137" s="546">
        <v>4000000</v>
      </c>
      <c r="T137" s="466" t="s">
        <v>0</v>
      </c>
      <c r="U137" s="1938"/>
      <c r="V137" s="366">
        <v>1</v>
      </c>
      <c r="W137" s="466" t="s">
        <v>832</v>
      </c>
      <c r="X137" s="466" t="s">
        <v>129</v>
      </c>
      <c r="Y137" s="740">
        <f>Z137/1000</f>
        <v>48000</v>
      </c>
      <c r="Z137" s="355">
        <f>Q137*S137*V137</f>
        <v>48000000</v>
      </c>
      <c r="AA137" s="262"/>
      <c r="AB137" s="505"/>
    </row>
    <row r="138" spans="1:36" s="347" customFormat="1" ht="24" customHeight="1">
      <c r="A138" s="536"/>
      <c r="B138" s="537"/>
      <c r="C138" s="392"/>
      <c r="D138" s="542"/>
      <c r="E138" s="1126" t="s">
        <v>574</v>
      </c>
      <c r="F138" s="974">
        <f>Y138</f>
        <v>600</v>
      </c>
      <c r="G138" s="544">
        <v>600</v>
      </c>
      <c r="H138" s="406"/>
      <c r="I138" s="1890"/>
      <c r="J138" s="3456" t="s">
        <v>1316</v>
      </c>
      <c r="K138" s="3457"/>
      <c r="L138" s="3457"/>
      <c r="M138" s="3457"/>
      <c r="N138" s="3457"/>
      <c r="O138" s="3457"/>
      <c r="P138" s="3457"/>
      <c r="Q138" s="466">
        <v>1</v>
      </c>
      <c r="R138" s="547" t="s">
        <v>1317</v>
      </c>
      <c r="S138" s="275">
        <v>50000</v>
      </c>
      <c r="T138" s="466" t="s">
        <v>0</v>
      </c>
      <c r="V138" s="366">
        <v>12</v>
      </c>
      <c r="W138" s="466" t="s">
        <v>220</v>
      </c>
      <c r="X138" s="466" t="s">
        <v>129</v>
      </c>
      <c r="Y138" s="548">
        <f>Z138/1000</f>
        <v>600</v>
      </c>
      <c r="Z138" s="548">
        <f>Q138*S138*V138</f>
        <v>600000</v>
      </c>
      <c r="AA138" s="262"/>
      <c r="AB138" s="505"/>
    </row>
    <row r="139" spans="1:36" s="347" customFormat="1" ht="24" customHeight="1">
      <c r="A139" s="536"/>
      <c r="B139" s="537"/>
      <c r="C139" s="392"/>
      <c r="D139" s="1952"/>
      <c r="E139" s="1952" t="s">
        <v>1281</v>
      </c>
      <c r="F139" s="975">
        <f>Y139</f>
        <v>400</v>
      </c>
      <c r="G139" s="975">
        <v>400</v>
      </c>
      <c r="H139" s="549"/>
      <c r="I139" s="1890"/>
      <c r="J139" s="3477" t="s">
        <v>1320</v>
      </c>
      <c r="K139" s="3478"/>
      <c r="L139" s="3478"/>
      <c r="M139" s="3478"/>
      <c r="N139" s="3478"/>
      <c r="O139" s="3478"/>
      <c r="P139" s="3478"/>
      <c r="Q139" s="529">
        <v>10</v>
      </c>
      <c r="R139" s="550" t="s">
        <v>840</v>
      </c>
      <c r="S139" s="551">
        <v>10000</v>
      </c>
      <c r="T139" s="529" t="s">
        <v>0</v>
      </c>
      <c r="U139" s="1869"/>
      <c r="V139" s="363">
        <v>4</v>
      </c>
      <c r="W139" s="529" t="s">
        <v>1187</v>
      </c>
      <c r="X139" s="529" t="s">
        <v>129</v>
      </c>
      <c r="Y139" s="552">
        <f>Z139/1000</f>
        <v>400</v>
      </c>
      <c r="Z139" s="552">
        <f>Q139*S139*V139</f>
        <v>400000</v>
      </c>
      <c r="AA139" s="262"/>
      <c r="AB139" s="505"/>
    </row>
    <row r="140" spans="1:36" s="357" customFormat="1" ht="24" customHeight="1">
      <c r="A140" s="348"/>
      <c r="B140" s="1126"/>
      <c r="C140" s="3473" t="s">
        <v>1321</v>
      </c>
      <c r="D140" s="3487"/>
      <c r="E140" s="3488"/>
      <c r="F140" s="1123">
        <f>F141+F157+F167+F175+F188+F195</f>
        <v>214600</v>
      </c>
      <c r="G140" s="1123">
        <f>G141+G157+G167+G175+G188+G195</f>
        <v>214600</v>
      </c>
      <c r="H140" s="549">
        <f>F140-G140</f>
        <v>0</v>
      </c>
      <c r="I140" s="473"/>
      <c r="J140" s="1007"/>
      <c r="K140" s="1008"/>
      <c r="L140" s="1008"/>
      <c r="M140" s="1008"/>
      <c r="N140" s="1008"/>
      <c r="O140" s="1008"/>
      <c r="P140" s="1008"/>
      <c r="Q140" s="3483"/>
      <c r="R140" s="3483"/>
      <c r="S140" s="3483"/>
      <c r="T140" s="1941"/>
      <c r="U140" s="1941"/>
      <c r="V140" s="1130"/>
      <c r="W140" s="1941"/>
      <c r="X140" s="3483"/>
      <c r="Y140" s="3484"/>
      <c r="Z140" s="2150"/>
      <c r="AA140" s="262"/>
      <c r="AB140" s="505"/>
      <c r="AC140" s="358"/>
      <c r="AD140" s="358"/>
    </row>
    <row r="141" spans="1:36" s="1675" customFormat="1" ht="24" customHeight="1">
      <c r="A141" s="348"/>
      <c r="B141" s="1646"/>
      <c r="C141" s="1709"/>
      <c r="D141" s="3485" t="s">
        <v>3314</v>
      </c>
      <c r="E141" s="3486"/>
      <c r="F141" s="555">
        <f>SUM(F142:F156)</f>
        <v>85000</v>
      </c>
      <c r="G141" s="555">
        <f>SUM(G142:G156)</f>
        <v>85000</v>
      </c>
      <c r="H141" s="431">
        <f>F141-G141</f>
        <v>0</v>
      </c>
      <c r="I141" s="473"/>
      <c r="J141" s="2145"/>
      <c r="K141" s="2146"/>
      <c r="L141" s="2146"/>
      <c r="M141" s="2146"/>
      <c r="N141" s="2146"/>
      <c r="O141" s="2146"/>
      <c r="P141" s="2146"/>
      <c r="Q141" s="1936"/>
      <c r="R141" s="485"/>
      <c r="S141" s="1936"/>
      <c r="T141" s="1936"/>
      <c r="U141" s="1936"/>
      <c r="V141" s="484"/>
      <c r="W141" s="1936"/>
      <c r="X141" s="1936"/>
      <c r="Y141" s="2143"/>
      <c r="Z141" s="1296"/>
      <c r="AA141" s="262"/>
      <c r="AB141" s="505"/>
      <c r="AC141" s="275"/>
      <c r="AD141" s="275"/>
      <c r="AE141" s="275"/>
      <c r="AF141" s="275"/>
      <c r="AG141" s="275"/>
    </row>
    <row r="142" spans="1:36" s="357" customFormat="1" ht="24" customHeight="1">
      <c r="A142" s="1645"/>
      <c r="B142" s="1646"/>
      <c r="C142" s="1126"/>
      <c r="D142" s="433"/>
      <c r="E142" s="350" t="s">
        <v>74</v>
      </c>
      <c r="F142" s="741">
        <f>Y142</f>
        <v>30000</v>
      </c>
      <c r="G142" s="1141">
        <v>30000</v>
      </c>
      <c r="H142" s="482"/>
      <c r="I142" s="473"/>
      <c r="J142" s="3475" t="s">
        <v>1322</v>
      </c>
      <c r="K142" s="3480"/>
      <c r="L142" s="3480"/>
      <c r="M142" s="3480"/>
      <c r="N142" s="3480"/>
      <c r="O142" s="3480"/>
      <c r="P142" s="3480"/>
      <c r="Q142" s="466">
        <v>1</v>
      </c>
      <c r="R142" s="547" t="s">
        <v>23</v>
      </c>
      <c r="S142" s="546">
        <v>2500000</v>
      </c>
      <c r="T142" s="466" t="s">
        <v>0</v>
      </c>
      <c r="U142" s="1938"/>
      <c r="V142" s="366">
        <v>12</v>
      </c>
      <c r="W142" s="466" t="s">
        <v>2</v>
      </c>
      <c r="X142" s="466" t="s">
        <v>129</v>
      </c>
      <c r="Y142" s="740">
        <f>Z142/1000</f>
        <v>30000</v>
      </c>
      <c r="Z142" s="355">
        <f>Q142*S142*V142</f>
        <v>30000000</v>
      </c>
      <c r="AA142" s="262"/>
      <c r="AB142" s="505"/>
      <c r="AC142" s="843"/>
      <c r="AD142" s="843"/>
      <c r="AE142" s="843"/>
      <c r="AF142" s="843"/>
      <c r="AG142" s="843"/>
      <c r="AH142" s="949"/>
      <c r="AI142" s="795"/>
      <c r="AJ142" s="795"/>
    </row>
    <row r="143" spans="1:36" s="357" customFormat="1" ht="24" customHeight="1">
      <c r="A143" s="1645"/>
      <c r="B143" s="1646"/>
      <c r="C143" s="1126"/>
      <c r="D143" s="433"/>
      <c r="E143" s="1126" t="s">
        <v>927</v>
      </c>
      <c r="F143" s="741">
        <f>Y143</f>
        <v>7000</v>
      </c>
      <c r="G143" s="1141">
        <v>7000</v>
      </c>
      <c r="H143" s="482"/>
      <c r="I143" s="473"/>
      <c r="J143" s="3456" t="s">
        <v>1323</v>
      </c>
      <c r="K143" s="3481"/>
      <c r="L143" s="3481"/>
      <c r="M143" s="3481"/>
      <c r="N143" s="3481"/>
      <c r="O143" s="3481"/>
      <c r="P143" s="3481"/>
      <c r="Q143" s="466">
        <v>2</v>
      </c>
      <c r="R143" s="547" t="s">
        <v>877</v>
      </c>
      <c r="S143" s="546">
        <v>3500000</v>
      </c>
      <c r="T143" s="466" t="s">
        <v>0</v>
      </c>
      <c r="U143" s="1938"/>
      <c r="V143" s="366">
        <v>1</v>
      </c>
      <c r="W143" s="466" t="s">
        <v>1187</v>
      </c>
      <c r="X143" s="466" t="s">
        <v>129</v>
      </c>
      <c r="Y143" s="740">
        <f t="shared" ref="Y143:Y146" si="22">Z143/1000</f>
        <v>7000</v>
      </c>
      <c r="Z143" s="355">
        <f>Q143*S143*V143</f>
        <v>7000000</v>
      </c>
      <c r="AA143" s="262"/>
      <c r="AB143" s="505"/>
      <c r="AC143" s="275"/>
      <c r="AD143" s="275"/>
      <c r="AE143" s="275"/>
      <c r="AF143" s="275"/>
      <c r="AG143" s="275"/>
      <c r="AH143" s="347"/>
    </row>
    <row r="144" spans="1:36" s="357" customFormat="1" ht="24" customHeight="1">
      <c r="A144" s="1645"/>
      <c r="B144" s="1648"/>
      <c r="C144" s="1126"/>
      <c r="D144" s="433"/>
      <c r="E144" s="1126" t="s">
        <v>73</v>
      </c>
      <c r="F144" s="741">
        <f>+Y144</f>
        <v>20800</v>
      </c>
      <c r="G144" s="1141">
        <v>20800</v>
      </c>
      <c r="H144" s="482"/>
      <c r="I144" s="473"/>
      <c r="J144" s="3456" t="s">
        <v>835</v>
      </c>
      <c r="K144" s="3481"/>
      <c r="L144" s="3481"/>
      <c r="M144" s="3481"/>
      <c r="N144" s="3481"/>
      <c r="O144" s="3481"/>
      <c r="P144" s="3481"/>
      <c r="Q144" s="466"/>
      <c r="R144" s="547"/>
      <c r="S144" s="546"/>
      <c r="T144" s="466"/>
      <c r="U144" s="1938"/>
      <c r="V144" s="366"/>
      <c r="W144" s="466"/>
      <c r="X144" s="466"/>
      <c r="Y144" s="740">
        <f>SUM(Y145:Y146)</f>
        <v>20800</v>
      </c>
      <c r="Z144" s="355">
        <f>SUM(Z145:Z146)</f>
        <v>20800000</v>
      </c>
      <c r="AA144" s="262"/>
      <c r="AB144" s="505"/>
      <c r="AC144" s="358"/>
      <c r="AD144" s="358"/>
    </row>
    <row r="145" spans="1:30" s="1675" customFormat="1" ht="24" customHeight="1">
      <c r="A145" s="1645"/>
      <c r="B145" s="1648"/>
      <c r="C145" s="1126"/>
      <c r="D145" s="433"/>
      <c r="E145" s="1126"/>
      <c r="F145" s="741"/>
      <c r="G145" s="1703"/>
      <c r="H145" s="482"/>
      <c r="I145" s="473"/>
      <c r="J145" s="3456" t="s">
        <v>1324</v>
      </c>
      <c r="K145" s="3481"/>
      <c r="L145" s="3481"/>
      <c r="M145" s="3481"/>
      <c r="N145" s="3481"/>
      <c r="O145" s="3481"/>
      <c r="P145" s="3481"/>
      <c r="Q145" s="466">
        <v>4</v>
      </c>
      <c r="R145" s="547" t="s">
        <v>930</v>
      </c>
      <c r="S145" s="546">
        <v>1100000</v>
      </c>
      <c r="T145" s="466" t="s">
        <v>0</v>
      </c>
      <c r="U145" s="1938"/>
      <c r="V145" s="366">
        <v>3.5</v>
      </c>
      <c r="W145" s="466" t="s">
        <v>3</v>
      </c>
      <c r="X145" s="466" t="s">
        <v>129</v>
      </c>
      <c r="Y145" s="740">
        <f t="shared" si="22"/>
        <v>15400</v>
      </c>
      <c r="Z145" s="355">
        <f>Q145*S145*V145</f>
        <v>15400000</v>
      </c>
      <c r="AA145" s="262"/>
      <c r="AB145" s="505"/>
      <c r="AC145" s="347"/>
      <c r="AD145" s="347"/>
    </row>
    <row r="146" spans="1:30" s="357" customFormat="1" ht="24" customHeight="1">
      <c r="A146" s="1645"/>
      <c r="B146" s="1648"/>
      <c r="C146" s="1126"/>
      <c r="D146" s="433"/>
      <c r="E146" s="1126"/>
      <c r="F146" s="741"/>
      <c r="G146" s="1703"/>
      <c r="H146" s="482"/>
      <c r="I146" s="473"/>
      <c r="J146" s="3456" t="s">
        <v>4849</v>
      </c>
      <c r="K146" s="3481"/>
      <c r="L146" s="3481"/>
      <c r="M146" s="3481"/>
      <c r="N146" s="3481"/>
      <c r="O146" s="3481"/>
      <c r="P146" s="3481"/>
      <c r="Q146" s="466">
        <v>6</v>
      </c>
      <c r="R146" s="547" t="s">
        <v>877</v>
      </c>
      <c r="S146" s="546">
        <v>900000</v>
      </c>
      <c r="T146" s="466" t="s">
        <v>0</v>
      </c>
      <c r="U146" s="1938"/>
      <c r="V146" s="366">
        <v>1</v>
      </c>
      <c r="W146" s="466" t="s">
        <v>1187</v>
      </c>
      <c r="X146" s="466" t="s">
        <v>1325</v>
      </c>
      <c r="Y146" s="740">
        <f t="shared" si="22"/>
        <v>5400</v>
      </c>
      <c r="Z146" s="355">
        <f>Q146*S146*V146</f>
        <v>5400000</v>
      </c>
      <c r="AA146" s="262"/>
      <c r="AB146" s="505"/>
      <c r="AC146" s="358"/>
      <c r="AD146" s="358"/>
    </row>
    <row r="147" spans="1:30" s="357" customFormat="1" ht="24" customHeight="1">
      <c r="A147" s="1645"/>
      <c r="B147" s="1648"/>
      <c r="C147" s="1126"/>
      <c r="D147" s="1126"/>
      <c r="E147" s="1145" t="s">
        <v>84</v>
      </c>
      <c r="F147" s="741">
        <f t="shared" ref="F147:F156" si="23">+Y147</f>
        <v>1000</v>
      </c>
      <c r="G147" s="1703">
        <v>1000</v>
      </c>
      <c r="H147" s="482"/>
      <c r="I147" s="473"/>
      <c r="J147" s="1704" t="s">
        <v>1304</v>
      </c>
      <c r="K147" s="1705"/>
      <c r="L147" s="1705"/>
      <c r="M147" s="1705"/>
      <c r="N147" s="1706"/>
      <c r="O147" s="1706"/>
      <c r="P147" s="1706"/>
      <c r="Q147" s="1938">
        <v>2</v>
      </c>
      <c r="R147" s="547" t="s">
        <v>23</v>
      </c>
      <c r="S147" s="1944">
        <v>20000</v>
      </c>
      <c r="T147" s="1938" t="s">
        <v>0</v>
      </c>
      <c r="U147" s="1938"/>
      <c r="V147" s="366">
        <v>25</v>
      </c>
      <c r="W147" s="1938" t="s">
        <v>3</v>
      </c>
      <c r="X147" s="466" t="s">
        <v>129</v>
      </c>
      <c r="Y147" s="740">
        <f>Z147/1000</f>
        <v>1000</v>
      </c>
      <c r="Z147" s="355">
        <f>Q147*S147*V147</f>
        <v>1000000</v>
      </c>
      <c r="AA147" s="262"/>
      <c r="AB147" s="505"/>
      <c r="AC147" s="358"/>
      <c r="AD147" s="358"/>
    </row>
    <row r="148" spans="1:30" s="357" customFormat="1" ht="24" customHeight="1">
      <c r="A148" s="348"/>
      <c r="B148" s="1126"/>
      <c r="C148" s="1126"/>
      <c r="D148" s="433"/>
      <c r="E148" s="1126" t="s">
        <v>52</v>
      </c>
      <c r="F148" s="741">
        <f t="shared" si="23"/>
        <v>24400</v>
      </c>
      <c r="G148" s="1141">
        <v>24400</v>
      </c>
      <c r="H148" s="482"/>
      <c r="I148" s="473"/>
      <c r="J148" s="3456" t="s">
        <v>835</v>
      </c>
      <c r="K148" s="3481"/>
      <c r="L148" s="3481"/>
      <c r="M148" s="3481"/>
      <c r="N148" s="3481"/>
      <c r="O148" s="3481"/>
      <c r="P148" s="3481"/>
      <c r="Q148" s="466"/>
      <c r="R148" s="547"/>
      <c r="S148" s="546"/>
      <c r="T148" s="466"/>
      <c r="U148" s="1938"/>
      <c r="V148" s="366"/>
      <c r="W148" s="466"/>
      <c r="X148" s="466"/>
      <c r="Y148" s="740">
        <f>SUM(Y149:Y154)</f>
        <v>24400</v>
      </c>
      <c r="Z148" s="355">
        <f>Z149+Z150+Z151+Z152+Z153+Z154</f>
        <v>24400000</v>
      </c>
      <c r="AA148" s="262"/>
      <c r="AB148" s="505"/>
      <c r="AC148" s="358"/>
      <c r="AD148" s="358"/>
    </row>
    <row r="149" spans="1:30" s="357" customFormat="1" ht="24" customHeight="1">
      <c r="A149" s="1645"/>
      <c r="B149" s="1648"/>
      <c r="C149" s="1126"/>
      <c r="D149" s="433"/>
      <c r="E149" s="1126"/>
      <c r="F149" s="741"/>
      <c r="G149" s="1141"/>
      <c r="H149" s="482"/>
      <c r="I149" s="473"/>
      <c r="J149" s="3456" t="s">
        <v>1326</v>
      </c>
      <c r="K149" s="3481"/>
      <c r="L149" s="3481"/>
      <c r="M149" s="3481"/>
      <c r="N149" s="3481"/>
      <c r="O149" s="3481"/>
      <c r="P149" s="3481"/>
      <c r="Q149" s="466">
        <v>2</v>
      </c>
      <c r="R149" s="547" t="s">
        <v>23</v>
      </c>
      <c r="S149" s="546">
        <v>100000</v>
      </c>
      <c r="T149" s="466" t="s">
        <v>0</v>
      </c>
      <c r="U149" s="1938"/>
      <c r="V149" s="366">
        <v>33</v>
      </c>
      <c r="W149" s="466" t="s">
        <v>3</v>
      </c>
      <c r="X149" s="466" t="s">
        <v>129</v>
      </c>
      <c r="Y149" s="740">
        <f t="shared" ref="Y149:Y156" si="24">Z149/1000</f>
        <v>6600</v>
      </c>
      <c r="Z149" s="355">
        <f t="shared" ref="Z149:Z156" si="25">Q149*S149*V149</f>
        <v>6600000</v>
      </c>
      <c r="AA149" s="262"/>
      <c r="AB149" s="505"/>
      <c r="AC149" s="358"/>
      <c r="AD149" s="358"/>
    </row>
    <row r="150" spans="1:30" s="1675" customFormat="1" ht="24" customHeight="1">
      <c r="A150" s="1645"/>
      <c r="B150" s="1648"/>
      <c r="C150" s="1126"/>
      <c r="D150" s="433"/>
      <c r="E150" s="1126"/>
      <c r="F150" s="741"/>
      <c r="G150" s="1703"/>
      <c r="H150" s="482"/>
      <c r="I150" s="473"/>
      <c r="J150" s="3456" t="s">
        <v>1327</v>
      </c>
      <c r="K150" s="3481"/>
      <c r="L150" s="3481"/>
      <c r="M150" s="3481"/>
      <c r="N150" s="3481"/>
      <c r="O150" s="3481"/>
      <c r="P150" s="3481"/>
      <c r="Q150" s="466">
        <v>1</v>
      </c>
      <c r="R150" s="547" t="s">
        <v>23</v>
      </c>
      <c r="S150" s="546">
        <v>60000</v>
      </c>
      <c r="T150" s="466" t="s">
        <v>0</v>
      </c>
      <c r="U150" s="1938"/>
      <c r="V150" s="366">
        <v>65</v>
      </c>
      <c r="W150" s="466" t="s">
        <v>3</v>
      </c>
      <c r="X150" s="466" t="s">
        <v>129</v>
      </c>
      <c r="Y150" s="740">
        <f t="shared" si="24"/>
        <v>3900</v>
      </c>
      <c r="Z150" s="355">
        <f t="shared" si="25"/>
        <v>3900000</v>
      </c>
      <c r="AA150" s="262"/>
      <c r="AB150" s="505"/>
      <c r="AC150" s="347"/>
      <c r="AD150" s="347"/>
    </row>
    <row r="151" spans="1:30" s="1675" customFormat="1" ht="24" customHeight="1">
      <c r="A151" s="1645"/>
      <c r="B151" s="1648"/>
      <c r="C151" s="1154"/>
      <c r="D151" s="433"/>
      <c r="E151" s="1126"/>
      <c r="F151" s="741"/>
      <c r="G151" s="1703"/>
      <c r="H151" s="482"/>
      <c r="I151" s="473"/>
      <c r="J151" s="3456" t="s">
        <v>1328</v>
      </c>
      <c r="K151" s="3481"/>
      <c r="L151" s="3481"/>
      <c r="M151" s="3481"/>
      <c r="N151" s="3481"/>
      <c r="O151" s="3481"/>
      <c r="P151" s="3481"/>
      <c r="Q151" s="466">
        <v>2</v>
      </c>
      <c r="R151" s="547" t="s">
        <v>23</v>
      </c>
      <c r="S151" s="546">
        <v>100000</v>
      </c>
      <c r="T151" s="466" t="s">
        <v>0</v>
      </c>
      <c r="U151" s="1938"/>
      <c r="V151" s="366">
        <v>35</v>
      </c>
      <c r="W151" s="466" t="s">
        <v>3</v>
      </c>
      <c r="X151" s="466" t="s">
        <v>129</v>
      </c>
      <c r="Y151" s="740">
        <f t="shared" si="24"/>
        <v>7000</v>
      </c>
      <c r="Z151" s="355">
        <f t="shared" si="25"/>
        <v>7000000</v>
      </c>
      <c r="AA151" s="262"/>
      <c r="AB151" s="505"/>
      <c r="AC151" s="347"/>
      <c r="AD151" s="347"/>
    </row>
    <row r="152" spans="1:30" s="1675" customFormat="1" ht="24" customHeight="1">
      <c r="A152" s="1645"/>
      <c r="B152" s="1648"/>
      <c r="C152" s="1154"/>
      <c r="D152" s="433"/>
      <c r="E152" s="1126"/>
      <c r="F152" s="741"/>
      <c r="G152" s="1703"/>
      <c r="H152" s="482"/>
      <c r="I152" s="473"/>
      <c r="J152" s="3456" t="s">
        <v>1329</v>
      </c>
      <c r="K152" s="3481"/>
      <c r="L152" s="3481"/>
      <c r="M152" s="3481"/>
      <c r="N152" s="3481"/>
      <c r="O152" s="3481"/>
      <c r="P152" s="3481"/>
      <c r="Q152" s="466">
        <v>1</v>
      </c>
      <c r="R152" s="547" t="s">
        <v>840</v>
      </c>
      <c r="S152" s="546">
        <v>60000</v>
      </c>
      <c r="T152" s="466" t="s">
        <v>831</v>
      </c>
      <c r="U152" s="1938"/>
      <c r="V152" s="366">
        <v>35</v>
      </c>
      <c r="W152" s="466" t="s">
        <v>837</v>
      </c>
      <c r="X152" s="466" t="s">
        <v>129</v>
      </c>
      <c r="Y152" s="740">
        <f t="shared" si="24"/>
        <v>2100</v>
      </c>
      <c r="Z152" s="355">
        <f t="shared" si="25"/>
        <v>2100000</v>
      </c>
      <c r="AA152" s="262"/>
      <c r="AB152" s="505"/>
      <c r="AC152" s="347"/>
      <c r="AD152" s="347"/>
    </row>
    <row r="153" spans="1:30" s="1675" customFormat="1" ht="24" customHeight="1">
      <c r="A153" s="1645"/>
      <c r="B153" s="1648"/>
      <c r="C153" s="1154"/>
      <c r="D153" s="433"/>
      <c r="E153" s="1126"/>
      <c r="F153" s="741"/>
      <c r="G153" s="1703"/>
      <c r="H153" s="482"/>
      <c r="I153" s="473"/>
      <c r="J153" s="3456" t="s">
        <v>1330</v>
      </c>
      <c r="K153" s="3457"/>
      <c r="L153" s="3457"/>
      <c r="M153" s="3457"/>
      <c r="N153" s="1011"/>
      <c r="O153" s="1011"/>
      <c r="P153" s="1011"/>
      <c r="Q153" s="466">
        <v>2</v>
      </c>
      <c r="R153" s="547" t="s">
        <v>840</v>
      </c>
      <c r="S153" s="546">
        <v>100000</v>
      </c>
      <c r="T153" s="466" t="s">
        <v>831</v>
      </c>
      <c r="U153" s="1938"/>
      <c r="V153" s="366">
        <v>15</v>
      </c>
      <c r="W153" s="466" t="s">
        <v>837</v>
      </c>
      <c r="X153" s="466"/>
      <c r="Y153" s="740">
        <f t="shared" si="24"/>
        <v>3000</v>
      </c>
      <c r="Z153" s="355">
        <f t="shared" si="25"/>
        <v>3000000</v>
      </c>
      <c r="AA153" s="262"/>
      <c r="AB153" s="505"/>
      <c r="AC153" s="347"/>
      <c r="AD153" s="347"/>
    </row>
    <row r="154" spans="1:30" s="1675" customFormat="1" ht="24" customHeight="1">
      <c r="A154" s="1645"/>
      <c r="B154" s="1648"/>
      <c r="C154" s="1154"/>
      <c r="D154" s="433"/>
      <c r="E154" s="1126"/>
      <c r="F154" s="741"/>
      <c r="G154" s="1703"/>
      <c r="H154" s="482"/>
      <c r="I154" s="473"/>
      <c r="J154" s="3456" t="s">
        <v>1331</v>
      </c>
      <c r="K154" s="3481"/>
      <c r="L154" s="3481"/>
      <c r="M154" s="3481"/>
      <c r="N154" s="3481"/>
      <c r="O154" s="3481"/>
      <c r="P154" s="3481"/>
      <c r="Q154" s="466">
        <v>1</v>
      </c>
      <c r="R154" s="547" t="s">
        <v>840</v>
      </c>
      <c r="S154" s="546">
        <v>60000</v>
      </c>
      <c r="T154" s="466" t="s">
        <v>831</v>
      </c>
      <c r="U154" s="1938"/>
      <c r="V154" s="366">
        <v>30</v>
      </c>
      <c r="W154" s="466" t="s">
        <v>837</v>
      </c>
      <c r="X154" s="466" t="s">
        <v>129</v>
      </c>
      <c r="Y154" s="740">
        <f t="shared" si="24"/>
        <v>1800</v>
      </c>
      <c r="Z154" s="355">
        <f t="shared" si="25"/>
        <v>1800000</v>
      </c>
      <c r="AA154" s="262"/>
      <c r="AB154" s="505"/>
      <c r="AC154" s="347"/>
      <c r="AD154" s="347"/>
    </row>
    <row r="155" spans="1:30" s="1675" customFormat="1" ht="24" customHeight="1">
      <c r="A155" s="1645"/>
      <c r="B155" s="1648"/>
      <c r="C155" s="1154"/>
      <c r="D155" s="433"/>
      <c r="E155" s="1126" t="s">
        <v>56</v>
      </c>
      <c r="F155" s="741">
        <f t="shared" si="23"/>
        <v>800</v>
      </c>
      <c r="G155" s="1703">
        <v>800</v>
      </c>
      <c r="H155" s="482"/>
      <c r="I155" s="473"/>
      <c r="J155" s="3456" t="s">
        <v>1332</v>
      </c>
      <c r="K155" s="3481"/>
      <c r="L155" s="3481"/>
      <c r="M155" s="3481"/>
      <c r="N155" s="3481"/>
      <c r="O155" s="3481"/>
      <c r="P155" s="3481"/>
      <c r="Q155" s="466">
        <v>1</v>
      </c>
      <c r="R155" s="547" t="s">
        <v>1317</v>
      </c>
      <c r="S155" s="546">
        <v>100000</v>
      </c>
      <c r="T155" s="466" t="s">
        <v>831</v>
      </c>
      <c r="U155" s="1938"/>
      <c r="V155" s="366">
        <v>8</v>
      </c>
      <c r="W155" s="466" t="s">
        <v>837</v>
      </c>
      <c r="X155" s="466" t="s">
        <v>129</v>
      </c>
      <c r="Y155" s="740">
        <f t="shared" si="24"/>
        <v>800</v>
      </c>
      <c r="Z155" s="355">
        <f t="shared" si="25"/>
        <v>800000</v>
      </c>
      <c r="AA155" s="262"/>
      <c r="AB155" s="505"/>
      <c r="AC155" s="347"/>
      <c r="AD155" s="347"/>
    </row>
    <row r="156" spans="1:30" s="1675" customFormat="1" ht="24" customHeight="1">
      <c r="A156" s="1645"/>
      <c r="B156" s="1648"/>
      <c r="C156" s="1154"/>
      <c r="D156" s="433"/>
      <c r="E156" s="1126" t="s">
        <v>55</v>
      </c>
      <c r="F156" s="741">
        <f t="shared" si="23"/>
        <v>1000</v>
      </c>
      <c r="G156" s="1703">
        <v>1000</v>
      </c>
      <c r="H156" s="482"/>
      <c r="I156" s="473"/>
      <c r="J156" s="3477" t="s">
        <v>1333</v>
      </c>
      <c r="K156" s="3482"/>
      <c r="L156" s="3482"/>
      <c r="M156" s="3482"/>
      <c r="N156" s="3482"/>
      <c r="O156" s="3482"/>
      <c r="P156" s="3482"/>
      <c r="Q156" s="466">
        <v>5</v>
      </c>
      <c r="R156" s="547" t="s">
        <v>840</v>
      </c>
      <c r="S156" s="546">
        <v>10000</v>
      </c>
      <c r="T156" s="466" t="s">
        <v>831</v>
      </c>
      <c r="U156" s="1938"/>
      <c r="V156" s="366">
        <v>20</v>
      </c>
      <c r="W156" s="466" t="s">
        <v>837</v>
      </c>
      <c r="X156" s="466"/>
      <c r="Y156" s="740">
        <f t="shared" si="24"/>
        <v>1000</v>
      </c>
      <c r="Z156" s="355">
        <f t="shared" si="25"/>
        <v>1000000</v>
      </c>
      <c r="AA156" s="262"/>
      <c r="AB156" s="505"/>
      <c r="AC156" s="347"/>
      <c r="AD156" s="347"/>
    </row>
    <row r="157" spans="1:30" s="1675" customFormat="1" ht="23.45" customHeight="1">
      <c r="A157" s="348"/>
      <c r="B157" s="1126"/>
      <c r="C157" s="1145"/>
      <c r="D157" s="2575" t="s">
        <v>3315</v>
      </c>
      <c r="E157" s="1922"/>
      <c r="F157" s="538">
        <f>SUM(F158:F166)</f>
        <v>16000</v>
      </c>
      <c r="G157" s="538">
        <f>SUM(G158:G166)</f>
        <v>16000</v>
      </c>
      <c r="H157" s="388">
        <f>F157-G157</f>
        <v>0</v>
      </c>
      <c r="I157" s="473"/>
      <c r="J157" s="2165"/>
      <c r="K157" s="2166"/>
      <c r="L157" s="2166"/>
      <c r="M157" s="2166"/>
      <c r="N157" s="2166"/>
      <c r="O157" s="2166"/>
      <c r="P157" s="2166"/>
      <c r="Q157" s="1364"/>
      <c r="R157" s="2142"/>
      <c r="S157" s="1136"/>
      <c r="T157" s="1936"/>
      <c r="U157" s="1936"/>
      <c r="V157" s="521"/>
      <c r="W157" s="1936"/>
      <c r="X157" s="1936"/>
      <c r="Y157" s="2143"/>
      <c r="Z157" s="503"/>
      <c r="AA157" s="262"/>
      <c r="AB157" s="505"/>
      <c r="AC157" s="347"/>
      <c r="AD157" s="347"/>
    </row>
    <row r="158" spans="1:30" s="357" customFormat="1" ht="23.45" customHeight="1">
      <c r="A158" s="348"/>
      <c r="B158" s="1126"/>
      <c r="C158" s="471"/>
      <c r="D158" s="542"/>
      <c r="E158" s="543" t="s">
        <v>927</v>
      </c>
      <c r="F158" s="741">
        <f>+Y158</f>
        <v>3000</v>
      </c>
      <c r="G158" s="1141">
        <v>3000</v>
      </c>
      <c r="H158" s="2148"/>
      <c r="I158" s="473"/>
      <c r="J158" s="3456" t="s">
        <v>1334</v>
      </c>
      <c r="K158" s="3457"/>
      <c r="L158" s="3457"/>
      <c r="M158" s="3457"/>
      <c r="N158" s="3457"/>
      <c r="O158" s="3457"/>
      <c r="P158" s="3457"/>
      <c r="Q158" s="466">
        <v>2</v>
      </c>
      <c r="R158" s="547" t="s">
        <v>28</v>
      </c>
      <c r="S158" s="546">
        <v>1500000</v>
      </c>
      <c r="T158" s="466" t="s">
        <v>0</v>
      </c>
      <c r="U158" s="1938"/>
      <c r="V158" s="366">
        <v>1</v>
      </c>
      <c r="W158" s="466" t="s">
        <v>6</v>
      </c>
      <c r="X158" s="466" t="s">
        <v>129</v>
      </c>
      <c r="Y158" s="740">
        <f t="shared" ref="Y158:Y166" si="26">Z158/1000</f>
        <v>3000</v>
      </c>
      <c r="Z158" s="355">
        <f>Q158*S158*V158</f>
        <v>3000000</v>
      </c>
      <c r="AA158" s="262"/>
      <c r="AB158" s="505"/>
      <c r="AC158" s="358"/>
      <c r="AD158" s="358"/>
    </row>
    <row r="159" spans="1:30" s="357" customFormat="1" ht="23.45" customHeight="1">
      <c r="A159" s="348"/>
      <c r="B159" s="1126"/>
      <c r="C159" s="471"/>
      <c r="D159" s="542"/>
      <c r="E159" s="543" t="s">
        <v>851</v>
      </c>
      <c r="F159" s="741">
        <f>+Y159</f>
        <v>2350</v>
      </c>
      <c r="G159" s="1141">
        <v>2350</v>
      </c>
      <c r="H159" s="2148"/>
      <c r="I159" s="473"/>
      <c r="J159" s="3456" t="s">
        <v>1335</v>
      </c>
      <c r="K159" s="3457"/>
      <c r="L159" s="3457"/>
      <c r="M159" s="3457"/>
      <c r="N159" s="3457"/>
      <c r="O159" s="3457"/>
      <c r="P159" s="3457"/>
      <c r="Q159" s="466">
        <v>4</v>
      </c>
      <c r="R159" s="547" t="s">
        <v>28</v>
      </c>
      <c r="S159" s="546">
        <v>587500</v>
      </c>
      <c r="T159" s="466" t="s">
        <v>0</v>
      </c>
      <c r="U159" s="1938"/>
      <c r="V159" s="366">
        <v>1</v>
      </c>
      <c r="W159" s="466" t="s">
        <v>6</v>
      </c>
      <c r="X159" s="466" t="s">
        <v>129</v>
      </c>
      <c r="Y159" s="740">
        <f t="shared" si="26"/>
        <v>2350</v>
      </c>
      <c r="Z159" s="355">
        <f>Q159*S159*V159</f>
        <v>2350000</v>
      </c>
      <c r="AA159" s="262"/>
      <c r="AB159" s="505"/>
      <c r="AC159" s="358"/>
      <c r="AD159" s="358"/>
    </row>
    <row r="160" spans="1:30" s="357" customFormat="1" ht="23.45" customHeight="1">
      <c r="A160" s="348"/>
      <c r="B160" s="1126"/>
      <c r="C160" s="471"/>
      <c r="D160" s="542"/>
      <c r="E160" s="543" t="s">
        <v>875</v>
      </c>
      <c r="F160" s="741">
        <f>+Y160</f>
        <v>200</v>
      </c>
      <c r="G160" s="1141">
        <v>200</v>
      </c>
      <c r="H160" s="2148"/>
      <c r="I160" s="473"/>
      <c r="J160" s="3456" t="s">
        <v>1336</v>
      </c>
      <c r="K160" s="3457"/>
      <c r="L160" s="3457"/>
      <c r="M160" s="3457"/>
      <c r="N160" s="3457"/>
      <c r="O160" s="3457"/>
      <c r="P160" s="3457"/>
      <c r="Q160" s="466">
        <v>2</v>
      </c>
      <c r="R160" s="547" t="s">
        <v>23</v>
      </c>
      <c r="S160" s="546">
        <v>20000</v>
      </c>
      <c r="T160" s="466" t="s">
        <v>0</v>
      </c>
      <c r="U160" s="1938"/>
      <c r="V160" s="366">
        <v>5</v>
      </c>
      <c r="W160" s="466" t="s">
        <v>3</v>
      </c>
      <c r="X160" s="466" t="s">
        <v>1337</v>
      </c>
      <c r="Y160" s="740">
        <f t="shared" si="26"/>
        <v>200</v>
      </c>
      <c r="Z160" s="355">
        <f>Q160*S160*V160</f>
        <v>200000</v>
      </c>
      <c r="AA160" s="262"/>
      <c r="AB160" s="505"/>
      <c r="AC160" s="358"/>
      <c r="AD160" s="358"/>
    </row>
    <row r="161" spans="1:36" s="357" customFormat="1" ht="23.45" customHeight="1">
      <c r="A161" s="348"/>
      <c r="B161" s="1126"/>
      <c r="C161" s="471"/>
      <c r="D161" s="542"/>
      <c r="E161" s="543" t="s">
        <v>1338</v>
      </c>
      <c r="F161" s="741">
        <f>+Y161</f>
        <v>6200</v>
      </c>
      <c r="G161" s="1141">
        <v>6200</v>
      </c>
      <c r="H161" s="2148"/>
      <c r="I161" s="473"/>
      <c r="J161" s="3456" t="s">
        <v>589</v>
      </c>
      <c r="K161" s="3457"/>
      <c r="L161" s="3457"/>
      <c r="M161" s="3457"/>
      <c r="N161" s="3457"/>
      <c r="O161" s="3457"/>
      <c r="P161" s="3457"/>
      <c r="Q161" s="1675"/>
      <c r="R161" s="1675"/>
      <c r="S161" s="1675"/>
      <c r="T161" s="1675"/>
      <c r="U161" s="1675"/>
      <c r="V161" s="1675"/>
      <c r="W161" s="1675"/>
      <c r="X161" s="1675"/>
      <c r="Y161" s="740">
        <f>SUM(Y162:Y164)</f>
        <v>6200</v>
      </c>
      <c r="Z161" s="656">
        <f>SUM(Z162:Z164)</f>
        <v>6200000</v>
      </c>
      <c r="AA161" s="262"/>
      <c r="AB161" s="505"/>
      <c r="AC161" s="358"/>
      <c r="AD161" s="358"/>
    </row>
    <row r="162" spans="1:36" s="357" customFormat="1" ht="23.45" customHeight="1">
      <c r="A162" s="348"/>
      <c r="B162" s="1126"/>
      <c r="C162" s="471"/>
      <c r="D162" s="542"/>
      <c r="E162" s="543"/>
      <c r="F162" s="741"/>
      <c r="G162" s="1141"/>
      <c r="H162" s="2148"/>
      <c r="I162" s="473"/>
      <c r="J162" s="3456" t="s">
        <v>1339</v>
      </c>
      <c r="K162" s="3457"/>
      <c r="L162" s="3457"/>
      <c r="M162" s="3457"/>
      <c r="N162" s="3457"/>
      <c r="O162" s="3457"/>
      <c r="P162" s="3457"/>
      <c r="Q162" s="466">
        <v>1</v>
      </c>
      <c r="R162" s="547" t="s">
        <v>23</v>
      </c>
      <c r="S162" s="546">
        <v>200000</v>
      </c>
      <c r="T162" s="466" t="s">
        <v>0</v>
      </c>
      <c r="U162" s="1938"/>
      <c r="V162" s="366">
        <v>20</v>
      </c>
      <c r="W162" s="466" t="s">
        <v>3</v>
      </c>
      <c r="X162" s="466" t="s">
        <v>129</v>
      </c>
      <c r="Y162" s="740">
        <f t="shared" si="26"/>
        <v>4000</v>
      </c>
      <c r="Z162" s="355">
        <f>Q162*S162*V162</f>
        <v>4000000</v>
      </c>
      <c r="AA162" s="262"/>
      <c r="AB162" s="505"/>
      <c r="AC162" s="358"/>
      <c r="AD162" s="358"/>
    </row>
    <row r="163" spans="1:36" s="357" customFormat="1" ht="23.45" customHeight="1">
      <c r="A163" s="348"/>
      <c r="B163" s="1126"/>
      <c r="C163" s="471"/>
      <c r="D163" s="542"/>
      <c r="E163" s="543"/>
      <c r="F163" s="741"/>
      <c r="G163" s="1141"/>
      <c r="H163" s="2148"/>
      <c r="I163" s="473"/>
      <c r="J163" s="3456" t="s">
        <v>1340</v>
      </c>
      <c r="K163" s="3457"/>
      <c r="L163" s="3457"/>
      <c r="M163" s="3457"/>
      <c r="N163" s="3457"/>
      <c r="O163" s="3457"/>
      <c r="P163" s="3457"/>
      <c r="Q163" s="466">
        <v>1</v>
      </c>
      <c r="R163" s="547" t="s">
        <v>23</v>
      </c>
      <c r="S163" s="546">
        <v>60000</v>
      </c>
      <c r="T163" s="466" t="s">
        <v>0</v>
      </c>
      <c r="U163" s="1938"/>
      <c r="V163" s="366">
        <v>20</v>
      </c>
      <c r="W163" s="466" t="s">
        <v>3</v>
      </c>
      <c r="X163" s="466" t="s">
        <v>1337</v>
      </c>
      <c r="Y163" s="740">
        <f t="shared" si="26"/>
        <v>1200</v>
      </c>
      <c r="Z163" s="355">
        <f>Q163*S163*V163</f>
        <v>1200000</v>
      </c>
      <c r="AA163" s="262"/>
      <c r="AB163" s="505"/>
      <c r="AC163" s="358"/>
      <c r="AD163" s="358"/>
    </row>
    <row r="164" spans="1:36" s="357" customFormat="1" ht="23.45" customHeight="1">
      <c r="A164" s="348"/>
      <c r="B164" s="1126"/>
      <c r="C164" s="471"/>
      <c r="D164" s="542"/>
      <c r="E164" s="543"/>
      <c r="F164" s="741"/>
      <c r="G164" s="1141"/>
      <c r="H164" s="2148"/>
      <c r="I164" s="473"/>
      <c r="J164" s="3456" t="s">
        <v>1341</v>
      </c>
      <c r="K164" s="3457"/>
      <c r="L164" s="3457"/>
      <c r="M164" s="3457"/>
      <c r="N164" s="3457"/>
      <c r="O164" s="3457"/>
      <c r="P164" s="3457"/>
      <c r="Q164" s="466"/>
      <c r="R164" s="547"/>
      <c r="S164" s="546">
        <v>250000</v>
      </c>
      <c r="T164" s="466" t="s">
        <v>1342</v>
      </c>
      <c r="U164" s="1938"/>
      <c r="V164" s="366">
        <v>4</v>
      </c>
      <c r="W164" s="466" t="s">
        <v>1343</v>
      </c>
      <c r="X164" s="466" t="s">
        <v>1337</v>
      </c>
      <c r="Y164" s="740">
        <f t="shared" si="26"/>
        <v>1000</v>
      </c>
      <c r="Z164" s="355">
        <f>S164*V164</f>
        <v>1000000</v>
      </c>
      <c r="AA164" s="262"/>
      <c r="AB164" s="505"/>
      <c r="AC164" s="358"/>
      <c r="AD164" s="358"/>
    </row>
    <row r="165" spans="1:36" s="357" customFormat="1" ht="23.45" customHeight="1">
      <c r="A165" s="348"/>
      <c r="B165" s="1126"/>
      <c r="C165" s="471"/>
      <c r="D165" s="542"/>
      <c r="E165" s="543" t="s">
        <v>1344</v>
      </c>
      <c r="F165" s="741">
        <f>Y165</f>
        <v>4000</v>
      </c>
      <c r="G165" s="1141">
        <v>4000</v>
      </c>
      <c r="H165" s="2148"/>
      <c r="I165" s="473"/>
      <c r="J165" s="3456" t="s">
        <v>1345</v>
      </c>
      <c r="K165" s="3457"/>
      <c r="L165" s="3457"/>
      <c r="M165" s="3457"/>
      <c r="N165" s="3457"/>
      <c r="O165" s="3457"/>
      <c r="P165" s="3457"/>
      <c r="Q165" s="466">
        <v>1</v>
      </c>
      <c r="R165" s="547" t="s">
        <v>7</v>
      </c>
      <c r="S165" s="546">
        <v>2000000</v>
      </c>
      <c r="T165" s="466" t="s">
        <v>0</v>
      </c>
      <c r="U165" s="1938"/>
      <c r="V165" s="366">
        <v>2</v>
      </c>
      <c r="W165" s="466" t="s">
        <v>6</v>
      </c>
      <c r="X165" s="466" t="s">
        <v>129</v>
      </c>
      <c r="Y165" s="740">
        <f t="shared" si="26"/>
        <v>4000</v>
      </c>
      <c r="Z165" s="355">
        <f>Q165*S165*V165</f>
        <v>4000000</v>
      </c>
      <c r="AA165" s="262"/>
      <c r="AB165" s="505"/>
      <c r="AC165" s="358"/>
      <c r="AD165" s="358"/>
    </row>
    <row r="166" spans="1:36" s="357" customFormat="1" ht="23.45" customHeight="1">
      <c r="A166" s="348"/>
      <c r="B166" s="1126"/>
      <c r="C166" s="471"/>
      <c r="D166" s="1952"/>
      <c r="E166" s="543" t="s">
        <v>1346</v>
      </c>
      <c r="F166" s="741">
        <f>+Y166</f>
        <v>250</v>
      </c>
      <c r="G166" s="1141">
        <v>250</v>
      </c>
      <c r="H166" s="2148"/>
      <c r="I166" s="473"/>
      <c r="J166" s="3456" t="s">
        <v>1347</v>
      </c>
      <c r="K166" s="3457"/>
      <c r="L166" s="3457"/>
      <c r="M166" s="3457"/>
      <c r="N166" s="3457"/>
      <c r="O166" s="3457"/>
      <c r="P166" s="3457"/>
      <c r="Q166" s="466">
        <v>5</v>
      </c>
      <c r="R166" s="547" t="s">
        <v>1348</v>
      </c>
      <c r="S166" s="546">
        <v>10000</v>
      </c>
      <c r="T166" s="466" t="s">
        <v>0</v>
      </c>
      <c r="U166" s="1938"/>
      <c r="V166" s="366">
        <v>5</v>
      </c>
      <c r="W166" s="466" t="s">
        <v>1349</v>
      </c>
      <c r="X166" s="466" t="s">
        <v>129</v>
      </c>
      <c r="Y166" s="740">
        <f t="shared" si="26"/>
        <v>250</v>
      </c>
      <c r="Z166" s="355">
        <f>Q166*S166*V166</f>
        <v>250000</v>
      </c>
      <c r="AA166" s="262"/>
      <c r="AB166" s="505"/>
      <c r="AC166" s="358"/>
      <c r="AD166" s="358"/>
    </row>
    <row r="167" spans="1:36" s="357" customFormat="1" ht="23.45" customHeight="1">
      <c r="A167" s="348"/>
      <c r="B167" s="1126"/>
      <c r="C167" s="471"/>
      <c r="D167" s="1925" t="s">
        <v>1350</v>
      </c>
      <c r="E167" s="1922"/>
      <c r="F167" s="538">
        <f>SUM(F168:F174)</f>
        <v>10000</v>
      </c>
      <c r="G167" s="538">
        <f>SUM(G168:G174)</f>
        <v>10000</v>
      </c>
      <c r="H167" s="388">
        <f>F167-G167</f>
        <v>0</v>
      </c>
      <c r="I167" s="473"/>
      <c r="J167" s="2165"/>
      <c r="K167" s="2166"/>
      <c r="L167" s="2166"/>
      <c r="M167" s="2166"/>
      <c r="N167" s="2166"/>
      <c r="O167" s="2166"/>
      <c r="P167" s="2166"/>
      <c r="Q167" s="1364">
        <v>3</v>
      </c>
      <c r="R167" s="2142"/>
      <c r="S167" s="1136"/>
      <c r="T167" s="1936"/>
      <c r="U167" s="1936"/>
      <c r="V167" s="521"/>
      <c r="W167" s="1936"/>
      <c r="X167" s="1936"/>
      <c r="Y167" s="2143"/>
      <c r="Z167" s="503"/>
      <c r="AA167" s="262"/>
      <c r="AB167" s="505"/>
      <c r="AC167" s="358"/>
      <c r="AD167" s="358"/>
    </row>
    <row r="168" spans="1:36" ht="23.45" customHeight="1">
      <c r="A168" s="348"/>
      <c r="B168" s="1126"/>
      <c r="C168" s="471"/>
      <c r="D168" s="542"/>
      <c r="E168" s="542" t="s">
        <v>199</v>
      </c>
      <c r="F168" s="741">
        <f t="shared" ref="F168:F172" si="27">Y168</f>
        <v>2000</v>
      </c>
      <c r="G168" s="1141">
        <v>2000</v>
      </c>
      <c r="H168" s="2148"/>
      <c r="I168" s="473"/>
      <c r="J168" s="3458" t="s">
        <v>2865</v>
      </c>
      <c r="K168" s="3459"/>
      <c r="L168" s="3459"/>
      <c r="M168" s="3459"/>
      <c r="N168" s="3459"/>
      <c r="O168" s="3459"/>
      <c r="P168" s="3459"/>
      <c r="Q168" s="2381">
        <v>1</v>
      </c>
      <c r="R168" s="2428" t="s">
        <v>28</v>
      </c>
      <c r="S168" s="2429">
        <v>2000000</v>
      </c>
      <c r="T168" s="2381" t="s">
        <v>0</v>
      </c>
      <c r="U168" s="1781"/>
      <c r="V168" s="530">
        <v>1</v>
      </c>
      <c r="W168" s="2381" t="s">
        <v>6</v>
      </c>
      <c r="X168" s="2381" t="s">
        <v>1325</v>
      </c>
      <c r="Y168" s="2430">
        <f t="shared" ref="Y168" si="28">Z168/1000</f>
        <v>2000</v>
      </c>
      <c r="Z168" s="637">
        <f t="shared" ref="Z168" si="29">Q168*S168*V168</f>
        <v>2000000</v>
      </c>
      <c r="AA168" s="262"/>
      <c r="AB168" s="505"/>
    </row>
    <row r="169" spans="1:36" s="357" customFormat="1" ht="23.45" customHeight="1">
      <c r="A169" s="348"/>
      <c r="B169" s="1126"/>
      <c r="C169" s="471"/>
      <c r="D169" s="542"/>
      <c r="E169" s="542" t="s">
        <v>300</v>
      </c>
      <c r="F169" s="741">
        <f t="shared" si="27"/>
        <v>4400</v>
      </c>
      <c r="G169" s="1141">
        <v>4400</v>
      </c>
      <c r="H169" s="2148"/>
      <c r="I169" s="473"/>
      <c r="J169" s="3458" t="s">
        <v>1352</v>
      </c>
      <c r="K169" s="3459"/>
      <c r="L169" s="3459"/>
      <c r="M169" s="3459"/>
      <c r="N169" s="3459"/>
      <c r="O169" s="3459"/>
      <c r="P169" s="3459"/>
      <c r="Q169" s="2381">
        <v>10</v>
      </c>
      <c r="R169" s="2428" t="s">
        <v>466</v>
      </c>
      <c r="S169" s="2429">
        <v>440000</v>
      </c>
      <c r="T169" s="2381" t="s">
        <v>0</v>
      </c>
      <c r="U169" s="1781"/>
      <c r="V169" s="530">
        <v>1</v>
      </c>
      <c r="W169" s="2381" t="s">
        <v>6</v>
      </c>
      <c r="X169" s="2381" t="s">
        <v>2866</v>
      </c>
      <c r="Y169" s="2430">
        <f t="shared" ref="Y169:Y174" si="30">Z169/1000</f>
        <v>4400</v>
      </c>
      <c r="Z169" s="637">
        <f t="shared" ref="Z169:Z174" si="31">Q169*S169*V169</f>
        <v>4400000</v>
      </c>
      <c r="AA169" s="262"/>
      <c r="AB169" s="505"/>
      <c r="AC169" s="358"/>
      <c r="AD169" s="358"/>
    </row>
    <row r="170" spans="1:36" ht="23.45" customHeight="1">
      <c r="A170" s="348"/>
      <c r="B170" s="1126"/>
      <c r="C170" s="471"/>
      <c r="D170" s="542"/>
      <c r="E170" s="543" t="s">
        <v>462</v>
      </c>
      <c r="F170" s="741">
        <f t="shared" si="27"/>
        <v>200</v>
      </c>
      <c r="G170" s="1141">
        <v>200</v>
      </c>
      <c r="H170" s="2148"/>
      <c r="I170" s="473"/>
      <c r="J170" s="3458" t="s">
        <v>2867</v>
      </c>
      <c r="K170" s="3459"/>
      <c r="L170" s="3459"/>
      <c r="M170" s="3459"/>
      <c r="N170" s="3459"/>
      <c r="O170" s="3459"/>
      <c r="P170" s="3459"/>
      <c r="Q170" s="2381">
        <v>2</v>
      </c>
      <c r="R170" s="2428" t="s">
        <v>23</v>
      </c>
      <c r="S170" s="2429">
        <v>20000</v>
      </c>
      <c r="T170" s="2381" t="s">
        <v>0</v>
      </c>
      <c r="U170" s="1781"/>
      <c r="V170" s="530">
        <v>5</v>
      </c>
      <c r="W170" s="2381" t="s">
        <v>3</v>
      </c>
      <c r="X170" s="2381" t="s">
        <v>2866</v>
      </c>
      <c r="Y170" s="2430">
        <f t="shared" si="30"/>
        <v>200</v>
      </c>
      <c r="Z170" s="637">
        <f t="shared" si="31"/>
        <v>200000</v>
      </c>
      <c r="AA170" s="262"/>
      <c r="AB170" s="505"/>
    </row>
    <row r="171" spans="1:36" s="1938" customFormat="1" ht="23.45" customHeight="1">
      <c r="A171" s="910"/>
      <c r="C171" s="471"/>
      <c r="D171" s="542"/>
      <c r="E171" s="542" t="s">
        <v>269</v>
      </c>
      <c r="F171" s="741">
        <f t="shared" si="27"/>
        <v>1200</v>
      </c>
      <c r="G171" s="1141">
        <v>1200</v>
      </c>
      <c r="H171" s="2148"/>
      <c r="I171" s="473"/>
      <c r="J171" s="3458" t="s">
        <v>2868</v>
      </c>
      <c r="K171" s="3459"/>
      <c r="L171" s="3459"/>
      <c r="M171" s="3459"/>
      <c r="N171" s="3459"/>
      <c r="O171" s="3459"/>
      <c r="P171" s="3459"/>
      <c r="Q171" s="2381">
        <v>2</v>
      </c>
      <c r="R171" s="2428" t="s">
        <v>23</v>
      </c>
      <c r="S171" s="2429">
        <v>60000</v>
      </c>
      <c r="T171" s="2381" t="s">
        <v>0</v>
      </c>
      <c r="U171" s="1781"/>
      <c r="V171" s="530">
        <v>10</v>
      </c>
      <c r="W171" s="2381" t="s">
        <v>3</v>
      </c>
      <c r="X171" s="2381" t="s">
        <v>2866</v>
      </c>
      <c r="Y171" s="2430">
        <f t="shared" si="30"/>
        <v>1200</v>
      </c>
      <c r="Z171" s="637">
        <f t="shared" si="31"/>
        <v>1200000</v>
      </c>
      <c r="AA171" s="262"/>
      <c r="AB171" s="505"/>
      <c r="AC171" s="275"/>
      <c r="AD171" s="275"/>
    </row>
    <row r="172" spans="1:36" ht="23.45" customHeight="1">
      <c r="A172" s="910"/>
      <c r="B172" s="1938"/>
      <c r="C172" s="471"/>
      <c r="D172" s="542"/>
      <c r="E172" s="542" t="s">
        <v>223</v>
      </c>
      <c r="F172" s="741">
        <f t="shared" si="27"/>
        <v>1600</v>
      </c>
      <c r="G172" s="1141">
        <v>1600</v>
      </c>
      <c r="H172" s="2148"/>
      <c r="I172" s="473"/>
      <c r="J172" s="3458" t="s">
        <v>2869</v>
      </c>
      <c r="K172" s="3459"/>
      <c r="L172" s="3459"/>
      <c r="M172" s="3459"/>
      <c r="N172" s="3459"/>
      <c r="O172" s="3459"/>
      <c r="P172" s="3459"/>
      <c r="Q172" s="2381">
        <v>6</v>
      </c>
      <c r="R172" s="2428" t="s">
        <v>28</v>
      </c>
      <c r="S172" s="2429">
        <v>266666.66666666669</v>
      </c>
      <c r="T172" s="2381" t="s">
        <v>0</v>
      </c>
      <c r="U172" s="1781"/>
      <c r="V172" s="530">
        <v>1</v>
      </c>
      <c r="W172" s="2381" t="s">
        <v>6</v>
      </c>
      <c r="X172" s="2381" t="s">
        <v>2866</v>
      </c>
      <c r="Y172" s="2430">
        <f t="shared" si="30"/>
        <v>1600</v>
      </c>
      <c r="Z172" s="637">
        <f t="shared" si="31"/>
        <v>1600000</v>
      </c>
      <c r="AA172" s="262"/>
      <c r="AB172" s="505"/>
    </row>
    <row r="173" spans="1:36" ht="23.45" customHeight="1">
      <c r="A173" s="910"/>
      <c r="B173" s="1938"/>
      <c r="C173" s="471"/>
      <c r="D173" s="542"/>
      <c r="E173" s="542" t="s">
        <v>67</v>
      </c>
      <c r="F173" s="741">
        <f>Y173</f>
        <v>390</v>
      </c>
      <c r="G173" s="1141">
        <v>390</v>
      </c>
      <c r="H173" s="2148"/>
      <c r="I173" s="473"/>
      <c r="J173" s="3458" t="s">
        <v>2870</v>
      </c>
      <c r="K173" s="3459"/>
      <c r="L173" s="3459"/>
      <c r="M173" s="3459"/>
      <c r="N173" s="3459"/>
      <c r="O173" s="3459"/>
      <c r="P173" s="3459"/>
      <c r="Q173" s="2381">
        <v>2</v>
      </c>
      <c r="R173" s="2428" t="s">
        <v>28</v>
      </c>
      <c r="S173" s="2429">
        <v>195000</v>
      </c>
      <c r="T173" s="2381" t="s">
        <v>0</v>
      </c>
      <c r="U173" s="1781"/>
      <c r="V173" s="530">
        <v>1</v>
      </c>
      <c r="W173" s="2381" t="s">
        <v>6</v>
      </c>
      <c r="X173" s="2381" t="s">
        <v>2866</v>
      </c>
      <c r="Y173" s="2430">
        <f t="shared" si="30"/>
        <v>390</v>
      </c>
      <c r="Z173" s="637">
        <f t="shared" si="31"/>
        <v>390000</v>
      </c>
      <c r="AA173" s="262"/>
      <c r="AB173" s="505"/>
    </row>
    <row r="174" spans="1:36" ht="23.45" customHeight="1">
      <c r="A174" s="910"/>
      <c r="B174" s="2357"/>
      <c r="C174" s="471"/>
      <c r="D174" s="542"/>
      <c r="E174" s="542" t="s">
        <v>303</v>
      </c>
      <c r="F174" s="741">
        <f>Y174</f>
        <v>210</v>
      </c>
      <c r="G174" s="1141">
        <v>210</v>
      </c>
      <c r="H174" s="2148"/>
      <c r="I174" s="473"/>
      <c r="J174" s="3458" t="s">
        <v>2871</v>
      </c>
      <c r="K174" s="3459"/>
      <c r="L174" s="3459"/>
      <c r="M174" s="3459"/>
      <c r="N174" s="3459"/>
      <c r="O174" s="3459"/>
      <c r="P174" s="3459"/>
      <c r="Q174" s="2381">
        <v>3</v>
      </c>
      <c r="R174" s="2428" t="s">
        <v>23</v>
      </c>
      <c r="S174" s="2429">
        <v>10000</v>
      </c>
      <c r="T174" s="2381" t="s">
        <v>0</v>
      </c>
      <c r="U174" s="1781"/>
      <c r="V174" s="530">
        <v>7</v>
      </c>
      <c r="W174" s="2381" t="s">
        <v>3</v>
      </c>
      <c r="X174" s="2381" t="s">
        <v>2866</v>
      </c>
      <c r="Y174" s="2430">
        <f t="shared" si="30"/>
        <v>210</v>
      </c>
      <c r="Z174" s="637">
        <f t="shared" si="31"/>
        <v>210000</v>
      </c>
      <c r="AA174" s="262"/>
      <c r="AB174" s="505"/>
    </row>
    <row r="175" spans="1:36" s="1675" customFormat="1" ht="23.45" customHeight="1">
      <c r="A175" s="910"/>
      <c r="B175" s="1938"/>
      <c r="C175" s="471"/>
      <c r="D175" s="1925" t="s">
        <v>1362</v>
      </c>
      <c r="E175" s="1922"/>
      <c r="F175" s="538">
        <f>SUM(F176:F187)</f>
        <v>82000</v>
      </c>
      <c r="G175" s="538">
        <f>SUM(G176:G187)</f>
        <v>82000</v>
      </c>
      <c r="H175" s="388">
        <f>F175-G175</f>
        <v>0</v>
      </c>
      <c r="I175" s="473"/>
      <c r="J175" s="2165"/>
      <c r="K175" s="2166"/>
      <c r="L175" s="2166"/>
      <c r="M175" s="2166"/>
      <c r="N175" s="2166"/>
      <c r="O175" s="2166"/>
      <c r="P175" s="2166"/>
      <c r="Q175" s="1364"/>
      <c r="R175" s="2142"/>
      <c r="S175" s="1136"/>
      <c r="T175" s="1936"/>
      <c r="U175" s="1936"/>
      <c r="V175" s="521"/>
      <c r="W175" s="1936"/>
      <c r="X175" s="1936"/>
      <c r="Y175" s="2143"/>
      <c r="Z175" s="503"/>
      <c r="AA175" s="262"/>
      <c r="AB175" s="505"/>
      <c r="AC175" s="347"/>
      <c r="AD175" s="347"/>
    </row>
    <row r="176" spans="1:36" s="357" customFormat="1" ht="23.45" customHeight="1">
      <c r="A176" s="1645"/>
      <c r="B176" s="1646"/>
      <c r="C176" s="1126"/>
      <c r="D176" s="433"/>
      <c r="E176" s="2431" t="s">
        <v>566</v>
      </c>
      <c r="F176" s="2432">
        <f>Y176</f>
        <v>30000</v>
      </c>
      <c r="G176" s="511">
        <v>30000</v>
      </c>
      <c r="H176" s="723"/>
      <c r="I176" s="533"/>
      <c r="J176" s="3458" t="s">
        <v>2872</v>
      </c>
      <c r="K176" s="3459"/>
      <c r="L176" s="3459"/>
      <c r="M176" s="3459"/>
      <c r="N176" s="3459"/>
      <c r="O176" s="3459"/>
      <c r="P176" s="3459"/>
      <c r="Q176" s="2381">
        <v>1</v>
      </c>
      <c r="R176" s="2428" t="s">
        <v>23</v>
      </c>
      <c r="S176" s="2429">
        <v>2500000</v>
      </c>
      <c r="T176" s="2381" t="s">
        <v>0</v>
      </c>
      <c r="U176" s="1781"/>
      <c r="V176" s="530">
        <v>12</v>
      </c>
      <c r="W176" s="2381" t="s">
        <v>2</v>
      </c>
      <c r="X176" s="2381" t="s">
        <v>2862</v>
      </c>
      <c r="Y176" s="2430">
        <f>Z176/1000</f>
        <v>30000</v>
      </c>
      <c r="Z176" s="637">
        <f>Q176*S176*V176</f>
        <v>30000000</v>
      </c>
      <c r="AA176" s="262"/>
      <c r="AB176" s="505"/>
      <c r="AC176" s="843"/>
      <c r="AD176" s="843"/>
      <c r="AE176" s="843"/>
      <c r="AF176" s="843"/>
      <c r="AG176" s="843"/>
      <c r="AH176" s="949"/>
      <c r="AI176" s="795"/>
      <c r="AJ176" s="795"/>
    </row>
    <row r="177" spans="1:30" s="357" customFormat="1" ht="23.45" customHeight="1">
      <c r="A177" s="910"/>
      <c r="B177" s="1938"/>
      <c r="C177" s="471"/>
      <c r="D177" s="542"/>
      <c r="E177" s="2433" t="s">
        <v>2842</v>
      </c>
      <c r="F177" s="2432">
        <f>Y177</f>
        <v>4000</v>
      </c>
      <c r="G177" s="511">
        <v>4000</v>
      </c>
      <c r="H177" s="2434"/>
      <c r="I177" s="533"/>
      <c r="J177" s="3458" t="s">
        <v>2803</v>
      </c>
      <c r="K177" s="3459"/>
      <c r="L177" s="3459"/>
      <c r="M177" s="3459"/>
      <c r="N177" s="3459"/>
      <c r="O177" s="3459"/>
      <c r="P177" s="3459"/>
      <c r="Q177" s="2381"/>
      <c r="R177" s="2428"/>
      <c r="S177" s="2429"/>
      <c r="T177" s="2381"/>
      <c r="U177" s="1781"/>
      <c r="V177" s="530"/>
      <c r="W177" s="2381"/>
      <c r="X177" s="2381"/>
      <c r="Y177" s="2430">
        <f>SUM(Y178:Y179)</f>
        <v>4000</v>
      </c>
      <c r="Z177" s="637">
        <f>SUM(Z178:Z179)</f>
        <v>4000000</v>
      </c>
      <c r="AA177" s="262"/>
      <c r="AB177" s="505"/>
      <c r="AC177" s="358"/>
      <c r="AD177" s="358"/>
    </row>
    <row r="178" spans="1:30" s="357" customFormat="1" ht="23.45" customHeight="1">
      <c r="A178" s="910"/>
      <c r="B178" s="1938"/>
      <c r="C178" s="471"/>
      <c r="D178" s="542"/>
      <c r="E178" s="2433"/>
      <c r="F178" s="2432"/>
      <c r="G178" s="511"/>
      <c r="H178" s="2434"/>
      <c r="I178" s="533"/>
      <c r="J178" s="3458" t="s">
        <v>2873</v>
      </c>
      <c r="K178" s="3459"/>
      <c r="L178" s="3459"/>
      <c r="M178" s="3459"/>
      <c r="N178" s="3459"/>
      <c r="O178" s="3459"/>
      <c r="P178" s="3459"/>
      <c r="Q178" s="2381">
        <v>1</v>
      </c>
      <c r="R178" s="2428" t="s">
        <v>28</v>
      </c>
      <c r="S178" s="2429">
        <v>1600</v>
      </c>
      <c r="T178" s="2381" t="s">
        <v>0</v>
      </c>
      <c r="U178" s="1781"/>
      <c r="V178" s="530">
        <v>2000</v>
      </c>
      <c r="W178" s="2381" t="s">
        <v>63</v>
      </c>
      <c r="X178" s="2381" t="s">
        <v>2862</v>
      </c>
      <c r="Y178" s="2430">
        <f>Z178/1000</f>
        <v>3200</v>
      </c>
      <c r="Z178" s="637">
        <f>Q178*S178*V178</f>
        <v>3200000</v>
      </c>
      <c r="AA178" s="262"/>
      <c r="AB178" s="505"/>
      <c r="AC178" s="358"/>
      <c r="AD178" s="358"/>
    </row>
    <row r="179" spans="1:30" s="357" customFormat="1" ht="23.45" customHeight="1">
      <c r="A179" s="910"/>
      <c r="B179" s="1938"/>
      <c r="C179" s="471"/>
      <c r="D179" s="542"/>
      <c r="E179" s="2433"/>
      <c r="F179" s="2432"/>
      <c r="G179" s="511"/>
      <c r="H179" s="2434"/>
      <c r="I179" s="533"/>
      <c r="J179" s="3458" t="s">
        <v>2874</v>
      </c>
      <c r="K179" s="3459"/>
      <c r="L179" s="3459"/>
      <c r="M179" s="3459"/>
      <c r="N179" s="3459"/>
      <c r="O179" s="3459"/>
      <c r="P179" s="3459"/>
      <c r="Q179" s="2381">
        <v>2</v>
      </c>
      <c r="R179" s="2428" t="s">
        <v>28</v>
      </c>
      <c r="S179" s="2429">
        <v>400000</v>
      </c>
      <c r="T179" s="2381" t="s">
        <v>0</v>
      </c>
      <c r="U179" s="1781"/>
      <c r="V179" s="530">
        <v>1</v>
      </c>
      <c r="W179" s="2381" t="s">
        <v>6</v>
      </c>
      <c r="X179" s="2381" t="s">
        <v>2862</v>
      </c>
      <c r="Y179" s="2430">
        <f>Z179/1000</f>
        <v>800</v>
      </c>
      <c r="Z179" s="637">
        <f>Q179*S179*V179</f>
        <v>800000</v>
      </c>
      <c r="AA179" s="262"/>
      <c r="AB179" s="505"/>
      <c r="AC179" s="358"/>
      <c r="AD179" s="358"/>
    </row>
    <row r="180" spans="1:30" s="357" customFormat="1" ht="23.45" customHeight="1">
      <c r="A180" s="348"/>
      <c r="B180" s="1126"/>
      <c r="C180" s="471"/>
      <c r="D180" s="542"/>
      <c r="E180" s="2433" t="s">
        <v>2843</v>
      </c>
      <c r="F180" s="2432">
        <f>Y180</f>
        <v>9300</v>
      </c>
      <c r="G180" s="511">
        <v>9300</v>
      </c>
      <c r="H180" s="723"/>
      <c r="I180" s="533"/>
      <c r="J180" s="3458" t="s">
        <v>2875</v>
      </c>
      <c r="K180" s="3459"/>
      <c r="L180" s="3459"/>
      <c r="M180" s="3459"/>
      <c r="N180" s="3459"/>
      <c r="O180" s="3459"/>
      <c r="P180" s="3459"/>
      <c r="Q180" s="2381">
        <v>10</v>
      </c>
      <c r="R180" s="2428" t="s">
        <v>28</v>
      </c>
      <c r="S180" s="2429">
        <v>930000</v>
      </c>
      <c r="T180" s="2381" t="s">
        <v>0</v>
      </c>
      <c r="U180" s="1781"/>
      <c r="V180" s="530">
        <v>1</v>
      </c>
      <c r="W180" s="2381" t="s">
        <v>6</v>
      </c>
      <c r="X180" s="2381" t="s">
        <v>2862</v>
      </c>
      <c r="Y180" s="2430">
        <f>Z180/1000</f>
        <v>9300</v>
      </c>
      <c r="Z180" s="637">
        <f>Q180*S180*V180</f>
        <v>9300000</v>
      </c>
      <c r="AA180" s="262"/>
      <c r="AB180" s="505"/>
      <c r="AC180" s="358"/>
      <c r="AD180" s="358"/>
    </row>
    <row r="181" spans="1:30" s="357" customFormat="1" ht="23.45" customHeight="1">
      <c r="A181" s="348"/>
      <c r="B181" s="1126"/>
      <c r="C181" s="471"/>
      <c r="D181" s="542"/>
      <c r="E181" s="2433" t="s">
        <v>2817</v>
      </c>
      <c r="F181" s="2432">
        <f>Y181</f>
        <v>200</v>
      </c>
      <c r="G181" s="511">
        <v>200</v>
      </c>
      <c r="H181" s="2434"/>
      <c r="I181" s="533"/>
      <c r="J181" s="3458" t="s">
        <v>2863</v>
      </c>
      <c r="K181" s="3459"/>
      <c r="L181" s="3459"/>
      <c r="M181" s="3459"/>
      <c r="N181" s="3459"/>
      <c r="O181" s="3459"/>
      <c r="P181" s="3459"/>
      <c r="Q181" s="2381">
        <v>2</v>
      </c>
      <c r="R181" s="2428" t="s">
        <v>23</v>
      </c>
      <c r="S181" s="2429">
        <v>20000</v>
      </c>
      <c r="T181" s="2381" t="s">
        <v>0</v>
      </c>
      <c r="U181" s="1781"/>
      <c r="V181" s="530">
        <v>5</v>
      </c>
      <c r="W181" s="2381" t="s">
        <v>3</v>
      </c>
      <c r="X181" s="2381" t="s">
        <v>2862</v>
      </c>
      <c r="Y181" s="2430">
        <f>Z181/1000</f>
        <v>200</v>
      </c>
      <c r="Z181" s="637">
        <f>Q181*S181*V181</f>
        <v>200000</v>
      </c>
      <c r="AA181" s="262"/>
      <c r="AB181" s="505"/>
      <c r="AC181" s="358"/>
      <c r="AD181" s="358"/>
    </row>
    <row r="182" spans="1:30" s="357" customFormat="1" ht="23.45" customHeight="1">
      <c r="A182" s="348"/>
      <c r="B182" s="1126"/>
      <c r="C182" s="471"/>
      <c r="D182" s="542"/>
      <c r="E182" s="2433" t="s">
        <v>2819</v>
      </c>
      <c r="F182" s="2432">
        <f>Y182</f>
        <v>31700</v>
      </c>
      <c r="G182" s="511">
        <v>31700</v>
      </c>
      <c r="H182" s="723"/>
      <c r="I182" s="533"/>
      <c r="J182" s="3458" t="s">
        <v>2803</v>
      </c>
      <c r="K182" s="3459"/>
      <c r="L182" s="3459"/>
      <c r="M182" s="3459"/>
      <c r="N182" s="3459"/>
      <c r="O182" s="3459"/>
      <c r="P182" s="3459"/>
      <c r="Q182" s="2381"/>
      <c r="R182" s="2428"/>
      <c r="S182" s="2429"/>
      <c r="T182" s="2381"/>
      <c r="U182" s="1781"/>
      <c r="V182" s="530"/>
      <c r="W182" s="2381"/>
      <c r="X182" s="2381"/>
      <c r="Y182" s="2430">
        <f>SUM(Y183:Y184)</f>
        <v>31700</v>
      </c>
      <c r="Z182" s="637">
        <f>SUM(Z183:Z184)</f>
        <v>31700000</v>
      </c>
      <c r="AA182" s="262"/>
      <c r="AB182" s="505"/>
      <c r="AC182" s="358"/>
      <c r="AD182" s="358"/>
    </row>
    <row r="183" spans="1:30" s="357" customFormat="1" ht="23.45" customHeight="1">
      <c r="A183" s="348"/>
      <c r="B183" s="1126"/>
      <c r="C183" s="471"/>
      <c r="D183" s="542"/>
      <c r="E183" s="2433"/>
      <c r="F183" s="2432"/>
      <c r="G183" s="511"/>
      <c r="H183" s="2434"/>
      <c r="I183" s="533"/>
      <c r="J183" s="3458" t="s">
        <v>2876</v>
      </c>
      <c r="K183" s="3459"/>
      <c r="L183" s="3459"/>
      <c r="M183" s="3459"/>
      <c r="N183" s="3459"/>
      <c r="O183" s="3459"/>
      <c r="P183" s="3459"/>
      <c r="Q183" s="2381">
        <v>5</v>
      </c>
      <c r="R183" s="2428" t="s">
        <v>23</v>
      </c>
      <c r="S183" s="2429">
        <v>100000</v>
      </c>
      <c r="T183" s="2381" t="s">
        <v>0</v>
      </c>
      <c r="U183" s="1781"/>
      <c r="V183" s="530">
        <v>31</v>
      </c>
      <c r="W183" s="2381" t="s">
        <v>3</v>
      </c>
      <c r="X183" s="2381" t="s">
        <v>2862</v>
      </c>
      <c r="Y183" s="2430">
        <f>Z183/1000</f>
        <v>15500</v>
      </c>
      <c r="Z183" s="637">
        <f>Q183*S183*V183</f>
        <v>15500000</v>
      </c>
      <c r="AA183" s="262"/>
      <c r="AB183" s="505"/>
      <c r="AC183" s="358"/>
      <c r="AD183" s="358"/>
    </row>
    <row r="184" spans="1:30" s="357" customFormat="1" ht="23.45" customHeight="1">
      <c r="A184" s="348"/>
      <c r="B184" s="1126"/>
      <c r="C184" s="471"/>
      <c r="D184" s="542"/>
      <c r="E184" s="2433"/>
      <c r="F184" s="2432"/>
      <c r="G184" s="511"/>
      <c r="H184" s="2434"/>
      <c r="I184" s="533"/>
      <c r="J184" s="3458" t="s">
        <v>2877</v>
      </c>
      <c r="K184" s="3459"/>
      <c r="L184" s="3459"/>
      <c r="M184" s="3459"/>
      <c r="N184" s="3459"/>
      <c r="O184" s="3459"/>
      <c r="P184" s="3459"/>
      <c r="Q184" s="2381">
        <v>9</v>
      </c>
      <c r="R184" s="2428" t="s">
        <v>23</v>
      </c>
      <c r="S184" s="2429">
        <v>60000</v>
      </c>
      <c r="T184" s="2381" t="s">
        <v>0</v>
      </c>
      <c r="U184" s="1781"/>
      <c r="V184" s="530">
        <v>30</v>
      </c>
      <c r="W184" s="2381" t="s">
        <v>3</v>
      </c>
      <c r="X184" s="2381" t="s">
        <v>2862</v>
      </c>
      <c r="Y184" s="2430">
        <f>Z184/1000</f>
        <v>16200</v>
      </c>
      <c r="Z184" s="637">
        <f>Q184*S184*V184</f>
        <v>16200000</v>
      </c>
      <c r="AA184" s="262"/>
      <c r="AB184" s="505"/>
      <c r="AC184" s="358"/>
      <c r="AD184" s="358"/>
    </row>
    <row r="185" spans="1:30" s="357" customFormat="1" ht="23.45" customHeight="1">
      <c r="A185" s="348"/>
      <c r="B185" s="1126"/>
      <c r="C185" s="471"/>
      <c r="D185" s="542"/>
      <c r="E185" s="2433" t="s">
        <v>2818</v>
      </c>
      <c r="F185" s="2432">
        <f>Y185</f>
        <v>6000</v>
      </c>
      <c r="G185" s="511">
        <v>6000</v>
      </c>
      <c r="H185" s="723"/>
      <c r="I185" s="533"/>
      <c r="J185" s="3458" t="s">
        <v>2878</v>
      </c>
      <c r="K185" s="3459"/>
      <c r="L185" s="3459"/>
      <c r="M185" s="3459"/>
      <c r="N185" s="3459"/>
      <c r="O185" s="3459"/>
      <c r="P185" s="3459"/>
      <c r="Q185" s="2381">
        <v>4</v>
      </c>
      <c r="R185" s="2428" t="s">
        <v>28</v>
      </c>
      <c r="S185" s="2429">
        <v>1500000</v>
      </c>
      <c r="T185" s="2381" t="s">
        <v>0</v>
      </c>
      <c r="U185" s="1781"/>
      <c r="V185" s="530">
        <v>1</v>
      </c>
      <c r="W185" s="2381" t="s">
        <v>6</v>
      </c>
      <c r="X185" s="2381" t="s">
        <v>2862</v>
      </c>
      <c r="Y185" s="2430">
        <f>Z185/1000</f>
        <v>6000</v>
      </c>
      <c r="Z185" s="637">
        <f>Q185*S185*V185</f>
        <v>6000000</v>
      </c>
      <c r="AA185" s="262"/>
      <c r="AB185" s="505"/>
      <c r="AC185" s="358"/>
      <c r="AD185" s="358"/>
    </row>
    <row r="186" spans="1:30" s="357" customFormat="1" ht="23.45" customHeight="1">
      <c r="A186" s="348"/>
      <c r="B186" s="1126"/>
      <c r="C186" s="471"/>
      <c r="D186" s="542"/>
      <c r="E186" s="2433" t="s">
        <v>2820</v>
      </c>
      <c r="F186" s="2432">
        <f>Y186</f>
        <v>400</v>
      </c>
      <c r="G186" s="511">
        <v>400</v>
      </c>
      <c r="H186" s="723"/>
      <c r="I186" s="533"/>
      <c r="J186" s="3458" t="s">
        <v>2879</v>
      </c>
      <c r="K186" s="3459"/>
      <c r="L186" s="3459"/>
      <c r="M186" s="3459"/>
      <c r="N186" s="3459"/>
      <c r="O186" s="3459"/>
      <c r="P186" s="3459"/>
      <c r="Q186" s="2381">
        <v>2</v>
      </c>
      <c r="R186" s="2428" t="s">
        <v>28</v>
      </c>
      <c r="S186" s="2429">
        <v>200000</v>
      </c>
      <c r="T186" s="2381" t="s">
        <v>0</v>
      </c>
      <c r="U186" s="1781"/>
      <c r="V186" s="530">
        <v>1</v>
      </c>
      <c r="W186" s="2381" t="s">
        <v>6</v>
      </c>
      <c r="X186" s="2381" t="s">
        <v>2862</v>
      </c>
      <c r="Y186" s="2430">
        <f>Z186/1000</f>
        <v>400</v>
      </c>
      <c r="Z186" s="637">
        <f>Q186*S186*V186</f>
        <v>400000</v>
      </c>
      <c r="AA186" s="262"/>
      <c r="AB186" s="505"/>
      <c r="AC186" s="358"/>
      <c r="AD186" s="358"/>
    </row>
    <row r="187" spans="1:30" s="357" customFormat="1" ht="23.45" customHeight="1">
      <c r="A187" s="348"/>
      <c r="B187" s="1126"/>
      <c r="C187" s="471"/>
      <c r="D187" s="542"/>
      <c r="E187" s="2433" t="s">
        <v>2821</v>
      </c>
      <c r="F187" s="2432">
        <f>Y187</f>
        <v>400</v>
      </c>
      <c r="G187" s="511">
        <v>400</v>
      </c>
      <c r="H187" s="723"/>
      <c r="I187" s="533"/>
      <c r="J187" s="3458" t="s">
        <v>2864</v>
      </c>
      <c r="K187" s="3459"/>
      <c r="L187" s="3459"/>
      <c r="M187" s="3459"/>
      <c r="N187" s="3459"/>
      <c r="O187" s="3459"/>
      <c r="P187" s="3459"/>
      <c r="Q187" s="2381">
        <v>5</v>
      </c>
      <c r="R187" s="2428" t="s">
        <v>123</v>
      </c>
      <c r="S187" s="2429">
        <v>10000</v>
      </c>
      <c r="T187" s="2381" t="s">
        <v>0</v>
      </c>
      <c r="U187" s="1781"/>
      <c r="V187" s="530">
        <v>8</v>
      </c>
      <c r="W187" s="2381" t="s">
        <v>3</v>
      </c>
      <c r="X187" s="2381" t="s">
        <v>2862</v>
      </c>
      <c r="Y187" s="2430">
        <f>Z187/1000</f>
        <v>400</v>
      </c>
      <c r="Z187" s="637">
        <f>Q187*S187*V187</f>
        <v>400000</v>
      </c>
      <c r="AA187" s="262"/>
      <c r="AB187" s="505"/>
      <c r="AC187" s="358"/>
      <c r="AD187" s="358"/>
    </row>
    <row r="188" spans="1:30" s="357" customFormat="1" ht="23.45" customHeight="1">
      <c r="A188" s="348"/>
      <c r="B188" s="1126"/>
      <c r="C188" s="471"/>
      <c r="D188" s="1925" t="s">
        <v>1368</v>
      </c>
      <c r="E188" s="1922"/>
      <c r="F188" s="538">
        <f>SUM(F189:F194)</f>
        <v>6600</v>
      </c>
      <c r="G188" s="538">
        <f>SUM(G189:G194)</f>
        <v>6600</v>
      </c>
      <c r="H188" s="388">
        <f>F188-G188</f>
        <v>0</v>
      </c>
      <c r="I188" s="473"/>
      <c r="J188" s="2165"/>
      <c r="K188" s="2166"/>
      <c r="L188" s="2166"/>
      <c r="M188" s="2166"/>
      <c r="N188" s="2166"/>
      <c r="O188" s="2166"/>
      <c r="P188" s="2166"/>
      <c r="Q188" s="1364"/>
      <c r="R188" s="2142"/>
      <c r="S188" s="1136"/>
      <c r="T188" s="1936"/>
      <c r="U188" s="1936"/>
      <c r="V188" s="521"/>
      <c r="W188" s="1936"/>
      <c r="X188" s="1936"/>
      <c r="Y188" s="2143"/>
      <c r="Z188" s="503"/>
      <c r="AA188" s="262"/>
      <c r="AB188" s="505"/>
      <c r="AC188" s="358"/>
      <c r="AD188" s="358"/>
    </row>
    <row r="189" spans="1:30" s="357" customFormat="1" ht="23.45" customHeight="1">
      <c r="A189" s="348"/>
      <c r="B189" s="1126"/>
      <c r="C189" s="471"/>
      <c r="D189" s="542"/>
      <c r="E189" s="543" t="s">
        <v>1363</v>
      </c>
      <c r="F189" s="741">
        <f>Y189</f>
        <v>750</v>
      </c>
      <c r="G189" s="1141">
        <v>750</v>
      </c>
      <c r="H189" s="482"/>
      <c r="I189" s="473"/>
      <c r="J189" s="3456" t="s">
        <v>1369</v>
      </c>
      <c r="K189" s="3457"/>
      <c r="L189" s="3457"/>
      <c r="M189" s="3457"/>
      <c r="N189" s="3457"/>
      <c r="O189" s="3457"/>
      <c r="P189" s="3457"/>
      <c r="Q189" s="466">
        <v>1</v>
      </c>
      <c r="R189" s="547" t="s">
        <v>1359</v>
      </c>
      <c r="S189" s="546">
        <v>1500</v>
      </c>
      <c r="T189" s="466" t="s">
        <v>1353</v>
      </c>
      <c r="U189" s="1938"/>
      <c r="V189" s="366">
        <v>500</v>
      </c>
      <c r="W189" s="466" t="s">
        <v>1365</v>
      </c>
      <c r="X189" s="466" t="s">
        <v>129</v>
      </c>
      <c r="Y189" s="740">
        <f>Z189/1000</f>
        <v>750</v>
      </c>
      <c r="Z189" s="1881">
        <f>Q189*S189*V189</f>
        <v>750000</v>
      </c>
      <c r="AA189" s="262"/>
      <c r="AB189" s="505"/>
      <c r="AC189" s="358"/>
      <c r="AD189" s="358"/>
    </row>
    <row r="190" spans="1:30" s="357" customFormat="1" ht="23.45" customHeight="1">
      <c r="A190" s="348"/>
      <c r="B190" s="1126"/>
      <c r="C190" s="471"/>
      <c r="D190" s="542"/>
      <c r="E190" s="543" t="s">
        <v>1351</v>
      </c>
      <c r="F190" s="741">
        <f>Y190</f>
        <v>310</v>
      </c>
      <c r="G190" s="1141">
        <v>310</v>
      </c>
      <c r="H190" s="482"/>
      <c r="I190" s="473"/>
      <c r="J190" s="3456" t="s">
        <v>1370</v>
      </c>
      <c r="K190" s="3457"/>
      <c r="L190" s="3457"/>
      <c r="M190" s="3457"/>
      <c r="N190" s="3457"/>
      <c r="O190" s="3457"/>
      <c r="P190" s="3457"/>
      <c r="Q190" s="466">
        <v>2</v>
      </c>
      <c r="R190" s="547" t="s">
        <v>1359</v>
      </c>
      <c r="S190" s="546">
        <v>155000</v>
      </c>
      <c r="T190" s="466" t="s">
        <v>1353</v>
      </c>
      <c r="U190" s="1938"/>
      <c r="V190" s="366">
        <v>1</v>
      </c>
      <c r="W190" s="466" t="s">
        <v>1354</v>
      </c>
      <c r="X190" s="466" t="s">
        <v>129</v>
      </c>
      <c r="Y190" s="740">
        <f>Z190/1000</f>
        <v>310</v>
      </c>
      <c r="Z190" s="355">
        <f>Q190*S190*V190</f>
        <v>310000</v>
      </c>
      <c r="AA190" s="262"/>
      <c r="AB190" s="505"/>
      <c r="AC190" s="358"/>
      <c r="AD190" s="358"/>
    </row>
    <row r="191" spans="1:30" s="357" customFormat="1" ht="23.45" customHeight="1">
      <c r="A191" s="348"/>
      <c r="B191" s="1126"/>
      <c r="C191" s="471"/>
      <c r="D191" s="542"/>
      <c r="E191" s="543" t="s">
        <v>1357</v>
      </c>
      <c r="F191" s="741">
        <f>Y191</f>
        <v>5440</v>
      </c>
      <c r="G191" s="1141">
        <v>5440</v>
      </c>
      <c r="H191" s="482"/>
      <c r="I191" s="473"/>
      <c r="J191" s="3456" t="s">
        <v>1364</v>
      </c>
      <c r="K191" s="3457"/>
      <c r="L191" s="3457"/>
      <c r="M191" s="3457"/>
      <c r="N191" s="3457"/>
      <c r="O191" s="3457"/>
      <c r="P191" s="3457"/>
      <c r="Q191" s="466"/>
      <c r="R191" s="547"/>
      <c r="S191" s="546"/>
      <c r="T191" s="466"/>
      <c r="U191" s="1938"/>
      <c r="V191" s="366"/>
      <c r="W191" s="466"/>
      <c r="X191" s="466"/>
      <c r="Y191" s="740">
        <f>SUM(Y192:Y193)</f>
        <v>5440</v>
      </c>
      <c r="Z191" s="355">
        <f>SUM(Z192:Z193)</f>
        <v>5440000</v>
      </c>
      <c r="AA191" s="262"/>
      <c r="AB191" s="505"/>
      <c r="AC191" s="358"/>
      <c r="AD191" s="358"/>
    </row>
    <row r="192" spans="1:30" s="357" customFormat="1" ht="23.45" customHeight="1">
      <c r="A192" s="348"/>
      <c r="B192" s="1126"/>
      <c r="C192" s="471"/>
      <c r="D192" s="542"/>
      <c r="E192" s="543"/>
      <c r="F192" s="741"/>
      <c r="G192" s="1141"/>
      <c r="H192" s="482"/>
      <c r="I192" s="473"/>
      <c r="J192" s="3456" t="s">
        <v>1371</v>
      </c>
      <c r="K192" s="3457"/>
      <c r="L192" s="3457"/>
      <c r="M192" s="3457"/>
      <c r="N192" s="3457"/>
      <c r="O192" s="3457"/>
      <c r="P192" s="3457"/>
      <c r="Q192" s="466"/>
      <c r="R192" s="547"/>
      <c r="S192" s="546">
        <v>60000</v>
      </c>
      <c r="T192" s="466" t="s">
        <v>0</v>
      </c>
      <c r="U192" s="1938"/>
      <c r="V192" s="366">
        <v>34</v>
      </c>
      <c r="W192" s="466" t="s">
        <v>3</v>
      </c>
      <c r="X192" s="466" t="s">
        <v>129</v>
      </c>
      <c r="Y192" s="740">
        <f>Z192/1000</f>
        <v>2040</v>
      </c>
      <c r="Z192" s="355">
        <f>S192*V192</f>
        <v>2040000</v>
      </c>
      <c r="AA192" s="262"/>
      <c r="AB192" s="505"/>
      <c r="AC192" s="358"/>
      <c r="AD192" s="358"/>
    </row>
    <row r="193" spans="1:36" s="357" customFormat="1" ht="23.45" customHeight="1">
      <c r="A193" s="348"/>
      <c r="B193" s="1126"/>
      <c r="C193" s="471"/>
      <c r="D193" s="542"/>
      <c r="E193" s="543"/>
      <c r="F193" s="741"/>
      <c r="G193" s="1141"/>
      <c r="H193" s="482"/>
      <c r="I193" s="473"/>
      <c r="J193" s="3456" t="s">
        <v>1372</v>
      </c>
      <c r="K193" s="3457"/>
      <c r="L193" s="3457"/>
      <c r="M193" s="3457"/>
      <c r="N193" s="3457"/>
      <c r="O193" s="3457"/>
      <c r="P193" s="3457"/>
      <c r="Q193" s="466"/>
      <c r="R193" s="547"/>
      <c r="S193" s="546">
        <v>100000</v>
      </c>
      <c r="T193" s="466" t="s">
        <v>0</v>
      </c>
      <c r="U193" s="1938"/>
      <c r="V193" s="366">
        <v>34</v>
      </c>
      <c r="W193" s="466" t="s">
        <v>3</v>
      </c>
      <c r="X193" s="466" t="s">
        <v>129</v>
      </c>
      <c r="Y193" s="740">
        <f>Z193/1000</f>
        <v>3400</v>
      </c>
      <c r="Z193" s="355">
        <f>S193*V193</f>
        <v>3400000</v>
      </c>
      <c r="AA193" s="262"/>
      <c r="AB193" s="505"/>
      <c r="AC193" s="358"/>
      <c r="AD193" s="358"/>
    </row>
    <row r="194" spans="1:36" s="357" customFormat="1" ht="23.45" customHeight="1">
      <c r="A194" s="348"/>
      <c r="B194" s="1126"/>
      <c r="C194" s="471"/>
      <c r="D194" s="542"/>
      <c r="E194" s="543" t="s">
        <v>1361</v>
      </c>
      <c r="F194" s="741">
        <f>Y194</f>
        <v>100</v>
      </c>
      <c r="G194" s="1141">
        <v>100</v>
      </c>
      <c r="H194" s="482"/>
      <c r="I194" s="473"/>
      <c r="J194" s="3477" t="s">
        <v>1347</v>
      </c>
      <c r="K194" s="3478"/>
      <c r="L194" s="3478"/>
      <c r="M194" s="3478"/>
      <c r="N194" s="3478"/>
      <c r="O194" s="3478"/>
      <c r="P194" s="3478"/>
      <c r="Q194" s="529">
        <v>2</v>
      </c>
      <c r="R194" s="550" t="s">
        <v>1367</v>
      </c>
      <c r="S194" s="556">
        <v>10000</v>
      </c>
      <c r="T194" s="529" t="s">
        <v>0</v>
      </c>
      <c r="U194" s="1941"/>
      <c r="V194" s="363">
        <v>5</v>
      </c>
      <c r="W194" s="529" t="s">
        <v>1349</v>
      </c>
      <c r="X194" s="529" t="s">
        <v>129</v>
      </c>
      <c r="Y194" s="557">
        <f>Z194/1000</f>
        <v>100</v>
      </c>
      <c r="Z194" s="364">
        <f>Q194*S194*V194</f>
        <v>100000</v>
      </c>
      <c r="AA194" s="262"/>
      <c r="AB194" s="505"/>
      <c r="AC194" s="358"/>
      <c r="AD194" s="358"/>
    </row>
    <row r="195" spans="1:36" s="357" customFormat="1" ht="23.45" customHeight="1">
      <c r="A195" s="348"/>
      <c r="B195" s="1126"/>
      <c r="C195" s="471"/>
      <c r="D195" s="2882" t="s">
        <v>1373</v>
      </c>
      <c r="E195" s="2878"/>
      <c r="F195" s="538">
        <f>SUM(F196:F197)</f>
        <v>15000</v>
      </c>
      <c r="G195" s="538">
        <f>SUM(G196:G197)</f>
        <v>15000</v>
      </c>
      <c r="H195" s="388">
        <f>F195-G195</f>
        <v>0</v>
      </c>
      <c r="I195" s="473"/>
      <c r="J195" s="2902"/>
      <c r="K195" s="2903"/>
      <c r="L195" s="2903"/>
      <c r="M195" s="2903"/>
      <c r="N195" s="2903"/>
      <c r="O195" s="2903"/>
      <c r="P195" s="2903"/>
      <c r="Q195" s="1364">
        <v>3</v>
      </c>
      <c r="R195" s="2142"/>
      <c r="S195" s="1136"/>
      <c r="T195" s="2896"/>
      <c r="U195" s="2896"/>
      <c r="V195" s="521"/>
      <c r="W195" s="2896"/>
      <c r="X195" s="2896"/>
      <c r="Y195" s="2143"/>
      <c r="Z195" s="503"/>
      <c r="AA195" s="262"/>
      <c r="AB195" s="505"/>
      <c r="AC195" s="358"/>
      <c r="AD195" s="358"/>
    </row>
    <row r="196" spans="1:36" s="357" customFormat="1" ht="23.45" customHeight="1">
      <c r="A196" s="348"/>
      <c r="B196" s="1126"/>
      <c r="C196" s="471"/>
      <c r="D196" s="542"/>
      <c r="E196" s="543" t="s">
        <v>1355</v>
      </c>
      <c r="F196" s="741">
        <f t="shared" ref="F196:F197" si="32">+Y196</f>
        <v>15000</v>
      </c>
      <c r="G196" s="1141">
        <v>14000</v>
      </c>
      <c r="H196" s="2148">
        <f>F196-G196</f>
        <v>1000</v>
      </c>
      <c r="I196" s="473"/>
      <c r="J196" s="3456" t="s">
        <v>1374</v>
      </c>
      <c r="K196" s="3457"/>
      <c r="L196" s="3457"/>
      <c r="M196" s="3457"/>
      <c r="N196" s="3457"/>
      <c r="O196" s="3457"/>
      <c r="P196" s="3457"/>
      <c r="Q196" s="466">
        <v>5</v>
      </c>
      <c r="R196" s="547" t="s">
        <v>23</v>
      </c>
      <c r="S196" s="546">
        <v>1500000</v>
      </c>
      <c r="T196" s="466" t="s">
        <v>0</v>
      </c>
      <c r="U196" s="2357"/>
      <c r="V196" s="366">
        <v>2</v>
      </c>
      <c r="W196" s="466" t="s">
        <v>3</v>
      </c>
      <c r="X196" s="466" t="s">
        <v>1356</v>
      </c>
      <c r="Y196" s="740">
        <f t="shared" ref="Y196" si="33">Z196/1000</f>
        <v>15000</v>
      </c>
      <c r="Z196" s="355">
        <f t="shared" ref="Z196:Z197" si="34">Q196*S196*V196</f>
        <v>15000000</v>
      </c>
      <c r="AA196" s="262"/>
      <c r="AB196" s="505"/>
      <c r="AC196" s="358"/>
      <c r="AD196" s="358"/>
    </row>
    <row r="197" spans="1:36" ht="23.45" customHeight="1">
      <c r="A197" s="910"/>
      <c r="B197" s="1938"/>
      <c r="C197" s="471"/>
      <c r="D197" s="542"/>
      <c r="E197" s="542" t="s">
        <v>1360</v>
      </c>
      <c r="F197" s="741">
        <f t="shared" si="32"/>
        <v>0</v>
      </c>
      <c r="G197" s="1141">
        <v>1000</v>
      </c>
      <c r="H197" s="2148">
        <f>F197-G197</f>
        <v>-1000</v>
      </c>
      <c r="I197" s="473"/>
      <c r="J197" s="3456" t="s">
        <v>5124</v>
      </c>
      <c r="K197" s="3457"/>
      <c r="L197" s="3457"/>
      <c r="M197" s="3457"/>
      <c r="N197" s="3457"/>
      <c r="O197" s="3457"/>
      <c r="P197" s="3457"/>
      <c r="Q197" s="466"/>
      <c r="R197" s="547"/>
      <c r="S197" s="546"/>
      <c r="T197" s="466"/>
      <c r="U197" s="2357"/>
      <c r="V197" s="366"/>
      <c r="W197" s="466"/>
      <c r="X197" s="466"/>
      <c r="Y197" s="740"/>
      <c r="Z197" s="355">
        <f t="shared" si="34"/>
        <v>0</v>
      </c>
      <c r="AA197" s="262"/>
      <c r="AB197" s="505"/>
    </row>
    <row r="198" spans="1:36" ht="22.5" customHeight="1">
      <c r="A198" s="1645"/>
      <c r="B198" s="1648"/>
      <c r="C198" s="3473" t="s">
        <v>1375</v>
      </c>
      <c r="D198" s="3479"/>
      <c r="E198" s="3474"/>
      <c r="F198" s="2125">
        <f>F199+F226+F212+F234+F239+F248</f>
        <v>370700</v>
      </c>
      <c r="G198" s="2125">
        <f>G199+G226+G212+G234+G239+G248</f>
        <v>370700</v>
      </c>
      <c r="H198" s="388">
        <f>F198-G198</f>
        <v>0</v>
      </c>
      <c r="I198" s="473"/>
      <c r="J198" s="2165"/>
      <c r="K198" s="2166"/>
      <c r="L198" s="2166"/>
      <c r="M198" s="2166"/>
      <c r="N198" s="2166"/>
      <c r="O198" s="2166"/>
      <c r="P198" s="2166"/>
      <c r="Q198" s="1364"/>
      <c r="R198" s="2142"/>
      <c r="S198" s="1365"/>
      <c r="T198" s="1364"/>
      <c r="U198" s="1936"/>
      <c r="V198" s="521"/>
      <c r="W198" s="1364"/>
      <c r="X198" s="1364"/>
      <c r="Y198" s="2143"/>
      <c r="Z198" s="1296"/>
      <c r="AA198" s="262"/>
      <c r="AB198" s="505"/>
    </row>
    <row r="199" spans="1:36" ht="22.5" customHeight="1">
      <c r="A199" s="1645"/>
      <c r="B199" s="1648"/>
      <c r="C199" s="2141"/>
      <c r="D199" s="3473" t="s">
        <v>1376</v>
      </c>
      <c r="E199" s="3474"/>
      <c r="F199" s="2123">
        <f>SUM(F200:F211)</f>
        <v>39000</v>
      </c>
      <c r="G199" s="2123">
        <f>SUM(G200:G211)</f>
        <v>39000</v>
      </c>
      <c r="H199" s="1124">
        <f>F199-G199</f>
        <v>0</v>
      </c>
      <c r="I199" s="473"/>
      <c r="J199" s="1950"/>
      <c r="K199" s="1951"/>
      <c r="L199" s="1951"/>
      <c r="M199" s="1951"/>
      <c r="N199" s="1951"/>
      <c r="O199" s="1951"/>
      <c r="P199" s="1951"/>
      <c r="Q199" s="529"/>
      <c r="R199" s="550"/>
      <c r="S199" s="556"/>
      <c r="T199" s="529"/>
      <c r="U199" s="1941"/>
      <c r="V199" s="363"/>
      <c r="W199" s="529"/>
      <c r="X199" s="529"/>
      <c r="Y199" s="557"/>
      <c r="Z199" s="1296"/>
      <c r="AA199" s="262"/>
      <c r="AB199" s="505"/>
    </row>
    <row r="200" spans="1:36" s="357" customFormat="1" ht="22.5" customHeight="1">
      <c r="A200" s="1645"/>
      <c r="B200" s="1646"/>
      <c r="C200" s="1126"/>
      <c r="D200" s="433"/>
      <c r="E200" s="350" t="s">
        <v>74</v>
      </c>
      <c r="F200" s="741">
        <f>Y200</f>
        <v>2000</v>
      </c>
      <c r="G200" s="1141">
        <v>2000</v>
      </c>
      <c r="H200" s="482"/>
      <c r="I200" s="473"/>
      <c r="J200" s="3475" t="s">
        <v>1377</v>
      </c>
      <c r="K200" s="3480"/>
      <c r="L200" s="3480"/>
      <c r="M200" s="3480"/>
      <c r="N200" s="3480"/>
      <c r="O200" s="3480"/>
      <c r="P200" s="3480"/>
      <c r="Q200" s="466">
        <v>2</v>
      </c>
      <c r="R200" s="547" t="s">
        <v>23</v>
      </c>
      <c r="S200" s="546">
        <v>72000</v>
      </c>
      <c r="T200" s="466" t="s">
        <v>0</v>
      </c>
      <c r="U200" s="1938"/>
      <c r="V200" s="366">
        <v>13.888888888888889</v>
      </c>
      <c r="W200" s="466" t="s">
        <v>1378</v>
      </c>
      <c r="X200" s="466" t="s">
        <v>129</v>
      </c>
      <c r="Y200" s="740">
        <f>Z200/1000</f>
        <v>2000</v>
      </c>
      <c r="Z200" s="1881">
        <f>Q200*S200*V200</f>
        <v>2000000</v>
      </c>
      <c r="AA200" s="262"/>
      <c r="AB200" s="505"/>
      <c r="AC200" s="843"/>
      <c r="AD200" s="843"/>
      <c r="AE200" s="843"/>
      <c r="AF200" s="843"/>
      <c r="AG200" s="843"/>
      <c r="AH200" s="949"/>
      <c r="AI200" s="795"/>
      <c r="AJ200" s="795"/>
    </row>
    <row r="201" spans="1:36" ht="22.5" customHeight="1">
      <c r="A201" s="553"/>
      <c r="B201" s="738"/>
      <c r="C201" s="471"/>
      <c r="D201" s="1126"/>
      <c r="E201" s="1126" t="s">
        <v>1363</v>
      </c>
      <c r="F201" s="741">
        <f>Y201</f>
        <v>14000</v>
      </c>
      <c r="G201" s="741">
        <v>14000</v>
      </c>
      <c r="H201" s="482"/>
      <c r="I201" s="473"/>
      <c r="J201" s="3456" t="s">
        <v>1379</v>
      </c>
      <c r="K201" s="3457"/>
      <c r="L201" s="3457"/>
      <c r="M201" s="3457"/>
      <c r="N201" s="3457"/>
      <c r="O201" s="3457"/>
      <c r="P201" s="3457"/>
      <c r="Q201" s="466">
        <v>5</v>
      </c>
      <c r="R201" s="547" t="s">
        <v>1380</v>
      </c>
      <c r="S201" s="546">
        <v>700000</v>
      </c>
      <c r="T201" s="466" t="s">
        <v>1353</v>
      </c>
      <c r="U201" s="1938"/>
      <c r="V201" s="366">
        <v>4</v>
      </c>
      <c r="W201" s="466" t="s">
        <v>1349</v>
      </c>
      <c r="X201" s="466" t="s">
        <v>129</v>
      </c>
      <c r="Y201" s="740">
        <f t="shared" ref="Y201:Y209" si="35">Z201/1000</f>
        <v>14000</v>
      </c>
      <c r="Z201" s="355">
        <f>Q201*S201*V201</f>
        <v>14000000</v>
      </c>
      <c r="AA201" s="262"/>
      <c r="AB201" s="505"/>
    </row>
    <row r="202" spans="1:36" ht="22.5" customHeight="1">
      <c r="A202" s="553"/>
      <c r="B202" s="738"/>
      <c r="C202" s="471"/>
      <c r="D202" s="2144"/>
      <c r="E202" s="1126" t="s">
        <v>1351</v>
      </c>
      <c r="F202" s="741">
        <f>Y202</f>
        <v>1000</v>
      </c>
      <c r="G202" s="741">
        <v>1000</v>
      </c>
      <c r="H202" s="482"/>
      <c r="I202" s="473"/>
      <c r="J202" s="3456" t="s">
        <v>1381</v>
      </c>
      <c r="K202" s="3457"/>
      <c r="L202" s="3457"/>
      <c r="M202" s="3457"/>
      <c r="N202" s="3457"/>
      <c r="O202" s="3457"/>
      <c r="P202" s="3457"/>
      <c r="Q202" s="466"/>
      <c r="R202" s="547"/>
      <c r="S202" s="546">
        <v>1000000</v>
      </c>
      <c r="T202" s="466" t="s">
        <v>0</v>
      </c>
      <c r="U202" s="1938"/>
      <c r="V202" s="366">
        <v>1</v>
      </c>
      <c r="W202" s="466" t="s">
        <v>1354</v>
      </c>
      <c r="X202" s="466" t="s">
        <v>129</v>
      </c>
      <c r="Y202" s="740">
        <f t="shared" si="35"/>
        <v>1000</v>
      </c>
      <c r="Z202" s="355">
        <f>S202*V202</f>
        <v>1000000</v>
      </c>
      <c r="AA202" s="262"/>
      <c r="AB202" s="505"/>
    </row>
    <row r="203" spans="1:36" ht="22.5" customHeight="1">
      <c r="A203" s="553"/>
      <c r="B203" s="738"/>
      <c r="C203" s="471"/>
      <c r="D203" s="2144"/>
      <c r="E203" s="1126" t="s">
        <v>1382</v>
      </c>
      <c r="F203" s="741">
        <f>Y203</f>
        <v>5400</v>
      </c>
      <c r="G203" s="741">
        <v>5400</v>
      </c>
      <c r="H203" s="482"/>
      <c r="I203" s="473"/>
      <c r="J203" s="3456" t="s">
        <v>1364</v>
      </c>
      <c r="K203" s="3457"/>
      <c r="L203" s="3457"/>
      <c r="M203" s="3457"/>
      <c r="N203" s="3457"/>
      <c r="O203" s="3457"/>
      <c r="P203" s="3457"/>
      <c r="Q203" s="466"/>
      <c r="R203" s="547"/>
      <c r="S203" s="546"/>
      <c r="T203" s="466"/>
      <c r="U203" s="1938"/>
      <c r="V203" s="366"/>
      <c r="W203" s="466"/>
      <c r="X203" s="466"/>
      <c r="Y203" s="740">
        <f t="shared" si="35"/>
        <v>5400</v>
      </c>
      <c r="Z203" s="355">
        <f>SUM(Z204:Z206)</f>
        <v>5400000</v>
      </c>
      <c r="AA203" s="262"/>
      <c r="AB203" s="505"/>
    </row>
    <row r="204" spans="1:36" ht="22.5" customHeight="1">
      <c r="A204" s="553"/>
      <c r="B204" s="738"/>
      <c r="C204" s="471"/>
      <c r="D204" s="2144"/>
      <c r="E204" s="1126"/>
      <c r="F204" s="741"/>
      <c r="G204" s="741"/>
      <c r="H204" s="482"/>
      <c r="I204" s="473"/>
      <c r="J204" s="3456" t="s">
        <v>4852</v>
      </c>
      <c r="K204" s="3457"/>
      <c r="L204" s="3457"/>
      <c r="M204" s="3457"/>
      <c r="N204" s="3457"/>
      <c r="O204" s="3457"/>
      <c r="P204" s="3457"/>
      <c r="Q204" s="466">
        <v>1</v>
      </c>
      <c r="R204" s="547" t="s">
        <v>1383</v>
      </c>
      <c r="S204" s="546">
        <v>200000</v>
      </c>
      <c r="T204" s="466" t="s">
        <v>0</v>
      </c>
      <c r="U204" s="1938"/>
      <c r="V204" s="366">
        <v>5</v>
      </c>
      <c r="W204" s="466" t="s">
        <v>1384</v>
      </c>
      <c r="X204" s="466" t="s">
        <v>129</v>
      </c>
      <c r="Y204" s="740">
        <f t="shared" si="35"/>
        <v>1000</v>
      </c>
      <c r="Z204" s="355">
        <f>Q204*S204*V204</f>
        <v>1000000</v>
      </c>
      <c r="AA204" s="262"/>
      <c r="AB204" s="505"/>
    </row>
    <row r="205" spans="1:36" ht="22.5" customHeight="1">
      <c r="A205" s="553"/>
      <c r="B205" s="738"/>
      <c r="C205" s="471"/>
      <c r="D205" s="2144"/>
      <c r="E205" s="1126"/>
      <c r="F205" s="741"/>
      <c r="G205" s="741"/>
      <c r="H205" s="482"/>
      <c r="I205" s="473"/>
      <c r="J205" s="3456" t="s">
        <v>4851</v>
      </c>
      <c r="K205" s="3457"/>
      <c r="L205" s="3457"/>
      <c r="M205" s="3457"/>
      <c r="N205" s="3457"/>
      <c r="O205" s="3457"/>
      <c r="P205" s="3457"/>
      <c r="Q205" s="466">
        <v>1</v>
      </c>
      <c r="R205" s="547" t="s">
        <v>1383</v>
      </c>
      <c r="S205" s="546">
        <v>750000</v>
      </c>
      <c r="T205" s="466" t="s">
        <v>0</v>
      </c>
      <c r="U205" s="1938"/>
      <c r="V205" s="366">
        <v>2</v>
      </c>
      <c r="W205" s="466" t="s">
        <v>1384</v>
      </c>
      <c r="X205" s="466" t="s">
        <v>129</v>
      </c>
      <c r="Y205" s="740">
        <f t="shared" si="35"/>
        <v>1500</v>
      </c>
      <c r="Z205" s="355">
        <f>Q205*S205*V205</f>
        <v>1500000</v>
      </c>
      <c r="AA205" s="262"/>
      <c r="AB205" s="505"/>
    </row>
    <row r="206" spans="1:36" ht="22.5" customHeight="1">
      <c r="A206" s="553"/>
      <c r="B206" s="738"/>
      <c r="C206" s="471"/>
      <c r="D206" s="2144"/>
      <c r="E206" s="1126"/>
      <c r="F206" s="741"/>
      <c r="G206" s="741"/>
      <c r="H206" s="482"/>
      <c r="I206" s="473"/>
      <c r="J206" s="3456" t="s">
        <v>4850</v>
      </c>
      <c r="K206" s="3457"/>
      <c r="L206" s="3457"/>
      <c r="M206" s="3457"/>
      <c r="N206" s="3457"/>
      <c r="O206" s="3457"/>
      <c r="P206" s="3457"/>
      <c r="Q206" s="466">
        <v>1</v>
      </c>
      <c r="R206" s="547" t="s">
        <v>1383</v>
      </c>
      <c r="S206" s="546">
        <v>725000</v>
      </c>
      <c r="T206" s="466" t="s">
        <v>0</v>
      </c>
      <c r="U206" s="1938"/>
      <c r="V206" s="366">
        <v>4</v>
      </c>
      <c r="W206" s="466" t="s">
        <v>1349</v>
      </c>
      <c r="X206" s="466" t="s">
        <v>129</v>
      </c>
      <c r="Y206" s="740">
        <f t="shared" si="35"/>
        <v>2900</v>
      </c>
      <c r="Z206" s="355">
        <f>Q206*S206*V206</f>
        <v>2900000</v>
      </c>
      <c r="AA206" s="262"/>
      <c r="AB206" s="505"/>
    </row>
    <row r="207" spans="1:36" ht="22.5" customHeight="1">
      <c r="A207" s="553"/>
      <c r="B207" s="738"/>
      <c r="C207" s="471"/>
      <c r="D207" s="2144"/>
      <c r="E207" s="1126" t="s">
        <v>65</v>
      </c>
      <c r="F207" s="490">
        <f>Y207</f>
        <v>5500</v>
      </c>
      <c r="G207" s="490">
        <v>5500</v>
      </c>
      <c r="H207" s="482"/>
      <c r="I207" s="473"/>
      <c r="J207" s="3456" t="s">
        <v>1385</v>
      </c>
      <c r="K207" s="3457"/>
      <c r="L207" s="3457"/>
      <c r="M207" s="3457"/>
      <c r="N207" s="3457"/>
      <c r="O207" s="3457"/>
      <c r="P207" s="3457"/>
      <c r="Q207" s="466">
        <v>2</v>
      </c>
      <c r="R207" s="547" t="s">
        <v>1380</v>
      </c>
      <c r="S207" s="546">
        <v>2750000</v>
      </c>
      <c r="T207" s="466" t="s">
        <v>0</v>
      </c>
      <c r="U207" s="1938"/>
      <c r="V207" s="366">
        <v>1</v>
      </c>
      <c r="W207" s="466" t="s">
        <v>3</v>
      </c>
      <c r="X207" s="466"/>
      <c r="Y207" s="740">
        <f>Z207/1000</f>
        <v>5500</v>
      </c>
      <c r="Z207" s="355">
        <f>Q207*S207*V207</f>
        <v>5500000</v>
      </c>
      <c r="AA207" s="262"/>
      <c r="AB207" s="505"/>
    </row>
    <row r="208" spans="1:36" ht="22.5" customHeight="1">
      <c r="A208" s="553"/>
      <c r="B208" s="738"/>
      <c r="C208" s="471"/>
      <c r="D208" s="2144"/>
      <c r="E208" s="1126" t="s">
        <v>1386</v>
      </c>
      <c r="F208" s="741">
        <f>Y208</f>
        <v>100</v>
      </c>
      <c r="G208" s="741">
        <v>100</v>
      </c>
      <c r="H208" s="482"/>
      <c r="I208" s="473"/>
      <c r="J208" s="3456" t="s">
        <v>1387</v>
      </c>
      <c r="K208" s="3457"/>
      <c r="L208" s="3457"/>
      <c r="M208" s="3457"/>
      <c r="N208" s="3457"/>
      <c r="O208" s="3457"/>
      <c r="P208" s="3457"/>
      <c r="Q208" s="466"/>
      <c r="R208" s="547"/>
      <c r="S208" s="546">
        <v>5000</v>
      </c>
      <c r="T208" s="466" t="s">
        <v>0</v>
      </c>
      <c r="U208" s="1938"/>
      <c r="V208" s="366">
        <v>20</v>
      </c>
      <c r="W208" s="466" t="s">
        <v>1349</v>
      </c>
      <c r="X208" s="466" t="s">
        <v>129</v>
      </c>
      <c r="Y208" s="740">
        <f>Z208/1000</f>
        <v>100</v>
      </c>
      <c r="Z208" s="355">
        <f>S208*V208</f>
        <v>100000</v>
      </c>
      <c r="AA208" s="262"/>
      <c r="AB208" s="505"/>
    </row>
    <row r="209" spans="1:36" ht="22.5" customHeight="1">
      <c r="A209" s="553"/>
      <c r="B209" s="738"/>
      <c r="C209" s="471"/>
      <c r="D209" s="2144"/>
      <c r="E209" s="1126" t="s">
        <v>1360</v>
      </c>
      <c r="F209" s="490">
        <f>Y209</f>
        <v>4000</v>
      </c>
      <c r="G209" s="490">
        <v>4000</v>
      </c>
      <c r="H209" s="482"/>
      <c r="I209" s="473"/>
      <c r="J209" s="3456" t="s">
        <v>1389</v>
      </c>
      <c r="K209" s="3457"/>
      <c r="L209" s="3457"/>
      <c r="M209" s="3457"/>
      <c r="N209" s="3457"/>
      <c r="O209" s="3457"/>
      <c r="P209" s="3457"/>
      <c r="Q209" s="466">
        <v>1</v>
      </c>
      <c r="R209" s="547" t="s">
        <v>81</v>
      </c>
      <c r="S209" s="546">
        <v>2000000</v>
      </c>
      <c r="T209" s="466" t="s">
        <v>0</v>
      </c>
      <c r="U209" s="1938"/>
      <c r="V209" s="366">
        <v>2</v>
      </c>
      <c r="W209" s="466" t="s">
        <v>3</v>
      </c>
      <c r="X209" s="466"/>
      <c r="Y209" s="740">
        <f t="shared" si="35"/>
        <v>4000</v>
      </c>
      <c r="Z209" s="355">
        <f>Q209*S209*V209</f>
        <v>4000000</v>
      </c>
      <c r="AA209" s="262"/>
      <c r="AB209" s="505"/>
    </row>
    <row r="210" spans="1:36" ht="22.5" customHeight="1">
      <c r="A210" s="553"/>
      <c r="B210" s="738"/>
      <c r="C210" s="471"/>
      <c r="D210" s="2144"/>
      <c r="E210" s="1126" t="s">
        <v>5759</v>
      </c>
      <c r="F210" s="741">
        <f>Y210</f>
        <v>3000</v>
      </c>
      <c r="G210" s="741">
        <v>3000</v>
      </c>
      <c r="H210" s="482"/>
      <c r="I210" s="473"/>
      <c r="J210" s="3456" t="s">
        <v>1388</v>
      </c>
      <c r="K210" s="3457"/>
      <c r="L210" s="3457"/>
      <c r="M210" s="3457"/>
      <c r="N210" s="3457"/>
      <c r="O210" s="3457"/>
      <c r="P210" s="3457"/>
      <c r="Q210" s="466">
        <v>1</v>
      </c>
      <c r="R210" s="547" t="s">
        <v>1317</v>
      </c>
      <c r="S210" s="546">
        <v>3000</v>
      </c>
      <c r="T210" s="466" t="s">
        <v>0</v>
      </c>
      <c r="U210" s="2357"/>
      <c r="V210" s="366">
        <v>1000</v>
      </c>
      <c r="W210" s="466" t="s">
        <v>288</v>
      </c>
      <c r="X210" s="466" t="s">
        <v>129</v>
      </c>
      <c r="Y210" s="740">
        <f t="shared" ref="Y210" si="36">Z210/1000</f>
        <v>3000</v>
      </c>
      <c r="Z210" s="355">
        <f>Q210*S210*V210</f>
        <v>3000000</v>
      </c>
      <c r="AA210" s="262"/>
      <c r="AB210" s="505"/>
    </row>
    <row r="211" spans="1:36" s="1143" customFormat="1" ht="22.5" customHeight="1">
      <c r="A211" s="553"/>
      <c r="B211" s="738"/>
      <c r="C211" s="471"/>
      <c r="D211" s="2151"/>
      <c r="E211" s="359" t="s">
        <v>1390</v>
      </c>
      <c r="F211" s="1123">
        <f>Y211</f>
        <v>4000</v>
      </c>
      <c r="G211" s="1123">
        <v>4000</v>
      </c>
      <c r="H211" s="1124"/>
      <c r="I211" s="473"/>
      <c r="J211" s="3477" t="s">
        <v>4637</v>
      </c>
      <c r="K211" s="3478"/>
      <c r="L211" s="3478"/>
      <c r="M211" s="3478"/>
      <c r="N211" s="3478"/>
      <c r="O211" s="3478"/>
      <c r="P211" s="3478"/>
      <c r="Q211" s="529">
        <v>20</v>
      </c>
      <c r="R211" s="550" t="s">
        <v>1348</v>
      </c>
      <c r="S211" s="556">
        <v>10000</v>
      </c>
      <c r="T211" s="529" t="s">
        <v>0</v>
      </c>
      <c r="U211" s="1941"/>
      <c r="V211" s="363">
        <v>20</v>
      </c>
      <c r="W211" s="529" t="s">
        <v>1349</v>
      </c>
      <c r="X211" s="529" t="s">
        <v>129</v>
      </c>
      <c r="Y211" s="557">
        <f>Z211/1000</f>
        <v>4000</v>
      </c>
      <c r="Z211" s="364">
        <f>Q211*S211*V211</f>
        <v>4000000</v>
      </c>
      <c r="AA211" s="262"/>
      <c r="AB211" s="505"/>
      <c r="AE211" s="1155"/>
      <c r="AF211" s="1155"/>
      <c r="AG211" s="1155"/>
      <c r="AH211" s="1155"/>
      <c r="AI211" s="1155"/>
      <c r="AJ211" s="1155"/>
    </row>
    <row r="212" spans="1:36" s="1143" customFormat="1" ht="22.5" customHeight="1">
      <c r="A212" s="553"/>
      <c r="B212" s="738"/>
      <c r="C212" s="471"/>
      <c r="D212" s="3473" t="s">
        <v>1391</v>
      </c>
      <c r="E212" s="3474"/>
      <c r="F212" s="555">
        <f>SUM(F213:F225)</f>
        <v>6000</v>
      </c>
      <c r="G212" s="555">
        <f>SUM(G213:G225)</f>
        <v>6000</v>
      </c>
      <c r="H212" s="388">
        <f>F212-G212</f>
        <v>0</v>
      </c>
      <c r="I212" s="473"/>
      <c r="J212" s="3496"/>
      <c r="K212" s="3497"/>
      <c r="L212" s="3497"/>
      <c r="M212" s="3497"/>
      <c r="N212" s="3497"/>
      <c r="O212" s="3497"/>
      <c r="P212" s="3497"/>
      <c r="Q212" s="1364"/>
      <c r="R212" s="2142"/>
      <c r="S212" s="1365"/>
      <c r="T212" s="1364"/>
      <c r="U212" s="1936"/>
      <c r="V212" s="521"/>
      <c r="W212" s="1364"/>
      <c r="X212" s="1364"/>
      <c r="Y212" s="2143"/>
      <c r="Z212" s="1296"/>
      <c r="AA212" s="262"/>
      <c r="AB212" s="505"/>
      <c r="AE212" s="1155"/>
      <c r="AF212" s="1155"/>
      <c r="AG212" s="1155"/>
      <c r="AH212" s="1155"/>
      <c r="AI212" s="1155"/>
      <c r="AJ212" s="1155"/>
    </row>
    <row r="213" spans="1:36" s="1143" customFormat="1" ht="22.5" customHeight="1">
      <c r="A213" s="553"/>
      <c r="B213" s="738"/>
      <c r="C213" s="471"/>
      <c r="D213" s="1126"/>
      <c r="E213" s="471" t="s">
        <v>1363</v>
      </c>
      <c r="F213" s="741">
        <f>Y213</f>
        <v>1700</v>
      </c>
      <c r="G213" s="741">
        <v>1700</v>
      </c>
      <c r="H213" s="482"/>
      <c r="I213" s="473"/>
      <c r="J213" s="3456" t="s">
        <v>1392</v>
      </c>
      <c r="K213" s="3457"/>
      <c r="L213" s="3457"/>
      <c r="M213" s="3457"/>
      <c r="N213" s="3457"/>
      <c r="O213" s="3457"/>
      <c r="P213" s="3457"/>
      <c r="Q213" s="466">
        <v>1</v>
      </c>
      <c r="R213" s="547" t="s">
        <v>1359</v>
      </c>
      <c r="S213" s="546">
        <v>1700000</v>
      </c>
      <c r="T213" s="466" t="s">
        <v>1353</v>
      </c>
      <c r="U213" s="1938"/>
      <c r="V213" s="366">
        <v>1</v>
      </c>
      <c r="W213" s="466" t="s">
        <v>1354</v>
      </c>
      <c r="X213" s="466" t="s">
        <v>129</v>
      </c>
      <c r="Y213" s="740">
        <f>Z213/1000</f>
        <v>1700</v>
      </c>
      <c r="Z213" s="355">
        <f>Q213*S213*V213</f>
        <v>1700000</v>
      </c>
      <c r="AA213" s="262"/>
      <c r="AB213" s="505"/>
      <c r="AE213" s="1155"/>
      <c r="AF213" s="1155"/>
      <c r="AG213" s="1155"/>
      <c r="AH213" s="1155"/>
      <c r="AI213" s="1155"/>
      <c r="AJ213" s="1155"/>
    </row>
    <row r="214" spans="1:36" s="1143" customFormat="1" ht="22.5" customHeight="1">
      <c r="A214" s="553"/>
      <c r="B214" s="738"/>
      <c r="C214" s="471"/>
      <c r="D214" s="1126"/>
      <c r="E214" s="1145" t="s">
        <v>1351</v>
      </c>
      <c r="F214" s="741">
        <f>Y214</f>
        <v>1550</v>
      </c>
      <c r="G214" s="741">
        <v>1550</v>
      </c>
      <c r="H214" s="523"/>
      <c r="I214" s="473"/>
      <c r="J214" s="3456" t="s">
        <v>1364</v>
      </c>
      <c r="K214" s="3457"/>
      <c r="L214" s="3457"/>
      <c r="M214" s="3457"/>
      <c r="N214" s="3457"/>
      <c r="O214" s="3457"/>
      <c r="P214" s="3457"/>
      <c r="Q214" s="466"/>
      <c r="R214" s="547"/>
      <c r="S214" s="546"/>
      <c r="T214" s="466"/>
      <c r="U214" s="1938"/>
      <c r="V214" s="366"/>
      <c r="W214" s="466"/>
      <c r="X214" s="466"/>
      <c r="Y214" s="740">
        <f t="shared" ref="Y214:Y225" si="37">Z214/1000</f>
        <v>1550</v>
      </c>
      <c r="Z214" s="355">
        <f>SUM(Z215:Z216)</f>
        <v>1550000</v>
      </c>
      <c r="AA214" s="262"/>
      <c r="AB214" s="505"/>
      <c r="AE214" s="1155"/>
      <c r="AF214" s="1155"/>
      <c r="AG214" s="1155"/>
      <c r="AH214" s="1155"/>
      <c r="AI214" s="1155"/>
      <c r="AJ214" s="1155"/>
    </row>
    <row r="215" spans="1:36" s="1143" customFormat="1" ht="22.5" customHeight="1">
      <c r="A215" s="553"/>
      <c r="B215" s="738"/>
      <c r="C215" s="471"/>
      <c r="D215" s="1126"/>
      <c r="E215" s="1145"/>
      <c r="F215" s="741"/>
      <c r="G215" s="741"/>
      <c r="H215" s="482"/>
      <c r="I215" s="473"/>
      <c r="J215" s="3456" t="s">
        <v>1393</v>
      </c>
      <c r="K215" s="3457"/>
      <c r="L215" s="3457"/>
      <c r="M215" s="3457"/>
      <c r="N215" s="3457"/>
      <c r="O215" s="3457"/>
      <c r="P215" s="3457"/>
      <c r="Q215" s="466"/>
      <c r="R215" s="547"/>
      <c r="S215" s="546">
        <v>200000</v>
      </c>
      <c r="T215" s="466" t="s">
        <v>0</v>
      </c>
      <c r="U215" s="1938"/>
      <c r="V215" s="366">
        <v>4</v>
      </c>
      <c r="W215" s="466" t="s">
        <v>1349</v>
      </c>
      <c r="X215" s="466" t="s">
        <v>129</v>
      </c>
      <c r="Y215" s="740">
        <f t="shared" si="37"/>
        <v>800</v>
      </c>
      <c r="Z215" s="355">
        <f>S215*V215</f>
        <v>800000</v>
      </c>
      <c r="AA215" s="262"/>
      <c r="AB215" s="505"/>
      <c r="AE215" s="1155"/>
      <c r="AF215" s="1155"/>
      <c r="AG215" s="1155"/>
      <c r="AH215" s="1155"/>
      <c r="AI215" s="1155"/>
      <c r="AJ215" s="1155"/>
    </row>
    <row r="216" spans="1:36" s="1143" customFormat="1" ht="22.5" customHeight="1">
      <c r="A216" s="553"/>
      <c r="B216" s="738"/>
      <c r="C216" s="471"/>
      <c r="D216" s="1126"/>
      <c r="E216" s="1145"/>
      <c r="F216" s="741"/>
      <c r="G216" s="741"/>
      <c r="H216" s="482"/>
      <c r="I216" s="473"/>
      <c r="J216" s="3456" t="s">
        <v>1394</v>
      </c>
      <c r="K216" s="3457"/>
      <c r="L216" s="3457"/>
      <c r="M216" s="3457"/>
      <c r="N216" s="3457"/>
      <c r="O216" s="3457"/>
      <c r="P216" s="3457"/>
      <c r="Q216" s="466"/>
      <c r="R216" s="547"/>
      <c r="S216" s="546">
        <v>30000</v>
      </c>
      <c r="T216" s="466" t="s">
        <v>0</v>
      </c>
      <c r="U216" s="1938"/>
      <c r="V216" s="366">
        <v>25</v>
      </c>
      <c r="W216" s="466" t="s">
        <v>1395</v>
      </c>
      <c r="X216" s="466" t="s">
        <v>129</v>
      </c>
      <c r="Y216" s="740">
        <f t="shared" si="37"/>
        <v>750</v>
      </c>
      <c r="Z216" s="355">
        <f>S216*V216</f>
        <v>750000</v>
      </c>
      <c r="AA216" s="262"/>
      <c r="AB216" s="505"/>
      <c r="AE216" s="1155"/>
      <c r="AF216" s="1155"/>
      <c r="AG216" s="1155"/>
      <c r="AH216" s="1155"/>
      <c r="AI216" s="1155"/>
      <c r="AJ216" s="1155"/>
    </row>
    <row r="217" spans="1:36" s="1143" customFormat="1" ht="22.5" customHeight="1">
      <c r="A217" s="553"/>
      <c r="B217" s="738"/>
      <c r="C217" s="471"/>
      <c r="D217" s="1126"/>
      <c r="E217" s="1154" t="s">
        <v>1396</v>
      </c>
      <c r="F217" s="741">
        <f>Y217</f>
        <v>120</v>
      </c>
      <c r="G217" s="741">
        <v>120</v>
      </c>
      <c r="H217" s="482"/>
      <c r="I217" s="473"/>
      <c r="J217" s="3456" t="s">
        <v>1397</v>
      </c>
      <c r="K217" s="3457"/>
      <c r="L217" s="3457"/>
      <c r="M217" s="3457"/>
      <c r="N217" s="3457"/>
      <c r="O217" s="3457"/>
      <c r="P217" s="3457"/>
      <c r="Q217" s="466">
        <v>2</v>
      </c>
      <c r="R217" s="547" t="s">
        <v>1348</v>
      </c>
      <c r="S217" s="546">
        <v>20000</v>
      </c>
      <c r="T217" s="466" t="s">
        <v>0</v>
      </c>
      <c r="U217" s="1938"/>
      <c r="V217" s="366">
        <v>3</v>
      </c>
      <c r="W217" s="466" t="s">
        <v>1349</v>
      </c>
      <c r="X217" s="466" t="s">
        <v>129</v>
      </c>
      <c r="Y217" s="740">
        <f t="shared" si="37"/>
        <v>120</v>
      </c>
      <c r="Z217" s="355">
        <f>Q217*S217*V217</f>
        <v>120000</v>
      </c>
      <c r="AA217" s="262"/>
      <c r="AB217" s="505"/>
      <c r="AE217" s="1155"/>
      <c r="AF217" s="1155"/>
      <c r="AG217" s="1155"/>
      <c r="AH217" s="1155"/>
      <c r="AI217" s="1155"/>
      <c r="AJ217" s="1155"/>
    </row>
    <row r="218" spans="1:36" s="1143" customFormat="1" ht="22.5" customHeight="1">
      <c r="A218" s="553"/>
      <c r="B218" s="554"/>
      <c r="C218" s="1145"/>
      <c r="D218" s="1126"/>
      <c r="E218" s="1145" t="s">
        <v>1382</v>
      </c>
      <c r="F218" s="741">
        <f>Y218</f>
        <v>1470</v>
      </c>
      <c r="G218" s="741">
        <v>1470</v>
      </c>
      <c r="H218" s="523"/>
      <c r="I218" s="473"/>
      <c r="J218" s="3456" t="s">
        <v>1364</v>
      </c>
      <c r="K218" s="3457"/>
      <c r="L218" s="3457"/>
      <c r="M218" s="3457"/>
      <c r="N218" s="3457"/>
      <c r="O218" s="3457"/>
      <c r="P218" s="3457"/>
      <c r="Q218" s="466"/>
      <c r="R218" s="547"/>
      <c r="S218" s="546"/>
      <c r="T218" s="466"/>
      <c r="U218" s="1938"/>
      <c r="V218" s="366"/>
      <c r="W218" s="466"/>
      <c r="X218" s="466"/>
      <c r="Y218" s="740">
        <f t="shared" si="37"/>
        <v>1470</v>
      </c>
      <c r="Z218" s="355">
        <f>SUM(Z219:Z220)</f>
        <v>1470000</v>
      </c>
      <c r="AA218" s="262"/>
      <c r="AB218" s="505"/>
      <c r="AE218" s="1155"/>
      <c r="AF218" s="1155"/>
      <c r="AG218" s="1155"/>
      <c r="AH218" s="1155"/>
      <c r="AI218" s="1155"/>
      <c r="AJ218" s="1155"/>
    </row>
    <row r="219" spans="1:36" s="1143" customFormat="1" ht="22.5" customHeight="1">
      <c r="A219" s="553"/>
      <c r="B219" s="554"/>
      <c r="C219" s="1145"/>
      <c r="D219" s="1126"/>
      <c r="E219" s="1145"/>
      <c r="F219" s="741"/>
      <c r="G219" s="741"/>
      <c r="H219" s="482"/>
      <c r="I219" s="473"/>
      <c r="J219" s="3456" t="s">
        <v>1398</v>
      </c>
      <c r="K219" s="3457"/>
      <c r="L219" s="3457"/>
      <c r="M219" s="3457"/>
      <c r="N219" s="3457"/>
      <c r="O219" s="3457"/>
      <c r="P219" s="3457"/>
      <c r="Q219" s="466">
        <v>1</v>
      </c>
      <c r="R219" s="547" t="s">
        <v>23</v>
      </c>
      <c r="S219" s="546">
        <v>250000</v>
      </c>
      <c r="T219" s="466" t="s">
        <v>0</v>
      </c>
      <c r="U219" s="1938"/>
      <c r="V219" s="366">
        <v>3</v>
      </c>
      <c r="W219" s="466" t="s">
        <v>1349</v>
      </c>
      <c r="X219" s="466" t="s">
        <v>129</v>
      </c>
      <c r="Y219" s="740">
        <f t="shared" si="37"/>
        <v>750</v>
      </c>
      <c r="Z219" s="355">
        <f>S219*V219*Q219</f>
        <v>750000</v>
      </c>
      <c r="AA219" s="262"/>
      <c r="AB219" s="505"/>
      <c r="AE219" s="1155"/>
      <c r="AF219" s="1155"/>
      <c r="AG219" s="1155"/>
      <c r="AH219" s="1155"/>
      <c r="AI219" s="1155"/>
      <c r="AJ219" s="1155"/>
    </row>
    <row r="220" spans="1:36" s="1143" customFormat="1" ht="22.5" customHeight="1">
      <c r="A220" s="553"/>
      <c r="B220" s="554"/>
      <c r="C220" s="1145"/>
      <c r="D220" s="1126"/>
      <c r="E220" s="1145"/>
      <c r="F220" s="741"/>
      <c r="G220" s="741"/>
      <c r="H220" s="482"/>
      <c r="I220" s="473"/>
      <c r="J220" s="3456" t="s">
        <v>1399</v>
      </c>
      <c r="K220" s="3457"/>
      <c r="L220" s="3457"/>
      <c r="M220" s="3457"/>
      <c r="N220" s="3457"/>
      <c r="O220" s="3457"/>
      <c r="P220" s="3457"/>
      <c r="Q220" s="466">
        <v>2</v>
      </c>
      <c r="R220" s="547" t="s">
        <v>23</v>
      </c>
      <c r="S220" s="546">
        <v>60000</v>
      </c>
      <c r="T220" s="466" t="s">
        <v>0</v>
      </c>
      <c r="U220" s="1938"/>
      <c r="V220" s="366">
        <v>6</v>
      </c>
      <c r="W220" s="466" t="s">
        <v>1349</v>
      </c>
      <c r="X220" s="466" t="s">
        <v>129</v>
      </c>
      <c r="Y220" s="740">
        <f t="shared" si="37"/>
        <v>720</v>
      </c>
      <c r="Z220" s="355">
        <f>S220*V220*Q220</f>
        <v>720000</v>
      </c>
      <c r="AA220" s="262"/>
      <c r="AB220" s="505"/>
      <c r="AE220" s="1155"/>
      <c r="AF220" s="1155"/>
      <c r="AG220" s="1155"/>
      <c r="AH220" s="1155"/>
      <c r="AI220" s="1155"/>
      <c r="AJ220" s="1155"/>
    </row>
    <row r="221" spans="1:36" s="1143" customFormat="1" ht="22.5" customHeight="1">
      <c r="A221" s="910"/>
      <c r="B221" s="470"/>
      <c r="C221" s="1648"/>
      <c r="D221" s="471"/>
      <c r="E221" s="1145" t="s">
        <v>1360</v>
      </c>
      <c r="F221" s="741">
        <f>Y221</f>
        <v>1060</v>
      </c>
      <c r="G221" s="741">
        <v>1060</v>
      </c>
      <c r="H221" s="523"/>
      <c r="I221" s="473"/>
      <c r="J221" s="3456" t="s">
        <v>1364</v>
      </c>
      <c r="K221" s="3457"/>
      <c r="L221" s="3457"/>
      <c r="M221" s="3457"/>
      <c r="N221" s="3457"/>
      <c r="O221" s="3457"/>
      <c r="P221" s="3457"/>
      <c r="Q221" s="466"/>
      <c r="R221" s="547"/>
      <c r="S221" s="546"/>
      <c r="T221" s="466"/>
      <c r="U221" s="1938"/>
      <c r="V221" s="366"/>
      <c r="W221" s="466"/>
      <c r="X221" s="466"/>
      <c r="Y221" s="740">
        <f t="shared" si="37"/>
        <v>1060</v>
      </c>
      <c r="Z221" s="355">
        <f>SUM(Z222:Z224)</f>
        <v>1060000</v>
      </c>
      <c r="AA221" s="262"/>
      <c r="AB221" s="505"/>
      <c r="AE221" s="1155"/>
      <c r="AF221" s="1155"/>
      <c r="AG221" s="1155"/>
      <c r="AH221" s="1155"/>
      <c r="AI221" s="1155"/>
      <c r="AJ221" s="1155"/>
    </row>
    <row r="222" spans="1:36" s="1143" customFormat="1" ht="22.5" customHeight="1">
      <c r="A222" s="910"/>
      <c r="B222" s="1938"/>
      <c r="C222" s="2082"/>
      <c r="D222" s="471"/>
      <c r="E222" s="1145"/>
      <c r="F222" s="741"/>
      <c r="G222" s="741"/>
      <c r="H222" s="482"/>
      <c r="I222" s="473"/>
      <c r="J222" s="3456" t="s">
        <v>1400</v>
      </c>
      <c r="K222" s="3457"/>
      <c r="L222" s="3457"/>
      <c r="M222" s="3457"/>
      <c r="N222" s="3457"/>
      <c r="O222" s="3457"/>
      <c r="P222" s="3457"/>
      <c r="Q222" s="466"/>
      <c r="R222" s="547"/>
      <c r="S222" s="546">
        <v>50000</v>
      </c>
      <c r="T222" s="466" t="s">
        <v>0</v>
      </c>
      <c r="U222" s="1938"/>
      <c r="V222" s="366">
        <v>2</v>
      </c>
      <c r="W222" s="466" t="s">
        <v>1401</v>
      </c>
      <c r="X222" s="466" t="s">
        <v>129</v>
      </c>
      <c r="Y222" s="740">
        <f t="shared" si="37"/>
        <v>100</v>
      </c>
      <c r="Z222" s="355">
        <f>S222*V222</f>
        <v>100000</v>
      </c>
      <c r="AA222" s="262"/>
      <c r="AB222" s="505"/>
      <c r="AE222" s="1155"/>
      <c r="AF222" s="1155"/>
      <c r="AG222" s="1155"/>
      <c r="AH222" s="1155"/>
      <c r="AI222" s="1155"/>
      <c r="AJ222" s="1155"/>
    </row>
    <row r="223" spans="1:36" s="1143" customFormat="1" ht="22.5" customHeight="1">
      <c r="A223" s="553"/>
      <c r="B223" s="738"/>
      <c r="C223" s="1154"/>
      <c r="D223" s="1126"/>
      <c r="E223" s="1145"/>
      <c r="F223" s="741"/>
      <c r="G223" s="741"/>
      <c r="H223" s="482"/>
      <c r="I223" s="473"/>
      <c r="J223" s="3456" t="s">
        <v>1402</v>
      </c>
      <c r="K223" s="3457"/>
      <c r="L223" s="3457"/>
      <c r="M223" s="3457"/>
      <c r="N223" s="3457"/>
      <c r="O223" s="3457"/>
      <c r="P223" s="3457"/>
      <c r="Q223" s="466">
        <v>30</v>
      </c>
      <c r="R223" s="547" t="s">
        <v>23</v>
      </c>
      <c r="S223" s="546">
        <v>4000</v>
      </c>
      <c r="T223" s="466" t="s">
        <v>0</v>
      </c>
      <c r="U223" s="1938"/>
      <c r="V223" s="366">
        <v>2</v>
      </c>
      <c r="W223" s="466" t="s">
        <v>1349</v>
      </c>
      <c r="X223" s="466" t="s">
        <v>129</v>
      </c>
      <c r="Y223" s="740">
        <f t="shared" si="37"/>
        <v>240</v>
      </c>
      <c r="Z223" s="355">
        <f>S223*V223*Q223</f>
        <v>240000</v>
      </c>
      <c r="AA223" s="262"/>
      <c r="AB223" s="505"/>
      <c r="AE223" s="1155"/>
      <c r="AF223" s="1155"/>
      <c r="AG223" s="1155"/>
      <c r="AH223" s="1155"/>
      <c r="AI223" s="1155"/>
      <c r="AJ223" s="1155"/>
    </row>
    <row r="224" spans="1:36" s="1143" customFormat="1" ht="22.5" customHeight="1">
      <c r="A224" s="553"/>
      <c r="B224" s="738"/>
      <c r="C224" s="1154"/>
      <c r="D224" s="1126"/>
      <c r="E224" s="1145"/>
      <c r="F224" s="741"/>
      <c r="G224" s="741"/>
      <c r="H224" s="482"/>
      <c r="I224" s="473"/>
      <c r="J224" s="3456" t="s">
        <v>1403</v>
      </c>
      <c r="K224" s="3457"/>
      <c r="L224" s="3457"/>
      <c r="M224" s="3457"/>
      <c r="N224" s="3457"/>
      <c r="O224" s="3457"/>
      <c r="P224" s="3457"/>
      <c r="Q224" s="466">
        <v>30</v>
      </c>
      <c r="R224" s="547" t="s">
        <v>23</v>
      </c>
      <c r="S224" s="546">
        <v>6000</v>
      </c>
      <c r="T224" s="466" t="s">
        <v>0</v>
      </c>
      <c r="U224" s="1938"/>
      <c r="V224" s="366">
        <v>4</v>
      </c>
      <c r="W224" s="466" t="s">
        <v>1349</v>
      </c>
      <c r="X224" s="466" t="s">
        <v>129</v>
      </c>
      <c r="Y224" s="740">
        <f t="shared" si="37"/>
        <v>720</v>
      </c>
      <c r="Z224" s="355">
        <f>S224*V224*Q224</f>
        <v>720000</v>
      </c>
      <c r="AA224" s="262"/>
      <c r="AB224" s="505"/>
      <c r="AE224" s="1155"/>
      <c r="AF224" s="1155"/>
      <c r="AG224" s="1155"/>
      <c r="AH224" s="1155"/>
      <c r="AI224" s="1155"/>
      <c r="AJ224" s="1155"/>
    </row>
    <row r="225" spans="1:36" s="1143" customFormat="1" ht="22.5" customHeight="1">
      <c r="A225" s="553"/>
      <c r="B225" s="554"/>
      <c r="C225" s="1145"/>
      <c r="D225" s="1126"/>
      <c r="E225" s="1145" t="s">
        <v>1390</v>
      </c>
      <c r="F225" s="741">
        <f>Y225</f>
        <v>100</v>
      </c>
      <c r="G225" s="741">
        <v>100</v>
      </c>
      <c r="H225" s="482"/>
      <c r="I225" s="473"/>
      <c r="J225" s="3456" t="s">
        <v>1347</v>
      </c>
      <c r="K225" s="3457"/>
      <c r="L225" s="3457"/>
      <c r="M225" s="3457"/>
      <c r="N225" s="3457"/>
      <c r="O225" s="3457"/>
      <c r="P225" s="3457"/>
      <c r="Q225" s="466">
        <v>5</v>
      </c>
      <c r="R225" s="547" t="s">
        <v>1367</v>
      </c>
      <c r="S225" s="546">
        <v>10000</v>
      </c>
      <c r="T225" s="466" t="s">
        <v>0</v>
      </c>
      <c r="U225" s="1938"/>
      <c r="V225" s="366">
        <v>2</v>
      </c>
      <c r="W225" s="466" t="s">
        <v>1349</v>
      </c>
      <c r="X225" s="466" t="s">
        <v>129</v>
      </c>
      <c r="Y225" s="740">
        <f t="shared" si="37"/>
        <v>100</v>
      </c>
      <c r="Z225" s="355">
        <f>Q225*S225*V225</f>
        <v>100000</v>
      </c>
      <c r="AA225" s="262"/>
      <c r="AB225" s="505"/>
      <c r="AE225" s="1155"/>
      <c r="AF225" s="1155"/>
      <c r="AG225" s="1155"/>
      <c r="AH225" s="1155"/>
      <c r="AI225" s="1155"/>
      <c r="AJ225" s="1155"/>
    </row>
    <row r="226" spans="1:36" s="1143" customFormat="1" ht="22.5" customHeight="1">
      <c r="A226" s="553"/>
      <c r="B226" s="738"/>
      <c r="C226" s="471"/>
      <c r="D226" s="3473" t="s">
        <v>1404</v>
      </c>
      <c r="E226" s="3474"/>
      <c r="F226" s="555">
        <f>SUM(F227:F233)</f>
        <v>31500</v>
      </c>
      <c r="G226" s="555">
        <f>SUM(G227:G233)</f>
        <v>31500</v>
      </c>
      <c r="H226" s="388">
        <v>0</v>
      </c>
      <c r="I226" s="473"/>
      <c r="J226" s="2165"/>
      <c r="K226" s="2166"/>
      <c r="L226" s="2166"/>
      <c r="M226" s="2166"/>
      <c r="N226" s="2166"/>
      <c r="O226" s="2166"/>
      <c r="P226" s="2166"/>
      <c r="Q226" s="1364"/>
      <c r="R226" s="2142"/>
      <c r="S226" s="1365"/>
      <c r="T226" s="1364"/>
      <c r="U226" s="1936"/>
      <c r="V226" s="521"/>
      <c r="W226" s="1364"/>
      <c r="X226" s="1364"/>
      <c r="Y226" s="2143"/>
      <c r="Z226" s="1296"/>
      <c r="AA226" s="262"/>
      <c r="AB226" s="505"/>
      <c r="AE226" s="1155"/>
      <c r="AF226" s="1155"/>
      <c r="AG226" s="1155"/>
      <c r="AH226" s="1155"/>
      <c r="AI226" s="1155"/>
      <c r="AJ226" s="1155"/>
    </row>
    <row r="227" spans="1:36" s="1143" customFormat="1" ht="22.5" customHeight="1">
      <c r="A227" s="553"/>
      <c r="B227" s="738"/>
      <c r="C227" s="471"/>
      <c r="D227" s="350"/>
      <c r="E227" s="879" t="s">
        <v>1405</v>
      </c>
      <c r="F227" s="2129">
        <f>Y227</f>
        <v>24000</v>
      </c>
      <c r="G227" s="2129">
        <v>24000</v>
      </c>
      <c r="H227" s="1193"/>
      <c r="I227" s="473"/>
      <c r="J227" s="3475" t="s">
        <v>4638</v>
      </c>
      <c r="K227" s="3476"/>
      <c r="L227" s="3476"/>
      <c r="M227" s="3476"/>
      <c r="N227" s="3476"/>
      <c r="O227" s="3476"/>
      <c r="P227" s="3476"/>
      <c r="Q227" s="1804">
        <v>50</v>
      </c>
      <c r="R227" s="2167" t="s">
        <v>1348</v>
      </c>
      <c r="S227" s="2168">
        <v>10000</v>
      </c>
      <c r="T227" s="1804" t="s">
        <v>1353</v>
      </c>
      <c r="U227" s="1937"/>
      <c r="V227" s="2053">
        <v>48</v>
      </c>
      <c r="W227" s="1804" t="s">
        <v>1349</v>
      </c>
      <c r="X227" s="1804"/>
      <c r="Y227" s="1881">
        <f>Z227/1000</f>
        <v>24000</v>
      </c>
      <c r="Z227" s="1881">
        <f>Q227*S227*V227</f>
        <v>24000000</v>
      </c>
      <c r="AA227" s="262"/>
      <c r="AB227" s="505"/>
      <c r="AE227" s="1155"/>
      <c r="AF227" s="1155"/>
      <c r="AG227" s="1155"/>
      <c r="AH227" s="1155"/>
      <c r="AI227" s="1155"/>
      <c r="AJ227" s="1155"/>
    </row>
    <row r="228" spans="1:36" s="1143" customFormat="1" ht="22.5" customHeight="1">
      <c r="A228" s="475"/>
      <c r="B228" s="1935"/>
      <c r="C228" s="2169"/>
      <c r="D228" s="1126"/>
      <c r="E228" s="470" t="s">
        <v>1406</v>
      </c>
      <c r="F228" s="741">
        <f t="shared" ref="F228:F233" si="38">Y228</f>
        <v>100</v>
      </c>
      <c r="G228" s="741">
        <v>100</v>
      </c>
      <c r="H228" s="482"/>
      <c r="I228" s="473"/>
      <c r="J228" s="3456" t="s">
        <v>1407</v>
      </c>
      <c r="K228" s="3457"/>
      <c r="L228" s="3457"/>
      <c r="M228" s="3457"/>
      <c r="N228" s="3457"/>
      <c r="O228" s="3457"/>
      <c r="P228" s="3457"/>
      <c r="Q228" s="466">
        <v>2</v>
      </c>
      <c r="R228" s="547" t="s">
        <v>1359</v>
      </c>
      <c r="S228" s="546">
        <v>50000</v>
      </c>
      <c r="T228" s="466" t="s">
        <v>1353</v>
      </c>
      <c r="U228" s="1938"/>
      <c r="V228" s="366">
        <v>1</v>
      </c>
      <c r="W228" s="466" t="s">
        <v>1354</v>
      </c>
      <c r="X228" s="2170" t="s">
        <v>1408</v>
      </c>
      <c r="Y228" s="740">
        <f>Z228/1000</f>
        <v>100</v>
      </c>
      <c r="Z228" s="355">
        <f>Q228*S228*V228</f>
        <v>100000</v>
      </c>
      <c r="AA228" s="262"/>
      <c r="AB228" s="505"/>
      <c r="AE228" s="1155"/>
      <c r="AF228" s="1155"/>
      <c r="AG228" s="1155"/>
      <c r="AH228" s="1155"/>
      <c r="AI228" s="1155"/>
      <c r="AJ228" s="1155"/>
    </row>
    <row r="229" spans="1:36" s="1143" customFormat="1" ht="22.5" customHeight="1">
      <c r="A229" s="553"/>
      <c r="B229" s="738"/>
      <c r="C229" s="471"/>
      <c r="D229" s="1126"/>
      <c r="E229" s="1145" t="s">
        <v>1351</v>
      </c>
      <c r="F229" s="741">
        <f t="shared" si="38"/>
        <v>900</v>
      </c>
      <c r="G229" s="741">
        <v>900</v>
      </c>
      <c r="H229" s="482"/>
      <c r="I229" s="473"/>
      <c r="J229" s="3456" t="s">
        <v>1409</v>
      </c>
      <c r="K229" s="3457"/>
      <c r="L229" s="3457"/>
      <c r="M229" s="3457"/>
      <c r="N229" s="3457"/>
      <c r="O229" s="3457"/>
      <c r="P229" s="3457"/>
      <c r="Q229" s="466"/>
      <c r="R229" s="547"/>
      <c r="S229" s="546">
        <v>180000</v>
      </c>
      <c r="T229" s="466" t="s">
        <v>0</v>
      </c>
      <c r="U229" s="1938"/>
      <c r="V229" s="466">
        <v>5</v>
      </c>
      <c r="W229" s="547" t="s">
        <v>1349</v>
      </c>
      <c r="X229" s="466" t="s">
        <v>129</v>
      </c>
      <c r="Y229" s="740">
        <f>Z229/1000</f>
        <v>900</v>
      </c>
      <c r="Z229" s="355">
        <f>S229*V229</f>
        <v>900000</v>
      </c>
      <c r="AA229" s="262"/>
      <c r="AB229" s="505"/>
      <c r="AE229" s="1155"/>
      <c r="AF229" s="1155"/>
      <c r="AG229" s="1155"/>
      <c r="AH229" s="1155"/>
      <c r="AI229" s="1155"/>
      <c r="AJ229" s="1155"/>
    </row>
    <row r="230" spans="1:36" s="1143" customFormat="1" ht="22.5" customHeight="1">
      <c r="A230" s="553"/>
      <c r="B230" s="738"/>
      <c r="C230" s="471"/>
      <c r="D230" s="1126"/>
      <c r="E230" s="1145" t="s">
        <v>1410</v>
      </c>
      <c r="F230" s="741">
        <f t="shared" si="38"/>
        <v>999.99999999999989</v>
      </c>
      <c r="G230" s="741">
        <v>999.99999999999989</v>
      </c>
      <c r="H230" s="482"/>
      <c r="I230" s="473"/>
      <c r="J230" s="3456" t="s">
        <v>1411</v>
      </c>
      <c r="K230" s="3457"/>
      <c r="L230" s="3457"/>
      <c r="M230" s="3457"/>
      <c r="N230" s="3457"/>
      <c r="O230" s="3457"/>
      <c r="P230" s="3457"/>
      <c r="Q230" s="466">
        <v>6</v>
      </c>
      <c r="R230" s="547" t="s">
        <v>28</v>
      </c>
      <c r="S230" s="546">
        <v>8333.3333333333321</v>
      </c>
      <c r="T230" s="466" t="s">
        <v>0</v>
      </c>
      <c r="U230" s="1938"/>
      <c r="V230" s="366">
        <v>20</v>
      </c>
      <c r="W230" s="466" t="s">
        <v>1412</v>
      </c>
      <c r="X230" s="466" t="s">
        <v>129</v>
      </c>
      <c r="Y230" s="740">
        <f t="shared" ref="Y230:Y231" si="39">Z230/1000</f>
        <v>999.99999999999989</v>
      </c>
      <c r="Z230" s="355">
        <f>Q230*S230*V230</f>
        <v>999999.99999999988</v>
      </c>
      <c r="AA230" s="262"/>
      <c r="AB230" s="505"/>
      <c r="AE230" s="1155"/>
      <c r="AF230" s="1155"/>
      <c r="AG230" s="1155"/>
      <c r="AH230" s="1155"/>
      <c r="AI230" s="1155"/>
      <c r="AJ230" s="1155"/>
    </row>
    <row r="231" spans="1:36" s="1143" customFormat="1" ht="22.5" customHeight="1">
      <c r="A231" s="475"/>
      <c r="B231" s="335"/>
      <c r="C231" s="2144"/>
      <c r="D231" s="1126"/>
      <c r="E231" s="1154" t="s">
        <v>1357</v>
      </c>
      <c r="F231" s="741">
        <f t="shared" si="38"/>
        <v>1200</v>
      </c>
      <c r="G231" s="741">
        <v>1200</v>
      </c>
      <c r="H231" s="482"/>
      <c r="I231" s="473"/>
      <c r="J231" s="3456" t="s">
        <v>1413</v>
      </c>
      <c r="K231" s="3457"/>
      <c r="L231" s="3457"/>
      <c r="M231" s="3457"/>
      <c r="N231" s="3457"/>
      <c r="O231" s="3457"/>
      <c r="P231" s="3457"/>
      <c r="Q231" s="466">
        <v>2</v>
      </c>
      <c r="R231" s="547" t="s">
        <v>28</v>
      </c>
      <c r="S231" s="546">
        <v>600000</v>
      </c>
      <c r="T231" s="466" t="s">
        <v>0</v>
      </c>
      <c r="U231" s="1938"/>
      <c r="V231" s="366">
        <v>1</v>
      </c>
      <c r="W231" s="466" t="s">
        <v>1414</v>
      </c>
      <c r="X231" s="466" t="s">
        <v>1356</v>
      </c>
      <c r="Y231" s="740">
        <f t="shared" si="39"/>
        <v>1200</v>
      </c>
      <c r="Z231" s="355">
        <f>Q231*S231*V231</f>
        <v>1200000</v>
      </c>
      <c r="AA231" s="262"/>
      <c r="AB231" s="505"/>
      <c r="AE231" s="1155"/>
      <c r="AF231" s="1155"/>
      <c r="AG231" s="1155"/>
      <c r="AH231" s="1155"/>
      <c r="AI231" s="1155"/>
      <c r="AJ231" s="1155"/>
    </row>
    <row r="232" spans="1:36" s="1143" customFormat="1" ht="22.5" customHeight="1">
      <c r="A232" s="553"/>
      <c r="B232" s="738"/>
      <c r="C232" s="471"/>
      <c r="D232" s="1126"/>
      <c r="E232" s="1154" t="s">
        <v>574</v>
      </c>
      <c r="F232" s="741">
        <f>Y232</f>
        <v>1000</v>
      </c>
      <c r="G232" s="741">
        <v>1000</v>
      </c>
      <c r="H232" s="482"/>
      <c r="I232" s="473"/>
      <c r="J232" s="3456" t="s">
        <v>1415</v>
      </c>
      <c r="K232" s="3457"/>
      <c r="L232" s="3457"/>
      <c r="M232" s="3457"/>
      <c r="N232" s="3457"/>
      <c r="O232" s="3457"/>
      <c r="P232" s="3457"/>
      <c r="Q232" s="466">
        <v>10</v>
      </c>
      <c r="R232" s="547" t="s">
        <v>33</v>
      </c>
      <c r="S232" s="546">
        <v>50000</v>
      </c>
      <c r="T232" s="466" t="s">
        <v>0</v>
      </c>
      <c r="U232" s="2357"/>
      <c r="V232" s="366">
        <v>2</v>
      </c>
      <c r="W232" s="466" t="s">
        <v>212</v>
      </c>
      <c r="X232" s="466" t="s">
        <v>129</v>
      </c>
      <c r="Y232" s="740">
        <f>Z232/1000</f>
        <v>1000</v>
      </c>
      <c r="Z232" s="355">
        <f>Q232*S232*V232</f>
        <v>1000000</v>
      </c>
      <c r="AA232" s="262"/>
      <c r="AB232" s="505"/>
      <c r="AE232" s="1155"/>
      <c r="AF232" s="1155"/>
      <c r="AG232" s="1155"/>
      <c r="AH232" s="1155"/>
      <c r="AI232" s="1155"/>
      <c r="AJ232" s="1155"/>
    </row>
    <row r="233" spans="1:36" s="1143" customFormat="1" ht="22.5" customHeight="1">
      <c r="A233" s="553"/>
      <c r="B233" s="738"/>
      <c r="C233" s="471"/>
      <c r="D233" s="1126"/>
      <c r="E233" s="1154" t="s">
        <v>1360</v>
      </c>
      <c r="F233" s="741">
        <f t="shared" si="38"/>
        <v>3300</v>
      </c>
      <c r="G233" s="741">
        <v>3300</v>
      </c>
      <c r="H233" s="482"/>
      <c r="I233" s="473"/>
      <c r="J233" s="3456" t="s">
        <v>4639</v>
      </c>
      <c r="K233" s="3457"/>
      <c r="L233" s="3457"/>
      <c r="M233" s="3457"/>
      <c r="N233" s="3457"/>
      <c r="O233" s="3457"/>
      <c r="P233" s="3457"/>
      <c r="Q233" s="466">
        <v>2</v>
      </c>
      <c r="R233" s="547" t="s">
        <v>28</v>
      </c>
      <c r="S233" s="546">
        <v>1650000</v>
      </c>
      <c r="T233" s="466" t="s">
        <v>0</v>
      </c>
      <c r="U233" s="2357"/>
      <c r="V233" s="366">
        <v>1</v>
      </c>
      <c r="W233" s="466" t="s">
        <v>1354</v>
      </c>
      <c r="X233" s="466" t="s">
        <v>129</v>
      </c>
      <c r="Y233" s="740">
        <f>Z233/1000</f>
        <v>3300</v>
      </c>
      <c r="Z233" s="355">
        <f>Q233*S233*V233</f>
        <v>3300000</v>
      </c>
      <c r="AA233" s="262"/>
      <c r="AB233" s="505"/>
      <c r="AE233" s="1155"/>
      <c r="AF233" s="1155"/>
      <c r="AG233" s="1155"/>
      <c r="AH233" s="1155"/>
      <c r="AI233" s="1155"/>
      <c r="AJ233" s="1155"/>
    </row>
    <row r="234" spans="1:36" s="1143" customFormat="1" ht="22.5" customHeight="1">
      <c r="A234" s="553"/>
      <c r="B234" s="738"/>
      <c r="C234" s="471"/>
      <c r="D234" s="3471" t="s">
        <v>4859</v>
      </c>
      <c r="E234" s="3472"/>
      <c r="F234" s="2152">
        <f>SUM(F235:F238)</f>
        <v>40950</v>
      </c>
      <c r="G234" s="2152">
        <f>SUM(G235:G238)</f>
        <v>40950</v>
      </c>
      <c r="H234" s="2153">
        <f>F234-G234</f>
        <v>0</v>
      </c>
      <c r="I234" s="473"/>
      <c r="J234" s="2154"/>
      <c r="K234" s="2155"/>
      <c r="L234" s="2155"/>
      <c r="M234" s="2155"/>
      <c r="N234" s="2155"/>
      <c r="O234" s="2155"/>
      <c r="P234" s="2155"/>
      <c r="Q234" s="2156"/>
      <c r="R234" s="2157"/>
      <c r="S234" s="2158"/>
      <c r="T234" s="2156"/>
      <c r="U234" s="2159"/>
      <c r="V234" s="2160"/>
      <c r="W234" s="2156"/>
      <c r="X234" s="2156"/>
      <c r="Y234" s="2161"/>
      <c r="Z234" s="2162"/>
      <c r="AA234" s="262"/>
      <c r="AB234" s="505"/>
      <c r="AE234" s="1155"/>
      <c r="AF234" s="1155"/>
      <c r="AG234" s="1155"/>
      <c r="AH234" s="1155"/>
      <c r="AI234" s="1155"/>
      <c r="AJ234" s="1155"/>
    </row>
    <row r="235" spans="1:36" s="1143" customFormat="1" ht="22.5" customHeight="1">
      <c r="A235" s="553"/>
      <c r="B235" s="738"/>
      <c r="C235" s="471"/>
      <c r="D235" s="2171"/>
      <c r="E235" s="335" t="s">
        <v>1405</v>
      </c>
      <c r="F235" s="2172">
        <f>Y235</f>
        <v>35952</v>
      </c>
      <c r="G235" s="739">
        <v>35952</v>
      </c>
      <c r="H235" s="523"/>
      <c r="I235" s="473"/>
      <c r="J235" s="3456" t="s">
        <v>1364</v>
      </c>
      <c r="K235" s="3457"/>
      <c r="L235" s="3457"/>
      <c r="M235" s="3457"/>
      <c r="N235" s="3457"/>
      <c r="O235" s="3457"/>
      <c r="P235" s="3457"/>
      <c r="Q235" s="466"/>
      <c r="R235" s="547"/>
      <c r="S235" s="546"/>
      <c r="T235" s="466"/>
      <c r="U235" s="1938"/>
      <c r="V235" s="366"/>
      <c r="W235" s="466"/>
      <c r="X235" s="466"/>
      <c r="Y235" s="740">
        <f>SUM(Y236:Y237)</f>
        <v>35952</v>
      </c>
      <c r="Z235" s="2164">
        <f>SUM(Z236:Z237)</f>
        <v>35952000</v>
      </c>
      <c r="AA235" s="262"/>
      <c r="AB235" s="505"/>
      <c r="AE235" s="1155"/>
      <c r="AF235" s="1155"/>
      <c r="AG235" s="1155"/>
      <c r="AH235" s="1155"/>
      <c r="AI235" s="1155"/>
      <c r="AJ235" s="1155"/>
    </row>
    <row r="236" spans="1:36" s="1143" customFormat="1" ht="22.5" customHeight="1">
      <c r="A236" s="553"/>
      <c r="B236" s="738"/>
      <c r="C236" s="471"/>
      <c r="D236" s="2163"/>
      <c r="E236" s="335"/>
      <c r="F236" s="2172"/>
      <c r="G236" s="739"/>
      <c r="H236" s="523"/>
      <c r="I236" s="473"/>
      <c r="J236" s="3456" t="s">
        <v>1416</v>
      </c>
      <c r="K236" s="3457"/>
      <c r="L236" s="3457"/>
      <c r="M236" s="3457"/>
      <c r="N236" s="3457"/>
      <c r="O236" s="3457"/>
      <c r="P236" s="3457"/>
      <c r="Q236" s="466">
        <v>1</v>
      </c>
      <c r="R236" s="547" t="s">
        <v>1348</v>
      </c>
      <c r="S236" s="546">
        <v>2500000</v>
      </c>
      <c r="T236" s="466" t="s">
        <v>1353</v>
      </c>
      <c r="U236" s="1938"/>
      <c r="V236" s="366">
        <v>12</v>
      </c>
      <c r="W236" s="466" t="s">
        <v>1417</v>
      </c>
      <c r="X236" s="466" t="s">
        <v>129</v>
      </c>
      <c r="Y236" s="740">
        <f>Z236/1000</f>
        <v>30000</v>
      </c>
      <c r="Z236" s="2164">
        <f>Q236*S236*V236</f>
        <v>30000000</v>
      </c>
      <c r="AA236" s="262"/>
      <c r="AB236" s="505"/>
      <c r="AE236" s="1155"/>
      <c r="AF236" s="1155"/>
      <c r="AG236" s="1155"/>
      <c r="AH236" s="1155"/>
      <c r="AI236" s="1155"/>
      <c r="AJ236" s="1155"/>
    </row>
    <row r="237" spans="1:36" s="1143" customFormat="1" ht="22.5" customHeight="1">
      <c r="A237" s="553"/>
      <c r="B237" s="738"/>
      <c r="C237" s="471"/>
      <c r="D237" s="2163"/>
      <c r="E237" s="335"/>
      <c r="F237" s="2172"/>
      <c r="G237" s="739"/>
      <c r="H237" s="523"/>
      <c r="I237" s="473"/>
      <c r="J237" s="3456" t="s">
        <v>1418</v>
      </c>
      <c r="K237" s="3457"/>
      <c r="L237" s="3457"/>
      <c r="M237" s="3457"/>
      <c r="N237" s="3457"/>
      <c r="O237" s="3457"/>
      <c r="P237" s="3457"/>
      <c r="Q237" s="466">
        <v>2</v>
      </c>
      <c r="R237" s="547" t="s">
        <v>1348</v>
      </c>
      <c r="S237" s="546">
        <v>248000</v>
      </c>
      <c r="T237" s="466" t="s">
        <v>1353</v>
      </c>
      <c r="U237" s="1938"/>
      <c r="V237" s="366">
        <v>12</v>
      </c>
      <c r="W237" s="466" t="s">
        <v>1417</v>
      </c>
      <c r="X237" s="466" t="s">
        <v>129</v>
      </c>
      <c r="Y237" s="740">
        <f>Z237/1000</f>
        <v>5952</v>
      </c>
      <c r="Z237" s="2164">
        <f>Q237*S237*V237</f>
        <v>5952000</v>
      </c>
      <c r="AA237" s="262"/>
      <c r="AB237" s="505"/>
      <c r="AE237" s="1155"/>
      <c r="AF237" s="1155"/>
      <c r="AG237" s="1155"/>
      <c r="AH237" s="1155"/>
      <c r="AI237" s="1155"/>
      <c r="AJ237" s="1155"/>
    </row>
    <row r="238" spans="1:36" ht="22.5" customHeight="1">
      <c r="A238" s="553"/>
      <c r="B238" s="738"/>
      <c r="C238" s="471"/>
      <c r="D238" s="2163"/>
      <c r="E238" s="1145" t="s">
        <v>1351</v>
      </c>
      <c r="F238" s="739">
        <f>Y238</f>
        <v>4998</v>
      </c>
      <c r="G238" s="739">
        <v>4998</v>
      </c>
      <c r="H238" s="523"/>
      <c r="I238" s="473"/>
      <c r="J238" s="3456" t="s">
        <v>1419</v>
      </c>
      <c r="K238" s="3457"/>
      <c r="L238" s="3457"/>
      <c r="M238" s="3457"/>
      <c r="N238" s="3457"/>
      <c r="O238" s="3457"/>
      <c r="P238" s="3457"/>
      <c r="Q238" s="466"/>
      <c r="R238" s="547"/>
      <c r="S238" s="546">
        <v>499800</v>
      </c>
      <c r="T238" s="466" t="s">
        <v>1353</v>
      </c>
      <c r="U238" s="1938"/>
      <c r="V238" s="366">
        <v>10</v>
      </c>
      <c r="W238" s="466" t="s">
        <v>1349</v>
      </c>
      <c r="X238" s="466" t="s">
        <v>129</v>
      </c>
      <c r="Y238" s="740">
        <f>Z238/1000</f>
        <v>4998</v>
      </c>
      <c r="Z238" s="2164">
        <f>S238*V238</f>
        <v>4998000</v>
      </c>
      <c r="AA238" s="262"/>
      <c r="AB238" s="505"/>
    </row>
    <row r="239" spans="1:36" ht="22.5" customHeight="1">
      <c r="A239" s="553"/>
      <c r="B239" s="738"/>
      <c r="C239" s="471"/>
      <c r="D239" s="3471" t="s">
        <v>1420</v>
      </c>
      <c r="E239" s="3472"/>
      <c r="F239" s="2152">
        <f>SUM(F240:F247)</f>
        <v>25250</v>
      </c>
      <c r="G239" s="2152">
        <f>SUM(G240:G247)</f>
        <v>25250</v>
      </c>
      <c r="H239" s="2153">
        <f>F239-G239</f>
        <v>0</v>
      </c>
      <c r="I239" s="473"/>
      <c r="J239" s="2154"/>
      <c r="K239" s="2155"/>
      <c r="L239" s="2155"/>
      <c r="M239" s="2155"/>
      <c r="N239" s="2155"/>
      <c r="O239" s="2155"/>
      <c r="P239" s="2155"/>
      <c r="Q239" s="2156"/>
      <c r="R239" s="2157"/>
      <c r="S239" s="2158"/>
      <c r="T239" s="2156"/>
      <c r="U239" s="2159"/>
      <c r="V239" s="2160"/>
      <c r="W239" s="2156"/>
      <c r="X239" s="2156"/>
      <c r="Y239" s="2161"/>
      <c r="Z239" s="2162"/>
      <c r="AA239" s="262"/>
      <c r="AB239" s="505"/>
    </row>
    <row r="240" spans="1:36" ht="22.5" customHeight="1">
      <c r="A240" s="553"/>
      <c r="B240" s="738"/>
      <c r="C240" s="471"/>
      <c r="D240" s="2435"/>
      <c r="E240" s="510" t="s">
        <v>2884</v>
      </c>
      <c r="F240" s="2172">
        <f>Y240</f>
        <v>3250</v>
      </c>
      <c r="G240" s="2172">
        <v>3250</v>
      </c>
      <c r="H240" s="482"/>
      <c r="I240" s="473"/>
      <c r="J240" s="1009" t="s">
        <v>2880</v>
      </c>
      <c r="K240" s="1010"/>
      <c r="L240" s="1010"/>
      <c r="M240" s="1010"/>
      <c r="N240" s="1010"/>
      <c r="O240" s="1010"/>
      <c r="P240" s="2361"/>
      <c r="Q240" s="2360"/>
      <c r="R240" s="2348"/>
      <c r="S240" s="2360">
        <v>65000</v>
      </c>
      <c r="T240" s="2360" t="s">
        <v>343</v>
      </c>
      <c r="U240" s="1675"/>
      <c r="V240" s="2360">
        <v>50</v>
      </c>
      <c r="W240" s="2360" t="s">
        <v>693</v>
      </c>
      <c r="X240" s="1140" t="s">
        <v>129</v>
      </c>
      <c r="Y240" s="1142">
        <f>Z240/1000</f>
        <v>3250</v>
      </c>
      <c r="Z240" s="494">
        <f>S240*V240</f>
        <v>3250000</v>
      </c>
      <c r="AA240" s="262"/>
      <c r="AB240" s="505"/>
    </row>
    <row r="241" spans="1:28" ht="22.5" customHeight="1">
      <c r="A241" s="553"/>
      <c r="B241" s="738"/>
      <c r="C241" s="471"/>
      <c r="D241" s="2436"/>
      <c r="E241" s="510" t="s">
        <v>269</v>
      </c>
      <c r="F241" s="2172">
        <f>Y241</f>
        <v>1000</v>
      </c>
      <c r="G241" s="2172">
        <v>1000</v>
      </c>
      <c r="H241" s="482"/>
      <c r="I241" s="473"/>
      <c r="J241" s="1009" t="s">
        <v>2881</v>
      </c>
      <c r="K241" s="1010"/>
      <c r="L241" s="1010"/>
      <c r="M241" s="1010"/>
      <c r="N241" s="1010"/>
      <c r="O241" s="1010"/>
      <c r="P241" s="2361"/>
      <c r="Q241" s="2360">
        <v>5</v>
      </c>
      <c r="R241" s="2348" t="s">
        <v>33</v>
      </c>
      <c r="S241" s="2360">
        <v>200000</v>
      </c>
      <c r="T241" s="2360" t="s">
        <v>343</v>
      </c>
      <c r="U241" s="1675"/>
      <c r="V241" s="2360">
        <v>1</v>
      </c>
      <c r="W241" s="2360" t="s">
        <v>302</v>
      </c>
      <c r="X241" s="1140" t="s">
        <v>129</v>
      </c>
      <c r="Y241" s="1142">
        <f>Z241/1000</f>
        <v>1000</v>
      </c>
      <c r="Z241" s="494">
        <f>Q241*S241*V241</f>
        <v>1000000</v>
      </c>
      <c r="AA241" s="262"/>
      <c r="AB241" s="505"/>
    </row>
    <row r="242" spans="1:28" ht="22.5" customHeight="1">
      <c r="A242" s="553"/>
      <c r="B242" s="738"/>
      <c r="C242" s="471"/>
      <c r="D242" s="2163"/>
      <c r="E242" s="510" t="s">
        <v>224</v>
      </c>
      <c r="F242" s="741">
        <f>Y242</f>
        <v>1000</v>
      </c>
      <c r="G242" s="741">
        <v>1000</v>
      </c>
      <c r="H242" s="482"/>
      <c r="I242" s="473"/>
      <c r="J242" s="3456" t="s">
        <v>4853</v>
      </c>
      <c r="K242" s="3457"/>
      <c r="L242" s="3457"/>
      <c r="M242" s="3457"/>
      <c r="N242" s="3457"/>
      <c r="O242" s="3457"/>
      <c r="P242" s="3457"/>
      <c r="Q242" s="516">
        <v>1</v>
      </c>
      <c r="R242" s="2887" t="s">
        <v>217</v>
      </c>
      <c r="S242" s="516">
        <v>1000000</v>
      </c>
      <c r="T242" s="2900" t="s">
        <v>264</v>
      </c>
      <c r="U242" s="2439"/>
      <c r="V242" s="2437"/>
      <c r="W242" s="2437"/>
      <c r="X242" s="1140" t="s">
        <v>129</v>
      </c>
      <c r="Y242" s="2383">
        <f t="shared" ref="Y242" si="40">Z242/1000</f>
        <v>1000</v>
      </c>
      <c r="Z242" s="518">
        <f t="shared" ref="Z242" si="41">Q242*S242</f>
        <v>1000000</v>
      </c>
      <c r="AA242" s="262"/>
      <c r="AB242" s="505"/>
    </row>
    <row r="243" spans="1:28" ht="22.5" customHeight="1">
      <c r="A243" s="553"/>
      <c r="B243" s="738"/>
      <c r="C243" s="471"/>
      <c r="D243" s="2436"/>
      <c r="E243" s="510" t="s">
        <v>287</v>
      </c>
      <c r="F243" s="2172">
        <f>Y243</f>
        <v>19000</v>
      </c>
      <c r="G243" s="2172">
        <v>19000</v>
      </c>
      <c r="H243" s="482"/>
      <c r="I243" s="473"/>
      <c r="J243" s="3456" t="s">
        <v>194</v>
      </c>
      <c r="K243" s="3457"/>
      <c r="L243" s="3457"/>
      <c r="M243" s="3457"/>
      <c r="N243" s="3457"/>
      <c r="O243" s="3457"/>
      <c r="P243" s="3457"/>
      <c r="Q243" s="2437"/>
      <c r="R243" s="2438"/>
      <c r="S243" s="2437"/>
      <c r="T243" s="2437"/>
      <c r="U243" s="2439"/>
      <c r="V243" s="2437"/>
      <c r="W243" s="2437"/>
      <c r="X243" s="1140" t="s">
        <v>129</v>
      </c>
      <c r="Y243" s="2383">
        <f>+Y244+Y245</f>
        <v>19000</v>
      </c>
      <c r="Z243" s="518">
        <f>+Z244+Z245</f>
        <v>19000000</v>
      </c>
      <c r="AA243" s="262"/>
      <c r="AB243" s="505"/>
    </row>
    <row r="244" spans="1:28" ht="22.5" customHeight="1">
      <c r="A244" s="553"/>
      <c r="B244" s="738"/>
      <c r="C244" s="471"/>
      <c r="D244" s="2163"/>
      <c r="E244" s="510"/>
      <c r="F244" s="2172"/>
      <c r="G244" s="739"/>
      <c r="H244" s="523"/>
      <c r="I244" s="473"/>
      <c r="J244" s="3456" t="s">
        <v>2885</v>
      </c>
      <c r="K244" s="3457"/>
      <c r="L244" s="3457"/>
      <c r="M244" s="3457"/>
      <c r="N244" s="3457"/>
      <c r="O244" s="3457"/>
      <c r="P244" s="3457"/>
      <c r="Q244" s="516">
        <v>1</v>
      </c>
      <c r="R244" s="2887" t="s">
        <v>217</v>
      </c>
      <c r="S244" s="516">
        <v>3000000</v>
      </c>
      <c r="T244" s="2900" t="s">
        <v>264</v>
      </c>
      <c r="U244" s="2439"/>
      <c r="V244" s="2437"/>
      <c r="W244" s="2437"/>
      <c r="X244" s="1140" t="s">
        <v>129</v>
      </c>
      <c r="Y244" s="2383">
        <f>Q244*S244/1000</f>
        <v>3000</v>
      </c>
      <c r="Z244" s="518">
        <f t="shared" ref="Z244:Z245" si="42">Q244*S244</f>
        <v>3000000</v>
      </c>
      <c r="AA244" s="262"/>
      <c r="AB244" s="505"/>
    </row>
    <row r="245" spans="1:28" ht="22.5" customHeight="1">
      <c r="A245" s="553"/>
      <c r="B245" s="738"/>
      <c r="C245" s="471"/>
      <c r="D245" s="2163"/>
      <c r="E245" s="510"/>
      <c r="F245" s="739"/>
      <c r="G245" s="739"/>
      <c r="H245" s="523"/>
      <c r="I245" s="473"/>
      <c r="J245" s="3456" t="s">
        <v>2886</v>
      </c>
      <c r="K245" s="3457"/>
      <c r="L245" s="3457"/>
      <c r="M245" s="3457"/>
      <c r="N245" s="3457"/>
      <c r="O245" s="3457"/>
      <c r="P245" s="3457"/>
      <c r="Q245" s="516">
        <v>1</v>
      </c>
      <c r="R245" s="2887" t="s">
        <v>217</v>
      </c>
      <c r="S245" s="516">
        <v>16000000</v>
      </c>
      <c r="T245" s="2900" t="s">
        <v>264</v>
      </c>
      <c r="U245" s="2439"/>
      <c r="V245" s="2437"/>
      <c r="W245" s="2437"/>
      <c r="X245" s="1140" t="s">
        <v>129</v>
      </c>
      <c r="Y245" s="2383">
        <f t="shared" ref="Y245" si="43">Z245/1000</f>
        <v>16000</v>
      </c>
      <c r="Z245" s="518">
        <f t="shared" si="42"/>
        <v>16000000</v>
      </c>
      <c r="AA245" s="262"/>
      <c r="AB245" s="505"/>
    </row>
    <row r="246" spans="1:28" ht="22.5" customHeight="1">
      <c r="A246" s="553"/>
      <c r="B246" s="738"/>
      <c r="C246" s="471"/>
      <c r="D246" s="2436"/>
      <c r="E246" s="510" t="s">
        <v>67</v>
      </c>
      <c r="F246" s="2172">
        <f>Y246</f>
        <v>500</v>
      </c>
      <c r="G246" s="2172">
        <v>500</v>
      </c>
      <c r="H246" s="482"/>
      <c r="I246" s="473"/>
      <c r="J246" s="1009" t="s">
        <v>2883</v>
      </c>
      <c r="K246" s="1010"/>
      <c r="L246" s="1010"/>
      <c r="M246" s="1010"/>
      <c r="N246" s="1010"/>
      <c r="O246" s="1010"/>
      <c r="P246" s="2901"/>
      <c r="Q246" s="2900"/>
      <c r="R246" s="2895"/>
      <c r="S246" s="2900">
        <v>250000</v>
      </c>
      <c r="T246" s="2900" t="s">
        <v>264</v>
      </c>
      <c r="U246" s="1675"/>
      <c r="V246" s="2900">
        <v>2</v>
      </c>
      <c r="W246" s="2900" t="s">
        <v>265</v>
      </c>
      <c r="X246" s="1140" t="s">
        <v>129</v>
      </c>
      <c r="Y246" s="1142">
        <f>Z246/1000</f>
        <v>500</v>
      </c>
      <c r="Z246" s="494">
        <f>S246*V246</f>
        <v>500000</v>
      </c>
      <c r="AA246" s="262"/>
      <c r="AB246" s="505"/>
    </row>
    <row r="247" spans="1:28" ht="22.5" customHeight="1">
      <c r="A247" s="553"/>
      <c r="B247" s="738"/>
      <c r="C247" s="471"/>
      <c r="D247" s="2436"/>
      <c r="E247" s="510" t="s">
        <v>303</v>
      </c>
      <c r="F247" s="2172">
        <f>Y247</f>
        <v>500</v>
      </c>
      <c r="G247" s="2172">
        <v>500</v>
      </c>
      <c r="H247" s="482"/>
      <c r="I247" s="473"/>
      <c r="J247" s="1009" t="s">
        <v>2882</v>
      </c>
      <c r="K247" s="1010"/>
      <c r="L247" s="1010"/>
      <c r="M247" s="1010"/>
      <c r="N247" s="1010"/>
      <c r="O247" s="1010"/>
      <c r="P247" s="2361"/>
      <c r="Q247" s="2360">
        <v>10</v>
      </c>
      <c r="R247" s="2348" t="s">
        <v>33</v>
      </c>
      <c r="S247" s="2360">
        <v>10000</v>
      </c>
      <c r="T247" s="2360" t="s">
        <v>343</v>
      </c>
      <c r="U247" s="1675"/>
      <c r="V247" s="2360">
        <v>5</v>
      </c>
      <c r="W247" s="2360" t="s">
        <v>567</v>
      </c>
      <c r="X247" s="1140" t="s">
        <v>129</v>
      </c>
      <c r="Y247" s="1142">
        <f t="shared" ref="Y247" si="44">Z247/1000</f>
        <v>500</v>
      </c>
      <c r="Z247" s="494">
        <f>Q247*S247*V247</f>
        <v>500000</v>
      </c>
      <c r="AA247" s="262"/>
      <c r="AB247" s="505"/>
    </row>
    <row r="248" spans="1:28" ht="22.5" customHeight="1">
      <c r="A248" s="1645"/>
      <c r="B248" s="1648"/>
      <c r="C248" s="471"/>
      <c r="D248" s="2364" t="s">
        <v>2887</v>
      </c>
      <c r="E248" s="2365"/>
      <c r="F248" s="1153">
        <f>SUM(F249:F260)</f>
        <v>228000</v>
      </c>
      <c r="G248" s="1153">
        <f>SUM(G249:G260)</f>
        <v>228000</v>
      </c>
      <c r="H248" s="2442">
        <f>F248-G248</f>
        <v>0</v>
      </c>
      <c r="I248" s="473"/>
      <c r="J248" s="2362"/>
      <c r="K248" s="2363"/>
      <c r="L248" s="2363"/>
      <c r="M248" s="2363"/>
      <c r="N248" s="2363"/>
      <c r="O248" s="2363"/>
      <c r="P248" s="2363"/>
      <c r="Q248" s="732"/>
      <c r="R248" s="890"/>
      <c r="S248" s="732"/>
      <c r="T248" s="1136"/>
      <c r="U248" s="2443"/>
      <c r="V248" s="2444"/>
      <c r="W248" s="2444"/>
      <c r="X248" s="1138"/>
      <c r="Y248" s="2445"/>
      <c r="Z248" s="696"/>
      <c r="AA248" s="262"/>
      <c r="AB248" s="505"/>
    </row>
    <row r="249" spans="1:28" ht="22.5" customHeight="1">
      <c r="A249" s="1645"/>
      <c r="B249" s="1648"/>
      <c r="C249" s="471"/>
      <c r="D249" s="2440"/>
      <c r="E249" s="510" t="s">
        <v>224</v>
      </c>
      <c r="F249" s="1141">
        <f>Y249</f>
        <v>8000</v>
      </c>
      <c r="G249" s="1141">
        <v>8000</v>
      </c>
      <c r="H249" s="523"/>
      <c r="I249" s="473"/>
      <c r="J249" s="3456" t="s">
        <v>194</v>
      </c>
      <c r="K249" s="3457"/>
      <c r="L249" s="3457"/>
      <c r="M249" s="3457"/>
      <c r="N249" s="3457"/>
      <c r="O249" s="3457"/>
      <c r="P249" s="3457"/>
      <c r="Q249" s="516"/>
      <c r="R249" s="2887"/>
      <c r="S249" s="516"/>
      <c r="T249" s="516"/>
      <c r="U249" s="515"/>
      <c r="V249" s="516"/>
      <c r="W249" s="516"/>
      <c r="X249" s="517"/>
      <c r="Y249" s="2383">
        <f>+Y250+Y251+Y253+Y252</f>
        <v>8000</v>
      </c>
      <c r="Z249" s="518">
        <f>+Z250+Z251+Z253</f>
        <v>6500000</v>
      </c>
      <c r="AA249" s="262"/>
      <c r="AB249" s="505"/>
    </row>
    <row r="250" spans="1:28" ht="22.5" customHeight="1">
      <c r="A250" s="1645"/>
      <c r="B250" s="1648"/>
      <c r="C250" s="471"/>
      <c r="D250" s="2440"/>
      <c r="E250" s="2441"/>
      <c r="F250" s="1141"/>
      <c r="G250" s="1141"/>
      <c r="H250" s="523"/>
      <c r="I250" s="473"/>
      <c r="J250" s="3456" t="s">
        <v>2894</v>
      </c>
      <c r="K250" s="3457"/>
      <c r="L250" s="3457"/>
      <c r="M250" s="3457"/>
      <c r="N250" s="3457"/>
      <c r="O250" s="3457"/>
      <c r="P250" s="3457"/>
      <c r="Q250" s="516"/>
      <c r="R250" s="2887"/>
      <c r="S250" s="516">
        <v>1000000</v>
      </c>
      <c r="T250" s="516" t="s">
        <v>264</v>
      </c>
      <c r="U250" s="515"/>
      <c r="V250" s="516">
        <v>1</v>
      </c>
      <c r="W250" s="516" t="s">
        <v>196</v>
      </c>
      <c r="X250" s="1140" t="s">
        <v>129</v>
      </c>
      <c r="Y250" s="2383">
        <f>Z250/1000</f>
        <v>1000</v>
      </c>
      <c r="Z250" s="518">
        <f t="shared" ref="Z250" si="45">S250*V250</f>
        <v>1000000</v>
      </c>
      <c r="AA250" s="262"/>
      <c r="AB250" s="505"/>
    </row>
    <row r="251" spans="1:28" ht="22.5" customHeight="1">
      <c r="A251" s="1645"/>
      <c r="B251" s="1648"/>
      <c r="C251" s="471"/>
      <c r="D251" s="2440"/>
      <c r="E251" s="2441"/>
      <c r="F251" s="1141"/>
      <c r="G251" s="1141"/>
      <c r="H251" s="523"/>
      <c r="I251" s="473"/>
      <c r="J251" s="3456" t="s">
        <v>2861</v>
      </c>
      <c r="K251" s="3457"/>
      <c r="L251" s="3457"/>
      <c r="M251" s="3457"/>
      <c r="N251" s="3457"/>
      <c r="O251" s="3457"/>
      <c r="P251" s="3457"/>
      <c r="Q251" s="516">
        <v>5</v>
      </c>
      <c r="R251" s="2887" t="s">
        <v>28</v>
      </c>
      <c r="S251" s="516">
        <v>300000</v>
      </c>
      <c r="T251" s="516" t="s">
        <v>264</v>
      </c>
      <c r="U251" s="515"/>
      <c r="V251" s="516"/>
      <c r="W251" s="516"/>
      <c r="X251" s="1140" t="s">
        <v>129</v>
      </c>
      <c r="Y251" s="2383">
        <f>Z251/1000</f>
        <v>1500</v>
      </c>
      <c r="Z251" s="518">
        <f t="shared" ref="Z251" si="46">Q251*S251</f>
        <v>1500000</v>
      </c>
      <c r="AA251" s="262"/>
      <c r="AB251" s="505"/>
    </row>
    <row r="252" spans="1:28" ht="22.5" customHeight="1">
      <c r="A252" s="1645"/>
      <c r="B252" s="1648"/>
      <c r="C252" s="471"/>
      <c r="D252" s="2440"/>
      <c r="E252" s="2441"/>
      <c r="F252" s="1141"/>
      <c r="G252" s="1141"/>
      <c r="H252" s="523"/>
      <c r="I252" s="473"/>
      <c r="J252" s="3456" t="s">
        <v>2895</v>
      </c>
      <c r="K252" s="3457"/>
      <c r="L252" s="3457"/>
      <c r="M252" s="3457"/>
      <c r="N252" s="3457"/>
      <c r="O252" s="3457"/>
      <c r="P252" s="3457"/>
      <c r="Q252" s="516"/>
      <c r="R252" s="2887" t="s">
        <v>2897</v>
      </c>
      <c r="S252" s="516">
        <v>1500000</v>
      </c>
      <c r="T252" s="516"/>
      <c r="U252" s="515"/>
      <c r="V252" s="516">
        <v>1</v>
      </c>
      <c r="W252" s="516" t="s">
        <v>196</v>
      </c>
      <c r="X252" s="1140" t="s">
        <v>129</v>
      </c>
      <c r="Y252" s="2383">
        <v>1500</v>
      </c>
      <c r="Z252" s="518">
        <v>1500000</v>
      </c>
      <c r="AA252" s="262"/>
      <c r="AB252" s="505"/>
    </row>
    <row r="253" spans="1:28" ht="22.5" customHeight="1">
      <c r="A253" s="1645"/>
      <c r="B253" s="1648"/>
      <c r="C253" s="471"/>
      <c r="D253" s="2440"/>
      <c r="E253" s="2441"/>
      <c r="F253" s="1141"/>
      <c r="G253" s="1141"/>
      <c r="H253" s="523"/>
      <c r="I253" s="473"/>
      <c r="J253" s="3456" t="s">
        <v>2896</v>
      </c>
      <c r="K253" s="3457"/>
      <c r="L253" s="3457"/>
      <c r="M253" s="3457"/>
      <c r="N253" s="3457"/>
      <c r="O253" s="3457"/>
      <c r="P253" s="3457"/>
      <c r="Q253" s="516">
        <v>2</v>
      </c>
      <c r="R253" s="2887" t="s">
        <v>28</v>
      </c>
      <c r="S253" s="516">
        <v>2000000</v>
      </c>
      <c r="T253" s="516" t="s">
        <v>264</v>
      </c>
      <c r="U253" s="515"/>
      <c r="V253" s="516">
        <v>1</v>
      </c>
      <c r="W253" s="516" t="s">
        <v>196</v>
      </c>
      <c r="X253" s="1140" t="s">
        <v>129</v>
      </c>
      <c r="Y253" s="2383">
        <f>Z253/1000</f>
        <v>4000</v>
      </c>
      <c r="Z253" s="518">
        <f t="shared" ref="Z253" si="47">Q253*S253</f>
        <v>4000000</v>
      </c>
      <c r="AA253" s="262"/>
      <c r="AB253" s="505"/>
    </row>
    <row r="254" spans="1:28" ht="22.5" customHeight="1">
      <c r="A254" s="1645"/>
      <c r="B254" s="1648"/>
      <c r="C254" s="471"/>
      <c r="D254" s="2440"/>
      <c r="E254" s="510" t="s">
        <v>287</v>
      </c>
      <c r="F254" s="1141">
        <f>Y254</f>
        <v>220000</v>
      </c>
      <c r="G254" s="1141">
        <v>220000</v>
      </c>
      <c r="H254" s="523"/>
      <c r="I254" s="473"/>
      <c r="J254" s="3456" t="s">
        <v>194</v>
      </c>
      <c r="K254" s="3457"/>
      <c r="L254" s="3457"/>
      <c r="M254" s="3457"/>
      <c r="N254" s="3457"/>
      <c r="O254" s="3457"/>
      <c r="P254" s="3457"/>
      <c r="Q254" s="2437"/>
      <c r="R254" s="2887"/>
      <c r="S254" s="516"/>
      <c r="T254" s="516"/>
      <c r="U254" s="515"/>
      <c r="V254" s="516"/>
      <c r="W254" s="516"/>
      <c r="X254" s="517"/>
      <c r="Y254" s="2383">
        <f>+Y255+Y256+Y257+Y258+Y259+Y260</f>
        <v>220000</v>
      </c>
      <c r="Z254" s="518">
        <f>+Z255+Z256+Z257+Z258+Z259+Z260</f>
        <v>220000000</v>
      </c>
      <c r="AA254" s="262"/>
      <c r="AB254" s="505"/>
    </row>
    <row r="255" spans="1:28" ht="22.5" customHeight="1">
      <c r="A255" s="1645"/>
      <c r="B255" s="1648"/>
      <c r="C255" s="471"/>
      <c r="D255" s="2440"/>
      <c r="E255" s="2441"/>
      <c r="F255" s="1141"/>
      <c r="G255" s="1141"/>
      <c r="H255" s="523"/>
      <c r="I255" s="473"/>
      <c r="J255" s="3456" t="s">
        <v>2888</v>
      </c>
      <c r="K255" s="3457"/>
      <c r="L255" s="3457"/>
      <c r="M255" s="3457"/>
      <c r="N255" s="3457"/>
      <c r="O255" s="3457"/>
      <c r="P255" s="3457"/>
      <c r="Q255" s="2437"/>
      <c r="R255" s="2887"/>
      <c r="S255" s="516">
        <v>120000000</v>
      </c>
      <c r="T255" s="516" t="s">
        <v>343</v>
      </c>
      <c r="U255" s="515"/>
      <c r="V255" s="516">
        <v>1</v>
      </c>
      <c r="W255" s="516" t="s">
        <v>302</v>
      </c>
      <c r="X255" s="1140" t="s">
        <v>129</v>
      </c>
      <c r="Y255" s="2383">
        <f t="shared" ref="Y255:Y260" si="48">Z255/1000</f>
        <v>120000</v>
      </c>
      <c r="Z255" s="518">
        <f>S255*V255</f>
        <v>120000000</v>
      </c>
      <c r="AA255" s="262"/>
      <c r="AB255" s="505"/>
    </row>
    <row r="256" spans="1:28" ht="22.5" customHeight="1">
      <c r="A256" s="1645"/>
      <c r="B256" s="1648"/>
      <c r="C256" s="471"/>
      <c r="D256" s="2440"/>
      <c r="E256" s="2441"/>
      <c r="F256" s="1141"/>
      <c r="G256" s="1141"/>
      <c r="H256" s="523"/>
      <c r="I256" s="473"/>
      <c r="J256" s="3456" t="s">
        <v>2889</v>
      </c>
      <c r="K256" s="3457"/>
      <c r="L256" s="3457"/>
      <c r="M256" s="3457"/>
      <c r="N256" s="3457"/>
      <c r="O256" s="3457"/>
      <c r="P256" s="3457"/>
      <c r="Q256" s="2437"/>
      <c r="R256" s="2887"/>
      <c r="S256" s="516">
        <v>30000000</v>
      </c>
      <c r="T256" s="516" t="s">
        <v>343</v>
      </c>
      <c r="U256" s="515"/>
      <c r="V256" s="516">
        <v>1</v>
      </c>
      <c r="W256" s="516" t="s">
        <v>302</v>
      </c>
      <c r="X256" s="1140" t="s">
        <v>129</v>
      </c>
      <c r="Y256" s="2383">
        <f t="shared" si="48"/>
        <v>30000</v>
      </c>
      <c r="Z256" s="518">
        <f t="shared" ref="Z256:Z257" si="49">S256*V256</f>
        <v>30000000</v>
      </c>
      <c r="AA256" s="262"/>
      <c r="AB256" s="505"/>
    </row>
    <row r="257" spans="1:30" ht="22.5" customHeight="1">
      <c r="A257" s="1645"/>
      <c r="B257" s="1648"/>
      <c r="C257" s="471"/>
      <c r="D257" s="2440"/>
      <c r="E257" s="2441"/>
      <c r="F257" s="1141"/>
      <c r="G257" s="1141"/>
      <c r="H257" s="523"/>
      <c r="I257" s="473"/>
      <c r="J257" s="3456" t="s">
        <v>2890</v>
      </c>
      <c r="K257" s="3457"/>
      <c r="L257" s="3457"/>
      <c r="M257" s="3457"/>
      <c r="N257" s="3457"/>
      <c r="O257" s="3457"/>
      <c r="P257" s="3457"/>
      <c r="Q257" s="2437"/>
      <c r="R257" s="2887"/>
      <c r="S257" s="516">
        <v>20000000</v>
      </c>
      <c r="T257" s="516" t="s">
        <v>343</v>
      </c>
      <c r="U257" s="515"/>
      <c r="V257" s="516">
        <v>1</v>
      </c>
      <c r="W257" s="516" t="s">
        <v>302</v>
      </c>
      <c r="X257" s="1140" t="s">
        <v>129</v>
      </c>
      <c r="Y257" s="2383">
        <f t="shared" si="48"/>
        <v>20000</v>
      </c>
      <c r="Z257" s="518">
        <f t="shared" si="49"/>
        <v>20000000</v>
      </c>
      <c r="AA257" s="262"/>
      <c r="AB257" s="505"/>
    </row>
    <row r="258" spans="1:30" ht="22.5" customHeight="1">
      <c r="A258" s="1645"/>
      <c r="B258" s="1648"/>
      <c r="C258" s="471"/>
      <c r="D258" s="2440"/>
      <c r="E258" s="2441"/>
      <c r="F258" s="1141"/>
      <c r="G258" s="1141"/>
      <c r="H258" s="523"/>
      <c r="I258" s="473"/>
      <c r="J258" s="3456" t="s">
        <v>2891</v>
      </c>
      <c r="K258" s="3457"/>
      <c r="L258" s="3457"/>
      <c r="M258" s="3457"/>
      <c r="N258" s="3457"/>
      <c r="O258" s="3457"/>
      <c r="P258" s="3457"/>
      <c r="Q258" s="516">
        <v>2</v>
      </c>
      <c r="R258" s="2887" t="s">
        <v>28</v>
      </c>
      <c r="S258" s="516">
        <v>15000000</v>
      </c>
      <c r="T258" s="516" t="s">
        <v>343</v>
      </c>
      <c r="U258" s="515"/>
      <c r="V258" s="516"/>
      <c r="W258" s="516"/>
      <c r="X258" s="1140" t="s">
        <v>129</v>
      </c>
      <c r="Y258" s="2383">
        <f t="shared" si="48"/>
        <v>30000</v>
      </c>
      <c r="Z258" s="518">
        <f>Q258*S258</f>
        <v>30000000</v>
      </c>
      <c r="AA258" s="262"/>
      <c r="AB258" s="505"/>
    </row>
    <row r="259" spans="1:30" ht="22.5" customHeight="1">
      <c r="A259" s="1645"/>
      <c r="B259" s="1648"/>
      <c r="C259" s="471"/>
      <c r="D259" s="2440"/>
      <c r="E259" s="2441"/>
      <c r="F259" s="510"/>
      <c r="G259" s="739"/>
      <c r="H259" s="523"/>
      <c r="I259" s="473"/>
      <c r="J259" s="3456" t="s">
        <v>2892</v>
      </c>
      <c r="K259" s="3457"/>
      <c r="L259" s="3457"/>
      <c r="M259" s="3457"/>
      <c r="N259" s="3457"/>
      <c r="O259" s="3457"/>
      <c r="P259" s="3457"/>
      <c r="Q259" s="516">
        <v>14</v>
      </c>
      <c r="R259" s="2887" t="s">
        <v>28</v>
      </c>
      <c r="S259" s="516">
        <v>500000</v>
      </c>
      <c r="T259" s="516" t="s">
        <v>343</v>
      </c>
      <c r="U259" s="515"/>
      <c r="V259" s="516"/>
      <c r="W259" s="516"/>
      <c r="X259" s="1140" t="s">
        <v>129</v>
      </c>
      <c r="Y259" s="2383">
        <f t="shared" si="48"/>
        <v>7000</v>
      </c>
      <c r="Z259" s="518">
        <f t="shared" ref="Z259:Z260" si="50">Q259*S259</f>
        <v>7000000</v>
      </c>
      <c r="AA259" s="262"/>
      <c r="AB259" s="505"/>
    </row>
    <row r="260" spans="1:30" ht="22.5" customHeight="1">
      <c r="A260" s="1645"/>
      <c r="B260" s="1648"/>
      <c r="C260" s="471"/>
      <c r="D260" s="2446"/>
      <c r="E260" s="2447"/>
      <c r="F260" s="2825"/>
      <c r="G260" s="3035"/>
      <c r="H260" s="2079"/>
      <c r="I260" s="473"/>
      <c r="J260" s="3456" t="s">
        <v>2893</v>
      </c>
      <c r="K260" s="3457"/>
      <c r="L260" s="3457"/>
      <c r="M260" s="3457"/>
      <c r="N260" s="3457"/>
      <c r="O260" s="3457"/>
      <c r="P260" s="3457"/>
      <c r="Q260" s="1151">
        <v>1</v>
      </c>
      <c r="R260" s="2386" t="s">
        <v>28</v>
      </c>
      <c r="S260" s="1151">
        <v>13000000</v>
      </c>
      <c r="T260" s="1151" t="s">
        <v>343</v>
      </c>
      <c r="U260" s="2385"/>
      <c r="V260" s="1151"/>
      <c r="W260" s="1151"/>
      <c r="X260" s="460" t="s">
        <v>129</v>
      </c>
      <c r="Y260" s="2387">
        <f t="shared" si="48"/>
        <v>13000</v>
      </c>
      <c r="Z260" s="688">
        <f t="shared" si="50"/>
        <v>13000000</v>
      </c>
      <c r="AA260" s="262"/>
      <c r="AB260" s="505"/>
    </row>
    <row r="261" spans="1:30" s="357" customFormat="1" ht="22.5" customHeight="1">
      <c r="A261" s="1934"/>
      <c r="B261" s="1145"/>
      <c r="C261" s="3464" t="s">
        <v>599</v>
      </c>
      <c r="D261" s="3465"/>
      <c r="E261" s="3466"/>
      <c r="F261" s="527">
        <f>F262</f>
        <v>136000</v>
      </c>
      <c r="G261" s="527">
        <f>G262</f>
        <v>91000</v>
      </c>
      <c r="H261" s="361">
        <f t="shared" ref="H261:H262" si="51">F261-G261</f>
        <v>45000</v>
      </c>
      <c r="I261" s="1127"/>
      <c r="J261" s="2145"/>
      <c r="K261" s="2174"/>
      <c r="L261" s="2174"/>
      <c r="M261" s="2174"/>
      <c r="N261" s="2174"/>
      <c r="O261" s="2174"/>
      <c r="P261" s="2175"/>
      <c r="Q261" s="1151"/>
      <c r="R261" s="457"/>
      <c r="S261" s="459"/>
      <c r="T261" s="459"/>
      <c r="U261" s="1626"/>
      <c r="V261" s="459"/>
      <c r="W261" s="459"/>
      <c r="X261" s="460"/>
      <c r="Y261" s="558"/>
      <c r="Z261" s="1158"/>
      <c r="AA261" s="262"/>
      <c r="AB261" s="505"/>
      <c r="AC261" s="358"/>
      <c r="AD261" s="358"/>
    </row>
    <row r="262" spans="1:30" s="357" customFormat="1" ht="22.5" customHeight="1">
      <c r="A262" s="1934"/>
      <c r="B262" s="1145"/>
      <c r="C262" s="1709"/>
      <c r="D262" s="3467" t="s">
        <v>599</v>
      </c>
      <c r="E262" s="3468"/>
      <c r="F262" s="1156">
        <f>SUM(F263:F272)</f>
        <v>136000</v>
      </c>
      <c r="G262" s="1156">
        <f>SUM(G263:G272)</f>
        <v>91000</v>
      </c>
      <c r="H262" s="559">
        <f t="shared" si="51"/>
        <v>45000</v>
      </c>
      <c r="I262" s="1127"/>
      <c r="J262" s="1007"/>
      <c r="K262" s="1008"/>
      <c r="L262" s="1008"/>
      <c r="M262" s="1008"/>
      <c r="N262" s="1008"/>
      <c r="O262" s="1008"/>
      <c r="P262" s="1008"/>
      <c r="Q262" s="1941"/>
      <c r="R262" s="1626"/>
      <c r="S262" s="1130"/>
      <c r="T262" s="1941"/>
      <c r="U262" s="1941"/>
      <c r="V262" s="1130"/>
      <c r="W262" s="1941"/>
      <c r="X262" s="1157"/>
      <c r="Y262" s="1158"/>
      <c r="Z262" s="503">
        <f>AB262</f>
        <v>0</v>
      </c>
      <c r="AA262" s="262"/>
      <c r="AB262" s="505"/>
      <c r="AC262" s="358"/>
      <c r="AD262" s="358"/>
    </row>
    <row r="263" spans="1:30" s="357" customFormat="1" ht="22.5" customHeight="1">
      <c r="A263" s="1934"/>
      <c r="B263" s="1145"/>
      <c r="C263" s="1126"/>
      <c r="D263" s="1148"/>
      <c r="E263" s="1134" t="s">
        <v>1421</v>
      </c>
      <c r="F263" s="1141">
        <f>+Y263</f>
        <v>46000</v>
      </c>
      <c r="G263" s="1139">
        <v>41000</v>
      </c>
      <c r="H263" s="1147">
        <f>F263-G263</f>
        <v>5000</v>
      </c>
      <c r="I263" s="1127"/>
      <c r="J263" s="1009" t="s">
        <v>1364</v>
      </c>
      <c r="K263" s="1010"/>
      <c r="L263" s="1010"/>
      <c r="M263" s="1010"/>
      <c r="N263" s="1010"/>
      <c r="O263" s="1010"/>
      <c r="P263" s="1011"/>
      <c r="Q263" s="1944"/>
      <c r="R263" s="1927"/>
      <c r="S263" s="1944"/>
      <c r="T263" s="1944"/>
      <c r="U263" s="1675"/>
      <c r="V263" s="1944"/>
      <c r="W263" s="1944"/>
      <c r="X263" s="1140"/>
      <c r="Y263" s="1142">
        <f>SUM(Y264:Y265)</f>
        <v>46000</v>
      </c>
      <c r="Z263" s="494">
        <f>SUM(Z264:Z265)</f>
        <v>46000000</v>
      </c>
      <c r="AA263" s="262"/>
      <c r="AB263" s="505"/>
      <c r="AC263" s="358"/>
      <c r="AD263" s="358"/>
    </row>
    <row r="264" spans="1:30" s="357" customFormat="1" ht="22.5" customHeight="1">
      <c r="A264" s="1934"/>
      <c r="B264" s="1145"/>
      <c r="C264" s="1126"/>
      <c r="D264" s="1148"/>
      <c r="E264" s="1134"/>
      <c r="F264" s="1141"/>
      <c r="G264" s="1139"/>
      <c r="H264" s="1147"/>
      <c r="I264" s="1127"/>
      <c r="J264" s="3456" t="s">
        <v>1422</v>
      </c>
      <c r="K264" s="3457"/>
      <c r="L264" s="3457"/>
      <c r="M264" s="3457"/>
      <c r="N264" s="3457"/>
      <c r="O264" s="3457"/>
      <c r="P264" s="3457"/>
      <c r="Q264" s="1944">
        <v>1</v>
      </c>
      <c r="R264" s="1927" t="s">
        <v>1348</v>
      </c>
      <c r="S264" s="1944">
        <v>2500000</v>
      </c>
      <c r="T264" s="1944" t="s">
        <v>1353</v>
      </c>
      <c r="U264" s="1675"/>
      <c r="V264" s="1944">
        <v>12</v>
      </c>
      <c r="W264" s="1944" t="s">
        <v>1417</v>
      </c>
      <c r="X264" s="1140" t="s">
        <v>1</v>
      </c>
      <c r="Y264" s="1142">
        <f>Z264/1000</f>
        <v>30000</v>
      </c>
      <c r="Z264" s="494">
        <f>Q264*S264*V264</f>
        <v>30000000</v>
      </c>
      <c r="AA264" s="262"/>
      <c r="AB264" s="505"/>
      <c r="AC264" s="358"/>
      <c r="AD264" s="358"/>
    </row>
    <row r="265" spans="1:30" s="357" customFormat="1" ht="22.5" customHeight="1">
      <c r="A265" s="1934"/>
      <c r="B265" s="1145"/>
      <c r="C265" s="1126"/>
      <c r="D265" s="1148"/>
      <c r="E265" s="1134"/>
      <c r="F265" s="1141"/>
      <c r="G265" s="1139"/>
      <c r="H265" s="1147"/>
      <c r="I265" s="1127"/>
      <c r="J265" s="3456" t="s">
        <v>1423</v>
      </c>
      <c r="K265" s="3457"/>
      <c r="L265" s="3457"/>
      <c r="M265" s="3457"/>
      <c r="N265" s="3457"/>
      <c r="O265" s="3457"/>
      <c r="P265" s="3457"/>
      <c r="Q265" s="1944">
        <v>2</v>
      </c>
      <c r="R265" s="1927" t="s">
        <v>1348</v>
      </c>
      <c r="S265" s="1944">
        <v>666666.66666666663</v>
      </c>
      <c r="T265" s="1944" t="s">
        <v>1353</v>
      </c>
      <c r="U265" s="1675"/>
      <c r="V265" s="1944">
        <v>12</v>
      </c>
      <c r="W265" s="1944" t="s">
        <v>1417</v>
      </c>
      <c r="X265" s="1140" t="s">
        <v>1</v>
      </c>
      <c r="Y265" s="1142">
        <f>Z265/1000</f>
        <v>16000</v>
      </c>
      <c r="Z265" s="494">
        <f>Q265*S265*V265</f>
        <v>16000000</v>
      </c>
      <c r="AA265" s="262"/>
      <c r="AB265" s="505"/>
      <c r="AC265" s="358"/>
      <c r="AD265" s="358"/>
    </row>
    <row r="266" spans="1:30" s="1675" customFormat="1" ht="22.5" customHeight="1">
      <c r="A266" s="1934"/>
      <c r="B266" s="1145"/>
      <c r="C266" s="1126"/>
      <c r="D266" s="1131"/>
      <c r="E266" s="1134" t="s">
        <v>1351</v>
      </c>
      <c r="F266" s="1141">
        <f>+Y266</f>
        <v>2700</v>
      </c>
      <c r="G266" s="1139">
        <v>2700</v>
      </c>
      <c r="H266" s="1147"/>
      <c r="I266" s="1127"/>
      <c r="J266" s="1009" t="s">
        <v>1424</v>
      </c>
      <c r="K266" s="1010"/>
      <c r="L266" s="1010"/>
      <c r="M266" s="1010"/>
      <c r="N266" s="1010"/>
      <c r="O266" s="1010"/>
      <c r="P266" s="1011"/>
      <c r="Q266" s="1944"/>
      <c r="R266" s="1927"/>
      <c r="S266" s="1944">
        <v>225000</v>
      </c>
      <c r="T266" s="1944" t="s">
        <v>0</v>
      </c>
      <c r="V266" s="1944">
        <v>12</v>
      </c>
      <c r="W266" s="1927" t="s">
        <v>1417</v>
      </c>
      <c r="X266" s="1140" t="s">
        <v>1</v>
      </c>
      <c r="Y266" s="1142">
        <f>+Z266/1000</f>
        <v>2700</v>
      </c>
      <c r="Z266" s="494">
        <f t="shared" ref="Z266:Z271" si="52">S266*V266</f>
        <v>2700000</v>
      </c>
      <c r="AA266" s="262"/>
      <c r="AB266" s="505"/>
      <c r="AC266" s="347"/>
      <c r="AD266" s="347"/>
    </row>
    <row r="267" spans="1:30" s="1675" customFormat="1" ht="22.5" customHeight="1">
      <c r="A267" s="1934"/>
      <c r="B267" s="1145"/>
      <c r="C267" s="1126"/>
      <c r="D267" s="1131"/>
      <c r="E267" s="1134" t="s">
        <v>1355</v>
      </c>
      <c r="F267" s="1141">
        <f>+Y267</f>
        <v>800</v>
      </c>
      <c r="G267" s="1139">
        <v>800</v>
      </c>
      <c r="H267" s="1147"/>
      <c r="I267" s="1127"/>
      <c r="J267" s="1009" t="s">
        <v>1425</v>
      </c>
      <c r="K267" s="1010"/>
      <c r="L267" s="1010"/>
      <c r="M267" s="1010"/>
      <c r="N267" s="1010"/>
      <c r="O267" s="1010"/>
      <c r="P267" s="1011"/>
      <c r="Q267" s="1944">
        <v>3.3333333333333335</v>
      </c>
      <c r="R267" s="1927" t="s">
        <v>1359</v>
      </c>
      <c r="S267" s="1944">
        <v>20000</v>
      </c>
      <c r="T267" s="1944" t="s">
        <v>0</v>
      </c>
      <c r="V267" s="1944">
        <v>12</v>
      </c>
      <c r="W267" s="1927" t="s">
        <v>1417</v>
      </c>
      <c r="X267" s="1140" t="s">
        <v>1</v>
      </c>
      <c r="Y267" s="1142">
        <f>+Z267/1000</f>
        <v>800</v>
      </c>
      <c r="Z267" s="494">
        <f>Q267*S267*V267</f>
        <v>800000</v>
      </c>
      <c r="AA267" s="262"/>
      <c r="AB267" s="505"/>
      <c r="AC267" s="347"/>
      <c r="AD267" s="347"/>
    </row>
    <row r="268" spans="1:30" s="357" customFormat="1" ht="22.5" customHeight="1">
      <c r="A268" s="1934"/>
      <c r="B268" s="1145"/>
      <c r="C268" s="1154"/>
      <c r="D268" s="1144"/>
      <c r="E268" s="1134" t="s">
        <v>1426</v>
      </c>
      <c r="F268" s="1141">
        <f>+Y268</f>
        <v>52000</v>
      </c>
      <c r="G268" s="1139">
        <v>12000</v>
      </c>
      <c r="H268" s="1147">
        <f>F268-G268</f>
        <v>40000</v>
      </c>
      <c r="I268" s="1127"/>
      <c r="J268" s="1009" t="s">
        <v>1427</v>
      </c>
      <c r="K268" s="1010"/>
      <c r="L268" s="1010"/>
      <c r="M268" s="1010"/>
      <c r="N268" s="1010"/>
      <c r="O268" s="1010"/>
      <c r="P268" s="1011"/>
      <c r="Q268" s="1944"/>
      <c r="R268" s="1927"/>
      <c r="S268" s="1944">
        <v>4333333.333333333</v>
      </c>
      <c r="T268" s="1944" t="s">
        <v>0</v>
      </c>
      <c r="U268" s="1675"/>
      <c r="V268" s="1944">
        <v>12</v>
      </c>
      <c r="W268" s="1944" t="s">
        <v>1417</v>
      </c>
      <c r="X268" s="1140" t="s">
        <v>1408</v>
      </c>
      <c r="Y268" s="1142">
        <f>+Z268/1000</f>
        <v>52000</v>
      </c>
      <c r="Z268" s="494">
        <f>S268*V268</f>
        <v>52000000</v>
      </c>
      <c r="AA268" s="262"/>
      <c r="AB268" s="505"/>
      <c r="AC268" s="358"/>
      <c r="AD268" s="358"/>
    </row>
    <row r="269" spans="1:30" s="1675" customFormat="1" ht="22.5" customHeight="1">
      <c r="A269" s="1934"/>
      <c r="B269" s="1145"/>
      <c r="C269" s="1126"/>
      <c r="D269" s="1131"/>
      <c r="E269" s="1134" t="s">
        <v>1366</v>
      </c>
      <c r="F269" s="1141">
        <f>+Y269</f>
        <v>33000</v>
      </c>
      <c r="G269" s="1139">
        <v>33000</v>
      </c>
      <c r="H269" s="1147"/>
      <c r="I269" s="1127"/>
      <c r="J269" s="1009" t="s">
        <v>1428</v>
      </c>
      <c r="K269" s="1010"/>
      <c r="L269" s="1010"/>
      <c r="M269" s="1010"/>
      <c r="N269" s="1010"/>
      <c r="O269" s="1010"/>
      <c r="P269" s="1011"/>
      <c r="Q269" s="1944"/>
      <c r="R269" s="1927"/>
      <c r="S269" s="1944">
        <v>8250000</v>
      </c>
      <c r="T269" s="1944" t="s">
        <v>0</v>
      </c>
      <c r="V269" s="1944">
        <v>4</v>
      </c>
      <c r="W269" s="1927" t="s">
        <v>3</v>
      </c>
      <c r="X269" s="1140" t="s">
        <v>1</v>
      </c>
      <c r="Y269" s="1142">
        <f>+Z269/1000</f>
        <v>33000</v>
      </c>
      <c r="Z269" s="494">
        <f>S269*V269</f>
        <v>33000000</v>
      </c>
      <c r="AA269" s="262"/>
      <c r="AB269" s="505"/>
      <c r="AC269" s="347"/>
      <c r="AD269" s="347"/>
    </row>
    <row r="270" spans="1:30" s="1675" customFormat="1" ht="22.5" customHeight="1">
      <c r="A270" s="1934"/>
      <c r="B270" s="1145"/>
      <c r="C270" s="1126"/>
      <c r="D270" s="1131"/>
      <c r="E270" s="1134" t="s">
        <v>1358</v>
      </c>
      <c r="F270" s="1141">
        <f t="shared" ref="F270:F272" si="53">+Y270</f>
        <v>700</v>
      </c>
      <c r="G270" s="1139">
        <v>700</v>
      </c>
      <c r="H270" s="1147"/>
      <c r="I270" s="1127"/>
      <c r="J270" s="1009" t="s">
        <v>1429</v>
      </c>
      <c r="K270" s="1010"/>
      <c r="L270" s="1010"/>
      <c r="M270" s="1010"/>
      <c r="N270" s="1010"/>
      <c r="O270" s="1010"/>
      <c r="P270" s="1011"/>
      <c r="Q270" s="1944"/>
      <c r="R270" s="1927"/>
      <c r="S270" s="1944">
        <v>58333.333333333336</v>
      </c>
      <c r="T270" s="1944" t="s">
        <v>0</v>
      </c>
      <c r="V270" s="1944">
        <v>12</v>
      </c>
      <c r="W270" s="1944" t="s">
        <v>1417</v>
      </c>
      <c r="X270" s="1140" t="s">
        <v>1</v>
      </c>
      <c r="Y270" s="1142">
        <f t="shared" ref="Y270:Y272" si="54">+Z270/1000</f>
        <v>700</v>
      </c>
      <c r="Z270" s="494">
        <f t="shared" si="52"/>
        <v>700000</v>
      </c>
      <c r="AA270" s="262"/>
      <c r="AB270" s="505"/>
      <c r="AC270" s="347"/>
      <c r="AD270" s="347"/>
    </row>
    <row r="271" spans="1:30" s="1675" customFormat="1" ht="22.5" customHeight="1">
      <c r="A271" s="1934"/>
      <c r="B271" s="1145"/>
      <c r="C271" s="1126"/>
      <c r="D271" s="1131"/>
      <c r="E271" s="1134" t="s">
        <v>1430</v>
      </c>
      <c r="F271" s="1141">
        <f t="shared" si="53"/>
        <v>100</v>
      </c>
      <c r="G271" s="1139">
        <v>100</v>
      </c>
      <c r="H271" s="1147"/>
      <c r="I271" s="1127"/>
      <c r="J271" s="1009" t="s">
        <v>1431</v>
      </c>
      <c r="K271" s="1010"/>
      <c r="L271" s="1010"/>
      <c r="M271" s="1010"/>
      <c r="N271" s="1010"/>
      <c r="O271" s="1010"/>
      <c r="P271" s="1011"/>
      <c r="Q271" s="1944"/>
      <c r="R271" s="1927"/>
      <c r="S271" s="1944">
        <v>10000</v>
      </c>
      <c r="T271" s="1944" t="s">
        <v>0</v>
      </c>
      <c r="V271" s="1944">
        <v>10</v>
      </c>
      <c r="W271" s="1927" t="s">
        <v>3</v>
      </c>
      <c r="X271" s="1140" t="s">
        <v>1</v>
      </c>
      <c r="Y271" s="1142">
        <f t="shared" si="54"/>
        <v>100</v>
      </c>
      <c r="Z271" s="494">
        <f t="shared" si="52"/>
        <v>100000</v>
      </c>
      <c r="AA271" s="262"/>
      <c r="AB271" s="505"/>
      <c r="AC271" s="347"/>
      <c r="AD271" s="347"/>
    </row>
    <row r="272" spans="1:30" s="1675" customFormat="1" ht="22.5" customHeight="1">
      <c r="A272" s="1934"/>
      <c r="B272" s="1145"/>
      <c r="C272" s="1126"/>
      <c r="D272" s="1131"/>
      <c r="E272" s="1134" t="s">
        <v>1361</v>
      </c>
      <c r="F272" s="1141">
        <f t="shared" si="53"/>
        <v>700</v>
      </c>
      <c r="G272" s="1139">
        <v>700</v>
      </c>
      <c r="H272" s="1147"/>
      <c r="I272" s="1127"/>
      <c r="J272" s="1009" t="s">
        <v>1432</v>
      </c>
      <c r="K272" s="1010"/>
      <c r="L272" s="1010"/>
      <c r="M272" s="1010"/>
      <c r="N272" s="1010"/>
      <c r="O272" s="1010"/>
      <c r="P272" s="1011"/>
      <c r="Q272" s="1944">
        <v>7</v>
      </c>
      <c r="R272" s="1927" t="s">
        <v>1348</v>
      </c>
      <c r="S272" s="1944">
        <v>10000</v>
      </c>
      <c r="T272" s="1944" t="s">
        <v>0</v>
      </c>
      <c r="V272" s="1944">
        <v>10</v>
      </c>
      <c r="W272" s="1927" t="s">
        <v>3</v>
      </c>
      <c r="X272" s="1140" t="s">
        <v>1</v>
      </c>
      <c r="Y272" s="1142">
        <f t="shared" si="54"/>
        <v>700</v>
      </c>
      <c r="Z272" s="494">
        <f>Q272*S272*V272</f>
        <v>700000</v>
      </c>
      <c r="AA272" s="262"/>
      <c r="AB272" s="505"/>
      <c r="AC272" s="347"/>
      <c r="AD272" s="347"/>
    </row>
    <row r="273" spans="1:30" s="357" customFormat="1" ht="21.75" hidden="1" customHeight="1">
      <c r="A273" s="1934"/>
      <c r="B273" s="1145"/>
      <c r="C273" s="3464" t="s">
        <v>1433</v>
      </c>
      <c r="D273" s="3469"/>
      <c r="E273" s="3470"/>
      <c r="F273" s="1153">
        <f>F274</f>
        <v>0</v>
      </c>
      <c r="G273" s="1153">
        <v>0</v>
      </c>
      <c r="H273" s="1132">
        <f t="shared" ref="H273:H274" si="55">F273-G273</f>
        <v>0</v>
      </c>
      <c r="I273" s="1127"/>
      <c r="J273" s="2145"/>
      <c r="K273" s="2174"/>
      <c r="L273" s="2174"/>
      <c r="M273" s="2174"/>
      <c r="N273" s="2174"/>
      <c r="O273" s="2174"/>
      <c r="P273" s="2175"/>
      <c r="Q273" s="1136"/>
      <c r="R273" s="1137"/>
      <c r="S273" s="1136"/>
      <c r="T273" s="1136"/>
      <c r="U273" s="1146"/>
      <c r="V273" s="1136"/>
      <c r="W273" s="1136"/>
      <c r="X273" s="1138"/>
      <c r="Y273" s="1168"/>
      <c r="Z273" s="503"/>
      <c r="AA273" s="262"/>
      <c r="AB273" s="505"/>
      <c r="AC273" s="358"/>
      <c r="AD273" s="358"/>
    </row>
    <row r="274" spans="1:30" s="357" customFormat="1" ht="21.75" hidden="1" customHeight="1" thickBot="1">
      <c r="A274" s="560"/>
      <c r="B274" s="476"/>
      <c r="C274" s="2176"/>
      <c r="D274" s="3460" t="s">
        <v>1433</v>
      </c>
      <c r="E274" s="3461"/>
      <c r="F274" s="2177">
        <f>SUM(F275:F284)</f>
        <v>0</v>
      </c>
      <c r="G274" s="2177">
        <v>0</v>
      </c>
      <c r="H274" s="563">
        <f t="shared" si="55"/>
        <v>0</v>
      </c>
      <c r="I274" s="1127"/>
      <c r="J274" s="1012"/>
      <c r="K274" s="2132"/>
      <c r="L274" s="2132"/>
      <c r="M274" s="2132"/>
      <c r="N274" s="2132"/>
      <c r="O274" s="2132"/>
      <c r="P274" s="2132"/>
      <c r="Q274" s="1170"/>
      <c r="R274" s="380"/>
      <c r="S274" s="1868"/>
      <c r="T274" s="1170"/>
      <c r="U274" s="1170"/>
      <c r="V274" s="1868"/>
      <c r="W274" s="1170"/>
      <c r="X274" s="2178"/>
      <c r="Y274" s="565"/>
      <c r="Z274" s="1898">
        <f>AB274</f>
        <v>0</v>
      </c>
      <c r="AA274" s="262">
        <f t="shared" ref="AA274" si="56">F274*1000000000</f>
        <v>0</v>
      </c>
      <c r="AB274" s="505"/>
      <c r="AC274" s="358"/>
      <c r="AD274" s="358"/>
    </row>
  </sheetData>
  <autoFilter ref="A4:AJ247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51">
    <mergeCell ref="J187:P187"/>
    <mergeCell ref="J254:P254"/>
    <mergeCell ref="J255:P255"/>
    <mergeCell ref="J256:P256"/>
    <mergeCell ref="J257:P257"/>
    <mergeCell ref="J258:P258"/>
    <mergeCell ref="J259:P259"/>
    <mergeCell ref="J260:P260"/>
    <mergeCell ref="J202:P202"/>
    <mergeCell ref="J203:P203"/>
    <mergeCell ref="J204:P204"/>
    <mergeCell ref="J205:P205"/>
    <mergeCell ref="J206:P206"/>
    <mergeCell ref="J230:P230"/>
    <mergeCell ref="J212:P212"/>
    <mergeCell ref="J207:P207"/>
    <mergeCell ref="J208:P208"/>
    <mergeCell ref="J253:P253"/>
    <mergeCell ref="A1:Y1"/>
    <mergeCell ref="A3:E3"/>
    <mergeCell ref="F3:F4"/>
    <mergeCell ref="G3:G4"/>
    <mergeCell ref="H3:H4"/>
    <mergeCell ref="J3:Y4"/>
    <mergeCell ref="C85:E85"/>
    <mergeCell ref="C120:E120"/>
    <mergeCell ref="J122:P122"/>
    <mergeCell ref="D100:E100"/>
    <mergeCell ref="J123:P123"/>
    <mergeCell ref="J125:P125"/>
    <mergeCell ref="J126:P126"/>
    <mergeCell ref="A5:E5"/>
    <mergeCell ref="C7:E7"/>
    <mergeCell ref="D20:E20"/>
    <mergeCell ref="D80:E80"/>
    <mergeCell ref="C84:E84"/>
    <mergeCell ref="J133:P133"/>
    <mergeCell ref="D134:E134"/>
    <mergeCell ref="J135:P135"/>
    <mergeCell ref="J136:P136"/>
    <mergeCell ref="J137:P137"/>
    <mergeCell ref="J127:P127"/>
    <mergeCell ref="J128:P128"/>
    <mergeCell ref="J129:P129"/>
    <mergeCell ref="J130:P130"/>
    <mergeCell ref="J131:P131"/>
    <mergeCell ref="J132:P132"/>
    <mergeCell ref="X140:Y140"/>
    <mergeCell ref="D141:E141"/>
    <mergeCell ref="J142:P142"/>
    <mergeCell ref="J143:P143"/>
    <mergeCell ref="J144:P144"/>
    <mergeCell ref="J145:P145"/>
    <mergeCell ref="J139:P139"/>
    <mergeCell ref="C140:E140"/>
    <mergeCell ref="Q140:S140"/>
    <mergeCell ref="J153:M153"/>
    <mergeCell ref="J154:P154"/>
    <mergeCell ref="J155:P155"/>
    <mergeCell ref="J156:P156"/>
    <mergeCell ref="J158:P158"/>
    <mergeCell ref="J159:P159"/>
    <mergeCell ref="J146:P146"/>
    <mergeCell ref="J148:P148"/>
    <mergeCell ref="J149:P149"/>
    <mergeCell ref="J150:P150"/>
    <mergeCell ref="J151:P151"/>
    <mergeCell ref="J152:P152"/>
    <mergeCell ref="J166:P166"/>
    <mergeCell ref="J168:P168"/>
    <mergeCell ref="J169:P169"/>
    <mergeCell ref="J170:P170"/>
    <mergeCell ref="J171:P171"/>
    <mergeCell ref="J172:P172"/>
    <mergeCell ref="J160:P160"/>
    <mergeCell ref="J161:P161"/>
    <mergeCell ref="J162:P162"/>
    <mergeCell ref="J163:P163"/>
    <mergeCell ref="J164:P164"/>
    <mergeCell ref="J165:P165"/>
    <mergeCell ref="J183:P183"/>
    <mergeCell ref="J184:P184"/>
    <mergeCell ref="J185:P185"/>
    <mergeCell ref="J186:P186"/>
    <mergeCell ref="J173:P173"/>
    <mergeCell ref="J176:P176"/>
    <mergeCell ref="J177:P177"/>
    <mergeCell ref="J178:P178"/>
    <mergeCell ref="J179:P179"/>
    <mergeCell ref="J180:P180"/>
    <mergeCell ref="J174:P174"/>
    <mergeCell ref="C198:E198"/>
    <mergeCell ref="D199:E199"/>
    <mergeCell ref="J200:P200"/>
    <mergeCell ref="J189:P189"/>
    <mergeCell ref="J190:P190"/>
    <mergeCell ref="J191:P191"/>
    <mergeCell ref="J192:P192"/>
    <mergeCell ref="J193:P193"/>
    <mergeCell ref="J201:P201"/>
    <mergeCell ref="J194:P194"/>
    <mergeCell ref="J196:P196"/>
    <mergeCell ref="J197:P197"/>
    <mergeCell ref="D274:E274"/>
    <mergeCell ref="D8:E8"/>
    <mergeCell ref="C261:E261"/>
    <mergeCell ref="D262:E262"/>
    <mergeCell ref="J264:P264"/>
    <mergeCell ref="J265:P265"/>
    <mergeCell ref="C273:E273"/>
    <mergeCell ref="J237:P237"/>
    <mergeCell ref="J238:P238"/>
    <mergeCell ref="D239:E239"/>
    <mergeCell ref="J249:P249"/>
    <mergeCell ref="J250:P250"/>
    <mergeCell ref="J231:P231"/>
    <mergeCell ref="J233:P233"/>
    <mergeCell ref="D234:E234"/>
    <mergeCell ref="J235:P235"/>
    <mergeCell ref="J236:P236"/>
    <mergeCell ref="J225:P225"/>
    <mergeCell ref="D226:E226"/>
    <mergeCell ref="J227:P227"/>
    <mergeCell ref="J228:P228"/>
    <mergeCell ref="D212:E212"/>
    <mergeCell ref="J209:P209"/>
    <mergeCell ref="J211:P211"/>
    <mergeCell ref="J138:P138"/>
    <mergeCell ref="J210:P210"/>
    <mergeCell ref="J232:P232"/>
    <mergeCell ref="J242:P242"/>
    <mergeCell ref="J243:P243"/>
    <mergeCell ref="J244:P244"/>
    <mergeCell ref="J245:P245"/>
    <mergeCell ref="J251:P251"/>
    <mergeCell ref="J252:P252"/>
    <mergeCell ref="J229:P229"/>
    <mergeCell ref="J219:P219"/>
    <mergeCell ref="J220:P220"/>
    <mergeCell ref="J221:P221"/>
    <mergeCell ref="J222:P222"/>
    <mergeCell ref="J223:P223"/>
    <mergeCell ref="J224:P224"/>
    <mergeCell ref="J213:P213"/>
    <mergeCell ref="J214:P214"/>
    <mergeCell ref="J215:P215"/>
    <mergeCell ref="J216:P216"/>
    <mergeCell ref="J217:P217"/>
    <mergeCell ref="J218:P218"/>
    <mergeCell ref="J181:P181"/>
    <mergeCell ref="J182:P182"/>
  </mergeCells>
  <phoneticPr fontId="19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100" orientation="landscape" r:id="rId1"/>
  <rowBreaks count="1" manualBreakCount="1">
    <brk id="247" max="24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08"/>
  <sheetViews>
    <sheetView view="pageBreakPreview" zoomScale="70" zoomScaleNormal="55" zoomScaleSheetLayoutView="70" workbookViewId="0">
      <pane ySplit="4" topLeftCell="A5" activePane="bottomLeft" state="frozen"/>
      <selection activeCell="A3" sqref="A3:F3"/>
      <selection pane="bottomLeft" activeCell="V33" sqref="V33"/>
    </sheetView>
  </sheetViews>
  <sheetFormatPr defaultRowHeight="21.75" customHeight="1"/>
  <cols>
    <col min="1" max="1" width="6.77734375" style="17" customWidth="1"/>
    <col min="2" max="2" width="8" style="17" customWidth="1"/>
    <col min="3" max="4" width="6.77734375" style="17" customWidth="1"/>
    <col min="5" max="5" width="16" style="17" customWidth="1"/>
    <col min="6" max="7" width="13.77734375" style="129" customWidth="1"/>
    <col min="8" max="8" width="13.77734375" style="8" customWidth="1"/>
    <col min="9" max="9" width="1.77734375" style="78" customWidth="1"/>
    <col min="10" max="10" width="18.88671875" style="94" customWidth="1"/>
    <col min="11" max="11" width="2" style="94" customWidth="1"/>
    <col min="12" max="12" width="2.5546875" style="94" customWidth="1"/>
    <col min="13" max="13" width="8.77734375" style="94" customWidth="1"/>
    <col min="14" max="14" width="10.77734375" style="94" customWidth="1"/>
    <col min="15" max="16" width="7.77734375" style="94" customWidth="1"/>
    <col min="17" max="17" width="9.5546875" style="95" customWidth="1"/>
    <col min="18" max="18" width="6.88671875" style="17" customWidth="1"/>
    <col min="19" max="19" width="14.77734375" style="17" customWidth="1"/>
    <col min="20" max="21" width="6.88671875" style="17" customWidth="1"/>
    <col min="22" max="22" width="7.44140625" style="17" customWidth="1"/>
    <col min="23" max="23" width="6.88671875" style="17" customWidth="1"/>
    <col min="24" max="24" width="3" style="17" customWidth="1"/>
    <col min="25" max="25" width="14.77734375" style="96" customWidth="1"/>
    <col min="26" max="26" width="15.77734375" style="17" customWidth="1"/>
    <col min="27" max="27" width="15.44140625" style="17" bestFit="1" customWidth="1"/>
    <col min="28" max="28" width="17.5546875" style="13" bestFit="1" customWidth="1"/>
    <col min="29" max="29" width="12.77734375" style="17" bestFit="1" customWidth="1"/>
    <col min="30" max="30" width="14.21875" style="17" bestFit="1" customWidth="1"/>
    <col min="31" max="31" width="12.77734375" style="17" bestFit="1" customWidth="1"/>
    <col min="32" max="32" width="10" style="17" bestFit="1" customWidth="1"/>
    <col min="33" max="33" width="12.77734375" style="17" bestFit="1" customWidth="1"/>
    <col min="34" max="34" width="11.33203125" style="17" bestFit="1" customWidth="1"/>
    <col min="35" max="35" width="9.6640625" style="17" bestFit="1" customWidth="1"/>
    <col min="36" max="256" width="8.88671875" style="17"/>
    <col min="257" max="260" width="6.77734375" style="17" customWidth="1"/>
    <col min="261" max="261" width="16" style="17" customWidth="1"/>
    <col min="262" max="264" width="13.77734375" style="17" customWidth="1"/>
    <col min="265" max="265" width="1.77734375" style="17" customWidth="1"/>
    <col min="266" max="266" width="2.88671875" style="17" customWidth="1"/>
    <col min="267" max="267" width="2" style="17" customWidth="1"/>
    <col min="268" max="269" width="8.77734375" style="17" customWidth="1"/>
    <col min="270" max="270" width="10.77734375" style="17" customWidth="1"/>
    <col min="271" max="272" width="7.77734375" style="17" customWidth="1"/>
    <col min="273" max="273" width="8.109375" style="17" customWidth="1"/>
    <col min="274" max="274" width="6.88671875" style="17" customWidth="1"/>
    <col min="275" max="275" width="14.77734375" style="17" customWidth="1"/>
    <col min="276" max="277" width="6.88671875" style="17" customWidth="1"/>
    <col min="278" max="278" width="7.44140625" style="17" customWidth="1"/>
    <col min="279" max="279" width="6.88671875" style="17" customWidth="1"/>
    <col min="280" max="280" width="3" style="17" customWidth="1"/>
    <col min="281" max="281" width="14.77734375" style="17" customWidth="1"/>
    <col min="282" max="282" width="15.77734375" style="17" customWidth="1"/>
    <col min="283" max="283" width="15.44140625" style="17" bestFit="1" customWidth="1"/>
    <col min="284" max="284" width="17.5546875" style="17" bestFit="1" customWidth="1"/>
    <col min="285" max="285" width="12.21875" style="17" bestFit="1" customWidth="1"/>
    <col min="286" max="286" width="9" style="17" bestFit="1" customWidth="1"/>
    <col min="287" max="287" width="8.88671875" style="17"/>
    <col min="288" max="288" width="9.44140625" style="17" bestFit="1" customWidth="1"/>
    <col min="289" max="512" width="8.88671875" style="17"/>
    <col min="513" max="516" width="6.77734375" style="17" customWidth="1"/>
    <col min="517" max="517" width="16" style="17" customWidth="1"/>
    <col min="518" max="520" width="13.77734375" style="17" customWidth="1"/>
    <col min="521" max="521" width="1.77734375" style="17" customWidth="1"/>
    <col min="522" max="522" width="2.88671875" style="17" customWidth="1"/>
    <col min="523" max="523" width="2" style="17" customWidth="1"/>
    <col min="524" max="525" width="8.77734375" style="17" customWidth="1"/>
    <col min="526" max="526" width="10.77734375" style="17" customWidth="1"/>
    <col min="527" max="528" width="7.77734375" style="17" customWidth="1"/>
    <col min="529" max="529" width="8.109375" style="17" customWidth="1"/>
    <col min="530" max="530" width="6.88671875" style="17" customWidth="1"/>
    <col min="531" max="531" width="14.77734375" style="17" customWidth="1"/>
    <col min="532" max="533" width="6.88671875" style="17" customWidth="1"/>
    <col min="534" max="534" width="7.44140625" style="17" customWidth="1"/>
    <col min="535" max="535" width="6.88671875" style="17" customWidth="1"/>
    <col min="536" max="536" width="3" style="17" customWidth="1"/>
    <col min="537" max="537" width="14.77734375" style="17" customWidth="1"/>
    <col min="538" max="538" width="15.77734375" style="17" customWidth="1"/>
    <col min="539" max="539" width="15.44140625" style="17" bestFit="1" customWidth="1"/>
    <col min="540" max="540" width="17.5546875" style="17" bestFit="1" customWidth="1"/>
    <col min="541" max="541" width="12.21875" style="17" bestFit="1" customWidth="1"/>
    <col min="542" max="542" width="9" style="17" bestFit="1" customWidth="1"/>
    <col min="543" max="543" width="8.88671875" style="17"/>
    <col min="544" max="544" width="9.44140625" style="17" bestFit="1" customWidth="1"/>
    <col min="545" max="768" width="8.88671875" style="17"/>
    <col min="769" max="772" width="6.77734375" style="17" customWidth="1"/>
    <col min="773" max="773" width="16" style="17" customWidth="1"/>
    <col min="774" max="776" width="13.77734375" style="17" customWidth="1"/>
    <col min="777" max="777" width="1.77734375" style="17" customWidth="1"/>
    <col min="778" max="778" width="2.88671875" style="17" customWidth="1"/>
    <col min="779" max="779" width="2" style="17" customWidth="1"/>
    <col min="780" max="781" width="8.77734375" style="17" customWidth="1"/>
    <col min="782" max="782" width="10.77734375" style="17" customWidth="1"/>
    <col min="783" max="784" width="7.77734375" style="17" customWidth="1"/>
    <col min="785" max="785" width="8.109375" style="17" customWidth="1"/>
    <col min="786" max="786" width="6.88671875" style="17" customWidth="1"/>
    <col min="787" max="787" width="14.77734375" style="17" customWidth="1"/>
    <col min="788" max="789" width="6.88671875" style="17" customWidth="1"/>
    <col min="790" max="790" width="7.44140625" style="17" customWidth="1"/>
    <col min="791" max="791" width="6.88671875" style="17" customWidth="1"/>
    <col min="792" max="792" width="3" style="17" customWidth="1"/>
    <col min="793" max="793" width="14.77734375" style="17" customWidth="1"/>
    <col min="794" max="794" width="15.77734375" style="17" customWidth="1"/>
    <col min="795" max="795" width="15.44140625" style="17" bestFit="1" customWidth="1"/>
    <col min="796" max="796" width="17.5546875" style="17" bestFit="1" customWidth="1"/>
    <col min="797" max="797" width="12.21875" style="17" bestFit="1" customWidth="1"/>
    <col min="798" max="798" width="9" style="17" bestFit="1" customWidth="1"/>
    <col min="799" max="799" width="8.88671875" style="17"/>
    <col min="800" max="800" width="9.44140625" style="17" bestFit="1" customWidth="1"/>
    <col min="801" max="1024" width="8.88671875" style="17"/>
    <col min="1025" max="1028" width="6.77734375" style="17" customWidth="1"/>
    <col min="1029" max="1029" width="16" style="17" customWidth="1"/>
    <col min="1030" max="1032" width="13.77734375" style="17" customWidth="1"/>
    <col min="1033" max="1033" width="1.77734375" style="17" customWidth="1"/>
    <col min="1034" max="1034" width="2.88671875" style="17" customWidth="1"/>
    <col min="1035" max="1035" width="2" style="17" customWidth="1"/>
    <col min="1036" max="1037" width="8.77734375" style="17" customWidth="1"/>
    <col min="1038" max="1038" width="10.77734375" style="17" customWidth="1"/>
    <col min="1039" max="1040" width="7.77734375" style="17" customWidth="1"/>
    <col min="1041" max="1041" width="8.109375" style="17" customWidth="1"/>
    <col min="1042" max="1042" width="6.88671875" style="17" customWidth="1"/>
    <col min="1043" max="1043" width="14.77734375" style="17" customWidth="1"/>
    <col min="1044" max="1045" width="6.88671875" style="17" customWidth="1"/>
    <col min="1046" max="1046" width="7.44140625" style="17" customWidth="1"/>
    <col min="1047" max="1047" width="6.88671875" style="17" customWidth="1"/>
    <col min="1048" max="1048" width="3" style="17" customWidth="1"/>
    <col min="1049" max="1049" width="14.77734375" style="17" customWidth="1"/>
    <col min="1050" max="1050" width="15.77734375" style="17" customWidth="1"/>
    <col min="1051" max="1051" width="15.44140625" style="17" bestFit="1" customWidth="1"/>
    <col min="1052" max="1052" width="17.5546875" style="17" bestFit="1" customWidth="1"/>
    <col min="1053" max="1053" width="12.21875" style="17" bestFit="1" customWidth="1"/>
    <col min="1054" max="1054" width="9" style="17" bestFit="1" customWidth="1"/>
    <col min="1055" max="1055" width="8.88671875" style="17"/>
    <col min="1056" max="1056" width="9.44140625" style="17" bestFit="1" customWidth="1"/>
    <col min="1057" max="1280" width="8.88671875" style="17"/>
    <col min="1281" max="1284" width="6.77734375" style="17" customWidth="1"/>
    <col min="1285" max="1285" width="16" style="17" customWidth="1"/>
    <col min="1286" max="1288" width="13.77734375" style="17" customWidth="1"/>
    <col min="1289" max="1289" width="1.77734375" style="17" customWidth="1"/>
    <col min="1290" max="1290" width="2.88671875" style="17" customWidth="1"/>
    <col min="1291" max="1291" width="2" style="17" customWidth="1"/>
    <col min="1292" max="1293" width="8.77734375" style="17" customWidth="1"/>
    <col min="1294" max="1294" width="10.77734375" style="17" customWidth="1"/>
    <col min="1295" max="1296" width="7.77734375" style="17" customWidth="1"/>
    <col min="1297" max="1297" width="8.109375" style="17" customWidth="1"/>
    <col min="1298" max="1298" width="6.88671875" style="17" customWidth="1"/>
    <col min="1299" max="1299" width="14.77734375" style="17" customWidth="1"/>
    <col min="1300" max="1301" width="6.88671875" style="17" customWidth="1"/>
    <col min="1302" max="1302" width="7.44140625" style="17" customWidth="1"/>
    <col min="1303" max="1303" width="6.88671875" style="17" customWidth="1"/>
    <col min="1304" max="1304" width="3" style="17" customWidth="1"/>
    <col min="1305" max="1305" width="14.77734375" style="17" customWidth="1"/>
    <col min="1306" max="1306" width="15.77734375" style="17" customWidth="1"/>
    <col min="1307" max="1307" width="15.44140625" style="17" bestFit="1" customWidth="1"/>
    <col min="1308" max="1308" width="17.5546875" style="17" bestFit="1" customWidth="1"/>
    <col min="1309" max="1309" width="12.21875" style="17" bestFit="1" customWidth="1"/>
    <col min="1310" max="1310" width="9" style="17" bestFit="1" customWidth="1"/>
    <col min="1311" max="1311" width="8.88671875" style="17"/>
    <col min="1312" max="1312" width="9.44140625" style="17" bestFit="1" customWidth="1"/>
    <col min="1313" max="1536" width="8.88671875" style="17"/>
    <col min="1537" max="1540" width="6.77734375" style="17" customWidth="1"/>
    <col min="1541" max="1541" width="16" style="17" customWidth="1"/>
    <col min="1542" max="1544" width="13.77734375" style="17" customWidth="1"/>
    <col min="1545" max="1545" width="1.77734375" style="17" customWidth="1"/>
    <col min="1546" max="1546" width="2.88671875" style="17" customWidth="1"/>
    <col min="1547" max="1547" width="2" style="17" customWidth="1"/>
    <col min="1548" max="1549" width="8.77734375" style="17" customWidth="1"/>
    <col min="1550" max="1550" width="10.77734375" style="17" customWidth="1"/>
    <col min="1551" max="1552" width="7.77734375" style="17" customWidth="1"/>
    <col min="1553" max="1553" width="8.109375" style="17" customWidth="1"/>
    <col min="1554" max="1554" width="6.88671875" style="17" customWidth="1"/>
    <col min="1555" max="1555" width="14.77734375" style="17" customWidth="1"/>
    <col min="1556" max="1557" width="6.88671875" style="17" customWidth="1"/>
    <col min="1558" max="1558" width="7.44140625" style="17" customWidth="1"/>
    <col min="1559" max="1559" width="6.88671875" style="17" customWidth="1"/>
    <col min="1560" max="1560" width="3" style="17" customWidth="1"/>
    <col min="1561" max="1561" width="14.77734375" style="17" customWidth="1"/>
    <col min="1562" max="1562" width="15.77734375" style="17" customWidth="1"/>
    <col min="1563" max="1563" width="15.44140625" style="17" bestFit="1" customWidth="1"/>
    <col min="1564" max="1564" width="17.5546875" style="17" bestFit="1" customWidth="1"/>
    <col min="1565" max="1565" width="12.21875" style="17" bestFit="1" customWidth="1"/>
    <col min="1566" max="1566" width="9" style="17" bestFit="1" customWidth="1"/>
    <col min="1567" max="1567" width="8.88671875" style="17"/>
    <col min="1568" max="1568" width="9.44140625" style="17" bestFit="1" customWidth="1"/>
    <col min="1569" max="1792" width="8.88671875" style="17"/>
    <col min="1793" max="1796" width="6.77734375" style="17" customWidth="1"/>
    <col min="1797" max="1797" width="16" style="17" customWidth="1"/>
    <col min="1798" max="1800" width="13.77734375" style="17" customWidth="1"/>
    <col min="1801" max="1801" width="1.77734375" style="17" customWidth="1"/>
    <col min="1802" max="1802" width="2.88671875" style="17" customWidth="1"/>
    <col min="1803" max="1803" width="2" style="17" customWidth="1"/>
    <col min="1804" max="1805" width="8.77734375" style="17" customWidth="1"/>
    <col min="1806" max="1806" width="10.77734375" style="17" customWidth="1"/>
    <col min="1807" max="1808" width="7.77734375" style="17" customWidth="1"/>
    <col min="1809" max="1809" width="8.109375" style="17" customWidth="1"/>
    <col min="1810" max="1810" width="6.88671875" style="17" customWidth="1"/>
    <col min="1811" max="1811" width="14.77734375" style="17" customWidth="1"/>
    <col min="1812" max="1813" width="6.88671875" style="17" customWidth="1"/>
    <col min="1814" max="1814" width="7.44140625" style="17" customWidth="1"/>
    <col min="1815" max="1815" width="6.88671875" style="17" customWidth="1"/>
    <col min="1816" max="1816" width="3" style="17" customWidth="1"/>
    <col min="1817" max="1817" width="14.77734375" style="17" customWidth="1"/>
    <col min="1818" max="1818" width="15.77734375" style="17" customWidth="1"/>
    <col min="1819" max="1819" width="15.44140625" style="17" bestFit="1" customWidth="1"/>
    <col min="1820" max="1820" width="17.5546875" style="17" bestFit="1" customWidth="1"/>
    <col min="1821" max="1821" width="12.21875" style="17" bestFit="1" customWidth="1"/>
    <col min="1822" max="1822" width="9" style="17" bestFit="1" customWidth="1"/>
    <col min="1823" max="1823" width="8.88671875" style="17"/>
    <col min="1824" max="1824" width="9.44140625" style="17" bestFit="1" customWidth="1"/>
    <col min="1825" max="2048" width="8.88671875" style="17"/>
    <col min="2049" max="2052" width="6.77734375" style="17" customWidth="1"/>
    <col min="2053" max="2053" width="16" style="17" customWidth="1"/>
    <col min="2054" max="2056" width="13.77734375" style="17" customWidth="1"/>
    <col min="2057" max="2057" width="1.77734375" style="17" customWidth="1"/>
    <col min="2058" max="2058" width="2.88671875" style="17" customWidth="1"/>
    <col min="2059" max="2059" width="2" style="17" customWidth="1"/>
    <col min="2060" max="2061" width="8.77734375" style="17" customWidth="1"/>
    <col min="2062" max="2062" width="10.77734375" style="17" customWidth="1"/>
    <col min="2063" max="2064" width="7.77734375" style="17" customWidth="1"/>
    <col min="2065" max="2065" width="8.109375" style="17" customWidth="1"/>
    <col min="2066" max="2066" width="6.88671875" style="17" customWidth="1"/>
    <col min="2067" max="2067" width="14.77734375" style="17" customWidth="1"/>
    <col min="2068" max="2069" width="6.88671875" style="17" customWidth="1"/>
    <col min="2070" max="2070" width="7.44140625" style="17" customWidth="1"/>
    <col min="2071" max="2071" width="6.88671875" style="17" customWidth="1"/>
    <col min="2072" max="2072" width="3" style="17" customWidth="1"/>
    <col min="2073" max="2073" width="14.77734375" style="17" customWidth="1"/>
    <col min="2074" max="2074" width="15.77734375" style="17" customWidth="1"/>
    <col min="2075" max="2075" width="15.44140625" style="17" bestFit="1" customWidth="1"/>
    <col min="2076" max="2076" width="17.5546875" style="17" bestFit="1" customWidth="1"/>
    <col min="2077" max="2077" width="12.21875" style="17" bestFit="1" customWidth="1"/>
    <col min="2078" max="2078" width="9" style="17" bestFit="1" customWidth="1"/>
    <col min="2079" max="2079" width="8.88671875" style="17"/>
    <col min="2080" max="2080" width="9.44140625" style="17" bestFit="1" customWidth="1"/>
    <col min="2081" max="2304" width="8.88671875" style="17"/>
    <col min="2305" max="2308" width="6.77734375" style="17" customWidth="1"/>
    <col min="2309" max="2309" width="16" style="17" customWidth="1"/>
    <col min="2310" max="2312" width="13.77734375" style="17" customWidth="1"/>
    <col min="2313" max="2313" width="1.77734375" style="17" customWidth="1"/>
    <col min="2314" max="2314" width="2.88671875" style="17" customWidth="1"/>
    <col min="2315" max="2315" width="2" style="17" customWidth="1"/>
    <col min="2316" max="2317" width="8.77734375" style="17" customWidth="1"/>
    <col min="2318" max="2318" width="10.77734375" style="17" customWidth="1"/>
    <col min="2319" max="2320" width="7.77734375" style="17" customWidth="1"/>
    <col min="2321" max="2321" width="8.109375" style="17" customWidth="1"/>
    <col min="2322" max="2322" width="6.88671875" style="17" customWidth="1"/>
    <col min="2323" max="2323" width="14.77734375" style="17" customWidth="1"/>
    <col min="2324" max="2325" width="6.88671875" style="17" customWidth="1"/>
    <col min="2326" max="2326" width="7.44140625" style="17" customWidth="1"/>
    <col min="2327" max="2327" width="6.88671875" style="17" customWidth="1"/>
    <col min="2328" max="2328" width="3" style="17" customWidth="1"/>
    <col min="2329" max="2329" width="14.77734375" style="17" customWidth="1"/>
    <col min="2330" max="2330" width="15.77734375" style="17" customWidth="1"/>
    <col min="2331" max="2331" width="15.44140625" style="17" bestFit="1" customWidth="1"/>
    <col min="2332" max="2332" width="17.5546875" style="17" bestFit="1" customWidth="1"/>
    <col min="2333" max="2333" width="12.21875" style="17" bestFit="1" customWidth="1"/>
    <col min="2334" max="2334" width="9" style="17" bestFit="1" customWidth="1"/>
    <col min="2335" max="2335" width="8.88671875" style="17"/>
    <col min="2336" max="2336" width="9.44140625" style="17" bestFit="1" customWidth="1"/>
    <col min="2337" max="2560" width="8.88671875" style="17"/>
    <col min="2561" max="2564" width="6.77734375" style="17" customWidth="1"/>
    <col min="2565" max="2565" width="16" style="17" customWidth="1"/>
    <col min="2566" max="2568" width="13.77734375" style="17" customWidth="1"/>
    <col min="2569" max="2569" width="1.77734375" style="17" customWidth="1"/>
    <col min="2570" max="2570" width="2.88671875" style="17" customWidth="1"/>
    <col min="2571" max="2571" width="2" style="17" customWidth="1"/>
    <col min="2572" max="2573" width="8.77734375" style="17" customWidth="1"/>
    <col min="2574" max="2574" width="10.77734375" style="17" customWidth="1"/>
    <col min="2575" max="2576" width="7.77734375" style="17" customWidth="1"/>
    <col min="2577" max="2577" width="8.109375" style="17" customWidth="1"/>
    <col min="2578" max="2578" width="6.88671875" style="17" customWidth="1"/>
    <col min="2579" max="2579" width="14.77734375" style="17" customWidth="1"/>
    <col min="2580" max="2581" width="6.88671875" style="17" customWidth="1"/>
    <col min="2582" max="2582" width="7.44140625" style="17" customWidth="1"/>
    <col min="2583" max="2583" width="6.88671875" style="17" customWidth="1"/>
    <col min="2584" max="2584" width="3" style="17" customWidth="1"/>
    <col min="2585" max="2585" width="14.77734375" style="17" customWidth="1"/>
    <col min="2586" max="2586" width="15.77734375" style="17" customWidth="1"/>
    <col min="2587" max="2587" width="15.44140625" style="17" bestFit="1" customWidth="1"/>
    <col min="2588" max="2588" width="17.5546875" style="17" bestFit="1" customWidth="1"/>
    <col min="2589" max="2589" width="12.21875" style="17" bestFit="1" customWidth="1"/>
    <col min="2590" max="2590" width="9" style="17" bestFit="1" customWidth="1"/>
    <col min="2591" max="2591" width="8.88671875" style="17"/>
    <col min="2592" max="2592" width="9.44140625" style="17" bestFit="1" customWidth="1"/>
    <col min="2593" max="2816" width="8.88671875" style="17"/>
    <col min="2817" max="2820" width="6.77734375" style="17" customWidth="1"/>
    <col min="2821" max="2821" width="16" style="17" customWidth="1"/>
    <col min="2822" max="2824" width="13.77734375" style="17" customWidth="1"/>
    <col min="2825" max="2825" width="1.77734375" style="17" customWidth="1"/>
    <col min="2826" max="2826" width="2.88671875" style="17" customWidth="1"/>
    <col min="2827" max="2827" width="2" style="17" customWidth="1"/>
    <col min="2828" max="2829" width="8.77734375" style="17" customWidth="1"/>
    <col min="2830" max="2830" width="10.77734375" style="17" customWidth="1"/>
    <col min="2831" max="2832" width="7.77734375" style="17" customWidth="1"/>
    <col min="2833" max="2833" width="8.109375" style="17" customWidth="1"/>
    <col min="2834" max="2834" width="6.88671875" style="17" customWidth="1"/>
    <col min="2835" max="2835" width="14.77734375" style="17" customWidth="1"/>
    <col min="2836" max="2837" width="6.88671875" style="17" customWidth="1"/>
    <col min="2838" max="2838" width="7.44140625" style="17" customWidth="1"/>
    <col min="2839" max="2839" width="6.88671875" style="17" customWidth="1"/>
    <col min="2840" max="2840" width="3" style="17" customWidth="1"/>
    <col min="2841" max="2841" width="14.77734375" style="17" customWidth="1"/>
    <col min="2842" max="2842" width="15.77734375" style="17" customWidth="1"/>
    <col min="2843" max="2843" width="15.44140625" style="17" bestFit="1" customWidth="1"/>
    <col min="2844" max="2844" width="17.5546875" style="17" bestFit="1" customWidth="1"/>
    <col min="2845" max="2845" width="12.21875" style="17" bestFit="1" customWidth="1"/>
    <col min="2846" max="2846" width="9" style="17" bestFit="1" customWidth="1"/>
    <col min="2847" max="2847" width="8.88671875" style="17"/>
    <col min="2848" max="2848" width="9.44140625" style="17" bestFit="1" customWidth="1"/>
    <col min="2849" max="3072" width="8.88671875" style="17"/>
    <col min="3073" max="3076" width="6.77734375" style="17" customWidth="1"/>
    <col min="3077" max="3077" width="16" style="17" customWidth="1"/>
    <col min="3078" max="3080" width="13.77734375" style="17" customWidth="1"/>
    <col min="3081" max="3081" width="1.77734375" style="17" customWidth="1"/>
    <col min="3082" max="3082" width="2.88671875" style="17" customWidth="1"/>
    <col min="3083" max="3083" width="2" style="17" customWidth="1"/>
    <col min="3084" max="3085" width="8.77734375" style="17" customWidth="1"/>
    <col min="3086" max="3086" width="10.77734375" style="17" customWidth="1"/>
    <col min="3087" max="3088" width="7.77734375" style="17" customWidth="1"/>
    <col min="3089" max="3089" width="8.109375" style="17" customWidth="1"/>
    <col min="3090" max="3090" width="6.88671875" style="17" customWidth="1"/>
    <col min="3091" max="3091" width="14.77734375" style="17" customWidth="1"/>
    <col min="3092" max="3093" width="6.88671875" style="17" customWidth="1"/>
    <col min="3094" max="3094" width="7.44140625" style="17" customWidth="1"/>
    <col min="3095" max="3095" width="6.88671875" style="17" customWidth="1"/>
    <col min="3096" max="3096" width="3" style="17" customWidth="1"/>
    <col min="3097" max="3097" width="14.77734375" style="17" customWidth="1"/>
    <col min="3098" max="3098" width="15.77734375" style="17" customWidth="1"/>
    <col min="3099" max="3099" width="15.44140625" style="17" bestFit="1" customWidth="1"/>
    <col min="3100" max="3100" width="17.5546875" style="17" bestFit="1" customWidth="1"/>
    <col min="3101" max="3101" width="12.21875" style="17" bestFit="1" customWidth="1"/>
    <col min="3102" max="3102" width="9" style="17" bestFit="1" customWidth="1"/>
    <col min="3103" max="3103" width="8.88671875" style="17"/>
    <col min="3104" max="3104" width="9.44140625" style="17" bestFit="1" customWidth="1"/>
    <col min="3105" max="3328" width="8.88671875" style="17"/>
    <col min="3329" max="3332" width="6.77734375" style="17" customWidth="1"/>
    <col min="3333" max="3333" width="16" style="17" customWidth="1"/>
    <col min="3334" max="3336" width="13.77734375" style="17" customWidth="1"/>
    <col min="3337" max="3337" width="1.77734375" style="17" customWidth="1"/>
    <col min="3338" max="3338" width="2.88671875" style="17" customWidth="1"/>
    <col min="3339" max="3339" width="2" style="17" customWidth="1"/>
    <col min="3340" max="3341" width="8.77734375" style="17" customWidth="1"/>
    <col min="3342" max="3342" width="10.77734375" style="17" customWidth="1"/>
    <col min="3343" max="3344" width="7.77734375" style="17" customWidth="1"/>
    <col min="3345" max="3345" width="8.109375" style="17" customWidth="1"/>
    <col min="3346" max="3346" width="6.88671875" style="17" customWidth="1"/>
    <col min="3347" max="3347" width="14.77734375" style="17" customWidth="1"/>
    <col min="3348" max="3349" width="6.88671875" style="17" customWidth="1"/>
    <col min="3350" max="3350" width="7.44140625" style="17" customWidth="1"/>
    <col min="3351" max="3351" width="6.88671875" style="17" customWidth="1"/>
    <col min="3352" max="3352" width="3" style="17" customWidth="1"/>
    <col min="3353" max="3353" width="14.77734375" style="17" customWidth="1"/>
    <col min="3354" max="3354" width="15.77734375" style="17" customWidth="1"/>
    <col min="3355" max="3355" width="15.44140625" style="17" bestFit="1" customWidth="1"/>
    <col min="3356" max="3356" width="17.5546875" style="17" bestFit="1" customWidth="1"/>
    <col min="3357" max="3357" width="12.21875" style="17" bestFit="1" customWidth="1"/>
    <col min="3358" max="3358" width="9" style="17" bestFit="1" customWidth="1"/>
    <col min="3359" max="3359" width="8.88671875" style="17"/>
    <col min="3360" max="3360" width="9.44140625" style="17" bestFit="1" customWidth="1"/>
    <col min="3361" max="3584" width="8.88671875" style="17"/>
    <col min="3585" max="3588" width="6.77734375" style="17" customWidth="1"/>
    <col min="3589" max="3589" width="16" style="17" customWidth="1"/>
    <col min="3590" max="3592" width="13.77734375" style="17" customWidth="1"/>
    <col min="3593" max="3593" width="1.77734375" style="17" customWidth="1"/>
    <col min="3594" max="3594" width="2.88671875" style="17" customWidth="1"/>
    <col min="3595" max="3595" width="2" style="17" customWidth="1"/>
    <col min="3596" max="3597" width="8.77734375" style="17" customWidth="1"/>
    <col min="3598" max="3598" width="10.77734375" style="17" customWidth="1"/>
    <col min="3599" max="3600" width="7.77734375" style="17" customWidth="1"/>
    <col min="3601" max="3601" width="8.109375" style="17" customWidth="1"/>
    <col min="3602" max="3602" width="6.88671875" style="17" customWidth="1"/>
    <col min="3603" max="3603" width="14.77734375" style="17" customWidth="1"/>
    <col min="3604" max="3605" width="6.88671875" style="17" customWidth="1"/>
    <col min="3606" max="3606" width="7.44140625" style="17" customWidth="1"/>
    <col min="3607" max="3607" width="6.88671875" style="17" customWidth="1"/>
    <col min="3608" max="3608" width="3" style="17" customWidth="1"/>
    <col min="3609" max="3609" width="14.77734375" style="17" customWidth="1"/>
    <col min="3610" max="3610" width="15.77734375" style="17" customWidth="1"/>
    <col min="3611" max="3611" width="15.44140625" style="17" bestFit="1" customWidth="1"/>
    <col min="3612" max="3612" width="17.5546875" style="17" bestFit="1" customWidth="1"/>
    <col min="3613" max="3613" width="12.21875" style="17" bestFit="1" customWidth="1"/>
    <col min="3614" max="3614" width="9" style="17" bestFit="1" customWidth="1"/>
    <col min="3615" max="3615" width="8.88671875" style="17"/>
    <col min="3616" max="3616" width="9.44140625" style="17" bestFit="1" customWidth="1"/>
    <col min="3617" max="3840" width="8.88671875" style="17"/>
    <col min="3841" max="3844" width="6.77734375" style="17" customWidth="1"/>
    <col min="3845" max="3845" width="16" style="17" customWidth="1"/>
    <col min="3846" max="3848" width="13.77734375" style="17" customWidth="1"/>
    <col min="3849" max="3849" width="1.77734375" style="17" customWidth="1"/>
    <col min="3850" max="3850" width="2.88671875" style="17" customWidth="1"/>
    <col min="3851" max="3851" width="2" style="17" customWidth="1"/>
    <col min="3852" max="3853" width="8.77734375" style="17" customWidth="1"/>
    <col min="3854" max="3854" width="10.77734375" style="17" customWidth="1"/>
    <col min="3855" max="3856" width="7.77734375" style="17" customWidth="1"/>
    <col min="3857" max="3857" width="8.109375" style="17" customWidth="1"/>
    <col min="3858" max="3858" width="6.88671875" style="17" customWidth="1"/>
    <col min="3859" max="3859" width="14.77734375" style="17" customWidth="1"/>
    <col min="3860" max="3861" width="6.88671875" style="17" customWidth="1"/>
    <col min="3862" max="3862" width="7.44140625" style="17" customWidth="1"/>
    <col min="3863" max="3863" width="6.88671875" style="17" customWidth="1"/>
    <col min="3864" max="3864" width="3" style="17" customWidth="1"/>
    <col min="3865" max="3865" width="14.77734375" style="17" customWidth="1"/>
    <col min="3866" max="3866" width="15.77734375" style="17" customWidth="1"/>
    <col min="3867" max="3867" width="15.44140625" style="17" bestFit="1" customWidth="1"/>
    <col min="3868" max="3868" width="17.5546875" style="17" bestFit="1" customWidth="1"/>
    <col min="3869" max="3869" width="12.21875" style="17" bestFit="1" customWidth="1"/>
    <col min="3870" max="3870" width="9" style="17" bestFit="1" customWidth="1"/>
    <col min="3871" max="3871" width="8.88671875" style="17"/>
    <col min="3872" max="3872" width="9.44140625" style="17" bestFit="1" customWidth="1"/>
    <col min="3873" max="4096" width="8.88671875" style="17"/>
    <col min="4097" max="4100" width="6.77734375" style="17" customWidth="1"/>
    <col min="4101" max="4101" width="16" style="17" customWidth="1"/>
    <col min="4102" max="4104" width="13.77734375" style="17" customWidth="1"/>
    <col min="4105" max="4105" width="1.77734375" style="17" customWidth="1"/>
    <col min="4106" max="4106" width="2.88671875" style="17" customWidth="1"/>
    <col min="4107" max="4107" width="2" style="17" customWidth="1"/>
    <col min="4108" max="4109" width="8.77734375" style="17" customWidth="1"/>
    <col min="4110" max="4110" width="10.77734375" style="17" customWidth="1"/>
    <col min="4111" max="4112" width="7.77734375" style="17" customWidth="1"/>
    <col min="4113" max="4113" width="8.109375" style="17" customWidth="1"/>
    <col min="4114" max="4114" width="6.88671875" style="17" customWidth="1"/>
    <col min="4115" max="4115" width="14.77734375" style="17" customWidth="1"/>
    <col min="4116" max="4117" width="6.88671875" style="17" customWidth="1"/>
    <col min="4118" max="4118" width="7.44140625" style="17" customWidth="1"/>
    <col min="4119" max="4119" width="6.88671875" style="17" customWidth="1"/>
    <col min="4120" max="4120" width="3" style="17" customWidth="1"/>
    <col min="4121" max="4121" width="14.77734375" style="17" customWidth="1"/>
    <col min="4122" max="4122" width="15.77734375" style="17" customWidth="1"/>
    <col min="4123" max="4123" width="15.44140625" style="17" bestFit="1" customWidth="1"/>
    <col min="4124" max="4124" width="17.5546875" style="17" bestFit="1" customWidth="1"/>
    <col min="4125" max="4125" width="12.21875" style="17" bestFit="1" customWidth="1"/>
    <col min="4126" max="4126" width="9" style="17" bestFit="1" customWidth="1"/>
    <col min="4127" max="4127" width="8.88671875" style="17"/>
    <col min="4128" max="4128" width="9.44140625" style="17" bestFit="1" customWidth="1"/>
    <col min="4129" max="4352" width="8.88671875" style="17"/>
    <col min="4353" max="4356" width="6.77734375" style="17" customWidth="1"/>
    <col min="4357" max="4357" width="16" style="17" customWidth="1"/>
    <col min="4358" max="4360" width="13.77734375" style="17" customWidth="1"/>
    <col min="4361" max="4361" width="1.77734375" style="17" customWidth="1"/>
    <col min="4362" max="4362" width="2.88671875" style="17" customWidth="1"/>
    <col min="4363" max="4363" width="2" style="17" customWidth="1"/>
    <col min="4364" max="4365" width="8.77734375" style="17" customWidth="1"/>
    <col min="4366" max="4366" width="10.77734375" style="17" customWidth="1"/>
    <col min="4367" max="4368" width="7.77734375" style="17" customWidth="1"/>
    <col min="4369" max="4369" width="8.109375" style="17" customWidth="1"/>
    <col min="4370" max="4370" width="6.88671875" style="17" customWidth="1"/>
    <col min="4371" max="4371" width="14.77734375" style="17" customWidth="1"/>
    <col min="4372" max="4373" width="6.88671875" style="17" customWidth="1"/>
    <col min="4374" max="4374" width="7.44140625" style="17" customWidth="1"/>
    <col min="4375" max="4375" width="6.88671875" style="17" customWidth="1"/>
    <col min="4376" max="4376" width="3" style="17" customWidth="1"/>
    <col min="4377" max="4377" width="14.77734375" style="17" customWidth="1"/>
    <col min="4378" max="4378" width="15.77734375" style="17" customWidth="1"/>
    <col min="4379" max="4379" width="15.44140625" style="17" bestFit="1" customWidth="1"/>
    <col min="4380" max="4380" width="17.5546875" style="17" bestFit="1" customWidth="1"/>
    <col min="4381" max="4381" width="12.21875" style="17" bestFit="1" customWidth="1"/>
    <col min="4382" max="4382" width="9" style="17" bestFit="1" customWidth="1"/>
    <col min="4383" max="4383" width="8.88671875" style="17"/>
    <col min="4384" max="4384" width="9.44140625" style="17" bestFit="1" customWidth="1"/>
    <col min="4385" max="4608" width="8.88671875" style="17"/>
    <col min="4609" max="4612" width="6.77734375" style="17" customWidth="1"/>
    <col min="4613" max="4613" width="16" style="17" customWidth="1"/>
    <col min="4614" max="4616" width="13.77734375" style="17" customWidth="1"/>
    <col min="4617" max="4617" width="1.77734375" style="17" customWidth="1"/>
    <col min="4618" max="4618" width="2.88671875" style="17" customWidth="1"/>
    <col min="4619" max="4619" width="2" style="17" customWidth="1"/>
    <col min="4620" max="4621" width="8.77734375" style="17" customWidth="1"/>
    <col min="4622" max="4622" width="10.77734375" style="17" customWidth="1"/>
    <col min="4623" max="4624" width="7.77734375" style="17" customWidth="1"/>
    <col min="4625" max="4625" width="8.109375" style="17" customWidth="1"/>
    <col min="4626" max="4626" width="6.88671875" style="17" customWidth="1"/>
    <col min="4627" max="4627" width="14.77734375" style="17" customWidth="1"/>
    <col min="4628" max="4629" width="6.88671875" style="17" customWidth="1"/>
    <col min="4630" max="4630" width="7.44140625" style="17" customWidth="1"/>
    <col min="4631" max="4631" width="6.88671875" style="17" customWidth="1"/>
    <col min="4632" max="4632" width="3" style="17" customWidth="1"/>
    <col min="4633" max="4633" width="14.77734375" style="17" customWidth="1"/>
    <col min="4634" max="4634" width="15.77734375" style="17" customWidth="1"/>
    <col min="4635" max="4635" width="15.44140625" style="17" bestFit="1" customWidth="1"/>
    <col min="4636" max="4636" width="17.5546875" style="17" bestFit="1" customWidth="1"/>
    <col min="4637" max="4637" width="12.21875" style="17" bestFit="1" customWidth="1"/>
    <col min="4638" max="4638" width="9" style="17" bestFit="1" customWidth="1"/>
    <col min="4639" max="4639" width="8.88671875" style="17"/>
    <col min="4640" max="4640" width="9.44140625" style="17" bestFit="1" customWidth="1"/>
    <col min="4641" max="4864" width="8.88671875" style="17"/>
    <col min="4865" max="4868" width="6.77734375" style="17" customWidth="1"/>
    <col min="4869" max="4869" width="16" style="17" customWidth="1"/>
    <col min="4870" max="4872" width="13.77734375" style="17" customWidth="1"/>
    <col min="4873" max="4873" width="1.77734375" style="17" customWidth="1"/>
    <col min="4874" max="4874" width="2.88671875" style="17" customWidth="1"/>
    <col min="4875" max="4875" width="2" style="17" customWidth="1"/>
    <col min="4876" max="4877" width="8.77734375" style="17" customWidth="1"/>
    <col min="4878" max="4878" width="10.77734375" style="17" customWidth="1"/>
    <col min="4879" max="4880" width="7.77734375" style="17" customWidth="1"/>
    <col min="4881" max="4881" width="8.109375" style="17" customWidth="1"/>
    <col min="4882" max="4882" width="6.88671875" style="17" customWidth="1"/>
    <col min="4883" max="4883" width="14.77734375" style="17" customWidth="1"/>
    <col min="4884" max="4885" width="6.88671875" style="17" customWidth="1"/>
    <col min="4886" max="4886" width="7.44140625" style="17" customWidth="1"/>
    <col min="4887" max="4887" width="6.88671875" style="17" customWidth="1"/>
    <col min="4888" max="4888" width="3" style="17" customWidth="1"/>
    <col min="4889" max="4889" width="14.77734375" style="17" customWidth="1"/>
    <col min="4890" max="4890" width="15.77734375" style="17" customWidth="1"/>
    <col min="4891" max="4891" width="15.44140625" style="17" bestFit="1" customWidth="1"/>
    <col min="4892" max="4892" width="17.5546875" style="17" bestFit="1" customWidth="1"/>
    <col min="4893" max="4893" width="12.21875" style="17" bestFit="1" customWidth="1"/>
    <col min="4894" max="4894" width="9" style="17" bestFit="1" customWidth="1"/>
    <col min="4895" max="4895" width="8.88671875" style="17"/>
    <col min="4896" max="4896" width="9.44140625" style="17" bestFit="1" customWidth="1"/>
    <col min="4897" max="5120" width="8.88671875" style="17"/>
    <col min="5121" max="5124" width="6.77734375" style="17" customWidth="1"/>
    <col min="5125" max="5125" width="16" style="17" customWidth="1"/>
    <col min="5126" max="5128" width="13.77734375" style="17" customWidth="1"/>
    <col min="5129" max="5129" width="1.77734375" style="17" customWidth="1"/>
    <col min="5130" max="5130" width="2.88671875" style="17" customWidth="1"/>
    <col min="5131" max="5131" width="2" style="17" customWidth="1"/>
    <col min="5132" max="5133" width="8.77734375" style="17" customWidth="1"/>
    <col min="5134" max="5134" width="10.77734375" style="17" customWidth="1"/>
    <col min="5135" max="5136" width="7.77734375" style="17" customWidth="1"/>
    <col min="5137" max="5137" width="8.109375" style="17" customWidth="1"/>
    <col min="5138" max="5138" width="6.88671875" style="17" customWidth="1"/>
    <col min="5139" max="5139" width="14.77734375" style="17" customWidth="1"/>
    <col min="5140" max="5141" width="6.88671875" style="17" customWidth="1"/>
    <col min="5142" max="5142" width="7.44140625" style="17" customWidth="1"/>
    <col min="5143" max="5143" width="6.88671875" style="17" customWidth="1"/>
    <col min="5144" max="5144" width="3" style="17" customWidth="1"/>
    <col min="5145" max="5145" width="14.77734375" style="17" customWidth="1"/>
    <col min="5146" max="5146" width="15.77734375" style="17" customWidth="1"/>
    <col min="5147" max="5147" width="15.44140625" style="17" bestFit="1" customWidth="1"/>
    <col min="5148" max="5148" width="17.5546875" style="17" bestFit="1" customWidth="1"/>
    <col min="5149" max="5149" width="12.21875" style="17" bestFit="1" customWidth="1"/>
    <col min="5150" max="5150" width="9" style="17" bestFit="1" customWidth="1"/>
    <col min="5151" max="5151" width="8.88671875" style="17"/>
    <col min="5152" max="5152" width="9.44140625" style="17" bestFit="1" customWidth="1"/>
    <col min="5153" max="5376" width="8.88671875" style="17"/>
    <col min="5377" max="5380" width="6.77734375" style="17" customWidth="1"/>
    <col min="5381" max="5381" width="16" style="17" customWidth="1"/>
    <col min="5382" max="5384" width="13.77734375" style="17" customWidth="1"/>
    <col min="5385" max="5385" width="1.77734375" style="17" customWidth="1"/>
    <col min="5386" max="5386" width="2.88671875" style="17" customWidth="1"/>
    <col min="5387" max="5387" width="2" style="17" customWidth="1"/>
    <col min="5388" max="5389" width="8.77734375" style="17" customWidth="1"/>
    <col min="5390" max="5390" width="10.77734375" style="17" customWidth="1"/>
    <col min="5391" max="5392" width="7.77734375" style="17" customWidth="1"/>
    <col min="5393" max="5393" width="8.109375" style="17" customWidth="1"/>
    <col min="5394" max="5394" width="6.88671875" style="17" customWidth="1"/>
    <col min="5395" max="5395" width="14.77734375" style="17" customWidth="1"/>
    <col min="5396" max="5397" width="6.88671875" style="17" customWidth="1"/>
    <col min="5398" max="5398" width="7.44140625" style="17" customWidth="1"/>
    <col min="5399" max="5399" width="6.88671875" style="17" customWidth="1"/>
    <col min="5400" max="5400" width="3" style="17" customWidth="1"/>
    <col min="5401" max="5401" width="14.77734375" style="17" customWidth="1"/>
    <col min="5402" max="5402" width="15.77734375" style="17" customWidth="1"/>
    <col min="5403" max="5403" width="15.44140625" style="17" bestFit="1" customWidth="1"/>
    <col min="5404" max="5404" width="17.5546875" style="17" bestFit="1" customWidth="1"/>
    <col min="5405" max="5405" width="12.21875" style="17" bestFit="1" customWidth="1"/>
    <col min="5406" max="5406" width="9" style="17" bestFit="1" customWidth="1"/>
    <col min="5407" max="5407" width="8.88671875" style="17"/>
    <col min="5408" max="5408" width="9.44140625" style="17" bestFit="1" customWidth="1"/>
    <col min="5409" max="5632" width="8.88671875" style="17"/>
    <col min="5633" max="5636" width="6.77734375" style="17" customWidth="1"/>
    <col min="5637" max="5637" width="16" style="17" customWidth="1"/>
    <col min="5638" max="5640" width="13.77734375" style="17" customWidth="1"/>
    <col min="5641" max="5641" width="1.77734375" style="17" customWidth="1"/>
    <col min="5642" max="5642" width="2.88671875" style="17" customWidth="1"/>
    <col min="5643" max="5643" width="2" style="17" customWidth="1"/>
    <col min="5644" max="5645" width="8.77734375" style="17" customWidth="1"/>
    <col min="5646" max="5646" width="10.77734375" style="17" customWidth="1"/>
    <col min="5647" max="5648" width="7.77734375" style="17" customWidth="1"/>
    <col min="5649" max="5649" width="8.109375" style="17" customWidth="1"/>
    <col min="5650" max="5650" width="6.88671875" style="17" customWidth="1"/>
    <col min="5651" max="5651" width="14.77734375" style="17" customWidth="1"/>
    <col min="5652" max="5653" width="6.88671875" style="17" customWidth="1"/>
    <col min="5654" max="5654" width="7.44140625" style="17" customWidth="1"/>
    <col min="5655" max="5655" width="6.88671875" style="17" customWidth="1"/>
    <col min="5656" max="5656" width="3" style="17" customWidth="1"/>
    <col min="5657" max="5657" width="14.77734375" style="17" customWidth="1"/>
    <col min="5658" max="5658" width="15.77734375" style="17" customWidth="1"/>
    <col min="5659" max="5659" width="15.44140625" style="17" bestFit="1" customWidth="1"/>
    <col min="5660" max="5660" width="17.5546875" style="17" bestFit="1" customWidth="1"/>
    <col min="5661" max="5661" width="12.21875" style="17" bestFit="1" customWidth="1"/>
    <col min="5662" max="5662" width="9" style="17" bestFit="1" customWidth="1"/>
    <col min="5663" max="5663" width="8.88671875" style="17"/>
    <col min="5664" max="5664" width="9.44140625" style="17" bestFit="1" customWidth="1"/>
    <col min="5665" max="5888" width="8.88671875" style="17"/>
    <col min="5889" max="5892" width="6.77734375" style="17" customWidth="1"/>
    <col min="5893" max="5893" width="16" style="17" customWidth="1"/>
    <col min="5894" max="5896" width="13.77734375" style="17" customWidth="1"/>
    <col min="5897" max="5897" width="1.77734375" style="17" customWidth="1"/>
    <col min="5898" max="5898" width="2.88671875" style="17" customWidth="1"/>
    <col min="5899" max="5899" width="2" style="17" customWidth="1"/>
    <col min="5900" max="5901" width="8.77734375" style="17" customWidth="1"/>
    <col min="5902" max="5902" width="10.77734375" style="17" customWidth="1"/>
    <col min="5903" max="5904" width="7.77734375" style="17" customWidth="1"/>
    <col min="5905" max="5905" width="8.109375" style="17" customWidth="1"/>
    <col min="5906" max="5906" width="6.88671875" style="17" customWidth="1"/>
    <col min="5907" max="5907" width="14.77734375" style="17" customWidth="1"/>
    <col min="5908" max="5909" width="6.88671875" style="17" customWidth="1"/>
    <col min="5910" max="5910" width="7.44140625" style="17" customWidth="1"/>
    <col min="5911" max="5911" width="6.88671875" style="17" customWidth="1"/>
    <col min="5912" max="5912" width="3" style="17" customWidth="1"/>
    <col min="5913" max="5913" width="14.77734375" style="17" customWidth="1"/>
    <col min="5914" max="5914" width="15.77734375" style="17" customWidth="1"/>
    <col min="5915" max="5915" width="15.44140625" style="17" bestFit="1" customWidth="1"/>
    <col min="5916" max="5916" width="17.5546875" style="17" bestFit="1" customWidth="1"/>
    <col min="5917" max="5917" width="12.21875" style="17" bestFit="1" customWidth="1"/>
    <col min="5918" max="5918" width="9" style="17" bestFit="1" customWidth="1"/>
    <col min="5919" max="5919" width="8.88671875" style="17"/>
    <col min="5920" max="5920" width="9.44140625" style="17" bestFit="1" customWidth="1"/>
    <col min="5921" max="6144" width="8.88671875" style="17"/>
    <col min="6145" max="6148" width="6.77734375" style="17" customWidth="1"/>
    <col min="6149" max="6149" width="16" style="17" customWidth="1"/>
    <col min="6150" max="6152" width="13.77734375" style="17" customWidth="1"/>
    <col min="6153" max="6153" width="1.77734375" style="17" customWidth="1"/>
    <col min="6154" max="6154" width="2.88671875" style="17" customWidth="1"/>
    <col min="6155" max="6155" width="2" style="17" customWidth="1"/>
    <col min="6156" max="6157" width="8.77734375" style="17" customWidth="1"/>
    <col min="6158" max="6158" width="10.77734375" style="17" customWidth="1"/>
    <col min="6159" max="6160" width="7.77734375" style="17" customWidth="1"/>
    <col min="6161" max="6161" width="8.109375" style="17" customWidth="1"/>
    <col min="6162" max="6162" width="6.88671875" style="17" customWidth="1"/>
    <col min="6163" max="6163" width="14.77734375" style="17" customWidth="1"/>
    <col min="6164" max="6165" width="6.88671875" style="17" customWidth="1"/>
    <col min="6166" max="6166" width="7.44140625" style="17" customWidth="1"/>
    <col min="6167" max="6167" width="6.88671875" style="17" customWidth="1"/>
    <col min="6168" max="6168" width="3" style="17" customWidth="1"/>
    <col min="6169" max="6169" width="14.77734375" style="17" customWidth="1"/>
    <col min="6170" max="6170" width="15.77734375" style="17" customWidth="1"/>
    <col min="6171" max="6171" width="15.44140625" style="17" bestFit="1" customWidth="1"/>
    <col min="6172" max="6172" width="17.5546875" style="17" bestFit="1" customWidth="1"/>
    <col min="6173" max="6173" width="12.21875" style="17" bestFit="1" customWidth="1"/>
    <col min="6174" max="6174" width="9" style="17" bestFit="1" customWidth="1"/>
    <col min="6175" max="6175" width="8.88671875" style="17"/>
    <col min="6176" max="6176" width="9.44140625" style="17" bestFit="1" customWidth="1"/>
    <col min="6177" max="6400" width="8.88671875" style="17"/>
    <col min="6401" max="6404" width="6.77734375" style="17" customWidth="1"/>
    <col min="6405" max="6405" width="16" style="17" customWidth="1"/>
    <col min="6406" max="6408" width="13.77734375" style="17" customWidth="1"/>
    <col min="6409" max="6409" width="1.77734375" style="17" customWidth="1"/>
    <col min="6410" max="6410" width="2.88671875" style="17" customWidth="1"/>
    <col min="6411" max="6411" width="2" style="17" customWidth="1"/>
    <col min="6412" max="6413" width="8.77734375" style="17" customWidth="1"/>
    <col min="6414" max="6414" width="10.77734375" style="17" customWidth="1"/>
    <col min="6415" max="6416" width="7.77734375" style="17" customWidth="1"/>
    <col min="6417" max="6417" width="8.109375" style="17" customWidth="1"/>
    <col min="6418" max="6418" width="6.88671875" style="17" customWidth="1"/>
    <col min="6419" max="6419" width="14.77734375" style="17" customWidth="1"/>
    <col min="6420" max="6421" width="6.88671875" style="17" customWidth="1"/>
    <col min="6422" max="6422" width="7.44140625" style="17" customWidth="1"/>
    <col min="6423" max="6423" width="6.88671875" style="17" customWidth="1"/>
    <col min="6424" max="6424" width="3" style="17" customWidth="1"/>
    <col min="6425" max="6425" width="14.77734375" style="17" customWidth="1"/>
    <col min="6426" max="6426" width="15.77734375" style="17" customWidth="1"/>
    <col min="6427" max="6427" width="15.44140625" style="17" bestFit="1" customWidth="1"/>
    <col min="6428" max="6428" width="17.5546875" style="17" bestFit="1" customWidth="1"/>
    <col min="6429" max="6429" width="12.21875" style="17" bestFit="1" customWidth="1"/>
    <col min="6430" max="6430" width="9" style="17" bestFit="1" customWidth="1"/>
    <col min="6431" max="6431" width="8.88671875" style="17"/>
    <col min="6432" max="6432" width="9.44140625" style="17" bestFit="1" customWidth="1"/>
    <col min="6433" max="6656" width="8.88671875" style="17"/>
    <col min="6657" max="6660" width="6.77734375" style="17" customWidth="1"/>
    <col min="6661" max="6661" width="16" style="17" customWidth="1"/>
    <col min="6662" max="6664" width="13.77734375" style="17" customWidth="1"/>
    <col min="6665" max="6665" width="1.77734375" style="17" customWidth="1"/>
    <col min="6666" max="6666" width="2.88671875" style="17" customWidth="1"/>
    <col min="6667" max="6667" width="2" style="17" customWidth="1"/>
    <col min="6668" max="6669" width="8.77734375" style="17" customWidth="1"/>
    <col min="6670" max="6670" width="10.77734375" style="17" customWidth="1"/>
    <col min="6671" max="6672" width="7.77734375" style="17" customWidth="1"/>
    <col min="6673" max="6673" width="8.109375" style="17" customWidth="1"/>
    <col min="6674" max="6674" width="6.88671875" style="17" customWidth="1"/>
    <col min="6675" max="6675" width="14.77734375" style="17" customWidth="1"/>
    <col min="6676" max="6677" width="6.88671875" style="17" customWidth="1"/>
    <col min="6678" max="6678" width="7.44140625" style="17" customWidth="1"/>
    <col min="6679" max="6679" width="6.88671875" style="17" customWidth="1"/>
    <col min="6680" max="6680" width="3" style="17" customWidth="1"/>
    <col min="6681" max="6681" width="14.77734375" style="17" customWidth="1"/>
    <col min="6682" max="6682" width="15.77734375" style="17" customWidth="1"/>
    <col min="6683" max="6683" width="15.44140625" style="17" bestFit="1" customWidth="1"/>
    <col min="6684" max="6684" width="17.5546875" style="17" bestFit="1" customWidth="1"/>
    <col min="6685" max="6685" width="12.21875" style="17" bestFit="1" customWidth="1"/>
    <col min="6686" max="6686" width="9" style="17" bestFit="1" customWidth="1"/>
    <col min="6687" max="6687" width="8.88671875" style="17"/>
    <col min="6688" max="6688" width="9.44140625" style="17" bestFit="1" customWidth="1"/>
    <col min="6689" max="6912" width="8.88671875" style="17"/>
    <col min="6913" max="6916" width="6.77734375" style="17" customWidth="1"/>
    <col min="6917" max="6917" width="16" style="17" customWidth="1"/>
    <col min="6918" max="6920" width="13.77734375" style="17" customWidth="1"/>
    <col min="6921" max="6921" width="1.77734375" style="17" customWidth="1"/>
    <col min="6922" max="6922" width="2.88671875" style="17" customWidth="1"/>
    <col min="6923" max="6923" width="2" style="17" customWidth="1"/>
    <col min="6924" max="6925" width="8.77734375" style="17" customWidth="1"/>
    <col min="6926" max="6926" width="10.77734375" style="17" customWidth="1"/>
    <col min="6927" max="6928" width="7.77734375" style="17" customWidth="1"/>
    <col min="6929" max="6929" width="8.109375" style="17" customWidth="1"/>
    <col min="6930" max="6930" width="6.88671875" style="17" customWidth="1"/>
    <col min="6931" max="6931" width="14.77734375" style="17" customWidth="1"/>
    <col min="6932" max="6933" width="6.88671875" style="17" customWidth="1"/>
    <col min="6934" max="6934" width="7.44140625" style="17" customWidth="1"/>
    <col min="6935" max="6935" width="6.88671875" style="17" customWidth="1"/>
    <col min="6936" max="6936" width="3" style="17" customWidth="1"/>
    <col min="6937" max="6937" width="14.77734375" style="17" customWidth="1"/>
    <col min="6938" max="6938" width="15.77734375" style="17" customWidth="1"/>
    <col min="6939" max="6939" width="15.44140625" style="17" bestFit="1" customWidth="1"/>
    <col min="6940" max="6940" width="17.5546875" style="17" bestFit="1" customWidth="1"/>
    <col min="6941" max="6941" width="12.21875" style="17" bestFit="1" customWidth="1"/>
    <col min="6942" max="6942" width="9" style="17" bestFit="1" customWidth="1"/>
    <col min="6943" max="6943" width="8.88671875" style="17"/>
    <col min="6944" max="6944" width="9.44140625" style="17" bestFit="1" customWidth="1"/>
    <col min="6945" max="7168" width="8.88671875" style="17"/>
    <col min="7169" max="7172" width="6.77734375" style="17" customWidth="1"/>
    <col min="7173" max="7173" width="16" style="17" customWidth="1"/>
    <col min="7174" max="7176" width="13.77734375" style="17" customWidth="1"/>
    <col min="7177" max="7177" width="1.77734375" style="17" customWidth="1"/>
    <col min="7178" max="7178" width="2.88671875" style="17" customWidth="1"/>
    <col min="7179" max="7179" width="2" style="17" customWidth="1"/>
    <col min="7180" max="7181" width="8.77734375" style="17" customWidth="1"/>
    <col min="7182" max="7182" width="10.77734375" style="17" customWidth="1"/>
    <col min="7183" max="7184" width="7.77734375" style="17" customWidth="1"/>
    <col min="7185" max="7185" width="8.109375" style="17" customWidth="1"/>
    <col min="7186" max="7186" width="6.88671875" style="17" customWidth="1"/>
    <col min="7187" max="7187" width="14.77734375" style="17" customWidth="1"/>
    <col min="7188" max="7189" width="6.88671875" style="17" customWidth="1"/>
    <col min="7190" max="7190" width="7.44140625" style="17" customWidth="1"/>
    <col min="7191" max="7191" width="6.88671875" style="17" customWidth="1"/>
    <col min="7192" max="7192" width="3" style="17" customWidth="1"/>
    <col min="7193" max="7193" width="14.77734375" style="17" customWidth="1"/>
    <col min="7194" max="7194" width="15.77734375" style="17" customWidth="1"/>
    <col min="7195" max="7195" width="15.44140625" style="17" bestFit="1" customWidth="1"/>
    <col min="7196" max="7196" width="17.5546875" style="17" bestFit="1" customWidth="1"/>
    <col min="7197" max="7197" width="12.21875" style="17" bestFit="1" customWidth="1"/>
    <col min="7198" max="7198" width="9" style="17" bestFit="1" customWidth="1"/>
    <col min="7199" max="7199" width="8.88671875" style="17"/>
    <col min="7200" max="7200" width="9.44140625" style="17" bestFit="1" customWidth="1"/>
    <col min="7201" max="7424" width="8.88671875" style="17"/>
    <col min="7425" max="7428" width="6.77734375" style="17" customWidth="1"/>
    <col min="7429" max="7429" width="16" style="17" customWidth="1"/>
    <col min="7430" max="7432" width="13.77734375" style="17" customWidth="1"/>
    <col min="7433" max="7433" width="1.77734375" style="17" customWidth="1"/>
    <col min="7434" max="7434" width="2.88671875" style="17" customWidth="1"/>
    <col min="7435" max="7435" width="2" style="17" customWidth="1"/>
    <col min="7436" max="7437" width="8.77734375" style="17" customWidth="1"/>
    <col min="7438" max="7438" width="10.77734375" style="17" customWidth="1"/>
    <col min="7439" max="7440" width="7.77734375" style="17" customWidth="1"/>
    <col min="7441" max="7441" width="8.109375" style="17" customWidth="1"/>
    <col min="7442" max="7442" width="6.88671875" style="17" customWidth="1"/>
    <col min="7443" max="7443" width="14.77734375" style="17" customWidth="1"/>
    <col min="7444" max="7445" width="6.88671875" style="17" customWidth="1"/>
    <col min="7446" max="7446" width="7.44140625" style="17" customWidth="1"/>
    <col min="7447" max="7447" width="6.88671875" style="17" customWidth="1"/>
    <col min="7448" max="7448" width="3" style="17" customWidth="1"/>
    <col min="7449" max="7449" width="14.77734375" style="17" customWidth="1"/>
    <col min="7450" max="7450" width="15.77734375" style="17" customWidth="1"/>
    <col min="7451" max="7451" width="15.44140625" style="17" bestFit="1" customWidth="1"/>
    <col min="7452" max="7452" width="17.5546875" style="17" bestFit="1" customWidth="1"/>
    <col min="7453" max="7453" width="12.21875" style="17" bestFit="1" customWidth="1"/>
    <col min="7454" max="7454" width="9" style="17" bestFit="1" customWidth="1"/>
    <col min="7455" max="7455" width="8.88671875" style="17"/>
    <col min="7456" max="7456" width="9.44140625" style="17" bestFit="1" customWidth="1"/>
    <col min="7457" max="7680" width="8.88671875" style="17"/>
    <col min="7681" max="7684" width="6.77734375" style="17" customWidth="1"/>
    <col min="7685" max="7685" width="16" style="17" customWidth="1"/>
    <col min="7686" max="7688" width="13.77734375" style="17" customWidth="1"/>
    <col min="7689" max="7689" width="1.77734375" style="17" customWidth="1"/>
    <col min="7690" max="7690" width="2.88671875" style="17" customWidth="1"/>
    <col min="7691" max="7691" width="2" style="17" customWidth="1"/>
    <col min="7692" max="7693" width="8.77734375" style="17" customWidth="1"/>
    <col min="7694" max="7694" width="10.77734375" style="17" customWidth="1"/>
    <col min="7695" max="7696" width="7.77734375" style="17" customWidth="1"/>
    <col min="7697" max="7697" width="8.109375" style="17" customWidth="1"/>
    <col min="7698" max="7698" width="6.88671875" style="17" customWidth="1"/>
    <col min="7699" max="7699" width="14.77734375" style="17" customWidth="1"/>
    <col min="7700" max="7701" width="6.88671875" style="17" customWidth="1"/>
    <col min="7702" max="7702" width="7.44140625" style="17" customWidth="1"/>
    <col min="7703" max="7703" width="6.88671875" style="17" customWidth="1"/>
    <col min="7704" max="7704" width="3" style="17" customWidth="1"/>
    <col min="7705" max="7705" width="14.77734375" style="17" customWidth="1"/>
    <col min="7706" max="7706" width="15.77734375" style="17" customWidth="1"/>
    <col min="7707" max="7707" width="15.44140625" style="17" bestFit="1" customWidth="1"/>
    <col min="7708" max="7708" width="17.5546875" style="17" bestFit="1" customWidth="1"/>
    <col min="7709" max="7709" width="12.21875" style="17" bestFit="1" customWidth="1"/>
    <col min="7710" max="7710" width="9" style="17" bestFit="1" customWidth="1"/>
    <col min="7711" max="7711" width="8.88671875" style="17"/>
    <col min="7712" max="7712" width="9.44140625" style="17" bestFit="1" customWidth="1"/>
    <col min="7713" max="7936" width="8.88671875" style="17"/>
    <col min="7937" max="7940" width="6.77734375" style="17" customWidth="1"/>
    <col min="7941" max="7941" width="16" style="17" customWidth="1"/>
    <col min="7942" max="7944" width="13.77734375" style="17" customWidth="1"/>
    <col min="7945" max="7945" width="1.77734375" style="17" customWidth="1"/>
    <col min="7946" max="7946" width="2.88671875" style="17" customWidth="1"/>
    <col min="7947" max="7947" width="2" style="17" customWidth="1"/>
    <col min="7948" max="7949" width="8.77734375" style="17" customWidth="1"/>
    <col min="7950" max="7950" width="10.77734375" style="17" customWidth="1"/>
    <col min="7951" max="7952" width="7.77734375" style="17" customWidth="1"/>
    <col min="7953" max="7953" width="8.109375" style="17" customWidth="1"/>
    <col min="7954" max="7954" width="6.88671875" style="17" customWidth="1"/>
    <col min="7955" max="7955" width="14.77734375" style="17" customWidth="1"/>
    <col min="7956" max="7957" width="6.88671875" style="17" customWidth="1"/>
    <col min="7958" max="7958" width="7.44140625" style="17" customWidth="1"/>
    <col min="7959" max="7959" width="6.88671875" style="17" customWidth="1"/>
    <col min="7960" max="7960" width="3" style="17" customWidth="1"/>
    <col min="7961" max="7961" width="14.77734375" style="17" customWidth="1"/>
    <col min="7962" max="7962" width="15.77734375" style="17" customWidth="1"/>
    <col min="7963" max="7963" width="15.44140625" style="17" bestFit="1" customWidth="1"/>
    <col min="7964" max="7964" width="17.5546875" style="17" bestFit="1" customWidth="1"/>
    <col min="7965" max="7965" width="12.21875" style="17" bestFit="1" customWidth="1"/>
    <col min="7966" max="7966" width="9" style="17" bestFit="1" customWidth="1"/>
    <col min="7967" max="7967" width="8.88671875" style="17"/>
    <col min="7968" max="7968" width="9.44140625" style="17" bestFit="1" customWidth="1"/>
    <col min="7969" max="8192" width="8.88671875" style="17"/>
    <col min="8193" max="8196" width="6.77734375" style="17" customWidth="1"/>
    <col min="8197" max="8197" width="16" style="17" customWidth="1"/>
    <col min="8198" max="8200" width="13.77734375" style="17" customWidth="1"/>
    <col min="8201" max="8201" width="1.77734375" style="17" customWidth="1"/>
    <col min="8202" max="8202" width="2.88671875" style="17" customWidth="1"/>
    <col min="8203" max="8203" width="2" style="17" customWidth="1"/>
    <col min="8204" max="8205" width="8.77734375" style="17" customWidth="1"/>
    <col min="8206" max="8206" width="10.77734375" style="17" customWidth="1"/>
    <col min="8207" max="8208" width="7.77734375" style="17" customWidth="1"/>
    <col min="8209" max="8209" width="8.109375" style="17" customWidth="1"/>
    <col min="8210" max="8210" width="6.88671875" style="17" customWidth="1"/>
    <col min="8211" max="8211" width="14.77734375" style="17" customWidth="1"/>
    <col min="8212" max="8213" width="6.88671875" style="17" customWidth="1"/>
    <col min="8214" max="8214" width="7.44140625" style="17" customWidth="1"/>
    <col min="8215" max="8215" width="6.88671875" style="17" customWidth="1"/>
    <col min="8216" max="8216" width="3" style="17" customWidth="1"/>
    <col min="8217" max="8217" width="14.77734375" style="17" customWidth="1"/>
    <col min="8218" max="8218" width="15.77734375" style="17" customWidth="1"/>
    <col min="8219" max="8219" width="15.44140625" style="17" bestFit="1" customWidth="1"/>
    <col min="8220" max="8220" width="17.5546875" style="17" bestFit="1" customWidth="1"/>
    <col min="8221" max="8221" width="12.21875" style="17" bestFit="1" customWidth="1"/>
    <col min="8222" max="8222" width="9" style="17" bestFit="1" customWidth="1"/>
    <col min="8223" max="8223" width="8.88671875" style="17"/>
    <col min="8224" max="8224" width="9.44140625" style="17" bestFit="1" customWidth="1"/>
    <col min="8225" max="8448" width="8.88671875" style="17"/>
    <col min="8449" max="8452" width="6.77734375" style="17" customWidth="1"/>
    <col min="8453" max="8453" width="16" style="17" customWidth="1"/>
    <col min="8454" max="8456" width="13.77734375" style="17" customWidth="1"/>
    <col min="8457" max="8457" width="1.77734375" style="17" customWidth="1"/>
    <col min="8458" max="8458" width="2.88671875" style="17" customWidth="1"/>
    <col min="8459" max="8459" width="2" style="17" customWidth="1"/>
    <col min="8460" max="8461" width="8.77734375" style="17" customWidth="1"/>
    <col min="8462" max="8462" width="10.77734375" style="17" customWidth="1"/>
    <col min="8463" max="8464" width="7.77734375" style="17" customWidth="1"/>
    <col min="8465" max="8465" width="8.109375" style="17" customWidth="1"/>
    <col min="8466" max="8466" width="6.88671875" style="17" customWidth="1"/>
    <col min="8467" max="8467" width="14.77734375" style="17" customWidth="1"/>
    <col min="8468" max="8469" width="6.88671875" style="17" customWidth="1"/>
    <col min="8470" max="8470" width="7.44140625" style="17" customWidth="1"/>
    <col min="8471" max="8471" width="6.88671875" style="17" customWidth="1"/>
    <col min="8472" max="8472" width="3" style="17" customWidth="1"/>
    <col min="8473" max="8473" width="14.77734375" style="17" customWidth="1"/>
    <col min="8474" max="8474" width="15.77734375" style="17" customWidth="1"/>
    <col min="8475" max="8475" width="15.44140625" style="17" bestFit="1" customWidth="1"/>
    <col min="8476" max="8476" width="17.5546875" style="17" bestFit="1" customWidth="1"/>
    <col min="8477" max="8477" width="12.21875" style="17" bestFit="1" customWidth="1"/>
    <col min="8478" max="8478" width="9" style="17" bestFit="1" customWidth="1"/>
    <col min="8479" max="8479" width="8.88671875" style="17"/>
    <col min="8480" max="8480" width="9.44140625" style="17" bestFit="1" customWidth="1"/>
    <col min="8481" max="8704" width="8.88671875" style="17"/>
    <col min="8705" max="8708" width="6.77734375" style="17" customWidth="1"/>
    <col min="8709" max="8709" width="16" style="17" customWidth="1"/>
    <col min="8710" max="8712" width="13.77734375" style="17" customWidth="1"/>
    <col min="8713" max="8713" width="1.77734375" style="17" customWidth="1"/>
    <col min="8714" max="8714" width="2.88671875" style="17" customWidth="1"/>
    <col min="8715" max="8715" width="2" style="17" customWidth="1"/>
    <col min="8716" max="8717" width="8.77734375" style="17" customWidth="1"/>
    <col min="8718" max="8718" width="10.77734375" style="17" customWidth="1"/>
    <col min="8719" max="8720" width="7.77734375" style="17" customWidth="1"/>
    <col min="8721" max="8721" width="8.109375" style="17" customWidth="1"/>
    <col min="8722" max="8722" width="6.88671875" style="17" customWidth="1"/>
    <col min="8723" max="8723" width="14.77734375" style="17" customWidth="1"/>
    <col min="8724" max="8725" width="6.88671875" style="17" customWidth="1"/>
    <col min="8726" max="8726" width="7.44140625" style="17" customWidth="1"/>
    <col min="8727" max="8727" width="6.88671875" style="17" customWidth="1"/>
    <col min="8728" max="8728" width="3" style="17" customWidth="1"/>
    <col min="8729" max="8729" width="14.77734375" style="17" customWidth="1"/>
    <col min="8730" max="8730" width="15.77734375" style="17" customWidth="1"/>
    <col min="8731" max="8731" width="15.44140625" style="17" bestFit="1" customWidth="1"/>
    <col min="8732" max="8732" width="17.5546875" style="17" bestFit="1" customWidth="1"/>
    <col min="8733" max="8733" width="12.21875" style="17" bestFit="1" customWidth="1"/>
    <col min="8734" max="8734" width="9" style="17" bestFit="1" customWidth="1"/>
    <col min="8735" max="8735" width="8.88671875" style="17"/>
    <col min="8736" max="8736" width="9.44140625" style="17" bestFit="1" customWidth="1"/>
    <col min="8737" max="8960" width="8.88671875" style="17"/>
    <col min="8961" max="8964" width="6.77734375" style="17" customWidth="1"/>
    <col min="8965" max="8965" width="16" style="17" customWidth="1"/>
    <col min="8966" max="8968" width="13.77734375" style="17" customWidth="1"/>
    <col min="8969" max="8969" width="1.77734375" style="17" customWidth="1"/>
    <col min="8970" max="8970" width="2.88671875" style="17" customWidth="1"/>
    <col min="8971" max="8971" width="2" style="17" customWidth="1"/>
    <col min="8972" max="8973" width="8.77734375" style="17" customWidth="1"/>
    <col min="8974" max="8974" width="10.77734375" style="17" customWidth="1"/>
    <col min="8975" max="8976" width="7.77734375" style="17" customWidth="1"/>
    <col min="8977" max="8977" width="8.109375" style="17" customWidth="1"/>
    <col min="8978" max="8978" width="6.88671875" style="17" customWidth="1"/>
    <col min="8979" max="8979" width="14.77734375" style="17" customWidth="1"/>
    <col min="8980" max="8981" width="6.88671875" style="17" customWidth="1"/>
    <col min="8982" max="8982" width="7.44140625" style="17" customWidth="1"/>
    <col min="8983" max="8983" width="6.88671875" style="17" customWidth="1"/>
    <col min="8984" max="8984" width="3" style="17" customWidth="1"/>
    <col min="8985" max="8985" width="14.77734375" style="17" customWidth="1"/>
    <col min="8986" max="8986" width="15.77734375" style="17" customWidth="1"/>
    <col min="8987" max="8987" width="15.44140625" style="17" bestFit="1" customWidth="1"/>
    <col min="8988" max="8988" width="17.5546875" style="17" bestFit="1" customWidth="1"/>
    <col min="8989" max="8989" width="12.21875" style="17" bestFit="1" customWidth="1"/>
    <col min="8990" max="8990" width="9" style="17" bestFit="1" customWidth="1"/>
    <col min="8991" max="8991" width="8.88671875" style="17"/>
    <col min="8992" max="8992" width="9.44140625" style="17" bestFit="1" customWidth="1"/>
    <col min="8993" max="9216" width="8.88671875" style="17"/>
    <col min="9217" max="9220" width="6.77734375" style="17" customWidth="1"/>
    <col min="9221" max="9221" width="16" style="17" customWidth="1"/>
    <col min="9222" max="9224" width="13.77734375" style="17" customWidth="1"/>
    <col min="9225" max="9225" width="1.77734375" style="17" customWidth="1"/>
    <col min="9226" max="9226" width="2.88671875" style="17" customWidth="1"/>
    <col min="9227" max="9227" width="2" style="17" customWidth="1"/>
    <col min="9228" max="9229" width="8.77734375" style="17" customWidth="1"/>
    <col min="9230" max="9230" width="10.77734375" style="17" customWidth="1"/>
    <col min="9231" max="9232" width="7.77734375" style="17" customWidth="1"/>
    <col min="9233" max="9233" width="8.109375" style="17" customWidth="1"/>
    <col min="9234" max="9234" width="6.88671875" style="17" customWidth="1"/>
    <col min="9235" max="9235" width="14.77734375" style="17" customWidth="1"/>
    <col min="9236" max="9237" width="6.88671875" style="17" customWidth="1"/>
    <col min="9238" max="9238" width="7.44140625" style="17" customWidth="1"/>
    <col min="9239" max="9239" width="6.88671875" style="17" customWidth="1"/>
    <col min="9240" max="9240" width="3" style="17" customWidth="1"/>
    <col min="9241" max="9241" width="14.77734375" style="17" customWidth="1"/>
    <col min="9242" max="9242" width="15.77734375" style="17" customWidth="1"/>
    <col min="9243" max="9243" width="15.44140625" style="17" bestFit="1" customWidth="1"/>
    <col min="9244" max="9244" width="17.5546875" style="17" bestFit="1" customWidth="1"/>
    <col min="9245" max="9245" width="12.21875" style="17" bestFit="1" customWidth="1"/>
    <col min="9246" max="9246" width="9" style="17" bestFit="1" customWidth="1"/>
    <col min="9247" max="9247" width="8.88671875" style="17"/>
    <col min="9248" max="9248" width="9.44140625" style="17" bestFit="1" customWidth="1"/>
    <col min="9249" max="9472" width="8.88671875" style="17"/>
    <col min="9473" max="9476" width="6.77734375" style="17" customWidth="1"/>
    <col min="9477" max="9477" width="16" style="17" customWidth="1"/>
    <col min="9478" max="9480" width="13.77734375" style="17" customWidth="1"/>
    <col min="9481" max="9481" width="1.77734375" style="17" customWidth="1"/>
    <col min="9482" max="9482" width="2.88671875" style="17" customWidth="1"/>
    <col min="9483" max="9483" width="2" style="17" customWidth="1"/>
    <col min="9484" max="9485" width="8.77734375" style="17" customWidth="1"/>
    <col min="9486" max="9486" width="10.77734375" style="17" customWidth="1"/>
    <col min="9487" max="9488" width="7.77734375" style="17" customWidth="1"/>
    <col min="9489" max="9489" width="8.109375" style="17" customWidth="1"/>
    <col min="9490" max="9490" width="6.88671875" style="17" customWidth="1"/>
    <col min="9491" max="9491" width="14.77734375" style="17" customWidth="1"/>
    <col min="9492" max="9493" width="6.88671875" style="17" customWidth="1"/>
    <col min="9494" max="9494" width="7.44140625" style="17" customWidth="1"/>
    <col min="9495" max="9495" width="6.88671875" style="17" customWidth="1"/>
    <col min="9496" max="9496" width="3" style="17" customWidth="1"/>
    <col min="9497" max="9497" width="14.77734375" style="17" customWidth="1"/>
    <col min="9498" max="9498" width="15.77734375" style="17" customWidth="1"/>
    <col min="9499" max="9499" width="15.44140625" style="17" bestFit="1" customWidth="1"/>
    <col min="9500" max="9500" width="17.5546875" style="17" bestFit="1" customWidth="1"/>
    <col min="9501" max="9501" width="12.21875" style="17" bestFit="1" customWidth="1"/>
    <col min="9502" max="9502" width="9" style="17" bestFit="1" customWidth="1"/>
    <col min="9503" max="9503" width="8.88671875" style="17"/>
    <col min="9504" max="9504" width="9.44140625" style="17" bestFit="1" customWidth="1"/>
    <col min="9505" max="9728" width="8.88671875" style="17"/>
    <col min="9729" max="9732" width="6.77734375" style="17" customWidth="1"/>
    <col min="9733" max="9733" width="16" style="17" customWidth="1"/>
    <col min="9734" max="9736" width="13.77734375" style="17" customWidth="1"/>
    <col min="9737" max="9737" width="1.77734375" style="17" customWidth="1"/>
    <col min="9738" max="9738" width="2.88671875" style="17" customWidth="1"/>
    <col min="9739" max="9739" width="2" style="17" customWidth="1"/>
    <col min="9740" max="9741" width="8.77734375" style="17" customWidth="1"/>
    <col min="9742" max="9742" width="10.77734375" style="17" customWidth="1"/>
    <col min="9743" max="9744" width="7.77734375" style="17" customWidth="1"/>
    <col min="9745" max="9745" width="8.109375" style="17" customWidth="1"/>
    <col min="9746" max="9746" width="6.88671875" style="17" customWidth="1"/>
    <col min="9747" max="9747" width="14.77734375" style="17" customWidth="1"/>
    <col min="9748" max="9749" width="6.88671875" style="17" customWidth="1"/>
    <col min="9750" max="9750" width="7.44140625" style="17" customWidth="1"/>
    <col min="9751" max="9751" width="6.88671875" style="17" customWidth="1"/>
    <col min="9752" max="9752" width="3" style="17" customWidth="1"/>
    <col min="9753" max="9753" width="14.77734375" style="17" customWidth="1"/>
    <col min="9754" max="9754" width="15.77734375" style="17" customWidth="1"/>
    <col min="9755" max="9755" width="15.44140625" style="17" bestFit="1" customWidth="1"/>
    <col min="9756" max="9756" width="17.5546875" style="17" bestFit="1" customWidth="1"/>
    <col min="9757" max="9757" width="12.21875" style="17" bestFit="1" customWidth="1"/>
    <col min="9758" max="9758" width="9" style="17" bestFit="1" customWidth="1"/>
    <col min="9759" max="9759" width="8.88671875" style="17"/>
    <col min="9760" max="9760" width="9.44140625" style="17" bestFit="1" customWidth="1"/>
    <col min="9761" max="9984" width="8.88671875" style="17"/>
    <col min="9985" max="9988" width="6.77734375" style="17" customWidth="1"/>
    <col min="9989" max="9989" width="16" style="17" customWidth="1"/>
    <col min="9990" max="9992" width="13.77734375" style="17" customWidth="1"/>
    <col min="9993" max="9993" width="1.77734375" style="17" customWidth="1"/>
    <col min="9994" max="9994" width="2.88671875" style="17" customWidth="1"/>
    <col min="9995" max="9995" width="2" style="17" customWidth="1"/>
    <col min="9996" max="9997" width="8.77734375" style="17" customWidth="1"/>
    <col min="9998" max="9998" width="10.77734375" style="17" customWidth="1"/>
    <col min="9999" max="10000" width="7.77734375" style="17" customWidth="1"/>
    <col min="10001" max="10001" width="8.109375" style="17" customWidth="1"/>
    <col min="10002" max="10002" width="6.88671875" style="17" customWidth="1"/>
    <col min="10003" max="10003" width="14.77734375" style="17" customWidth="1"/>
    <col min="10004" max="10005" width="6.88671875" style="17" customWidth="1"/>
    <col min="10006" max="10006" width="7.44140625" style="17" customWidth="1"/>
    <col min="10007" max="10007" width="6.88671875" style="17" customWidth="1"/>
    <col min="10008" max="10008" width="3" style="17" customWidth="1"/>
    <col min="10009" max="10009" width="14.77734375" style="17" customWidth="1"/>
    <col min="10010" max="10010" width="15.77734375" style="17" customWidth="1"/>
    <col min="10011" max="10011" width="15.44140625" style="17" bestFit="1" customWidth="1"/>
    <col min="10012" max="10012" width="17.5546875" style="17" bestFit="1" customWidth="1"/>
    <col min="10013" max="10013" width="12.21875" style="17" bestFit="1" customWidth="1"/>
    <col min="10014" max="10014" width="9" style="17" bestFit="1" customWidth="1"/>
    <col min="10015" max="10015" width="8.88671875" style="17"/>
    <col min="10016" max="10016" width="9.44140625" style="17" bestFit="1" customWidth="1"/>
    <col min="10017" max="10240" width="8.88671875" style="17"/>
    <col min="10241" max="10244" width="6.77734375" style="17" customWidth="1"/>
    <col min="10245" max="10245" width="16" style="17" customWidth="1"/>
    <col min="10246" max="10248" width="13.77734375" style="17" customWidth="1"/>
    <col min="10249" max="10249" width="1.77734375" style="17" customWidth="1"/>
    <col min="10250" max="10250" width="2.88671875" style="17" customWidth="1"/>
    <col min="10251" max="10251" width="2" style="17" customWidth="1"/>
    <col min="10252" max="10253" width="8.77734375" style="17" customWidth="1"/>
    <col min="10254" max="10254" width="10.77734375" style="17" customWidth="1"/>
    <col min="10255" max="10256" width="7.77734375" style="17" customWidth="1"/>
    <col min="10257" max="10257" width="8.109375" style="17" customWidth="1"/>
    <col min="10258" max="10258" width="6.88671875" style="17" customWidth="1"/>
    <col min="10259" max="10259" width="14.77734375" style="17" customWidth="1"/>
    <col min="10260" max="10261" width="6.88671875" style="17" customWidth="1"/>
    <col min="10262" max="10262" width="7.44140625" style="17" customWidth="1"/>
    <col min="10263" max="10263" width="6.88671875" style="17" customWidth="1"/>
    <col min="10264" max="10264" width="3" style="17" customWidth="1"/>
    <col min="10265" max="10265" width="14.77734375" style="17" customWidth="1"/>
    <col min="10266" max="10266" width="15.77734375" style="17" customWidth="1"/>
    <col min="10267" max="10267" width="15.44140625" style="17" bestFit="1" customWidth="1"/>
    <col min="10268" max="10268" width="17.5546875" style="17" bestFit="1" customWidth="1"/>
    <col min="10269" max="10269" width="12.21875" style="17" bestFit="1" customWidth="1"/>
    <col min="10270" max="10270" width="9" style="17" bestFit="1" customWidth="1"/>
    <col min="10271" max="10271" width="8.88671875" style="17"/>
    <col min="10272" max="10272" width="9.44140625" style="17" bestFit="1" customWidth="1"/>
    <col min="10273" max="10496" width="8.88671875" style="17"/>
    <col min="10497" max="10500" width="6.77734375" style="17" customWidth="1"/>
    <col min="10501" max="10501" width="16" style="17" customWidth="1"/>
    <col min="10502" max="10504" width="13.77734375" style="17" customWidth="1"/>
    <col min="10505" max="10505" width="1.77734375" style="17" customWidth="1"/>
    <col min="10506" max="10506" width="2.88671875" style="17" customWidth="1"/>
    <col min="10507" max="10507" width="2" style="17" customWidth="1"/>
    <col min="10508" max="10509" width="8.77734375" style="17" customWidth="1"/>
    <col min="10510" max="10510" width="10.77734375" style="17" customWidth="1"/>
    <col min="10511" max="10512" width="7.77734375" style="17" customWidth="1"/>
    <col min="10513" max="10513" width="8.109375" style="17" customWidth="1"/>
    <col min="10514" max="10514" width="6.88671875" style="17" customWidth="1"/>
    <col min="10515" max="10515" width="14.77734375" style="17" customWidth="1"/>
    <col min="10516" max="10517" width="6.88671875" style="17" customWidth="1"/>
    <col min="10518" max="10518" width="7.44140625" style="17" customWidth="1"/>
    <col min="10519" max="10519" width="6.88671875" style="17" customWidth="1"/>
    <col min="10520" max="10520" width="3" style="17" customWidth="1"/>
    <col min="10521" max="10521" width="14.77734375" style="17" customWidth="1"/>
    <col min="10522" max="10522" width="15.77734375" style="17" customWidth="1"/>
    <col min="10523" max="10523" width="15.44140625" style="17" bestFit="1" customWidth="1"/>
    <col min="10524" max="10524" width="17.5546875" style="17" bestFit="1" customWidth="1"/>
    <col min="10525" max="10525" width="12.21875" style="17" bestFit="1" customWidth="1"/>
    <col min="10526" max="10526" width="9" style="17" bestFit="1" customWidth="1"/>
    <col min="10527" max="10527" width="8.88671875" style="17"/>
    <col min="10528" max="10528" width="9.44140625" style="17" bestFit="1" customWidth="1"/>
    <col min="10529" max="10752" width="8.88671875" style="17"/>
    <col min="10753" max="10756" width="6.77734375" style="17" customWidth="1"/>
    <col min="10757" max="10757" width="16" style="17" customWidth="1"/>
    <col min="10758" max="10760" width="13.77734375" style="17" customWidth="1"/>
    <col min="10761" max="10761" width="1.77734375" style="17" customWidth="1"/>
    <col min="10762" max="10762" width="2.88671875" style="17" customWidth="1"/>
    <col min="10763" max="10763" width="2" style="17" customWidth="1"/>
    <col min="10764" max="10765" width="8.77734375" style="17" customWidth="1"/>
    <col min="10766" max="10766" width="10.77734375" style="17" customWidth="1"/>
    <col min="10767" max="10768" width="7.77734375" style="17" customWidth="1"/>
    <col min="10769" max="10769" width="8.109375" style="17" customWidth="1"/>
    <col min="10770" max="10770" width="6.88671875" style="17" customWidth="1"/>
    <col min="10771" max="10771" width="14.77734375" style="17" customWidth="1"/>
    <col min="10772" max="10773" width="6.88671875" style="17" customWidth="1"/>
    <col min="10774" max="10774" width="7.44140625" style="17" customWidth="1"/>
    <col min="10775" max="10775" width="6.88671875" style="17" customWidth="1"/>
    <col min="10776" max="10776" width="3" style="17" customWidth="1"/>
    <col min="10777" max="10777" width="14.77734375" style="17" customWidth="1"/>
    <col min="10778" max="10778" width="15.77734375" style="17" customWidth="1"/>
    <col min="10779" max="10779" width="15.44140625" style="17" bestFit="1" customWidth="1"/>
    <col min="10780" max="10780" width="17.5546875" style="17" bestFit="1" customWidth="1"/>
    <col min="10781" max="10781" width="12.21875" style="17" bestFit="1" customWidth="1"/>
    <col min="10782" max="10782" width="9" style="17" bestFit="1" customWidth="1"/>
    <col min="10783" max="10783" width="8.88671875" style="17"/>
    <col min="10784" max="10784" width="9.44140625" style="17" bestFit="1" customWidth="1"/>
    <col min="10785" max="11008" width="8.88671875" style="17"/>
    <col min="11009" max="11012" width="6.77734375" style="17" customWidth="1"/>
    <col min="11013" max="11013" width="16" style="17" customWidth="1"/>
    <col min="11014" max="11016" width="13.77734375" style="17" customWidth="1"/>
    <col min="11017" max="11017" width="1.77734375" style="17" customWidth="1"/>
    <col min="11018" max="11018" width="2.88671875" style="17" customWidth="1"/>
    <col min="11019" max="11019" width="2" style="17" customWidth="1"/>
    <col min="11020" max="11021" width="8.77734375" style="17" customWidth="1"/>
    <col min="11022" max="11022" width="10.77734375" style="17" customWidth="1"/>
    <col min="11023" max="11024" width="7.77734375" style="17" customWidth="1"/>
    <col min="11025" max="11025" width="8.109375" style="17" customWidth="1"/>
    <col min="11026" max="11026" width="6.88671875" style="17" customWidth="1"/>
    <col min="11027" max="11027" width="14.77734375" style="17" customWidth="1"/>
    <col min="11028" max="11029" width="6.88671875" style="17" customWidth="1"/>
    <col min="11030" max="11030" width="7.44140625" style="17" customWidth="1"/>
    <col min="11031" max="11031" width="6.88671875" style="17" customWidth="1"/>
    <col min="11032" max="11032" width="3" style="17" customWidth="1"/>
    <col min="11033" max="11033" width="14.77734375" style="17" customWidth="1"/>
    <col min="11034" max="11034" width="15.77734375" style="17" customWidth="1"/>
    <col min="11035" max="11035" width="15.44140625" style="17" bestFit="1" customWidth="1"/>
    <col min="11036" max="11036" width="17.5546875" style="17" bestFit="1" customWidth="1"/>
    <col min="11037" max="11037" width="12.21875" style="17" bestFit="1" customWidth="1"/>
    <col min="11038" max="11038" width="9" style="17" bestFit="1" customWidth="1"/>
    <col min="11039" max="11039" width="8.88671875" style="17"/>
    <col min="11040" max="11040" width="9.44140625" style="17" bestFit="1" customWidth="1"/>
    <col min="11041" max="11264" width="8.88671875" style="17"/>
    <col min="11265" max="11268" width="6.77734375" style="17" customWidth="1"/>
    <col min="11269" max="11269" width="16" style="17" customWidth="1"/>
    <col min="11270" max="11272" width="13.77734375" style="17" customWidth="1"/>
    <col min="11273" max="11273" width="1.77734375" style="17" customWidth="1"/>
    <col min="11274" max="11274" width="2.88671875" style="17" customWidth="1"/>
    <col min="11275" max="11275" width="2" style="17" customWidth="1"/>
    <col min="11276" max="11277" width="8.77734375" style="17" customWidth="1"/>
    <col min="11278" max="11278" width="10.77734375" style="17" customWidth="1"/>
    <col min="11279" max="11280" width="7.77734375" style="17" customWidth="1"/>
    <col min="11281" max="11281" width="8.109375" style="17" customWidth="1"/>
    <col min="11282" max="11282" width="6.88671875" style="17" customWidth="1"/>
    <col min="11283" max="11283" width="14.77734375" style="17" customWidth="1"/>
    <col min="11284" max="11285" width="6.88671875" style="17" customWidth="1"/>
    <col min="11286" max="11286" width="7.44140625" style="17" customWidth="1"/>
    <col min="11287" max="11287" width="6.88671875" style="17" customWidth="1"/>
    <col min="11288" max="11288" width="3" style="17" customWidth="1"/>
    <col min="11289" max="11289" width="14.77734375" style="17" customWidth="1"/>
    <col min="11290" max="11290" width="15.77734375" style="17" customWidth="1"/>
    <col min="11291" max="11291" width="15.44140625" style="17" bestFit="1" customWidth="1"/>
    <col min="11292" max="11292" width="17.5546875" style="17" bestFit="1" customWidth="1"/>
    <col min="11293" max="11293" width="12.21875" style="17" bestFit="1" customWidth="1"/>
    <col min="11294" max="11294" width="9" style="17" bestFit="1" customWidth="1"/>
    <col min="11295" max="11295" width="8.88671875" style="17"/>
    <col min="11296" max="11296" width="9.44140625" style="17" bestFit="1" customWidth="1"/>
    <col min="11297" max="11520" width="8.88671875" style="17"/>
    <col min="11521" max="11524" width="6.77734375" style="17" customWidth="1"/>
    <col min="11525" max="11525" width="16" style="17" customWidth="1"/>
    <col min="11526" max="11528" width="13.77734375" style="17" customWidth="1"/>
    <col min="11529" max="11529" width="1.77734375" style="17" customWidth="1"/>
    <col min="11530" max="11530" width="2.88671875" style="17" customWidth="1"/>
    <col min="11531" max="11531" width="2" style="17" customWidth="1"/>
    <col min="11532" max="11533" width="8.77734375" style="17" customWidth="1"/>
    <col min="11534" max="11534" width="10.77734375" style="17" customWidth="1"/>
    <col min="11535" max="11536" width="7.77734375" style="17" customWidth="1"/>
    <col min="11537" max="11537" width="8.109375" style="17" customWidth="1"/>
    <col min="11538" max="11538" width="6.88671875" style="17" customWidth="1"/>
    <col min="11539" max="11539" width="14.77734375" style="17" customWidth="1"/>
    <col min="11540" max="11541" width="6.88671875" style="17" customWidth="1"/>
    <col min="11542" max="11542" width="7.44140625" style="17" customWidth="1"/>
    <col min="11543" max="11543" width="6.88671875" style="17" customWidth="1"/>
    <col min="11544" max="11544" width="3" style="17" customWidth="1"/>
    <col min="11545" max="11545" width="14.77734375" style="17" customWidth="1"/>
    <col min="11546" max="11546" width="15.77734375" style="17" customWidth="1"/>
    <col min="11547" max="11547" width="15.44140625" style="17" bestFit="1" customWidth="1"/>
    <col min="11548" max="11548" width="17.5546875" style="17" bestFit="1" customWidth="1"/>
    <col min="11549" max="11549" width="12.21875" style="17" bestFit="1" customWidth="1"/>
    <col min="11550" max="11550" width="9" style="17" bestFit="1" customWidth="1"/>
    <col min="11551" max="11551" width="8.88671875" style="17"/>
    <col min="11552" max="11552" width="9.44140625" style="17" bestFit="1" customWidth="1"/>
    <col min="11553" max="11776" width="8.88671875" style="17"/>
    <col min="11777" max="11780" width="6.77734375" style="17" customWidth="1"/>
    <col min="11781" max="11781" width="16" style="17" customWidth="1"/>
    <col min="11782" max="11784" width="13.77734375" style="17" customWidth="1"/>
    <col min="11785" max="11785" width="1.77734375" style="17" customWidth="1"/>
    <col min="11786" max="11786" width="2.88671875" style="17" customWidth="1"/>
    <col min="11787" max="11787" width="2" style="17" customWidth="1"/>
    <col min="11788" max="11789" width="8.77734375" style="17" customWidth="1"/>
    <col min="11790" max="11790" width="10.77734375" style="17" customWidth="1"/>
    <col min="11791" max="11792" width="7.77734375" style="17" customWidth="1"/>
    <col min="11793" max="11793" width="8.109375" style="17" customWidth="1"/>
    <col min="11794" max="11794" width="6.88671875" style="17" customWidth="1"/>
    <col min="11795" max="11795" width="14.77734375" style="17" customWidth="1"/>
    <col min="11796" max="11797" width="6.88671875" style="17" customWidth="1"/>
    <col min="11798" max="11798" width="7.44140625" style="17" customWidth="1"/>
    <col min="11799" max="11799" width="6.88671875" style="17" customWidth="1"/>
    <col min="11800" max="11800" width="3" style="17" customWidth="1"/>
    <col min="11801" max="11801" width="14.77734375" style="17" customWidth="1"/>
    <col min="11802" max="11802" width="15.77734375" style="17" customWidth="1"/>
    <col min="11803" max="11803" width="15.44140625" style="17" bestFit="1" customWidth="1"/>
    <col min="11804" max="11804" width="17.5546875" style="17" bestFit="1" customWidth="1"/>
    <col min="11805" max="11805" width="12.21875" style="17" bestFit="1" customWidth="1"/>
    <col min="11806" max="11806" width="9" style="17" bestFit="1" customWidth="1"/>
    <col min="11807" max="11807" width="8.88671875" style="17"/>
    <col min="11808" max="11808" width="9.44140625" style="17" bestFit="1" customWidth="1"/>
    <col min="11809" max="12032" width="8.88671875" style="17"/>
    <col min="12033" max="12036" width="6.77734375" style="17" customWidth="1"/>
    <col min="12037" max="12037" width="16" style="17" customWidth="1"/>
    <col min="12038" max="12040" width="13.77734375" style="17" customWidth="1"/>
    <col min="12041" max="12041" width="1.77734375" style="17" customWidth="1"/>
    <col min="12042" max="12042" width="2.88671875" style="17" customWidth="1"/>
    <col min="12043" max="12043" width="2" style="17" customWidth="1"/>
    <col min="12044" max="12045" width="8.77734375" style="17" customWidth="1"/>
    <col min="12046" max="12046" width="10.77734375" style="17" customWidth="1"/>
    <col min="12047" max="12048" width="7.77734375" style="17" customWidth="1"/>
    <col min="12049" max="12049" width="8.109375" style="17" customWidth="1"/>
    <col min="12050" max="12050" width="6.88671875" style="17" customWidth="1"/>
    <col min="12051" max="12051" width="14.77734375" style="17" customWidth="1"/>
    <col min="12052" max="12053" width="6.88671875" style="17" customWidth="1"/>
    <col min="12054" max="12054" width="7.44140625" style="17" customWidth="1"/>
    <col min="12055" max="12055" width="6.88671875" style="17" customWidth="1"/>
    <col min="12056" max="12056" width="3" style="17" customWidth="1"/>
    <col min="12057" max="12057" width="14.77734375" style="17" customWidth="1"/>
    <col min="12058" max="12058" width="15.77734375" style="17" customWidth="1"/>
    <col min="12059" max="12059" width="15.44140625" style="17" bestFit="1" customWidth="1"/>
    <col min="12060" max="12060" width="17.5546875" style="17" bestFit="1" customWidth="1"/>
    <col min="12061" max="12061" width="12.21875" style="17" bestFit="1" customWidth="1"/>
    <col min="12062" max="12062" width="9" style="17" bestFit="1" customWidth="1"/>
    <col min="12063" max="12063" width="8.88671875" style="17"/>
    <col min="12064" max="12064" width="9.44140625" style="17" bestFit="1" customWidth="1"/>
    <col min="12065" max="12288" width="8.88671875" style="17"/>
    <col min="12289" max="12292" width="6.77734375" style="17" customWidth="1"/>
    <col min="12293" max="12293" width="16" style="17" customWidth="1"/>
    <col min="12294" max="12296" width="13.77734375" style="17" customWidth="1"/>
    <col min="12297" max="12297" width="1.77734375" style="17" customWidth="1"/>
    <col min="12298" max="12298" width="2.88671875" style="17" customWidth="1"/>
    <col min="12299" max="12299" width="2" style="17" customWidth="1"/>
    <col min="12300" max="12301" width="8.77734375" style="17" customWidth="1"/>
    <col min="12302" max="12302" width="10.77734375" style="17" customWidth="1"/>
    <col min="12303" max="12304" width="7.77734375" style="17" customWidth="1"/>
    <col min="12305" max="12305" width="8.109375" style="17" customWidth="1"/>
    <col min="12306" max="12306" width="6.88671875" style="17" customWidth="1"/>
    <col min="12307" max="12307" width="14.77734375" style="17" customWidth="1"/>
    <col min="12308" max="12309" width="6.88671875" style="17" customWidth="1"/>
    <col min="12310" max="12310" width="7.44140625" style="17" customWidth="1"/>
    <col min="12311" max="12311" width="6.88671875" style="17" customWidth="1"/>
    <col min="12312" max="12312" width="3" style="17" customWidth="1"/>
    <col min="12313" max="12313" width="14.77734375" style="17" customWidth="1"/>
    <col min="12314" max="12314" width="15.77734375" style="17" customWidth="1"/>
    <col min="12315" max="12315" width="15.44140625" style="17" bestFit="1" customWidth="1"/>
    <col min="12316" max="12316" width="17.5546875" style="17" bestFit="1" customWidth="1"/>
    <col min="12317" max="12317" width="12.21875" style="17" bestFit="1" customWidth="1"/>
    <col min="12318" max="12318" width="9" style="17" bestFit="1" customWidth="1"/>
    <col min="12319" max="12319" width="8.88671875" style="17"/>
    <col min="12320" max="12320" width="9.44140625" style="17" bestFit="1" customWidth="1"/>
    <col min="12321" max="12544" width="8.88671875" style="17"/>
    <col min="12545" max="12548" width="6.77734375" style="17" customWidth="1"/>
    <col min="12549" max="12549" width="16" style="17" customWidth="1"/>
    <col min="12550" max="12552" width="13.77734375" style="17" customWidth="1"/>
    <col min="12553" max="12553" width="1.77734375" style="17" customWidth="1"/>
    <col min="12554" max="12554" width="2.88671875" style="17" customWidth="1"/>
    <col min="12555" max="12555" width="2" style="17" customWidth="1"/>
    <col min="12556" max="12557" width="8.77734375" style="17" customWidth="1"/>
    <col min="12558" max="12558" width="10.77734375" style="17" customWidth="1"/>
    <col min="12559" max="12560" width="7.77734375" style="17" customWidth="1"/>
    <col min="12561" max="12561" width="8.109375" style="17" customWidth="1"/>
    <col min="12562" max="12562" width="6.88671875" style="17" customWidth="1"/>
    <col min="12563" max="12563" width="14.77734375" style="17" customWidth="1"/>
    <col min="12564" max="12565" width="6.88671875" style="17" customWidth="1"/>
    <col min="12566" max="12566" width="7.44140625" style="17" customWidth="1"/>
    <col min="12567" max="12567" width="6.88671875" style="17" customWidth="1"/>
    <col min="12568" max="12568" width="3" style="17" customWidth="1"/>
    <col min="12569" max="12569" width="14.77734375" style="17" customWidth="1"/>
    <col min="12570" max="12570" width="15.77734375" style="17" customWidth="1"/>
    <col min="12571" max="12571" width="15.44140625" style="17" bestFit="1" customWidth="1"/>
    <col min="12572" max="12572" width="17.5546875" style="17" bestFit="1" customWidth="1"/>
    <col min="12573" max="12573" width="12.21875" style="17" bestFit="1" customWidth="1"/>
    <col min="12574" max="12574" width="9" style="17" bestFit="1" customWidth="1"/>
    <col min="12575" max="12575" width="8.88671875" style="17"/>
    <col min="12576" max="12576" width="9.44140625" style="17" bestFit="1" customWidth="1"/>
    <col min="12577" max="12800" width="8.88671875" style="17"/>
    <col min="12801" max="12804" width="6.77734375" style="17" customWidth="1"/>
    <col min="12805" max="12805" width="16" style="17" customWidth="1"/>
    <col min="12806" max="12808" width="13.77734375" style="17" customWidth="1"/>
    <col min="12809" max="12809" width="1.77734375" style="17" customWidth="1"/>
    <col min="12810" max="12810" width="2.88671875" style="17" customWidth="1"/>
    <col min="12811" max="12811" width="2" style="17" customWidth="1"/>
    <col min="12812" max="12813" width="8.77734375" style="17" customWidth="1"/>
    <col min="12814" max="12814" width="10.77734375" style="17" customWidth="1"/>
    <col min="12815" max="12816" width="7.77734375" style="17" customWidth="1"/>
    <col min="12817" max="12817" width="8.109375" style="17" customWidth="1"/>
    <col min="12818" max="12818" width="6.88671875" style="17" customWidth="1"/>
    <col min="12819" max="12819" width="14.77734375" style="17" customWidth="1"/>
    <col min="12820" max="12821" width="6.88671875" style="17" customWidth="1"/>
    <col min="12822" max="12822" width="7.44140625" style="17" customWidth="1"/>
    <col min="12823" max="12823" width="6.88671875" style="17" customWidth="1"/>
    <col min="12824" max="12824" width="3" style="17" customWidth="1"/>
    <col min="12825" max="12825" width="14.77734375" style="17" customWidth="1"/>
    <col min="12826" max="12826" width="15.77734375" style="17" customWidth="1"/>
    <col min="12827" max="12827" width="15.44140625" style="17" bestFit="1" customWidth="1"/>
    <col min="12828" max="12828" width="17.5546875" style="17" bestFit="1" customWidth="1"/>
    <col min="12829" max="12829" width="12.21875" style="17" bestFit="1" customWidth="1"/>
    <col min="12830" max="12830" width="9" style="17" bestFit="1" customWidth="1"/>
    <col min="12831" max="12831" width="8.88671875" style="17"/>
    <col min="12832" max="12832" width="9.44140625" style="17" bestFit="1" customWidth="1"/>
    <col min="12833" max="13056" width="8.88671875" style="17"/>
    <col min="13057" max="13060" width="6.77734375" style="17" customWidth="1"/>
    <col min="13061" max="13061" width="16" style="17" customWidth="1"/>
    <col min="13062" max="13064" width="13.77734375" style="17" customWidth="1"/>
    <col min="13065" max="13065" width="1.77734375" style="17" customWidth="1"/>
    <col min="13066" max="13066" width="2.88671875" style="17" customWidth="1"/>
    <col min="13067" max="13067" width="2" style="17" customWidth="1"/>
    <col min="13068" max="13069" width="8.77734375" style="17" customWidth="1"/>
    <col min="13070" max="13070" width="10.77734375" style="17" customWidth="1"/>
    <col min="13071" max="13072" width="7.77734375" style="17" customWidth="1"/>
    <col min="13073" max="13073" width="8.109375" style="17" customWidth="1"/>
    <col min="13074" max="13074" width="6.88671875" style="17" customWidth="1"/>
    <col min="13075" max="13075" width="14.77734375" style="17" customWidth="1"/>
    <col min="13076" max="13077" width="6.88671875" style="17" customWidth="1"/>
    <col min="13078" max="13078" width="7.44140625" style="17" customWidth="1"/>
    <col min="13079" max="13079" width="6.88671875" style="17" customWidth="1"/>
    <col min="13080" max="13080" width="3" style="17" customWidth="1"/>
    <col min="13081" max="13081" width="14.77734375" style="17" customWidth="1"/>
    <col min="13082" max="13082" width="15.77734375" style="17" customWidth="1"/>
    <col min="13083" max="13083" width="15.44140625" style="17" bestFit="1" customWidth="1"/>
    <col min="13084" max="13084" width="17.5546875" style="17" bestFit="1" customWidth="1"/>
    <col min="13085" max="13085" width="12.21875" style="17" bestFit="1" customWidth="1"/>
    <col min="13086" max="13086" width="9" style="17" bestFit="1" customWidth="1"/>
    <col min="13087" max="13087" width="8.88671875" style="17"/>
    <col min="13088" max="13088" width="9.44140625" style="17" bestFit="1" customWidth="1"/>
    <col min="13089" max="13312" width="8.88671875" style="17"/>
    <col min="13313" max="13316" width="6.77734375" style="17" customWidth="1"/>
    <col min="13317" max="13317" width="16" style="17" customWidth="1"/>
    <col min="13318" max="13320" width="13.77734375" style="17" customWidth="1"/>
    <col min="13321" max="13321" width="1.77734375" style="17" customWidth="1"/>
    <col min="13322" max="13322" width="2.88671875" style="17" customWidth="1"/>
    <col min="13323" max="13323" width="2" style="17" customWidth="1"/>
    <col min="13324" max="13325" width="8.77734375" style="17" customWidth="1"/>
    <col min="13326" max="13326" width="10.77734375" style="17" customWidth="1"/>
    <col min="13327" max="13328" width="7.77734375" style="17" customWidth="1"/>
    <col min="13329" max="13329" width="8.109375" style="17" customWidth="1"/>
    <col min="13330" max="13330" width="6.88671875" style="17" customWidth="1"/>
    <col min="13331" max="13331" width="14.77734375" style="17" customWidth="1"/>
    <col min="13332" max="13333" width="6.88671875" style="17" customWidth="1"/>
    <col min="13334" max="13334" width="7.44140625" style="17" customWidth="1"/>
    <col min="13335" max="13335" width="6.88671875" style="17" customWidth="1"/>
    <col min="13336" max="13336" width="3" style="17" customWidth="1"/>
    <col min="13337" max="13337" width="14.77734375" style="17" customWidth="1"/>
    <col min="13338" max="13338" width="15.77734375" style="17" customWidth="1"/>
    <col min="13339" max="13339" width="15.44140625" style="17" bestFit="1" customWidth="1"/>
    <col min="13340" max="13340" width="17.5546875" style="17" bestFit="1" customWidth="1"/>
    <col min="13341" max="13341" width="12.21875" style="17" bestFit="1" customWidth="1"/>
    <col min="13342" max="13342" width="9" style="17" bestFit="1" customWidth="1"/>
    <col min="13343" max="13343" width="8.88671875" style="17"/>
    <col min="13344" max="13344" width="9.44140625" style="17" bestFit="1" customWidth="1"/>
    <col min="13345" max="13568" width="8.88671875" style="17"/>
    <col min="13569" max="13572" width="6.77734375" style="17" customWidth="1"/>
    <col min="13573" max="13573" width="16" style="17" customWidth="1"/>
    <col min="13574" max="13576" width="13.77734375" style="17" customWidth="1"/>
    <col min="13577" max="13577" width="1.77734375" style="17" customWidth="1"/>
    <col min="13578" max="13578" width="2.88671875" style="17" customWidth="1"/>
    <col min="13579" max="13579" width="2" style="17" customWidth="1"/>
    <col min="13580" max="13581" width="8.77734375" style="17" customWidth="1"/>
    <col min="13582" max="13582" width="10.77734375" style="17" customWidth="1"/>
    <col min="13583" max="13584" width="7.77734375" style="17" customWidth="1"/>
    <col min="13585" max="13585" width="8.109375" style="17" customWidth="1"/>
    <col min="13586" max="13586" width="6.88671875" style="17" customWidth="1"/>
    <col min="13587" max="13587" width="14.77734375" style="17" customWidth="1"/>
    <col min="13588" max="13589" width="6.88671875" style="17" customWidth="1"/>
    <col min="13590" max="13590" width="7.44140625" style="17" customWidth="1"/>
    <col min="13591" max="13591" width="6.88671875" style="17" customWidth="1"/>
    <col min="13592" max="13592" width="3" style="17" customWidth="1"/>
    <col min="13593" max="13593" width="14.77734375" style="17" customWidth="1"/>
    <col min="13594" max="13594" width="15.77734375" style="17" customWidth="1"/>
    <col min="13595" max="13595" width="15.44140625" style="17" bestFit="1" customWidth="1"/>
    <col min="13596" max="13596" width="17.5546875" style="17" bestFit="1" customWidth="1"/>
    <col min="13597" max="13597" width="12.21875" style="17" bestFit="1" customWidth="1"/>
    <col min="13598" max="13598" width="9" style="17" bestFit="1" customWidth="1"/>
    <col min="13599" max="13599" width="8.88671875" style="17"/>
    <col min="13600" max="13600" width="9.44140625" style="17" bestFit="1" customWidth="1"/>
    <col min="13601" max="13824" width="8.88671875" style="17"/>
    <col min="13825" max="13828" width="6.77734375" style="17" customWidth="1"/>
    <col min="13829" max="13829" width="16" style="17" customWidth="1"/>
    <col min="13830" max="13832" width="13.77734375" style="17" customWidth="1"/>
    <col min="13833" max="13833" width="1.77734375" style="17" customWidth="1"/>
    <col min="13834" max="13834" width="2.88671875" style="17" customWidth="1"/>
    <col min="13835" max="13835" width="2" style="17" customWidth="1"/>
    <col min="13836" max="13837" width="8.77734375" style="17" customWidth="1"/>
    <col min="13838" max="13838" width="10.77734375" style="17" customWidth="1"/>
    <col min="13839" max="13840" width="7.77734375" style="17" customWidth="1"/>
    <col min="13841" max="13841" width="8.109375" style="17" customWidth="1"/>
    <col min="13842" max="13842" width="6.88671875" style="17" customWidth="1"/>
    <col min="13843" max="13843" width="14.77734375" style="17" customWidth="1"/>
    <col min="13844" max="13845" width="6.88671875" style="17" customWidth="1"/>
    <col min="13846" max="13846" width="7.44140625" style="17" customWidth="1"/>
    <col min="13847" max="13847" width="6.88671875" style="17" customWidth="1"/>
    <col min="13848" max="13848" width="3" style="17" customWidth="1"/>
    <col min="13849" max="13849" width="14.77734375" style="17" customWidth="1"/>
    <col min="13850" max="13850" width="15.77734375" style="17" customWidth="1"/>
    <col min="13851" max="13851" width="15.44140625" style="17" bestFit="1" customWidth="1"/>
    <col min="13852" max="13852" width="17.5546875" style="17" bestFit="1" customWidth="1"/>
    <col min="13853" max="13853" width="12.21875" style="17" bestFit="1" customWidth="1"/>
    <col min="13854" max="13854" width="9" style="17" bestFit="1" customWidth="1"/>
    <col min="13855" max="13855" width="8.88671875" style="17"/>
    <col min="13856" max="13856" width="9.44140625" style="17" bestFit="1" customWidth="1"/>
    <col min="13857" max="14080" width="8.88671875" style="17"/>
    <col min="14081" max="14084" width="6.77734375" style="17" customWidth="1"/>
    <col min="14085" max="14085" width="16" style="17" customWidth="1"/>
    <col min="14086" max="14088" width="13.77734375" style="17" customWidth="1"/>
    <col min="14089" max="14089" width="1.77734375" style="17" customWidth="1"/>
    <col min="14090" max="14090" width="2.88671875" style="17" customWidth="1"/>
    <col min="14091" max="14091" width="2" style="17" customWidth="1"/>
    <col min="14092" max="14093" width="8.77734375" style="17" customWidth="1"/>
    <col min="14094" max="14094" width="10.77734375" style="17" customWidth="1"/>
    <col min="14095" max="14096" width="7.77734375" style="17" customWidth="1"/>
    <col min="14097" max="14097" width="8.109375" style="17" customWidth="1"/>
    <col min="14098" max="14098" width="6.88671875" style="17" customWidth="1"/>
    <col min="14099" max="14099" width="14.77734375" style="17" customWidth="1"/>
    <col min="14100" max="14101" width="6.88671875" style="17" customWidth="1"/>
    <col min="14102" max="14102" width="7.44140625" style="17" customWidth="1"/>
    <col min="14103" max="14103" width="6.88671875" style="17" customWidth="1"/>
    <col min="14104" max="14104" width="3" style="17" customWidth="1"/>
    <col min="14105" max="14105" width="14.77734375" style="17" customWidth="1"/>
    <col min="14106" max="14106" width="15.77734375" style="17" customWidth="1"/>
    <col min="14107" max="14107" width="15.44140625" style="17" bestFit="1" customWidth="1"/>
    <col min="14108" max="14108" width="17.5546875" style="17" bestFit="1" customWidth="1"/>
    <col min="14109" max="14109" width="12.21875" style="17" bestFit="1" customWidth="1"/>
    <col min="14110" max="14110" width="9" style="17" bestFit="1" customWidth="1"/>
    <col min="14111" max="14111" width="8.88671875" style="17"/>
    <col min="14112" max="14112" width="9.44140625" style="17" bestFit="1" customWidth="1"/>
    <col min="14113" max="14336" width="8.88671875" style="17"/>
    <col min="14337" max="14340" width="6.77734375" style="17" customWidth="1"/>
    <col min="14341" max="14341" width="16" style="17" customWidth="1"/>
    <col min="14342" max="14344" width="13.77734375" style="17" customWidth="1"/>
    <col min="14345" max="14345" width="1.77734375" style="17" customWidth="1"/>
    <col min="14346" max="14346" width="2.88671875" style="17" customWidth="1"/>
    <col min="14347" max="14347" width="2" style="17" customWidth="1"/>
    <col min="14348" max="14349" width="8.77734375" style="17" customWidth="1"/>
    <col min="14350" max="14350" width="10.77734375" style="17" customWidth="1"/>
    <col min="14351" max="14352" width="7.77734375" style="17" customWidth="1"/>
    <col min="14353" max="14353" width="8.109375" style="17" customWidth="1"/>
    <col min="14354" max="14354" width="6.88671875" style="17" customWidth="1"/>
    <col min="14355" max="14355" width="14.77734375" style="17" customWidth="1"/>
    <col min="14356" max="14357" width="6.88671875" style="17" customWidth="1"/>
    <col min="14358" max="14358" width="7.44140625" style="17" customWidth="1"/>
    <col min="14359" max="14359" width="6.88671875" style="17" customWidth="1"/>
    <col min="14360" max="14360" width="3" style="17" customWidth="1"/>
    <col min="14361" max="14361" width="14.77734375" style="17" customWidth="1"/>
    <col min="14362" max="14362" width="15.77734375" style="17" customWidth="1"/>
    <col min="14363" max="14363" width="15.44140625" style="17" bestFit="1" customWidth="1"/>
    <col min="14364" max="14364" width="17.5546875" style="17" bestFit="1" customWidth="1"/>
    <col min="14365" max="14365" width="12.21875" style="17" bestFit="1" customWidth="1"/>
    <col min="14366" max="14366" width="9" style="17" bestFit="1" customWidth="1"/>
    <col min="14367" max="14367" width="8.88671875" style="17"/>
    <col min="14368" max="14368" width="9.44140625" style="17" bestFit="1" customWidth="1"/>
    <col min="14369" max="14592" width="8.88671875" style="17"/>
    <col min="14593" max="14596" width="6.77734375" style="17" customWidth="1"/>
    <col min="14597" max="14597" width="16" style="17" customWidth="1"/>
    <col min="14598" max="14600" width="13.77734375" style="17" customWidth="1"/>
    <col min="14601" max="14601" width="1.77734375" style="17" customWidth="1"/>
    <col min="14602" max="14602" width="2.88671875" style="17" customWidth="1"/>
    <col min="14603" max="14603" width="2" style="17" customWidth="1"/>
    <col min="14604" max="14605" width="8.77734375" style="17" customWidth="1"/>
    <col min="14606" max="14606" width="10.77734375" style="17" customWidth="1"/>
    <col min="14607" max="14608" width="7.77734375" style="17" customWidth="1"/>
    <col min="14609" max="14609" width="8.109375" style="17" customWidth="1"/>
    <col min="14610" max="14610" width="6.88671875" style="17" customWidth="1"/>
    <col min="14611" max="14611" width="14.77734375" style="17" customWidth="1"/>
    <col min="14612" max="14613" width="6.88671875" style="17" customWidth="1"/>
    <col min="14614" max="14614" width="7.44140625" style="17" customWidth="1"/>
    <col min="14615" max="14615" width="6.88671875" style="17" customWidth="1"/>
    <col min="14616" max="14616" width="3" style="17" customWidth="1"/>
    <col min="14617" max="14617" width="14.77734375" style="17" customWidth="1"/>
    <col min="14618" max="14618" width="15.77734375" style="17" customWidth="1"/>
    <col min="14619" max="14619" width="15.44140625" style="17" bestFit="1" customWidth="1"/>
    <col min="14620" max="14620" width="17.5546875" style="17" bestFit="1" customWidth="1"/>
    <col min="14621" max="14621" width="12.21875" style="17" bestFit="1" customWidth="1"/>
    <col min="14622" max="14622" width="9" style="17" bestFit="1" customWidth="1"/>
    <col min="14623" max="14623" width="8.88671875" style="17"/>
    <col min="14624" max="14624" width="9.44140625" style="17" bestFit="1" customWidth="1"/>
    <col min="14625" max="14848" width="8.88671875" style="17"/>
    <col min="14849" max="14852" width="6.77734375" style="17" customWidth="1"/>
    <col min="14853" max="14853" width="16" style="17" customWidth="1"/>
    <col min="14854" max="14856" width="13.77734375" style="17" customWidth="1"/>
    <col min="14857" max="14857" width="1.77734375" style="17" customWidth="1"/>
    <col min="14858" max="14858" width="2.88671875" style="17" customWidth="1"/>
    <col min="14859" max="14859" width="2" style="17" customWidth="1"/>
    <col min="14860" max="14861" width="8.77734375" style="17" customWidth="1"/>
    <col min="14862" max="14862" width="10.77734375" style="17" customWidth="1"/>
    <col min="14863" max="14864" width="7.77734375" style="17" customWidth="1"/>
    <col min="14865" max="14865" width="8.109375" style="17" customWidth="1"/>
    <col min="14866" max="14866" width="6.88671875" style="17" customWidth="1"/>
    <col min="14867" max="14867" width="14.77734375" style="17" customWidth="1"/>
    <col min="14868" max="14869" width="6.88671875" style="17" customWidth="1"/>
    <col min="14870" max="14870" width="7.44140625" style="17" customWidth="1"/>
    <col min="14871" max="14871" width="6.88671875" style="17" customWidth="1"/>
    <col min="14872" max="14872" width="3" style="17" customWidth="1"/>
    <col min="14873" max="14873" width="14.77734375" style="17" customWidth="1"/>
    <col min="14874" max="14874" width="15.77734375" style="17" customWidth="1"/>
    <col min="14875" max="14875" width="15.44140625" style="17" bestFit="1" customWidth="1"/>
    <col min="14876" max="14876" width="17.5546875" style="17" bestFit="1" customWidth="1"/>
    <col min="14877" max="14877" width="12.21875" style="17" bestFit="1" customWidth="1"/>
    <col min="14878" max="14878" width="9" style="17" bestFit="1" customWidth="1"/>
    <col min="14879" max="14879" width="8.88671875" style="17"/>
    <col min="14880" max="14880" width="9.44140625" style="17" bestFit="1" customWidth="1"/>
    <col min="14881" max="15104" width="8.88671875" style="17"/>
    <col min="15105" max="15108" width="6.77734375" style="17" customWidth="1"/>
    <col min="15109" max="15109" width="16" style="17" customWidth="1"/>
    <col min="15110" max="15112" width="13.77734375" style="17" customWidth="1"/>
    <col min="15113" max="15113" width="1.77734375" style="17" customWidth="1"/>
    <col min="15114" max="15114" width="2.88671875" style="17" customWidth="1"/>
    <col min="15115" max="15115" width="2" style="17" customWidth="1"/>
    <col min="15116" max="15117" width="8.77734375" style="17" customWidth="1"/>
    <col min="15118" max="15118" width="10.77734375" style="17" customWidth="1"/>
    <col min="15119" max="15120" width="7.77734375" style="17" customWidth="1"/>
    <col min="15121" max="15121" width="8.109375" style="17" customWidth="1"/>
    <col min="15122" max="15122" width="6.88671875" style="17" customWidth="1"/>
    <col min="15123" max="15123" width="14.77734375" style="17" customWidth="1"/>
    <col min="15124" max="15125" width="6.88671875" style="17" customWidth="1"/>
    <col min="15126" max="15126" width="7.44140625" style="17" customWidth="1"/>
    <col min="15127" max="15127" width="6.88671875" style="17" customWidth="1"/>
    <col min="15128" max="15128" width="3" style="17" customWidth="1"/>
    <col min="15129" max="15129" width="14.77734375" style="17" customWidth="1"/>
    <col min="15130" max="15130" width="15.77734375" style="17" customWidth="1"/>
    <col min="15131" max="15131" width="15.44140625" style="17" bestFit="1" customWidth="1"/>
    <col min="15132" max="15132" width="17.5546875" style="17" bestFit="1" customWidth="1"/>
    <col min="15133" max="15133" width="12.21875" style="17" bestFit="1" customWidth="1"/>
    <col min="15134" max="15134" width="9" style="17" bestFit="1" customWidth="1"/>
    <col min="15135" max="15135" width="8.88671875" style="17"/>
    <col min="15136" max="15136" width="9.44140625" style="17" bestFit="1" customWidth="1"/>
    <col min="15137" max="15360" width="8.88671875" style="17"/>
    <col min="15361" max="15364" width="6.77734375" style="17" customWidth="1"/>
    <col min="15365" max="15365" width="16" style="17" customWidth="1"/>
    <col min="15366" max="15368" width="13.77734375" style="17" customWidth="1"/>
    <col min="15369" max="15369" width="1.77734375" style="17" customWidth="1"/>
    <col min="15370" max="15370" width="2.88671875" style="17" customWidth="1"/>
    <col min="15371" max="15371" width="2" style="17" customWidth="1"/>
    <col min="15372" max="15373" width="8.77734375" style="17" customWidth="1"/>
    <col min="15374" max="15374" width="10.77734375" style="17" customWidth="1"/>
    <col min="15375" max="15376" width="7.77734375" style="17" customWidth="1"/>
    <col min="15377" max="15377" width="8.109375" style="17" customWidth="1"/>
    <col min="15378" max="15378" width="6.88671875" style="17" customWidth="1"/>
    <col min="15379" max="15379" width="14.77734375" style="17" customWidth="1"/>
    <col min="15380" max="15381" width="6.88671875" style="17" customWidth="1"/>
    <col min="15382" max="15382" width="7.44140625" style="17" customWidth="1"/>
    <col min="15383" max="15383" width="6.88671875" style="17" customWidth="1"/>
    <col min="15384" max="15384" width="3" style="17" customWidth="1"/>
    <col min="15385" max="15385" width="14.77734375" style="17" customWidth="1"/>
    <col min="15386" max="15386" width="15.77734375" style="17" customWidth="1"/>
    <col min="15387" max="15387" width="15.44140625" style="17" bestFit="1" customWidth="1"/>
    <col min="15388" max="15388" width="17.5546875" style="17" bestFit="1" customWidth="1"/>
    <col min="15389" max="15389" width="12.21875" style="17" bestFit="1" customWidth="1"/>
    <col min="15390" max="15390" width="9" style="17" bestFit="1" customWidth="1"/>
    <col min="15391" max="15391" width="8.88671875" style="17"/>
    <col min="15392" max="15392" width="9.44140625" style="17" bestFit="1" customWidth="1"/>
    <col min="15393" max="15616" width="8.88671875" style="17"/>
    <col min="15617" max="15620" width="6.77734375" style="17" customWidth="1"/>
    <col min="15621" max="15621" width="16" style="17" customWidth="1"/>
    <col min="15622" max="15624" width="13.77734375" style="17" customWidth="1"/>
    <col min="15625" max="15625" width="1.77734375" style="17" customWidth="1"/>
    <col min="15626" max="15626" width="2.88671875" style="17" customWidth="1"/>
    <col min="15627" max="15627" width="2" style="17" customWidth="1"/>
    <col min="15628" max="15629" width="8.77734375" style="17" customWidth="1"/>
    <col min="15630" max="15630" width="10.77734375" style="17" customWidth="1"/>
    <col min="15631" max="15632" width="7.77734375" style="17" customWidth="1"/>
    <col min="15633" max="15633" width="8.109375" style="17" customWidth="1"/>
    <col min="15634" max="15634" width="6.88671875" style="17" customWidth="1"/>
    <col min="15635" max="15635" width="14.77734375" style="17" customWidth="1"/>
    <col min="15636" max="15637" width="6.88671875" style="17" customWidth="1"/>
    <col min="15638" max="15638" width="7.44140625" style="17" customWidth="1"/>
    <col min="15639" max="15639" width="6.88671875" style="17" customWidth="1"/>
    <col min="15640" max="15640" width="3" style="17" customWidth="1"/>
    <col min="15641" max="15641" width="14.77734375" style="17" customWidth="1"/>
    <col min="15642" max="15642" width="15.77734375" style="17" customWidth="1"/>
    <col min="15643" max="15643" width="15.44140625" style="17" bestFit="1" customWidth="1"/>
    <col min="15644" max="15644" width="17.5546875" style="17" bestFit="1" customWidth="1"/>
    <col min="15645" max="15645" width="12.21875" style="17" bestFit="1" customWidth="1"/>
    <col min="15646" max="15646" width="9" style="17" bestFit="1" customWidth="1"/>
    <col min="15647" max="15647" width="8.88671875" style="17"/>
    <col min="15648" max="15648" width="9.44140625" style="17" bestFit="1" customWidth="1"/>
    <col min="15649" max="15872" width="8.88671875" style="17"/>
    <col min="15873" max="15876" width="6.77734375" style="17" customWidth="1"/>
    <col min="15877" max="15877" width="16" style="17" customWidth="1"/>
    <col min="15878" max="15880" width="13.77734375" style="17" customWidth="1"/>
    <col min="15881" max="15881" width="1.77734375" style="17" customWidth="1"/>
    <col min="15882" max="15882" width="2.88671875" style="17" customWidth="1"/>
    <col min="15883" max="15883" width="2" style="17" customWidth="1"/>
    <col min="15884" max="15885" width="8.77734375" style="17" customWidth="1"/>
    <col min="15886" max="15886" width="10.77734375" style="17" customWidth="1"/>
    <col min="15887" max="15888" width="7.77734375" style="17" customWidth="1"/>
    <col min="15889" max="15889" width="8.109375" style="17" customWidth="1"/>
    <col min="15890" max="15890" width="6.88671875" style="17" customWidth="1"/>
    <col min="15891" max="15891" width="14.77734375" style="17" customWidth="1"/>
    <col min="15892" max="15893" width="6.88671875" style="17" customWidth="1"/>
    <col min="15894" max="15894" width="7.44140625" style="17" customWidth="1"/>
    <col min="15895" max="15895" width="6.88671875" style="17" customWidth="1"/>
    <col min="15896" max="15896" width="3" style="17" customWidth="1"/>
    <col min="15897" max="15897" width="14.77734375" style="17" customWidth="1"/>
    <col min="15898" max="15898" width="15.77734375" style="17" customWidth="1"/>
    <col min="15899" max="15899" width="15.44140625" style="17" bestFit="1" customWidth="1"/>
    <col min="15900" max="15900" width="17.5546875" style="17" bestFit="1" customWidth="1"/>
    <col min="15901" max="15901" width="12.21875" style="17" bestFit="1" customWidth="1"/>
    <col min="15902" max="15902" width="9" style="17" bestFit="1" customWidth="1"/>
    <col min="15903" max="15903" width="8.88671875" style="17"/>
    <col min="15904" max="15904" width="9.44140625" style="17" bestFit="1" customWidth="1"/>
    <col min="15905" max="16128" width="8.88671875" style="17"/>
    <col min="16129" max="16132" width="6.77734375" style="17" customWidth="1"/>
    <col min="16133" max="16133" width="16" style="17" customWidth="1"/>
    <col min="16134" max="16136" width="13.77734375" style="17" customWidth="1"/>
    <col min="16137" max="16137" width="1.77734375" style="17" customWidth="1"/>
    <col min="16138" max="16138" width="2.88671875" style="17" customWidth="1"/>
    <col min="16139" max="16139" width="2" style="17" customWidth="1"/>
    <col min="16140" max="16141" width="8.77734375" style="17" customWidth="1"/>
    <col min="16142" max="16142" width="10.77734375" style="17" customWidth="1"/>
    <col min="16143" max="16144" width="7.77734375" style="17" customWidth="1"/>
    <col min="16145" max="16145" width="8.109375" style="17" customWidth="1"/>
    <col min="16146" max="16146" width="6.88671875" style="17" customWidth="1"/>
    <col min="16147" max="16147" width="14.77734375" style="17" customWidth="1"/>
    <col min="16148" max="16149" width="6.88671875" style="17" customWidth="1"/>
    <col min="16150" max="16150" width="7.44140625" style="17" customWidth="1"/>
    <col min="16151" max="16151" width="6.88671875" style="17" customWidth="1"/>
    <col min="16152" max="16152" width="3" style="17" customWidth="1"/>
    <col min="16153" max="16153" width="14.77734375" style="17" customWidth="1"/>
    <col min="16154" max="16154" width="15.77734375" style="17" customWidth="1"/>
    <col min="16155" max="16155" width="15.44140625" style="17" bestFit="1" customWidth="1"/>
    <col min="16156" max="16156" width="17.5546875" style="17" bestFit="1" customWidth="1"/>
    <col min="16157" max="16157" width="12.21875" style="17" bestFit="1" customWidth="1"/>
    <col min="16158" max="16158" width="9" style="17" bestFit="1" customWidth="1"/>
    <col min="16159" max="16159" width="8.88671875" style="17"/>
    <col min="16160" max="16160" width="9.44140625" style="17" bestFit="1" customWidth="1"/>
    <col min="16161" max="16384" width="8.88671875" style="17"/>
  </cols>
  <sheetData>
    <row r="1" spans="1:29" ht="27" customHeight="1">
      <c r="A1" s="3250" t="s">
        <v>5813</v>
      </c>
      <c r="B1" s="3250"/>
      <c r="C1" s="3250"/>
      <c r="D1" s="3250"/>
      <c r="E1" s="3250"/>
      <c r="F1" s="3250"/>
      <c r="G1" s="3250"/>
      <c r="H1" s="3250"/>
      <c r="I1" s="3250"/>
      <c r="J1" s="3250"/>
      <c r="K1" s="3250"/>
      <c r="L1" s="3250"/>
      <c r="M1" s="3250"/>
      <c r="N1" s="3250"/>
      <c r="O1" s="3250"/>
      <c r="P1" s="3250"/>
      <c r="Q1" s="3250"/>
      <c r="R1" s="3250"/>
      <c r="S1" s="3250"/>
      <c r="T1" s="3250"/>
      <c r="U1" s="3250"/>
      <c r="V1" s="3250"/>
      <c r="W1" s="3250"/>
      <c r="X1" s="3250"/>
      <c r="Y1" s="3250"/>
      <c r="Z1" s="645"/>
      <c r="AA1" s="78"/>
    </row>
    <row r="2" spans="1:29" s="78" customFormat="1" ht="22.5" customHeight="1" thickBot="1">
      <c r="A2" s="646"/>
      <c r="B2" s="646"/>
      <c r="C2" s="646"/>
      <c r="D2" s="646" t="s">
        <v>44</v>
      </c>
      <c r="E2" s="646"/>
      <c r="F2" s="275"/>
      <c r="G2" s="267"/>
      <c r="H2" s="647" t="s">
        <v>171</v>
      </c>
      <c r="I2" s="1169"/>
      <c r="J2" s="646" t="s">
        <v>44</v>
      </c>
      <c r="K2" s="646"/>
      <c r="L2" s="648" t="s">
        <v>44</v>
      </c>
      <c r="M2" s="646"/>
      <c r="N2" s="646"/>
      <c r="O2" s="646"/>
      <c r="P2" s="649"/>
      <c r="Q2" s="650"/>
      <c r="R2" s="1169"/>
      <c r="S2" s="1169"/>
      <c r="T2" s="1169"/>
      <c r="U2" s="1169"/>
      <c r="V2" s="1169"/>
      <c r="W2" s="1169"/>
      <c r="X2" s="1169"/>
      <c r="Y2" s="354" t="s">
        <v>171</v>
      </c>
      <c r="Z2" s="354"/>
      <c r="AB2" s="6"/>
    </row>
    <row r="3" spans="1:29" ht="22.5" customHeight="1">
      <c r="A3" s="3251" t="s">
        <v>188</v>
      </c>
      <c r="B3" s="3252"/>
      <c r="C3" s="3252"/>
      <c r="D3" s="3252"/>
      <c r="E3" s="3435"/>
      <c r="F3" s="3254" t="s">
        <v>151</v>
      </c>
      <c r="G3" s="3256" t="s">
        <v>423</v>
      </c>
      <c r="H3" s="3258" t="s">
        <v>11</v>
      </c>
      <c r="I3" s="473"/>
      <c r="J3" s="3445" t="s">
        <v>190</v>
      </c>
      <c r="K3" s="3449"/>
      <c r="L3" s="3449"/>
      <c r="M3" s="3449"/>
      <c r="N3" s="3449"/>
      <c r="O3" s="3449"/>
      <c r="P3" s="3449"/>
      <c r="Q3" s="3449"/>
      <c r="R3" s="3449"/>
      <c r="S3" s="3449"/>
      <c r="T3" s="3449"/>
      <c r="U3" s="3449"/>
      <c r="V3" s="3449"/>
      <c r="W3" s="3449"/>
      <c r="X3" s="3449"/>
      <c r="Y3" s="3450"/>
      <c r="Z3" s="651"/>
      <c r="AA3" s="78"/>
    </row>
    <row r="4" spans="1:29" s="83" customFormat="1" ht="22.5" customHeight="1" thickBot="1">
      <c r="A4" s="652" t="s">
        <v>12</v>
      </c>
      <c r="B4" s="653" t="s">
        <v>448</v>
      </c>
      <c r="C4" s="654" t="s">
        <v>449</v>
      </c>
      <c r="D4" s="654" t="s">
        <v>450</v>
      </c>
      <c r="E4" s="654" t="s">
        <v>45</v>
      </c>
      <c r="F4" s="3255"/>
      <c r="G4" s="3257"/>
      <c r="H4" s="3259"/>
      <c r="I4" s="655"/>
      <c r="J4" s="3451"/>
      <c r="K4" s="3452"/>
      <c r="L4" s="3452"/>
      <c r="M4" s="3452"/>
      <c r="N4" s="3452"/>
      <c r="O4" s="3452"/>
      <c r="P4" s="3452"/>
      <c r="Q4" s="3452"/>
      <c r="R4" s="3452"/>
      <c r="S4" s="3452"/>
      <c r="T4" s="3452"/>
      <c r="U4" s="3452"/>
      <c r="V4" s="3452"/>
      <c r="W4" s="3452"/>
      <c r="X4" s="3452"/>
      <c r="Y4" s="3453"/>
      <c r="Z4" s="656"/>
      <c r="AA4" s="282"/>
      <c r="AB4" s="13"/>
    </row>
    <row r="5" spans="1:29" s="83" customFormat="1" ht="21.75" customHeight="1" thickBot="1">
      <c r="A5" s="3268" t="s">
        <v>178</v>
      </c>
      <c r="B5" s="3269"/>
      <c r="C5" s="3269"/>
      <c r="D5" s="3269"/>
      <c r="E5" s="3270"/>
      <c r="F5" s="658"/>
      <c r="G5" s="1172"/>
      <c r="H5" s="1173"/>
      <c r="I5" s="655"/>
      <c r="J5" s="1175"/>
      <c r="K5" s="1176"/>
      <c r="L5" s="1176"/>
      <c r="M5" s="1176"/>
      <c r="N5" s="1176"/>
      <c r="O5" s="1176"/>
      <c r="P5" s="1176"/>
      <c r="Q5" s="1176"/>
      <c r="R5" s="1176"/>
      <c r="S5" s="1176"/>
      <c r="T5" s="1176"/>
      <c r="U5" s="1176"/>
      <c r="V5" s="1176"/>
      <c r="W5" s="1176"/>
      <c r="X5" s="1176"/>
      <c r="Y5" s="1177"/>
      <c r="Z5" s="656"/>
      <c r="AA5" s="282"/>
      <c r="AB5" s="13"/>
    </row>
    <row r="6" spans="1:29" s="182" customFormat="1" ht="21.75" customHeight="1" thickBot="1">
      <c r="A6" s="659"/>
      <c r="B6" s="660" t="s">
        <v>178</v>
      </c>
      <c r="C6" s="661"/>
      <c r="D6" s="661"/>
      <c r="E6" s="662"/>
      <c r="F6" s="663">
        <f>+F7</f>
        <v>40075.368999999999</v>
      </c>
      <c r="G6" s="663">
        <f>+G7</f>
        <v>40075</v>
      </c>
      <c r="H6" s="664">
        <f>+H7</f>
        <v>0.36899999999877764</v>
      </c>
      <c r="I6" s="665"/>
      <c r="J6" s="666"/>
      <c r="K6" s="667"/>
      <c r="L6" s="667"/>
      <c r="M6" s="667"/>
      <c r="N6" s="667"/>
      <c r="O6" s="667"/>
      <c r="P6" s="668"/>
      <c r="Q6" s="669"/>
      <c r="R6" s="670"/>
      <c r="S6" s="671"/>
      <c r="T6" s="672"/>
      <c r="U6" s="671"/>
      <c r="V6" s="672"/>
      <c r="W6" s="672"/>
      <c r="X6" s="671"/>
      <c r="Y6" s="673"/>
      <c r="Z6" s="674"/>
      <c r="AB6" s="205"/>
    </row>
    <row r="7" spans="1:29" s="195" customFormat="1" ht="21.75" customHeight="1">
      <c r="A7" s="676"/>
      <c r="B7" s="677"/>
      <c r="C7" s="3498" t="s">
        <v>178</v>
      </c>
      <c r="D7" s="3499"/>
      <c r="E7" s="3500"/>
      <c r="F7" s="678">
        <f>+F8</f>
        <v>40075.368999999999</v>
      </c>
      <c r="G7" s="678">
        <f>+G8</f>
        <v>40075</v>
      </c>
      <c r="H7" s="679">
        <f>F7-G7</f>
        <v>0.36899999999877764</v>
      </c>
      <c r="I7" s="1164"/>
      <c r="J7" s="680"/>
      <c r="K7" s="681"/>
      <c r="L7" s="681"/>
      <c r="M7" s="681"/>
      <c r="N7" s="681"/>
      <c r="O7" s="681"/>
      <c r="P7" s="682"/>
      <c r="Q7" s="683"/>
      <c r="R7" s="684"/>
      <c r="S7" s="685"/>
      <c r="T7" s="686"/>
      <c r="U7" s="685"/>
      <c r="V7" s="686"/>
      <c r="W7" s="686"/>
      <c r="X7" s="685"/>
      <c r="Y7" s="687"/>
      <c r="Z7" s="688"/>
      <c r="AA7" s="182"/>
      <c r="AB7" s="196"/>
    </row>
    <row r="8" spans="1:29" s="195" customFormat="1" ht="21.75" customHeight="1">
      <c r="A8" s="676"/>
      <c r="B8" s="1179"/>
      <c r="C8" s="508"/>
      <c r="D8" s="3462" t="s">
        <v>178</v>
      </c>
      <c r="E8" s="3463"/>
      <c r="F8" s="1165">
        <f>+F9</f>
        <v>40075.368999999999</v>
      </c>
      <c r="G8" s="1165">
        <f>+G9</f>
        <v>40075</v>
      </c>
      <c r="H8" s="689">
        <f>+H9</f>
        <v>0.36899999999877764</v>
      </c>
      <c r="I8" s="533"/>
      <c r="J8" s="690"/>
      <c r="K8" s="691"/>
      <c r="L8" s="691"/>
      <c r="M8" s="691"/>
      <c r="N8" s="691"/>
      <c r="O8" s="691"/>
      <c r="P8" s="692"/>
      <c r="Q8" s="693"/>
      <c r="R8" s="1178"/>
      <c r="S8" s="694"/>
      <c r="T8" s="1174"/>
      <c r="U8" s="694"/>
      <c r="V8" s="1174"/>
      <c r="W8" s="1174"/>
      <c r="X8" s="694"/>
      <c r="Y8" s="695"/>
      <c r="Z8" s="696"/>
      <c r="AA8" s="200"/>
      <c r="AB8" s="260"/>
      <c r="AC8" s="261"/>
    </row>
    <row r="9" spans="1:29" s="195" customFormat="1" ht="21.75" customHeight="1" thickBot="1">
      <c r="A9" s="768"/>
      <c r="B9" s="1399"/>
      <c r="C9" s="728"/>
      <c r="D9" s="728"/>
      <c r="E9" s="870" t="s">
        <v>178</v>
      </c>
      <c r="F9" s="871">
        <f>+Y9</f>
        <v>40075.368999999999</v>
      </c>
      <c r="G9" s="871">
        <v>40075</v>
      </c>
      <c r="H9" s="1400">
        <f>F9-G9</f>
        <v>0.36899999999877764</v>
      </c>
      <c r="I9" s="533"/>
      <c r="J9" s="1401" t="s">
        <v>393</v>
      </c>
      <c r="K9" s="1402"/>
      <c r="L9" s="1402"/>
      <c r="M9" s="1402"/>
      <c r="N9" s="1403"/>
      <c r="O9" s="1403"/>
      <c r="P9" s="1402"/>
      <c r="Q9" s="1404"/>
      <c r="R9" s="730"/>
      <c r="S9" s="730"/>
      <c r="T9" s="730"/>
      <c r="U9" s="730"/>
      <c r="V9" s="730"/>
      <c r="W9" s="730"/>
      <c r="X9" s="1247" t="s">
        <v>5</v>
      </c>
      <c r="Y9" s="1122">
        <f>Z9/1000</f>
        <v>40075.368999999999</v>
      </c>
      <c r="Z9" s="637">
        <f>30000000+10075369</f>
        <v>40075369</v>
      </c>
      <c r="AA9" s="262"/>
      <c r="AB9" s="260"/>
      <c r="AC9" s="261"/>
    </row>
    <row r="101" ht="21.75" hidden="1" customHeight="1"/>
    <row r="102" ht="21.75" hidden="1" customHeight="1"/>
    <row r="103" ht="21.75" hidden="1" customHeight="1"/>
    <row r="104" ht="21.75" hidden="1" customHeight="1"/>
    <row r="105" ht="21.75" hidden="1" customHeight="1"/>
    <row r="106" ht="21.75" hidden="1" customHeight="1"/>
    <row r="107" ht="21.75" hidden="1" customHeight="1"/>
    <row r="108" ht="21.75" hidden="1" customHeight="1"/>
  </sheetData>
  <autoFilter ref="A4:AJ9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9">
    <mergeCell ref="A5:E5"/>
    <mergeCell ref="C7:E7"/>
    <mergeCell ref="D8:E8"/>
    <mergeCell ref="A1:Y1"/>
    <mergeCell ref="A3:E3"/>
    <mergeCell ref="F3:F4"/>
    <mergeCell ref="G3:G4"/>
    <mergeCell ref="H3:H4"/>
    <mergeCell ref="J3:Y4"/>
  </mergeCells>
  <phoneticPr fontId="19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5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652"/>
  <sheetViews>
    <sheetView view="pageBreakPreview" topLeftCell="A13" zoomScale="60" zoomScaleNormal="70" workbookViewId="0">
      <selection activeCell="J39" sqref="J39"/>
    </sheetView>
  </sheetViews>
  <sheetFormatPr defaultRowHeight="18.75"/>
  <cols>
    <col min="1" max="2" width="8.33203125" style="14" customWidth="1"/>
    <col min="3" max="3" width="7" style="14" customWidth="1"/>
    <col min="4" max="4" width="42.109375" style="14" bestFit="1" customWidth="1"/>
    <col min="5" max="6" width="16" style="141" customWidth="1"/>
    <col min="7" max="7" width="16" style="152" customWidth="1"/>
    <col min="8" max="8" width="1.5546875" style="14" customWidth="1"/>
    <col min="9" max="9" width="19.6640625" style="14" customWidth="1"/>
    <col min="10" max="10" width="24.109375" style="14" customWidth="1"/>
    <col min="11" max="11" width="5.5546875" style="14" customWidth="1"/>
    <col min="12" max="12" width="18" style="14" customWidth="1"/>
    <col min="13" max="13" width="7.21875" style="14" customWidth="1"/>
    <col min="14" max="14" width="8.6640625" style="14" customWidth="1"/>
    <col min="15" max="15" width="7.44140625" style="14" customWidth="1"/>
    <col min="16" max="16" width="9.109375" style="14" hidden="1" customWidth="1"/>
    <col min="17" max="17" width="9.6640625" style="14" hidden="1" customWidth="1"/>
    <col min="18" max="18" width="19.33203125" style="14" customWidth="1"/>
    <col min="19" max="19" width="3.5546875" style="14" customWidth="1"/>
    <col min="20" max="21" width="18.5546875" style="14" customWidth="1"/>
    <col min="22" max="22" width="18.5546875" style="153" customWidth="1"/>
    <col min="23" max="23" width="18.5546875" style="276" customWidth="1"/>
    <col min="24" max="24" width="17.5546875" style="276" customWidth="1"/>
    <col min="25" max="25" width="17.44140625" style="276" customWidth="1"/>
    <col min="26" max="26" width="22.21875" style="276" customWidth="1"/>
    <col min="27" max="27" width="16.21875" style="572" customWidth="1"/>
    <col min="28" max="28" width="21.21875" style="303" customWidth="1"/>
    <col min="29" max="29" width="16.77734375" style="303" bestFit="1" customWidth="1"/>
    <col min="30" max="16384" width="8.88671875" style="303"/>
  </cols>
  <sheetData>
    <row r="1" spans="1:29" ht="23.1" customHeight="1">
      <c r="A1" s="3501" t="s">
        <v>674</v>
      </c>
      <c r="B1" s="3501"/>
      <c r="C1" s="3502"/>
      <c r="D1" s="3502"/>
      <c r="E1" s="3502"/>
      <c r="F1" s="3502"/>
      <c r="G1" s="3502"/>
      <c r="H1" s="3502"/>
      <c r="I1" s="3502"/>
      <c r="J1" s="3502"/>
      <c r="K1" s="3502"/>
      <c r="L1" s="3502"/>
      <c r="M1" s="3502"/>
      <c r="N1" s="3502"/>
      <c r="O1" s="3502"/>
      <c r="P1" s="3502"/>
      <c r="Q1" s="3502"/>
      <c r="R1" s="3502"/>
      <c r="S1" s="3502"/>
      <c r="T1" s="3502"/>
      <c r="U1" s="2648"/>
      <c r="V1" s="2694"/>
      <c r="W1" s="566"/>
      <c r="X1" s="566"/>
      <c r="Y1" s="566"/>
      <c r="Z1" s="566"/>
      <c r="AA1" s="566"/>
      <c r="AB1" s="572"/>
    </row>
    <row r="2" spans="1:29" ht="23.1" customHeight="1">
      <c r="A2" s="3502"/>
      <c r="B2" s="3502"/>
      <c r="C2" s="3502"/>
      <c r="D2" s="3502"/>
      <c r="E2" s="3502"/>
      <c r="F2" s="3502"/>
      <c r="G2" s="3502"/>
      <c r="H2" s="3502"/>
      <c r="I2" s="3502"/>
      <c r="J2" s="3502"/>
      <c r="K2" s="3502"/>
      <c r="L2" s="3502"/>
      <c r="M2" s="3502"/>
      <c r="N2" s="3502"/>
      <c r="O2" s="3502"/>
      <c r="P2" s="3502"/>
      <c r="Q2" s="3502"/>
      <c r="R2" s="3502"/>
      <c r="S2" s="3502"/>
      <c r="T2" s="3502"/>
      <c r="U2" s="2648"/>
      <c r="V2" s="2694"/>
      <c r="W2" s="3503" t="s">
        <v>437</v>
      </c>
      <c r="X2" s="3503"/>
      <c r="Y2" s="3503"/>
      <c r="Z2" s="573"/>
      <c r="AA2" s="566"/>
      <c r="AB2" s="572"/>
    </row>
    <row r="3" spans="1:29" ht="23.1" customHeight="1" thickBot="1">
      <c r="A3" s="34"/>
      <c r="B3" s="34"/>
      <c r="C3" s="34"/>
      <c r="D3" s="34" t="s">
        <v>431</v>
      </c>
      <c r="F3" s="35"/>
      <c r="G3" s="36" t="s">
        <v>432</v>
      </c>
      <c r="H3" s="34" t="s">
        <v>431</v>
      </c>
      <c r="I3" s="37" t="s">
        <v>431</v>
      </c>
      <c r="J3" s="34"/>
      <c r="K3" s="34"/>
      <c r="L3" s="34"/>
      <c r="M3" s="38"/>
      <c r="N3" s="34"/>
      <c r="O3" s="34"/>
      <c r="P3" s="34"/>
      <c r="Q3" s="34"/>
      <c r="R3" s="34"/>
      <c r="S3" s="34"/>
      <c r="T3" s="35" t="s">
        <v>432</v>
      </c>
      <c r="U3" s="35"/>
      <c r="V3" s="575" t="s">
        <v>3867</v>
      </c>
      <c r="W3" s="574" t="s">
        <v>3868</v>
      </c>
      <c r="X3" s="574" t="s">
        <v>3869</v>
      </c>
      <c r="Y3" s="574" t="s">
        <v>3870</v>
      </c>
      <c r="Z3" s="575" t="s">
        <v>3865</v>
      </c>
      <c r="AA3" s="574" t="s">
        <v>3866</v>
      </c>
      <c r="AB3" s="574"/>
      <c r="AC3" s="576"/>
    </row>
    <row r="4" spans="1:29" ht="23.1" customHeight="1">
      <c r="A4" s="3504" t="s">
        <v>188</v>
      </c>
      <c r="B4" s="3505"/>
      <c r="C4" s="3505"/>
      <c r="D4" s="3506"/>
      <c r="E4" s="3507" t="s">
        <v>151</v>
      </c>
      <c r="F4" s="3509" t="s">
        <v>423</v>
      </c>
      <c r="G4" s="3511" t="s">
        <v>189</v>
      </c>
      <c r="H4" s="142"/>
      <c r="I4" s="3513" t="s">
        <v>190</v>
      </c>
      <c r="J4" s="3514"/>
      <c r="K4" s="3514"/>
      <c r="L4" s="3514"/>
      <c r="M4" s="3514"/>
      <c r="N4" s="3514"/>
      <c r="O4" s="3514"/>
      <c r="P4" s="3514"/>
      <c r="Q4" s="3514"/>
      <c r="R4" s="3514"/>
      <c r="S4" s="3514"/>
      <c r="T4" s="3515"/>
      <c r="U4" s="2649"/>
      <c r="V4" s="2689">
        <f>SUM(W4:Y4)</f>
        <v>0</v>
      </c>
      <c r="W4" s="2689"/>
      <c r="X4" s="2689"/>
      <c r="Y4" s="2689"/>
      <c r="Z4" s="2689">
        <f>SUM(Z5:Z48)</f>
        <v>0</v>
      </c>
      <c r="AA4" s="2689"/>
      <c r="AB4" s="2690"/>
      <c r="AC4" s="2691"/>
    </row>
    <row r="5" spans="1:29" ht="23.1" customHeight="1" thickBot="1">
      <c r="A5" s="143" t="s">
        <v>216</v>
      </c>
      <c r="B5" s="967" t="s">
        <v>443</v>
      </c>
      <c r="C5" s="144" t="s">
        <v>191</v>
      </c>
      <c r="D5" s="144" t="s">
        <v>450</v>
      </c>
      <c r="E5" s="3508"/>
      <c r="F5" s="3510"/>
      <c r="G5" s="3512"/>
      <c r="H5" s="142"/>
      <c r="I5" s="3516"/>
      <c r="J5" s="3517"/>
      <c r="K5" s="3517"/>
      <c r="L5" s="3517"/>
      <c r="M5" s="3517"/>
      <c r="N5" s="3517"/>
      <c r="O5" s="3517"/>
      <c r="P5" s="3517"/>
      <c r="Q5" s="3517"/>
      <c r="R5" s="3517"/>
      <c r="S5" s="3517"/>
      <c r="T5" s="3518"/>
      <c r="U5" s="2649"/>
      <c r="V5" s="2689">
        <f t="shared" ref="V5:V48" si="0">SUM(W5:Y5)</f>
        <v>0</v>
      </c>
      <c r="W5" s="2689"/>
      <c r="X5" s="2689"/>
      <c r="Y5" s="2689"/>
      <c r="Z5" s="2689"/>
      <c r="AA5" s="2689"/>
      <c r="AB5" s="2690"/>
      <c r="AC5" s="2691"/>
    </row>
    <row r="6" spans="1:29" s="93" customFormat="1" ht="23.1" customHeight="1" thickBot="1">
      <c r="A6" s="43" t="s">
        <v>447</v>
      </c>
      <c r="B6" s="639"/>
      <c r="C6" s="639"/>
      <c r="D6" s="640" t="s">
        <v>453</v>
      </c>
      <c r="E6" s="323">
        <f>+E7+E31+E40+E43</f>
        <v>42685328.702</v>
      </c>
      <c r="F6" s="323">
        <f>+F7+F31+F40+F43</f>
        <v>40006478.702</v>
      </c>
      <c r="G6" s="581">
        <f>+E6-F6</f>
        <v>2678850</v>
      </c>
      <c r="H6" s="580"/>
      <c r="I6" s="39"/>
      <c r="J6" s="40"/>
      <c r="K6" s="40"/>
      <c r="L6" s="41"/>
      <c r="M6" s="41"/>
      <c r="N6" s="41"/>
      <c r="O6" s="41"/>
      <c r="P6" s="41"/>
      <c r="Q6" s="41"/>
      <c r="R6" s="41"/>
      <c r="S6" s="41"/>
      <c r="T6" s="42"/>
      <c r="U6" s="577"/>
      <c r="V6" s="2689">
        <f t="shared" si="0"/>
        <v>0</v>
      </c>
      <c r="W6" s="575"/>
      <c r="X6" s="575"/>
      <c r="Y6" s="575"/>
      <c r="Z6" s="575"/>
      <c r="AA6" s="575"/>
      <c r="AB6" s="578"/>
      <c r="AC6" s="578"/>
    </row>
    <row r="7" spans="1:29" s="93" customFormat="1" ht="23.1" customHeight="1" thickBot="1">
      <c r="A7" s="966"/>
      <c r="B7" s="43" t="s">
        <v>455</v>
      </c>
      <c r="C7" s="639"/>
      <c r="D7" s="640"/>
      <c r="E7" s="323">
        <f>SUM(E8:E30)</f>
        <v>18038642</v>
      </c>
      <c r="F7" s="323">
        <f>SUM(F8:F30)</f>
        <v>16593642</v>
      </c>
      <c r="G7" s="581">
        <f>+E7-F7</f>
        <v>1445000</v>
      </c>
      <c r="H7" s="580"/>
      <c r="I7" s="39"/>
      <c r="J7" s="40"/>
      <c r="K7" s="40"/>
      <c r="L7" s="41"/>
      <c r="M7" s="41"/>
      <c r="N7" s="41"/>
      <c r="O7" s="41"/>
      <c r="P7" s="41"/>
      <c r="Q7" s="41"/>
      <c r="R7" s="41"/>
      <c r="S7" s="41"/>
      <c r="T7" s="42"/>
      <c r="U7" s="577"/>
      <c r="V7" s="2689">
        <f t="shared" si="0"/>
        <v>0</v>
      </c>
      <c r="W7" s="575"/>
      <c r="X7" s="575"/>
      <c r="Y7" s="575"/>
      <c r="Z7" s="575"/>
      <c r="AA7" s="575"/>
      <c r="AB7" s="578"/>
      <c r="AC7" s="578"/>
    </row>
    <row r="8" spans="1:29" ht="23.1" customHeight="1">
      <c r="A8" s="44"/>
      <c r="B8" s="34"/>
      <c r="C8" s="968" t="s">
        <v>667</v>
      </c>
      <c r="D8" s="1125"/>
      <c r="E8" s="46">
        <f t="shared" ref="E8" si="1">+T8</f>
        <v>100000</v>
      </c>
      <c r="F8" s="146">
        <v>100000</v>
      </c>
      <c r="G8" s="147">
        <f>E8-F8</f>
        <v>0</v>
      </c>
      <c r="H8" s="45"/>
      <c r="I8" s="1125" t="s">
        <v>5064</v>
      </c>
      <c r="J8" s="148"/>
      <c r="K8" s="1073"/>
      <c r="L8" s="1073"/>
      <c r="M8" s="1073"/>
      <c r="N8" s="38"/>
      <c r="O8" s="38"/>
      <c r="P8" s="38"/>
      <c r="Q8" s="38"/>
      <c r="R8" s="38"/>
      <c r="S8" s="151" t="s">
        <v>266</v>
      </c>
      <c r="T8" s="145">
        <v>100000</v>
      </c>
      <c r="U8" s="1073"/>
      <c r="V8" s="2689">
        <f t="shared" si="0"/>
        <v>100000</v>
      </c>
      <c r="W8" s="2689">
        <v>100000</v>
      </c>
      <c r="X8" s="2689"/>
      <c r="Y8" s="2689"/>
      <c r="Z8" s="2689"/>
      <c r="AA8" s="2689"/>
      <c r="AB8" s="2690"/>
      <c r="AC8" s="2692"/>
    </row>
    <row r="9" spans="1:29" ht="23.1" customHeight="1">
      <c r="A9" s="44"/>
      <c r="B9" s="34"/>
      <c r="C9" s="2827" t="s">
        <v>452</v>
      </c>
      <c r="D9" s="2783"/>
      <c r="E9" s="1544">
        <f>+T9</f>
        <v>3050000</v>
      </c>
      <c r="F9" s="1545">
        <v>3050000</v>
      </c>
      <c r="G9" s="1546">
        <f>E9-F9</f>
        <v>0</v>
      </c>
      <c r="H9" s="45"/>
      <c r="I9" s="1125" t="s">
        <v>1660</v>
      </c>
      <c r="J9" s="148"/>
      <c r="K9" s="1073"/>
      <c r="L9" s="1073"/>
      <c r="M9" s="1073"/>
      <c r="N9" s="38"/>
      <c r="O9" s="38"/>
      <c r="P9" s="38"/>
      <c r="Q9" s="38"/>
      <c r="R9" s="38"/>
      <c r="S9" s="151" t="s">
        <v>5</v>
      </c>
      <c r="T9" s="145">
        <v>3050000</v>
      </c>
      <c r="U9" s="1073"/>
      <c r="V9" s="2689">
        <f t="shared" si="0"/>
        <v>3050000</v>
      </c>
      <c r="W9" s="2689">
        <v>1525000</v>
      </c>
      <c r="X9" s="2689">
        <v>1525000</v>
      </c>
      <c r="Y9" s="2689"/>
      <c r="Z9" s="2689"/>
      <c r="AA9" s="2689"/>
      <c r="AB9" s="2690"/>
      <c r="AC9" s="2692"/>
    </row>
    <row r="10" spans="1:29" ht="23.1" customHeight="1">
      <c r="A10" s="44"/>
      <c r="B10" s="34"/>
      <c r="C10" s="2827" t="s">
        <v>451</v>
      </c>
      <c r="D10" s="2783"/>
      <c r="E10" s="1544">
        <f>+T10</f>
        <v>1380000</v>
      </c>
      <c r="F10" s="1545">
        <v>1380000</v>
      </c>
      <c r="G10" s="1546">
        <f>E10-F10</f>
        <v>0</v>
      </c>
      <c r="H10" s="45"/>
      <c r="I10" s="1125" t="s">
        <v>1661</v>
      </c>
      <c r="J10" s="148"/>
      <c r="K10" s="1073"/>
      <c r="L10" s="1073"/>
      <c r="M10" s="1073"/>
      <c r="N10" s="38"/>
      <c r="O10" s="38"/>
      <c r="P10" s="38"/>
      <c r="Q10" s="38"/>
      <c r="R10" s="38"/>
      <c r="S10" s="151" t="s">
        <v>266</v>
      </c>
      <c r="T10" s="145">
        <v>1380000</v>
      </c>
      <c r="U10" s="1073"/>
      <c r="V10" s="2689">
        <f t="shared" si="0"/>
        <v>0</v>
      </c>
      <c r="W10" s="2689"/>
      <c r="X10" s="2689"/>
      <c r="Y10" s="2689"/>
      <c r="Z10" s="2689"/>
      <c r="AA10" s="2689"/>
      <c r="AB10" s="2690"/>
      <c r="AC10" s="2692"/>
    </row>
    <row r="11" spans="1:29" ht="23.1" customHeight="1">
      <c r="A11" s="44"/>
      <c r="B11" s="34"/>
      <c r="C11" s="2827" t="s">
        <v>1654</v>
      </c>
      <c r="D11" s="2783"/>
      <c r="E11" s="1544">
        <f t="shared" ref="E11:E12" si="2">+T11</f>
        <v>468000</v>
      </c>
      <c r="F11" s="1545">
        <v>468000</v>
      </c>
      <c r="G11" s="1546">
        <f t="shared" ref="G11:G12" si="3">E11-F11</f>
        <v>0</v>
      </c>
      <c r="H11" s="45"/>
      <c r="I11" s="1125" t="s">
        <v>1662</v>
      </c>
      <c r="J11" s="148"/>
      <c r="K11" s="1073"/>
      <c r="L11" s="1073"/>
      <c r="M11" s="1073"/>
      <c r="N11" s="38"/>
      <c r="O11" s="38"/>
      <c r="P11" s="38"/>
      <c r="Q11" s="38"/>
      <c r="R11" s="38"/>
      <c r="S11" s="151" t="s">
        <v>266</v>
      </c>
      <c r="T11" s="145">
        <v>468000</v>
      </c>
      <c r="U11" s="1073"/>
      <c r="V11" s="2689">
        <f t="shared" si="0"/>
        <v>0</v>
      </c>
      <c r="W11" s="2689"/>
      <c r="X11" s="2689"/>
      <c r="Y11" s="2689"/>
      <c r="Z11" s="2689"/>
      <c r="AA11" s="2689"/>
      <c r="AB11" s="2690"/>
      <c r="AC11" s="2692"/>
    </row>
    <row r="12" spans="1:29" ht="23.1" customHeight="1">
      <c r="A12" s="44"/>
      <c r="B12" s="34"/>
      <c r="C12" s="2827" t="s">
        <v>603</v>
      </c>
      <c r="D12" s="2783"/>
      <c r="E12" s="1544">
        <f t="shared" si="2"/>
        <v>1500000</v>
      </c>
      <c r="F12" s="1545">
        <v>1500000</v>
      </c>
      <c r="G12" s="1546">
        <f t="shared" si="3"/>
        <v>0</v>
      </c>
      <c r="H12" s="45"/>
      <c r="I12" s="1125" t="s">
        <v>1663</v>
      </c>
      <c r="J12" s="148"/>
      <c r="K12" s="1073"/>
      <c r="L12" s="1073"/>
      <c r="M12" s="1073"/>
      <c r="N12" s="38"/>
      <c r="O12" s="38"/>
      <c r="P12" s="38"/>
      <c r="Q12" s="38"/>
      <c r="R12" s="38"/>
      <c r="S12" s="151" t="s">
        <v>266</v>
      </c>
      <c r="T12" s="145">
        <v>1500000</v>
      </c>
      <c r="U12" s="1073"/>
      <c r="V12" s="2689">
        <f t="shared" si="0"/>
        <v>0</v>
      </c>
      <c r="W12" s="2689"/>
      <c r="X12" s="2689"/>
      <c r="Y12" s="2689"/>
      <c r="Z12" s="2689"/>
      <c r="AA12" s="2689"/>
      <c r="AB12" s="2690"/>
      <c r="AC12" s="2692"/>
    </row>
    <row r="13" spans="1:29" ht="23.1" customHeight="1">
      <c r="A13" s="44"/>
      <c r="B13" s="34"/>
      <c r="C13" s="2827" t="s">
        <v>1653</v>
      </c>
      <c r="D13" s="2783"/>
      <c r="E13" s="1544">
        <f t="shared" ref="E13" si="4">+T13</f>
        <v>300000</v>
      </c>
      <c r="F13" s="1545">
        <v>300000</v>
      </c>
      <c r="G13" s="1546">
        <f t="shared" ref="G13" si="5">E13-F13</f>
        <v>0</v>
      </c>
      <c r="H13" s="45"/>
      <c r="I13" s="1125" t="s">
        <v>1664</v>
      </c>
      <c r="J13" s="148"/>
      <c r="K13" s="1073"/>
      <c r="L13" s="1073"/>
      <c r="M13" s="1073"/>
      <c r="N13" s="38"/>
      <c r="O13" s="38"/>
      <c r="P13" s="38"/>
      <c r="Q13" s="38"/>
      <c r="R13" s="38"/>
      <c r="S13" s="151" t="s">
        <v>266</v>
      </c>
      <c r="T13" s="145">
        <v>300000</v>
      </c>
      <c r="U13" s="1073"/>
      <c r="V13" s="2689">
        <f t="shared" si="0"/>
        <v>0</v>
      </c>
      <c r="W13" s="2689"/>
      <c r="X13" s="2689"/>
      <c r="Y13" s="2689"/>
      <c r="Z13" s="2689"/>
      <c r="AA13" s="2689"/>
      <c r="AB13" s="2690"/>
      <c r="AC13" s="2692"/>
    </row>
    <row r="14" spans="1:29" ht="23.1" customHeight="1">
      <c r="A14" s="44"/>
      <c r="B14" s="34"/>
      <c r="C14" s="2827" t="s">
        <v>1655</v>
      </c>
      <c r="D14" s="2783"/>
      <c r="E14" s="1544">
        <f t="shared" ref="E14:E22" si="6">+T14</f>
        <v>115642</v>
      </c>
      <c r="F14" s="1545">
        <v>115642</v>
      </c>
      <c r="G14" s="1546">
        <f t="shared" ref="G14:G22" si="7">E14-F14</f>
        <v>0</v>
      </c>
      <c r="H14" s="45"/>
      <c r="I14" s="1125" t="s">
        <v>1658</v>
      </c>
      <c r="J14" s="148"/>
      <c r="K14" s="1073"/>
      <c r="L14" s="1073"/>
      <c r="M14" s="1073"/>
      <c r="N14" s="38"/>
      <c r="O14" s="38"/>
      <c r="P14" s="38"/>
      <c r="Q14" s="38"/>
      <c r="R14" s="38"/>
      <c r="S14" s="151" t="s">
        <v>266</v>
      </c>
      <c r="T14" s="145">
        <v>115642</v>
      </c>
      <c r="U14" s="1073"/>
      <c r="V14" s="2689">
        <f t="shared" si="0"/>
        <v>0</v>
      </c>
      <c r="W14" s="2689"/>
      <c r="X14" s="2689"/>
      <c r="Y14" s="2689"/>
      <c r="Z14" s="2689"/>
      <c r="AA14" s="2689"/>
      <c r="AB14" s="2690"/>
      <c r="AC14" s="2692"/>
    </row>
    <row r="15" spans="1:29" ht="23.1" customHeight="1">
      <c r="A15" s="44"/>
      <c r="B15" s="34"/>
      <c r="C15" s="2827" t="s">
        <v>1656</v>
      </c>
      <c r="D15" s="2783"/>
      <c r="E15" s="1544">
        <f t="shared" si="6"/>
        <v>3400000</v>
      </c>
      <c r="F15" s="1545">
        <v>3400000</v>
      </c>
      <c r="G15" s="1546">
        <f t="shared" si="7"/>
        <v>0</v>
      </c>
      <c r="H15" s="45"/>
      <c r="I15" s="1125" t="s">
        <v>1665</v>
      </c>
      <c r="J15" s="148"/>
      <c r="K15" s="1073"/>
      <c r="L15" s="1073"/>
      <c r="M15" s="1073"/>
      <c r="N15" s="38"/>
      <c r="O15" s="38"/>
      <c r="P15" s="38"/>
      <c r="Q15" s="38"/>
      <c r="R15" s="38"/>
      <c r="S15" s="151" t="s">
        <v>266</v>
      </c>
      <c r="T15" s="145">
        <v>3400000</v>
      </c>
      <c r="U15" s="1073"/>
      <c r="V15" s="2689">
        <f t="shared" si="0"/>
        <v>0</v>
      </c>
      <c r="W15" s="2689"/>
      <c r="X15" s="2689"/>
      <c r="Y15" s="2689"/>
      <c r="Z15" s="2689"/>
      <c r="AA15" s="2689"/>
      <c r="AB15" s="2690"/>
      <c r="AC15" s="2692"/>
    </row>
    <row r="16" spans="1:29" ht="23.1" customHeight="1">
      <c r="A16" s="44"/>
      <c r="B16" s="34"/>
      <c r="C16" s="2827" t="s">
        <v>1657</v>
      </c>
      <c r="D16" s="2783"/>
      <c r="E16" s="1544">
        <f t="shared" ref="E16" si="8">+T16</f>
        <v>3800000</v>
      </c>
      <c r="F16" s="1545">
        <v>3800000</v>
      </c>
      <c r="G16" s="1546">
        <f t="shared" ref="G16" si="9">E16-F16</f>
        <v>0</v>
      </c>
      <c r="H16" s="45"/>
      <c r="I16" s="1125" t="s">
        <v>1659</v>
      </c>
      <c r="J16" s="148"/>
      <c r="K16" s="1073"/>
      <c r="L16" s="1073"/>
      <c r="M16" s="1073"/>
      <c r="N16" s="38"/>
      <c r="O16" s="38"/>
      <c r="P16" s="38"/>
      <c r="Q16" s="38"/>
      <c r="R16" s="38"/>
      <c r="S16" s="151" t="s">
        <v>266</v>
      </c>
      <c r="T16" s="145">
        <v>3800000</v>
      </c>
      <c r="U16" s="1073"/>
      <c r="V16" s="2689">
        <f t="shared" ref="V16" si="10">SUM(W16:Y16)</f>
        <v>0</v>
      </c>
      <c r="W16" s="2689"/>
      <c r="X16" s="2689"/>
      <c r="Y16" s="2689"/>
      <c r="Z16" s="2689"/>
      <c r="AA16" s="2689"/>
      <c r="AB16" s="2690"/>
      <c r="AC16" s="2692"/>
    </row>
    <row r="17" spans="1:29" ht="23.1" customHeight="1">
      <c r="A17" s="44"/>
      <c r="B17" s="34"/>
      <c r="C17" s="2827" t="s">
        <v>4994</v>
      </c>
      <c r="D17" s="2783"/>
      <c r="E17" s="1544">
        <v>400000</v>
      </c>
      <c r="F17" s="1545">
        <v>0</v>
      </c>
      <c r="G17" s="1546">
        <f t="shared" si="7"/>
        <v>400000</v>
      </c>
      <c r="H17" s="45"/>
      <c r="I17" s="1125" t="s">
        <v>5035</v>
      </c>
      <c r="J17" s="148"/>
      <c r="K17" s="1073"/>
      <c r="L17" s="1073"/>
      <c r="M17" s="1073"/>
      <c r="N17" s="38"/>
      <c r="O17" s="38"/>
      <c r="P17" s="38"/>
      <c r="Q17" s="38"/>
      <c r="R17" s="38"/>
      <c r="S17" s="151" t="s">
        <v>266</v>
      </c>
      <c r="T17" s="145">
        <v>400000</v>
      </c>
      <c r="U17" s="1073"/>
      <c r="V17" s="2689"/>
      <c r="W17" s="2689"/>
      <c r="X17" s="2689"/>
      <c r="Y17" s="2689"/>
      <c r="Z17" s="2689"/>
      <c r="AA17" s="2689"/>
      <c r="AB17" s="2690"/>
      <c r="AC17" s="2692"/>
    </row>
    <row r="18" spans="1:29" ht="23.1" customHeight="1">
      <c r="A18" s="44"/>
      <c r="B18" s="34"/>
      <c r="C18" s="2827" t="s">
        <v>4995</v>
      </c>
      <c r="D18" s="2783"/>
      <c r="E18" s="1544">
        <v>120000</v>
      </c>
      <c r="F18" s="1545">
        <v>0</v>
      </c>
      <c r="G18" s="1546">
        <f t="shared" si="7"/>
        <v>120000</v>
      </c>
      <c r="H18" s="45"/>
      <c r="I18" s="1125" t="s">
        <v>5036</v>
      </c>
      <c r="J18" s="148"/>
      <c r="K18" s="1073"/>
      <c r="L18" s="1073"/>
      <c r="M18" s="1073"/>
      <c r="N18" s="38"/>
      <c r="O18" s="38"/>
      <c r="P18" s="38"/>
      <c r="Q18" s="38"/>
      <c r="R18" s="38"/>
      <c r="S18" s="151" t="s">
        <v>266</v>
      </c>
      <c r="T18" s="145">
        <v>120000</v>
      </c>
      <c r="U18" s="1073"/>
      <c r="V18" s="2689"/>
      <c r="W18" s="2689"/>
      <c r="X18" s="2689"/>
      <c r="Y18" s="2689"/>
      <c r="Z18" s="2689"/>
      <c r="AA18" s="2689"/>
      <c r="AB18" s="2690"/>
      <c r="AC18" s="2692"/>
    </row>
    <row r="19" spans="1:29" ht="23.1" customHeight="1">
      <c r="A19" s="44"/>
      <c r="B19" s="34"/>
      <c r="C19" s="2827" t="s">
        <v>4996</v>
      </c>
      <c r="D19" s="2783"/>
      <c r="E19" s="1544">
        <v>200000</v>
      </c>
      <c r="F19" s="1545">
        <v>0</v>
      </c>
      <c r="G19" s="1546">
        <f t="shared" si="7"/>
        <v>200000</v>
      </c>
      <c r="H19" s="45"/>
      <c r="I19" s="1125" t="s">
        <v>5050</v>
      </c>
      <c r="J19" s="148"/>
      <c r="K19" s="1073"/>
      <c r="L19" s="1073"/>
      <c r="M19" s="1073"/>
      <c r="N19" s="38"/>
      <c r="O19" s="38"/>
      <c r="P19" s="38"/>
      <c r="Q19" s="38"/>
      <c r="R19" s="38"/>
      <c r="S19" s="151" t="s">
        <v>266</v>
      </c>
      <c r="T19" s="145">
        <v>200000</v>
      </c>
      <c r="U19" s="1073"/>
      <c r="V19" s="2689"/>
      <c r="W19" s="2689"/>
      <c r="X19" s="2689"/>
      <c r="Y19" s="2689"/>
      <c r="Z19" s="2689"/>
      <c r="AA19" s="2689"/>
      <c r="AB19" s="2690"/>
      <c r="AC19" s="2692"/>
    </row>
    <row r="20" spans="1:29" ht="23.1" customHeight="1">
      <c r="A20" s="44"/>
      <c r="B20" s="34"/>
      <c r="C20" s="2827" t="s">
        <v>669</v>
      </c>
      <c r="D20" s="2783"/>
      <c r="E20" s="1544">
        <f t="shared" si="6"/>
        <v>50000</v>
      </c>
      <c r="F20" s="1545">
        <v>50000</v>
      </c>
      <c r="G20" s="1546">
        <f t="shared" si="7"/>
        <v>0</v>
      </c>
      <c r="H20" s="45"/>
      <c r="I20" s="1125" t="s">
        <v>668</v>
      </c>
      <c r="J20" s="148"/>
      <c r="K20" s="1073"/>
      <c r="L20" s="1073"/>
      <c r="M20" s="1073"/>
      <c r="N20" s="1065"/>
      <c r="O20" s="1065"/>
      <c r="P20" s="1065"/>
      <c r="Q20" s="1065"/>
      <c r="R20" s="1065"/>
      <c r="S20" s="151" t="s">
        <v>5</v>
      </c>
      <c r="T20" s="145">
        <v>50000</v>
      </c>
      <c r="U20" s="1073"/>
      <c r="V20" s="2689">
        <f t="shared" si="0"/>
        <v>0</v>
      </c>
      <c r="W20" s="2689"/>
      <c r="X20" s="2689"/>
      <c r="Y20" s="2689"/>
      <c r="Z20" s="2689"/>
      <c r="AA20" s="2689"/>
      <c r="AB20" s="2690"/>
      <c r="AC20" s="2692"/>
    </row>
    <row r="21" spans="1:29" ht="23.1" customHeight="1">
      <c r="A21" s="44"/>
      <c r="B21" s="34"/>
      <c r="C21" s="2827" t="s">
        <v>1666</v>
      </c>
      <c r="D21" s="2783"/>
      <c r="E21" s="1544">
        <f t="shared" si="6"/>
        <v>1580000</v>
      </c>
      <c r="F21" s="1545">
        <v>1580000</v>
      </c>
      <c r="G21" s="1546">
        <f t="shared" si="7"/>
        <v>0</v>
      </c>
      <c r="H21" s="45"/>
      <c r="I21" s="1125" t="s">
        <v>1667</v>
      </c>
      <c r="J21" s="148"/>
      <c r="K21" s="1073"/>
      <c r="L21" s="1073"/>
      <c r="M21" s="1073"/>
      <c r="N21" s="1065"/>
      <c r="O21" s="1065"/>
      <c r="P21" s="1065"/>
      <c r="Q21" s="1065"/>
      <c r="R21" s="1065"/>
      <c r="S21" s="151" t="s">
        <v>5</v>
      </c>
      <c r="T21" s="145">
        <v>1580000</v>
      </c>
      <c r="U21" s="1073"/>
      <c r="V21" s="2689">
        <f t="shared" si="0"/>
        <v>0</v>
      </c>
      <c r="W21" s="2689"/>
      <c r="X21" s="2689"/>
      <c r="Y21" s="2689"/>
      <c r="Z21" s="2689"/>
      <c r="AA21" s="2689"/>
      <c r="AB21" s="2690"/>
      <c r="AC21" s="2692"/>
    </row>
    <row r="22" spans="1:29" ht="23.1" customHeight="1">
      <c r="A22" s="44"/>
      <c r="B22" s="34"/>
      <c r="C22" s="2827" t="s">
        <v>1670</v>
      </c>
      <c r="D22" s="2783"/>
      <c r="E22" s="1544">
        <f t="shared" si="6"/>
        <v>150000</v>
      </c>
      <c r="F22" s="1545">
        <v>150000</v>
      </c>
      <c r="G22" s="1546">
        <f t="shared" si="7"/>
        <v>0</v>
      </c>
      <c r="H22" s="45"/>
      <c r="I22" s="1125" t="s">
        <v>1668</v>
      </c>
      <c r="J22" s="148"/>
      <c r="K22" s="1073"/>
      <c r="L22" s="1073"/>
      <c r="M22" s="1073"/>
      <c r="N22" s="1065"/>
      <c r="O22" s="1065"/>
      <c r="P22" s="1065"/>
      <c r="Q22" s="1065"/>
      <c r="R22" s="1065"/>
      <c r="S22" s="151" t="s">
        <v>5</v>
      </c>
      <c r="T22" s="145">
        <v>150000</v>
      </c>
      <c r="U22" s="1073"/>
      <c r="V22" s="2689">
        <f t="shared" si="0"/>
        <v>0</v>
      </c>
      <c r="W22" s="2689"/>
      <c r="X22" s="2689"/>
      <c r="Y22" s="2689"/>
      <c r="Z22" s="2689"/>
      <c r="AA22" s="2689"/>
      <c r="AB22" s="2690"/>
      <c r="AC22" s="2692"/>
    </row>
    <row r="23" spans="1:29" ht="23.1" customHeight="1">
      <c r="A23" s="44"/>
      <c r="B23" s="34"/>
      <c r="C23" s="2827" t="s">
        <v>3316</v>
      </c>
      <c r="D23" s="2783"/>
      <c r="E23" s="1544">
        <f t="shared" ref="E23:E27" si="11">+T23</f>
        <v>300000</v>
      </c>
      <c r="F23" s="1545">
        <v>300000</v>
      </c>
      <c r="G23" s="1546">
        <f t="shared" ref="G23:G29" si="12">E23-F23</f>
        <v>0</v>
      </c>
      <c r="H23" s="45"/>
      <c r="I23" s="1125" t="s">
        <v>1669</v>
      </c>
      <c r="J23" s="148"/>
      <c r="K23" s="1073"/>
      <c r="L23" s="1073"/>
      <c r="M23" s="1073"/>
      <c r="N23" s="1065"/>
      <c r="O23" s="1065"/>
      <c r="P23" s="1065"/>
      <c r="Q23" s="1065"/>
      <c r="R23" s="1065"/>
      <c r="S23" s="151" t="s">
        <v>5</v>
      </c>
      <c r="T23" s="145">
        <v>300000</v>
      </c>
      <c r="U23" s="1073"/>
      <c r="V23" s="2689">
        <f t="shared" si="0"/>
        <v>0</v>
      </c>
      <c r="W23" s="2689"/>
      <c r="X23" s="2689"/>
      <c r="Y23" s="2689"/>
      <c r="Z23" s="2689"/>
      <c r="AA23" s="2689"/>
      <c r="AB23" s="2690"/>
      <c r="AC23" s="2692"/>
    </row>
    <row r="24" spans="1:29" ht="23.1" customHeight="1">
      <c r="A24" s="44"/>
      <c r="B24" s="34"/>
      <c r="C24" s="2827" t="s">
        <v>4997</v>
      </c>
      <c r="D24" s="2783"/>
      <c r="E24" s="1544">
        <v>75000</v>
      </c>
      <c r="F24" s="1545">
        <v>0</v>
      </c>
      <c r="G24" s="1546">
        <f t="shared" si="12"/>
        <v>75000</v>
      </c>
      <c r="H24" s="45"/>
      <c r="I24" s="1125" t="s">
        <v>5037</v>
      </c>
      <c r="J24" s="148"/>
      <c r="K24" s="1073"/>
      <c r="L24" s="1073"/>
      <c r="M24" s="1073"/>
      <c r="N24" s="1065"/>
      <c r="O24" s="1065"/>
      <c r="P24" s="1065"/>
      <c r="Q24" s="1065"/>
      <c r="R24" s="1065"/>
      <c r="S24" s="151" t="s">
        <v>5</v>
      </c>
      <c r="T24" s="145">
        <v>75000</v>
      </c>
      <c r="U24" s="1073"/>
      <c r="V24" s="2689"/>
      <c r="W24" s="2689"/>
      <c r="X24" s="2689"/>
      <c r="Y24" s="2689"/>
      <c r="Z24" s="2689"/>
      <c r="AA24" s="2689"/>
      <c r="AB24" s="2690"/>
      <c r="AC24" s="2692"/>
    </row>
    <row r="25" spans="1:29" ht="23.1" customHeight="1">
      <c r="A25" s="44"/>
      <c r="B25" s="34"/>
      <c r="C25" s="2827" t="s">
        <v>1671</v>
      </c>
      <c r="D25" s="2783"/>
      <c r="E25" s="1544">
        <f t="shared" si="11"/>
        <v>90000</v>
      </c>
      <c r="F25" s="1545">
        <v>90000</v>
      </c>
      <c r="G25" s="1546">
        <f t="shared" si="12"/>
        <v>0</v>
      </c>
      <c r="H25" s="45"/>
      <c r="I25" s="1125" t="s">
        <v>1674</v>
      </c>
      <c r="J25" s="148"/>
      <c r="K25" s="1073"/>
      <c r="L25" s="1073"/>
      <c r="M25" s="1073"/>
      <c r="N25" s="1065"/>
      <c r="O25" s="1065"/>
      <c r="P25" s="1065"/>
      <c r="Q25" s="1065"/>
      <c r="R25" s="1065"/>
      <c r="S25" s="151" t="s">
        <v>5</v>
      </c>
      <c r="T25" s="145">
        <v>90000</v>
      </c>
      <c r="U25" s="1073"/>
      <c r="V25" s="2689">
        <f t="shared" si="0"/>
        <v>0</v>
      </c>
      <c r="W25" s="2689"/>
      <c r="X25" s="2689"/>
      <c r="Y25" s="2689"/>
      <c r="Z25" s="2689"/>
      <c r="AA25" s="2689"/>
      <c r="AB25" s="2690"/>
      <c r="AC25" s="2692"/>
    </row>
    <row r="26" spans="1:29" ht="23.1" customHeight="1">
      <c r="A26" s="44"/>
      <c r="B26" s="34"/>
      <c r="C26" s="2827" t="s">
        <v>1672</v>
      </c>
      <c r="D26" s="2783"/>
      <c r="E26" s="1544">
        <f t="shared" si="11"/>
        <v>100000</v>
      </c>
      <c r="F26" s="1545">
        <v>100000</v>
      </c>
      <c r="G26" s="1546">
        <f t="shared" si="12"/>
        <v>0</v>
      </c>
      <c r="H26" s="45"/>
      <c r="I26" s="1125" t="s">
        <v>1678</v>
      </c>
      <c r="J26" s="148"/>
      <c r="K26" s="1073"/>
      <c r="L26" s="1073"/>
      <c r="M26" s="1073"/>
      <c r="N26" s="1065"/>
      <c r="O26" s="1065"/>
      <c r="P26" s="1065"/>
      <c r="Q26" s="1065"/>
      <c r="R26" s="1065"/>
      <c r="S26" s="151" t="s">
        <v>5</v>
      </c>
      <c r="T26" s="145">
        <v>100000</v>
      </c>
      <c r="U26" s="1073"/>
      <c r="V26" s="2689">
        <f t="shared" si="0"/>
        <v>0</v>
      </c>
      <c r="W26" s="2689"/>
      <c r="X26" s="2689"/>
      <c r="Y26" s="2689"/>
      <c r="Z26" s="2689"/>
      <c r="AA26" s="2689"/>
      <c r="AB26" s="2690"/>
      <c r="AC26" s="2692"/>
    </row>
    <row r="27" spans="1:29" ht="23.1" customHeight="1">
      <c r="A27" s="44"/>
      <c r="B27" s="34"/>
      <c r="C27" s="2827" t="s">
        <v>3317</v>
      </c>
      <c r="D27" s="2783"/>
      <c r="E27" s="1544">
        <f t="shared" si="11"/>
        <v>120000</v>
      </c>
      <c r="F27" s="1545">
        <v>120000</v>
      </c>
      <c r="G27" s="1546">
        <f t="shared" si="12"/>
        <v>0</v>
      </c>
      <c r="H27" s="45"/>
      <c r="I27" s="1125" t="s">
        <v>1679</v>
      </c>
      <c r="J27" s="148"/>
      <c r="K27" s="1073"/>
      <c r="L27" s="1073"/>
      <c r="M27" s="1073"/>
      <c r="N27" s="1065"/>
      <c r="O27" s="1065"/>
      <c r="P27" s="1065"/>
      <c r="Q27" s="1065"/>
      <c r="R27" s="1065"/>
      <c r="S27" s="151" t="s">
        <v>5</v>
      </c>
      <c r="T27" s="145">
        <v>120000</v>
      </c>
      <c r="U27" s="1073"/>
      <c r="V27" s="2689">
        <f t="shared" si="0"/>
        <v>0</v>
      </c>
      <c r="W27" s="2689"/>
      <c r="X27" s="2689"/>
      <c r="Y27" s="2689"/>
      <c r="Z27" s="2689"/>
      <c r="AA27" s="2689"/>
      <c r="AB27" s="2690"/>
      <c r="AC27" s="2692"/>
    </row>
    <row r="28" spans="1:29" ht="23.1" customHeight="1">
      <c r="A28" s="44"/>
      <c r="B28" s="34"/>
      <c r="C28" s="2827" t="s">
        <v>4998</v>
      </c>
      <c r="D28" s="2783"/>
      <c r="E28" s="1544">
        <v>450000</v>
      </c>
      <c r="F28" s="1545">
        <v>0</v>
      </c>
      <c r="G28" s="1546">
        <f t="shared" si="12"/>
        <v>450000</v>
      </c>
      <c r="H28" s="45"/>
      <c r="I28" s="1125" t="s">
        <v>5043</v>
      </c>
      <c r="J28" s="148"/>
      <c r="K28" s="1073"/>
      <c r="L28" s="1073"/>
      <c r="M28" s="1073"/>
      <c r="N28" s="1065"/>
      <c r="O28" s="1065"/>
      <c r="P28" s="1065"/>
      <c r="Q28" s="1065"/>
      <c r="R28" s="1065"/>
      <c r="S28" s="151" t="s">
        <v>5</v>
      </c>
      <c r="T28" s="145">
        <v>450000</v>
      </c>
      <c r="U28" s="1073"/>
      <c r="V28" s="2689"/>
      <c r="W28" s="2689"/>
      <c r="X28" s="2689"/>
      <c r="Y28" s="2689"/>
      <c r="Z28" s="2689"/>
      <c r="AA28" s="2689"/>
      <c r="AB28" s="2690"/>
      <c r="AC28" s="2692"/>
    </row>
    <row r="29" spans="1:29" ht="23.1" customHeight="1">
      <c r="A29" s="44"/>
      <c r="B29" s="34"/>
      <c r="C29" s="2827" t="s">
        <v>4999</v>
      </c>
      <c r="D29" s="2783"/>
      <c r="E29" s="1544">
        <v>200000</v>
      </c>
      <c r="F29" s="1545">
        <v>0</v>
      </c>
      <c r="G29" s="1546">
        <f t="shared" si="12"/>
        <v>200000</v>
      </c>
      <c r="H29" s="45"/>
      <c r="I29" s="1125" t="s">
        <v>5042</v>
      </c>
      <c r="J29" s="148"/>
      <c r="K29" s="1073"/>
      <c r="L29" s="1073"/>
      <c r="M29" s="1073"/>
      <c r="N29" s="1065"/>
      <c r="O29" s="1065"/>
      <c r="P29" s="1065"/>
      <c r="Q29" s="1065"/>
      <c r="R29" s="1065"/>
      <c r="S29" s="151" t="s">
        <v>5</v>
      </c>
      <c r="T29" s="145">
        <v>200000</v>
      </c>
      <c r="U29" s="1073"/>
      <c r="V29" s="2689"/>
      <c r="W29" s="2689"/>
      <c r="X29" s="2689"/>
      <c r="Y29" s="2689"/>
      <c r="Z29" s="2689"/>
      <c r="AA29" s="2689"/>
      <c r="AB29" s="2690"/>
      <c r="AC29" s="2692"/>
    </row>
    <row r="30" spans="1:29" ht="23.1" customHeight="1" thickBot="1">
      <c r="A30" s="44"/>
      <c r="B30" s="34"/>
      <c r="C30" s="2827" t="s">
        <v>1673</v>
      </c>
      <c r="D30" s="2783"/>
      <c r="E30" s="1544">
        <f t="shared" ref="E30" si="13">+T30</f>
        <v>90000</v>
      </c>
      <c r="F30" s="1545">
        <v>90000</v>
      </c>
      <c r="G30" s="1546">
        <f t="shared" ref="G30" si="14">E30-F30</f>
        <v>0</v>
      </c>
      <c r="H30" s="45"/>
      <c r="I30" s="1125" t="s">
        <v>1675</v>
      </c>
      <c r="J30" s="148"/>
      <c r="K30" s="1073"/>
      <c r="L30" s="1073"/>
      <c r="M30" s="1073"/>
      <c r="N30" s="1065"/>
      <c r="O30" s="1065"/>
      <c r="P30" s="1065"/>
      <c r="Q30" s="1065"/>
      <c r="R30" s="1065"/>
      <c r="S30" s="151" t="s">
        <v>5</v>
      </c>
      <c r="T30" s="145">
        <v>90000</v>
      </c>
      <c r="U30" s="1073"/>
      <c r="V30" s="2689">
        <f t="shared" si="0"/>
        <v>0</v>
      </c>
      <c r="W30" s="2689"/>
      <c r="X30" s="2689"/>
      <c r="Y30" s="2689"/>
      <c r="Z30" s="2689"/>
      <c r="AA30" s="2689"/>
      <c r="AB30" s="2690"/>
      <c r="AC30" s="2692"/>
    </row>
    <row r="31" spans="1:29" s="93" customFormat="1" ht="23.1" customHeight="1" thickBot="1">
      <c r="A31" s="966"/>
      <c r="B31" s="43" t="s">
        <v>454</v>
      </c>
      <c r="C31" s="2828"/>
      <c r="D31" s="2829"/>
      <c r="E31" s="1508">
        <f>SUM(E32:E39)</f>
        <v>19910386.702</v>
      </c>
      <c r="F31" s="1508">
        <f>SUM(F32:F39)</f>
        <v>19679536.702</v>
      </c>
      <c r="G31" s="2830">
        <f>+E31-F31</f>
        <v>230850</v>
      </c>
      <c r="H31" s="580"/>
      <c r="I31" s="39"/>
      <c r="J31" s="40"/>
      <c r="K31" s="40"/>
      <c r="L31" s="41"/>
      <c r="M31" s="41"/>
      <c r="N31" s="41"/>
      <c r="O31" s="41"/>
      <c r="P31" s="41"/>
      <c r="Q31" s="41"/>
      <c r="R31" s="41"/>
      <c r="S31" s="41"/>
      <c r="T31" s="42"/>
      <c r="U31" s="577"/>
      <c r="V31" s="2689">
        <f t="shared" si="0"/>
        <v>0</v>
      </c>
      <c r="W31" s="575"/>
      <c r="X31" s="575"/>
      <c r="Y31" s="575"/>
      <c r="Z31" s="575"/>
      <c r="AA31" s="575"/>
      <c r="AB31" s="578"/>
      <c r="AC31" s="578"/>
    </row>
    <row r="32" spans="1:29" ht="23.1" customHeight="1">
      <c r="A32" s="2311"/>
      <c r="B32" s="2312"/>
      <c r="C32" s="1530" t="s">
        <v>5067</v>
      </c>
      <c r="D32" s="1529"/>
      <c r="E32" s="1544">
        <f t="shared" ref="E32" si="15">T32</f>
        <v>19672000</v>
      </c>
      <c r="F32" s="1545">
        <v>19672000</v>
      </c>
      <c r="G32" s="1546">
        <f t="shared" ref="G32:G38" si="16">+E32-F32</f>
        <v>0</v>
      </c>
      <c r="H32" s="45"/>
      <c r="I32" s="1125" t="s">
        <v>1676</v>
      </c>
      <c r="J32" s="148"/>
      <c r="K32" s="1073"/>
      <c r="L32" s="1073"/>
      <c r="M32" s="1073"/>
      <c r="N32" s="38"/>
      <c r="O32" s="38"/>
      <c r="P32" s="38"/>
      <c r="Q32" s="38"/>
      <c r="R32" s="38"/>
      <c r="S32" s="151" t="s">
        <v>553</v>
      </c>
      <c r="T32" s="145">
        <v>19672000</v>
      </c>
      <c r="U32" s="1073"/>
      <c r="V32" s="2689">
        <f t="shared" si="0"/>
        <v>0</v>
      </c>
      <c r="W32" s="575"/>
      <c r="X32" s="575"/>
      <c r="Y32" s="575"/>
      <c r="Z32" s="575"/>
      <c r="AA32" s="575"/>
      <c r="AB32" s="2690"/>
      <c r="AC32" s="2692"/>
    </row>
    <row r="33" spans="1:29" ht="23.1" customHeight="1">
      <c r="A33" s="2311"/>
      <c r="B33" s="2313"/>
      <c r="C33" s="1530" t="s">
        <v>5000</v>
      </c>
      <c r="D33" s="1529"/>
      <c r="E33" s="1544">
        <v>55000</v>
      </c>
      <c r="F33" s="1545">
        <v>0</v>
      </c>
      <c r="G33" s="1546">
        <f t="shared" si="16"/>
        <v>55000</v>
      </c>
      <c r="H33" s="45"/>
      <c r="I33" s="1125" t="s">
        <v>5065</v>
      </c>
      <c r="J33" s="148"/>
      <c r="K33" s="1073"/>
      <c r="L33" s="1073"/>
      <c r="M33" s="1073"/>
      <c r="N33" s="38"/>
      <c r="O33" s="38"/>
      <c r="P33" s="38"/>
      <c r="Q33" s="38"/>
      <c r="R33" s="38"/>
      <c r="S33" s="151" t="s">
        <v>266</v>
      </c>
      <c r="T33" s="145">
        <v>55000</v>
      </c>
      <c r="U33" s="1073"/>
      <c r="V33" s="2689"/>
      <c r="W33" s="575"/>
      <c r="X33" s="575"/>
      <c r="Y33" s="575"/>
      <c r="Z33" s="575"/>
      <c r="AA33" s="575"/>
      <c r="AB33" s="2690"/>
      <c r="AC33" s="2692"/>
    </row>
    <row r="34" spans="1:29" ht="23.1" customHeight="1">
      <c r="A34" s="2311"/>
      <c r="B34" s="2313"/>
      <c r="C34" s="1530" t="s">
        <v>5001</v>
      </c>
      <c r="D34" s="1529"/>
      <c r="E34" s="1544">
        <v>60000</v>
      </c>
      <c r="F34" s="1545">
        <v>0</v>
      </c>
      <c r="G34" s="1546">
        <f t="shared" si="16"/>
        <v>60000</v>
      </c>
      <c r="H34" s="45"/>
      <c r="I34" s="1125" t="s">
        <v>5040</v>
      </c>
      <c r="J34" s="148"/>
      <c r="K34" s="1073"/>
      <c r="L34" s="1073"/>
      <c r="M34" s="1073"/>
      <c r="N34" s="38"/>
      <c r="O34" s="38"/>
      <c r="P34" s="38"/>
      <c r="Q34" s="38"/>
      <c r="R34" s="38"/>
      <c r="S34" s="151" t="s">
        <v>266</v>
      </c>
      <c r="T34" s="145">
        <v>60000</v>
      </c>
      <c r="U34" s="1073"/>
      <c r="V34" s="2689"/>
      <c r="W34" s="575"/>
      <c r="X34" s="575"/>
      <c r="Y34" s="575"/>
      <c r="Z34" s="575"/>
      <c r="AA34" s="575"/>
      <c r="AB34" s="2690"/>
      <c r="AC34" s="2692"/>
    </row>
    <row r="35" spans="1:29" ht="23.1" customHeight="1">
      <c r="A35" s="2311"/>
      <c r="B35" s="2313"/>
      <c r="C35" s="1530" t="s">
        <v>5002</v>
      </c>
      <c r="D35" s="1529"/>
      <c r="E35" s="1544">
        <v>32500</v>
      </c>
      <c r="F35" s="1545">
        <v>0</v>
      </c>
      <c r="G35" s="1546">
        <f t="shared" si="16"/>
        <v>32500</v>
      </c>
      <c r="H35" s="45"/>
      <c r="I35" s="1125" t="s">
        <v>5041</v>
      </c>
      <c r="J35" s="148"/>
      <c r="K35" s="1073"/>
      <c r="L35" s="1073"/>
      <c r="M35" s="1073"/>
      <c r="N35" s="38"/>
      <c r="O35" s="38"/>
      <c r="P35" s="38"/>
      <c r="Q35" s="38"/>
      <c r="R35" s="38"/>
      <c r="S35" s="151" t="s">
        <v>266</v>
      </c>
      <c r="T35" s="145">
        <v>32500</v>
      </c>
      <c r="U35" s="1073"/>
      <c r="V35" s="2689"/>
      <c r="W35" s="575"/>
      <c r="X35" s="575"/>
      <c r="Y35" s="575"/>
      <c r="Z35" s="575"/>
      <c r="AA35" s="575"/>
      <c r="AB35" s="2690"/>
      <c r="AC35" s="2692"/>
    </row>
    <row r="36" spans="1:29" ht="23.1" customHeight="1">
      <c r="A36" s="2311"/>
      <c r="B36" s="2313"/>
      <c r="C36" s="1530" t="s">
        <v>5003</v>
      </c>
      <c r="D36" s="1529"/>
      <c r="E36" s="1544">
        <v>25000</v>
      </c>
      <c r="F36" s="1545">
        <v>0</v>
      </c>
      <c r="G36" s="1546">
        <f t="shared" si="16"/>
        <v>25000</v>
      </c>
      <c r="H36" s="45"/>
      <c r="I36" s="1125" t="s">
        <v>5066</v>
      </c>
      <c r="J36" s="148"/>
      <c r="K36" s="1073"/>
      <c r="L36" s="1073"/>
      <c r="M36" s="1073"/>
      <c r="N36" s="38"/>
      <c r="O36" s="38"/>
      <c r="P36" s="38"/>
      <c r="Q36" s="38"/>
      <c r="R36" s="38"/>
      <c r="S36" s="151" t="s">
        <v>266</v>
      </c>
      <c r="T36" s="145">
        <v>25000</v>
      </c>
      <c r="U36" s="1073"/>
      <c r="V36" s="2689"/>
      <c r="W36" s="575"/>
      <c r="X36" s="575"/>
      <c r="Y36" s="575"/>
      <c r="Z36" s="575"/>
      <c r="AA36" s="575"/>
      <c r="AB36" s="2690"/>
      <c r="AC36" s="2692"/>
    </row>
    <row r="37" spans="1:29" ht="23.1" customHeight="1">
      <c r="A37" s="2311"/>
      <c r="B37" s="2313"/>
      <c r="C37" s="1530" t="s">
        <v>5004</v>
      </c>
      <c r="D37" s="1529"/>
      <c r="E37" s="1544">
        <v>55000</v>
      </c>
      <c r="F37" s="1545">
        <v>0</v>
      </c>
      <c r="G37" s="1546">
        <f t="shared" si="16"/>
        <v>55000</v>
      </c>
      <c r="H37" s="45"/>
      <c r="I37" s="1125" t="s">
        <v>5044</v>
      </c>
      <c r="J37" s="148"/>
      <c r="K37" s="1073"/>
      <c r="L37" s="1073"/>
      <c r="M37" s="1073"/>
      <c r="N37" s="38"/>
      <c r="O37" s="38"/>
      <c r="P37" s="38"/>
      <c r="Q37" s="38"/>
      <c r="R37" s="38"/>
      <c r="S37" s="151" t="s">
        <v>266</v>
      </c>
      <c r="T37" s="145">
        <v>55000</v>
      </c>
      <c r="U37" s="1073"/>
      <c r="V37" s="2689"/>
      <c r="W37" s="575"/>
      <c r="X37" s="575"/>
      <c r="Y37" s="575"/>
      <c r="Z37" s="575"/>
      <c r="AA37" s="575"/>
      <c r="AB37" s="2690"/>
      <c r="AC37" s="2692"/>
    </row>
    <row r="38" spans="1:29" ht="23.1" customHeight="1">
      <c r="A38" s="2311"/>
      <c r="B38" s="2313"/>
      <c r="C38" s="1530" t="s">
        <v>5005</v>
      </c>
      <c r="D38" s="1529"/>
      <c r="E38" s="1544">
        <v>3350</v>
      </c>
      <c r="F38" s="1545">
        <v>0</v>
      </c>
      <c r="G38" s="1546">
        <f t="shared" si="16"/>
        <v>3350</v>
      </c>
      <c r="H38" s="45"/>
      <c r="I38" s="1069" t="s">
        <v>5039</v>
      </c>
      <c r="J38" s="148"/>
      <c r="K38" s="1073"/>
      <c r="L38" s="1073"/>
      <c r="M38" s="1073"/>
      <c r="N38" s="38"/>
      <c r="O38" s="38"/>
      <c r="P38" s="38"/>
      <c r="Q38" s="38"/>
      <c r="R38" s="38"/>
      <c r="S38" s="151" t="s">
        <v>266</v>
      </c>
      <c r="T38" s="145">
        <v>3350</v>
      </c>
      <c r="U38" s="1073"/>
      <c r="V38" s="2689"/>
      <c r="W38" s="575"/>
      <c r="X38" s="575"/>
      <c r="Y38" s="575"/>
      <c r="Z38" s="575"/>
      <c r="AA38" s="575"/>
      <c r="AB38" s="2690"/>
      <c r="AC38" s="2692"/>
    </row>
    <row r="39" spans="1:29" ht="23.1" customHeight="1" thickBot="1">
      <c r="A39" s="2311"/>
      <c r="B39" s="1628"/>
      <c r="C39" s="2831" t="s">
        <v>671</v>
      </c>
      <c r="D39" s="2832"/>
      <c r="E39" s="2309">
        <f t="shared" ref="E39" si="17">T39</f>
        <v>7536.7020000000002</v>
      </c>
      <c r="F39" s="2833">
        <v>7536.7020000000002</v>
      </c>
      <c r="G39" s="2834">
        <f t="shared" ref="G39" si="18">+E39-F39</f>
        <v>0</v>
      </c>
      <c r="H39" s="45"/>
      <c r="I39" s="1125" t="s">
        <v>670</v>
      </c>
      <c r="J39" s="148"/>
      <c r="K39" s="1073"/>
      <c r="L39" s="1073"/>
      <c r="M39" s="1073"/>
      <c r="N39" s="38"/>
      <c r="O39" s="38"/>
      <c r="P39" s="38"/>
      <c r="Q39" s="38"/>
      <c r="R39" s="38"/>
      <c r="S39" s="151" t="s">
        <v>553</v>
      </c>
      <c r="T39" s="145">
        <v>7536.7020000000002</v>
      </c>
      <c r="U39" s="1073"/>
      <c r="V39" s="2689">
        <f t="shared" si="0"/>
        <v>0</v>
      </c>
      <c r="W39" s="575"/>
      <c r="X39" s="575"/>
      <c r="Y39" s="575"/>
      <c r="Z39" s="575"/>
      <c r="AA39" s="575"/>
      <c r="AB39" s="2690"/>
      <c r="AC39" s="2692"/>
    </row>
    <row r="40" spans="1:29" s="93" customFormat="1" ht="23.1" customHeight="1" thickBot="1">
      <c r="A40" s="966"/>
      <c r="B40" s="1067" t="s">
        <v>554</v>
      </c>
      <c r="C40" s="2835"/>
      <c r="D40" s="2836"/>
      <c r="E40" s="1508">
        <f>SUM(E41:E42)</f>
        <v>183000</v>
      </c>
      <c r="F40" s="1508">
        <f>SUM(F41:F42)</f>
        <v>180000</v>
      </c>
      <c r="G40" s="2830">
        <f>+E40-F40</f>
        <v>3000</v>
      </c>
      <c r="H40" s="580"/>
      <c r="I40" s="39"/>
      <c r="J40" s="40"/>
      <c r="K40" s="40"/>
      <c r="L40" s="41"/>
      <c r="M40" s="41"/>
      <c r="N40" s="41"/>
      <c r="O40" s="41"/>
      <c r="P40" s="41"/>
      <c r="Q40" s="41"/>
      <c r="R40" s="41"/>
      <c r="S40" s="41"/>
      <c r="T40" s="42"/>
      <c r="U40" s="577"/>
      <c r="V40" s="2689">
        <f t="shared" si="0"/>
        <v>0</v>
      </c>
      <c r="W40" s="575"/>
      <c r="X40" s="575"/>
      <c r="Y40" s="575"/>
      <c r="Z40" s="575"/>
      <c r="AA40" s="575"/>
      <c r="AB40" s="578"/>
      <c r="AC40" s="578"/>
    </row>
    <row r="41" spans="1:29" s="93" customFormat="1" ht="23.1" customHeight="1">
      <c r="A41" s="966"/>
      <c r="B41" s="2808"/>
      <c r="C41" s="2837" t="s">
        <v>672</v>
      </c>
      <c r="D41" s="2838"/>
      <c r="E41" s="1544">
        <f t="shared" ref="E41" si="19">T41</f>
        <v>180000</v>
      </c>
      <c r="F41" s="1545">
        <v>180000</v>
      </c>
      <c r="G41" s="1546">
        <f t="shared" ref="G41" si="20">+E41-F41</f>
        <v>0</v>
      </c>
      <c r="H41" s="580"/>
      <c r="I41" s="1069" t="s">
        <v>673</v>
      </c>
      <c r="J41" s="148"/>
      <c r="K41" s="1073"/>
      <c r="L41" s="1073"/>
      <c r="M41" s="1073"/>
      <c r="N41" s="38"/>
      <c r="O41" s="38"/>
      <c r="P41" s="38"/>
      <c r="Q41" s="38"/>
      <c r="R41" s="38"/>
      <c r="S41" s="151" t="s">
        <v>266</v>
      </c>
      <c r="T41" s="145">
        <v>180000</v>
      </c>
      <c r="U41" s="577"/>
      <c r="V41" s="2689"/>
      <c r="W41" s="575"/>
      <c r="X41" s="575"/>
      <c r="Y41" s="575"/>
      <c r="Z41" s="575"/>
      <c r="AA41" s="575"/>
      <c r="AB41" s="578"/>
      <c r="AC41" s="578"/>
    </row>
    <row r="42" spans="1:29" ht="23.1" customHeight="1" thickBot="1">
      <c r="A42" s="44"/>
      <c r="B42" s="1068"/>
      <c r="C42" s="2837" t="s">
        <v>5006</v>
      </c>
      <c r="D42" s="2838"/>
      <c r="E42" s="1544">
        <v>3000</v>
      </c>
      <c r="F42" s="1545">
        <v>0</v>
      </c>
      <c r="G42" s="1546">
        <f t="shared" ref="G42" si="21">+E42-F42</f>
        <v>3000</v>
      </c>
      <c r="H42" s="45"/>
      <c r="I42" s="1069" t="s">
        <v>5038</v>
      </c>
      <c r="J42" s="148"/>
      <c r="K42" s="1073"/>
      <c r="L42" s="1073"/>
      <c r="M42" s="1073"/>
      <c r="N42" s="38"/>
      <c r="O42" s="38"/>
      <c r="P42" s="38"/>
      <c r="Q42" s="38"/>
      <c r="R42" s="38"/>
      <c r="S42" s="151"/>
      <c r="T42" s="145">
        <v>3000</v>
      </c>
      <c r="U42" s="1073"/>
      <c r="V42" s="2689">
        <f t="shared" si="0"/>
        <v>0</v>
      </c>
      <c r="W42" s="575"/>
      <c r="X42" s="575"/>
      <c r="Y42" s="575"/>
      <c r="Z42" s="575"/>
      <c r="AA42" s="575"/>
      <c r="AB42" s="2690"/>
      <c r="AC42" s="2692"/>
    </row>
    <row r="43" spans="1:29" s="93" customFormat="1" ht="23.1" customHeight="1" thickBot="1">
      <c r="A43" s="970"/>
      <c r="B43" s="43" t="s">
        <v>456</v>
      </c>
      <c r="C43" s="2828"/>
      <c r="D43" s="2829"/>
      <c r="E43" s="1508">
        <f>SUM(E44:E48)</f>
        <v>4553300</v>
      </c>
      <c r="F43" s="1508">
        <f>SUM(F44:F48)</f>
        <v>3553300</v>
      </c>
      <c r="G43" s="2830">
        <f>+E43-F43</f>
        <v>1000000</v>
      </c>
      <c r="H43" s="580"/>
      <c r="I43" s="39"/>
      <c r="J43" s="40"/>
      <c r="K43" s="40"/>
      <c r="L43" s="41"/>
      <c r="M43" s="41"/>
      <c r="N43" s="41"/>
      <c r="O43" s="41"/>
      <c r="P43" s="41"/>
      <c r="Q43" s="41"/>
      <c r="R43" s="41"/>
      <c r="S43" s="41"/>
      <c r="T43" s="42"/>
      <c r="U43" s="577"/>
      <c r="V43" s="2689">
        <f t="shared" si="0"/>
        <v>0</v>
      </c>
      <c r="W43" s="575"/>
      <c r="X43" s="575"/>
      <c r="Y43" s="575"/>
      <c r="Z43" s="575"/>
      <c r="AA43" s="578"/>
      <c r="AB43" s="2693"/>
      <c r="AC43" s="575"/>
    </row>
    <row r="44" spans="1:29" s="568" customFormat="1" ht="22.5" customHeight="1">
      <c r="A44" s="47"/>
      <c r="B44" s="969"/>
      <c r="C44" s="2839" t="s">
        <v>5007</v>
      </c>
      <c r="D44" s="1554"/>
      <c r="E44" s="1544">
        <f>+T44</f>
        <v>1530000</v>
      </c>
      <c r="F44" s="1544">
        <v>1530000</v>
      </c>
      <c r="G44" s="1571">
        <f>E44-F44</f>
        <v>0</v>
      </c>
      <c r="H44" s="45"/>
      <c r="I44" s="1125" t="s">
        <v>5051</v>
      </c>
      <c r="J44" s="148"/>
      <c r="K44" s="1073"/>
      <c r="L44" s="1073"/>
      <c r="M44" s="1073"/>
      <c r="N44" s="1065"/>
      <c r="O44" s="1065"/>
      <c r="P44" s="1065"/>
      <c r="Q44" s="1065"/>
      <c r="R44" s="1065"/>
      <c r="S44" s="151" t="s">
        <v>266</v>
      </c>
      <c r="T44" s="145">
        <v>1530000</v>
      </c>
      <c r="U44" s="1073"/>
      <c r="V44" s="2689">
        <f t="shared" si="0"/>
        <v>0</v>
      </c>
      <c r="W44" s="2689"/>
      <c r="X44" s="2689"/>
      <c r="Y44" s="2689"/>
      <c r="Z44" s="2689"/>
      <c r="AA44" s="2689"/>
      <c r="AB44" s="2690"/>
      <c r="AC44" s="2692"/>
    </row>
    <row r="45" spans="1:29" s="986" customFormat="1" ht="22.5" customHeight="1">
      <c r="A45" s="47"/>
      <c r="B45" s="2314"/>
      <c r="C45" s="2840" t="s">
        <v>5008</v>
      </c>
      <c r="D45" s="1554"/>
      <c r="E45" s="1544">
        <v>100000</v>
      </c>
      <c r="F45" s="1544">
        <v>0</v>
      </c>
      <c r="G45" s="1571">
        <f t="shared" ref="G45:G48" si="22">E45-F45</f>
        <v>100000</v>
      </c>
      <c r="H45" s="45"/>
      <c r="I45" s="1125" t="s">
        <v>5045</v>
      </c>
      <c r="J45" s="148"/>
      <c r="K45" s="1073"/>
      <c r="L45" s="1073"/>
      <c r="M45" s="1073"/>
      <c r="N45" s="1065"/>
      <c r="O45" s="1065"/>
      <c r="P45" s="1065"/>
      <c r="Q45" s="1065"/>
      <c r="R45" s="1065"/>
      <c r="S45" s="151" t="s">
        <v>266</v>
      </c>
      <c r="T45" s="145">
        <v>100000</v>
      </c>
      <c r="U45" s="1073"/>
      <c r="V45" s="2689"/>
      <c r="W45" s="2689"/>
      <c r="X45" s="2689"/>
      <c r="Y45" s="2689"/>
      <c r="Z45" s="2689"/>
      <c r="AA45" s="2689"/>
      <c r="AB45" s="2690"/>
      <c r="AC45" s="2692"/>
    </row>
    <row r="46" spans="1:29" s="986" customFormat="1" ht="22.5" customHeight="1">
      <c r="A46" s="47"/>
      <c r="B46" s="2314"/>
      <c r="C46" s="2840" t="s">
        <v>5009</v>
      </c>
      <c r="D46" s="1554"/>
      <c r="E46" s="1544">
        <f t="shared" ref="E46" si="23">+T46</f>
        <v>1723300</v>
      </c>
      <c r="F46" s="1544">
        <v>1723300</v>
      </c>
      <c r="G46" s="1571">
        <f t="shared" si="22"/>
        <v>0</v>
      </c>
      <c r="H46" s="45"/>
      <c r="I46" s="1125" t="s">
        <v>5091</v>
      </c>
      <c r="J46" s="148"/>
      <c r="K46" s="1073"/>
      <c r="L46" s="1073"/>
      <c r="M46" s="1073"/>
      <c r="N46" s="1065"/>
      <c r="O46" s="1065"/>
      <c r="P46" s="1065"/>
      <c r="Q46" s="1065"/>
      <c r="R46" s="1065"/>
      <c r="S46" s="151" t="s">
        <v>266</v>
      </c>
      <c r="T46" s="145">
        <v>1723300</v>
      </c>
      <c r="U46" s="1073"/>
      <c r="V46" s="2689">
        <f t="shared" si="0"/>
        <v>0</v>
      </c>
      <c r="W46" s="2689"/>
      <c r="X46" s="2689"/>
      <c r="Y46" s="2689"/>
      <c r="Z46" s="2689"/>
      <c r="AA46" s="2689"/>
      <c r="AB46" s="2690"/>
      <c r="AC46" s="2692"/>
    </row>
    <row r="47" spans="1:29" s="986" customFormat="1" ht="22.5" customHeight="1">
      <c r="A47" s="47"/>
      <c r="B47" s="2314"/>
      <c r="C47" s="2840" t="s">
        <v>5010</v>
      </c>
      <c r="D47" s="1554"/>
      <c r="E47" s="1544">
        <v>300000</v>
      </c>
      <c r="F47" s="1544">
        <v>300000</v>
      </c>
      <c r="G47" s="1571">
        <f t="shared" si="22"/>
        <v>0</v>
      </c>
      <c r="H47" s="45"/>
      <c r="I47" s="1125" t="s">
        <v>1677</v>
      </c>
      <c r="J47" s="148"/>
      <c r="K47" s="1073"/>
      <c r="L47" s="1073"/>
      <c r="M47" s="1073"/>
      <c r="N47" s="1065"/>
      <c r="O47" s="1065"/>
      <c r="P47" s="1065"/>
      <c r="Q47" s="1065"/>
      <c r="R47" s="1065"/>
      <c r="S47" s="151" t="s">
        <v>266</v>
      </c>
      <c r="T47" s="145">
        <v>300000</v>
      </c>
      <c r="U47" s="1073"/>
      <c r="V47" s="2689"/>
      <c r="W47" s="2689"/>
      <c r="X47" s="2689"/>
      <c r="Y47" s="2689"/>
      <c r="Z47" s="2689"/>
      <c r="AA47" s="2689"/>
      <c r="AB47" s="2690"/>
      <c r="AC47" s="2692"/>
    </row>
    <row r="48" spans="1:29" s="568" customFormat="1" ht="22.5" customHeight="1" thickBot="1">
      <c r="A48" s="50"/>
      <c r="B48" s="2217"/>
      <c r="C48" s="2841" t="s">
        <v>5011</v>
      </c>
      <c r="D48" s="2202"/>
      <c r="E48" s="2309">
        <v>900000</v>
      </c>
      <c r="F48" s="2309">
        <v>0</v>
      </c>
      <c r="G48" s="1571">
        <f t="shared" si="22"/>
        <v>900000</v>
      </c>
      <c r="H48" s="45"/>
      <c r="I48" s="1125" t="s">
        <v>5090</v>
      </c>
      <c r="J48" s="148"/>
      <c r="K48" s="1073"/>
      <c r="L48" s="1073"/>
      <c r="M48" s="1073"/>
      <c r="N48" s="1065"/>
      <c r="O48" s="1065"/>
      <c r="P48" s="1065"/>
      <c r="Q48" s="1065"/>
      <c r="R48" s="1065"/>
      <c r="S48" s="151" t="s">
        <v>266</v>
      </c>
      <c r="T48" s="145">
        <v>900000</v>
      </c>
      <c r="U48" s="1073"/>
      <c r="V48" s="2689">
        <f t="shared" si="0"/>
        <v>0</v>
      </c>
      <c r="W48" s="2689"/>
      <c r="X48" s="2689"/>
      <c r="Y48" s="2689"/>
      <c r="Z48" s="2689"/>
      <c r="AA48" s="2689"/>
      <c r="AB48" s="2690"/>
      <c r="AC48" s="2692"/>
    </row>
    <row r="49" spans="1:27" s="568" customFormat="1" ht="30" customHeight="1">
      <c r="A49" s="51"/>
      <c r="B49" s="51"/>
      <c r="C49" s="51"/>
      <c r="D49" s="51"/>
      <c r="E49" s="52"/>
      <c r="F49" s="52"/>
      <c r="G49" s="36"/>
      <c r="H49" s="53"/>
      <c r="I49" s="53"/>
      <c r="J49" s="48"/>
      <c r="K49" s="567"/>
      <c r="L49" s="49"/>
      <c r="M49" s="2"/>
      <c r="N49" s="2"/>
      <c r="O49" s="2"/>
      <c r="P49" s="2"/>
      <c r="Q49" s="2"/>
      <c r="R49" s="2"/>
      <c r="S49" s="2"/>
      <c r="T49" s="54"/>
      <c r="U49" s="54"/>
      <c r="V49" s="1073"/>
      <c r="W49" s="579"/>
      <c r="X49" s="579"/>
      <c r="Y49" s="579"/>
      <c r="Z49" s="579"/>
      <c r="AA49" s="150"/>
    </row>
    <row r="54" spans="1:27">
      <c r="I54" s="141"/>
    </row>
    <row r="90" hidden="1"/>
    <row r="91" hidden="1"/>
    <row r="92" hidden="1"/>
    <row r="93" hidden="1"/>
    <row r="94" hidden="1"/>
    <row r="95" hidden="1"/>
    <row r="96" hidden="1"/>
    <row r="97" hidden="1"/>
    <row r="639" spans="7:7">
      <c r="G639" s="141"/>
    </row>
    <row r="652" spans="7:7">
      <c r="G652" s="141"/>
    </row>
  </sheetData>
  <mergeCells count="7">
    <mergeCell ref="A1:T2"/>
    <mergeCell ref="W2:Y2"/>
    <mergeCell ref="A4:D4"/>
    <mergeCell ref="E4:E5"/>
    <mergeCell ref="F4:F5"/>
    <mergeCell ref="G4:G5"/>
    <mergeCell ref="I4:T5"/>
  </mergeCells>
  <phoneticPr fontId="19" type="noConversion"/>
  <printOptions horizontalCentered="1"/>
  <pageMargins left="0.59055118110236227" right="0.59055118110236227" top="0.74803149606299213" bottom="0.47244094488188981" header="0.51181102362204722" footer="0.31496062992125984"/>
  <pageSetup paperSize="9" scale="43" firstPageNumber="3" fitToHeight="100" orientation="landscape" useFirstPageNumber="1" r:id="rId1"/>
  <headerFooter scaleWithDoc="0"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598"/>
  <sheetViews>
    <sheetView view="pageBreakPreview" zoomScale="70" zoomScaleNormal="75" zoomScaleSheetLayoutView="70" workbookViewId="0">
      <pane ySplit="4" topLeftCell="A91" activePane="bottomLeft" state="frozen"/>
      <selection activeCell="Q61" sqref="Q61"/>
      <selection pane="bottomLeft" activeCell="T115" sqref="T115"/>
    </sheetView>
  </sheetViews>
  <sheetFormatPr defaultRowHeight="18.75"/>
  <cols>
    <col min="1" max="1" width="17" style="603" hidden="1" customWidth="1"/>
    <col min="2" max="5" width="6.77734375" style="1114" customWidth="1"/>
    <col min="6" max="6" width="25.77734375" style="1114" customWidth="1"/>
    <col min="7" max="8" width="14" style="601" customWidth="1"/>
    <col min="9" max="9" width="14" style="173" customWidth="1"/>
    <col min="10" max="10" width="1.5546875" style="158" customWidth="1"/>
    <col min="11" max="11" width="2.88671875" style="159" customWidth="1"/>
    <col min="12" max="12" width="1.88671875" style="156" customWidth="1"/>
    <col min="13" max="13" width="8.77734375" style="156" customWidth="1"/>
    <col min="14" max="14" width="10.33203125" style="156" customWidth="1"/>
    <col min="15" max="15" width="7.5546875" style="156" customWidth="1"/>
    <col min="16" max="16" width="11.109375" style="160" customWidth="1"/>
    <col min="17" max="17" width="10.109375" style="160" customWidth="1"/>
    <col min="18" max="18" width="7.77734375" style="156" customWidth="1"/>
    <col min="19" max="19" width="6.77734375" style="156" customWidth="1"/>
    <col min="20" max="20" width="14.77734375" style="156" customWidth="1"/>
    <col min="21" max="22" width="6.88671875" style="156" customWidth="1"/>
    <col min="23" max="23" width="8.33203125" style="156" customWidth="1"/>
    <col min="24" max="24" width="6.77734375" style="156" customWidth="1"/>
    <col min="25" max="25" width="3" style="203" customWidth="1"/>
    <col min="26" max="26" width="14.77734375" style="593" customWidth="1"/>
    <col min="27" max="27" width="17.44140625" style="153" customWidth="1"/>
    <col min="28" max="28" width="14.77734375" style="153" customWidth="1"/>
    <col min="29" max="29" width="20.5546875" style="176" customWidth="1"/>
    <col min="30" max="31" width="16.109375" style="162" customWidth="1"/>
    <col min="32" max="16384" width="8.88671875" style="162"/>
  </cols>
  <sheetData>
    <row r="1" spans="1:29" ht="27" customHeight="1">
      <c r="B1" s="3315" t="s">
        <v>5063</v>
      </c>
      <c r="C1" s="3315"/>
      <c r="D1" s="3315"/>
      <c r="E1" s="3315"/>
      <c r="F1" s="3315"/>
      <c r="G1" s="3315"/>
      <c r="H1" s="3315"/>
      <c r="I1" s="3315"/>
      <c r="J1" s="3315"/>
      <c r="K1" s="3315"/>
      <c r="L1" s="3315"/>
      <c r="M1" s="3315"/>
      <c r="N1" s="3315"/>
      <c r="O1" s="3315"/>
      <c r="P1" s="3315"/>
      <c r="Q1" s="3315"/>
      <c r="R1" s="3315"/>
      <c r="S1" s="3315"/>
      <c r="T1" s="3315"/>
      <c r="U1" s="3315"/>
      <c r="V1" s="3315"/>
      <c r="W1" s="3315"/>
      <c r="X1" s="3315"/>
      <c r="Y1" s="3315"/>
      <c r="Z1" s="3315"/>
      <c r="AA1" s="1248"/>
      <c r="AB1" s="163"/>
    </row>
    <row r="2" spans="1:29" s="113" customFormat="1" ht="24" customHeight="1" thickBot="1">
      <c r="A2" s="202"/>
      <c r="B2" s="803"/>
      <c r="C2" s="803"/>
      <c r="D2" s="803"/>
      <c r="E2" s="803" t="s">
        <v>44</v>
      </c>
      <c r="F2" s="594"/>
      <c r="G2" s="594"/>
      <c r="H2" s="594"/>
      <c r="I2" s="1083" t="s">
        <v>171</v>
      </c>
      <c r="J2" s="2624"/>
      <c r="K2" s="803" t="s">
        <v>44</v>
      </c>
      <c r="L2" s="773" t="s">
        <v>44</v>
      </c>
      <c r="M2" s="803"/>
      <c r="N2" s="369"/>
      <c r="O2" s="275"/>
      <c r="P2" s="1250"/>
      <c r="Q2" s="1250"/>
      <c r="R2" s="1251"/>
      <c r="S2" s="1251"/>
      <c r="T2" s="1251"/>
      <c r="U2" s="1251"/>
      <c r="V2" s="1251"/>
      <c r="W2" s="1251"/>
      <c r="X2" s="1251"/>
      <c r="Y2" s="1252"/>
      <c r="Z2" s="1083" t="s">
        <v>149</v>
      </c>
      <c r="AA2" s="275"/>
      <c r="AB2" s="305"/>
      <c r="AC2" s="305"/>
    </row>
    <row r="3" spans="1:29" s="165" customFormat="1" ht="24" customHeight="1">
      <c r="A3" s="602" t="s">
        <v>437</v>
      </c>
      <c r="B3" s="3316" t="s">
        <v>188</v>
      </c>
      <c r="C3" s="3317"/>
      <c r="D3" s="3317"/>
      <c r="E3" s="3317"/>
      <c r="F3" s="3318"/>
      <c r="G3" s="3254" t="s">
        <v>317</v>
      </c>
      <c r="H3" s="3256" t="s">
        <v>423</v>
      </c>
      <c r="I3" s="3377" t="s">
        <v>11</v>
      </c>
      <c r="J3" s="2624"/>
      <c r="K3" s="3321" t="s">
        <v>190</v>
      </c>
      <c r="L3" s="3322"/>
      <c r="M3" s="3322"/>
      <c r="N3" s="3322"/>
      <c r="O3" s="3322"/>
      <c r="P3" s="3322"/>
      <c r="Q3" s="3322"/>
      <c r="R3" s="3322"/>
      <c r="S3" s="3322"/>
      <c r="T3" s="3322"/>
      <c r="U3" s="3322"/>
      <c r="V3" s="3322"/>
      <c r="W3" s="3322"/>
      <c r="X3" s="3322"/>
      <c r="Y3" s="3322"/>
      <c r="Z3" s="3323"/>
      <c r="AA3" s="1253"/>
      <c r="AB3" s="305"/>
      <c r="AC3" s="312"/>
    </row>
    <row r="4" spans="1:29" s="2557" customFormat="1" ht="24" customHeight="1" thickBot="1">
      <c r="A4" s="604"/>
      <c r="B4" s="2560" t="s">
        <v>12</v>
      </c>
      <c r="C4" s="1101" t="s">
        <v>204</v>
      </c>
      <c r="D4" s="2653" t="s">
        <v>191</v>
      </c>
      <c r="E4" s="2653" t="s">
        <v>450</v>
      </c>
      <c r="F4" s="2653"/>
      <c r="G4" s="3255"/>
      <c r="H4" s="3257"/>
      <c r="I4" s="3378"/>
      <c r="J4" s="2624"/>
      <c r="K4" s="3324"/>
      <c r="L4" s="3325"/>
      <c r="M4" s="3325"/>
      <c r="N4" s="3325"/>
      <c r="O4" s="3325"/>
      <c r="P4" s="3325"/>
      <c r="Q4" s="3325"/>
      <c r="R4" s="3325"/>
      <c r="S4" s="3325"/>
      <c r="T4" s="3325"/>
      <c r="U4" s="3325"/>
      <c r="V4" s="3325"/>
      <c r="W4" s="3325"/>
      <c r="X4" s="3325"/>
      <c r="Y4" s="3325"/>
      <c r="Z4" s="3326"/>
      <c r="AA4" s="1084"/>
      <c r="AB4" s="305"/>
      <c r="AC4" s="312"/>
    </row>
    <row r="5" spans="1:29" s="2557" customFormat="1" ht="24" customHeight="1" thickBot="1">
      <c r="A5" s="604"/>
      <c r="B5" s="422" t="s">
        <v>562</v>
      </c>
      <c r="C5" s="397"/>
      <c r="D5" s="397"/>
      <c r="E5" s="397"/>
      <c r="F5" s="397"/>
      <c r="G5" s="617">
        <f>G6+G8+G13+G67+G86+G90+G98+G106+G110+G112</f>
        <v>38132028.702</v>
      </c>
      <c r="H5" s="617">
        <f>H6+H8+H13+H67+H86+H90+H98+H106+H110+H112</f>
        <v>36453178.702</v>
      </c>
      <c r="I5" s="1405">
        <f>G5-H5</f>
        <v>1678850</v>
      </c>
      <c r="J5" s="2624"/>
      <c r="K5" s="2608"/>
      <c r="L5" s="2609"/>
      <c r="M5" s="2609"/>
      <c r="N5" s="2609"/>
      <c r="O5" s="2609"/>
      <c r="P5" s="2609"/>
      <c r="Q5" s="2609"/>
      <c r="R5" s="2609"/>
      <c r="S5" s="2609"/>
      <c r="T5" s="2609"/>
      <c r="U5" s="2609"/>
      <c r="V5" s="2609"/>
      <c r="W5" s="2609"/>
      <c r="X5" s="2609"/>
      <c r="Y5" s="2609"/>
      <c r="Z5" s="2610"/>
      <c r="AA5" s="1084"/>
      <c r="AB5" s="305"/>
      <c r="AC5" s="312"/>
    </row>
    <row r="6" spans="1:29" s="2557" customFormat="1" ht="24" customHeight="1" thickBot="1">
      <c r="A6" s="604"/>
      <c r="B6" s="422" t="s">
        <v>556</v>
      </c>
      <c r="C6" s="1102"/>
      <c r="D6" s="1102"/>
      <c r="E6" s="1102"/>
      <c r="F6" s="1102"/>
      <c r="G6" s="595">
        <v>0</v>
      </c>
      <c r="H6" s="595">
        <f t="shared" ref="H6" si="0">+H7</f>
        <v>0</v>
      </c>
      <c r="I6" s="1406">
        <f t="shared" ref="I6:I17" si="1">G6-H6</f>
        <v>0</v>
      </c>
      <c r="J6" s="2624"/>
      <c r="K6" s="1256"/>
      <c r="L6" s="1257"/>
      <c r="M6" s="1257"/>
      <c r="N6" s="1257"/>
      <c r="O6" s="1257"/>
      <c r="P6" s="1257"/>
      <c r="Q6" s="1257"/>
      <c r="R6" s="1257"/>
      <c r="S6" s="1257"/>
      <c r="T6" s="1257"/>
      <c r="U6" s="1257"/>
      <c r="V6" s="1257"/>
      <c r="W6" s="1257"/>
      <c r="X6" s="1257"/>
      <c r="Y6" s="1257"/>
      <c r="Z6" s="1407"/>
      <c r="AA6" s="1259"/>
      <c r="AB6" s="305"/>
      <c r="AC6" s="301">
        <f>G6*1000000</f>
        <v>0</v>
      </c>
    </row>
    <row r="7" spans="1:29" s="584" customFormat="1" ht="24" hidden="1" customHeight="1" thickBot="1">
      <c r="A7" s="605"/>
      <c r="B7" s="1103" t="s">
        <v>44</v>
      </c>
      <c r="C7" s="417" t="s">
        <v>3871</v>
      </c>
      <c r="D7" s="418"/>
      <c r="E7" s="418"/>
      <c r="F7" s="419"/>
      <c r="G7" s="596">
        <v>0</v>
      </c>
      <c r="H7" s="596">
        <v>0</v>
      </c>
      <c r="I7" s="421">
        <f t="shared" si="1"/>
        <v>0</v>
      </c>
      <c r="J7" s="611"/>
      <c r="K7" s="422"/>
      <c r="L7" s="423"/>
      <c r="M7" s="1408"/>
      <c r="N7" s="1408"/>
      <c r="O7" s="1408"/>
      <c r="P7" s="423"/>
      <c r="Q7" s="423"/>
      <c r="R7" s="423"/>
      <c r="S7" s="423"/>
      <c r="T7" s="423"/>
      <c r="U7" s="423"/>
      <c r="V7" s="423"/>
      <c r="W7" s="423"/>
      <c r="X7" s="423"/>
      <c r="Y7" s="2605"/>
      <c r="Z7" s="1409"/>
      <c r="AA7" s="1410"/>
      <c r="AB7" s="583"/>
      <c r="AC7" s="301">
        <f t="shared" ref="AC7" si="2">G7*1000000</f>
        <v>0</v>
      </c>
    </row>
    <row r="8" spans="1:29" s="2557" customFormat="1" ht="24" customHeight="1" thickBot="1">
      <c r="A8" s="604"/>
      <c r="B8" s="422" t="s">
        <v>3872</v>
      </c>
      <c r="C8" s="1102"/>
      <c r="D8" s="1102"/>
      <c r="E8" s="1102"/>
      <c r="F8" s="1102"/>
      <c r="G8" s="595">
        <f>+G9+G10</f>
        <v>100000</v>
      </c>
      <c r="H8" s="595">
        <f>+H9+H10</f>
        <v>100000</v>
      </c>
      <c r="I8" s="1406">
        <f t="shared" si="1"/>
        <v>0</v>
      </c>
      <c r="J8" s="2624"/>
      <c r="K8" s="1256"/>
      <c r="L8" s="1257"/>
      <c r="M8" s="1257"/>
      <c r="N8" s="1257"/>
      <c r="O8" s="1257"/>
      <c r="P8" s="1257"/>
      <c r="Q8" s="1257"/>
      <c r="R8" s="1257"/>
      <c r="S8" s="1257"/>
      <c r="T8" s="1257"/>
      <c r="U8" s="1257"/>
      <c r="V8" s="1257"/>
      <c r="W8" s="1257"/>
      <c r="X8" s="1257"/>
      <c r="Y8" s="1257"/>
      <c r="Z8" s="1407"/>
      <c r="AA8" s="1259"/>
      <c r="AB8" s="305"/>
      <c r="AC8" s="301">
        <f>G8*1000000</f>
        <v>100000000000</v>
      </c>
    </row>
    <row r="9" spans="1:29" s="584" customFormat="1" ht="24" hidden="1" customHeight="1" thickBot="1">
      <c r="A9" s="605"/>
      <c r="B9" s="1103" t="s">
        <v>3873</v>
      </c>
      <c r="C9" s="417" t="s">
        <v>3874</v>
      </c>
      <c r="D9" s="418"/>
      <c r="E9" s="418"/>
      <c r="F9" s="419"/>
      <c r="G9" s="596">
        <v>0</v>
      </c>
      <c r="H9" s="596">
        <v>0</v>
      </c>
      <c r="I9" s="421">
        <f t="shared" si="1"/>
        <v>0</v>
      </c>
      <c r="J9" s="611"/>
      <c r="K9" s="422"/>
      <c r="L9" s="423"/>
      <c r="M9" s="1408"/>
      <c r="N9" s="1408"/>
      <c r="O9" s="1408"/>
      <c r="P9" s="423"/>
      <c r="Q9" s="423"/>
      <c r="R9" s="423"/>
      <c r="S9" s="423"/>
      <c r="T9" s="423"/>
      <c r="U9" s="423"/>
      <c r="V9" s="423"/>
      <c r="W9" s="423"/>
      <c r="X9" s="423"/>
      <c r="Y9" s="2605"/>
      <c r="Z9" s="1409"/>
      <c r="AA9" s="1410"/>
      <c r="AB9" s="583"/>
      <c r="AC9" s="301">
        <f t="shared" ref="AC9:AC12" si="3">G9*1000000</f>
        <v>0</v>
      </c>
    </row>
    <row r="10" spans="1:29" s="584" customFormat="1" ht="24" customHeight="1" thickBot="1">
      <c r="A10" s="605"/>
      <c r="B10" s="1103" t="s">
        <v>3873</v>
      </c>
      <c r="C10" s="416" t="s">
        <v>3875</v>
      </c>
      <c r="D10" s="417"/>
      <c r="E10" s="418"/>
      <c r="F10" s="419"/>
      <c r="G10" s="596">
        <f>G11</f>
        <v>100000</v>
      </c>
      <c r="H10" s="596">
        <f>H11</f>
        <v>100000</v>
      </c>
      <c r="I10" s="421">
        <f t="shared" si="1"/>
        <v>0</v>
      </c>
      <c r="J10" s="611"/>
      <c r="K10" s="422"/>
      <c r="L10" s="423"/>
      <c r="M10" s="1408"/>
      <c r="N10" s="1408"/>
      <c r="O10" s="1408"/>
      <c r="P10" s="423"/>
      <c r="Q10" s="423"/>
      <c r="R10" s="423"/>
      <c r="S10" s="423"/>
      <c r="T10" s="423"/>
      <c r="U10" s="423"/>
      <c r="V10" s="423"/>
      <c r="W10" s="423"/>
      <c r="X10" s="423"/>
      <c r="Y10" s="2605"/>
      <c r="Z10" s="1409"/>
      <c r="AA10" s="1410"/>
      <c r="AB10" s="583"/>
      <c r="AC10" s="301">
        <f t="shared" si="3"/>
        <v>100000000000</v>
      </c>
    </row>
    <row r="11" spans="1:29" s="2558" customFormat="1" ht="24" customHeight="1">
      <c r="A11" s="2553" t="s">
        <v>3876</v>
      </c>
      <c r="B11" s="396"/>
      <c r="C11" s="2806"/>
      <c r="D11" s="3526" t="s">
        <v>3877</v>
      </c>
      <c r="E11" s="3385"/>
      <c r="F11" s="3527"/>
      <c r="G11" s="598">
        <f>+G12</f>
        <v>100000</v>
      </c>
      <c r="H11" s="598">
        <f>H12</f>
        <v>100000</v>
      </c>
      <c r="I11" s="2186">
        <f t="shared" si="1"/>
        <v>0</v>
      </c>
      <c r="J11" s="2624"/>
      <c r="K11" s="2284"/>
      <c r="L11" s="2619"/>
      <c r="M11" s="2619"/>
      <c r="N11" s="2619"/>
      <c r="O11" s="2619"/>
      <c r="P11" s="2619"/>
      <c r="Q11" s="2619"/>
      <c r="R11" s="2619"/>
      <c r="S11" s="2619"/>
      <c r="T11" s="2619"/>
      <c r="U11" s="2619"/>
      <c r="V11" s="2619"/>
      <c r="W11" s="2619"/>
      <c r="X11" s="2619"/>
      <c r="Y11" s="426"/>
      <c r="Z11" s="427"/>
      <c r="AA11" s="440"/>
      <c r="AB11" s="301"/>
      <c r="AC11" s="301">
        <f t="shared" si="3"/>
        <v>100000000000</v>
      </c>
    </row>
    <row r="12" spans="1:29" s="2558" customFormat="1" ht="24" customHeight="1" thickBot="1">
      <c r="A12" s="2553"/>
      <c r="B12" s="396"/>
      <c r="C12" s="2806"/>
      <c r="D12" s="1095"/>
      <c r="E12" s="3312" t="s">
        <v>3877</v>
      </c>
      <c r="F12" s="3313"/>
      <c r="G12" s="1683">
        <v>100000</v>
      </c>
      <c r="H12" s="1683">
        <v>100000</v>
      </c>
      <c r="I12" s="468"/>
      <c r="J12" s="1083">
        <f>H12-I12</f>
        <v>100000</v>
      </c>
      <c r="K12" s="394"/>
      <c r="L12" s="2598"/>
      <c r="M12" s="2598"/>
      <c r="N12" s="2598"/>
      <c r="O12" s="2598"/>
      <c r="P12" s="2598"/>
      <c r="Q12" s="2598"/>
      <c r="R12" s="2598"/>
      <c r="S12" s="395"/>
      <c r="T12" s="2598"/>
      <c r="U12" s="2598"/>
      <c r="V12" s="2598"/>
      <c r="W12" s="2598"/>
      <c r="X12" s="2598"/>
      <c r="Y12" s="430"/>
      <c r="Z12" s="442"/>
      <c r="AA12" s="440"/>
      <c r="AB12" s="301"/>
      <c r="AC12" s="301">
        <f t="shared" si="3"/>
        <v>100000000000</v>
      </c>
    </row>
    <row r="13" spans="1:29" s="2557" customFormat="1" ht="24" customHeight="1" thickBot="1">
      <c r="A13" s="604"/>
      <c r="B13" s="422" t="s">
        <v>3878</v>
      </c>
      <c r="C13" s="1102"/>
      <c r="D13" s="1102"/>
      <c r="E13" s="1102"/>
      <c r="F13" s="1102"/>
      <c r="G13" s="595">
        <f>+G14+G28+G53+G54</f>
        <v>36615642</v>
      </c>
      <c r="H13" s="595">
        <f>+H14+H28+H53+H54</f>
        <v>35765642</v>
      </c>
      <c r="I13" s="1406">
        <f t="shared" si="1"/>
        <v>850000</v>
      </c>
      <c r="J13" s="2624"/>
      <c r="K13" s="1256"/>
      <c r="L13" s="1257"/>
      <c r="M13" s="1257"/>
      <c r="N13" s="1257"/>
      <c r="O13" s="1257"/>
      <c r="P13" s="1257"/>
      <c r="Q13" s="1257"/>
      <c r="R13" s="1257"/>
      <c r="S13" s="1257"/>
      <c r="T13" s="1257"/>
      <c r="U13" s="1257"/>
      <c r="V13" s="1257"/>
      <c r="W13" s="1257"/>
      <c r="X13" s="1257"/>
      <c r="Y13" s="1257"/>
      <c r="Z13" s="1407"/>
      <c r="AA13" s="1259"/>
      <c r="AB13" s="305"/>
      <c r="AC13" s="301">
        <f>G13*1000000</f>
        <v>36615642000000</v>
      </c>
    </row>
    <row r="14" spans="1:29" s="584" customFormat="1" ht="24" customHeight="1" thickBot="1">
      <c r="A14" s="605"/>
      <c r="B14" s="1103" t="s">
        <v>3873</v>
      </c>
      <c r="C14" s="416" t="s">
        <v>3879</v>
      </c>
      <c r="D14" s="417"/>
      <c r="E14" s="418"/>
      <c r="F14" s="419"/>
      <c r="G14" s="596">
        <f>G17+G19+G24+G26+G15</f>
        <v>6698000</v>
      </c>
      <c r="H14" s="596">
        <f>H17+H19+H24+H26+H15</f>
        <v>6698000</v>
      </c>
      <c r="I14" s="421">
        <f t="shared" si="1"/>
        <v>0</v>
      </c>
      <c r="J14" s="611"/>
      <c r="K14" s="422"/>
      <c r="L14" s="423"/>
      <c r="M14" s="1408"/>
      <c r="N14" s="1408"/>
      <c r="O14" s="1408"/>
      <c r="P14" s="423"/>
      <c r="Q14" s="423"/>
      <c r="R14" s="423"/>
      <c r="S14" s="423"/>
      <c r="T14" s="423"/>
      <c r="U14" s="423"/>
      <c r="V14" s="423"/>
      <c r="W14" s="423"/>
      <c r="X14" s="423"/>
      <c r="Y14" s="2605"/>
      <c r="Z14" s="1409"/>
      <c r="AA14" s="1410"/>
      <c r="AB14" s="583"/>
      <c r="AC14" s="301">
        <f t="shared" ref="AC14:AC25" si="4">G14*1000000</f>
        <v>6698000000000</v>
      </c>
    </row>
    <row r="15" spans="1:29" s="2558" customFormat="1" ht="23.25" customHeight="1">
      <c r="A15" s="2553" t="s">
        <v>3876</v>
      </c>
      <c r="B15" s="396"/>
      <c r="C15" s="2806"/>
      <c r="D15" s="3271" t="s">
        <v>3890</v>
      </c>
      <c r="E15" s="3271"/>
      <c r="F15" s="3272"/>
      <c r="G15" s="1683">
        <f>+G16</f>
        <v>3050000</v>
      </c>
      <c r="H15" s="1683">
        <f>+H16</f>
        <v>3050000</v>
      </c>
      <c r="I15" s="820">
        <f t="shared" ref="I15" si="5">G15-H15</f>
        <v>0</v>
      </c>
      <c r="J15" s="2624"/>
      <c r="K15" s="2643"/>
      <c r="L15" s="2644"/>
      <c r="M15" s="2624"/>
      <c r="N15" s="2624"/>
      <c r="O15" s="1673"/>
      <c r="P15" s="2624"/>
      <c r="Q15" s="2624"/>
      <c r="R15" s="1673"/>
      <c r="S15" s="2624"/>
      <c r="T15" s="1672"/>
      <c r="U15" s="2644"/>
      <c r="V15" s="2644"/>
      <c r="W15" s="1673"/>
      <c r="X15" s="2630"/>
      <c r="Y15" s="1140"/>
      <c r="Z15" s="406"/>
      <c r="AA15" s="407"/>
      <c r="AB15" s="301"/>
      <c r="AC15" s="301"/>
    </row>
    <row r="16" spans="1:29" s="2558" customFormat="1" ht="23.25" customHeight="1">
      <c r="A16" s="2553"/>
      <c r="B16" s="396"/>
      <c r="C16" s="2806"/>
      <c r="D16" s="397"/>
      <c r="E16" s="3312" t="s">
        <v>2983</v>
      </c>
      <c r="F16" s="3313"/>
      <c r="G16" s="1683">
        <v>3050000</v>
      </c>
      <c r="H16" s="1683">
        <v>3050000</v>
      </c>
      <c r="I16" s="468"/>
      <c r="J16" s="2624"/>
      <c r="K16" s="394"/>
      <c r="L16" s="2598"/>
      <c r="M16" s="2598"/>
      <c r="N16" s="2598"/>
      <c r="O16" s="2598"/>
      <c r="P16" s="2598"/>
      <c r="Q16" s="2598"/>
      <c r="R16" s="2598"/>
      <c r="S16" s="395"/>
      <c r="T16" s="2598"/>
      <c r="U16" s="2598"/>
      <c r="V16" s="2598"/>
      <c r="W16" s="2598"/>
      <c r="X16" s="2598"/>
      <c r="Y16" s="430"/>
      <c r="Z16" s="431"/>
      <c r="AA16" s="1192"/>
      <c r="AB16" s="301"/>
      <c r="AC16" s="301">
        <f>G16*1000000</f>
        <v>3050000000000</v>
      </c>
    </row>
    <row r="17" spans="1:29" s="2558" customFormat="1" ht="23.25" customHeight="1">
      <c r="A17" s="2553" t="s">
        <v>3876</v>
      </c>
      <c r="B17" s="396"/>
      <c r="C17" s="2806"/>
      <c r="D17" s="3277" t="s">
        <v>3880</v>
      </c>
      <c r="E17" s="3271"/>
      <c r="F17" s="3272"/>
      <c r="G17" s="597">
        <f>+G18</f>
        <v>1380000</v>
      </c>
      <c r="H17" s="597">
        <f>+H18</f>
        <v>1380000</v>
      </c>
      <c r="I17" s="820">
        <f t="shared" si="1"/>
        <v>0</v>
      </c>
      <c r="J17" s="2624"/>
      <c r="K17" s="2284"/>
      <c r="L17" s="2619"/>
      <c r="M17" s="2619"/>
      <c r="N17" s="2619"/>
      <c r="O17" s="2619"/>
      <c r="P17" s="2619"/>
      <c r="Q17" s="2619"/>
      <c r="R17" s="2619"/>
      <c r="S17" s="2619"/>
      <c r="T17" s="2619"/>
      <c r="U17" s="2619"/>
      <c r="V17" s="2619"/>
      <c r="W17" s="2619"/>
      <c r="X17" s="2619"/>
      <c r="Y17" s="426"/>
      <c r="Z17" s="549"/>
      <c r="AA17" s="440"/>
      <c r="AB17" s="301"/>
      <c r="AC17" s="301">
        <f t="shared" si="4"/>
        <v>1380000000000</v>
      </c>
    </row>
    <row r="18" spans="1:29" s="2558" customFormat="1" ht="23.25" customHeight="1">
      <c r="A18" s="2553"/>
      <c r="B18" s="396"/>
      <c r="C18" s="2806"/>
      <c r="D18" s="2800"/>
      <c r="E18" s="2786" t="s">
        <v>3881</v>
      </c>
      <c r="F18" s="2785"/>
      <c r="G18" s="597">
        <v>1380000</v>
      </c>
      <c r="H18" s="597">
        <v>1380000</v>
      </c>
      <c r="I18" s="468"/>
      <c r="J18" s="2624"/>
      <c r="K18" s="2284"/>
      <c r="L18" s="2619"/>
      <c r="M18" s="2619"/>
      <c r="N18" s="2619"/>
      <c r="O18" s="2619"/>
      <c r="P18" s="2619"/>
      <c r="Q18" s="2619"/>
      <c r="R18" s="2619"/>
      <c r="S18" s="2619"/>
      <c r="T18" s="2619"/>
      <c r="U18" s="2619"/>
      <c r="V18" s="2619"/>
      <c r="W18" s="2619"/>
      <c r="X18" s="2619"/>
      <c r="Y18" s="426"/>
      <c r="Z18" s="431"/>
      <c r="AA18" s="428"/>
      <c r="AB18" s="301"/>
      <c r="AC18" s="301">
        <f t="shared" si="4"/>
        <v>1380000000000</v>
      </c>
    </row>
    <row r="19" spans="1:29" s="2558" customFormat="1" ht="23.25" customHeight="1">
      <c r="A19" s="2553" t="s">
        <v>3876</v>
      </c>
      <c r="B19" s="396"/>
      <c r="C19" s="2806"/>
      <c r="D19" s="3271" t="s">
        <v>3882</v>
      </c>
      <c r="E19" s="3271"/>
      <c r="F19" s="3272"/>
      <c r="G19" s="1683">
        <f>+G20+G21+G22+G23</f>
        <v>300000</v>
      </c>
      <c r="H19" s="1683">
        <f>+H20+H21+H22+H23</f>
        <v>300000</v>
      </c>
      <c r="I19" s="820">
        <f t="shared" ref="I19" si="6">G19-H19</f>
        <v>0</v>
      </c>
      <c r="J19" s="2624"/>
      <c r="K19" s="394"/>
      <c r="L19" s="2598"/>
      <c r="M19" s="2598"/>
      <c r="N19" s="2598"/>
      <c r="O19" s="2598"/>
      <c r="P19" s="2598"/>
      <c r="Q19" s="2598"/>
      <c r="R19" s="2598"/>
      <c r="S19" s="2598"/>
      <c r="T19" s="2598"/>
      <c r="U19" s="2598"/>
      <c r="V19" s="2598"/>
      <c r="W19" s="2598"/>
      <c r="X19" s="2598"/>
      <c r="Y19" s="430"/>
      <c r="Z19" s="442"/>
      <c r="AA19" s="440"/>
      <c r="AB19" s="301"/>
      <c r="AC19" s="301">
        <f t="shared" si="4"/>
        <v>300000000000</v>
      </c>
    </row>
    <row r="20" spans="1:29" s="2558" customFormat="1" ht="23.25" customHeight="1">
      <c r="A20" s="2553"/>
      <c r="B20" s="396"/>
      <c r="C20" s="2806"/>
      <c r="D20" s="397"/>
      <c r="E20" s="3312" t="s">
        <v>3883</v>
      </c>
      <c r="F20" s="3313"/>
      <c r="G20" s="1683">
        <v>150000</v>
      </c>
      <c r="H20" s="1683">
        <v>150000</v>
      </c>
      <c r="I20" s="468"/>
      <c r="J20" s="2624"/>
      <c r="K20" s="394"/>
      <c r="L20" s="2598"/>
      <c r="M20" s="2598"/>
      <c r="N20" s="2598"/>
      <c r="O20" s="2598"/>
      <c r="P20" s="2598"/>
      <c r="Q20" s="2598"/>
      <c r="R20" s="2598"/>
      <c r="S20" s="395"/>
      <c r="T20" s="2598"/>
      <c r="U20" s="2598"/>
      <c r="V20" s="2598"/>
      <c r="W20" s="2598"/>
      <c r="X20" s="2598"/>
      <c r="Y20" s="430"/>
      <c r="Z20" s="439"/>
      <c r="AA20" s="1411"/>
      <c r="AB20" s="301"/>
      <c r="AC20" s="301">
        <f t="shared" si="4"/>
        <v>150000000000</v>
      </c>
    </row>
    <row r="21" spans="1:29" s="2558" customFormat="1" ht="23.25" customHeight="1">
      <c r="A21" s="2553"/>
      <c r="B21" s="396"/>
      <c r="C21" s="2806"/>
      <c r="D21" s="397"/>
      <c r="E21" s="3275" t="s">
        <v>3884</v>
      </c>
      <c r="F21" s="3276"/>
      <c r="G21" s="1683">
        <v>39400</v>
      </c>
      <c r="H21" s="1683">
        <v>39400</v>
      </c>
      <c r="I21" s="468"/>
      <c r="J21" s="2624"/>
      <c r="K21" s="394"/>
      <c r="L21" s="2598"/>
      <c r="M21" s="2598"/>
      <c r="N21" s="2598"/>
      <c r="O21" s="2598"/>
      <c r="P21" s="2598"/>
      <c r="Q21" s="2598"/>
      <c r="R21" s="2598"/>
      <c r="S21" s="395"/>
      <c r="T21" s="2598"/>
      <c r="U21" s="2598"/>
      <c r="V21" s="2598"/>
      <c r="W21" s="2598"/>
      <c r="X21" s="2598"/>
      <c r="Y21" s="430"/>
      <c r="Z21" s="439"/>
      <c r="AA21" s="1411"/>
      <c r="AB21" s="301"/>
      <c r="AC21" s="301">
        <f t="shared" si="4"/>
        <v>39400000000</v>
      </c>
    </row>
    <row r="22" spans="1:29" s="2558" customFormat="1" ht="23.25" customHeight="1">
      <c r="A22" s="2553"/>
      <c r="B22" s="396"/>
      <c r="C22" s="2806"/>
      <c r="D22" s="1110"/>
      <c r="E22" s="3275" t="s">
        <v>3885</v>
      </c>
      <c r="F22" s="3276"/>
      <c r="G22" s="1683">
        <v>102000</v>
      </c>
      <c r="H22" s="1683">
        <v>102000</v>
      </c>
      <c r="I22" s="468"/>
      <c r="J22" s="2624"/>
      <c r="K22" s="394"/>
      <c r="L22" s="2598"/>
      <c r="M22" s="2598"/>
      <c r="N22" s="2598"/>
      <c r="O22" s="2598"/>
      <c r="P22" s="2598"/>
      <c r="Q22" s="2598"/>
      <c r="R22" s="2598"/>
      <c r="S22" s="395"/>
      <c r="T22" s="2598"/>
      <c r="U22" s="2598"/>
      <c r="V22" s="2598"/>
      <c r="W22" s="2598"/>
      <c r="X22" s="2598"/>
      <c r="Y22" s="430"/>
      <c r="Z22" s="439"/>
      <c r="AA22" s="1411"/>
      <c r="AB22" s="301"/>
      <c r="AC22" s="301">
        <f t="shared" si="4"/>
        <v>102000000000</v>
      </c>
    </row>
    <row r="23" spans="1:29" ht="23.25" customHeight="1">
      <c r="B23" s="411"/>
      <c r="C23" s="412"/>
      <c r="D23" s="1111"/>
      <c r="E23" s="3275" t="s">
        <v>3886</v>
      </c>
      <c r="F23" s="3276"/>
      <c r="G23" s="429">
        <v>8600</v>
      </c>
      <c r="H23" s="429">
        <v>8600</v>
      </c>
      <c r="I23" s="386"/>
      <c r="J23" s="2624"/>
      <c r="K23" s="394"/>
      <c r="L23" s="2598"/>
      <c r="M23" s="2598"/>
      <c r="N23" s="2598"/>
      <c r="O23" s="2598"/>
      <c r="P23" s="2598"/>
      <c r="Q23" s="2598"/>
      <c r="R23" s="2598"/>
      <c r="S23" s="395"/>
      <c r="T23" s="2598"/>
      <c r="U23" s="2598"/>
      <c r="V23" s="2598"/>
      <c r="W23" s="2598"/>
      <c r="X23" s="2598"/>
      <c r="Y23" s="430"/>
      <c r="Z23" s="439"/>
      <c r="AA23" s="1411"/>
      <c r="AB23" s="301"/>
      <c r="AC23" s="301">
        <f t="shared" si="4"/>
        <v>8600000000</v>
      </c>
    </row>
    <row r="24" spans="1:29" s="2558" customFormat="1" ht="23.25" customHeight="1">
      <c r="A24" s="2553" t="s">
        <v>3876</v>
      </c>
      <c r="B24" s="396"/>
      <c r="C24" s="2806"/>
      <c r="D24" s="3271" t="s">
        <v>436</v>
      </c>
      <c r="E24" s="3271"/>
      <c r="F24" s="3272"/>
      <c r="G24" s="1683">
        <f>+G25</f>
        <v>1500000</v>
      </c>
      <c r="H24" s="1683">
        <f>H25</f>
        <v>1500000</v>
      </c>
      <c r="I24" s="820">
        <f t="shared" ref="I24" si="7">G24-H24</f>
        <v>0</v>
      </c>
      <c r="J24" s="2624"/>
      <c r="K24" s="2643"/>
      <c r="L24" s="2644"/>
      <c r="M24" s="2624"/>
      <c r="N24" s="2624"/>
      <c r="O24" s="1673"/>
      <c r="P24" s="2624"/>
      <c r="Q24" s="2624"/>
      <c r="R24" s="1673"/>
      <c r="S24" s="2624"/>
      <c r="T24" s="1672"/>
      <c r="U24" s="2644"/>
      <c r="V24" s="2644"/>
      <c r="W24" s="1673"/>
      <c r="X24" s="2630"/>
      <c r="Y24" s="1140"/>
      <c r="Z24" s="406"/>
      <c r="AA24" s="407"/>
      <c r="AB24" s="301"/>
      <c r="AC24" s="301"/>
    </row>
    <row r="25" spans="1:29" s="2558" customFormat="1" ht="23.25" customHeight="1">
      <c r="A25" s="2553"/>
      <c r="B25" s="396"/>
      <c r="C25" s="2806"/>
      <c r="D25" s="397"/>
      <c r="E25" s="3312" t="s">
        <v>3887</v>
      </c>
      <c r="F25" s="3313"/>
      <c r="G25" s="1683">
        <v>1500000</v>
      </c>
      <c r="H25" s="1683">
        <v>1500000</v>
      </c>
      <c r="I25" s="468"/>
      <c r="J25" s="2624"/>
      <c r="K25" s="394"/>
      <c r="L25" s="2598"/>
      <c r="M25" s="2598"/>
      <c r="N25" s="2598"/>
      <c r="O25" s="2598"/>
      <c r="P25" s="2598"/>
      <c r="Q25" s="2598"/>
      <c r="R25" s="2598"/>
      <c r="S25" s="395"/>
      <c r="T25" s="2598"/>
      <c r="U25" s="2598"/>
      <c r="V25" s="2598"/>
      <c r="W25" s="2598"/>
      <c r="X25" s="2598"/>
      <c r="Y25" s="430"/>
      <c r="Z25" s="431"/>
      <c r="AA25" s="1192"/>
      <c r="AB25" s="301"/>
      <c r="AC25" s="301">
        <f t="shared" si="4"/>
        <v>1500000000000</v>
      </c>
    </row>
    <row r="26" spans="1:29" ht="23.25" customHeight="1">
      <c r="A26" s="2553" t="s">
        <v>3876</v>
      </c>
      <c r="B26" s="411"/>
      <c r="C26" s="412"/>
      <c r="D26" s="3271" t="s">
        <v>3888</v>
      </c>
      <c r="E26" s="3271"/>
      <c r="F26" s="3272"/>
      <c r="G26" s="1683">
        <f>+G27</f>
        <v>468000</v>
      </c>
      <c r="H26" s="1683">
        <f>+H27</f>
        <v>468000</v>
      </c>
      <c r="I26" s="820">
        <f t="shared" ref="I26" si="8">G26-H26</f>
        <v>0</v>
      </c>
      <c r="J26" s="2624"/>
      <c r="K26" s="2643"/>
      <c r="L26" s="2624"/>
      <c r="M26" s="2624"/>
      <c r="N26" s="2624"/>
      <c r="O26" s="2624"/>
      <c r="P26" s="2624"/>
      <c r="Q26" s="2624"/>
      <c r="R26" s="408"/>
      <c r="S26" s="2630"/>
      <c r="T26" s="1672"/>
      <c r="U26" s="2644"/>
      <c r="V26" s="2644"/>
      <c r="W26" s="2644"/>
      <c r="X26" s="2644"/>
      <c r="Y26" s="1140"/>
      <c r="Z26" s="406"/>
      <c r="AA26" s="407"/>
      <c r="AB26" s="301"/>
      <c r="AC26" s="301"/>
    </row>
    <row r="27" spans="1:29" s="2558" customFormat="1" ht="23.25" customHeight="1" thickBot="1">
      <c r="A27" s="2553"/>
      <c r="B27" s="396"/>
      <c r="C27" s="2806"/>
      <c r="D27" s="1110"/>
      <c r="E27" s="3312" t="s">
        <v>3889</v>
      </c>
      <c r="F27" s="3313"/>
      <c r="G27" s="429">
        <v>468000</v>
      </c>
      <c r="H27" s="429">
        <v>468000</v>
      </c>
      <c r="I27" s="386"/>
      <c r="J27" s="2624"/>
      <c r="K27" s="394"/>
      <c r="L27" s="2598"/>
      <c r="M27" s="2598"/>
      <c r="N27" s="2598"/>
      <c r="O27" s="2598"/>
      <c r="P27" s="2598"/>
      <c r="Q27" s="2598"/>
      <c r="R27" s="2598"/>
      <c r="S27" s="395"/>
      <c r="T27" s="2598"/>
      <c r="U27" s="2598"/>
      <c r="V27" s="2598"/>
      <c r="W27" s="2598"/>
      <c r="X27" s="2598"/>
      <c r="Y27" s="430"/>
      <c r="Z27" s="439"/>
      <c r="AA27" s="1412"/>
      <c r="AB27" s="301"/>
      <c r="AC27" s="301">
        <f>G27*1000000</f>
        <v>468000000000</v>
      </c>
    </row>
    <row r="28" spans="1:29" s="591" customFormat="1" ht="24" customHeight="1" thickBot="1">
      <c r="A28" s="607"/>
      <c r="B28" s="1112"/>
      <c r="C28" s="416" t="s">
        <v>3891</v>
      </c>
      <c r="D28" s="417"/>
      <c r="E28" s="418"/>
      <c r="F28" s="419"/>
      <c r="G28" s="596">
        <f>G29+G32+G42+G45+G47+G49+G51</f>
        <v>27762642</v>
      </c>
      <c r="H28" s="596">
        <f>H29+H32+H42+H45+H47+H49+H51</f>
        <v>26987642</v>
      </c>
      <c r="I28" s="1255">
        <f>G28-H28</f>
        <v>775000</v>
      </c>
      <c r="J28" s="611"/>
      <c r="K28" s="422"/>
      <c r="L28" s="423"/>
      <c r="M28" s="423"/>
      <c r="N28" s="423"/>
      <c r="O28" s="423"/>
      <c r="P28" s="423"/>
      <c r="Q28" s="423"/>
      <c r="R28" s="423"/>
      <c r="S28" s="423"/>
      <c r="T28" s="423"/>
      <c r="U28" s="423"/>
      <c r="V28" s="423"/>
      <c r="W28" s="423"/>
      <c r="X28" s="423"/>
      <c r="Y28" s="2605"/>
      <c r="Z28" s="1409"/>
      <c r="AA28" s="1414"/>
      <c r="AB28" s="301"/>
      <c r="AC28" s="301">
        <f t="shared" ref="AC28:AC58" si="9">G28*1000000</f>
        <v>27762642000000</v>
      </c>
    </row>
    <row r="29" spans="1:29" s="2558" customFormat="1" ht="24" customHeight="1">
      <c r="A29" s="2553" t="s">
        <v>3892</v>
      </c>
      <c r="B29" s="396"/>
      <c r="C29" s="2806"/>
      <c r="D29" s="3277" t="s">
        <v>3893</v>
      </c>
      <c r="E29" s="3271"/>
      <c r="F29" s="3272"/>
      <c r="G29" s="1683">
        <f>+G30+G31</f>
        <v>19787642</v>
      </c>
      <c r="H29" s="1683">
        <f>+H30+H31</f>
        <v>19787642</v>
      </c>
      <c r="I29" s="820">
        <f t="shared" ref="I29" si="10">G29-H29</f>
        <v>0</v>
      </c>
      <c r="J29" s="2624"/>
      <c r="K29" s="394"/>
      <c r="L29" s="2598"/>
      <c r="M29" s="2598"/>
      <c r="N29" s="2598"/>
      <c r="O29" s="2598"/>
      <c r="P29" s="2598"/>
      <c r="Q29" s="2598"/>
      <c r="R29" s="2598"/>
      <c r="S29" s="2598"/>
      <c r="T29" s="2598"/>
      <c r="U29" s="2598"/>
      <c r="V29" s="2598"/>
      <c r="W29" s="2598"/>
      <c r="X29" s="2598"/>
      <c r="Y29" s="430"/>
      <c r="Z29" s="442"/>
      <c r="AA29" s="440"/>
      <c r="AB29" s="301"/>
      <c r="AC29" s="301">
        <f t="shared" si="9"/>
        <v>19787642000000</v>
      </c>
    </row>
    <row r="30" spans="1:29" s="2558" customFormat="1" ht="24" customHeight="1">
      <c r="A30" s="2553"/>
      <c r="B30" s="396"/>
      <c r="C30" s="2806"/>
      <c r="D30" s="397"/>
      <c r="E30" s="3266" t="s">
        <v>3894</v>
      </c>
      <c r="F30" s="3267"/>
      <c r="G30" s="1683">
        <v>19672000</v>
      </c>
      <c r="H30" s="1683">
        <v>19672000</v>
      </c>
      <c r="I30" s="386"/>
      <c r="J30" s="2624"/>
      <c r="K30" s="394"/>
      <c r="L30" s="2598"/>
      <c r="M30" s="2598"/>
      <c r="N30" s="2598"/>
      <c r="O30" s="2598"/>
      <c r="P30" s="2598"/>
      <c r="Q30" s="2598"/>
      <c r="R30" s="2598"/>
      <c r="S30" s="395"/>
      <c r="T30" s="2598"/>
      <c r="U30" s="2598"/>
      <c r="V30" s="2598"/>
      <c r="W30" s="2598"/>
      <c r="X30" s="2598"/>
      <c r="Y30" s="430"/>
      <c r="Z30" s="406"/>
      <c r="AA30" s="432"/>
      <c r="AB30" s="301"/>
      <c r="AC30" s="301">
        <f t="shared" si="9"/>
        <v>19672000000000</v>
      </c>
    </row>
    <row r="31" spans="1:29" s="2558" customFormat="1" ht="24" customHeight="1">
      <c r="A31" s="2553"/>
      <c r="B31" s="436"/>
      <c r="C31" s="437"/>
      <c r="D31" s="413"/>
      <c r="E31" s="3266" t="s">
        <v>3895</v>
      </c>
      <c r="F31" s="3267"/>
      <c r="G31" s="1683">
        <v>115642</v>
      </c>
      <c r="H31" s="1683">
        <v>115642</v>
      </c>
      <c r="I31" s="468"/>
      <c r="J31" s="2624"/>
      <c r="K31" s="394"/>
      <c r="L31" s="2598"/>
      <c r="M31" s="2598"/>
      <c r="N31" s="2598"/>
      <c r="O31" s="2598"/>
      <c r="P31" s="2598"/>
      <c r="Q31" s="2598"/>
      <c r="R31" s="2598"/>
      <c r="S31" s="395"/>
      <c r="T31" s="2598"/>
      <c r="U31" s="2598"/>
      <c r="V31" s="2598"/>
      <c r="W31" s="2598"/>
      <c r="X31" s="2598"/>
      <c r="Y31" s="430"/>
      <c r="Z31" s="439"/>
      <c r="AA31" s="440"/>
      <c r="AB31" s="301"/>
      <c r="AC31" s="301">
        <f t="shared" si="9"/>
        <v>115642000000</v>
      </c>
    </row>
    <row r="32" spans="1:29" s="2558" customFormat="1" ht="24" customHeight="1">
      <c r="A32" s="2553" t="s">
        <v>3876</v>
      </c>
      <c r="B32" s="396"/>
      <c r="C32" s="2806"/>
      <c r="D32" s="3277" t="s">
        <v>3896</v>
      </c>
      <c r="E32" s="3271"/>
      <c r="F32" s="3272"/>
      <c r="G32" s="1683">
        <f>SUM(G33:G41)</f>
        <v>3400000</v>
      </c>
      <c r="H32" s="1683">
        <f>SUM(H33:H41)</f>
        <v>3400000</v>
      </c>
      <c r="I32" s="820">
        <f>G32-H32</f>
        <v>0</v>
      </c>
      <c r="J32" s="2624"/>
      <c r="K32" s="394"/>
      <c r="L32" s="2598"/>
      <c r="M32" s="2598"/>
      <c r="N32" s="2598"/>
      <c r="O32" s="2598"/>
      <c r="P32" s="2598"/>
      <c r="Q32" s="2598"/>
      <c r="R32" s="2598"/>
      <c r="S32" s="2598"/>
      <c r="T32" s="2598"/>
      <c r="U32" s="2598"/>
      <c r="V32" s="2598"/>
      <c r="W32" s="2598"/>
      <c r="X32" s="2598"/>
      <c r="Y32" s="430"/>
      <c r="Z32" s="442"/>
      <c r="AA32" s="440"/>
      <c r="AB32" s="301"/>
      <c r="AC32" s="301">
        <f t="shared" si="9"/>
        <v>3400000000000</v>
      </c>
    </row>
    <row r="33" spans="1:29" s="2558" customFormat="1" ht="24" customHeight="1">
      <c r="A33" s="2553"/>
      <c r="B33" s="396"/>
      <c r="C33" s="2806"/>
      <c r="D33" s="397"/>
      <c r="E33" s="3266" t="s">
        <v>3897</v>
      </c>
      <c r="F33" s="3267"/>
      <c r="G33" s="1683">
        <v>80000</v>
      </c>
      <c r="H33" s="1683">
        <v>80000</v>
      </c>
      <c r="I33" s="386"/>
      <c r="J33" s="2624"/>
      <c r="K33" s="394"/>
      <c r="L33" s="2598"/>
      <c r="M33" s="2598"/>
      <c r="N33" s="2598"/>
      <c r="O33" s="2598"/>
      <c r="P33" s="2598"/>
      <c r="Q33" s="2598"/>
      <c r="R33" s="2598"/>
      <c r="S33" s="395"/>
      <c r="T33" s="2598"/>
      <c r="U33" s="2598"/>
      <c r="V33" s="2598"/>
      <c r="W33" s="2598"/>
      <c r="X33" s="2598"/>
      <c r="Y33" s="430"/>
      <c r="Z33" s="406"/>
      <c r="AA33" s="432"/>
      <c r="AB33" s="301"/>
      <c r="AC33" s="301">
        <f t="shared" si="9"/>
        <v>80000000000</v>
      </c>
    </row>
    <row r="34" spans="1:29" s="1679" customFormat="1" ht="24" customHeight="1">
      <c r="A34" s="1677"/>
      <c r="B34" s="396"/>
      <c r="C34" s="2806"/>
      <c r="D34" s="397"/>
      <c r="E34" s="3266" t="s">
        <v>3898</v>
      </c>
      <c r="F34" s="3267"/>
      <c r="G34" s="1683">
        <v>150000</v>
      </c>
      <c r="H34" s="1683">
        <v>150000</v>
      </c>
      <c r="I34" s="386"/>
      <c r="J34" s="2624"/>
      <c r="K34" s="394"/>
      <c r="L34" s="2598"/>
      <c r="M34" s="2598"/>
      <c r="N34" s="2598"/>
      <c r="O34" s="2598"/>
      <c r="P34" s="2598"/>
      <c r="Q34" s="2598"/>
      <c r="R34" s="2598"/>
      <c r="S34" s="395"/>
      <c r="T34" s="2598"/>
      <c r="U34" s="2598"/>
      <c r="V34" s="2598"/>
      <c r="W34" s="2598"/>
      <c r="X34" s="2598"/>
      <c r="Y34" s="430"/>
      <c r="Z34" s="431"/>
      <c r="AA34" s="1682"/>
      <c r="AB34" s="1681"/>
      <c r="AC34" s="1681">
        <f t="shared" si="9"/>
        <v>150000000000</v>
      </c>
    </row>
    <row r="35" spans="1:29" s="2558" customFormat="1" ht="24" customHeight="1">
      <c r="A35" s="2553"/>
      <c r="B35" s="396"/>
      <c r="C35" s="2806"/>
      <c r="D35" s="397"/>
      <c r="E35" s="3266" t="s">
        <v>3899</v>
      </c>
      <c r="F35" s="3267"/>
      <c r="G35" s="1683">
        <v>150000</v>
      </c>
      <c r="H35" s="1683">
        <v>150000</v>
      </c>
      <c r="I35" s="386"/>
      <c r="J35" s="2624"/>
      <c r="K35" s="394"/>
      <c r="L35" s="2598"/>
      <c r="M35" s="2598"/>
      <c r="N35" s="2598"/>
      <c r="O35" s="2598"/>
      <c r="P35" s="2598"/>
      <c r="Q35" s="2598"/>
      <c r="R35" s="2598"/>
      <c r="S35" s="395"/>
      <c r="T35" s="2598"/>
      <c r="U35" s="2598"/>
      <c r="V35" s="2598"/>
      <c r="W35" s="2598"/>
      <c r="X35" s="2598"/>
      <c r="Y35" s="430"/>
      <c r="Z35" s="406"/>
      <c r="AA35" s="432"/>
      <c r="AB35" s="301"/>
      <c r="AC35" s="301">
        <f t="shared" si="9"/>
        <v>150000000000</v>
      </c>
    </row>
    <row r="36" spans="1:29" s="2558" customFormat="1" ht="24" customHeight="1">
      <c r="A36" s="2553"/>
      <c r="B36" s="396"/>
      <c r="C36" s="2806"/>
      <c r="D36" s="397"/>
      <c r="E36" s="3266" t="s">
        <v>3900</v>
      </c>
      <c r="F36" s="3267"/>
      <c r="G36" s="1683">
        <v>110000</v>
      </c>
      <c r="H36" s="1683">
        <v>110000</v>
      </c>
      <c r="I36" s="386"/>
      <c r="J36" s="2624"/>
      <c r="K36" s="394"/>
      <c r="L36" s="2598"/>
      <c r="M36" s="2598"/>
      <c r="N36" s="2598"/>
      <c r="O36" s="2598"/>
      <c r="P36" s="2598"/>
      <c r="Q36" s="2598"/>
      <c r="R36" s="2598"/>
      <c r="S36" s="395"/>
      <c r="T36" s="2598"/>
      <c r="U36" s="2598"/>
      <c r="V36" s="2598"/>
      <c r="W36" s="2598"/>
      <c r="X36" s="2598"/>
      <c r="Y36" s="430"/>
      <c r="Z36" s="431"/>
      <c r="AA36" s="432"/>
      <c r="AB36" s="301"/>
      <c r="AC36" s="301">
        <f t="shared" si="9"/>
        <v>110000000000</v>
      </c>
    </row>
    <row r="37" spans="1:29" s="2558" customFormat="1" ht="24" customHeight="1">
      <c r="A37" s="2553"/>
      <c r="B37" s="396"/>
      <c r="C37" s="2806"/>
      <c r="D37" s="397"/>
      <c r="E37" s="3266" t="s">
        <v>3901</v>
      </c>
      <c r="F37" s="3267"/>
      <c r="G37" s="1683">
        <v>100000</v>
      </c>
      <c r="H37" s="1683">
        <v>100000</v>
      </c>
      <c r="I37" s="386"/>
      <c r="J37" s="2624"/>
      <c r="K37" s="394"/>
      <c r="L37" s="2598"/>
      <c r="M37" s="2598"/>
      <c r="N37" s="2598"/>
      <c r="O37" s="2598"/>
      <c r="P37" s="2598"/>
      <c r="Q37" s="2598"/>
      <c r="R37" s="2598"/>
      <c r="S37" s="395"/>
      <c r="T37" s="2598"/>
      <c r="U37" s="2598"/>
      <c r="V37" s="2598"/>
      <c r="W37" s="2598"/>
      <c r="X37" s="2598"/>
      <c r="Y37" s="430"/>
      <c r="Z37" s="406"/>
      <c r="AA37" s="432"/>
      <c r="AB37" s="301"/>
      <c r="AC37" s="301">
        <f t="shared" si="9"/>
        <v>100000000000</v>
      </c>
    </row>
    <row r="38" spans="1:29" s="1635" customFormat="1" ht="24" customHeight="1">
      <c r="A38" s="1634"/>
      <c r="B38" s="396"/>
      <c r="C38" s="2806"/>
      <c r="D38" s="397"/>
      <c r="E38" s="3266" t="s">
        <v>3902</v>
      </c>
      <c r="F38" s="3267"/>
      <c r="G38" s="1683">
        <v>120000</v>
      </c>
      <c r="H38" s="1683">
        <v>120000</v>
      </c>
      <c r="I38" s="386"/>
      <c r="J38" s="2624"/>
      <c r="K38" s="394"/>
      <c r="L38" s="2598"/>
      <c r="M38" s="2598"/>
      <c r="N38" s="2598"/>
      <c r="O38" s="2598"/>
      <c r="P38" s="2598"/>
      <c r="Q38" s="2598"/>
      <c r="R38" s="2598"/>
      <c r="S38" s="395"/>
      <c r="T38" s="2598"/>
      <c r="U38" s="2598"/>
      <c r="V38" s="2598"/>
      <c r="W38" s="2598"/>
      <c r="X38" s="2598"/>
      <c r="Y38" s="430"/>
      <c r="Z38" s="431"/>
      <c r="AA38" s="1680"/>
      <c r="AB38" s="1633"/>
      <c r="AC38" s="1633">
        <f t="shared" si="9"/>
        <v>120000000000</v>
      </c>
    </row>
    <row r="39" spans="1:29" s="2558" customFormat="1" ht="24" customHeight="1">
      <c r="A39" s="2553"/>
      <c r="B39" s="396"/>
      <c r="C39" s="2806"/>
      <c r="D39" s="397"/>
      <c r="E39" s="3266" t="s">
        <v>3903</v>
      </c>
      <c r="F39" s="3267"/>
      <c r="G39" s="1683">
        <v>450000</v>
      </c>
      <c r="H39" s="1683">
        <v>450000</v>
      </c>
      <c r="I39" s="386"/>
      <c r="J39" s="2624"/>
      <c r="K39" s="1678"/>
      <c r="R39" s="1668"/>
      <c r="S39" s="118"/>
      <c r="T39" s="1666"/>
      <c r="U39" s="569"/>
      <c r="V39" s="569"/>
      <c r="W39" s="569"/>
      <c r="X39" s="569"/>
      <c r="Y39" s="569"/>
      <c r="Z39" s="1644"/>
      <c r="AA39" s="432"/>
      <c r="AB39" s="301"/>
      <c r="AC39" s="301">
        <f t="shared" si="9"/>
        <v>450000000000</v>
      </c>
    </row>
    <row r="40" spans="1:29" s="2558" customFormat="1" ht="24" customHeight="1">
      <c r="A40" s="2553"/>
      <c r="B40" s="396"/>
      <c r="C40" s="2806"/>
      <c r="D40" s="397"/>
      <c r="E40" s="3266" t="s">
        <v>3905</v>
      </c>
      <c r="F40" s="3267"/>
      <c r="G40" s="1683">
        <v>460000</v>
      </c>
      <c r="H40" s="1683">
        <v>460000</v>
      </c>
      <c r="I40" s="386"/>
      <c r="J40" s="2624"/>
      <c r="K40" s="1678"/>
      <c r="R40" s="1668"/>
      <c r="S40" s="118"/>
      <c r="T40" s="1666"/>
      <c r="U40" s="569"/>
      <c r="V40" s="569"/>
      <c r="W40" s="569"/>
      <c r="X40" s="569"/>
      <c r="Y40" s="569"/>
      <c r="Z40" s="1644"/>
      <c r="AA40" s="432"/>
      <c r="AB40" s="301"/>
      <c r="AC40" s="301">
        <f t="shared" si="9"/>
        <v>460000000000</v>
      </c>
    </row>
    <row r="41" spans="1:29" s="2558" customFormat="1" ht="24" customHeight="1">
      <c r="A41" s="2553"/>
      <c r="B41" s="396"/>
      <c r="C41" s="2806"/>
      <c r="D41" s="397"/>
      <c r="E41" s="3266" t="s">
        <v>3906</v>
      </c>
      <c r="F41" s="3267"/>
      <c r="G41" s="1683">
        <v>1780000</v>
      </c>
      <c r="H41" s="1683">
        <v>1780000</v>
      </c>
      <c r="I41" s="386"/>
      <c r="J41" s="2624"/>
      <c r="K41" s="1691"/>
      <c r="L41" s="2612"/>
      <c r="M41" s="2612"/>
      <c r="N41" s="2612"/>
      <c r="O41" s="2612"/>
      <c r="P41" s="2612"/>
      <c r="Q41" s="2612"/>
      <c r="R41" s="125"/>
      <c r="S41" s="117"/>
      <c r="T41" s="91"/>
      <c r="U41" s="317"/>
      <c r="V41" s="317"/>
      <c r="W41" s="317"/>
      <c r="X41" s="317"/>
      <c r="Y41" s="317"/>
      <c r="Z41" s="1692"/>
      <c r="AA41" s="432"/>
      <c r="AB41" s="301"/>
      <c r="AC41" s="301">
        <f t="shared" si="9"/>
        <v>1780000000000</v>
      </c>
    </row>
    <row r="42" spans="1:29" s="2558" customFormat="1" ht="24" customHeight="1">
      <c r="A42" s="2553" t="s">
        <v>3876</v>
      </c>
      <c r="B42" s="396"/>
      <c r="C42" s="2806"/>
      <c r="D42" s="3277" t="s">
        <v>3907</v>
      </c>
      <c r="E42" s="3271"/>
      <c r="F42" s="3272"/>
      <c r="G42" s="1683">
        <f>SUM(G43:G44)</f>
        <v>3800000</v>
      </c>
      <c r="H42" s="1683">
        <f>SUM(H43:H44)</f>
        <v>3800000</v>
      </c>
      <c r="I42" s="820">
        <f t="shared" ref="I42" si="11">G42-H42</f>
        <v>0</v>
      </c>
      <c r="J42" s="2624"/>
      <c r="K42" s="394"/>
      <c r="L42" s="2598"/>
      <c r="M42" s="2598"/>
      <c r="N42" s="2598"/>
      <c r="O42" s="2598"/>
      <c r="P42" s="2598"/>
      <c r="Q42" s="2598"/>
      <c r="R42" s="2598"/>
      <c r="S42" s="2598"/>
      <c r="T42" s="2598"/>
      <c r="U42" s="2598"/>
      <c r="V42" s="2598"/>
      <c r="W42" s="2598"/>
      <c r="X42" s="2598"/>
      <c r="Y42" s="430"/>
      <c r="Z42" s="442"/>
      <c r="AA42" s="440"/>
      <c r="AB42" s="301"/>
      <c r="AC42" s="301">
        <f t="shared" si="9"/>
        <v>3800000000000</v>
      </c>
    </row>
    <row r="43" spans="1:29" s="2558" customFormat="1" ht="24" customHeight="1">
      <c r="A43" s="2553"/>
      <c r="B43" s="396"/>
      <c r="C43" s="2806"/>
      <c r="D43" s="397"/>
      <c r="E43" s="3266" t="s">
        <v>3908</v>
      </c>
      <c r="F43" s="3267"/>
      <c r="G43" s="1683">
        <v>3400000</v>
      </c>
      <c r="H43" s="1683">
        <v>3400000</v>
      </c>
      <c r="I43" s="386"/>
      <c r="J43" s="2624"/>
      <c r="K43" s="394"/>
      <c r="L43" s="2598"/>
      <c r="M43" s="2598"/>
      <c r="N43" s="2598"/>
      <c r="O43" s="2598"/>
      <c r="P43" s="2598"/>
      <c r="Q43" s="2598"/>
      <c r="R43" s="2598"/>
      <c r="S43" s="395"/>
      <c r="T43" s="2598"/>
      <c r="U43" s="2598"/>
      <c r="V43" s="2598"/>
      <c r="W43" s="2598"/>
      <c r="X43" s="2598"/>
      <c r="Y43" s="430"/>
      <c r="Z43" s="406"/>
      <c r="AA43" s="432"/>
      <c r="AB43" s="301"/>
      <c r="AC43" s="301">
        <f t="shared" si="9"/>
        <v>3400000000000</v>
      </c>
    </row>
    <row r="44" spans="1:29" s="2558" customFormat="1" ht="24" customHeight="1">
      <c r="A44" s="2553"/>
      <c r="B44" s="396"/>
      <c r="C44" s="2806"/>
      <c r="D44" s="397"/>
      <c r="E44" s="3266" t="s">
        <v>3909</v>
      </c>
      <c r="F44" s="3267"/>
      <c r="G44" s="1683">
        <v>400000</v>
      </c>
      <c r="H44" s="1683">
        <v>400000</v>
      </c>
      <c r="I44" s="386"/>
      <c r="J44" s="2624"/>
      <c r="K44" s="394"/>
      <c r="L44" s="2598"/>
      <c r="M44" s="2598"/>
      <c r="N44" s="2598"/>
      <c r="O44" s="2598"/>
      <c r="P44" s="2598"/>
      <c r="Q44" s="2598"/>
      <c r="R44" s="2598"/>
      <c r="S44" s="395"/>
      <c r="T44" s="2598"/>
      <c r="U44" s="2598"/>
      <c r="V44" s="2598"/>
      <c r="W44" s="2598"/>
      <c r="X44" s="2598"/>
      <c r="Y44" s="430"/>
      <c r="Z44" s="431"/>
      <c r="AA44" s="432"/>
      <c r="AB44" s="301"/>
      <c r="AC44" s="301">
        <f t="shared" si="9"/>
        <v>400000000000</v>
      </c>
    </row>
    <row r="45" spans="1:29" s="2558" customFormat="1" ht="24" customHeight="1">
      <c r="A45" s="2553" t="s">
        <v>430</v>
      </c>
      <c r="B45" s="396"/>
      <c r="C45" s="2806"/>
      <c r="D45" s="3277" t="s">
        <v>5012</v>
      </c>
      <c r="E45" s="3271"/>
      <c r="F45" s="3272"/>
      <c r="G45" s="1683">
        <f>SUM(G46:G46)</f>
        <v>400000</v>
      </c>
      <c r="H45" s="1683">
        <f>SUM(H46:H46)</f>
        <v>0</v>
      </c>
      <c r="I45" s="820">
        <f t="shared" ref="I45" si="12">G45-H45</f>
        <v>400000</v>
      </c>
      <c r="J45" s="2780"/>
      <c r="K45" s="394"/>
      <c r="L45" s="2778"/>
      <c r="M45" s="2778"/>
      <c r="N45" s="2778"/>
      <c r="O45" s="2778"/>
      <c r="P45" s="2778"/>
      <c r="Q45" s="2778"/>
      <c r="R45" s="2778"/>
      <c r="S45" s="2778"/>
      <c r="T45" s="2778"/>
      <c r="U45" s="2778"/>
      <c r="V45" s="2778"/>
      <c r="W45" s="2778"/>
      <c r="X45" s="2778"/>
      <c r="Y45" s="430"/>
      <c r="Z45" s="442"/>
      <c r="AA45" s="440"/>
      <c r="AB45" s="301"/>
      <c r="AC45" s="301">
        <f t="shared" ref="AC45:AC46" si="13">G45*1000000</f>
        <v>400000000000</v>
      </c>
    </row>
    <row r="46" spans="1:29" s="2558" customFormat="1" ht="24" customHeight="1">
      <c r="A46" s="2553"/>
      <c r="B46" s="396"/>
      <c r="C46" s="2806"/>
      <c r="D46" s="397"/>
      <c r="E46" s="3266" t="s">
        <v>5012</v>
      </c>
      <c r="F46" s="3267"/>
      <c r="G46" s="1683">
        <v>400000</v>
      </c>
      <c r="H46" s="1683">
        <v>0</v>
      </c>
      <c r="I46" s="820"/>
      <c r="J46" s="2780"/>
      <c r="K46" s="394"/>
      <c r="L46" s="2778"/>
      <c r="M46" s="2778"/>
      <c r="N46" s="2778"/>
      <c r="O46" s="2778"/>
      <c r="P46" s="2778"/>
      <c r="Q46" s="2778"/>
      <c r="R46" s="2778"/>
      <c r="S46" s="395"/>
      <c r="T46" s="2778"/>
      <c r="U46" s="2778"/>
      <c r="V46" s="2778"/>
      <c r="W46" s="2778"/>
      <c r="X46" s="2778"/>
      <c r="Y46" s="430"/>
      <c r="Z46" s="406"/>
      <c r="AA46" s="432"/>
      <c r="AB46" s="301"/>
      <c r="AC46" s="301">
        <f t="shared" si="13"/>
        <v>400000000000</v>
      </c>
    </row>
    <row r="47" spans="1:29" s="2558" customFormat="1" ht="24" customHeight="1">
      <c r="A47" s="2553" t="s">
        <v>430</v>
      </c>
      <c r="B47" s="396"/>
      <c r="C47" s="2806"/>
      <c r="D47" s="3277" t="s">
        <v>4995</v>
      </c>
      <c r="E47" s="3271"/>
      <c r="F47" s="3272"/>
      <c r="G47" s="1683">
        <f>SUM(G48:G48)</f>
        <v>120000</v>
      </c>
      <c r="H47" s="1683">
        <f>SUM(H48:H48)</f>
        <v>0</v>
      </c>
      <c r="I47" s="820">
        <f t="shared" ref="I47" si="14">G47-H47</f>
        <v>120000</v>
      </c>
      <c r="J47" s="2780"/>
      <c r="K47" s="394"/>
      <c r="L47" s="2778"/>
      <c r="M47" s="2778"/>
      <c r="N47" s="2778"/>
      <c r="O47" s="2778"/>
      <c r="P47" s="2778"/>
      <c r="Q47" s="2778"/>
      <c r="R47" s="2778"/>
      <c r="S47" s="2778"/>
      <c r="T47" s="2778"/>
      <c r="U47" s="2778"/>
      <c r="V47" s="2778"/>
      <c r="W47" s="2778"/>
      <c r="X47" s="2778"/>
      <c r="Y47" s="430"/>
      <c r="Z47" s="442"/>
      <c r="AA47" s="440"/>
      <c r="AB47" s="301"/>
      <c r="AC47" s="301">
        <f t="shared" ref="AC47:AC48" si="15">G47*1000000</f>
        <v>120000000000</v>
      </c>
    </row>
    <row r="48" spans="1:29" s="2558" customFormat="1" ht="24" customHeight="1">
      <c r="A48" s="2553"/>
      <c r="B48" s="396"/>
      <c r="C48" s="2806"/>
      <c r="D48" s="397"/>
      <c r="E48" s="3266" t="s">
        <v>4995</v>
      </c>
      <c r="F48" s="3267"/>
      <c r="G48" s="1683">
        <v>120000</v>
      </c>
      <c r="H48" s="1683">
        <v>0</v>
      </c>
      <c r="I48" s="820"/>
      <c r="J48" s="2780"/>
      <c r="K48" s="394"/>
      <c r="L48" s="2778"/>
      <c r="M48" s="2778"/>
      <c r="N48" s="2778"/>
      <c r="O48" s="2778"/>
      <c r="P48" s="2778"/>
      <c r="Q48" s="2778"/>
      <c r="R48" s="2778"/>
      <c r="S48" s="395"/>
      <c r="T48" s="2778"/>
      <c r="U48" s="2778"/>
      <c r="V48" s="2778"/>
      <c r="W48" s="2778"/>
      <c r="X48" s="2778"/>
      <c r="Y48" s="430"/>
      <c r="Z48" s="406"/>
      <c r="AA48" s="432"/>
      <c r="AB48" s="301"/>
      <c r="AC48" s="301">
        <f t="shared" si="15"/>
        <v>120000000000</v>
      </c>
    </row>
    <row r="49" spans="1:29" s="2558" customFormat="1" ht="24" customHeight="1">
      <c r="A49" s="2553" t="s">
        <v>430</v>
      </c>
      <c r="B49" s="396"/>
      <c r="C49" s="2806"/>
      <c r="D49" s="3277" t="s">
        <v>4996</v>
      </c>
      <c r="E49" s="3271"/>
      <c r="F49" s="3272"/>
      <c r="G49" s="1683">
        <f>SUM(G50:G50)</f>
        <v>200000</v>
      </c>
      <c r="H49" s="1683">
        <f>SUM(H50:H50)</f>
        <v>0</v>
      </c>
      <c r="I49" s="820">
        <f t="shared" ref="I49" si="16">G49-H49</f>
        <v>200000</v>
      </c>
      <c r="J49" s="2780"/>
      <c r="K49" s="394"/>
      <c r="L49" s="2778"/>
      <c r="M49" s="2778"/>
      <c r="N49" s="2778"/>
      <c r="O49" s="2778"/>
      <c r="P49" s="2778"/>
      <c r="Q49" s="2778"/>
      <c r="R49" s="2778"/>
      <c r="S49" s="2778"/>
      <c r="T49" s="2778"/>
      <c r="U49" s="2778"/>
      <c r="V49" s="2778"/>
      <c r="W49" s="2778"/>
      <c r="X49" s="2778"/>
      <c r="Y49" s="430"/>
      <c r="Z49" s="442"/>
      <c r="AA49" s="440"/>
      <c r="AB49" s="301"/>
      <c r="AC49" s="301">
        <f t="shared" ref="AC49:AC50" si="17">G49*1000000</f>
        <v>200000000000</v>
      </c>
    </row>
    <row r="50" spans="1:29" s="2558" customFormat="1" ht="24" customHeight="1">
      <c r="A50" s="2553"/>
      <c r="B50" s="396"/>
      <c r="C50" s="2806"/>
      <c r="D50" s="397"/>
      <c r="E50" s="3266" t="s">
        <v>4996</v>
      </c>
      <c r="F50" s="3267"/>
      <c r="G50" s="1683">
        <v>200000</v>
      </c>
      <c r="H50" s="1683">
        <v>0</v>
      </c>
      <c r="I50" s="820"/>
      <c r="J50" s="2780"/>
      <c r="K50" s="394"/>
      <c r="L50" s="2778"/>
      <c r="M50" s="2778"/>
      <c r="N50" s="2778"/>
      <c r="O50" s="2778"/>
      <c r="P50" s="2778"/>
      <c r="Q50" s="2778"/>
      <c r="R50" s="2778"/>
      <c r="S50" s="395"/>
      <c r="T50" s="2778"/>
      <c r="U50" s="2778"/>
      <c r="V50" s="2778"/>
      <c r="W50" s="2778"/>
      <c r="X50" s="2778"/>
      <c r="Y50" s="430"/>
      <c r="Z50" s="406"/>
      <c r="AA50" s="432"/>
      <c r="AB50" s="301"/>
      <c r="AC50" s="301">
        <f t="shared" si="17"/>
        <v>200000000000</v>
      </c>
    </row>
    <row r="51" spans="1:29" s="2558" customFormat="1" ht="24" customHeight="1">
      <c r="A51" s="2553" t="s">
        <v>430</v>
      </c>
      <c r="B51" s="396"/>
      <c r="C51" s="2806"/>
      <c r="D51" s="3521" t="s">
        <v>6108</v>
      </c>
      <c r="E51" s="3522"/>
      <c r="F51" s="3523"/>
      <c r="G51" s="1683">
        <f>SUM(G52:G52)</f>
        <v>55000</v>
      </c>
      <c r="H51" s="1683">
        <f>SUM(H52:H52)</f>
        <v>0</v>
      </c>
      <c r="I51" s="820">
        <f t="shared" ref="I51" si="18">G51-H51</f>
        <v>55000</v>
      </c>
      <c r="J51" s="2800"/>
      <c r="K51" s="394"/>
      <c r="L51" s="2784"/>
      <c r="M51" s="2784"/>
      <c r="N51" s="2784"/>
      <c r="O51" s="2784"/>
      <c r="P51" s="2784"/>
      <c r="Q51" s="2784"/>
      <c r="R51" s="2784"/>
      <c r="S51" s="2784"/>
      <c r="T51" s="2784"/>
      <c r="U51" s="2784"/>
      <c r="V51" s="2784"/>
      <c r="W51" s="2784"/>
      <c r="X51" s="2784"/>
      <c r="Y51" s="430"/>
      <c r="Z51" s="442"/>
      <c r="AA51" s="440"/>
      <c r="AB51" s="301"/>
      <c r="AC51" s="301">
        <f t="shared" ref="AC51:AC52" si="19">G51*1000000</f>
        <v>55000000000</v>
      </c>
    </row>
    <row r="52" spans="1:29" s="2558" customFormat="1" ht="24" customHeight="1" thickBot="1">
      <c r="A52" s="2553"/>
      <c r="B52" s="396"/>
      <c r="C52" s="2806"/>
      <c r="D52" s="1634"/>
      <c r="E52" s="3524" t="s">
        <v>5017</v>
      </c>
      <c r="F52" s="3525"/>
      <c r="G52" s="1683">
        <v>55000</v>
      </c>
      <c r="H52" s="1683">
        <v>0</v>
      </c>
      <c r="I52" s="820"/>
      <c r="J52" s="2800"/>
      <c r="K52" s="394"/>
      <c r="L52" s="2784"/>
      <c r="M52" s="2784"/>
      <c r="N52" s="2784"/>
      <c r="O52" s="2784"/>
      <c r="P52" s="2784"/>
      <c r="Q52" s="2784"/>
      <c r="R52" s="2784"/>
      <c r="S52" s="395"/>
      <c r="T52" s="2784"/>
      <c r="U52" s="2784"/>
      <c r="V52" s="2784"/>
      <c r="W52" s="2784"/>
      <c r="X52" s="2784"/>
      <c r="Y52" s="430"/>
      <c r="Z52" s="406"/>
      <c r="AA52" s="432"/>
      <c r="AB52" s="301"/>
      <c r="AC52" s="301">
        <f t="shared" si="19"/>
        <v>55000000000</v>
      </c>
    </row>
    <row r="53" spans="1:29" s="591" customFormat="1" ht="24" customHeight="1" thickBot="1">
      <c r="A53" s="607"/>
      <c r="B53" s="1112"/>
      <c r="C53" s="416" t="s">
        <v>3910</v>
      </c>
      <c r="D53" s="417"/>
      <c r="E53" s="418"/>
      <c r="F53" s="419"/>
      <c r="G53" s="596">
        <v>0</v>
      </c>
      <c r="H53" s="596">
        <v>0</v>
      </c>
      <c r="I53" s="1255">
        <f>G53-H53</f>
        <v>0</v>
      </c>
      <c r="J53" s="611"/>
      <c r="K53" s="422"/>
      <c r="L53" s="423"/>
      <c r="M53" s="423"/>
      <c r="N53" s="423"/>
      <c r="O53" s="423"/>
      <c r="P53" s="423"/>
      <c r="Q53" s="423"/>
      <c r="R53" s="423"/>
      <c r="S53" s="423"/>
      <c r="T53" s="423"/>
      <c r="U53" s="423"/>
      <c r="V53" s="423"/>
      <c r="W53" s="423"/>
      <c r="X53" s="423"/>
      <c r="Y53" s="2605"/>
      <c r="Z53" s="1409"/>
      <c r="AA53" s="1414"/>
      <c r="AB53" s="301"/>
      <c r="AC53" s="301">
        <f t="shared" si="9"/>
        <v>0</v>
      </c>
    </row>
    <row r="54" spans="1:29" s="591" customFormat="1" ht="24" customHeight="1" thickBot="1">
      <c r="A54" s="607"/>
      <c r="B54" s="1112"/>
      <c r="C54" s="416" t="s">
        <v>3911</v>
      </c>
      <c r="D54" s="417"/>
      <c r="E54" s="418"/>
      <c r="F54" s="419"/>
      <c r="G54" s="596">
        <f>G55+G57+G61+G63+G59+G65</f>
        <v>2155000</v>
      </c>
      <c r="H54" s="596">
        <f>H55+H57+H61+H63+H59+H65</f>
        <v>2080000</v>
      </c>
      <c r="I54" s="1255">
        <f>G54-H54</f>
        <v>75000</v>
      </c>
      <c r="J54" s="611"/>
      <c r="K54" s="422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2605"/>
      <c r="Z54" s="1409"/>
      <c r="AA54" s="1414"/>
      <c r="AB54" s="301"/>
      <c r="AC54" s="301">
        <f t="shared" si="9"/>
        <v>2155000000000</v>
      </c>
    </row>
    <row r="55" spans="1:29" s="2558" customFormat="1" ht="24" customHeight="1">
      <c r="A55" s="2553" t="s">
        <v>3876</v>
      </c>
      <c r="B55" s="396"/>
      <c r="C55" s="2806"/>
      <c r="D55" s="3277" t="s">
        <v>3912</v>
      </c>
      <c r="E55" s="3271"/>
      <c r="F55" s="3272"/>
      <c r="G55" s="1683">
        <f>+G56</f>
        <v>50000</v>
      </c>
      <c r="H55" s="1683">
        <f>+H56</f>
        <v>50000</v>
      </c>
      <c r="I55" s="820">
        <f t="shared" ref="I55" si="20">G55-H55</f>
        <v>0</v>
      </c>
      <c r="J55" s="2624"/>
      <c r="K55" s="394"/>
      <c r="L55" s="2598"/>
      <c r="M55" s="2598"/>
      <c r="N55" s="2598"/>
      <c r="O55" s="2598"/>
      <c r="P55" s="2598"/>
      <c r="Q55" s="2598"/>
      <c r="R55" s="2598"/>
      <c r="S55" s="2598"/>
      <c r="T55" s="2598"/>
      <c r="U55" s="2598"/>
      <c r="V55" s="2598"/>
      <c r="W55" s="2598"/>
      <c r="X55" s="2598"/>
      <c r="Y55" s="430"/>
      <c r="Z55" s="442"/>
      <c r="AA55" s="440"/>
      <c r="AB55" s="301"/>
      <c r="AC55" s="301">
        <f t="shared" si="9"/>
        <v>50000000000</v>
      </c>
    </row>
    <row r="56" spans="1:29" s="2558" customFormat="1" ht="24" customHeight="1">
      <c r="A56" s="2553"/>
      <c r="B56" s="396"/>
      <c r="C56" s="2806"/>
      <c r="D56" s="397"/>
      <c r="E56" s="3266" t="s">
        <v>3912</v>
      </c>
      <c r="F56" s="3267"/>
      <c r="G56" s="1683">
        <v>50000</v>
      </c>
      <c r="H56" s="1683">
        <v>50000</v>
      </c>
      <c r="I56" s="386"/>
      <c r="J56" s="2624"/>
      <c r="K56" s="394"/>
      <c r="L56" s="2598"/>
      <c r="M56" s="2598"/>
      <c r="N56" s="2598"/>
      <c r="O56" s="2598"/>
      <c r="P56" s="2598"/>
      <c r="Q56" s="2598"/>
      <c r="R56" s="2598"/>
      <c r="S56" s="395"/>
      <c r="T56" s="2598"/>
      <c r="U56" s="2598"/>
      <c r="V56" s="2598"/>
      <c r="W56" s="2598"/>
      <c r="X56" s="2598"/>
      <c r="Y56" s="430"/>
      <c r="Z56" s="406"/>
      <c r="AA56" s="432"/>
      <c r="AB56" s="301"/>
      <c r="AC56" s="301">
        <f t="shared" si="9"/>
        <v>50000000000</v>
      </c>
    </row>
    <row r="57" spans="1:29" s="2558" customFormat="1" ht="24" customHeight="1">
      <c r="A57" s="2553" t="s">
        <v>3892</v>
      </c>
      <c r="B57" s="396"/>
      <c r="C57" s="2806"/>
      <c r="D57" s="3277" t="s">
        <v>3913</v>
      </c>
      <c r="E57" s="3271"/>
      <c r="F57" s="3272"/>
      <c r="G57" s="1683">
        <f>+G58</f>
        <v>1580000</v>
      </c>
      <c r="H57" s="1683">
        <f>H58</f>
        <v>1580000</v>
      </c>
      <c r="I57" s="820">
        <f t="shared" ref="I57:I63" si="21">G57-H57</f>
        <v>0</v>
      </c>
      <c r="J57" s="2624"/>
      <c r="K57" s="394"/>
      <c r="L57" s="2598"/>
      <c r="M57" s="2598"/>
      <c r="N57" s="2598"/>
      <c r="O57" s="2598"/>
      <c r="P57" s="2598"/>
      <c r="Q57" s="2598"/>
      <c r="R57" s="2598"/>
      <c r="S57" s="2598"/>
      <c r="T57" s="2598"/>
      <c r="U57" s="2598"/>
      <c r="V57" s="2598"/>
      <c r="W57" s="2598"/>
      <c r="X57" s="2598"/>
      <c r="Y57" s="430"/>
      <c r="Z57" s="442"/>
      <c r="AA57" s="440"/>
      <c r="AB57" s="301"/>
      <c r="AC57" s="301">
        <f t="shared" si="9"/>
        <v>1580000000000</v>
      </c>
    </row>
    <row r="58" spans="1:29" s="2558" customFormat="1" ht="24" customHeight="1">
      <c r="A58" s="2553"/>
      <c r="B58" s="396"/>
      <c r="C58" s="2806"/>
      <c r="D58" s="397"/>
      <c r="E58" s="3266" t="s">
        <v>2981</v>
      </c>
      <c r="F58" s="3267"/>
      <c r="G58" s="1683">
        <v>1580000</v>
      </c>
      <c r="H58" s="1683">
        <v>1580000</v>
      </c>
      <c r="I58" s="386"/>
      <c r="J58" s="2624"/>
      <c r="K58" s="394"/>
      <c r="L58" s="2598"/>
      <c r="M58" s="2598"/>
      <c r="N58" s="2598"/>
      <c r="O58" s="2598"/>
      <c r="P58" s="2598"/>
      <c r="Q58" s="2598"/>
      <c r="R58" s="2598"/>
      <c r="S58" s="395"/>
      <c r="T58" s="2598"/>
      <c r="U58" s="2598"/>
      <c r="V58" s="2598"/>
      <c r="W58" s="2598"/>
      <c r="X58" s="2598"/>
      <c r="Y58" s="430"/>
      <c r="Z58" s="406"/>
      <c r="AA58" s="432"/>
      <c r="AB58" s="301"/>
      <c r="AC58" s="301">
        <f t="shared" si="9"/>
        <v>1580000000000</v>
      </c>
    </row>
    <row r="59" spans="1:29" s="2558" customFormat="1" ht="24" hidden="1" customHeight="1">
      <c r="A59" s="2553"/>
      <c r="B59" s="396"/>
      <c r="C59" s="2806"/>
      <c r="D59" s="3277" t="s">
        <v>3914</v>
      </c>
      <c r="E59" s="3271"/>
      <c r="F59" s="3272"/>
      <c r="G59" s="1683">
        <f>+G60</f>
        <v>0</v>
      </c>
      <c r="H59" s="1683">
        <f>H60</f>
        <v>0</v>
      </c>
      <c r="I59" s="820">
        <f t="shared" ref="I59" si="22">G59-H59</f>
        <v>0</v>
      </c>
      <c r="J59" s="2624"/>
      <c r="K59" s="394"/>
      <c r="L59" s="2598"/>
      <c r="M59" s="2598"/>
      <c r="N59" s="2598"/>
      <c r="O59" s="2598"/>
      <c r="P59" s="2598"/>
      <c r="Q59" s="2598"/>
      <c r="R59" s="2598"/>
      <c r="S59" s="395"/>
      <c r="T59" s="2598"/>
      <c r="U59" s="2598"/>
      <c r="V59" s="2598"/>
      <c r="W59" s="2598"/>
      <c r="X59" s="2598"/>
      <c r="Y59" s="430"/>
      <c r="Z59" s="431"/>
      <c r="AA59" s="432"/>
      <c r="AB59" s="301"/>
      <c r="AC59" s="301"/>
    </row>
    <row r="60" spans="1:29" s="2558" customFormat="1" ht="24" hidden="1" customHeight="1">
      <c r="A60" s="2553"/>
      <c r="B60" s="396"/>
      <c r="C60" s="2806"/>
      <c r="D60" s="397"/>
      <c r="E60" s="3266" t="s">
        <v>3915</v>
      </c>
      <c r="F60" s="3267"/>
      <c r="G60" s="1683"/>
      <c r="H60" s="1683"/>
      <c r="I60" s="386"/>
      <c r="J60" s="2624"/>
      <c r="K60" s="394"/>
      <c r="L60" s="2598"/>
      <c r="M60" s="2598"/>
      <c r="N60" s="2598"/>
      <c r="O60" s="2598"/>
      <c r="P60" s="2598"/>
      <c r="Q60" s="2598"/>
      <c r="R60" s="2598"/>
      <c r="S60" s="395"/>
      <c r="T60" s="2598"/>
      <c r="U60" s="2598"/>
      <c r="V60" s="2598"/>
      <c r="W60" s="2598"/>
      <c r="X60" s="2598"/>
      <c r="Y60" s="430"/>
      <c r="Z60" s="406"/>
      <c r="AA60" s="432"/>
      <c r="AB60" s="301"/>
      <c r="AC60" s="301"/>
    </row>
    <row r="61" spans="1:29" s="2558" customFormat="1" ht="24" customHeight="1">
      <c r="A61" s="2553" t="s">
        <v>3892</v>
      </c>
      <c r="B61" s="396"/>
      <c r="C61" s="2806"/>
      <c r="D61" s="3277" t="s">
        <v>3916</v>
      </c>
      <c r="E61" s="3271"/>
      <c r="F61" s="3272"/>
      <c r="G61" s="1683">
        <f>+G62</f>
        <v>150000</v>
      </c>
      <c r="H61" s="1683">
        <f>H62</f>
        <v>150000</v>
      </c>
      <c r="I61" s="820">
        <f t="shared" si="21"/>
        <v>0</v>
      </c>
      <c r="J61" s="2624"/>
      <c r="K61" s="394"/>
      <c r="L61" s="2598"/>
      <c r="M61" s="2598"/>
      <c r="N61" s="2598"/>
      <c r="O61" s="2598"/>
      <c r="P61" s="2598"/>
      <c r="Q61" s="2598"/>
      <c r="R61" s="2598"/>
      <c r="S61" s="2598"/>
      <c r="T61" s="2598"/>
      <c r="U61" s="2598"/>
      <c r="V61" s="2598"/>
      <c r="W61" s="2598"/>
      <c r="X61" s="2598"/>
      <c r="Y61" s="430"/>
      <c r="Z61" s="442"/>
      <c r="AA61" s="440"/>
      <c r="AB61" s="301"/>
      <c r="AC61" s="301">
        <f t="shared" ref="AC61:AC62" si="23">G61*1000000</f>
        <v>150000000000</v>
      </c>
    </row>
    <row r="62" spans="1:29" s="2558" customFormat="1" ht="24" customHeight="1">
      <c r="A62" s="2553"/>
      <c r="B62" s="396"/>
      <c r="C62" s="2806"/>
      <c r="D62" s="397"/>
      <c r="E62" s="3266" t="s">
        <v>2980</v>
      </c>
      <c r="F62" s="3267"/>
      <c r="G62" s="1683">
        <v>150000</v>
      </c>
      <c r="H62" s="1683">
        <v>150000</v>
      </c>
      <c r="I62" s="386"/>
      <c r="J62" s="2624"/>
      <c r="K62" s="394"/>
      <c r="L62" s="2598"/>
      <c r="M62" s="2598"/>
      <c r="N62" s="2598"/>
      <c r="O62" s="2598"/>
      <c r="P62" s="2598"/>
      <c r="Q62" s="2598"/>
      <c r="R62" s="2598"/>
      <c r="S62" s="395"/>
      <c r="T62" s="2598"/>
      <c r="U62" s="2598"/>
      <c r="V62" s="2598"/>
      <c r="W62" s="2598"/>
      <c r="X62" s="2598"/>
      <c r="Y62" s="430"/>
      <c r="Z62" s="406"/>
      <c r="AA62" s="432"/>
      <c r="AB62" s="301"/>
      <c r="AC62" s="301">
        <f t="shared" si="23"/>
        <v>150000000000</v>
      </c>
    </row>
    <row r="63" spans="1:29" s="2558" customFormat="1" ht="24" customHeight="1">
      <c r="A63" s="2553" t="s">
        <v>3876</v>
      </c>
      <c r="B63" s="396"/>
      <c r="C63" s="2806"/>
      <c r="D63" s="3277" t="s">
        <v>3917</v>
      </c>
      <c r="E63" s="3271"/>
      <c r="F63" s="3272"/>
      <c r="G63" s="1683">
        <f>+G64</f>
        <v>300000</v>
      </c>
      <c r="H63" s="1683">
        <f>H64</f>
        <v>300000</v>
      </c>
      <c r="I63" s="820">
        <f t="shared" si="21"/>
        <v>0</v>
      </c>
      <c r="J63" s="2624"/>
      <c r="K63" s="394"/>
      <c r="L63" s="2598"/>
      <c r="M63" s="2598"/>
      <c r="N63" s="2598"/>
      <c r="O63" s="2598"/>
      <c r="P63" s="2598"/>
      <c r="Q63" s="2598"/>
      <c r="R63" s="2598"/>
      <c r="S63" s="2598"/>
      <c r="T63" s="2598"/>
      <c r="U63" s="2598"/>
      <c r="V63" s="2598"/>
      <c r="W63" s="2598"/>
      <c r="X63" s="2598"/>
      <c r="Y63" s="430"/>
      <c r="Z63" s="442"/>
      <c r="AA63" s="440"/>
      <c r="AB63" s="301"/>
      <c r="AC63" s="301">
        <f>G63*1000000</f>
        <v>300000000000</v>
      </c>
    </row>
    <row r="64" spans="1:29" s="2558" customFormat="1" ht="24" customHeight="1">
      <c r="A64" s="2553"/>
      <c r="B64" s="396"/>
      <c r="C64" s="2806"/>
      <c r="D64" s="397"/>
      <c r="E64" s="3266" t="s">
        <v>2982</v>
      </c>
      <c r="F64" s="3267"/>
      <c r="G64" s="1683">
        <v>300000</v>
      </c>
      <c r="H64" s="1683">
        <v>300000</v>
      </c>
      <c r="I64" s="386"/>
      <c r="J64" s="2624"/>
      <c r="K64" s="394"/>
      <c r="L64" s="2598"/>
      <c r="M64" s="2598"/>
      <c r="N64" s="2598"/>
      <c r="O64" s="2598"/>
      <c r="P64" s="2598"/>
      <c r="Q64" s="2598"/>
      <c r="R64" s="2598"/>
      <c r="S64" s="395"/>
      <c r="T64" s="2598"/>
      <c r="U64" s="2598"/>
      <c r="V64" s="2598"/>
      <c r="W64" s="2598"/>
      <c r="X64" s="2598"/>
      <c r="Y64" s="430"/>
      <c r="Z64" s="406"/>
      <c r="AA64" s="432"/>
      <c r="AB64" s="301"/>
      <c r="AC64" s="301">
        <f>G64*1000000</f>
        <v>300000000000</v>
      </c>
    </row>
    <row r="65" spans="1:29" s="2558" customFormat="1" ht="24" customHeight="1">
      <c r="A65" s="2553" t="s">
        <v>430</v>
      </c>
      <c r="B65" s="396"/>
      <c r="C65" s="2806"/>
      <c r="D65" s="3277" t="s">
        <v>4997</v>
      </c>
      <c r="E65" s="3271"/>
      <c r="F65" s="3272"/>
      <c r="G65" s="1683">
        <f>+G66</f>
        <v>75000</v>
      </c>
      <c r="H65" s="1683">
        <f>H66</f>
        <v>0</v>
      </c>
      <c r="I65" s="820">
        <f t="shared" ref="I65" si="24">G65-H65</f>
        <v>75000</v>
      </c>
      <c r="J65" s="2780"/>
      <c r="K65" s="394"/>
      <c r="L65" s="2778"/>
      <c r="M65" s="2778"/>
      <c r="N65" s="2778"/>
      <c r="O65" s="2778"/>
      <c r="P65" s="2778"/>
      <c r="Q65" s="2778"/>
      <c r="R65" s="2778"/>
      <c r="S65" s="2778"/>
      <c r="T65" s="2778"/>
      <c r="U65" s="2778"/>
      <c r="V65" s="2778"/>
      <c r="W65" s="2778"/>
      <c r="X65" s="2778"/>
      <c r="Y65" s="430"/>
      <c r="Z65" s="442"/>
      <c r="AA65" s="440"/>
      <c r="AB65" s="301"/>
      <c r="AC65" s="301">
        <f>G65*1000000</f>
        <v>75000000000</v>
      </c>
    </row>
    <row r="66" spans="1:29" s="2558" customFormat="1" ht="24" customHeight="1" thickBot="1">
      <c r="A66" s="2553"/>
      <c r="B66" s="396"/>
      <c r="C66" s="2806"/>
      <c r="D66" s="397"/>
      <c r="E66" s="3266" t="s">
        <v>5013</v>
      </c>
      <c r="F66" s="3267"/>
      <c r="G66" s="1683">
        <v>75000</v>
      </c>
      <c r="H66" s="1683">
        <v>0</v>
      </c>
      <c r="I66" s="820"/>
      <c r="J66" s="2780"/>
      <c r="K66" s="394"/>
      <c r="L66" s="2778"/>
      <c r="M66" s="2778"/>
      <c r="N66" s="2778"/>
      <c r="O66" s="2778"/>
      <c r="P66" s="2778"/>
      <c r="Q66" s="2778"/>
      <c r="R66" s="2778"/>
      <c r="S66" s="395"/>
      <c r="T66" s="2778"/>
      <c r="U66" s="2778"/>
      <c r="V66" s="2778"/>
      <c r="W66" s="2778"/>
      <c r="X66" s="2778"/>
      <c r="Y66" s="430"/>
      <c r="Z66" s="406"/>
      <c r="AA66" s="432"/>
      <c r="AB66" s="301"/>
      <c r="AC66" s="301">
        <f>G66*1000000</f>
        <v>75000000000</v>
      </c>
    </row>
    <row r="67" spans="1:29" s="2557" customFormat="1" ht="24" customHeight="1" thickBot="1">
      <c r="A67" s="604"/>
      <c r="B67" s="422" t="s">
        <v>3918</v>
      </c>
      <c r="C67" s="1102"/>
      <c r="D67" s="1102"/>
      <c r="E67" s="1102"/>
      <c r="F67" s="1102"/>
      <c r="G67" s="595">
        <f>+G68+G79</f>
        <v>1077500</v>
      </c>
      <c r="H67" s="595">
        <f>+H68+H79</f>
        <v>310000</v>
      </c>
      <c r="I67" s="1255">
        <f>G67-H67</f>
        <v>767500</v>
      </c>
      <c r="J67" s="2624"/>
      <c r="K67" s="1256"/>
      <c r="L67" s="1257"/>
      <c r="M67" s="1257"/>
      <c r="N67" s="1257"/>
      <c r="O67" s="1257"/>
      <c r="P67" s="1257"/>
      <c r="Q67" s="1257"/>
      <c r="R67" s="1257"/>
      <c r="S67" s="1257"/>
      <c r="T67" s="1257"/>
      <c r="U67" s="1257"/>
      <c r="V67" s="1257"/>
      <c r="W67" s="1257"/>
      <c r="X67" s="1257"/>
      <c r="Y67" s="1257"/>
      <c r="Z67" s="1407"/>
      <c r="AA67" s="1259"/>
      <c r="AB67" s="305"/>
      <c r="AC67" s="301">
        <f>G67*1000000</f>
        <v>1077500000000</v>
      </c>
    </row>
    <row r="68" spans="1:29" s="584" customFormat="1" ht="23.1" customHeight="1" thickBot="1">
      <c r="A68" s="605"/>
      <c r="B68" s="1103" t="s">
        <v>3873</v>
      </c>
      <c r="C68" s="416" t="s">
        <v>3919</v>
      </c>
      <c r="D68" s="417"/>
      <c r="E68" s="418"/>
      <c r="F68" s="419"/>
      <c r="G68" s="596">
        <f>G69+G71+G73+G75+G77</f>
        <v>407500</v>
      </c>
      <c r="H68" s="596">
        <f>H69+H71+H73+H75+H77</f>
        <v>90000</v>
      </c>
      <c r="I68" s="1255">
        <f>G68-H68</f>
        <v>317500</v>
      </c>
      <c r="J68" s="611"/>
      <c r="K68" s="422"/>
      <c r="L68" s="423"/>
      <c r="M68" s="1408"/>
      <c r="N68" s="1408"/>
      <c r="O68" s="1408"/>
      <c r="P68" s="423"/>
      <c r="Q68" s="423"/>
      <c r="R68" s="423"/>
      <c r="S68" s="423"/>
      <c r="T68" s="423"/>
      <c r="U68" s="423"/>
      <c r="V68" s="423"/>
      <c r="W68" s="423"/>
      <c r="X68" s="423"/>
      <c r="Y68" s="2605"/>
      <c r="Z68" s="1409"/>
      <c r="AA68" s="1410"/>
      <c r="AB68" s="583"/>
      <c r="AC68" s="301">
        <f t="shared" ref="AC68:AC82" si="25">G68*1000000</f>
        <v>407500000000</v>
      </c>
    </row>
    <row r="69" spans="1:29" s="2558" customFormat="1" ht="23.1" customHeight="1">
      <c r="A69" s="2553" t="s">
        <v>3876</v>
      </c>
      <c r="B69" s="396"/>
      <c r="C69" s="2806"/>
      <c r="D69" s="3381" t="s">
        <v>5015</v>
      </c>
      <c r="E69" s="3375"/>
      <c r="F69" s="3376"/>
      <c r="G69" s="597">
        <f>G70</f>
        <v>200000</v>
      </c>
      <c r="H69" s="597">
        <f>H70</f>
        <v>0</v>
      </c>
      <c r="I69" s="820">
        <f t="shared" ref="I69" si="26">G69-H69</f>
        <v>200000</v>
      </c>
      <c r="J69" s="2624"/>
      <c r="K69" s="2284"/>
      <c r="L69" s="2619"/>
      <c r="M69" s="2619"/>
      <c r="N69" s="2619"/>
      <c r="O69" s="2619"/>
      <c r="P69" s="2619"/>
      <c r="Q69" s="2619"/>
      <c r="R69" s="2619"/>
      <c r="S69" s="2619"/>
      <c r="T69" s="2619"/>
      <c r="U69" s="2619"/>
      <c r="V69" s="2619"/>
      <c r="W69" s="2619"/>
      <c r="X69" s="2619"/>
      <c r="Y69" s="426"/>
      <c r="Z69" s="427"/>
      <c r="AA69" s="440"/>
      <c r="AB69" s="301"/>
      <c r="AC69" s="301">
        <f t="shared" si="25"/>
        <v>200000000000</v>
      </c>
    </row>
    <row r="70" spans="1:29" s="2558" customFormat="1" ht="23.1" customHeight="1">
      <c r="A70" s="2553"/>
      <c r="B70" s="396"/>
      <c r="C70" s="2806"/>
      <c r="D70" s="397"/>
      <c r="E70" s="3519" t="s">
        <v>5016</v>
      </c>
      <c r="F70" s="3520"/>
      <c r="G70" s="1683">
        <v>200000</v>
      </c>
      <c r="H70" s="1683">
        <v>0</v>
      </c>
      <c r="I70" s="468"/>
      <c r="J70" s="1083">
        <f>H70-I70</f>
        <v>0</v>
      </c>
      <c r="K70" s="394"/>
      <c r="L70" s="2598"/>
      <c r="M70" s="2598"/>
      <c r="N70" s="2598"/>
      <c r="O70" s="2598"/>
      <c r="P70" s="2598"/>
      <c r="Q70" s="2598"/>
      <c r="R70" s="2598"/>
      <c r="S70" s="395"/>
      <c r="T70" s="2598"/>
      <c r="U70" s="2598"/>
      <c r="V70" s="2598"/>
      <c r="W70" s="2598"/>
      <c r="X70" s="2598"/>
      <c r="Y70" s="430"/>
      <c r="Z70" s="442"/>
      <c r="AA70" s="440"/>
      <c r="AB70" s="301"/>
      <c r="AC70" s="301">
        <f t="shared" si="25"/>
        <v>200000000000</v>
      </c>
    </row>
    <row r="71" spans="1:29" s="2558" customFormat="1" ht="23.1" customHeight="1">
      <c r="A71" s="2553" t="s">
        <v>430</v>
      </c>
      <c r="B71" s="396"/>
      <c r="C71" s="2806"/>
      <c r="D71" s="3277" t="s">
        <v>3920</v>
      </c>
      <c r="E71" s="3271"/>
      <c r="F71" s="3272"/>
      <c r="G71" s="597">
        <f>G72</f>
        <v>90000</v>
      </c>
      <c r="H71" s="597">
        <f>H72</f>
        <v>90000</v>
      </c>
      <c r="I71" s="820">
        <f t="shared" ref="I71" si="27">G71-H71</f>
        <v>0</v>
      </c>
      <c r="J71" s="2780"/>
      <c r="K71" s="2284"/>
      <c r="L71" s="2779"/>
      <c r="M71" s="2779"/>
      <c r="N71" s="2779"/>
      <c r="O71" s="2779"/>
      <c r="P71" s="2779"/>
      <c r="Q71" s="2779"/>
      <c r="R71" s="2779"/>
      <c r="S71" s="2779"/>
      <c r="T71" s="2779"/>
      <c r="U71" s="2779"/>
      <c r="V71" s="2779"/>
      <c r="W71" s="2779"/>
      <c r="X71" s="2779"/>
      <c r="Y71" s="426"/>
      <c r="Z71" s="427"/>
      <c r="AA71" s="440"/>
      <c r="AB71" s="301"/>
      <c r="AC71" s="301">
        <f t="shared" ref="AC71:AC74" si="28">G71*1000000</f>
        <v>90000000000</v>
      </c>
    </row>
    <row r="72" spans="1:29" s="2558" customFormat="1" ht="23.1" customHeight="1">
      <c r="A72" s="2553"/>
      <c r="B72" s="396"/>
      <c r="C72" s="2806"/>
      <c r="D72" s="397"/>
      <c r="E72" s="3519" t="s">
        <v>2984</v>
      </c>
      <c r="F72" s="3520"/>
      <c r="G72" s="1683">
        <v>90000</v>
      </c>
      <c r="H72" s="1683">
        <v>90000</v>
      </c>
      <c r="I72" s="468"/>
      <c r="J72" s="1083">
        <f>H72-I72</f>
        <v>90000</v>
      </c>
      <c r="K72" s="394"/>
      <c r="L72" s="2778"/>
      <c r="M72" s="2778"/>
      <c r="N72" s="2778"/>
      <c r="O72" s="2778"/>
      <c r="P72" s="2778"/>
      <c r="Q72" s="2778"/>
      <c r="R72" s="2778"/>
      <c r="S72" s="395"/>
      <c r="T72" s="2778"/>
      <c r="U72" s="2778"/>
      <c r="V72" s="2778"/>
      <c r="W72" s="2778"/>
      <c r="X72" s="2778"/>
      <c r="Y72" s="430"/>
      <c r="Z72" s="442"/>
      <c r="AA72" s="440"/>
      <c r="AB72" s="301"/>
      <c r="AC72" s="301">
        <f t="shared" si="28"/>
        <v>90000000000</v>
      </c>
    </row>
    <row r="73" spans="1:29" s="2558" customFormat="1" ht="23.1" customHeight="1">
      <c r="A73" s="2553" t="s">
        <v>430</v>
      </c>
      <c r="B73" s="396"/>
      <c r="C73" s="2806"/>
      <c r="D73" s="3277" t="s">
        <v>5019</v>
      </c>
      <c r="E73" s="3271"/>
      <c r="F73" s="3272"/>
      <c r="G73" s="597">
        <f>G74</f>
        <v>60000</v>
      </c>
      <c r="H73" s="597">
        <f>H74</f>
        <v>0</v>
      </c>
      <c r="I73" s="820">
        <f t="shared" ref="I73" si="29">G73-H73</f>
        <v>60000</v>
      </c>
      <c r="J73" s="2800"/>
      <c r="K73" s="2284"/>
      <c r="L73" s="2791"/>
      <c r="M73" s="2791"/>
      <c r="N73" s="2791"/>
      <c r="O73" s="2791"/>
      <c r="P73" s="2791"/>
      <c r="Q73" s="2791"/>
      <c r="R73" s="2791"/>
      <c r="S73" s="2791"/>
      <c r="T73" s="2791"/>
      <c r="U73" s="2791"/>
      <c r="V73" s="2791"/>
      <c r="W73" s="2791"/>
      <c r="X73" s="2791"/>
      <c r="Y73" s="426"/>
      <c r="Z73" s="427"/>
      <c r="AA73" s="440"/>
      <c r="AB73" s="301"/>
      <c r="AC73" s="301">
        <f t="shared" si="28"/>
        <v>60000000000</v>
      </c>
    </row>
    <row r="74" spans="1:29" s="2558" customFormat="1" ht="23.1" customHeight="1">
      <c r="A74" s="2553"/>
      <c r="B74" s="396"/>
      <c r="C74" s="2806"/>
      <c r="D74" s="397"/>
      <c r="E74" s="3519" t="s">
        <v>5018</v>
      </c>
      <c r="F74" s="3520"/>
      <c r="G74" s="1683">
        <v>60000</v>
      </c>
      <c r="H74" s="1683">
        <v>0</v>
      </c>
      <c r="I74" s="468"/>
      <c r="J74" s="1083">
        <f>H74-I74</f>
        <v>0</v>
      </c>
      <c r="K74" s="394"/>
      <c r="L74" s="2784"/>
      <c r="M74" s="2784"/>
      <c r="N74" s="2784"/>
      <c r="O74" s="2784"/>
      <c r="P74" s="2784"/>
      <c r="Q74" s="2784"/>
      <c r="R74" s="2784"/>
      <c r="S74" s="395"/>
      <c r="T74" s="2784"/>
      <c r="U74" s="2784"/>
      <c r="V74" s="2784"/>
      <c r="W74" s="2784"/>
      <c r="X74" s="2784"/>
      <c r="Y74" s="430"/>
      <c r="Z74" s="442"/>
      <c r="AA74" s="440"/>
      <c r="AB74" s="301"/>
      <c r="AC74" s="301">
        <f t="shared" si="28"/>
        <v>60000000000</v>
      </c>
    </row>
    <row r="75" spans="1:29" s="2558" customFormat="1" ht="23.1" customHeight="1">
      <c r="A75" s="2553" t="s">
        <v>430</v>
      </c>
      <c r="B75" s="396"/>
      <c r="C75" s="2806"/>
      <c r="D75" s="3277" t="s">
        <v>5020</v>
      </c>
      <c r="E75" s="3271"/>
      <c r="F75" s="3272"/>
      <c r="G75" s="597">
        <f>G76</f>
        <v>32500</v>
      </c>
      <c r="H75" s="597">
        <f>H76</f>
        <v>0</v>
      </c>
      <c r="I75" s="820">
        <f t="shared" ref="I75" si="30">G75-H75</f>
        <v>32500</v>
      </c>
      <c r="J75" s="2800"/>
      <c r="K75" s="2284"/>
      <c r="L75" s="2791"/>
      <c r="M75" s="2791"/>
      <c r="N75" s="2791"/>
      <c r="O75" s="2791"/>
      <c r="P75" s="2791"/>
      <c r="Q75" s="2791"/>
      <c r="R75" s="2791"/>
      <c r="S75" s="2791"/>
      <c r="T75" s="2791"/>
      <c r="U75" s="2791"/>
      <c r="V75" s="2791"/>
      <c r="W75" s="2791"/>
      <c r="X75" s="2791"/>
      <c r="Y75" s="426"/>
      <c r="Z75" s="427"/>
      <c r="AA75" s="440"/>
      <c r="AB75" s="301"/>
      <c r="AC75" s="301">
        <f t="shared" ref="AC75:AC76" si="31">G75*1000000</f>
        <v>32500000000</v>
      </c>
    </row>
    <row r="76" spans="1:29" s="2558" customFormat="1" ht="23.1" customHeight="1">
      <c r="A76" s="2553"/>
      <c r="B76" s="396"/>
      <c r="C76" s="2806"/>
      <c r="D76" s="397"/>
      <c r="E76" s="3312" t="s">
        <v>5021</v>
      </c>
      <c r="F76" s="3313"/>
      <c r="G76" s="1683">
        <v>32500</v>
      </c>
      <c r="H76" s="1683">
        <v>0</v>
      </c>
      <c r="I76" s="468"/>
      <c r="J76" s="1083">
        <f>H76-I76</f>
        <v>0</v>
      </c>
      <c r="K76" s="394"/>
      <c r="L76" s="2784"/>
      <c r="M76" s="2784"/>
      <c r="N76" s="2784"/>
      <c r="O76" s="2784"/>
      <c r="P76" s="2784"/>
      <c r="Q76" s="2784"/>
      <c r="R76" s="2784"/>
      <c r="S76" s="395"/>
      <c r="T76" s="2784"/>
      <c r="U76" s="2784"/>
      <c r="V76" s="2784"/>
      <c r="W76" s="2784"/>
      <c r="X76" s="2784"/>
      <c r="Y76" s="430"/>
      <c r="Z76" s="442"/>
      <c r="AA76" s="440"/>
      <c r="AB76" s="301"/>
      <c r="AC76" s="301">
        <f t="shared" si="31"/>
        <v>32500000000</v>
      </c>
    </row>
    <row r="77" spans="1:29" s="2558" customFormat="1" ht="23.1" customHeight="1">
      <c r="A77" s="2553" t="s">
        <v>430</v>
      </c>
      <c r="B77" s="396"/>
      <c r="C77" s="2806"/>
      <c r="D77" s="3277" t="s">
        <v>5022</v>
      </c>
      <c r="E77" s="3271"/>
      <c r="F77" s="3272"/>
      <c r="G77" s="597">
        <f>G78</f>
        <v>25000</v>
      </c>
      <c r="H77" s="597">
        <f>H78</f>
        <v>0</v>
      </c>
      <c r="I77" s="820">
        <f t="shared" ref="I77" si="32">G77-H77</f>
        <v>25000</v>
      </c>
      <c r="J77" s="2800"/>
      <c r="K77" s="2284"/>
      <c r="L77" s="2791"/>
      <c r="M77" s="2791"/>
      <c r="N77" s="2791"/>
      <c r="O77" s="2791"/>
      <c r="P77" s="2791"/>
      <c r="Q77" s="2791"/>
      <c r="R77" s="2791"/>
      <c r="S77" s="2791"/>
      <c r="T77" s="2791"/>
      <c r="U77" s="2791"/>
      <c r="V77" s="2791"/>
      <c r="W77" s="2791"/>
      <c r="X77" s="2791"/>
      <c r="Y77" s="426"/>
      <c r="Z77" s="427"/>
      <c r="AA77" s="440"/>
      <c r="AB77" s="301"/>
      <c r="AC77" s="301">
        <f t="shared" ref="AC77:AC78" si="33">G77*1000000</f>
        <v>25000000000</v>
      </c>
    </row>
    <row r="78" spans="1:29" s="2558" customFormat="1" ht="23.1" customHeight="1" thickBot="1">
      <c r="A78" s="2553"/>
      <c r="B78" s="396"/>
      <c r="C78" s="2806"/>
      <c r="D78" s="397"/>
      <c r="E78" s="3312" t="s">
        <v>5023</v>
      </c>
      <c r="F78" s="3313"/>
      <c r="G78" s="1683">
        <v>25000</v>
      </c>
      <c r="H78" s="1683">
        <v>0</v>
      </c>
      <c r="I78" s="468"/>
      <c r="J78" s="1083">
        <f>H78-I78</f>
        <v>0</v>
      </c>
      <c r="K78" s="394"/>
      <c r="L78" s="2784"/>
      <c r="M78" s="2784"/>
      <c r="N78" s="2784"/>
      <c r="O78" s="2784"/>
      <c r="P78" s="2784"/>
      <c r="Q78" s="2784"/>
      <c r="R78" s="2784"/>
      <c r="S78" s="395"/>
      <c r="T78" s="2784"/>
      <c r="U78" s="2784"/>
      <c r="V78" s="2784"/>
      <c r="W78" s="2784"/>
      <c r="X78" s="2784"/>
      <c r="Y78" s="430"/>
      <c r="Z78" s="442"/>
      <c r="AA78" s="440"/>
      <c r="AB78" s="301"/>
      <c r="AC78" s="301">
        <f t="shared" si="33"/>
        <v>25000000000</v>
      </c>
    </row>
    <row r="79" spans="1:29" s="591" customFormat="1" ht="24" customHeight="1" thickBot="1">
      <c r="A79" s="607"/>
      <c r="B79" s="1112"/>
      <c r="C79" s="416" t="s">
        <v>3921</v>
      </c>
      <c r="D79" s="417"/>
      <c r="E79" s="418"/>
      <c r="F79" s="419"/>
      <c r="G79" s="596">
        <f>G80+G82+G84</f>
        <v>670000</v>
      </c>
      <c r="H79" s="596">
        <f>H80+H82+H84</f>
        <v>220000</v>
      </c>
      <c r="I79" s="1255">
        <f>G79-H79</f>
        <v>450000</v>
      </c>
      <c r="J79" s="611"/>
      <c r="K79" s="422"/>
      <c r="L79" s="423"/>
      <c r="M79" s="423"/>
      <c r="N79" s="423"/>
      <c r="O79" s="423"/>
      <c r="P79" s="423"/>
      <c r="Q79" s="423"/>
      <c r="R79" s="423"/>
      <c r="S79" s="423"/>
      <c r="T79" s="423"/>
      <c r="U79" s="423"/>
      <c r="V79" s="423"/>
      <c r="W79" s="423"/>
      <c r="X79" s="423"/>
      <c r="Y79" s="2605"/>
      <c r="Z79" s="1409"/>
      <c r="AA79" s="1414"/>
      <c r="AB79" s="301"/>
      <c r="AC79" s="301">
        <f t="shared" si="25"/>
        <v>670000000000</v>
      </c>
    </row>
    <row r="80" spans="1:29" s="2558" customFormat="1" ht="24" customHeight="1">
      <c r="A80" s="2553" t="s">
        <v>3892</v>
      </c>
      <c r="B80" s="396"/>
      <c r="C80" s="2806"/>
      <c r="D80" s="3277" t="s">
        <v>3922</v>
      </c>
      <c r="E80" s="3271"/>
      <c r="F80" s="3272"/>
      <c r="G80" s="1683">
        <f>+G81</f>
        <v>100000</v>
      </c>
      <c r="H80" s="1683">
        <f>H81</f>
        <v>100000</v>
      </c>
      <c r="I80" s="820">
        <f t="shared" ref="I80" si="34">G80-H80</f>
        <v>0</v>
      </c>
      <c r="J80" s="2624"/>
      <c r="K80" s="394"/>
      <c r="L80" s="2598"/>
      <c r="M80" s="2598"/>
      <c r="N80" s="2598"/>
      <c r="O80" s="2598"/>
      <c r="P80" s="2598"/>
      <c r="Q80" s="2598"/>
      <c r="R80" s="2598"/>
      <c r="S80" s="2598"/>
      <c r="T80" s="2598"/>
      <c r="U80" s="2598"/>
      <c r="V80" s="2598"/>
      <c r="W80" s="2598"/>
      <c r="X80" s="2598"/>
      <c r="Y80" s="430"/>
      <c r="Z80" s="442"/>
      <c r="AA80" s="440"/>
      <c r="AB80" s="301"/>
      <c r="AC80" s="301">
        <f t="shared" si="25"/>
        <v>100000000000</v>
      </c>
    </row>
    <row r="81" spans="1:29" s="2558" customFormat="1" ht="24" customHeight="1">
      <c r="A81" s="2553"/>
      <c r="B81" s="396"/>
      <c r="C81" s="2806"/>
      <c r="D81" s="397"/>
      <c r="E81" s="3312" t="s">
        <v>2985</v>
      </c>
      <c r="F81" s="3313"/>
      <c r="G81" s="1683">
        <v>100000</v>
      </c>
      <c r="H81" s="1683">
        <v>100000</v>
      </c>
      <c r="I81" s="386"/>
      <c r="J81" s="2624"/>
      <c r="K81" s="394"/>
      <c r="L81" s="2598"/>
      <c r="M81" s="2598"/>
      <c r="N81" s="2598"/>
      <c r="O81" s="2598"/>
      <c r="P81" s="2598"/>
      <c r="Q81" s="2598"/>
      <c r="R81" s="2598"/>
      <c r="S81" s="395"/>
      <c r="T81" s="2598"/>
      <c r="U81" s="2598"/>
      <c r="V81" s="2598"/>
      <c r="W81" s="2598"/>
      <c r="X81" s="2598"/>
      <c r="Y81" s="430"/>
      <c r="Z81" s="406"/>
      <c r="AA81" s="432"/>
      <c r="AB81" s="301"/>
      <c r="AC81" s="301">
        <f t="shared" si="25"/>
        <v>100000000000</v>
      </c>
    </row>
    <row r="82" spans="1:29" s="2558" customFormat="1" ht="24" customHeight="1">
      <c r="A82" s="2553" t="s">
        <v>3876</v>
      </c>
      <c r="B82" s="396"/>
      <c r="C82" s="2806"/>
      <c r="D82" s="3277" t="s">
        <v>3923</v>
      </c>
      <c r="E82" s="3271"/>
      <c r="F82" s="3272"/>
      <c r="G82" s="1683">
        <f>G83</f>
        <v>120000</v>
      </c>
      <c r="H82" s="1683">
        <f>H83</f>
        <v>120000</v>
      </c>
      <c r="I82" s="820">
        <f t="shared" ref="I82" si="35">G82-H82</f>
        <v>0</v>
      </c>
      <c r="J82" s="2624"/>
      <c r="K82" s="394"/>
      <c r="L82" s="2598"/>
      <c r="M82" s="2598"/>
      <c r="N82" s="2598"/>
      <c r="O82" s="2598"/>
      <c r="P82" s="2598"/>
      <c r="Q82" s="2598"/>
      <c r="R82" s="2598"/>
      <c r="S82" s="2598"/>
      <c r="T82" s="2598"/>
      <c r="U82" s="2598"/>
      <c r="V82" s="2598"/>
      <c r="W82" s="2598"/>
      <c r="X82" s="2598"/>
      <c r="Y82" s="430"/>
      <c r="Z82" s="442"/>
      <c r="AA82" s="440"/>
      <c r="AB82" s="301"/>
      <c r="AC82" s="301">
        <f t="shared" si="25"/>
        <v>120000000000</v>
      </c>
    </row>
    <row r="83" spans="1:29" s="2558" customFormat="1" ht="24" customHeight="1">
      <c r="A83" s="2553"/>
      <c r="B83" s="396"/>
      <c r="C83" s="2806"/>
      <c r="D83" s="2800"/>
      <c r="E83" s="3266" t="s">
        <v>2986</v>
      </c>
      <c r="F83" s="3267"/>
      <c r="G83" s="1683">
        <v>120000</v>
      </c>
      <c r="H83" s="1683">
        <v>120000</v>
      </c>
      <c r="I83" s="386"/>
      <c r="J83" s="2624"/>
      <c r="K83" s="394"/>
      <c r="L83" s="2598"/>
      <c r="M83" s="2598"/>
      <c r="N83" s="2598"/>
      <c r="O83" s="2598"/>
      <c r="P83" s="2598"/>
      <c r="Q83" s="2598"/>
      <c r="R83" s="2598"/>
      <c r="S83" s="2598"/>
      <c r="T83" s="2598"/>
      <c r="U83" s="2598"/>
      <c r="V83" s="2598"/>
      <c r="W83" s="2598"/>
      <c r="X83" s="2598"/>
      <c r="Y83" s="430"/>
      <c r="Z83" s="1415"/>
      <c r="AA83" s="440"/>
      <c r="AB83" s="301"/>
      <c r="AC83" s="301"/>
    </row>
    <row r="84" spans="1:29" s="2558" customFormat="1" ht="24" customHeight="1">
      <c r="A84" s="2553" t="s">
        <v>430</v>
      </c>
      <c r="B84" s="396"/>
      <c r="C84" s="2806"/>
      <c r="D84" s="3277" t="s">
        <v>4998</v>
      </c>
      <c r="E84" s="3271"/>
      <c r="F84" s="3272"/>
      <c r="G84" s="1683">
        <f>G85</f>
        <v>450000</v>
      </c>
      <c r="H84" s="1683">
        <f>H85</f>
        <v>0</v>
      </c>
      <c r="I84" s="820">
        <f t="shared" ref="I84" si="36">G84-H84</f>
        <v>450000</v>
      </c>
      <c r="J84" s="2780"/>
      <c r="K84" s="394"/>
      <c r="L84" s="2778"/>
      <c r="M84" s="2778"/>
      <c r="N84" s="2778"/>
      <c r="O84" s="2778"/>
      <c r="P84" s="2778"/>
      <c r="Q84" s="2778"/>
      <c r="R84" s="2778"/>
      <c r="S84" s="2778"/>
      <c r="T84" s="2778"/>
      <c r="U84" s="2778"/>
      <c r="V84" s="2778"/>
      <c r="W84" s="2778"/>
      <c r="X84" s="2778"/>
      <c r="Y84" s="430"/>
      <c r="Z84" s="442"/>
      <c r="AA84" s="440"/>
      <c r="AB84" s="301"/>
      <c r="AC84" s="301">
        <f t="shared" ref="AC84" si="37">G84*1000000</f>
        <v>450000000000</v>
      </c>
    </row>
    <row r="85" spans="1:29" s="2558" customFormat="1" ht="24" customHeight="1" thickBot="1">
      <c r="A85" s="2553"/>
      <c r="B85" s="396"/>
      <c r="C85" s="2806"/>
      <c r="D85" s="2800"/>
      <c r="E85" s="3266" t="s">
        <v>5014</v>
      </c>
      <c r="F85" s="3267"/>
      <c r="G85" s="1683">
        <v>450000</v>
      </c>
      <c r="H85" s="1683">
        <v>0</v>
      </c>
      <c r="I85" s="386"/>
      <c r="J85" s="2780"/>
      <c r="K85" s="394"/>
      <c r="L85" s="2778"/>
      <c r="M85" s="2778"/>
      <c r="N85" s="2778"/>
      <c r="O85" s="2778"/>
      <c r="P85" s="2778"/>
      <c r="Q85" s="2778"/>
      <c r="R85" s="2778"/>
      <c r="S85" s="2778"/>
      <c r="T85" s="2778"/>
      <c r="U85" s="2778"/>
      <c r="V85" s="2778"/>
      <c r="W85" s="2778"/>
      <c r="X85" s="2778"/>
      <c r="Y85" s="430"/>
      <c r="Z85" s="1415"/>
      <c r="AA85" s="440"/>
      <c r="AB85" s="301"/>
      <c r="AC85" s="301"/>
    </row>
    <row r="86" spans="1:29" s="2558" customFormat="1" ht="23.25" customHeight="1" thickBot="1">
      <c r="A86" s="2553"/>
      <c r="B86" s="422" t="s">
        <v>3924</v>
      </c>
      <c r="C86" s="1102"/>
      <c r="D86" s="1102"/>
      <c r="E86" s="1102"/>
      <c r="F86" s="1102"/>
      <c r="G86" s="595">
        <f>G87</f>
        <v>15000</v>
      </c>
      <c r="H86" s="595">
        <f>H87</f>
        <v>0</v>
      </c>
      <c r="I86" s="2811">
        <f t="shared" ref="I86:I94" si="38">G86-H86</f>
        <v>15000</v>
      </c>
      <c r="J86" s="2624"/>
      <c r="K86" s="1301"/>
      <c r="L86" s="1302"/>
      <c r="M86" s="1302"/>
      <c r="N86" s="1302"/>
      <c r="O86" s="1302"/>
      <c r="P86" s="1302"/>
      <c r="Q86" s="1302"/>
      <c r="R86" s="1302"/>
      <c r="S86" s="1457"/>
      <c r="T86" s="1302"/>
      <c r="U86" s="1302"/>
      <c r="V86" s="1302"/>
      <c r="W86" s="1302"/>
      <c r="X86" s="1302"/>
      <c r="Y86" s="1299"/>
      <c r="Z86" s="1458"/>
      <c r="AA86" s="432"/>
      <c r="AB86" s="301"/>
      <c r="AC86" s="301"/>
    </row>
    <row r="87" spans="1:29" s="591" customFormat="1" ht="24" customHeight="1" thickBot="1">
      <c r="A87" s="607"/>
      <c r="B87" s="1112"/>
      <c r="C87" s="416" t="s">
        <v>47</v>
      </c>
      <c r="D87" s="417"/>
      <c r="E87" s="418"/>
      <c r="F87" s="419"/>
      <c r="G87" s="596">
        <f>G88</f>
        <v>15000</v>
      </c>
      <c r="H87" s="596">
        <f>H88</f>
        <v>0</v>
      </c>
      <c r="I87" s="421">
        <f t="shared" ref="I87" si="39">G87-H87</f>
        <v>15000</v>
      </c>
      <c r="J87" s="611"/>
      <c r="K87" s="422"/>
      <c r="L87" s="423"/>
      <c r="M87" s="423"/>
      <c r="N87" s="423"/>
      <c r="O87" s="423"/>
      <c r="P87" s="423"/>
      <c r="Q87" s="423"/>
      <c r="R87" s="423"/>
      <c r="S87" s="423"/>
      <c r="T87" s="423"/>
      <c r="U87" s="423"/>
      <c r="V87" s="423"/>
      <c r="W87" s="423"/>
      <c r="X87" s="423"/>
      <c r="Y87" s="2788"/>
      <c r="Z87" s="1409"/>
      <c r="AA87" s="1416"/>
      <c r="AB87" s="301"/>
      <c r="AC87" s="301">
        <f t="shared" ref="AC87" si="40">G87*1000000</f>
        <v>15000000000</v>
      </c>
    </row>
    <row r="88" spans="1:29" s="2558" customFormat="1" ht="24" customHeight="1">
      <c r="A88" s="2553" t="s">
        <v>183</v>
      </c>
      <c r="B88" s="396"/>
      <c r="C88" s="2810"/>
      <c r="D88" s="3333" t="s">
        <v>5024</v>
      </c>
      <c r="E88" s="3334"/>
      <c r="F88" s="3335"/>
      <c r="G88" s="2812">
        <f>+G89</f>
        <v>15000</v>
      </c>
      <c r="H88" s="2812">
        <f>H89</f>
        <v>0</v>
      </c>
      <c r="I88" s="2813">
        <f t="shared" si="38"/>
        <v>15000</v>
      </c>
      <c r="J88" s="2800"/>
      <c r="K88" s="394"/>
      <c r="L88" s="2784"/>
      <c r="M88" s="2784"/>
      <c r="N88" s="2784"/>
      <c r="O88" s="2784"/>
      <c r="P88" s="2784"/>
      <c r="Q88" s="2784"/>
      <c r="R88" s="2784"/>
      <c r="S88" s="2784"/>
      <c r="T88" s="2784"/>
      <c r="U88" s="2784"/>
      <c r="V88" s="2784"/>
      <c r="W88" s="2784"/>
      <c r="X88" s="2784"/>
      <c r="Y88" s="430"/>
      <c r="Z88" s="442"/>
      <c r="AA88" s="440"/>
      <c r="AB88" s="301"/>
      <c r="AC88" s="301">
        <f t="shared" ref="AC88:AC89" si="41">G88*1000000</f>
        <v>15000000000</v>
      </c>
    </row>
    <row r="89" spans="1:29" s="2558" customFormat="1" ht="24" customHeight="1" thickBot="1">
      <c r="A89" s="2553"/>
      <c r="B89" s="396"/>
      <c r="C89" s="2806"/>
      <c r="D89" s="397"/>
      <c r="E89" s="3312" t="s">
        <v>5025</v>
      </c>
      <c r="F89" s="3313"/>
      <c r="G89" s="1683">
        <v>15000</v>
      </c>
      <c r="H89" s="1683">
        <v>0</v>
      </c>
      <c r="I89" s="386"/>
      <c r="J89" s="2800"/>
      <c r="K89" s="394"/>
      <c r="L89" s="2784"/>
      <c r="M89" s="2784"/>
      <c r="N89" s="2784"/>
      <c r="O89" s="2784"/>
      <c r="P89" s="2784"/>
      <c r="Q89" s="2784"/>
      <c r="R89" s="2784"/>
      <c r="S89" s="395"/>
      <c r="T89" s="2784"/>
      <c r="U89" s="2784"/>
      <c r="V89" s="2784"/>
      <c r="W89" s="2784"/>
      <c r="X89" s="2784"/>
      <c r="Y89" s="430"/>
      <c r="Z89" s="406"/>
      <c r="AA89" s="432"/>
      <c r="AB89" s="301"/>
      <c r="AC89" s="301">
        <f t="shared" si="41"/>
        <v>15000000000</v>
      </c>
    </row>
    <row r="90" spans="1:29" s="2558" customFormat="1" ht="24" customHeight="1" thickBot="1">
      <c r="A90" s="2553"/>
      <c r="B90" s="422" t="s">
        <v>3925</v>
      </c>
      <c r="C90" s="1102"/>
      <c r="D90" s="1102"/>
      <c r="E90" s="1102"/>
      <c r="F90" s="1102"/>
      <c r="G90" s="595">
        <f>G91</f>
        <v>290000</v>
      </c>
      <c r="H90" s="595">
        <f>H91</f>
        <v>270000</v>
      </c>
      <c r="I90" s="1406">
        <f t="shared" si="38"/>
        <v>20000</v>
      </c>
      <c r="J90" s="2624"/>
      <c r="K90" s="2623"/>
      <c r="L90" s="2624"/>
      <c r="M90" s="2624"/>
      <c r="N90" s="2624"/>
      <c r="O90" s="2624"/>
      <c r="P90" s="2624"/>
      <c r="Q90" s="2624"/>
      <c r="R90" s="2624"/>
      <c r="S90" s="405"/>
      <c r="T90" s="2624"/>
      <c r="U90" s="2624"/>
      <c r="V90" s="2624"/>
      <c r="W90" s="2624"/>
      <c r="X90" s="2624"/>
      <c r="Y90" s="397"/>
      <c r="Z90" s="1417"/>
      <c r="AA90" s="432"/>
      <c r="AB90" s="301"/>
      <c r="AC90" s="301"/>
    </row>
    <row r="91" spans="1:29" s="591" customFormat="1" ht="24" customHeight="1" thickBot="1">
      <c r="A91" s="607"/>
      <c r="B91" s="1112"/>
      <c r="C91" s="416" t="s">
        <v>3926</v>
      </c>
      <c r="D91" s="417"/>
      <c r="E91" s="418"/>
      <c r="F91" s="419"/>
      <c r="G91" s="596">
        <f>G92+G94+G96</f>
        <v>290000</v>
      </c>
      <c r="H91" s="596">
        <f>H92+H94+H96</f>
        <v>270000</v>
      </c>
      <c r="I91" s="421">
        <f t="shared" si="38"/>
        <v>20000</v>
      </c>
      <c r="J91" s="611"/>
      <c r="K91" s="422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423"/>
      <c r="W91" s="423"/>
      <c r="X91" s="423"/>
      <c r="Y91" s="2605"/>
      <c r="Z91" s="1409"/>
      <c r="AA91" s="1416"/>
      <c r="AB91" s="301"/>
      <c r="AC91" s="301">
        <f t="shared" ref="AC91:AC97" si="42">G91*1000000</f>
        <v>290000000000</v>
      </c>
    </row>
    <row r="92" spans="1:29" s="592" customFormat="1" ht="24" customHeight="1">
      <c r="A92" s="2553" t="s">
        <v>3876</v>
      </c>
      <c r="B92" s="411"/>
      <c r="C92" s="2814"/>
      <c r="D92" s="3266" t="s">
        <v>3927</v>
      </c>
      <c r="E92" s="3347"/>
      <c r="F92" s="3267"/>
      <c r="G92" s="600">
        <f>SUM(G93:G93)</f>
        <v>180000</v>
      </c>
      <c r="H92" s="600">
        <f>SUM(H93:H93)</f>
        <v>180000</v>
      </c>
      <c r="I92" s="1382">
        <f t="shared" si="38"/>
        <v>0</v>
      </c>
      <c r="J92" s="2624"/>
      <c r="K92" s="1627"/>
      <c r="L92" s="2619"/>
      <c r="M92" s="2619"/>
      <c r="N92" s="2619"/>
      <c r="O92" s="2619"/>
      <c r="P92" s="2619"/>
      <c r="Q92" s="2619"/>
      <c r="R92" s="371"/>
      <c r="S92" s="1325"/>
      <c r="T92" s="458"/>
      <c r="U92" s="459"/>
      <c r="V92" s="459"/>
      <c r="W92" s="459"/>
      <c r="X92" s="459"/>
      <c r="Y92" s="460"/>
      <c r="Z92" s="549"/>
      <c r="AA92" s="407"/>
      <c r="AB92" s="301"/>
      <c r="AC92" s="301">
        <f t="shared" si="42"/>
        <v>180000000000</v>
      </c>
    </row>
    <row r="93" spans="1:29" s="592" customFormat="1" ht="24" customHeight="1">
      <c r="A93" s="2553"/>
      <c r="B93" s="411"/>
      <c r="C93" s="412"/>
      <c r="D93" s="1113"/>
      <c r="E93" s="3446" t="s">
        <v>3928</v>
      </c>
      <c r="F93" s="3352"/>
      <c r="G93" s="613">
        <v>180000</v>
      </c>
      <c r="H93" s="1683">
        <v>180000</v>
      </c>
      <c r="I93" s="386"/>
      <c r="J93" s="2624"/>
      <c r="K93" s="1627"/>
      <c r="L93" s="2619"/>
      <c r="M93" s="2619"/>
      <c r="N93" s="2619"/>
      <c r="O93" s="2619"/>
      <c r="P93" s="2619"/>
      <c r="Q93" s="2619"/>
      <c r="R93" s="371"/>
      <c r="S93" s="1325"/>
      <c r="T93" s="458"/>
      <c r="U93" s="459"/>
      <c r="V93" s="459"/>
      <c r="W93" s="459"/>
      <c r="X93" s="459"/>
      <c r="Y93" s="460"/>
      <c r="Z93" s="549"/>
      <c r="AA93" s="407"/>
      <c r="AB93" s="301"/>
      <c r="AC93" s="301"/>
    </row>
    <row r="94" spans="1:29" s="2558" customFormat="1" ht="24" customHeight="1">
      <c r="A94" s="2553" t="s">
        <v>3876</v>
      </c>
      <c r="B94" s="396"/>
      <c r="C94" s="2806"/>
      <c r="D94" s="3277" t="s">
        <v>3929</v>
      </c>
      <c r="E94" s="3271"/>
      <c r="F94" s="3272"/>
      <c r="G94" s="1683">
        <f>G95</f>
        <v>90000</v>
      </c>
      <c r="H94" s="1683">
        <f>H95</f>
        <v>90000</v>
      </c>
      <c r="I94" s="386">
        <f t="shared" si="38"/>
        <v>0</v>
      </c>
      <c r="J94" s="2624"/>
      <c r="K94" s="394"/>
      <c r="L94" s="2598"/>
      <c r="M94" s="2598"/>
      <c r="N94" s="2598"/>
      <c r="O94" s="2598"/>
      <c r="P94" s="2598"/>
      <c r="Q94" s="2598"/>
      <c r="R94" s="2598"/>
      <c r="S94" s="2598"/>
      <c r="T94" s="2598"/>
      <c r="U94" s="2598"/>
      <c r="V94" s="2598"/>
      <c r="W94" s="2598"/>
      <c r="X94" s="2598"/>
      <c r="Y94" s="430"/>
      <c r="Z94" s="442"/>
      <c r="AA94" s="440"/>
      <c r="AB94" s="301"/>
      <c r="AC94" s="301">
        <f t="shared" si="42"/>
        <v>90000000000</v>
      </c>
    </row>
    <row r="95" spans="1:29" s="2558" customFormat="1" ht="24" customHeight="1">
      <c r="A95" s="2553"/>
      <c r="B95" s="396"/>
      <c r="C95" s="2806"/>
      <c r="D95" s="397"/>
      <c r="E95" s="3446" t="s">
        <v>3930</v>
      </c>
      <c r="F95" s="3352"/>
      <c r="G95" s="613">
        <v>90000</v>
      </c>
      <c r="H95" s="613">
        <v>90000</v>
      </c>
      <c r="I95" s="908"/>
      <c r="J95" s="2624"/>
      <c r="K95" s="394"/>
      <c r="L95" s="2598"/>
      <c r="M95" s="2598"/>
      <c r="N95" s="2598"/>
      <c r="O95" s="2598"/>
      <c r="P95" s="2598"/>
      <c r="Q95" s="2598"/>
      <c r="R95" s="2598"/>
      <c r="S95" s="395"/>
      <c r="T95" s="2598"/>
      <c r="U95" s="2598"/>
      <c r="V95" s="2598"/>
      <c r="W95" s="2598"/>
      <c r="X95" s="2598"/>
      <c r="Y95" s="430"/>
      <c r="Z95" s="406"/>
      <c r="AA95" s="432"/>
      <c r="AB95" s="301"/>
      <c r="AC95" s="301">
        <f t="shared" si="42"/>
        <v>90000000000</v>
      </c>
    </row>
    <row r="96" spans="1:29" s="2558" customFormat="1" ht="24" customHeight="1">
      <c r="A96" s="2553" t="s">
        <v>183</v>
      </c>
      <c r="B96" s="396"/>
      <c r="C96" s="2806"/>
      <c r="D96" s="3277" t="s">
        <v>5024</v>
      </c>
      <c r="E96" s="3271"/>
      <c r="F96" s="3272"/>
      <c r="G96" s="1683">
        <f>+G97</f>
        <v>20000</v>
      </c>
      <c r="H96" s="1683">
        <f>H97</f>
        <v>0</v>
      </c>
      <c r="I96" s="468">
        <f t="shared" ref="I96" si="43">G96-H96</f>
        <v>20000</v>
      </c>
      <c r="J96" s="2800"/>
      <c r="K96" s="394"/>
      <c r="L96" s="2784"/>
      <c r="M96" s="2784"/>
      <c r="N96" s="2784"/>
      <c r="O96" s="2784"/>
      <c r="P96" s="2784"/>
      <c r="Q96" s="2784"/>
      <c r="R96" s="2784"/>
      <c r="S96" s="2784"/>
      <c r="T96" s="2784"/>
      <c r="U96" s="2784"/>
      <c r="V96" s="2784"/>
      <c r="W96" s="2784"/>
      <c r="X96" s="2784"/>
      <c r="Y96" s="430"/>
      <c r="Z96" s="442"/>
      <c r="AA96" s="440"/>
      <c r="AB96" s="301"/>
      <c r="AC96" s="301">
        <f t="shared" si="42"/>
        <v>20000000000</v>
      </c>
    </row>
    <row r="97" spans="1:29" s="2558" customFormat="1" ht="24" customHeight="1" thickBot="1">
      <c r="A97" s="2553"/>
      <c r="B97" s="396"/>
      <c r="C97" s="2806"/>
      <c r="D97" s="397"/>
      <c r="E97" s="3312" t="s">
        <v>5025</v>
      </c>
      <c r="F97" s="3313"/>
      <c r="G97" s="1683">
        <v>20000</v>
      </c>
      <c r="H97" s="1683">
        <v>0</v>
      </c>
      <c r="I97" s="386"/>
      <c r="J97" s="2800"/>
      <c r="K97" s="394"/>
      <c r="L97" s="2784"/>
      <c r="M97" s="2784"/>
      <c r="N97" s="2784"/>
      <c r="O97" s="2784"/>
      <c r="P97" s="2784"/>
      <c r="Q97" s="2784"/>
      <c r="R97" s="2784"/>
      <c r="S97" s="395"/>
      <c r="T97" s="2784"/>
      <c r="U97" s="2784"/>
      <c r="V97" s="2784"/>
      <c r="W97" s="2784"/>
      <c r="X97" s="2784"/>
      <c r="Y97" s="430"/>
      <c r="Z97" s="406"/>
      <c r="AA97" s="432"/>
      <c r="AB97" s="301"/>
      <c r="AC97" s="301">
        <f t="shared" si="42"/>
        <v>20000000000</v>
      </c>
    </row>
    <row r="98" spans="1:29" s="2558" customFormat="1" ht="24" customHeight="1" thickBot="1">
      <c r="A98" s="2553"/>
      <c r="B98" s="422" t="s">
        <v>3931</v>
      </c>
      <c r="C98" s="1102"/>
      <c r="D98" s="1102"/>
      <c r="E98" s="1102"/>
      <c r="F98" s="1102"/>
      <c r="G98" s="595">
        <f>G99</f>
        <v>13886.702000000001</v>
      </c>
      <c r="H98" s="595">
        <f>H99</f>
        <v>7536.7020000000002</v>
      </c>
      <c r="I98" s="1406">
        <f t="shared" ref="I98:I100" si="44">G98-H98</f>
        <v>6350.0000000000009</v>
      </c>
      <c r="J98" s="2624"/>
      <c r="K98" s="2623"/>
      <c r="L98" s="2624"/>
      <c r="M98" s="2624"/>
      <c r="N98" s="2624"/>
      <c r="O98" s="2624"/>
      <c r="P98" s="2624"/>
      <c r="Q98" s="2624"/>
      <c r="R98" s="2624"/>
      <c r="S98" s="405"/>
      <c r="T98" s="2624"/>
      <c r="U98" s="2624"/>
      <c r="V98" s="2624"/>
      <c r="W98" s="2624"/>
      <c r="X98" s="2624"/>
      <c r="Y98" s="397"/>
      <c r="Z98" s="406"/>
      <c r="AA98" s="432"/>
      <c r="AB98" s="301"/>
      <c r="AC98" s="301"/>
    </row>
    <row r="99" spans="1:29" s="591" customFormat="1" ht="24" customHeight="1" thickBot="1">
      <c r="A99" s="607"/>
      <c r="B99" s="1112"/>
      <c r="C99" s="416" t="s">
        <v>3932</v>
      </c>
      <c r="D99" s="417"/>
      <c r="E99" s="418"/>
      <c r="F99" s="419"/>
      <c r="G99" s="596">
        <f>G100+G102+G104</f>
        <v>13886.702000000001</v>
      </c>
      <c r="H99" s="596">
        <f>H100+H102+H104</f>
        <v>7536.7020000000002</v>
      </c>
      <c r="I99" s="421">
        <f t="shared" si="44"/>
        <v>6350.0000000000009</v>
      </c>
      <c r="J99" s="611"/>
      <c r="K99" s="422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423"/>
      <c r="W99" s="423"/>
      <c r="X99" s="423"/>
      <c r="Y99" s="2605"/>
      <c r="Z99" s="1409"/>
      <c r="AA99" s="1416"/>
      <c r="AB99" s="301"/>
      <c r="AC99" s="301">
        <f t="shared" ref="AC99:AC100" si="45">G99*1000000</f>
        <v>13886702000.000002</v>
      </c>
    </row>
    <row r="100" spans="1:29" s="592" customFormat="1" ht="24" customHeight="1">
      <c r="A100" s="2553" t="s">
        <v>3876</v>
      </c>
      <c r="B100" s="411"/>
      <c r="C100" s="412"/>
      <c r="D100" s="3455" t="s">
        <v>3933</v>
      </c>
      <c r="E100" s="3455"/>
      <c r="F100" s="3339"/>
      <c r="G100" s="600">
        <f>+G101</f>
        <v>7536.7020000000002</v>
      </c>
      <c r="H100" s="600">
        <f>+H101</f>
        <v>7536.7020000000002</v>
      </c>
      <c r="I100" s="1382">
        <f t="shared" si="44"/>
        <v>0</v>
      </c>
      <c r="J100" s="2624"/>
      <c r="K100" s="1627"/>
      <c r="L100" s="2619"/>
      <c r="M100" s="2619"/>
      <c r="N100" s="2619"/>
      <c r="O100" s="2619"/>
      <c r="P100" s="2619"/>
      <c r="Q100" s="2619"/>
      <c r="R100" s="371"/>
      <c r="S100" s="1325"/>
      <c r="T100" s="458"/>
      <c r="U100" s="459"/>
      <c r="V100" s="459"/>
      <c r="W100" s="459"/>
      <c r="X100" s="459"/>
      <c r="Y100" s="460"/>
      <c r="Z100" s="549"/>
      <c r="AA100" s="1448"/>
      <c r="AB100" s="301"/>
      <c r="AC100" s="301">
        <f t="shared" si="45"/>
        <v>7536702000</v>
      </c>
    </row>
    <row r="101" spans="1:29" s="592" customFormat="1" ht="24" customHeight="1">
      <c r="A101" s="2553"/>
      <c r="B101" s="411"/>
      <c r="C101" s="412"/>
      <c r="D101" s="1113"/>
      <c r="E101" s="3446" t="s">
        <v>3934</v>
      </c>
      <c r="F101" s="3352"/>
      <c r="G101" s="1683">
        <v>7536.7020000000002</v>
      </c>
      <c r="H101" s="1683">
        <v>7536.7020000000002</v>
      </c>
      <c r="I101" s="386"/>
      <c r="J101" s="2624"/>
      <c r="K101" s="1627"/>
      <c r="L101" s="2619"/>
      <c r="M101" s="2619"/>
      <c r="N101" s="2619"/>
      <c r="O101" s="2619"/>
      <c r="P101" s="2619"/>
      <c r="Q101" s="2619"/>
      <c r="R101" s="371"/>
      <c r="S101" s="1325"/>
      <c r="T101" s="458"/>
      <c r="U101" s="459"/>
      <c r="V101" s="459"/>
      <c r="W101" s="459"/>
      <c r="X101" s="459"/>
      <c r="Y101" s="460"/>
      <c r="Z101" s="549"/>
      <c r="AA101" s="407"/>
      <c r="AB101" s="301"/>
      <c r="AC101" s="301"/>
    </row>
    <row r="102" spans="1:29" s="2558" customFormat="1" ht="24" customHeight="1">
      <c r="A102" s="2553" t="s">
        <v>430</v>
      </c>
      <c r="B102" s="396"/>
      <c r="C102" s="2806"/>
      <c r="D102" s="3277" t="s">
        <v>5026</v>
      </c>
      <c r="E102" s="3271"/>
      <c r="F102" s="3272"/>
      <c r="G102" s="1683">
        <f>G103</f>
        <v>3350</v>
      </c>
      <c r="H102" s="1683">
        <f>H103</f>
        <v>0</v>
      </c>
      <c r="I102" s="386">
        <f t="shared" ref="I102" si="46">G102-H102</f>
        <v>3350</v>
      </c>
      <c r="J102" s="2800"/>
      <c r="K102" s="394"/>
      <c r="L102" s="2784"/>
      <c r="M102" s="2784"/>
      <c r="N102" s="2784"/>
      <c r="O102" s="2784"/>
      <c r="P102" s="2784"/>
      <c r="Q102" s="2784"/>
      <c r="R102" s="2784"/>
      <c r="S102" s="2784"/>
      <c r="T102" s="2784"/>
      <c r="U102" s="2784"/>
      <c r="V102" s="2784"/>
      <c r="W102" s="2784"/>
      <c r="X102" s="2784"/>
      <c r="Y102" s="430"/>
      <c r="Z102" s="442"/>
      <c r="AA102" s="440"/>
      <c r="AB102" s="301"/>
      <c r="AC102" s="301">
        <f t="shared" ref="AC102:AC103" si="47">G102*1000000</f>
        <v>3350000000</v>
      </c>
    </row>
    <row r="103" spans="1:29" s="2558" customFormat="1" ht="24" customHeight="1">
      <c r="A103" s="2553"/>
      <c r="B103" s="396"/>
      <c r="C103" s="2806"/>
      <c r="D103" s="397"/>
      <c r="E103" s="3446" t="s">
        <v>5026</v>
      </c>
      <c r="F103" s="3352"/>
      <c r="G103" s="613">
        <v>3350</v>
      </c>
      <c r="H103" s="613">
        <v>0</v>
      </c>
      <c r="I103" s="908"/>
      <c r="J103" s="2800"/>
      <c r="K103" s="2815"/>
      <c r="L103" s="447"/>
      <c r="M103" s="447"/>
      <c r="N103" s="447"/>
      <c r="O103" s="447"/>
      <c r="P103" s="447"/>
      <c r="Q103" s="447"/>
      <c r="R103" s="447"/>
      <c r="S103" s="2679"/>
      <c r="T103" s="447"/>
      <c r="U103" s="447"/>
      <c r="V103" s="447"/>
      <c r="W103" s="447"/>
      <c r="X103" s="447"/>
      <c r="Y103" s="906"/>
      <c r="Z103" s="406"/>
      <c r="AA103" s="2816"/>
      <c r="AB103" s="301"/>
      <c r="AC103" s="301">
        <f t="shared" si="47"/>
        <v>3350000000</v>
      </c>
    </row>
    <row r="104" spans="1:29" s="2558" customFormat="1" ht="24" customHeight="1">
      <c r="A104" s="2553" t="s">
        <v>430</v>
      </c>
      <c r="B104" s="396"/>
      <c r="C104" s="2806"/>
      <c r="D104" s="3521" t="s">
        <v>6107</v>
      </c>
      <c r="E104" s="3522"/>
      <c r="F104" s="3523"/>
      <c r="G104" s="1683">
        <f>G105</f>
        <v>3000</v>
      </c>
      <c r="H104" s="1683">
        <f>H105</f>
        <v>0</v>
      </c>
      <c r="I104" s="386">
        <f t="shared" ref="I104" si="48">G104-H104</f>
        <v>3000</v>
      </c>
      <c r="J104" s="2800"/>
      <c r="K104" s="394"/>
      <c r="L104" s="2784"/>
      <c r="M104" s="2784"/>
      <c r="N104" s="2784"/>
      <c r="O104" s="2784"/>
      <c r="P104" s="2784"/>
      <c r="Q104" s="2784"/>
      <c r="R104" s="2784"/>
      <c r="S104" s="2784"/>
      <c r="T104" s="2784"/>
      <c r="U104" s="2784"/>
      <c r="V104" s="2784"/>
      <c r="W104" s="2784"/>
      <c r="X104" s="2784"/>
      <c r="Y104" s="430"/>
      <c r="Z104" s="442"/>
      <c r="AA104" s="440"/>
      <c r="AB104" s="301"/>
      <c r="AC104" s="301">
        <f t="shared" ref="AC104:AC105" si="49">G104*1000000</f>
        <v>3000000000</v>
      </c>
    </row>
    <row r="105" spans="1:29" s="2558" customFormat="1" ht="24" customHeight="1" thickBot="1">
      <c r="A105" s="2553"/>
      <c r="B105" s="396"/>
      <c r="C105" s="2806"/>
      <c r="D105" s="1634"/>
      <c r="E105" s="3528" t="s">
        <v>5443</v>
      </c>
      <c r="F105" s="3529"/>
      <c r="G105" s="613">
        <v>3000</v>
      </c>
      <c r="H105" s="613">
        <v>0</v>
      </c>
      <c r="I105" s="908"/>
      <c r="J105" s="2800"/>
      <c r="K105" s="2815"/>
      <c r="L105" s="447"/>
      <c r="M105" s="447"/>
      <c r="N105" s="447"/>
      <c r="O105" s="447"/>
      <c r="P105" s="447"/>
      <c r="Q105" s="447"/>
      <c r="R105" s="447"/>
      <c r="S105" s="2679"/>
      <c r="T105" s="447"/>
      <c r="U105" s="447"/>
      <c r="V105" s="447"/>
      <c r="W105" s="447"/>
      <c r="X105" s="447"/>
      <c r="Y105" s="906"/>
      <c r="Z105" s="406"/>
      <c r="AA105" s="2816"/>
      <c r="AB105" s="301"/>
      <c r="AC105" s="301">
        <f t="shared" si="49"/>
        <v>3000000000</v>
      </c>
    </row>
    <row r="106" spans="1:29" s="2558" customFormat="1" ht="23.1" customHeight="1" thickBot="1">
      <c r="A106" s="2553"/>
      <c r="B106" s="422" t="s">
        <v>3935</v>
      </c>
      <c r="C106" s="1102"/>
      <c r="D106" s="1102"/>
      <c r="E106" s="1102"/>
      <c r="F106" s="1102"/>
      <c r="G106" s="595">
        <f>G107</f>
        <v>20000</v>
      </c>
      <c r="H106" s="595">
        <f t="shared" ref="H106" si="50">+H107</f>
        <v>0</v>
      </c>
      <c r="I106" s="1406">
        <f>G106-H106</f>
        <v>20000</v>
      </c>
      <c r="J106" s="2624"/>
      <c r="K106" s="2817"/>
      <c r="L106" s="2818"/>
      <c r="M106" s="2818"/>
      <c r="N106" s="2818"/>
      <c r="O106" s="2818"/>
      <c r="P106" s="2818"/>
      <c r="Q106" s="2818"/>
      <c r="R106" s="2818"/>
      <c r="S106" s="2819"/>
      <c r="T106" s="2818"/>
      <c r="U106" s="2818"/>
      <c r="V106" s="2818"/>
      <c r="W106" s="2818"/>
      <c r="X106" s="2818"/>
      <c r="Y106" s="1102"/>
      <c r="Z106" s="1458"/>
      <c r="AA106" s="1475"/>
      <c r="AB106" s="301"/>
      <c r="AC106" s="301"/>
    </row>
    <row r="107" spans="1:29" s="591" customFormat="1" ht="23.1" customHeight="1" thickBot="1">
      <c r="A107" s="607"/>
      <c r="B107" s="1112"/>
      <c r="C107" s="416" t="s">
        <v>3936</v>
      </c>
      <c r="D107" s="417"/>
      <c r="E107" s="418"/>
      <c r="F107" s="419"/>
      <c r="G107" s="596">
        <f>G108</f>
        <v>20000</v>
      </c>
      <c r="H107" s="596">
        <f>H108</f>
        <v>0</v>
      </c>
      <c r="I107" s="421">
        <f t="shared" ref="I107:I108" si="51">G107-H107</f>
        <v>20000</v>
      </c>
      <c r="J107" s="611"/>
      <c r="K107" s="422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423"/>
      <c r="W107" s="423"/>
      <c r="X107" s="423"/>
      <c r="Y107" s="2605"/>
      <c r="Z107" s="1409"/>
      <c r="AA107" s="1416"/>
      <c r="AB107" s="301"/>
      <c r="AC107" s="301">
        <f t="shared" ref="AC107:AC109" si="52">G107*1000000</f>
        <v>20000000000</v>
      </c>
    </row>
    <row r="108" spans="1:29" s="2558" customFormat="1" ht="24" customHeight="1">
      <c r="A108" s="2553" t="s">
        <v>183</v>
      </c>
      <c r="B108" s="396"/>
      <c r="C108" s="2806"/>
      <c r="D108" s="3277" t="s">
        <v>5024</v>
      </c>
      <c r="E108" s="3271"/>
      <c r="F108" s="3272"/>
      <c r="G108" s="1683">
        <f>+G109</f>
        <v>20000</v>
      </c>
      <c r="H108" s="1683">
        <f>H109</f>
        <v>0</v>
      </c>
      <c r="I108" s="468">
        <f t="shared" si="51"/>
        <v>20000</v>
      </c>
      <c r="J108" s="2800"/>
      <c r="K108" s="394"/>
      <c r="L108" s="2784"/>
      <c r="M108" s="2784"/>
      <c r="N108" s="2784"/>
      <c r="O108" s="2784"/>
      <c r="P108" s="2784"/>
      <c r="Q108" s="2784"/>
      <c r="R108" s="2784"/>
      <c r="S108" s="2784"/>
      <c r="T108" s="2784"/>
      <c r="U108" s="2784"/>
      <c r="V108" s="2784"/>
      <c r="W108" s="2784"/>
      <c r="X108" s="2784"/>
      <c r="Y108" s="430"/>
      <c r="Z108" s="442"/>
      <c r="AA108" s="440"/>
      <c r="AB108" s="301"/>
      <c r="AC108" s="301">
        <f t="shared" si="52"/>
        <v>20000000000</v>
      </c>
    </row>
    <row r="109" spans="1:29" s="2558" customFormat="1" ht="24" customHeight="1" thickBot="1">
      <c r="A109" s="2553"/>
      <c r="B109" s="396"/>
      <c r="C109" s="2806"/>
      <c r="D109" s="397"/>
      <c r="E109" s="3312" t="s">
        <v>5025</v>
      </c>
      <c r="F109" s="3313"/>
      <c r="G109" s="1683">
        <v>20000</v>
      </c>
      <c r="H109" s="1683">
        <v>0</v>
      </c>
      <c r="I109" s="386"/>
      <c r="J109" s="2800"/>
      <c r="K109" s="394"/>
      <c r="L109" s="2784"/>
      <c r="M109" s="2784"/>
      <c r="N109" s="2784"/>
      <c r="O109" s="2784"/>
      <c r="P109" s="2784"/>
      <c r="Q109" s="2784"/>
      <c r="R109" s="2784"/>
      <c r="S109" s="395"/>
      <c r="T109" s="2784"/>
      <c r="U109" s="2784"/>
      <c r="V109" s="2784"/>
      <c r="W109" s="2784"/>
      <c r="X109" s="2784"/>
      <c r="Y109" s="430"/>
      <c r="Z109" s="431"/>
      <c r="AA109" s="432"/>
      <c r="AB109" s="301"/>
      <c r="AC109" s="301">
        <f t="shared" si="52"/>
        <v>20000000000</v>
      </c>
    </row>
    <row r="110" spans="1:29" s="2558" customFormat="1" ht="23.1" customHeight="1" thickBot="1">
      <c r="A110" s="2553"/>
      <c r="B110" s="422" t="s">
        <v>3937</v>
      </c>
      <c r="C110" s="1102"/>
      <c r="D110" s="1102"/>
      <c r="E110" s="1102"/>
      <c r="F110" s="1102"/>
      <c r="G110" s="595">
        <v>0</v>
      </c>
      <c r="H110" s="595">
        <f t="shared" ref="H110" si="53">+H111</f>
        <v>0</v>
      </c>
      <c r="I110" s="1406">
        <f>G110-H110</f>
        <v>0</v>
      </c>
      <c r="J110" s="2624"/>
      <c r="K110" s="2623"/>
      <c r="L110" s="2624"/>
      <c r="M110" s="2624"/>
      <c r="N110" s="2624"/>
      <c r="O110" s="2624"/>
      <c r="P110" s="2624"/>
      <c r="Q110" s="2624"/>
      <c r="R110" s="2624"/>
      <c r="S110" s="405"/>
      <c r="T110" s="2624"/>
      <c r="U110" s="2624"/>
      <c r="V110" s="2624"/>
      <c r="W110" s="2624"/>
      <c r="X110" s="2624"/>
      <c r="Y110" s="397"/>
      <c r="Z110" s="406"/>
      <c r="AA110" s="432"/>
      <c r="AB110" s="301"/>
      <c r="AC110" s="301"/>
    </row>
    <row r="111" spans="1:29" s="591" customFormat="1" ht="23.1" customHeight="1" thickBot="1">
      <c r="A111" s="607"/>
      <c r="B111" s="1112"/>
      <c r="C111" s="416" t="s">
        <v>3938</v>
      </c>
      <c r="D111" s="417"/>
      <c r="E111" s="418"/>
      <c r="F111" s="419"/>
      <c r="G111" s="596">
        <v>0</v>
      </c>
      <c r="H111" s="596">
        <v>0</v>
      </c>
      <c r="I111" s="421">
        <f t="shared" ref="I111" si="54">G111-H111</f>
        <v>0</v>
      </c>
      <c r="J111" s="611"/>
      <c r="K111" s="422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423"/>
      <c r="W111" s="423"/>
      <c r="X111" s="423"/>
      <c r="Y111" s="2605"/>
      <c r="Z111" s="1409"/>
      <c r="AA111" s="1416"/>
      <c r="AB111" s="301"/>
      <c r="AC111" s="301">
        <f>G111*1000000</f>
        <v>0</v>
      </c>
    </row>
    <row r="112" spans="1:29" s="2558" customFormat="1" ht="23.1" customHeight="1" thickBot="1">
      <c r="A112" s="2553"/>
      <c r="B112" s="422" t="s">
        <v>3939</v>
      </c>
      <c r="C112" s="1102"/>
      <c r="D112" s="1102"/>
      <c r="E112" s="1102"/>
      <c r="F112" s="1102"/>
      <c r="G112" s="595">
        <v>0</v>
      </c>
      <c r="H112" s="595">
        <f t="shared" ref="H112" si="55">+H113</f>
        <v>0</v>
      </c>
      <c r="I112" s="1406">
        <f>G112-H112</f>
        <v>0</v>
      </c>
      <c r="J112" s="2624"/>
      <c r="K112" s="2623"/>
      <c r="L112" s="2624"/>
      <c r="M112" s="2624"/>
      <c r="N112" s="2624"/>
      <c r="O112" s="2624"/>
      <c r="P112" s="2624"/>
      <c r="Q112" s="2624"/>
      <c r="R112" s="2624"/>
      <c r="S112" s="405"/>
      <c r="T112" s="2624"/>
      <c r="U112" s="2624"/>
      <c r="V112" s="2624"/>
      <c r="W112" s="2624"/>
      <c r="X112" s="2624"/>
      <c r="Y112" s="397"/>
      <c r="Z112" s="406"/>
      <c r="AA112" s="432"/>
      <c r="AB112" s="301"/>
      <c r="AC112" s="301"/>
    </row>
    <row r="113" spans="1:29" s="591" customFormat="1" ht="23.1" customHeight="1" thickBot="1">
      <c r="A113" s="607"/>
      <c r="B113" s="1112"/>
      <c r="C113" s="416" t="s">
        <v>3940</v>
      </c>
      <c r="D113" s="417"/>
      <c r="E113" s="418"/>
      <c r="F113" s="419"/>
      <c r="G113" s="596">
        <v>0</v>
      </c>
      <c r="H113" s="596">
        <v>0</v>
      </c>
      <c r="I113" s="421">
        <f>G113-H113</f>
        <v>0</v>
      </c>
      <c r="J113" s="611"/>
      <c r="K113" s="422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423"/>
      <c r="W113" s="423"/>
      <c r="X113" s="423"/>
      <c r="Y113" s="2605"/>
      <c r="Z113" s="1409"/>
      <c r="AA113" s="1416"/>
      <c r="AB113" s="301"/>
      <c r="AC113" s="301">
        <f t="shared" ref="AC113" si="56">G113*1000000</f>
        <v>0</v>
      </c>
    </row>
    <row r="114" spans="1:29" ht="23.1" customHeight="1"/>
    <row r="119" spans="1:29">
      <c r="N119" s="1114"/>
    </row>
    <row r="585" spans="1:29" s="601" customFormat="1">
      <c r="A585" s="603"/>
      <c r="B585" s="1114"/>
      <c r="C585" s="1114"/>
      <c r="D585" s="1114"/>
      <c r="E585" s="1114"/>
      <c r="F585" s="1114"/>
      <c r="G585" s="1114"/>
      <c r="I585" s="173"/>
      <c r="J585" s="158"/>
      <c r="K585" s="159"/>
      <c r="L585" s="156"/>
      <c r="M585" s="156"/>
      <c r="N585" s="156"/>
      <c r="O585" s="156"/>
      <c r="P585" s="160"/>
      <c r="Q585" s="160"/>
      <c r="R585" s="156"/>
      <c r="S585" s="156"/>
      <c r="T585" s="156"/>
      <c r="U585" s="156"/>
      <c r="V585" s="156"/>
      <c r="W585" s="156"/>
      <c r="X585" s="156"/>
      <c r="Y585" s="203"/>
      <c r="Z585" s="593"/>
      <c r="AA585" s="153"/>
      <c r="AB585" s="153"/>
      <c r="AC585" s="176"/>
    </row>
    <row r="598" spans="1:29" s="601" customFormat="1">
      <c r="A598" s="603"/>
      <c r="B598" s="1114"/>
      <c r="C598" s="1114"/>
      <c r="D598" s="1114"/>
      <c r="E598" s="1114"/>
      <c r="F598" s="1114"/>
      <c r="G598" s="1114"/>
      <c r="I598" s="173"/>
      <c r="J598" s="158"/>
      <c r="K598" s="159"/>
      <c r="L598" s="156"/>
      <c r="M598" s="156"/>
      <c r="N598" s="156"/>
      <c r="O598" s="156"/>
      <c r="P598" s="160"/>
      <c r="Q598" s="160"/>
      <c r="R598" s="156"/>
      <c r="S598" s="156"/>
      <c r="T598" s="156"/>
      <c r="U598" s="156"/>
      <c r="V598" s="156"/>
      <c r="W598" s="156"/>
      <c r="X598" s="156"/>
      <c r="Y598" s="203"/>
      <c r="Z598" s="593"/>
      <c r="AA598" s="153"/>
      <c r="AB598" s="153"/>
      <c r="AC598" s="176"/>
    </row>
  </sheetData>
  <mergeCells count="88">
    <mergeCell ref="D102:F102"/>
    <mergeCell ref="E103:F103"/>
    <mergeCell ref="D108:F108"/>
    <mergeCell ref="E109:F109"/>
    <mergeCell ref="D104:F104"/>
    <mergeCell ref="E105:F105"/>
    <mergeCell ref="B1:Z1"/>
    <mergeCell ref="B3:F3"/>
    <mergeCell ref="G3:G4"/>
    <mergeCell ref="H3:H4"/>
    <mergeCell ref="I3:I4"/>
    <mergeCell ref="K3:Z4"/>
    <mergeCell ref="E43:F43"/>
    <mergeCell ref="E30:F30"/>
    <mergeCell ref="E31:F31"/>
    <mergeCell ref="D11:F11"/>
    <mergeCell ref="E12:F12"/>
    <mergeCell ref="D17:F17"/>
    <mergeCell ref="D19:F19"/>
    <mergeCell ref="E20:F20"/>
    <mergeCell ref="D15:F15"/>
    <mergeCell ref="E16:F16"/>
    <mergeCell ref="D24:F24"/>
    <mergeCell ref="E25:F25"/>
    <mergeCell ref="D26:F26"/>
    <mergeCell ref="E27:F27"/>
    <mergeCell ref="D29:F29"/>
    <mergeCell ref="E21:F21"/>
    <mergeCell ref="E38:F38"/>
    <mergeCell ref="E39:F39"/>
    <mergeCell ref="E40:F40"/>
    <mergeCell ref="E41:F41"/>
    <mergeCell ref="D42:F42"/>
    <mergeCell ref="E33:F33"/>
    <mergeCell ref="E34:F34"/>
    <mergeCell ref="E35:F35"/>
    <mergeCell ref="E36:F36"/>
    <mergeCell ref="E37:F37"/>
    <mergeCell ref="D32:F32"/>
    <mergeCell ref="E22:F22"/>
    <mergeCell ref="E23:F23"/>
    <mergeCell ref="E70:F70"/>
    <mergeCell ref="D55:F55"/>
    <mergeCell ref="E56:F56"/>
    <mergeCell ref="D57:F57"/>
    <mergeCell ref="E58:F58"/>
    <mergeCell ref="D59:F59"/>
    <mergeCell ref="E60:F60"/>
    <mergeCell ref="D61:F61"/>
    <mergeCell ref="E62:F62"/>
    <mergeCell ref="D63:F63"/>
    <mergeCell ref="E64:F64"/>
    <mergeCell ref="D69:F69"/>
    <mergeCell ref="E44:F44"/>
    <mergeCell ref="E95:F95"/>
    <mergeCell ref="D100:F100"/>
    <mergeCell ref="E101:F101"/>
    <mergeCell ref="D80:F80"/>
    <mergeCell ref="E81:F81"/>
    <mergeCell ref="D82:F82"/>
    <mergeCell ref="E83:F83"/>
    <mergeCell ref="D92:F92"/>
    <mergeCell ref="E93:F93"/>
    <mergeCell ref="E85:F85"/>
    <mergeCell ref="D88:F88"/>
    <mergeCell ref="E89:F89"/>
    <mergeCell ref="D96:F96"/>
    <mergeCell ref="E97:F97"/>
    <mergeCell ref="D94:F94"/>
    <mergeCell ref="D84:F84"/>
    <mergeCell ref="D51:F51"/>
    <mergeCell ref="E52:F52"/>
    <mergeCell ref="D73:F73"/>
    <mergeCell ref="E74:F74"/>
    <mergeCell ref="D75:F75"/>
    <mergeCell ref="E76:F76"/>
    <mergeCell ref="D77:F77"/>
    <mergeCell ref="E78:F78"/>
    <mergeCell ref="D65:F65"/>
    <mergeCell ref="E66:F66"/>
    <mergeCell ref="D71:F71"/>
    <mergeCell ref="E72:F72"/>
    <mergeCell ref="E50:F50"/>
    <mergeCell ref="D45:F45"/>
    <mergeCell ref="E46:F46"/>
    <mergeCell ref="D47:F47"/>
    <mergeCell ref="E48:F48"/>
    <mergeCell ref="D49:F49"/>
  </mergeCells>
  <phoneticPr fontId="19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fitToHeight="100" orientation="landscape" useFirstPageNumber="1" r:id="rId1"/>
  <headerFooter scaleWithDoc="0" alignWithMargins="0"/>
  <rowBreaks count="2" manualBreakCount="2">
    <brk id="66" min="1" max="25" man="1"/>
    <brk id="97" min="1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0"/>
  <sheetViews>
    <sheetView view="pageBreakPreview" topLeftCell="A7" zoomScale="70" zoomScaleNormal="75" zoomScaleSheetLayoutView="70" workbookViewId="0">
      <selection activeCell="C37" sqref="C37"/>
    </sheetView>
  </sheetViews>
  <sheetFormatPr defaultColWidth="8.88671875" defaultRowHeight="13.5"/>
  <cols>
    <col min="1" max="1" width="17.5546875" style="207" customWidth="1"/>
    <col min="2" max="2" width="29.33203125" style="207" customWidth="1"/>
    <col min="3" max="4" width="27.6640625" style="951" customWidth="1"/>
    <col min="5" max="5" width="27.6640625" style="960" customWidth="1"/>
    <col min="6" max="6" width="12.6640625" style="961" bestFit="1" customWidth="1"/>
    <col min="7" max="7" width="23.88671875" style="207" bestFit="1" customWidth="1"/>
    <col min="8" max="8" width="31.77734375" style="1649" bestFit="1" customWidth="1"/>
    <col min="9" max="9" width="23.88671875" style="207" bestFit="1" customWidth="1"/>
    <col min="10" max="16384" width="8.88671875" style="207"/>
  </cols>
  <sheetData>
    <row r="1" spans="1:9" ht="31.5" customHeight="1">
      <c r="A1" s="3174" t="s">
        <v>5048</v>
      </c>
      <c r="B1" s="3174"/>
      <c r="C1" s="3174"/>
      <c r="D1" s="3174"/>
      <c r="E1" s="3174"/>
      <c r="F1" s="3174"/>
    </row>
    <row r="2" spans="1:9" ht="22.5" customHeight="1" thickBot="1">
      <c r="A2" s="1"/>
      <c r="B2" s="1"/>
      <c r="C2" s="21" t="s">
        <v>44</v>
      </c>
      <c r="D2" s="21"/>
      <c r="E2" s="19"/>
      <c r="F2" s="22" t="s">
        <v>171</v>
      </c>
    </row>
    <row r="3" spans="1:9" ht="33" customHeight="1" thickBot="1">
      <c r="A3" s="3175" t="s">
        <v>150</v>
      </c>
      <c r="B3" s="3176"/>
      <c r="C3" s="1029" t="s">
        <v>151</v>
      </c>
      <c r="D3" s="1029" t="s">
        <v>5906</v>
      </c>
      <c r="E3" s="1030" t="s">
        <v>152</v>
      </c>
      <c r="F3" s="1031" t="s">
        <v>179</v>
      </c>
    </row>
    <row r="4" spans="1:9" s="952" customFormat="1" ht="33" customHeight="1">
      <c r="A4" s="3177" t="s">
        <v>180</v>
      </c>
      <c r="B4" s="3178"/>
      <c r="C4" s="1026">
        <f>+C5+C23+C28</f>
        <v>97087246.136999995</v>
      </c>
      <c r="D4" s="1026">
        <f>+D5+D23+D28</f>
        <v>94338195.701999992</v>
      </c>
      <c r="E4" s="1027">
        <f>+C4-D4</f>
        <v>2749050.4350000024</v>
      </c>
      <c r="F4" s="1028">
        <f t="shared" ref="F4:F28" si="0">(+C4-D4)/D4</f>
        <v>2.9140375375461224E-2</v>
      </c>
      <c r="G4" s="1727"/>
      <c r="H4" s="1727"/>
      <c r="I4" s="1727"/>
    </row>
    <row r="5" spans="1:9" s="952" customFormat="1" ht="33" customHeight="1">
      <c r="A5" s="3179" t="s">
        <v>536</v>
      </c>
      <c r="B5" s="1018" t="s">
        <v>539</v>
      </c>
      <c r="C5" s="1019">
        <f>+C6+C15</f>
        <v>53953290.968999989</v>
      </c>
      <c r="D5" s="1019">
        <f>+D6+D15</f>
        <v>53883091</v>
      </c>
      <c r="E5" s="1019">
        <f>C5-D5</f>
        <v>70199.968999989331</v>
      </c>
      <c r="F5" s="1020">
        <f t="shared" si="0"/>
        <v>1.3028200071148355E-3</v>
      </c>
      <c r="G5" s="1727"/>
      <c r="H5" s="1727"/>
      <c r="I5" s="1727"/>
    </row>
    <row r="6" spans="1:9" ht="33" customHeight="1">
      <c r="A6" s="3180"/>
      <c r="B6" s="2847" t="s">
        <v>537</v>
      </c>
      <c r="C6" s="1014">
        <f>SUM(C7:C14)</f>
        <v>46757000</v>
      </c>
      <c r="D6" s="2189">
        <f>SUM(D7:D14)</f>
        <v>46712000</v>
      </c>
      <c r="E6" s="23">
        <f t="shared" ref="E6:E22" si="1">+C6-D6</f>
        <v>45000</v>
      </c>
      <c r="F6" s="962">
        <f t="shared" si="0"/>
        <v>9.6334988867956847E-4</v>
      </c>
      <c r="G6" s="1727"/>
      <c r="H6" s="1727"/>
      <c r="I6" s="1727"/>
    </row>
    <row r="7" spans="1:9" ht="33" customHeight="1">
      <c r="A7" s="3180"/>
      <c r="B7" s="24" t="s">
        <v>182</v>
      </c>
      <c r="C7" s="1015">
        <f>+'1.목적(수입)'!E9</f>
        <v>3100000</v>
      </c>
      <c r="D7" s="2190">
        <f>+'1.목적(수입)'!F9</f>
        <v>3100000</v>
      </c>
      <c r="E7" s="25">
        <f t="shared" si="1"/>
        <v>0</v>
      </c>
      <c r="F7" s="963">
        <f t="shared" si="0"/>
        <v>0</v>
      </c>
      <c r="G7" s="1727"/>
      <c r="H7" s="1727"/>
      <c r="I7" s="1727"/>
    </row>
    <row r="8" spans="1:9" ht="33" customHeight="1">
      <c r="A8" s="3180"/>
      <c r="B8" s="26" t="s">
        <v>156</v>
      </c>
      <c r="C8" s="112">
        <f>+'1.목적(수입)'!E10</f>
        <v>2500000</v>
      </c>
      <c r="D8" s="2191">
        <f>+'1.목적(수입)'!F10</f>
        <v>2500000</v>
      </c>
      <c r="E8" s="27">
        <f t="shared" si="1"/>
        <v>0</v>
      </c>
      <c r="F8" s="964">
        <f t="shared" si="0"/>
        <v>0</v>
      </c>
      <c r="G8" s="1727"/>
      <c r="H8" s="1727"/>
      <c r="I8" s="1727"/>
    </row>
    <row r="9" spans="1:9" ht="33" customHeight="1">
      <c r="A9" s="3180"/>
      <c r="B9" s="26" t="s">
        <v>157</v>
      </c>
      <c r="C9" s="112">
        <f>+'1.목적(수입)'!E11</f>
        <v>39677000</v>
      </c>
      <c r="D9" s="2191">
        <f>+'1.목적(수입)'!F11</f>
        <v>39677000</v>
      </c>
      <c r="E9" s="27">
        <f>+C9-D9</f>
        <v>0</v>
      </c>
      <c r="F9" s="964">
        <f t="shared" si="0"/>
        <v>0</v>
      </c>
      <c r="G9" s="1727"/>
      <c r="H9" s="1727"/>
      <c r="I9" s="1727"/>
    </row>
    <row r="10" spans="1:9" ht="33" customHeight="1">
      <c r="A10" s="3180"/>
      <c r="B10" s="26" t="s">
        <v>184</v>
      </c>
      <c r="C10" s="112">
        <f>+'1.목적(수입)'!E18</f>
        <v>510000</v>
      </c>
      <c r="D10" s="2192">
        <f>+'1.목적(수입)'!F18</f>
        <v>465000</v>
      </c>
      <c r="E10" s="27">
        <f t="shared" si="1"/>
        <v>45000</v>
      </c>
      <c r="F10" s="964">
        <f t="shared" si="0"/>
        <v>9.6774193548387094E-2</v>
      </c>
      <c r="G10" s="1727"/>
      <c r="H10" s="1727"/>
      <c r="I10" s="1727"/>
    </row>
    <row r="11" spans="1:9" ht="33" customHeight="1">
      <c r="A11" s="3180"/>
      <c r="B11" s="28" t="s">
        <v>160</v>
      </c>
      <c r="C11" s="112">
        <f>+'1.목적(수입)'!E22</f>
        <v>120000</v>
      </c>
      <c r="D11" s="2192">
        <f>+'1.목적(수입)'!F22</f>
        <v>120000</v>
      </c>
      <c r="E11" s="29">
        <f>+C11-D11</f>
        <v>0</v>
      </c>
      <c r="F11" s="964">
        <f>(+C11-D11)/D11</f>
        <v>0</v>
      </c>
      <c r="G11" s="1727"/>
      <c r="H11" s="1727"/>
      <c r="I11" s="1727"/>
    </row>
    <row r="12" spans="1:9" ht="33" customHeight="1">
      <c r="A12" s="3180"/>
      <c r="B12" s="26" t="s">
        <v>185</v>
      </c>
      <c r="C12" s="112">
        <f>+'1.목적(수입)'!E25</f>
        <v>700000</v>
      </c>
      <c r="D12" s="2192">
        <f>+'1.목적(수입)'!F25</f>
        <v>700000</v>
      </c>
      <c r="E12" s="27">
        <f>+C12-D12</f>
        <v>0</v>
      </c>
      <c r="F12" s="964">
        <f>(+C12-D12)/D12</f>
        <v>0</v>
      </c>
      <c r="G12" s="1727"/>
      <c r="H12" s="1727"/>
      <c r="I12" s="1727"/>
    </row>
    <row r="13" spans="1:9" ht="33" customHeight="1">
      <c r="A13" s="3180"/>
      <c r="B13" s="30" t="s">
        <v>161</v>
      </c>
      <c r="C13" s="954">
        <f>'1.목적(수입)'!E27</f>
        <v>150000</v>
      </c>
      <c r="D13" s="2193">
        <f>+'1.목적(수입)'!F27</f>
        <v>150000</v>
      </c>
      <c r="E13" s="31">
        <f>+C13-D13</f>
        <v>0</v>
      </c>
      <c r="F13" s="964">
        <f>(+C13-D13)/D13</f>
        <v>0</v>
      </c>
      <c r="G13" s="1727"/>
      <c r="H13" s="1727"/>
      <c r="I13" s="1727"/>
    </row>
    <row r="14" spans="1:9" ht="33" hidden="1" customHeight="1">
      <c r="A14" s="3180"/>
      <c r="B14" s="30" t="s">
        <v>552</v>
      </c>
      <c r="C14" s="954">
        <f>+'1.목적(수입)'!E31</f>
        <v>0</v>
      </c>
      <c r="D14" s="2193">
        <f>+'1.목적(수입)'!F31</f>
        <v>0</v>
      </c>
      <c r="E14" s="31">
        <f>+C14-D14</f>
        <v>0</v>
      </c>
      <c r="F14" s="964"/>
      <c r="G14" s="1727"/>
      <c r="H14" s="1727"/>
      <c r="I14" s="1727"/>
    </row>
    <row r="15" spans="1:9" s="952" customFormat="1" ht="33" customHeight="1">
      <c r="A15" s="3180"/>
      <c r="B15" s="1016" t="s">
        <v>538</v>
      </c>
      <c r="C15" s="1017">
        <f>SUM(C16:C22)</f>
        <v>7196290.9689999912</v>
      </c>
      <c r="D15" s="2189">
        <f>SUM(D16:D22)</f>
        <v>7171091</v>
      </c>
      <c r="E15" s="23">
        <f t="shared" si="1"/>
        <v>25199.968999991193</v>
      </c>
      <c r="F15" s="962">
        <f t="shared" si="0"/>
        <v>3.5141053153545524E-3</v>
      </c>
      <c r="G15" s="1727"/>
      <c r="H15" s="1727"/>
      <c r="I15" s="1727"/>
    </row>
    <row r="16" spans="1:9" ht="33" customHeight="1">
      <c r="A16" s="3180"/>
      <c r="B16" s="24" t="s">
        <v>163</v>
      </c>
      <c r="C16" s="1070">
        <f>+'1.목적(수입)'!E37</f>
        <v>150000</v>
      </c>
      <c r="D16" s="2194">
        <f>+'1.목적(수입)'!F37</f>
        <v>150000</v>
      </c>
      <c r="E16" s="1071">
        <f t="shared" si="1"/>
        <v>0</v>
      </c>
      <c r="F16" s="1072">
        <f t="shared" si="0"/>
        <v>0</v>
      </c>
      <c r="G16" s="1727"/>
      <c r="H16" s="1727"/>
      <c r="I16" s="1727"/>
    </row>
    <row r="17" spans="1:9" ht="33" customHeight="1">
      <c r="A17" s="3180"/>
      <c r="B17" s="26" t="s">
        <v>228</v>
      </c>
      <c r="C17" s="112">
        <f>+'1.목적(수입)'!E38</f>
        <v>5086075.3689999999</v>
      </c>
      <c r="D17" s="953">
        <f>+'1.목적(수입)'!F38</f>
        <v>5086075</v>
      </c>
      <c r="E17" s="27">
        <f t="shared" si="1"/>
        <v>0.36899999994784594</v>
      </c>
      <c r="F17" s="964">
        <f t="shared" si="0"/>
        <v>7.2551033940287145E-8</v>
      </c>
      <c r="G17" s="1727"/>
      <c r="H17" s="1727"/>
      <c r="I17" s="1727"/>
    </row>
    <row r="18" spans="1:9" ht="33" customHeight="1">
      <c r="A18" s="3180"/>
      <c r="B18" s="26" t="s">
        <v>164</v>
      </c>
      <c r="C18" s="112">
        <f>+'1.목적(수입)'!E39</f>
        <v>914999.99999999208</v>
      </c>
      <c r="D18" s="953">
        <f>+'1.목적(수입)'!F39</f>
        <v>915000</v>
      </c>
      <c r="E18" s="27">
        <f t="shared" si="1"/>
        <v>-7.9162418842315674E-9</v>
      </c>
      <c r="F18" s="964">
        <f t="shared" si="0"/>
        <v>-8.6516304745700192E-15</v>
      </c>
      <c r="G18" s="1727"/>
      <c r="H18" s="1727"/>
      <c r="I18" s="1727"/>
    </row>
    <row r="19" spans="1:9" ht="33" customHeight="1">
      <c r="A19" s="3180"/>
      <c r="B19" s="26" t="s">
        <v>166</v>
      </c>
      <c r="C19" s="112">
        <f>+'1.목적(수입)'!E45</f>
        <v>392000</v>
      </c>
      <c r="D19" s="953">
        <f>+'1.목적(수입)'!F45</f>
        <v>392000</v>
      </c>
      <c r="E19" s="27">
        <f t="shared" si="1"/>
        <v>0</v>
      </c>
      <c r="F19" s="964">
        <f t="shared" si="0"/>
        <v>0</v>
      </c>
      <c r="G19" s="1727"/>
      <c r="H19" s="1727"/>
      <c r="I19" s="1727"/>
    </row>
    <row r="20" spans="1:9" ht="33" customHeight="1">
      <c r="A20" s="3180"/>
      <c r="B20" s="26" t="s">
        <v>168</v>
      </c>
      <c r="C20" s="112">
        <f>+'1.목적(수입)'!E48</f>
        <v>600000</v>
      </c>
      <c r="D20" s="953">
        <f>+'1.목적(수입)'!F48</f>
        <v>600000</v>
      </c>
      <c r="E20" s="27">
        <f t="shared" si="1"/>
        <v>0</v>
      </c>
      <c r="F20" s="964">
        <f>(+C20-D20)/D20</f>
        <v>0</v>
      </c>
      <c r="G20" s="1727"/>
      <c r="H20" s="1727"/>
      <c r="I20" s="1727"/>
    </row>
    <row r="21" spans="1:9" ht="33" customHeight="1">
      <c r="A21" s="3180"/>
      <c r="B21" s="26" t="s">
        <v>186</v>
      </c>
      <c r="C21" s="112">
        <f>+'1.목적(수입)'!E49</f>
        <v>25000</v>
      </c>
      <c r="D21" s="112">
        <f>+'1.목적(수입)'!F49</f>
        <v>25000</v>
      </c>
      <c r="E21" s="27">
        <f t="shared" ref="E21" si="2">+C21-D21</f>
        <v>0</v>
      </c>
      <c r="F21" s="964">
        <f t="shared" ref="F21:F22" si="3">(+C21-D21)/D21</f>
        <v>0</v>
      </c>
      <c r="G21" s="1727"/>
      <c r="H21" s="1727"/>
      <c r="I21" s="1727"/>
    </row>
    <row r="22" spans="1:9" ht="33" customHeight="1">
      <c r="A22" s="3181"/>
      <c r="B22" s="32" t="s">
        <v>555</v>
      </c>
      <c r="C22" s="1023">
        <f>+'1.목적(수입)'!E50</f>
        <v>28215.599999999999</v>
      </c>
      <c r="D22" s="1023">
        <f>+'1.목적(수입)'!F50</f>
        <v>3016</v>
      </c>
      <c r="E22" s="1024">
        <f t="shared" si="1"/>
        <v>25199.599999999999</v>
      </c>
      <c r="F22" s="964">
        <f t="shared" si="3"/>
        <v>8.3553050397877975</v>
      </c>
      <c r="G22" s="1727"/>
      <c r="H22" s="1727"/>
      <c r="I22" s="1727"/>
    </row>
    <row r="23" spans="1:9" s="952" customFormat="1" ht="33" customHeight="1">
      <c r="A23" s="3171" t="s">
        <v>540</v>
      </c>
      <c r="B23" s="1021" t="s">
        <v>539</v>
      </c>
      <c r="C23" s="1022">
        <f>SUM(C24:C27)</f>
        <v>42685328.702</v>
      </c>
      <c r="D23" s="1022">
        <f t="shared" ref="D23:E23" si="4">SUM(D24:D27)</f>
        <v>40006478.702</v>
      </c>
      <c r="E23" s="1022">
        <f t="shared" si="4"/>
        <v>2678850</v>
      </c>
      <c r="F23" s="1020">
        <f t="shared" si="0"/>
        <v>6.6960404587321984E-2</v>
      </c>
      <c r="G23" s="1727"/>
      <c r="H23" s="1727"/>
      <c r="I23" s="1727"/>
    </row>
    <row r="24" spans="1:9" ht="33" customHeight="1">
      <c r="A24" s="3171"/>
      <c r="B24" s="24" t="s">
        <v>430</v>
      </c>
      <c r="C24" s="1015">
        <f>+'2.외부(수입)'!E7</f>
        <v>18038642</v>
      </c>
      <c r="D24" s="1015">
        <f>+'2.외부(수입)'!F7</f>
        <v>16593642</v>
      </c>
      <c r="E24" s="25">
        <f t="shared" ref="E24:E26" si="5">+C24-D24</f>
        <v>1445000</v>
      </c>
      <c r="F24" s="964">
        <f t="shared" si="0"/>
        <v>8.7081546052397665E-2</v>
      </c>
      <c r="G24" s="1727"/>
      <c r="H24" s="1727"/>
      <c r="I24" s="1727"/>
    </row>
    <row r="25" spans="1:9" ht="33" customHeight="1">
      <c r="A25" s="3171"/>
      <c r="B25" s="26" t="s">
        <v>183</v>
      </c>
      <c r="C25" s="112">
        <f>+'2.외부(수입)'!E31</f>
        <v>19910386.702</v>
      </c>
      <c r="D25" s="112">
        <f>+'2.외부(수입)'!F31</f>
        <v>19679536.702</v>
      </c>
      <c r="E25" s="27">
        <f t="shared" si="5"/>
        <v>230850</v>
      </c>
      <c r="F25" s="964">
        <f t="shared" si="0"/>
        <v>1.1730459080194662E-2</v>
      </c>
      <c r="G25" s="1727"/>
      <c r="H25" s="1727"/>
      <c r="I25" s="1727"/>
    </row>
    <row r="26" spans="1:9" ht="33" customHeight="1">
      <c r="A26" s="3171"/>
      <c r="B26" s="26" t="s">
        <v>378</v>
      </c>
      <c r="C26" s="112">
        <f>+'2.외부(수입)'!E40</f>
        <v>183000</v>
      </c>
      <c r="D26" s="112">
        <f>+'2.외부(수입)'!F40</f>
        <v>180000</v>
      </c>
      <c r="E26" s="27">
        <f t="shared" si="5"/>
        <v>3000</v>
      </c>
      <c r="F26" s="964">
        <f>(+C26-D26)/D26</f>
        <v>1.6666666666666666E-2</v>
      </c>
      <c r="G26" s="1727"/>
      <c r="H26" s="1727"/>
      <c r="I26" s="1727"/>
    </row>
    <row r="27" spans="1:9" ht="33" customHeight="1">
      <c r="A27" s="3171"/>
      <c r="B27" s="26" t="s">
        <v>456</v>
      </c>
      <c r="C27" s="112">
        <f>+'2.외부(수입)'!E43</f>
        <v>4553300</v>
      </c>
      <c r="D27" s="112">
        <f>+'2.외부(수입)'!F43</f>
        <v>3553300</v>
      </c>
      <c r="E27" s="27">
        <f>+C27-D27</f>
        <v>1000000</v>
      </c>
      <c r="F27" s="964">
        <f t="shared" si="0"/>
        <v>0.28142853122449552</v>
      </c>
      <c r="G27" s="1727"/>
      <c r="H27" s="1727"/>
      <c r="I27" s="1727"/>
    </row>
    <row r="28" spans="1:9" ht="33" customHeight="1" thickBot="1">
      <c r="A28" s="3172" t="s">
        <v>434</v>
      </c>
      <c r="B28" s="3173"/>
      <c r="C28" s="1025">
        <f>+'3.반납비'!F6</f>
        <v>448626.46600000007</v>
      </c>
      <c r="D28" s="1025">
        <v>448626</v>
      </c>
      <c r="E28" s="1025">
        <f>C28-D28</f>
        <v>0.46600000007310882</v>
      </c>
      <c r="F28" s="2855">
        <f t="shared" si="0"/>
        <v>1.0387271359063201E-6</v>
      </c>
      <c r="G28" s="1727"/>
      <c r="H28" s="1727"/>
      <c r="I28" s="1727"/>
    </row>
    <row r="30" spans="1:9" s="956" customFormat="1">
      <c r="A30" s="955"/>
      <c r="C30" s="957"/>
      <c r="D30" s="957"/>
      <c r="E30" s="958"/>
      <c r="F30" s="959"/>
      <c r="H30" s="1650"/>
    </row>
  </sheetData>
  <mergeCells count="6">
    <mergeCell ref="A23:A27"/>
    <mergeCell ref="A28:B28"/>
    <mergeCell ref="A1:F1"/>
    <mergeCell ref="A3:B3"/>
    <mergeCell ref="A4:B4"/>
    <mergeCell ref="A5:A22"/>
  </mergeCells>
  <phoneticPr fontId="19" type="noConversion"/>
  <printOptions horizontalCentered="1"/>
  <pageMargins left="0.70866141732283472" right="0.62992125984251968" top="0.78740157480314965" bottom="0.70866141732283472" header="0.51181102362204722" footer="0.51181102362204722"/>
  <pageSetup paperSize="9" scale="55" firstPageNumber="2" orientation="landscape" useFirstPageNumber="1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D1063"/>
  <sheetViews>
    <sheetView view="pageBreakPreview" zoomScale="70" zoomScaleNormal="75" zoomScaleSheetLayoutView="70" workbookViewId="0">
      <pane ySplit="4" topLeftCell="A554" activePane="bottomLeft" state="frozen"/>
      <selection activeCell="Q61" sqref="Q61"/>
      <selection pane="bottomLeft" activeCell="N614" sqref="N614"/>
    </sheetView>
  </sheetViews>
  <sheetFormatPr defaultRowHeight="18.75"/>
  <cols>
    <col min="1" max="4" width="6.77734375" style="156" customWidth="1"/>
    <col min="5" max="5" width="25.77734375" style="156" customWidth="1"/>
    <col min="6" max="6" width="14" style="601" customWidth="1"/>
    <col min="7" max="7" width="14" style="157" customWidth="1"/>
    <col min="8" max="8" width="14" style="173" customWidth="1"/>
    <col min="9" max="9" width="1.5546875" style="158" customWidth="1"/>
    <col min="10" max="10" width="2.88671875" style="159" customWidth="1"/>
    <col min="11" max="11" width="1.88671875" style="156" customWidth="1"/>
    <col min="12" max="12" width="8.77734375" style="156" customWidth="1"/>
    <col min="13" max="13" width="10.33203125" style="156" customWidth="1"/>
    <col min="14" max="14" width="7.5546875" style="156" customWidth="1"/>
    <col min="15" max="15" width="11.109375" style="160" customWidth="1"/>
    <col min="16" max="16" width="10.109375" style="160" customWidth="1"/>
    <col min="17" max="17" width="7.77734375" style="156" customWidth="1"/>
    <col min="18" max="18" width="6.77734375" style="156" customWidth="1"/>
    <col min="19" max="19" width="14.77734375" style="156" customWidth="1"/>
    <col min="20" max="21" width="6.88671875" style="156" customWidth="1"/>
    <col min="22" max="22" width="8.33203125" style="156" customWidth="1"/>
    <col min="23" max="23" width="6.77734375" style="156" customWidth="1"/>
    <col min="24" max="24" width="3" style="203" customWidth="1"/>
    <col min="25" max="25" width="14.77734375" style="593" customWidth="1"/>
    <col min="26" max="26" width="17.44140625" style="153" customWidth="1"/>
    <col min="27" max="27" width="20.21875" style="153" bestFit="1" customWidth="1"/>
    <col min="28" max="28" width="20.5546875" style="979" customWidth="1"/>
    <col min="29" max="30" width="16.109375" style="603" customWidth="1"/>
    <col min="31" max="16384" width="8.88671875" style="162"/>
  </cols>
  <sheetData>
    <row r="1" spans="1:30" ht="23.1" customHeight="1">
      <c r="A1" s="3315" t="s">
        <v>666</v>
      </c>
      <c r="B1" s="3315"/>
      <c r="C1" s="3315"/>
      <c r="D1" s="3315"/>
      <c r="E1" s="3315"/>
      <c r="F1" s="3315"/>
      <c r="G1" s="3315"/>
      <c r="H1" s="3315"/>
      <c r="I1" s="3315"/>
      <c r="J1" s="3315"/>
      <c r="K1" s="3315"/>
      <c r="L1" s="3315"/>
      <c r="M1" s="3315"/>
      <c r="N1" s="3315"/>
      <c r="O1" s="3315"/>
      <c r="P1" s="3315"/>
      <c r="Q1" s="3315"/>
      <c r="R1" s="3315"/>
      <c r="S1" s="3315"/>
      <c r="T1" s="3315"/>
      <c r="U1" s="3315"/>
      <c r="V1" s="3315"/>
      <c r="W1" s="3315"/>
      <c r="X1" s="3315"/>
      <c r="Y1" s="3315"/>
      <c r="Z1" s="1248"/>
      <c r="AA1" s="1248"/>
      <c r="AB1" s="1419"/>
      <c r="AC1" s="1420"/>
    </row>
    <row r="2" spans="1:30" s="113" customFormat="1" ht="23.1" customHeight="1" thickBot="1">
      <c r="A2" s="803"/>
      <c r="B2" s="803"/>
      <c r="C2" s="803"/>
      <c r="D2" s="803" t="s">
        <v>44</v>
      </c>
      <c r="E2" s="594"/>
      <c r="F2" s="594"/>
      <c r="G2" s="594"/>
      <c r="H2" s="1083" t="s">
        <v>171</v>
      </c>
      <c r="I2" s="2624"/>
      <c r="J2" s="803" t="s">
        <v>44</v>
      </c>
      <c r="K2" s="773" t="s">
        <v>44</v>
      </c>
      <c r="L2" s="803"/>
      <c r="M2" s="369"/>
      <c r="N2" s="275"/>
      <c r="O2" s="1250"/>
      <c r="P2" s="1250"/>
      <c r="Q2" s="1251"/>
      <c r="R2" s="1251"/>
      <c r="S2" s="1251"/>
      <c r="T2" s="1251"/>
      <c r="U2" s="1251"/>
      <c r="V2" s="1251"/>
      <c r="W2" s="1251"/>
      <c r="X2" s="1252"/>
      <c r="Y2" s="1083" t="s">
        <v>149</v>
      </c>
      <c r="Z2" s="275"/>
      <c r="AA2" s="275"/>
      <c r="AB2" s="907"/>
      <c r="AC2" s="1252"/>
      <c r="AD2" s="202"/>
    </row>
    <row r="3" spans="1:30" s="165" customFormat="1" ht="23.1" customHeight="1">
      <c r="A3" s="3316" t="s">
        <v>188</v>
      </c>
      <c r="B3" s="3317"/>
      <c r="C3" s="3317"/>
      <c r="D3" s="3317"/>
      <c r="E3" s="3318"/>
      <c r="F3" s="3254" t="s">
        <v>317</v>
      </c>
      <c r="G3" s="3256" t="s">
        <v>423</v>
      </c>
      <c r="H3" s="3377" t="s">
        <v>11</v>
      </c>
      <c r="I3" s="409"/>
      <c r="J3" s="3321" t="s">
        <v>190</v>
      </c>
      <c r="K3" s="3322"/>
      <c r="L3" s="3322"/>
      <c r="M3" s="3322"/>
      <c r="N3" s="3322"/>
      <c r="O3" s="3322"/>
      <c r="P3" s="3322"/>
      <c r="Q3" s="3322"/>
      <c r="R3" s="3322"/>
      <c r="S3" s="3322"/>
      <c r="T3" s="3322"/>
      <c r="U3" s="3322"/>
      <c r="V3" s="3322"/>
      <c r="W3" s="3322"/>
      <c r="X3" s="3322"/>
      <c r="Y3" s="3323"/>
      <c r="Z3" s="1253"/>
      <c r="AA3" s="275"/>
      <c r="AB3" s="1091"/>
      <c r="AC3" s="1421"/>
      <c r="AD3" s="602"/>
    </row>
    <row r="4" spans="1:30" s="2557" customFormat="1" ht="23.1" customHeight="1" thickBot="1">
      <c r="A4" s="2560" t="s">
        <v>12</v>
      </c>
      <c r="B4" s="1101" t="s">
        <v>204</v>
      </c>
      <c r="C4" s="2653" t="s">
        <v>191</v>
      </c>
      <c r="D4" s="2653" t="s">
        <v>450</v>
      </c>
      <c r="E4" s="2653" t="s">
        <v>45</v>
      </c>
      <c r="F4" s="3255"/>
      <c r="G4" s="3257"/>
      <c r="H4" s="3378"/>
      <c r="I4" s="409"/>
      <c r="J4" s="3324"/>
      <c r="K4" s="3325"/>
      <c r="L4" s="3325"/>
      <c r="M4" s="3325"/>
      <c r="N4" s="3325"/>
      <c r="O4" s="3325"/>
      <c r="P4" s="3325"/>
      <c r="Q4" s="3325"/>
      <c r="R4" s="3325"/>
      <c r="S4" s="3325"/>
      <c r="T4" s="3325"/>
      <c r="U4" s="3325"/>
      <c r="V4" s="3325"/>
      <c r="W4" s="3325"/>
      <c r="X4" s="3325"/>
      <c r="Y4" s="3326"/>
      <c r="Z4" s="1084"/>
      <c r="AA4" s="275"/>
      <c r="AB4" s="1422" t="s">
        <v>3941</v>
      </c>
      <c r="AC4" s="1423" t="s">
        <v>183</v>
      </c>
      <c r="AD4" s="604"/>
    </row>
    <row r="5" spans="1:30" s="2557" customFormat="1" ht="22.5" customHeight="1" thickBot="1">
      <c r="A5" s="422" t="s">
        <v>3942</v>
      </c>
      <c r="B5" s="397"/>
      <c r="C5" s="397"/>
      <c r="D5" s="397"/>
      <c r="E5" s="397"/>
      <c r="F5" s="617">
        <f>F6+F32+F54+F658+F819+F828+F984+F1003+F1011+F1044</f>
        <v>38132028.702</v>
      </c>
      <c r="G5" s="617">
        <f>G6+G32+G54+G658+G819+G828+G984+G1003+G1011+G1044</f>
        <v>36453179</v>
      </c>
      <c r="H5" s="1405">
        <f t="shared" ref="H5:H55" si="0">F5-G5</f>
        <v>1678849.7019999996</v>
      </c>
      <c r="I5" s="409"/>
      <c r="J5" s="2608"/>
      <c r="K5" s="2609"/>
      <c r="L5" s="2609"/>
      <c r="M5" s="2609"/>
      <c r="N5" s="2609"/>
      <c r="O5" s="2609"/>
      <c r="P5" s="2609"/>
      <c r="Q5" s="2609"/>
      <c r="R5" s="2609"/>
      <c r="S5" s="2609"/>
      <c r="T5" s="2609"/>
      <c r="U5" s="2609"/>
      <c r="V5" s="2609"/>
      <c r="W5" s="2609"/>
      <c r="X5" s="2609"/>
      <c r="Y5" s="2610"/>
      <c r="Z5" s="1084"/>
      <c r="AA5" s="275"/>
      <c r="AB5" s="1422">
        <f>SUM(AB54:AB1020)</f>
        <v>14801000</v>
      </c>
      <c r="AC5" s="1422">
        <f>SUM(AC54:AC1020)</f>
        <v>21367642</v>
      </c>
      <c r="AD5" s="604"/>
    </row>
    <row r="6" spans="1:30" s="2557" customFormat="1" ht="22.5" customHeight="1" thickBot="1">
      <c r="A6" s="422" t="s">
        <v>556</v>
      </c>
      <c r="B6" s="1102"/>
      <c r="C6" s="1102"/>
      <c r="D6" s="1102"/>
      <c r="E6" s="1102"/>
      <c r="F6" s="595">
        <f>F7</f>
        <v>0</v>
      </c>
      <c r="G6" s="595">
        <f>G7</f>
        <v>0</v>
      </c>
      <c r="H6" s="1406">
        <f>F6-G6</f>
        <v>0</v>
      </c>
      <c r="I6" s="2624"/>
      <c r="J6" s="1256"/>
      <c r="K6" s="1257"/>
      <c r="L6" s="1257"/>
      <c r="M6" s="1257"/>
      <c r="N6" s="1257"/>
      <c r="O6" s="1257"/>
      <c r="P6" s="1257"/>
      <c r="Q6" s="1257"/>
      <c r="R6" s="1257"/>
      <c r="S6" s="1257"/>
      <c r="T6" s="1257"/>
      <c r="U6" s="1257"/>
      <c r="V6" s="1257"/>
      <c r="W6" s="1257"/>
      <c r="X6" s="1257"/>
      <c r="Y6" s="1407"/>
      <c r="Z6" s="1259"/>
      <c r="AA6" s="275"/>
      <c r="AB6" s="401">
        <f>F6*1000000</f>
        <v>0</v>
      </c>
      <c r="AC6" s="1424"/>
    </row>
    <row r="7" spans="1:30" s="584" customFormat="1" ht="22.5" customHeight="1" thickBot="1">
      <c r="A7" s="1103" t="s">
        <v>44</v>
      </c>
      <c r="B7" s="417" t="s">
        <v>394</v>
      </c>
      <c r="C7" s="418"/>
      <c r="D7" s="418"/>
      <c r="E7" s="419"/>
      <c r="F7" s="596">
        <f>+F8+F17</f>
        <v>0</v>
      </c>
      <c r="G7" s="596">
        <f>+G8+G17</f>
        <v>0</v>
      </c>
      <c r="H7" s="421">
        <f t="shared" ref="H7:H9" si="1">F7-G7</f>
        <v>0</v>
      </c>
      <c r="I7" s="611"/>
      <c r="J7" s="422"/>
      <c r="K7" s="423"/>
      <c r="L7" s="1408"/>
      <c r="M7" s="1408"/>
      <c r="N7" s="1408"/>
      <c r="O7" s="423"/>
      <c r="P7" s="423"/>
      <c r="Q7" s="423"/>
      <c r="R7" s="423"/>
      <c r="S7" s="423"/>
      <c r="T7" s="423"/>
      <c r="U7" s="423"/>
      <c r="V7" s="423"/>
      <c r="W7" s="423"/>
      <c r="X7" s="2605"/>
      <c r="Y7" s="1409"/>
      <c r="Z7" s="1410"/>
      <c r="AA7" s="1425"/>
      <c r="AB7" s="401">
        <f t="shared" ref="AB7:AB9" si="2">F7*1000000</f>
        <v>0</v>
      </c>
      <c r="AC7" s="1426"/>
    </row>
    <row r="8" spans="1:30" s="2558" customFormat="1" ht="22.5" hidden="1" customHeight="1">
      <c r="A8" s="396"/>
      <c r="B8" s="2652"/>
      <c r="C8" s="3381" t="s">
        <v>286</v>
      </c>
      <c r="D8" s="3375"/>
      <c r="E8" s="3376"/>
      <c r="F8" s="597">
        <f t="shared" ref="F8:G8" si="3">+F9</f>
        <v>0</v>
      </c>
      <c r="G8" s="597">
        <f t="shared" si="3"/>
        <v>0</v>
      </c>
      <c r="H8" s="820">
        <f t="shared" si="1"/>
        <v>0</v>
      </c>
      <c r="I8" s="2624"/>
      <c r="J8" s="2284"/>
      <c r="K8" s="2619"/>
      <c r="L8" s="2619"/>
      <c r="M8" s="2619"/>
      <c r="N8" s="2619"/>
      <c r="O8" s="2619"/>
      <c r="P8" s="2619"/>
      <c r="Q8" s="2619"/>
      <c r="R8" s="2619"/>
      <c r="S8" s="2619"/>
      <c r="T8" s="2619"/>
      <c r="U8" s="2619"/>
      <c r="V8" s="2619"/>
      <c r="W8" s="2619"/>
      <c r="X8" s="426"/>
      <c r="Y8" s="427"/>
      <c r="Z8" s="440"/>
      <c r="AA8" s="401"/>
      <c r="AB8" s="401">
        <f t="shared" si="2"/>
        <v>0</v>
      </c>
      <c r="AC8" s="2624"/>
    </row>
    <row r="9" spans="1:30" s="2624" customFormat="1" ht="22.5" hidden="1" customHeight="1">
      <c r="A9" s="396"/>
      <c r="B9" s="2652"/>
      <c r="C9" s="397"/>
      <c r="D9" s="3312" t="s">
        <v>3943</v>
      </c>
      <c r="E9" s="3313"/>
      <c r="F9" s="1683">
        <f>SUM(F10:F16)</f>
        <v>0</v>
      </c>
      <c r="G9" s="1683">
        <f>SUM(G10:G16)</f>
        <v>0</v>
      </c>
      <c r="H9" s="468">
        <f t="shared" si="1"/>
        <v>0</v>
      </c>
      <c r="I9" s="1083">
        <f>G9-H9</f>
        <v>0</v>
      </c>
      <c r="J9" s="394"/>
      <c r="K9" s="2598"/>
      <c r="L9" s="2598"/>
      <c r="M9" s="2598"/>
      <c r="N9" s="2598"/>
      <c r="O9" s="2598"/>
      <c r="P9" s="2598"/>
      <c r="Q9" s="2598"/>
      <c r="R9" s="395"/>
      <c r="S9" s="2598"/>
      <c r="T9" s="2598"/>
      <c r="U9" s="2598"/>
      <c r="V9" s="2598"/>
      <c r="W9" s="2598"/>
      <c r="X9" s="430"/>
      <c r="Y9" s="442"/>
      <c r="Z9" s="440"/>
      <c r="AA9" s="401"/>
      <c r="AB9" s="401">
        <f t="shared" si="2"/>
        <v>0</v>
      </c>
    </row>
    <row r="10" spans="1:30" s="2624" customFormat="1" ht="22.5" hidden="1" customHeight="1">
      <c r="A10" s="1082"/>
      <c r="B10" s="2652"/>
      <c r="C10" s="2652"/>
      <c r="D10" s="466"/>
      <c r="E10" s="444"/>
      <c r="F10" s="403"/>
      <c r="G10" s="403"/>
      <c r="H10" s="810"/>
      <c r="I10" s="1083"/>
      <c r="J10" s="2643"/>
      <c r="K10" s="2644"/>
      <c r="N10" s="1673"/>
      <c r="S10" s="1672"/>
      <c r="T10" s="2644"/>
      <c r="U10" s="2644"/>
      <c r="V10" s="2644"/>
      <c r="W10" s="2644"/>
      <c r="X10" s="1140"/>
      <c r="Y10" s="406"/>
      <c r="Z10" s="407"/>
      <c r="AA10" s="401"/>
      <c r="AB10" s="401"/>
    </row>
    <row r="11" spans="1:30" s="2624" customFormat="1" ht="22.5" hidden="1" customHeight="1">
      <c r="A11" s="1082"/>
      <c r="B11" s="2652"/>
      <c r="C11" s="2652"/>
      <c r="D11" s="466"/>
      <c r="E11" s="1134"/>
      <c r="F11" s="403"/>
      <c r="G11" s="403"/>
      <c r="H11" s="404"/>
      <c r="I11" s="1083"/>
      <c r="J11" s="2643"/>
      <c r="K11" s="2644"/>
      <c r="N11" s="1673"/>
      <c r="S11" s="1672"/>
      <c r="T11" s="2644"/>
      <c r="U11" s="2644"/>
      <c r="V11" s="2644"/>
      <c r="W11" s="2644"/>
      <c r="X11" s="1140"/>
      <c r="Y11" s="406"/>
      <c r="Z11" s="407"/>
      <c r="AA11" s="401"/>
      <c r="AB11" s="401"/>
    </row>
    <row r="12" spans="1:30" s="2624" customFormat="1" ht="22.5" hidden="1" customHeight="1">
      <c r="A12" s="1082"/>
      <c r="B12" s="2652"/>
      <c r="C12" s="2652"/>
      <c r="D12" s="466"/>
      <c r="E12" s="1134"/>
      <c r="F12" s="403"/>
      <c r="G12" s="403"/>
      <c r="H12" s="404"/>
      <c r="I12" s="1083"/>
      <c r="J12" s="2643"/>
      <c r="K12" s="2644"/>
      <c r="N12" s="1673"/>
      <c r="S12" s="1672"/>
      <c r="T12" s="2644"/>
      <c r="U12" s="2644"/>
      <c r="V12" s="2644"/>
      <c r="W12" s="2644"/>
      <c r="X12" s="1140"/>
      <c r="Y12" s="406"/>
      <c r="Z12" s="407"/>
      <c r="AA12" s="401"/>
      <c r="AB12" s="401"/>
    </row>
    <row r="13" spans="1:30" s="2624" customFormat="1" ht="22.5" hidden="1" customHeight="1">
      <c r="A13" s="1082"/>
      <c r="B13" s="2652"/>
      <c r="C13" s="2652"/>
      <c r="D13" s="466"/>
      <c r="E13" s="1134"/>
      <c r="F13" s="403"/>
      <c r="G13" s="403"/>
      <c r="H13" s="404"/>
      <c r="I13" s="1083"/>
      <c r="J13" s="2643"/>
      <c r="K13" s="2644"/>
      <c r="N13" s="1673"/>
      <c r="S13" s="1672"/>
      <c r="T13" s="2644"/>
      <c r="U13" s="2644"/>
      <c r="V13" s="2644"/>
      <c r="W13" s="2644"/>
      <c r="X13" s="1140"/>
      <c r="Y13" s="406"/>
      <c r="Z13" s="407"/>
      <c r="AA13" s="401"/>
      <c r="AB13" s="401"/>
    </row>
    <row r="14" spans="1:30" s="2624" customFormat="1" ht="22.5" hidden="1" customHeight="1">
      <c r="A14" s="1082"/>
      <c r="B14" s="2652"/>
      <c r="C14" s="2652"/>
      <c r="D14" s="466"/>
      <c r="E14" s="1134"/>
      <c r="F14" s="403"/>
      <c r="G14" s="403"/>
      <c r="H14" s="404"/>
      <c r="I14" s="1083"/>
      <c r="J14" s="2643"/>
      <c r="K14" s="2644"/>
      <c r="N14" s="1673"/>
      <c r="S14" s="1672"/>
      <c r="T14" s="2644"/>
      <c r="U14" s="2644"/>
      <c r="V14" s="2644"/>
      <c r="W14" s="2644"/>
      <c r="X14" s="1140"/>
      <c r="Y14" s="406"/>
      <c r="Z14" s="407"/>
      <c r="AA14" s="401"/>
      <c r="AB14" s="401"/>
    </row>
    <row r="15" spans="1:30" s="2624" customFormat="1" ht="22.5" hidden="1" customHeight="1">
      <c r="A15" s="1082"/>
      <c r="B15" s="2652"/>
      <c r="C15" s="2652"/>
      <c r="D15" s="466"/>
      <c r="E15" s="1134"/>
      <c r="F15" s="403"/>
      <c r="G15" s="403"/>
      <c r="H15" s="404"/>
      <c r="I15" s="1083"/>
      <c r="J15" s="2643"/>
      <c r="K15" s="2644"/>
      <c r="N15" s="1673"/>
      <c r="S15" s="1672"/>
      <c r="T15" s="2644"/>
      <c r="U15" s="2644"/>
      <c r="V15" s="2644"/>
      <c r="W15" s="2644"/>
      <c r="X15" s="1140"/>
      <c r="Y15" s="406"/>
      <c r="Z15" s="407"/>
      <c r="AA15" s="401"/>
      <c r="AB15" s="401"/>
    </row>
    <row r="16" spans="1:30" s="2624" customFormat="1" ht="22.5" hidden="1" customHeight="1">
      <c r="A16" s="1082"/>
      <c r="B16" s="2652"/>
      <c r="C16" s="2652"/>
      <c r="D16" s="466"/>
      <c r="E16" s="1134"/>
      <c r="F16" s="403"/>
      <c r="G16" s="403"/>
      <c r="H16" s="404"/>
      <c r="I16" s="1083"/>
      <c r="J16" s="2643"/>
      <c r="K16" s="2644"/>
      <c r="N16" s="1673"/>
      <c r="S16" s="1672"/>
      <c r="T16" s="2644"/>
      <c r="U16" s="2644"/>
      <c r="V16" s="2644"/>
      <c r="W16" s="2644"/>
      <c r="X16" s="1140"/>
      <c r="Y16" s="406"/>
      <c r="Z16" s="1098"/>
      <c r="AA16" s="401"/>
      <c r="AB16" s="401"/>
    </row>
    <row r="17" spans="1:29" s="2558" customFormat="1" ht="22.5" hidden="1" customHeight="1">
      <c r="A17" s="396"/>
      <c r="B17" s="2652"/>
      <c r="C17" s="3277" t="s">
        <v>3944</v>
      </c>
      <c r="D17" s="3271"/>
      <c r="E17" s="3272"/>
      <c r="F17" s="1683">
        <f>+F18</f>
        <v>0</v>
      </c>
      <c r="G17" s="1683">
        <f>+G18</f>
        <v>0</v>
      </c>
      <c r="H17" s="468">
        <f t="shared" ref="H17" si="4">F17-G17</f>
        <v>0</v>
      </c>
      <c r="I17" s="2624"/>
      <c r="J17" s="394"/>
      <c r="K17" s="2598"/>
      <c r="L17" s="2598"/>
      <c r="M17" s="2598"/>
      <c r="N17" s="2598"/>
      <c r="O17" s="2598"/>
      <c r="P17" s="2598"/>
      <c r="Q17" s="2598"/>
      <c r="R17" s="2598"/>
      <c r="S17" s="2598"/>
      <c r="T17" s="2598"/>
      <c r="U17" s="2598"/>
      <c r="V17" s="2598"/>
      <c r="W17" s="2598"/>
      <c r="X17" s="430"/>
      <c r="Y17" s="442"/>
      <c r="Z17" s="1733"/>
      <c r="AA17" s="401"/>
      <c r="AB17" s="401">
        <f t="shared" ref="AB17:AB18" si="5">F17*1000000</f>
        <v>0</v>
      </c>
      <c r="AC17" s="2624"/>
    </row>
    <row r="18" spans="1:29" s="2558" customFormat="1" ht="22.5" hidden="1" customHeight="1">
      <c r="A18" s="396"/>
      <c r="B18" s="2652"/>
      <c r="C18" s="1104"/>
      <c r="D18" s="3312" t="s">
        <v>3944</v>
      </c>
      <c r="E18" s="3313"/>
      <c r="F18" s="1683">
        <f>SUM(F19:F31)</f>
        <v>0</v>
      </c>
      <c r="G18" s="1683">
        <f>SUM(G19:G31)</f>
        <v>0</v>
      </c>
      <c r="H18" s="468">
        <f>SUM(H19:H31)</f>
        <v>0</v>
      </c>
      <c r="I18" s="1083">
        <f>G18-H18</f>
        <v>0</v>
      </c>
      <c r="J18" s="394"/>
      <c r="K18" s="2598"/>
      <c r="L18" s="2598"/>
      <c r="M18" s="2598"/>
      <c r="N18" s="2598"/>
      <c r="O18" s="2598"/>
      <c r="P18" s="2598"/>
      <c r="Q18" s="2598"/>
      <c r="R18" s="395"/>
      <c r="S18" s="2598"/>
      <c r="T18" s="2598"/>
      <c r="U18" s="2598"/>
      <c r="V18" s="2598"/>
      <c r="W18" s="2598"/>
      <c r="X18" s="430"/>
      <c r="Y18" s="442"/>
      <c r="Z18" s="1733"/>
      <c r="AA18" s="401"/>
      <c r="AB18" s="401">
        <f t="shared" si="5"/>
        <v>0</v>
      </c>
      <c r="AC18" s="2624"/>
    </row>
    <row r="19" spans="1:29" s="2558" customFormat="1" ht="22.5" hidden="1" customHeight="1">
      <c r="A19" s="396"/>
      <c r="B19" s="2652"/>
      <c r="C19" s="3544"/>
      <c r="D19" s="2624"/>
      <c r="E19" s="1759"/>
      <c r="F19" s="1688"/>
      <c r="G19" s="697"/>
      <c r="H19" s="703"/>
      <c r="I19" s="2604"/>
      <c r="J19" s="625"/>
      <c r="K19" s="2604"/>
      <c r="L19" s="626"/>
      <c r="M19" s="626"/>
      <c r="N19" s="627"/>
      <c r="O19" s="626"/>
      <c r="P19" s="626"/>
      <c r="Q19" s="628"/>
      <c r="R19" s="626"/>
      <c r="S19" s="627"/>
      <c r="T19" s="626"/>
      <c r="U19" s="626"/>
      <c r="V19" s="626"/>
      <c r="W19" s="626"/>
      <c r="X19" s="629"/>
      <c r="Y19" s="630"/>
      <c r="Z19" s="2522"/>
      <c r="AA19" s="401"/>
      <c r="AB19" s="401"/>
      <c r="AC19" s="2624"/>
    </row>
    <row r="20" spans="1:29" s="2558" customFormat="1" ht="22.5" hidden="1" customHeight="1">
      <c r="A20" s="396"/>
      <c r="B20" s="2652"/>
      <c r="C20" s="3544"/>
      <c r="D20" s="1107"/>
      <c r="E20" s="1760"/>
      <c r="F20" s="884"/>
      <c r="G20" s="697"/>
      <c r="H20" s="700"/>
      <c r="I20" s="2604"/>
      <c r="J20" s="1780"/>
      <c r="K20" s="1685"/>
      <c r="L20" s="1685"/>
      <c r="M20" s="1685"/>
      <c r="N20" s="1686"/>
      <c r="O20" s="1685"/>
      <c r="P20" s="1685"/>
      <c r="Q20" s="635"/>
      <c r="R20" s="1685"/>
      <c r="S20" s="1686"/>
      <c r="T20" s="1685"/>
      <c r="U20" s="1685"/>
      <c r="V20" s="1685"/>
      <c r="W20" s="1685"/>
      <c r="X20" s="1687"/>
      <c r="Y20" s="636"/>
      <c r="Z20" s="2523"/>
      <c r="AA20" s="401"/>
      <c r="AB20" s="401"/>
      <c r="AC20" s="2624"/>
    </row>
    <row r="21" spans="1:29" s="2558" customFormat="1" ht="22.5" hidden="1" customHeight="1">
      <c r="A21" s="396"/>
      <c r="B21" s="2652"/>
      <c r="C21" s="3544"/>
      <c r="D21" s="1107"/>
      <c r="E21" s="1760"/>
      <c r="F21" s="884"/>
      <c r="G21" s="697"/>
      <c r="H21" s="700"/>
      <c r="I21" s="2604"/>
      <c r="J21" s="1780"/>
      <c r="K21" s="1685"/>
      <c r="L21" s="1685"/>
      <c r="M21" s="1685"/>
      <c r="N21" s="1686"/>
      <c r="O21" s="1685"/>
      <c r="P21" s="1685"/>
      <c r="Q21" s="635"/>
      <c r="R21" s="1685"/>
      <c r="S21" s="1686"/>
      <c r="T21" s="1685"/>
      <c r="U21" s="1685"/>
      <c r="V21" s="1685"/>
      <c r="W21" s="1685"/>
      <c r="X21" s="1687"/>
      <c r="Y21" s="636"/>
      <c r="Z21" s="2523"/>
      <c r="AA21" s="401"/>
      <c r="AB21" s="401"/>
      <c r="AC21" s="2624"/>
    </row>
    <row r="22" spans="1:29" s="2558" customFormat="1" ht="22.5" hidden="1" customHeight="1">
      <c r="A22" s="396"/>
      <c r="B22" s="2652"/>
      <c r="C22" s="3544"/>
      <c r="D22" s="402"/>
      <c r="E22" s="620"/>
      <c r="F22" s="697"/>
      <c r="G22" s="697"/>
      <c r="H22" s="700"/>
      <c r="I22" s="2604"/>
      <c r="J22" s="1780"/>
      <c r="K22" s="1685"/>
      <c r="L22" s="1685"/>
      <c r="M22" s="1685"/>
      <c r="N22" s="1686"/>
      <c r="O22" s="1685"/>
      <c r="P22" s="1685"/>
      <c r="Q22" s="635"/>
      <c r="R22" s="1685"/>
      <c r="S22" s="1686"/>
      <c r="T22" s="1685"/>
      <c r="U22" s="1685"/>
      <c r="V22" s="1685"/>
      <c r="W22" s="1685"/>
      <c r="X22" s="1687"/>
      <c r="Y22" s="636"/>
      <c r="Z22" s="2523"/>
      <c r="AA22" s="401"/>
      <c r="AB22" s="401"/>
      <c r="AC22" s="2624"/>
    </row>
    <row r="23" spans="1:29" s="2558" customFormat="1" ht="22.5" hidden="1" customHeight="1">
      <c r="A23" s="396"/>
      <c r="B23" s="2652"/>
      <c r="C23" s="3544"/>
      <c r="D23" s="402"/>
      <c r="E23" s="620"/>
      <c r="F23" s="697"/>
      <c r="G23" s="697"/>
      <c r="H23" s="700"/>
      <c r="I23" s="2604"/>
      <c r="J23" s="1780"/>
      <c r="K23" s="1685"/>
      <c r="L23" s="1685"/>
      <c r="M23" s="1685"/>
      <c r="N23" s="1686"/>
      <c r="O23" s="1685"/>
      <c r="P23" s="1685"/>
      <c r="Q23" s="635"/>
      <c r="R23" s="1685"/>
      <c r="S23" s="1685"/>
      <c r="T23" s="1685"/>
      <c r="U23" s="1685"/>
      <c r="V23" s="530"/>
      <c r="W23" s="2626"/>
      <c r="X23" s="1687"/>
      <c r="Y23" s="636"/>
      <c r="Z23" s="2523"/>
      <c r="AA23" s="401"/>
      <c r="AB23" s="401"/>
      <c r="AC23" s="2624"/>
    </row>
    <row r="24" spans="1:29" s="2558" customFormat="1" ht="22.5" hidden="1" customHeight="1">
      <c r="A24" s="396"/>
      <c r="B24" s="2652"/>
      <c r="C24" s="3544"/>
      <c r="D24" s="1107"/>
      <c r="E24" s="1760"/>
      <c r="F24" s="697"/>
      <c r="G24" s="697"/>
      <c r="H24" s="700"/>
      <c r="I24" s="2604"/>
      <c r="J24" s="1780"/>
      <c r="K24" s="1780"/>
      <c r="L24" s="1685"/>
      <c r="M24" s="1685"/>
      <c r="N24" s="1685"/>
      <c r="O24" s="1686"/>
      <c r="P24" s="1685"/>
      <c r="Q24" s="635"/>
      <c r="R24" s="1685"/>
      <c r="S24" s="1685"/>
      <c r="T24" s="1685"/>
      <c r="U24" s="1685"/>
      <c r="V24" s="1685"/>
      <c r="W24" s="1685"/>
      <c r="X24" s="1687"/>
      <c r="Y24" s="636"/>
      <c r="Z24" s="2523"/>
      <c r="AA24" s="401"/>
      <c r="AB24" s="401"/>
      <c r="AC24" s="2624"/>
    </row>
    <row r="25" spans="1:29" s="2558" customFormat="1" ht="22.5" hidden="1" customHeight="1">
      <c r="A25" s="396"/>
      <c r="B25" s="2652"/>
      <c r="C25" s="3544"/>
      <c r="D25" s="1107"/>
      <c r="E25" s="1760"/>
      <c r="F25" s="697"/>
      <c r="G25" s="697"/>
      <c r="H25" s="700"/>
      <c r="I25" s="2604"/>
      <c r="J25" s="1780"/>
      <c r="K25" s="1685"/>
      <c r="L25" s="1685"/>
      <c r="M25" s="1685"/>
      <c r="N25" s="1686"/>
      <c r="O25" s="1685"/>
      <c r="P25" s="1685"/>
      <c r="Q25" s="635"/>
      <c r="R25" s="1685"/>
      <c r="S25" s="1686"/>
      <c r="T25" s="1685"/>
      <c r="U25" s="1685"/>
      <c r="V25" s="1685"/>
      <c r="W25" s="1685"/>
      <c r="X25" s="1687"/>
      <c r="Y25" s="636"/>
      <c r="Z25" s="2523"/>
      <c r="AA25" s="401"/>
      <c r="AB25" s="401"/>
      <c r="AC25" s="2624"/>
    </row>
    <row r="26" spans="1:29" s="2558" customFormat="1" ht="22.5" hidden="1" customHeight="1">
      <c r="A26" s="396"/>
      <c r="B26" s="2652"/>
      <c r="C26" s="3544"/>
      <c r="D26" s="1107"/>
      <c r="E26" s="1760"/>
      <c r="F26" s="884"/>
      <c r="G26" s="697"/>
      <c r="H26" s="700"/>
      <c r="I26" s="2604"/>
      <c r="J26" s="1780"/>
      <c r="K26" s="1685"/>
      <c r="L26" s="1685"/>
      <c r="M26" s="1685"/>
      <c r="N26" s="1686"/>
      <c r="O26" s="1685"/>
      <c r="P26" s="1685"/>
      <c r="Q26" s="635"/>
      <c r="R26" s="1685"/>
      <c r="S26" s="1685"/>
      <c r="T26" s="1685"/>
      <c r="U26" s="1685"/>
      <c r="V26" s="1685"/>
      <c r="W26" s="1685"/>
      <c r="X26" s="1685"/>
      <c r="Y26" s="636"/>
      <c r="Z26" s="2523"/>
      <c r="AA26" s="401"/>
      <c r="AB26" s="401"/>
      <c r="AC26" s="2624"/>
    </row>
    <row r="27" spans="1:29" s="2558" customFormat="1" ht="22.5" hidden="1" customHeight="1">
      <c r="A27" s="396"/>
      <c r="B27" s="2652"/>
      <c r="C27" s="3544"/>
      <c r="D27" s="1107"/>
      <c r="E27" s="1760"/>
      <c r="F27" s="884"/>
      <c r="G27" s="697"/>
      <c r="H27" s="700"/>
      <c r="I27" s="2604"/>
      <c r="J27" s="1780"/>
      <c r="K27" s="1685"/>
      <c r="L27" s="1685"/>
      <c r="M27" s="1685"/>
      <c r="N27" s="1686"/>
      <c r="O27" s="1685"/>
      <c r="P27" s="1685"/>
      <c r="Q27" s="635"/>
      <c r="R27" s="1685"/>
      <c r="S27" s="1685"/>
      <c r="T27" s="1685"/>
      <c r="U27" s="1685"/>
      <c r="V27" s="1685"/>
      <c r="W27" s="1685"/>
      <c r="X27" s="1685"/>
      <c r="Y27" s="636"/>
      <c r="Z27" s="2523"/>
      <c r="AA27" s="401"/>
      <c r="AB27" s="401"/>
      <c r="AC27" s="2624"/>
    </row>
    <row r="28" spans="1:29" s="2558" customFormat="1" ht="22.5" hidden="1" customHeight="1">
      <c r="A28" s="396"/>
      <c r="B28" s="2652"/>
      <c r="C28" s="3544"/>
      <c r="D28" s="1107"/>
      <c r="E28" s="1760"/>
      <c r="F28" s="884"/>
      <c r="G28" s="697"/>
      <c r="H28" s="700"/>
      <c r="I28" s="2604"/>
      <c r="J28" s="1780"/>
      <c r="K28" s="1685"/>
      <c r="L28" s="1685"/>
      <c r="M28" s="1685"/>
      <c r="N28" s="1686"/>
      <c r="O28" s="1685"/>
      <c r="P28" s="1685"/>
      <c r="Q28" s="635"/>
      <c r="R28" s="1685"/>
      <c r="S28" s="1685"/>
      <c r="T28" s="1685"/>
      <c r="U28" s="1685"/>
      <c r="V28" s="530"/>
      <c r="W28" s="2626"/>
      <c r="X28" s="1685"/>
      <c r="Y28" s="636"/>
      <c r="Z28" s="2523"/>
      <c r="AA28" s="401"/>
      <c r="AB28" s="401"/>
      <c r="AC28" s="2624"/>
    </row>
    <row r="29" spans="1:29" s="2558" customFormat="1" ht="22.5" hidden="1" customHeight="1">
      <c r="A29" s="396"/>
      <c r="B29" s="2652"/>
      <c r="C29" s="3544"/>
      <c r="D29" s="402"/>
      <c r="E29" s="620"/>
      <c r="F29" s="697"/>
      <c r="G29" s="697"/>
      <c r="H29" s="700"/>
      <c r="I29" s="2604"/>
      <c r="J29" s="1780"/>
      <c r="K29" s="1685"/>
      <c r="L29" s="1685"/>
      <c r="M29" s="1685"/>
      <c r="N29" s="1686"/>
      <c r="O29" s="1685"/>
      <c r="P29" s="1685"/>
      <c r="Q29" s="635"/>
      <c r="R29" s="1685"/>
      <c r="S29" s="1686"/>
      <c r="T29" s="1685"/>
      <c r="U29" s="1685"/>
      <c r="V29" s="530"/>
      <c r="W29" s="2626"/>
      <c r="X29" s="1687"/>
      <c r="Y29" s="636"/>
      <c r="Z29" s="2523"/>
      <c r="AA29" s="401"/>
      <c r="AB29" s="401"/>
      <c r="AC29" s="2624"/>
    </row>
    <row r="30" spans="1:29" s="2558" customFormat="1" ht="22.5" hidden="1" customHeight="1">
      <c r="A30" s="396"/>
      <c r="B30" s="2652"/>
      <c r="C30" s="3544"/>
      <c r="D30" s="402"/>
      <c r="E30" s="620"/>
      <c r="F30" s="697"/>
      <c r="G30" s="697"/>
      <c r="H30" s="700"/>
      <c r="I30" s="2604"/>
      <c r="J30" s="1780"/>
      <c r="K30" s="1685"/>
      <c r="L30" s="1685"/>
      <c r="M30" s="1685"/>
      <c r="N30" s="1686"/>
      <c r="O30" s="1685"/>
      <c r="P30" s="1685"/>
      <c r="Q30" s="635"/>
      <c r="R30" s="1685"/>
      <c r="S30" s="1685"/>
      <c r="T30" s="1685"/>
      <c r="U30" s="1685"/>
      <c r="V30" s="530"/>
      <c r="W30" s="2626"/>
      <c r="X30" s="1687"/>
      <c r="Y30" s="636"/>
      <c r="Z30" s="2523"/>
      <c r="AA30" s="401"/>
      <c r="AB30" s="401"/>
      <c r="AC30" s="2624"/>
    </row>
    <row r="31" spans="1:29" s="2558" customFormat="1" ht="22.5" hidden="1" customHeight="1" thickBot="1">
      <c r="A31" s="396"/>
      <c r="B31" s="2652"/>
      <c r="C31" s="3545"/>
      <c r="D31" s="1427"/>
      <c r="E31" s="870"/>
      <c r="F31" s="871"/>
      <c r="G31" s="708"/>
      <c r="H31" s="1166"/>
      <c r="I31" s="2604"/>
      <c r="J31" s="758"/>
      <c r="K31" s="730"/>
      <c r="L31" s="730"/>
      <c r="M31" s="730"/>
      <c r="N31" s="872"/>
      <c r="O31" s="730"/>
      <c r="P31" s="730"/>
      <c r="Q31" s="769"/>
      <c r="R31" s="730"/>
      <c r="S31" s="730"/>
      <c r="T31" s="730"/>
      <c r="U31" s="730"/>
      <c r="V31" s="730"/>
      <c r="W31" s="730"/>
      <c r="X31" s="1247"/>
      <c r="Y31" s="636"/>
      <c r="Z31" s="2523"/>
      <c r="AA31" s="401"/>
      <c r="AB31" s="401"/>
      <c r="AC31" s="2624"/>
    </row>
    <row r="32" spans="1:29" s="2557" customFormat="1" ht="22.5" customHeight="1" thickBot="1">
      <c r="A32" s="422" t="s">
        <v>3945</v>
      </c>
      <c r="B32" s="1102"/>
      <c r="C32" s="1102"/>
      <c r="D32" s="1102"/>
      <c r="E32" s="1102"/>
      <c r="F32" s="1625">
        <f>F33+F44+F50</f>
        <v>100000</v>
      </c>
      <c r="G32" s="1625">
        <f t="shared" ref="G32:H32" si="6">G33+G44+G50</f>
        <v>100000</v>
      </c>
      <c r="H32" s="1625">
        <f t="shared" si="6"/>
        <v>0</v>
      </c>
      <c r="I32" s="2624"/>
      <c r="J32" s="1256"/>
      <c r="K32" s="1257"/>
      <c r="L32" s="1257"/>
      <c r="M32" s="1257"/>
      <c r="N32" s="1257"/>
      <c r="O32" s="1257"/>
      <c r="P32" s="1257"/>
      <c r="Q32" s="1257"/>
      <c r="R32" s="1257"/>
      <c r="S32" s="1257"/>
      <c r="T32" s="1257"/>
      <c r="U32" s="1257"/>
      <c r="V32" s="1257"/>
      <c r="W32" s="1257"/>
      <c r="X32" s="1257"/>
      <c r="Y32" s="1407"/>
      <c r="Z32" s="1730"/>
      <c r="AA32" s="275"/>
      <c r="AB32" s="401">
        <f>F32*1000000</f>
        <v>100000000000</v>
      </c>
      <c r="AC32" s="1424"/>
    </row>
    <row r="33" spans="1:29" s="584" customFormat="1" ht="22.5" customHeight="1" thickBot="1">
      <c r="A33" s="1103" t="s">
        <v>44</v>
      </c>
      <c r="B33" s="416" t="s">
        <v>3685</v>
      </c>
      <c r="C33" s="417"/>
      <c r="D33" s="418"/>
      <c r="E33" s="419"/>
      <c r="F33" s="596">
        <f>+F34</f>
        <v>0</v>
      </c>
      <c r="G33" s="596">
        <f>+G34</f>
        <v>0</v>
      </c>
      <c r="H33" s="421">
        <f t="shared" ref="H33:H34" si="7">F33-G33</f>
        <v>0</v>
      </c>
      <c r="I33" s="611"/>
      <c r="J33" s="422"/>
      <c r="K33" s="423"/>
      <c r="L33" s="1408"/>
      <c r="M33" s="1408"/>
      <c r="N33" s="1408"/>
      <c r="O33" s="423"/>
      <c r="P33" s="423"/>
      <c r="Q33" s="423"/>
      <c r="R33" s="423"/>
      <c r="S33" s="423"/>
      <c r="T33" s="423"/>
      <c r="U33" s="423"/>
      <c r="V33" s="423"/>
      <c r="W33" s="423"/>
      <c r="X33" s="2605"/>
      <c r="Y33" s="1409"/>
      <c r="Z33" s="2524"/>
      <c r="AA33" s="1425"/>
      <c r="AB33" s="401">
        <f t="shared" ref="AB33:AB35" si="8">F33*1000000</f>
        <v>0</v>
      </c>
      <c r="AC33" s="1426"/>
    </row>
    <row r="34" spans="1:29" s="2558" customFormat="1" ht="22.5" hidden="1" customHeight="1">
      <c r="A34" s="396"/>
      <c r="B34" s="2652"/>
      <c r="C34" s="3381" t="s">
        <v>3944</v>
      </c>
      <c r="D34" s="3375"/>
      <c r="E34" s="3376"/>
      <c r="F34" s="597">
        <f>+F35</f>
        <v>0</v>
      </c>
      <c r="G34" s="597">
        <v>0</v>
      </c>
      <c r="H34" s="820">
        <f t="shared" si="7"/>
        <v>0</v>
      </c>
      <c r="I34" s="2624"/>
      <c r="J34" s="2284"/>
      <c r="K34" s="2619"/>
      <c r="L34" s="2619"/>
      <c r="M34" s="2619"/>
      <c r="N34" s="2619"/>
      <c r="O34" s="2619"/>
      <c r="P34" s="2619"/>
      <c r="Q34" s="2619"/>
      <c r="R34" s="2619"/>
      <c r="S34" s="2619"/>
      <c r="T34" s="2619"/>
      <c r="U34" s="2619"/>
      <c r="V34" s="2619"/>
      <c r="W34" s="2619"/>
      <c r="X34" s="426"/>
      <c r="Y34" s="427"/>
      <c r="Z34" s="1733"/>
      <c r="AA34" s="401"/>
      <c r="AB34" s="401">
        <f t="shared" si="8"/>
        <v>0</v>
      </c>
      <c r="AC34" s="2624"/>
    </row>
    <row r="35" spans="1:29" s="2558" customFormat="1" ht="22.5" hidden="1" customHeight="1">
      <c r="A35" s="396"/>
      <c r="B35" s="2652"/>
      <c r="C35" s="1104"/>
      <c r="D35" s="3312" t="s">
        <v>3944</v>
      </c>
      <c r="E35" s="3313"/>
      <c r="F35" s="1683">
        <f>SUM(F36:F43)</f>
        <v>0</v>
      </c>
      <c r="G35" s="1683"/>
      <c r="H35" s="468">
        <f>F35-G35</f>
        <v>0</v>
      </c>
      <c r="I35" s="1083">
        <f>G35-H35</f>
        <v>0</v>
      </c>
      <c r="J35" s="394"/>
      <c r="K35" s="2598"/>
      <c r="L35" s="2598"/>
      <c r="M35" s="2598"/>
      <c r="N35" s="2598"/>
      <c r="O35" s="2598"/>
      <c r="P35" s="2598"/>
      <c r="Q35" s="2598"/>
      <c r="R35" s="395"/>
      <c r="S35" s="2598"/>
      <c r="T35" s="2598"/>
      <c r="U35" s="2598"/>
      <c r="V35" s="2598"/>
      <c r="W35" s="2598"/>
      <c r="X35" s="430"/>
      <c r="Y35" s="442"/>
      <c r="Z35" s="1733"/>
      <c r="AA35" s="401"/>
      <c r="AB35" s="401">
        <f t="shared" si="8"/>
        <v>0</v>
      </c>
      <c r="AC35" s="2624"/>
    </row>
    <row r="36" spans="1:29" s="2558" customFormat="1" ht="22.5" hidden="1" customHeight="1">
      <c r="A36" s="396"/>
      <c r="B36" s="2652"/>
      <c r="C36" s="3544"/>
      <c r="D36" s="2624"/>
      <c r="E36" s="1106"/>
      <c r="F36" s="1688"/>
      <c r="G36" s="598"/>
      <c r="H36" s="810"/>
      <c r="I36" s="2624"/>
      <c r="J36" s="911"/>
      <c r="K36" s="2624"/>
      <c r="L36" s="815"/>
      <c r="M36" s="815"/>
      <c r="N36" s="450"/>
      <c r="O36" s="815"/>
      <c r="P36" s="815"/>
      <c r="Q36" s="831"/>
      <c r="R36" s="815"/>
      <c r="S36" s="450"/>
      <c r="T36" s="815"/>
      <c r="U36" s="815"/>
      <c r="V36" s="815"/>
      <c r="W36" s="815"/>
      <c r="X36" s="906"/>
      <c r="Y36" s="356"/>
      <c r="Z36" s="1767"/>
      <c r="AA36" s="401"/>
      <c r="AB36" s="401"/>
      <c r="AC36" s="2624"/>
    </row>
    <row r="37" spans="1:29" s="2558" customFormat="1" ht="22.5" hidden="1" customHeight="1">
      <c r="A37" s="396"/>
      <c r="B37" s="2652"/>
      <c r="C37" s="3544"/>
      <c r="D37" s="402"/>
      <c r="E37" s="465"/>
      <c r="F37" s="697"/>
      <c r="G37" s="598"/>
      <c r="H37" s="404"/>
      <c r="I37" s="2624"/>
      <c r="J37" s="1670"/>
      <c r="K37" s="1671"/>
      <c r="L37" s="1671"/>
      <c r="M37" s="1671"/>
      <c r="N37" s="1672"/>
      <c r="O37" s="1671"/>
      <c r="P37" s="1671"/>
      <c r="Q37" s="1673"/>
      <c r="R37" s="1671"/>
      <c r="S37" s="1672"/>
      <c r="T37" s="1671"/>
      <c r="U37" s="1671"/>
      <c r="V37" s="1671"/>
      <c r="W37" s="1671"/>
      <c r="X37" s="397"/>
      <c r="Y37" s="1674"/>
      <c r="Z37" s="1693"/>
      <c r="AA37" s="401"/>
      <c r="AB37" s="401"/>
      <c r="AC37" s="2624"/>
    </row>
    <row r="38" spans="1:29" s="2558" customFormat="1" ht="22.5" hidden="1" customHeight="1">
      <c r="A38" s="396"/>
      <c r="B38" s="2652"/>
      <c r="C38" s="3544"/>
      <c r="D38" s="402"/>
      <c r="E38" s="465"/>
      <c r="F38" s="697"/>
      <c r="G38" s="598"/>
      <c r="H38" s="404"/>
      <c r="I38" s="2624"/>
      <c r="J38" s="1670"/>
      <c r="K38" s="1671"/>
      <c r="L38" s="1671"/>
      <c r="M38" s="1671"/>
      <c r="N38" s="1672"/>
      <c r="O38" s="1671"/>
      <c r="P38" s="1671"/>
      <c r="Q38" s="1673"/>
      <c r="R38" s="1671"/>
      <c r="S38" s="1671"/>
      <c r="T38" s="1671"/>
      <c r="U38" s="1671"/>
      <c r="V38" s="366"/>
      <c r="W38" s="2357"/>
      <c r="X38" s="397"/>
      <c r="Y38" s="1674"/>
      <c r="Z38" s="1693"/>
      <c r="AA38" s="401"/>
      <c r="AB38" s="401"/>
      <c r="AC38" s="2624"/>
    </row>
    <row r="39" spans="1:29" s="2558" customFormat="1" ht="22.5" hidden="1" customHeight="1">
      <c r="A39" s="396"/>
      <c r="B39" s="2652"/>
      <c r="C39" s="3544"/>
      <c r="D39" s="1107"/>
      <c r="E39" s="1108"/>
      <c r="F39" s="697"/>
      <c r="G39" s="598"/>
      <c r="H39" s="404"/>
      <c r="I39" s="2624"/>
      <c r="J39" s="1670"/>
      <c r="K39" s="1670"/>
      <c r="L39" s="1671"/>
      <c r="M39" s="1671"/>
      <c r="N39" s="1671"/>
      <c r="O39" s="1672"/>
      <c r="P39" s="1671"/>
      <c r="Q39" s="1673"/>
      <c r="R39" s="1671"/>
      <c r="S39" s="1671"/>
      <c r="T39" s="1671"/>
      <c r="U39" s="1671"/>
      <c r="V39" s="1671"/>
      <c r="W39" s="1671"/>
      <c r="X39" s="397"/>
      <c r="Y39" s="1674"/>
      <c r="Z39" s="1693"/>
      <c r="AA39" s="401"/>
      <c r="AB39" s="401"/>
      <c r="AC39" s="2624"/>
    </row>
    <row r="40" spans="1:29" s="2558" customFormat="1" ht="22.5" hidden="1" customHeight="1">
      <c r="A40" s="396"/>
      <c r="B40" s="2652"/>
      <c r="C40" s="3544"/>
      <c r="D40" s="1107"/>
      <c r="E40" s="1108"/>
      <c r="F40" s="697"/>
      <c r="G40" s="598"/>
      <c r="H40" s="404"/>
      <c r="I40" s="2624"/>
      <c r="J40" s="1670"/>
      <c r="K40" s="1671"/>
      <c r="L40" s="1671"/>
      <c r="M40" s="1671"/>
      <c r="N40" s="1672"/>
      <c r="O40" s="1671"/>
      <c r="P40" s="1671"/>
      <c r="Q40" s="1673"/>
      <c r="R40" s="1671"/>
      <c r="S40" s="1672"/>
      <c r="T40" s="1671"/>
      <c r="U40" s="1671"/>
      <c r="V40" s="1671"/>
      <c r="W40" s="1671"/>
      <c r="X40" s="397"/>
      <c r="Y40" s="1674"/>
      <c r="Z40" s="1693"/>
      <c r="AA40" s="401"/>
      <c r="AB40" s="401"/>
      <c r="AC40" s="2624"/>
    </row>
    <row r="41" spans="1:29" s="2558" customFormat="1" ht="22.5" hidden="1" customHeight="1">
      <c r="A41" s="396"/>
      <c r="B41" s="2652"/>
      <c r="C41" s="3544"/>
      <c r="D41" s="402"/>
      <c r="E41" s="465"/>
      <c r="F41" s="697"/>
      <c r="G41" s="598"/>
      <c r="H41" s="404"/>
      <c r="I41" s="2624"/>
      <c r="J41" s="1670"/>
      <c r="K41" s="1671"/>
      <c r="L41" s="1671"/>
      <c r="M41" s="1671"/>
      <c r="N41" s="1672"/>
      <c r="O41" s="1671"/>
      <c r="P41" s="1671"/>
      <c r="Q41" s="1673"/>
      <c r="R41" s="1671"/>
      <c r="S41" s="1672"/>
      <c r="T41" s="1671"/>
      <c r="U41" s="1671"/>
      <c r="V41" s="366"/>
      <c r="W41" s="2357"/>
      <c r="X41" s="397"/>
      <c r="Y41" s="1674"/>
      <c r="Z41" s="1693"/>
      <c r="AA41" s="401"/>
      <c r="AB41" s="401"/>
      <c r="AC41" s="2624"/>
    </row>
    <row r="42" spans="1:29" s="2558" customFormat="1" ht="22.5" hidden="1" customHeight="1">
      <c r="A42" s="396"/>
      <c r="B42" s="2652"/>
      <c r="C42" s="3544"/>
      <c r="D42" s="402"/>
      <c r="E42" s="465"/>
      <c r="F42" s="697"/>
      <c r="G42" s="598"/>
      <c r="H42" s="404"/>
      <c r="I42" s="2624"/>
      <c r="J42" s="1670"/>
      <c r="K42" s="1671"/>
      <c r="L42" s="1671"/>
      <c r="M42" s="1671"/>
      <c r="N42" s="1672"/>
      <c r="O42" s="1671"/>
      <c r="P42" s="1671"/>
      <c r="Q42" s="1673"/>
      <c r="R42" s="1671"/>
      <c r="S42" s="1671"/>
      <c r="T42" s="1671"/>
      <c r="U42" s="1671"/>
      <c r="V42" s="366"/>
      <c r="W42" s="2357"/>
      <c r="X42" s="397"/>
      <c r="Y42" s="1674"/>
      <c r="Z42" s="1693"/>
      <c r="AA42" s="401"/>
      <c r="AB42" s="401"/>
      <c r="AC42" s="2624"/>
    </row>
    <row r="43" spans="1:29" s="2558" customFormat="1" ht="22.5" hidden="1" customHeight="1" thickBot="1">
      <c r="A43" s="396"/>
      <c r="B43" s="2652"/>
      <c r="C43" s="3545"/>
      <c r="D43" s="1427"/>
      <c r="E43" s="477"/>
      <c r="F43" s="871"/>
      <c r="G43" s="597"/>
      <c r="H43" s="820"/>
      <c r="I43" s="2624"/>
      <c r="J43" s="1670"/>
      <c r="K43" s="479"/>
      <c r="L43" s="479"/>
      <c r="M43" s="479"/>
      <c r="N43" s="480"/>
      <c r="O43" s="479"/>
      <c r="P43" s="479"/>
      <c r="Q43" s="481"/>
      <c r="R43" s="479"/>
      <c r="S43" s="479"/>
      <c r="T43" s="479"/>
      <c r="U43" s="479"/>
      <c r="V43" s="479"/>
      <c r="W43" s="479"/>
      <c r="X43" s="922"/>
      <c r="Y43" s="1674"/>
      <c r="Z43" s="1693"/>
      <c r="AA43" s="401"/>
      <c r="AB43" s="401"/>
      <c r="AC43" s="2624"/>
    </row>
    <row r="44" spans="1:29" s="584" customFormat="1" ht="22.5" customHeight="1" thickBot="1">
      <c r="A44" s="1103" t="s">
        <v>44</v>
      </c>
      <c r="B44" s="416" t="s">
        <v>3697</v>
      </c>
      <c r="C44" s="417"/>
      <c r="D44" s="418"/>
      <c r="E44" s="419"/>
      <c r="F44" s="596">
        <f>+F45</f>
        <v>0</v>
      </c>
      <c r="G44" s="596">
        <f>+G45</f>
        <v>0</v>
      </c>
      <c r="H44" s="421">
        <f t="shared" ref="H44:H46" si="9">F44-G44</f>
        <v>0</v>
      </c>
      <c r="I44" s="611"/>
      <c r="J44" s="422"/>
      <c r="K44" s="423"/>
      <c r="L44" s="1408"/>
      <c r="M44" s="1408"/>
      <c r="N44" s="1408"/>
      <c r="O44" s="423"/>
      <c r="P44" s="423"/>
      <c r="Q44" s="423"/>
      <c r="R44" s="423"/>
      <c r="S44" s="423"/>
      <c r="T44" s="423"/>
      <c r="U44" s="423"/>
      <c r="V44" s="423"/>
      <c r="W44" s="423"/>
      <c r="X44" s="2605"/>
      <c r="Y44" s="1409"/>
      <c r="Z44" s="2524"/>
      <c r="AA44" s="1425"/>
      <c r="AB44" s="401">
        <f t="shared" ref="AB44:AB46" si="10">F44*1000000</f>
        <v>0</v>
      </c>
      <c r="AC44" s="1426"/>
    </row>
    <row r="45" spans="1:29" s="2558" customFormat="1" ht="22.5" hidden="1" customHeight="1">
      <c r="A45" s="396"/>
      <c r="B45" s="2652"/>
      <c r="C45" s="3381" t="s">
        <v>3946</v>
      </c>
      <c r="D45" s="3375"/>
      <c r="E45" s="3376"/>
      <c r="F45" s="597">
        <f>+F46</f>
        <v>0</v>
      </c>
      <c r="G45" s="597">
        <f>+G46</f>
        <v>0</v>
      </c>
      <c r="H45" s="820">
        <f t="shared" si="9"/>
        <v>0</v>
      </c>
      <c r="I45" s="2624"/>
      <c r="J45" s="2284"/>
      <c r="K45" s="2619"/>
      <c r="L45" s="2619"/>
      <c r="M45" s="2619"/>
      <c r="N45" s="2619"/>
      <c r="O45" s="2619"/>
      <c r="P45" s="2619"/>
      <c r="Q45" s="2619"/>
      <c r="R45" s="2619"/>
      <c r="S45" s="2619"/>
      <c r="T45" s="2619"/>
      <c r="U45" s="2619"/>
      <c r="V45" s="2619"/>
      <c r="W45" s="2619"/>
      <c r="X45" s="426"/>
      <c r="Y45" s="427"/>
      <c r="Z45" s="1733"/>
      <c r="AA45" s="401"/>
      <c r="AB45" s="401">
        <f t="shared" si="10"/>
        <v>0</v>
      </c>
      <c r="AC45" s="2624"/>
    </row>
    <row r="46" spans="1:29" s="2624" customFormat="1" ht="22.5" hidden="1" customHeight="1">
      <c r="A46" s="396"/>
      <c r="B46" s="2652"/>
      <c r="C46" s="397"/>
      <c r="D46" s="3312" t="s">
        <v>557</v>
      </c>
      <c r="E46" s="3313"/>
      <c r="F46" s="1683">
        <f>SUM(F47:F49)</f>
        <v>0</v>
      </c>
      <c r="G46" s="1683">
        <f>SUM(G47:G49)</f>
        <v>0</v>
      </c>
      <c r="H46" s="468">
        <f t="shared" si="9"/>
        <v>0</v>
      </c>
      <c r="I46" s="1083">
        <f>G46-H46</f>
        <v>0</v>
      </c>
      <c r="J46" s="394"/>
      <c r="K46" s="2598"/>
      <c r="L46" s="2598"/>
      <c r="M46" s="2598"/>
      <c r="N46" s="2598"/>
      <c r="O46" s="2598"/>
      <c r="P46" s="2598"/>
      <c r="Q46" s="2598"/>
      <c r="R46" s="395"/>
      <c r="S46" s="2598"/>
      <c r="T46" s="2598"/>
      <c r="U46" s="2598"/>
      <c r="V46" s="2598"/>
      <c r="W46" s="2598"/>
      <c r="X46" s="430"/>
      <c r="Y46" s="442"/>
      <c r="Z46" s="1733"/>
      <c r="AA46" s="401"/>
      <c r="AB46" s="401">
        <f t="shared" si="10"/>
        <v>0</v>
      </c>
    </row>
    <row r="47" spans="1:29" s="2558" customFormat="1" ht="22.5" hidden="1" customHeight="1">
      <c r="A47" s="396"/>
      <c r="B47" s="2652"/>
      <c r="C47" s="397"/>
      <c r="D47" s="1105"/>
      <c r="E47" s="1106"/>
      <c r="F47" s="1688"/>
      <c r="G47" s="598"/>
      <c r="H47" s="810"/>
      <c r="I47" s="2624"/>
      <c r="J47" s="911"/>
      <c r="K47" s="2624"/>
      <c r="L47" s="815"/>
      <c r="M47" s="815"/>
      <c r="N47" s="450"/>
      <c r="O47" s="815"/>
      <c r="P47" s="815"/>
      <c r="Q47" s="831"/>
      <c r="R47" s="815"/>
      <c r="S47" s="450"/>
      <c r="T47" s="815"/>
      <c r="U47" s="815"/>
      <c r="V47" s="815"/>
      <c r="W47" s="815"/>
      <c r="X47" s="906"/>
      <c r="Y47" s="356"/>
      <c r="Z47" s="1767"/>
      <c r="AA47" s="401"/>
      <c r="AB47" s="401"/>
      <c r="AC47" s="2624"/>
    </row>
    <row r="48" spans="1:29" s="2558" customFormat="1" ht="22.5" hidden="1" customHeight="1">
      <c r="A48" s="396"/>
      <c r="B48" s="2652"/>
      <c r="C48" s="397"/>
      <c r="D48" s="1107"/>
      <c r="E48" s="1108"/>
      <c r="F48" s="1115"/>
      <c r="G48" s="598"/>
      <c r="H48" s="404"/>
      <c r="I48" s="2624"/>
      <c r="J48" s="1670"/>
      <c r="K48" s="1671"/>
      <c r="L48" s="1671"/>
      <c r="M48" s="1671"/>
      <c r="N48" s="1672"/>
      <c r="O48" s="1671"/>
      <c r="P48" s="1671"/>
      <c r="Q48" s="1673"/>
      <c r="R48" s="1671"/>
      <c r="S48" s="1672"/>
      <c r="T48" s="1671"/>
      <c r="U48" s="1671"/>
      <c r="V48" s="1671"/>
      <c r="W48" s="1671"/>
      <c r="X48" s="397"/>
      <c r="Y48" s="1674"/>
      <c r="Z48" s="1693"/>
      <c r="AA48" s="401"/>
      <c r="AB48" s="401"/>
      <c r="AC48" s="2624"/>
    </row>
    <row r="49" spans="1:30" s="2558" customFormat="1" ht="22.5" hidden="1" customHeight="1" thickBot="1">
      <c r="A49" s="396"/>
      <c r="B49" s="2652"/>
      <c r="C49" s="397"/>
      <c r="D49" s="1107"/>
      <c r="E49" s="1109"/>
      <c r="F49" s="1115"/>
      <c r="G49" s="598"/>
      <c r="H49" s="404"/>
      <c r="I49" s="2624"/>
      <c r="J49" s="1670"/>
      <c r="K49" s="1671"/>
      <c r="L49" s="1671"/>
      <c r="M49" s="1671"/>
      <c r="N49" s="1672"/>
      <c r="O49" s="1671"/>
      <c r="P49" s="1671"/>
      <c r="Q49" s="1673"/>
      <c r="R49" s="1671"/>
      <c r="S49" s="1672"/>
      <c r="T49" s="1671"/>
      <c r="U49" s="1671"/>
      <c r="V49" s="1671"/>
      <c r="W49" s="1671"/>
      <c r="X49" s="397"/>
      <c r="Y49" s="1674"/>
      <c r="Z49" s="1693"/>
      <c r="AA49" s="401"/>
      <c r="AB49" s="401"/>
      <c r="AC49" s="2624"/>
    </row>
    <row r="50" spans="1:30" s="584" customFormat="1" ht="22.5" customHeight="1" thickBot="1">
      <c r="A50" s="1103" t="s">
        <v>44</v>
      </c>
      <c r="B50" s="416" t="s">
        <v>409</v>
      </c>
      <c r="C50" s="417"/>
      <c r="D50" s="418"/>
      <c r="E50" s="419"/>
      <c r="F50" s="596">
        <f t="shared" ref="F50:G52" si="11">F51</f>
        <v>100000</v>
      </c>
      <c r="G50" s="596">
        <f t="shared" si="11"/>
        <v>100000</v>
      </c>
      <c r="H50" s="421">
        <f t="shared" ref="H50:H52" si="12">F50-G50</f>
        <v>0</v>
      </c>
      <c r="I50" s="611"/>
      <c r="J50" s="422"/>
      <c r="K50" s="423"/>
      <c r="L50" s="1408"/>
      <c r="M50" s="1408"/>
      <c r="N50" s="1408"/>
      <c r="O50" s="423"/>
      <c r="P50" s="423"/>
      <c r="Q50" s="423"/>
      <c r="R50" s="423"/>
      <c r="S50" s="423"/>
      <c r="T50" s="423"/>
      <c r="U50" s="423"/>
      <c r="V50" s="423"/>
      <c r="W50" s="423"/>
      <c r="X50" s="2605"/>
      <c r="Y50" s="1409"/>
      <c r="Z50" s="2524"/>
      <c r="AA50" s="1425"/>
      <c r="AB50" s="401">
        <f t="shared" ref="AB50:AB53" si="13">F50*1000000</f>
        <v>100000000000</v>
      </c>
      <c r="AC50" s="1426"/>
    </row>
    <row r="51" spans="1:30" s="2558" customFormat="1" ht="22.5" customHeight="1">
      <c r="A51" s="396"/>
      <c r="B51" s="2652"/>
      <c r="C51" s="3381" t="s">
        <v>3947</v>
      </c>
      <c r="D51" s="3375"/>
      <c r="E51" s="3376"/>
      <c r="F51" s="597">
        <f t="shared" si="11"/>
        <v>100000</v>
      </c>
      <c r="G51" s="597">
        <f t="shared" si="11"/>
        <v>100000</v>
      </c>
      <c r="H51" s="820">
        <f t="shared" si="12"/>
        <v>0</v>
      </c>
      <c r="I51" s="2624"/>
      <c r="J51" s="2284"/>
      <c r="K51" s="2619"/>
      <c r="L51" s="2619"/>
      <c r="M51" s="2619"/>
      <c r="N51" s="2619"/>
      <c r="O51" s="2619"/>
      <c r="P51" s="2619"/>
      <c r="Q51" s="2619"/>
      <c r="R51" s="2619"/>
      <c r="S51" s="2619"/>
      <c r="T51" s="2619"/>
      <c r="U51" s="2619"/>
      <c r="V51" s="2619"/>
      <c r="W51" s="2619"/>
      <c r="X51" s="426"/>
      <c r="Y51" s="427"/>
      <c r="Z51" s="1733"/>
      <c r="AA51" s="401"/>
      <c r="AB51" s="401">
        <f t="shared" si="13"/>
        <v>100000000000</v>
      </c>
      <c r="AC51" s="2624"/>
    </row>
    <row r="52" spans="1:30" s="2624" customFormat="1" ht="22.5" customHeight="1">
      <c r="A52" s="396"/>
      <c r="B52" s="2652"/>
      <c r="C52" s="397"/>
      <c r="D52" s="3312" t="s">
        <v>3331</v>
      </c>
      <c r="E52" s="3313"/>
      <c r="F52" s="1683">
        <f t="shared" si="11"/>
        <v>100000</v>
      </c>
      <c r="G52" s="1683">
        <f t="shared" si="11"/>
        <v>100000</v>
      </c>
      <c r="H52" s="468">
        <f t="shared" si="12"/>
        <v>0</v>
      </c>
      <c r="I52" s="1083">
        <f>G52-H52</f>
        <v>100000</v>
      </c>
      <c r="J52" s="394"/>
      <c r="K52" s="2598"/>
      <c r="L52" s="2598"/>
      <c r="M52" s="2598"/>
      <c r="N52" s="2598"/>
      <c r="O52" s="2598"/>
      <c r="P52" s="2598"/>
      <c r="Q52" s="2598"/>
      <c r="R52" s="395"/>
      <c r="S52" s="2598"/>
      <c r="T52" s="2598"/>
      <c r="U52" s="2598"/>
      <c r="V52" s="2598"/>
      <c r="W52" s="2598"/>
      <c r="X52" s="430"/>
      <c r="Y52" s="442"/>
      <c r="Z52" s="1733"/>
      <c r="AA52" s="401"/>
      <c r="AB52" s="401">
        <f t="shared" si="13"/>
        <v>100000000000</v>
      </c>
    </row>
    <row r="53" spans="1:30" s="2558" customFormat="1" ht="22.5" customHeight="1" thickBot="1">
      <c r="A53" s="396"/>
      <c r="B53" s="2652"/>
      <c r="C53" s="397"/>
      <c r="D53" s="1105"/>
      <c r="E53" s="809" t="s">
        <v>16</v>
      </c>
      <c r="F53" s="1688">
        <f>Y53</f>
        <v>100000</v>
      </c>
      <c r="G53" s="598">
        <v>100000</v>
      </c>
      <c r="H53" s="810"/>
      <c r="I53" s="2624"/>
      <c r="J53" s="2643" t="s">
        <v>3948</v>
      </c>
      <c r="K53" s="2357"/>
      <c r="L53" s="2357"/>
      <c r="M53" s="2357"/>
      <c r="N53" s="2357"/>
      <c r="O53" s="2357"/>
      <c r="P53" s="1128"/>
      <c r="Q53" s="372"/>
      <c r="R53" s="2624"/>
      <c r="S53" s="1314">
        <v>100000000</v>
      </c>
      <c r="T53" s="344" t="s">
        <v>4</v>
      </c>
      <c r="U53" s="2501"/>
      <c r="V53" s="372">
        <v>1</v>
      </c>
      <c r="W53" s="2624" t="s">
        <v>196</v>
      </c>
      <c r="X53" s="1140" t="s">
        <v>1</v>
      </c>
      <c r="Y53" s="406">
        <f>Z53/1000</f>
        <v>100000</v>
      </c>
      <c r="Z53" s="494">
        <f>S53*V53</f>
        <v>100000000</v>
      </c>
      <c r="AA53" s="401"/>
      <c r="AB53" s="401">
        <f t="shared" si="13"/>
        <v>100000000000</v>
      </c>
      <c r="AC53" s="2624"/>
    </row>
    <row r="54" spans="1:30" s="2557" customFormat="1" ht="22.5" customHeight="1" thickBot="1">
      <c r="A54" s="422" t="s">
        <v>435</v>
      </c>
      <c r="B54" s="1102"/>
      <c r="C54" s="1102"/>
      <c r="D54" s="1102"/>
      <c r="E54" s="1102"/>
      <c r="F54" s="595">
        <f>F55+F242+F557+F599</f>
        <v>36615642</v>
      </c>
      <c r="G54" s="595">
        <f>G55+G242+G557+G599</f>
        <v>35765642</v>
      </c>
      <c r="H54" s="1406">
        <f t="shared" si="0"/>
        <v>850000</v>
      </c>
      <c r="I54" s="409"/>
      <c r="J54" s="1256"/>
      <c r="K54" s="1257"/>
      <c r="L54" s="1257"/>
      <c r="M54" s="1257"/>
      <c r="N54" s="1257"/>
      <c r="O54" s="1257"/>
      <c r="P54" s="1257"/>
      <c r="Q54" s="1257"/>
      <c r="R54" s="1257"/>
      <c r="S54" s="1257"/>
      <c r="T54" s="1257"/>
      <c r="U54" s="1257"/>
      <c r="V54" s="1257"/>
      <c r="W54" s="1257"/>
      <c r="X54" s="1257"/>
      <c r="Y54" s="1407"/>
      <c r="Z54" s="1730"/>
      <c r="AA54" s="275"/>
      <c r="AB54" s="1091"/>
      <c r="AC54" s="1095"/>
      <c r="AD54" s="604"/>
    </row>
    <row r="55" spans="1:30" s="584" customFormat="1" ht="23.45" customHeight="1" thickBot="1">
      <c r="A55" s="1103" t="s">
        <v>44</v>
      </c>
      <c r="B55" s="416" t="s">
        <v>410</v>
      </c>
      <c r="C55" s="417"/>
      <c r="D55" s="418"/>
      <c r="E55" s="419"/>
      <c r="F55" s="596">
        <f>F56+F107+F122+F147+F198</f>
        <v>6698000</v>
      </c>
      <c r="G55" s="596">
        <f>G56+G107+G122+G147+G198</f>
        <v>6698000</v>
      </c>
      <c r="H55" s="421">
        <f t="shared" si="0"/>
        <v>0</v>
      </c>
      <c r="I55" s="1428"/>
      <c r="J55" s="422"/>
      <c r="K55" s="423"/>
      <c r="L55" s="1408"/>
      <c r="M55" s="1408"/>
      <c r="N55" s="1408"/>
      <c r="O55" s="423"/>
      <c r="P55" s="423"/>
      <c r="Q55" s="423"/>
      <c r="R55" s="423"/>
      <c r="S55" s="423"/>
      <c r="T55" s="423"/>
      <c r="U55" s="423"/>
      <c r="V55" s="423"/>
      <c r="W55" s="423"/>
      <c r="X55" s="2605"/>
      <c r="Y55" s="1409"/>
      <c r="Z55" s="2524"/>
      <c r="AA55" s="1425"/>
      <c r="AB55" s="1091"/>
      <c r="AC55" s="1423"/>
      <c r="AD55" s="605"/>
    </row>
    <row r="56" spans="1:30" s="2558" customFormat="1" ht="23.45" customHeight="1">
      <c r="A56" s="396"/>
      <c r="B56" s="2652"/>
      <c r="C56" s="3381" t="s">
        <v>3949</v>
      </c>
      <c r="D56" s="3375"/>
      <c r="E56" s="3376"/>
      <c r="F56" s="597">
        <f>F57+F62+F96</f>
        <v>3050000</v>
      </c>
      <c r="G56" s="597">
        <f>G57+G62+G96</f>
        <v>3050000</v>
      </c>
      <c r="H56" s="820">
        <f>F56-G56</f>
        <v>0</v>
      </c>
      <c r="I56" s="409"/>
      <c r="J56" s="2284"/>
      <c r="K56" s="2619"/>
      <c r="L56" s="2619"/>
      <c r="M56" s="2619"/>
      <c r="N56" s="2619"/>
      <c r="O56" s="2619"/>
      <c r="P56" s="2619"/>
      <c r="Q56" s="2619"/>
      <c r="R56" s="2619"/>
      <c r="S56" s="2619"/>
      <c r="T56" s="2619"/>
      <c r="U56" s="2619"/>
      <c r="V56" s="2619"/>
      <c r="W56" s="2619"/>
      <c r="X56" s="426"/>
      <c r="Y56" s="427"/>
      <c r="Z56" s="440"/>
      <c r="AA56" s="401"/>
      <c r="AB56" s="1091">
        <f>F56</f>
        <v>3050000</v>
      </c>
      <c r="AC56" s="1095"/>
      <c r="AD56" s="2553"/>
    </row>
    <row r="57" spans="1:30" s="2558" customFormat="1" ht="23.45" customHeight="1">
      <c r="A57" s="396"/>
      <c r="B57" s="2652"/>
      <c r="C57" s="397"/>
      <c r="D57" s="3312" t="s">
        <v>3950</v>
      </c>
      <c r="E57" s="3313"/>
      <c r="F57" s="1683">
        <f>SUM(F58:F61)</f>
        <v>1250000</v>
      </c>
      <c r="G57" s="1683">
        <v>1250000</v>
      </c>
      <c r="H57" s="1383">
        <f>F57-G57</f>
        <v>0</v>
      </c>
      <c r="I57" s="467">
        <f>G57-H57</f>
        <v>1250000</v>
      </c>
      <c r="J57" s="394"/>
      <c r="K57" s="2598"/>
      <c r="L57" s="2598"/>
      <c r="M57" s="2598"/>
      <c r="N57" s="2598"/>
      <c r="O57" s="2598"/>
      <c r="P57" s="2598"/>
      <c r="Q57" s="2598"/>
      <c r="R57" s="395"/>
      <c r="S57" s="2598"/>
      <c r="T57" s="2598"/>
      <c r="U57" s="2598"/>
      <c r="V57" s="2598"/>
      <c r="W57" s="2598"/>
      <c r="X57" s="430"/>
      <c r="Y57" s="442"/>
      <c r="Z57" s="440"/>
      <c r="AA57" s="401"/>
      <c r="AB57" s="1091"/>
      <c r="AC57" s="1095"/>
      <c r="AD57" s="2553"/>
    </row>
    <row r="58" spans="1:30" s="2558" customFormat="1" ht="23.45" customHeight="1">
      <c r="A58" s="396"/>
      <c r="B58" s="2652"/>
      <c r="C58" s="397"/>
      <c r="D58" s="1144"/>
      <c r="E58" s="2514" t="s">
        <v>222</v>
      </c>
      <c r="F58" s="697">
        <f t="shared" ref="F58" si="14">Y58</f>
        <v>1250000</v>
      </c>
      <c r="G58" s="512">
        <v>1250000</v>
      </c>
      <c r="H58" s="700"/>
      <c r="I58" s="1333"/>
      <c r="J58" s="2643" t="s">
        <v>8</v>
      </c>
      <c r="K58" s="2644"/>
      <c r="L58" s="2624"/>
      <c r="M58" s="2624"/>
      <c r="N58" s="1673"/>
      <c r="O58" s="2624"/>
      <c r="P58" s="2624"/>
      <c r="Q58" s="408"/>
      <c r="R58" s="2630"/>
      <c r="S58" s="1672"/>
      <c r="T58" s="2644"/>
      <c r="U58" s="2644"/>
      <c r="V58" s="2644"/>
      <c r="W58" s="2644"/>
      <c r="X58" s="1140"/>
      <c r="Y58" s="1674">
        <f>Z58/1000</f>
        <v>1250000</v>
      </c>
      <c r="Z58" s="407">
        <f>SUM(Z59:Z61)</f>
        <v>1250000000</v>
      </c>
      <c r="AA58" s="401"/>
      <c r="AB58" s="1091"/>
      <c r="AC58" s="1095"/>
      <c r="AD58" s="2553"/>
    </row>
    <row r="59" spans="1:30" s="2558" customFormat="1" ht="23.45" customHeight="1">
      <c r="A59" s="396"/>
      <c r="B59" s="2652"/>
      <c r="C59" s="397"/>
      <c r="D59" s="1144"/>
      <c r="E59" s="2514"/>
      <c r="F59" s="873"/>
      <c r="G59" s="512"/>
      <c r="H59" s="700"/>
      <c r="I59" s="1333"/>
      <c r="J59" s="2643" t="s">
        <v>3951</v>
      </c>
      <c r="K59" s="2644"/>
      <c r="L59" s="2624"/>
      <c r="M59" s="2624"/>
      <c r="N59" s="1673"/>
      <c r="O59" s="2624"/>
      <c r="P59" s="2624"/>
      <c r="Q59" s="408"/>
      <c r="R59" s="2630"/>
      <c r="S59" s="1672">
        <v>500000000</v>
      </c>
      <c r="T59" s="2644" t="s">
        <v>0</v>
      </c>
      <c r="U59" s="2644"/>
      <c r="V59" s="2644">
        <v>1</v>
      </c>
      <c r="W59" s="2644" t="s">
        <v>46</v>
      </c>
      <c r="X59" s="1140" t="s">
        <v>5</v>
      </c>
      <c r="Y59" s="1674">
        <f>Z59/1000</f>
        <v>500000</v>
      </c>
      <c r="Z59" s="407">
        <f>S59*V59</f>
        <v>500000000</v>
      </c>
      <c r="AA59" s="401"/>
      <c r="AB59" s="1091"/>
      <c r="AC59" s="1095"/>
      <c r="AD59" s="2553"/>
    </row>
    <row r="60" spans="1:30" s="2558" customFormat="1" ht="23.45" customHeight="1">
      <c r="A60" s="396"/>
      <c r="B60" s="2652"/>
      <c r="C60" s="397"/>
      <c r="D60" s="1144"/>
      <c r="E60" s="1313"/>
      <c r="F60" s="697"/>
      <c r="G60" s="512"/>
      <c r="H60" s="700"/>
      <c r="I60" s="1333"/>
      <c r="J60" s="2643" t="s">
        <v>3952</v>
      </c>
      <c r="K60" s="2644"/>
      <c r="L60" s="2624"/>
      <c r="M60" s="2624"/>
      <c r="N60" s="1673"/>
      <c r="O60" s="2624"/>
      <c r="P60" s="2624"/>
      <c r="Q60" s="408"/>
      <c r="R60" s="2630"/>
      <c r="S60" s="1672">
        <v>700000000</v>
      </c>
      <c r="T60" s="2644" t="s">
        <v>4</v>
      </c>
      <c r="U60" s="2644"/>
      <c r="V60" s="2644">
        <v>1</v>
      </c>
      <c r="W60" s="2644" t="s">
        <v>46</v>
      </c>
      <c r="X60" s="1140" t="s">
        <v>5</v>
      </c>
      <c r="Y60" s="1674">
        <f t="shared" ref="Y60" si="15">Z60/1000</f>
        <v>700000</v>
      </c>
      <c r="Z60" s="407">
        <f t="shared" ref="Z60:Z61" si="16">S60*V60</f>
        <v>700000000</v>
      </c>
      <c r="AA60" s="401"/>
      <c r="AB60" s="1091"/>
      <c r="AC60" s="1095"/>
      <c r="AD60" s="2553"/>
    </row>
    <row r="61" spans="1:30" s="2558" customFormat="1" ht="23.45" customHeight="1">
      <c r="A61" s="396"/>
      <c r="B61" s="2652"/>
      <c r="C61" s="397"/>
      <c r="D61" s="1144"/>
      <c r="E61" s="1313"/>
      <c r="F61" s="697"/>
      <c r="G61" s="512"/>
      <c r="H61" s="700"/>
      <c r="I61" s="1333"/>
      <c r="J61" s="2643" t="s">
        <v>3953</v>
      </c>
      <c r="K61" s="2644"/>
      <c r="L61" s="2624"/>
      <c r="M61" s="2624"/>
      <c r="N61" s="1673"/>
      <c r="O61" s="2624"/>
      <c r="P61" s="2624"/>
      <c r="Q61" s="408"/>
      <c r="R61" s="2630"/>
      <c r="S61" s="1672">
        <v>50000000</v>
      </c>
      <c r="T61" s="2644" t="s">
        <v>0</v>
      </c>
      <c r="U61" s="2644"/>
      <c r="V61" s="2644">
        <v>1</v>
      </c>
      <c r="W61" s="2644" t="s">
        <v>46</v>
      </c>
      <c r="X61" s="1140" t="s">
        <v>5</v>
      </c>
      <c r="Y61" s="1674">
        <f>Z61/1000</f>
        <v>50000</v>
      </c>
      <c r="Z61" s="407">
        <f t="shared" si="16"/>
        <v>50000000</v>
      </c>
      <c r="AA61" s="401"/>
      <c r="AB61" s="1091"/>
      <c r="AC61" s="1095"/>
      <c r="AD61" s="2553"/>
    </row>
    <row r="62" spans="1:30" s="2558" customFormat="1" ht="23.45" customHeight="1">
      <c r="A62" s="396"/>
      <c r="B62" s="2652"/>
      <c r="C62" s="397"/>
      <c r="D62" s="3312" t="s">
        <v>3954</v>
      </c>
      <c r="E62" s="3313"/>
      <c r="F62" s="1683">
        <f>SUM(F63:F95)</f>
        <v>1250000</v>
      </c>
      <c r="G62" s="1683">
        <v>1250000</v>
      </c>
      <c r="H62" s="2695">
        <f>F62-G62</f>
        <v>0</v>
      </c>
      <c r="I62" s="467">
        <f>G62-H62</f>
        <v>1250000</v>
      </c>
      <c r="J62" s="394"/>
      <c r="K62" s="2598"/>
      <c r="L62" s="2598"/>
      <c r="M62" s="2598"/>
      <c r="N62" s="2598"/>
      <c r="O62" s="2598"/>
      <c r="P62" s="2598"/>
      <c r="Q62" s="2598"/>
      <c r="R62" s="395"/>
      <c r="S62" s="2598"/>
      <c r="T62" s="2598"/>
      <c r="U62" s="2598"/>
      <c r="V62" s="2598"/>
      <c r="W62" s="2598"/>
      <c r="X62" s="430"/>
      <c r="Y62" s="442"/>
      <c r="Z62" s="440"/>
      <c r="AA62" s="401"/>
      <c r="AB62" s="1091"/>
      <c r="AC62" s="1095"/>
      <c r="AD62" s="2553"/>
    </row>
    <row r="63" spans="1:30" s="2558" customFormat="1" ht="23.45" customHeight="1">
      <c r="A63" s="396"/>
      <c r="B63" s="2652"/>
      <c r="C63" s="397"/>
      <c r="D63" s="1144"/>
      <c r="E63" s="1106" t="s">
        <v>59</v>
      </c>
      <c r="F63" s="613">
        <f>Y63</f>
        <v>10000</v>
      </c>
      <c r="G63" s="613">
        <v>10000</v>
      </c>
      <c r="H63" s="2695"/>
      <c r="I63" s="467"/>
      <c r="J63" s="2643" t="s">
        <v>3955</v>
      </c>
      <c r="K63" s="1154"/>
      <c r="L63" s="2357"/>
      <c r="M63" s="2357"/>
      <c r="N63" s="2357"/>
      <c r="O63" s="2357"/>
      <c r="P63" s="1128"/>
      <c r="Q63" s="372">
        <v>5</v>
      </c>
      <c r="R63" s="2624" t="s">
        <v>33</v>
      </c>
      <c r="S63" s="1314">
        <v>1000000</v>
      </c>
      <c r="T63" s="2644" t="s">
        <v>0</v>
      </c>
      <c r="U63" s="2501"/>
      <c r="V63" s="372">
        <v>2</v>
      </c>
      <c r="W63" s="2624" t="s">
        <v>200</v>
      </c>
      <c r="X63" s="1140" t="s">
        <v>1</v>
      </c>
      <c r="Y63" s="406">
        <f>Z63/1000</f>
        <v>10000</v>
      </c>
      <c r="Z63" s="494">
        <f>Q63*S63*V63</f>
        <v>10000000</v>
      </c>
      <c r="AA63" s="401"/>
      <c r="AB63" s="1091"/>
      <c r="AC63" s="1095"/>
      <c r="AD63" s="2553"/>
    </row>
    <row r="64" spans="1:30" s="2558" customFormat="1" ht="23.45" customHeight="1">
      <c r="A64" s="396"/>
      <c r="B64" s="2652"/>
      <c r="C64" s="397"/>
      <c r="D64" s="1144"/>
      <c r="E64" s="1131" t="s">
        <v>2240</v>
      </c>
      <c r="F64" s="598">
        <f>Y64</f>
        <v>20000</v>
      </c>
      <c r="G64" s="598">
        <v>20000</v>
      </c>
      <c r="H64" s="2696"/>
      <c r="I64" s="467"/>
      <c r="J64" s="2643" t="s">
        <v>3956</v>
      </c>
      <c r="K64" s="2624"/>
      <c r="L64" s="2624"/>
      <c r="M64" s="2624"/>
      <c r="N64" s="2624"/>
      <c r="O64" s="2624"/>
      <c r="P64" s="2624"/>
      <c r="Q64" s="372">
        <v>1000</v>
      </c>
      <c r="R64" s="2628" t="s">
        <v>225</v>
      </c>
      <c r="S64" s="1672">
        <v>10000</v>
      </c>
      <c r="T64" s="2644" t="s">
        <v>0</v>
      </c>
      <c r="U64" s="2644"/>
      <c r="V64" s="2644">
        <v>2</v>
      </c>
      <c r="W64" s="2644" t="s">
        <v>325</v>
      </c>
      <c r="X64" s="1140" t="s">
        <v>5</v>
      </c>
      <c r="Y64" s="1674">
        <f t="shared" ref="Y64" si="17">Z64/1000</f>
        <v>20000</v>
      </c>
      <c r="Z64" s="407">
        <f>Q64*S64*V64</f>
        <v>20000000</v>
      </c>
      <c r="AA64" s="401"/>
      <c r="AB64" s="1091"/>
      <c r="AC64" s="1095"/>
      <c r="AD64" s="2553"/>
    </row>
    <row r="65" spans="1:30" s="2558" customFormat="1" ht="23.45" customHeight="1">
      <c r="A65" s="396"/>
      <c r="B65" s="2652"/>
      <c r="C65" s="397"/>
      <c r="D65" s="1144"/>
      <c r="E65" s="1131" t="s">
        <v>224</v>
      </c>
      <c r="F65" s="598">
        <f t="shared" ref="F65:F66" si="18">Y65</f>
        <v>6000</v>
      </c>
      <c r="G65" s="598">
        <v>6000</v>
      </c>
      <c r="H65" s="2696"/>
      <c r="I65" s="467"/>
      <c r="J65" s="2643" t="s">
        <v>3957</v>
      </c>
      <c r="K65" s="1154"/>
      <c r="L65" s="2357"/>
      <c r="M65" s="2357"/>
      <c r="N65" s="2357"/>
      <c r="O65" s="2357"/>
      <c r="P65" s="1128"/>
      <c r="Q65" s="372"/>
      <c r="R65" s="2624"/>
      <c r="S65" s="1314">
        <v>500000</v>
      </c>
      <c r="T65" s="2644" t="s">
        <v>0</v>
      </c>
      <c r="U65" s="2501"/>
      <c r="V65" s="372">
        <v>12</v>
      </c>
      <c r="W65" s="2624" t="s">
        <v>200</v>
      </c>
      <c r="X65" s="1140" t="s">
        <v>1</v>
      </c>
      <c r="Y65" s="406">
        <f>S65*V65/1000</f>
        <v>6000</v>
      </c>
      <c r="Z65" s="494"/>
      <c r="AA65" s="401"/>
      <c r="AB65" s="1091"/>
      <c r="AC65" s="1095"/>
      <c r="AD65" s="2553"/>
    </row>
    <row r="66" spans="1:30" s="2558" customFormat="1" ht="23.45" customHeight="1">
      <c r="A66" s="396"/>
      <c r="B66" s="2652"/>
      <c r="C66" s="397"/>
      <c r="D66" s="1144"/>
      <c r="E66" s="1131" t="s">
        <v>195</v>
      </c>
      <c r="F66" s="598">
        <f t="shared" si="18"/>
        <v>11000</v>
      </c>
      <c r="G66" s="598">
        <v>11000</v>
      </c>
      <c r="H66" s="2696"/>
      <c r="I66" s="467"/>
      <c r="J66" s="2643" t="s">
        <v>194</v>
      </c>
      <c r="K66" s="2357"/>
      <c r="L66" s="2357"/>
      <c r="M66" s="2357"/>
      <c r="N66" s="2357"/>
      <c r="O66" s="2357"/>
      <c r="P66" s="1128"/>
      <c r="Q66" s="372"/>
      <c r="R66" s="2624"/>
      <c r="S66" s="1314"/>
      <c r="T66" s="344"/>
      <c r="U66" s="2501"/>
      <c r="V66" s="372"/>
      <c r="W66" s="2624"/>
      <c r="X66" s="1140"/>
      <c r="Y66" s="406">
        <f>Z66/1000</f>
        <v>11000</v>
      </c>
      <c r="Z66" s="494">
        <f>SUM(Z67:Z68)</f>
        <v>11000000</v>
      </c>
      <c r="AA66" s="401"/>
      <c r="AB66" s="1091"/>
      <c r="AC66" s="1095"/>
      <c r="AD66" s="2553"/>
    </row>
    <row r="67" spans="1:30" s="2558" customFormat="1" ht="23.45" customHeight="1">
      <c r="A67" s="396"/>
      <c r="B67" s="2652"/>
      <c r="C67" s="397"/>
      <c r="D67" s="1144"/>
      <c r="E67" s="1131"/>
      <c r="F67" s="598"/>
      <c r="G67" s="598"/>
      <c r="H67" s="2696"/>
      <c r="I67" s="467"/>
      <c r="J67" s="2643" t="s">
        <v>3958</v>
      </c>
      <c r="K67" s="2644"/>
      <c r="L67" s="2624"/>
      <c r="M67" s="2624"/>
      <c r="N67" s="1673"/>
      <c r="O67" s="2624"/>
      <c r="P67" s="2624"/>
      <c r="Q67" s="372">
        <v>5</v>
      </c>
      <c r="R67" s="2624" t="s">
        <v>33</v>
      </c>
      <c r="S67" s="1672">
        <v>40000</v>
      </c>
      <c r="T67" s="2644" t="s">
        <v>0</v>
      </c>
      <c r="U67" s="2644"/>
      <c r="V67" s="2644">
        <v>30</v>
      </c>
      <c r="W67" s="2644" t="s">
        <v>35</v>
      </c>
      <c r="X67" s="1140" t="s">
        <v>5</v>
      </c>
      <c r="Y67" s="1674">
        <f>Z67/1000</f>
        <v>6000</v>
      </c>
      <c r="Z67" s="407">
        <f>Q67*S67*V67</f>
        <v>6000000</v>
      </c>
      <c r="AA67" s="401"/>
      <c r="AB67" s="1091"/>
      <c r="AC67" s="1095"/>
      <c r="AD67" s="2553"/>
    </row>
    <row r="68" spans="1:30" s="2558" customFormat="1" ht="23.45" customHeight="1">
      <c r="A68" s="396"/>
      <c r="B68" s="2652"/>
      <c r="C68" s="397"/>
      <c r="D68" s="1144"/>
      <c r="E68" s="1131"/>
      <c r="F68" s="598"/>
      <c r="G68" s="598"/>
      <c r="H68" s="2696"/>
      <c r="I68" s="467"/>
      <c r="J68" s="2643" t="s">
        <v>3959</v>
      </c>
      <c r="K68" s="2644"/>
      <c r="L68" s="2624"/>
      <c r="M68" s="2624"/>
      <c r="N68" s="1673"/>
      <c r="O68" s="2624"/>
      <c r="P68" s="2624"/>
      <c r="Q68" s="372">
        <v>1</v>
      </c>
      <c r="R68" s="2624" t="s">
        <v>33</v>
      </c>
      <c r="S68" s="1672">
        <v>5000000</v>
      </c>
      <c r="T68" s="2644" t="s">
        <v>4</v>
      </c>
      <c r="U68" s="2644"/>
      <c r="V68" s="2644">
        <v>1</v>
      </c>
      <c r="W68" s="2644" t="s">
        <v>35</v>
      </c>
      <c r="X68" s="1140" t="s">
        <v>5</v>
      </c>
      <c r="Y68" s="1674">
        <f t="shared" ref="Y68" si="19">Z68/1000</f>
        <v>5000</v>
      </c>
      <c r="Z68" s="407">
        <f>Q68*S68*V68</f>
        <v>5000000</v>
      </c>
      <c r="AA68" s="401"/>
      <c r="AB68" s="1091"/>
      <c r="AC68" s="1095"/>
      <c r="AD68" s="2553"/>
    </row>
    <row r="69" spans="1:30" s="2558" customFormat="1" ht="23.45" customHeight="1">
      <c r="A69" s="396"/>
      <c r="B69" s="2652"/>
      <c r="C69" s="397"/>
      <c r="D69" s="1144"/>
      <c r="E69" s="1131" t="s">
        <v>15</v>
      </c>
      <c r="F69" s="598">
        <f t="shared" ref="F69" si="20">Y69</f>
        <v>44000</v>
      </c>
      <c r="G69" s="598">
        <v>44000</v>
      </c>
      <c r="H69" s="2696"/>
      <c r="I69" s="467"/>
      <c r="J69" s="2643" t="s">
        <v>8</v>
      </c>
      <c r="K69" s="2357"/>
      <c r="L69" s="2357"/>
      <c r="M69" s="2357"/>
      <c r="N69" s="2357"/>
      <c r="O69" s="2357"/>
      <c r="P69" s="1128"/>
      <c r="Q69" s="372"/>
      <c r="R69" s="2624"/>
      <c r="S69" s="1314"/>
      <c r="T69" s="344"/>
      <c r="U69" s="2501"/>
      <c r="V69" s="372"/>
      <c r="W69" s="2624"/>
      <c r="X69" s="1140"/>
      <c r="Y69" s="406">
        <f>SUM(Y70:Y71)</f>
        <v>44000</v>
      </c>
      <c r="Z69" s="494">
        <f>SUM(Z70:Z71)</f>
        <v>44000000</v>
      </c>
      <c r="AA69" s="401"/>
      <c r="AB69" s="1091"/>
      <c r="AC69" s="1095"/>
      <c r="AD69" s="2553"/>
    </row>
    <row r="70" spans="1:30" s="2558" customFormat="1" ht="23.45" customHeight="1">
      <c r="A70" s="396"/>
      <c r="B70" s="2652"/>
      <c r="C70" s="397"/>
      <c r="D70" s="1144"/>
      <c r="E70" s="1131"/>
      <c r="F70" s="598"/>
      <c r="G70" s="598"/>
      <c r="H70" s="2696"/>
      <c r="I70" s="467"/>
      <c r="J70" s="2643" t="s">
        <v>3960</v>
      </c>
      <c r="K70" s="2644"/>
      <c r="L70" s="2624"/>
      <c r="M70" s="2624"/>
      <c r="N70" s="1673"/>
      <c r="O70" s="2624"/>
      <c r="P70" s="2624"/>
      <c r="Q70" s="372">
        <v>4</v>
      </c>
      <c r="R70" s="2624" t="s">
        <v>33</v>
      </c>
      <c r="S70" s="1672">
        <v>200000</v>
      </c>
      <c r="T70" s="2644" t="s">
        <v>0</v>
      </c>
      <c r="U70" s="2644"/>
      <c r="V70" s="2644">
        <v>40</v>
      </c>
      <c r="W70" s="2644" t="s">
        <v>35</v>
      </c>
      <c r="X70" s="1140" t="s">
        <v>5</v>
      </c>
      <c r="Y70" s="1674">
        <f t="shared" ref="Y70:Y71" si="21">Z70/1000</f>
        <v>32000</v>
      </c>
      <c r="Z70" s="407">
        <f t="shared" ref="Z70" si="22">Q70*S70*V70</f>
        <v>32000000</v>
      </c>
      <c r="AA70" s="401"/>
      <c r="AB70" s="1091"/>
      <c r="AC70" s="1095"/>
      <c r="AD70" s="2553"/>
    </row>
    <row r="71" spans="1:30" s="2558" customFormat="1" ht="23.45" customHeight="1">
      <c r="A71" s="396"/>
      <c r="B71" s="2652"/>
      <c r="C71" s="397"/>
      <c r="D71" s="1144"/>
      <c r="E71" s="1131"/>
      <c r="F71" s="598"/>
      <c r="G71" s="598"/>
      <c r="H71" s="2696"/>
      <c r="I71" s="467"/>
      <c r="J71" s="2643" t="s">
        <v>3961</v>
      </c>
      <c r="K71" s="2644"/>
      <c r="L71" s="2624"/>
      <c r="M71" s="2624"/>
      <c r="N71" s="1673"/>
      <c r="O71" s="2624"/>
      <c r="P71" s="2624"/>
      <c r="Q71" s="372"/>
      <c r="R71" s="2624"/>
      <c r="S71" s="1672">
        <v>1000000</v>
      </c>
      <c r="T71" s="2644" t="s">
        <v>4</v>
      </c>
      <c r="U71" s="2644"/>
      <c r="V71" s="2644">
        <v>12</v>
      </c>
      <c r="W71" s="2644" t="s">
        <v>200</v>
      </c>
      <c r="X71" s="1140" t="s">
        <v>5</v>
      </c>
      <c r="Y71" s="1674">
        <f t="shared" si="21"/>
        <v>12000</v>
      </c>
      <c r="Z71" s="407">
        <f>S71*V71</f>
        <v>12000000</v>
      </c>
      <c r="AA71" s="401"/>
      <c r="AB71" s="1091"/>
      <c r="AC71" s="1095"/>
      <c r="AD71" s="2553"/>
    </row>
    <row r="72" spans="1:30" s="2558" customFormat="1" ht="23.45" customHeight="1">
      <c r="A72" s="396"/>
      <c r="B72" s="2652"/>
      <c r="C72" s="397"/>
      <c r="D72" s="1144"/>
      <c r="E72" s="1131" t="s">
        <v>3962</v>
      </c>
      <c r="F72" s="598">
        <f t="shared" ref="F72:F73" si="23">Y72</f>
        <v>3000</v>
      </c>
      <c r="G72" s="598">
        <v>3000</v>
      </c>
      <c r="H72" s="2696"/>
      <c r="I72" s="467"/>
      <c r="J72" s="2643" t="s">
        <v>3963</v>
      </c>
      <c r="K72" s="2357"/>
      <c r="L72" s="2357"/>
      <c r="M72" s="2357"/>
      <c r="N72" s="2357"/>
      <c r="O72" s="2357"/>
      <c r="P72" s="1128"/>
      <c r="Q72" s="372"/>
      <c r="R72" s="2624"/>
      <c r="S72" s="1314">
        <v>1000000</v>
      </c>
      <c r="T72" s="344" t="s">
        <v>4</v>
      </c>
      <c r="U72" s="2501"/>
      <c r="V72" s="372">
        <v>3</v>
      </c>
      <c r="W72" s="2624" t="s">
        <v>200</v>
      </c>
      <c r="X72" s="1140" t="s">
        <v>1</v>
      </c>
      <c r="Y72" s="406">
        <f>Z72/1000</f>
        <v>3000</v>
      </c>
      <c r="Z72" s="494">
        <f>S72*V72</f>
        <v>3000000</v>
      </c>
      <c r="AA72" s="401"/>
      <c r="AB72" s="1091"/>
      <c r="AC72" s="1095"/>
      <c r="AD72" s="2553"/>
    </row>
    <row r="73" spans="1:30" s="2558" customFormat="1" ht="23.45" customHeight="1">
      <c r="A73" s="396"/>
      <c r="B73" s="2652"/>
      <c r="C73" s="397"/>
      <c r="D73" s="1144"/>
      <c r="E73" s="1313" t="s">
        <v>222</v>
      </c>
      <c r="F73" s="598">
        <f t="shared" si="23"/>
        <v>1125000</v>
      </c>
      <c r="G73" s="512">
        <v>1125000</v>
      </c>
      <c r="H73" s="700"/>
      <c r="I73" s="1333"/>
      <c r="J73" s="2643" t="s">
        <v>8</v>
      </c>
      <c r="K73" s="2357"/>
      <c r="L73" s="2624"/>
      <c r="M73" s="2624"/>
      <c r="N73" s="2624"/>
      <c r="O73" s="2624"/>
      <c r="P73" s="2624"/>
      <c r="Q73" s="408"/>
      <c r="R73" s="2630"/>
      <c r="S73" s="1672"/>
      <c r="T73" s="344"/>
      <c r="U73" s="2644"/>
      <c r="V73" s="2644"/>
      <c r="W73" s="2644"/>
      <c r="X73" s="1140"/>
      <c r="Y73" s="406">
        <f>Z73/1000</f>
        <v>1125000</v>
      </c>
      <c r="Z73" s="494">
        <f>Z74+Z79+Z84+Z90</f>
        <v>1125000000</v>
      </c>
      <c r="AA73" s="401"/>
      <c r="AB73" s="1091"/>
      <c r="AC73" s="1095"/>
      <c r="AD73" s="2553"/>
    </row>
    <row r="74" spans="1:30" s="2558" customFormat="1" ht="23.45" customHeight="1">
      <c r="A74" s="396"/>
      <c r="B74" s="2652"/>
      <c r="C74" s="397"/>
      <c r="D74" s="1144"/>
      <c r="E74" s="1313"/>
      <c r="F74" s="697"/>
      <c r="G74" s="512"/>
      <c r="H74" s="700"/>
      <c r="I74" s="1333"/>
      <c r="J74" s="2643" t="s">
        <v>3958</v>
      </c>
      <c r="K74" s="2644"/>
      <c r="L74" s="2624"/>
      <c r="M74" s="2624"/>
      <c r="N74" s="1673"/>
      <c r="O74" s="2624"/>
      <c r="P74" s="2624"/>
      <c r="Q74" s="372"/>
      <c r="R74" s="2624"/>
      <c r="S74" s="1672"/>
      <c r="T74" s="2644"/>
      <c r="U74" s="2644"/>
      <c r="V74" s="2644"/>
      <c r="W74" s="2644"/>
      <c r="X74" s="1140"/>
      <c r="Y74" s="1674">
        <f>Z74/1000</f>
        <v>315000</v>
      </c>
      <c r="Z74" s="407">
        <f>SUM(Z75:Z78)</f>
        <v>315000000</v>
      </c>
      <c r="AA74" s="401"/>
      <c r="AB74" s="1091"/>
      <c r="AC74" s="1095"/>
      <c r="AD74" s="2553"/>
    </row>
    <row r="75" spans="1:30" s="2558" customFormat="1" ht="23.45" customHeight="1">
      <c r="A75" s="396"/>
      <c r="B75" s="2652"/>
      <c r="C75" s="397"/>
      <c r="D75" s="1144"/>
      <c r="E75" s="1313"/>
      <c r="F75" s="697"/>
      <c r="G75" s="512"/>
      <c r="H75" s="700"/>
      <c r="I75" s="1333"/>
      <c r="J75" s="2643" t="s">
        <v>3964</v>
      </c>
      <c r="K75" s="2644"/>
      <c r="L75" s="2624"/>
      <c r="M75" s="2624"/>
      <c r="N75" s="1673"/>
      <c r="O75" s="2624"/>
      <c r="P75" s="2624"/>
      <c r="Q75" s="372"/>
      <c r="R75" s="2624"/>
      <c r="S75" s="1672">
        <v>5000000</v>
      </c>
      <c r="T75" s="2644" t="s">
        <v>0</v>
      </c>
      <c r="U75" s="2644"/>
      <c r="V75" s="2644">
        <v>11</v>
      </c>
      <c r="W75" s="2644" t="s">
        <v>46</v>
      </c>
      <c r="X75" s="1140" t="s">
        <v>5</v>
      </c>
      <c r="Y75" s="1674">
        <f t="shared" ref="Y75:Y92" si="24">Z75/1000</f>
        <v>55000</v>
      </c>
      <c r="Z75" s="407">
        <f>S75*V75</f>
        <v>55000000</v>
      </c>
      <c r="AA75" s="401"/>
      <c r="AB75" s="1091"/>
      <c r="AC75" s="1095"/>
      <c r="AD75" s="2553"/>
    </row>
    <row r="76" spans="1:30" s="2558" customFormat="1" ht="23.45" customHeight="1">
      <c r="A76" s="396"/>
      <c r="B76" s="2652"/>
      <c r="C76" s="397"/>
      <c r="D76" s="1144"/>
      <c r="E76" s="1313"/>
      <c r="F76" s="697"/>
      <c r="G76" s="512"/>
      <c r="H76" s="700"/>
      <c r="I76" s="1333"/>
      <c r="J76" s="2643" t="s">
        <v>3965</v>
      </c>
      <c r="K76" s="2644"/>
      <c r="L76" s="2624"/>
      <c r="M76" s="2624"/>
      <c r="N76" s="2624"/>
      <c r="O76" s="2624"/>
      <c r="P76" s="2624"/>
      <c r="Q76" s="372"/>
      <c r="R76" s="2624"/>
      <c r="S76" s="1672">
        <v>8000000</v>
      </c>
      <c r="T76" s="2644" t="s">
        <v>0</v>
      </c>
      <c r="U76" s="2644"/>
      <c r="V76" s="2644">
        <v>15</v>
      </c>
      <c r="W76" s="2644" t="s">
        <v>46</v>
      </c>
      <c r="X76" s="1140" t="s">
        <v>5</v>
      </c>
      <c r="Y76" s="1674">
        <f t="shared" si="24"/>
        <v>120000</v>
      </c>
      <c r="Z76" s="407">
        <f t="shared" ref="Z76:Z78" si="25">S76*V76</f>
        <v>120000000</v>
      </c>
      <c r="AA76" s="401"/>
      <c r="AB76" s="1091"/>
      <c r="AC76" s="1095"/>
      <c r="AD76" s="2553"/>
    </row>
    <row r="77" spans="1:30" s="2558" customFormat="1" ht="23.45" customHeight="1">
      <c r="A77" s="396"/>
      <c r="B77" s="2652"/>
      <c r="C77" s="397"/>
      <c r="D77" s="1144"/>
      <c r="E77" s="1313"/>
      <c r="F77" s="697"/>
      <c r="G77" s="512"/>
      <c r="H77" s="700"/>
      <c r="I77" s="1333"/>
      <c r="J77" s="2643" t="s">
        <v>3966</v>
      </c>
      <c r="K77" s="2644"/>
      <c r="L77" s="2624"/>
      <c r="M77" s="2624"/>
      <c r="N77" s="2624"/>
      <c r="O77" s="2624"/>
      <c r="P77" s="2624"/>
      <c r="Q77" s="372"/>
      <c r="R77" s="2624"/>
      <c r="S77" s="1672">
        <v>10000000</v>
      </c>
      <c r="T77" s="2644" t="s">
        <v>0</v>
      </c>
      <c r="U77" s="2644"/>
      <c r="V77" s="2644">
        <v>10</v>
      </c>
      <c r="W77" s="2644" t="s">
        <v>46</v>
      </c>
      <c r="X77" s="1140" t="s">
        <v>5</v>
      </c>
      <c r="Y77" s="1674">
        <f t="shared" si="24"/>
        <v>100000</v>
      </c>
      <c r="Z77" s="407">
        <f t="shared" si="25"/>
        <v>100000000</v>
      </c>
      <c r="AA77" s="401"/>
      <c r="AB77" s="1091"/>
      <c r="AC77" s="1095"/>
      <c r="AD77" s="2553"/>
    </row>
    <row r="78" spans="1:30" s="2558" customFormat="1" ht="23.45" customHeight="1">
      <c r="A78" s="396"/>
      <c r="B78" s="2652"/>
      <c r="C78" s="397"/>
      <c r="D78" s="1144"/>
      <c r="E78" s="1313"/>
      <c r="F78" s="697"/>
      <c r="G78" s="512"/>
      <c r="H78" s="700"/>
      <c r="I78" s="1333"/>
      <c r="J78" s="2643" t="s">
        <v>3967</v>
      </c>
      <c r="K78" s="2644"/>
      <c r="L78" s="2624"/>
      <c r="M78" s="2624"/>
      <c r="N78" s="2624"/>
      <c r="O78" s="2624"/>
      <c r="P78" s="2624"/>
      <c r="Q78" s="372"/>
      <c r="R78" s="2624"/>
      <c r="S78" s="1672">
        <v>10000000</v>
      </c>
      <c r="T78" s="2644" t="s">
        <v>0</v>
      </c>
      <c r="U78" s="2644"/>
      <c r="V78" s="2644">
        <v>4</v>
      </c>
      <c r="W78" s="2644" t="s">
        <v>46</v>
      </c>
      <c r="X78" s="1140" t="s">
        <v>5</v>
      </c>
      <c r="Y78" s="1674">
        <f t="shared" si="24"/>
        <v>40000</v>
      </c>
      <c r="Z78" s="407">
        <f t="shared" si="25"/>
        <v>40000000</v>
      </c>
      <c r="AA78" s="401"/>
      <c r="AB78" s="1091"/>
      <c r="AC78" s="1095"/>
      <c r="AD78" s="2553"/>
    </row>
    <row r="79" spans="1:30" s="2558" customFormat="1" ht="23.45" customHeight="1">
      <c r="A79" s="396"/>
      <c r="B79" s="2652"/>
      <c r="C79" s="397"/>
      <c r="D79" s="1144"/>
      <c r="E79" s="1313"/>
      <c r="F79" s="697"/>
      <c r="G79" s="512"/>
      <c r="H79" s="700"/>
      <c r="I79" s="1333"/>
      <c r="J79" s="2643" t="s">
        <v>3968</v>
      </c>
      <c r="K79" s="2644"/>
      <c r="L79" s="2624"/>
      <c r="M79" s="2624"/>
      <c r="N79" s="1673"/>
      <c r="O79" s="2624"/>
      <c r="P79" s="2624"/>
      <c r="Q79" s="372"/>
      <c r="R79" s="2624"/>
      <c r="S79" s="1672"/>
      <c r="T79" s="2644"/>
      <c r="U79" s="2644"/>
      <c r="V79" s="2644"/>
      <c r="W79" s="2644"/>
      <c r="X79" s="1140"/>
      <c r="Y79" s="1674">
        <f>Z79/1000</f>
        <v>360000</v>
      </c>
      <c r="Z79" s="407">
        <f>SUM(Z80:Z83)</f>
        <v>360000000</v>
      </c>
      <c r="AA79" s="401"/>
      <c r="AB79" s="1091"/>
      <c r="AC79" s="1095"/>
      <c r="AD79" s="2553"/>
    </row>
    <row r="80" spans="1:30" s="2558" customFormat="1" ht="23.45" customHeight="1">
      <c r="A80" s="396"/>
      <c r="B80" s="2652"/>
      <c r="C80" s="397"/>
      <c r="D80" s="1144"/>
      <c r="E80" s="1313"/>
      <c r="F80" s="697"/>
      <c r="G80" s="512"/>
      <c r="H80" s="700"/>
      <c r="I80" s="1333"/>
      <c r="J80" s="2643" t="s">
        <v>3969</v>
      </c>
      <c r="K80" s="2644"/>
      <c r="L80" s="2624"/>
      <c r="M80" s="2624"/>
      <c r="N80" s="1673"/>
      <c r="O80" s="2624"/>
      <c r="P80" s="2624"/>
      <c r="Q80" s="372"/>
      <c r="R80" s="2624"/>
      <c r="S80" s="1672">
        <v>8000000</v>
      </c>
      <c r="T80" s="2644" t="s">
        <v>0</v>
      </c>
      <c r="U80" s="2644"/>
      <c r="V80" s="2644">
        <v>10</v>
      </c>
      <c r="W80" s="2644" t="s">
        <v>3338</v>
      </c>
      <c r="X80" s="1140" t="s">
        <v>5</v>
      </c>
      <c r="Y80" s="1674">
        <f t="shared" si="24"/>
        <v>80000</v>
      </c>
      <c r="Z80" s="407">
        <f>S80*V80</f>
        <v>80000000</v>
      </c>
      <c r="AA80" s="401"/>
      <c r="AB80" s="1091"/>
      <c r="AC80" s="1095"/>
      <c r="AD80" s="2553"/>
    </row>
    <row r="81" spans="1:30" s="2558" customFormat="1" ht="23.45" customHeight="1">
      <c r="A81" s="396"/>
      <c r="B81" s="2652"/>
      <c r="C81" s="397"/>
      <c r="D81" s="1144"/>
      <c r="E81" s="1313"/>
      <c r="F81" s="697"/>
      <c r="G81" s="512"/>
      <c r="H81" s="700"/>
      <c r="I81" s="1333"/>
      <c r="J81" s="2643" t="s">
        <v>3970</v>
      </c>
      <c r="K81" s="2644"/>
      <c r="L81" s="2624"/>
      <c r="M81" s="2624"/>
      <c r="N81" s="2624"/>
      <c r="O81" s="2624"/>
      <c r="P81" s="2624"/>
      <c r="Q81" s="372"/>
      <c r="R81" s="2624"/>
      <c r="S81" s="1672">
        <v>20000000</v>
      </c>
      <c r="T81" s="2644" t="s">
        <v>0</v>
      </c>
      <c r="U81" s="2644"/>
      <c r="V81" s="2644">
        <v>9</v>
      </c>
      <c r="W81" s="2644" t="s">
        <v>3338</v>
      </c>
      <c r="X81" s="1140" t="s">
        <v>5</v>
      </c>
      <c r="Y81" s="1674">
        <f t="shared" si="24"/>
        <v>180000</v>
      </c>
      <c r="Z81" s="407">
        <f t="shared" ref="Z81:Z83" si="26">S81*V81</f>
        <v>180000000</v>
      </c>
      <c r="AA81" s="401"/>
      <c r="AB81" s="1091"/>
      <c r="AC81" s="1095"/>
      <c r="AD81" s="2553"/>
    </row>
    <row r="82" spans="1:30" s="2558" customFormat="1" ht="23.45" customHeight="1">
      <c r="A82" s="396"/>
      <c r="B82" s="2652"/>
      <c r="C82" s="397"/>
      <c r="D82" s="1144"/>
      <c r="E82" s="1313"/>
      <c r="F82" s="697"/>
      <c r="G82" s="512"/>
      <c r="H82" s="700"/>
      <c r="I82" s="1333"/>
      <c r="J82" s="2643" t="s">
        <v>3971</v>
      </c>
      <c r="K82" s="2644"/>
      <c r="L82" s="2624"/>
      <c r="M82" s="2624"/>
      <c r="N82" s="2624"/>
      <c r="O82" s="2624"/>
      <c r="P82" s="2624"/>
      <c r="Q82" s="372"/>
      <c r="R82" s="2624"/>
      <c r="S82" s="1672">
        <v>30000000</v>
      </c>
      <c r="T82" s="2644" t="s">
        <v>0</v>
      </c>
      <c r="U82" s="2644"/>
      <c r="V82" s="2644">
        <v>2</v>
      </c>
      <c r="W82" s="2644" t="s">
        <v>3338</v>
      </c>
      <c r="X82" s="1140" t="s">
        <v>5</v>
      </c>
      <c r="Y82" s="1674">
        <f t="shared" si="24"/>
        <v>60000</v>
      </c>
      <c r="Z82" s="407">
        <f t="shared" si="26"/>
        <v>60000000</v>
      </c>
      <c r="AA82" s="401"/>
      <c r="AB82" s="1091"/>
      <c r="AC82" s="1095"/>
      <c r="AD82" s="2553"/>
    </row>
    <row r="83" spans="1:30" s="2558" customFormat="1" ht="23.45" customHeight="1">
      <c r="A83" s="396"/>
      <c r="B83" s="2652"/>
      <c r="C83" s="397"/>
      <c r="D83" s="1144"/>
      <c r="E83" s="1313"/>
      <c r="F83" s="697"/>
      <c r="G83" s="512"/>
      <c r="H83" s="700"/>
      <c r="I83" s="1333"/>
      <c r="J83" s="2643" t="s">
        <v>3967</v>
      </c>
      <c r="K83" s="2644"/>
      <c r="L83" s="2624"/>
      <c r="M83" s="2624"/>
      <c r="N83" s="2624"/>
      <c r="O83" s="2624"/>
      <c r="P83" s="2624"/>
      <c r="Q83" s="372"/>
      <c r="R83" s="2624"/>
      <c r="S83" s="1672">
        <v>10000000</v>
      </c>
      <c r="T83" s="2644" t="s">
        <v>0</v>
      </c>
      <c r="U83" s="2644"/>
      <c r="V83" s="2644">
        <v>4</v>
      </c>
      <c r="W83" s="2644" t="s">
        <v>3338</v>
      </c>
      <c r="X83" s="1140" t="s">
        <v>5</v>
      </c>
      <c r="Y83" s="1674">
        <f t="shared" si="24"/>
        <v>40000</v>
      </c>
      <c r="Z83" s="407">
        <f t="shared" si="26"/>
        <v>40000000</v>
      </c>
      <c r="AA83" s="401"/>
      <c r="AB83" s="1091"/>
      <c r="AC83" s="1095"/>
      <c r="AD83" s="2553"/>
    </row>
    <row r="84" spans="1:30" s="2558" customFormat="1" ht="23.1" customHeight="1">
      <c r="A84" s="396"/>
      <c r="B84" s="2652"/>
      <c r="C84" s="397"/>
      <c r="D84" s="1144"/>
      <c r="E84" s="1313"/>
      <c r="F84" s="697"/>
      <c r="G84" s="512"/>
      <c r="H84" s="700"/>
      <c r="I84" s="1333"/>
      <c r="J84" s="2643" t="s">
        <v>3972</v>
      </c>
      <c r="K84" s="2644"/>
      <c r="L84" s="2624"/>
      <c r="M84" s="2624"/>
      <c r="N84" s="1673"/>
      <c r="O84" s="2624"/>
      <c r="P84" s="2624"/>
      <c r="Q84" s="372"/>
      <c r="R84" s="2624"/>
      <c r="S84" s="1672"/>
      <c r="T84" s="2644"/>
      <c r="U84" s="2644"/>
      <c r="V84" s="2644"/>
      <c r="W84" s="2644"/>
      <c r="X84" s="1140"/>
      <c r="Y84" s="1674">
        <f>Z84/1000</f>
        <v>350000</v>
      </c>
      <c r="Z84" s="407">
        <f>SUM(Z85:Z89)</f>
        <v>350000000</v>
      </c>
      <c r="AA84" s="401"/>
      <c r="AB84" s="1091"/>
      <c r="AC84" s="1095"/>
      <c r="AD84" s="2553"/>
    </row>
    <row r="85" spans="1:30" s="2558" customFormat="1" ht="23.1" customHeight="1">
      <c r="A85" s="396"/>
      <c r="B85" s="2652"/>
      <c r="C85" s="397"/>
      <c r="D85" s="1144"/>
      <c r="E85" s="1313"/>
      <c r="F85" s="697"/>
      <c r="G85" s="512"/>
      <c r="H85" s="700"/>
      <c r="I85" s="1333"/>
      <c r="J85" s="2643" t="s">
        <v>3964</v>
      </c>
      <c r="K85" s="2644"/>
      <c r="L85" s="2624"/>
      <c r="M85" s="2624"/>
      <c r="N85" s="1673"/>
      <c r="O85" s="2624"/>
      <c r="P85" s="2624"/>
      <c r="Q85" s="372"/>
      <c r="R85" s="2624"/>
      <c r="S85" s="1672">
        <v>7000000</v>
      </c>
      <c r="T85" s="2644" t="s">
        <v>0</v>
      </c>
      <c r="U85" s="2644"/>
      <c r="V85" s="2644">
        <v>10</v>
      </c>
      <c r="W85" s="2644" t="s">
        <v>2802</v>
      </c>
      <c r="X85" s="1140" t="s">
        <v>5</v>
      </c>
      <c r="Y85" s="1674">
        <f t="shared" si="24"/>
        <v>70000</v>
      </c>
      <c r="Z85" s="407">
        <f>S85*V85</f>
        <v>70000000</v>
      </c>
      <c r="AA85" s="401"/>
      <c r="AB85" s="1091"/>
      <c r="AC85" s="1095"/>
      <c r="AD85" s="2553"/>
    </row>
    <row r="86" spans="1:30" s="2558" customFormat="1" ht="23.1" customHeight="1">
      <c r="A86" s="396"/>
      <c r="B86" s="2652"/>
      <c r="C86" s="397"/>
      <c r="D86" s="1144"/>
      <c r="E86" s="1313"/>
      <c r="F86" s="697"/>
      <c r="G86" s="512"/>
      <c r="H86" s="700"/>
      <c r="I86" s="1333"/>
      <c r="J86" s="2643" t="s">
        <v>3965</v>
      </c>
      <c r="K86" s="2644"/>
      <c r="L86" s="2624"/>
      <c r="M86" s="2624"/>
      <c r="N86" s="2624"/>
      <c r="O86" s="2624"/>
      <c r="P86" s="2624"/>
      <c r="Q86" s="372"/>
      <c r="R86" s="2624"/>
      <c r="S86" s="1672">
        <v>10000000</v>
      </c>
      <c r="T86" s="2644" t="s">
        <v>0</v>
      </c>
      <c r="U86" s="2644"/>
      <c r="V86" s="2644">
        <v>10</v>
      </c>
      <c r="W86" s="2644" t="s">
        <v>2802</v>
      </c>
      <c r="X86" s="1140" t="s">
        <v>5</v>
      </c>
      <c r="Y86" s="1674">
        <f t="shared" si="24"/>
        <v>100000</v>
      </c>
      <c r="Z86" s="407">
        <f t="shared" ref="Z86:Z89" si="27">S86*V86</f>
        <v>100000000</v>
      </c>
      <c r="AA86" s="401"/>
      <c r="AB86" s="1091"/>
      <c r="AC86" s="1095"/>
      <c r="AD86" s="2553"/>
    </row>
    <row r="87" spans="1:30" s="2558" customFormat="1" ht="23.1" customHeight="1">
      <c r="A87" s="396"/>
      <c r="B87" s="2652"/>
      <c r="C87" s="397"/>
      <c r="D87" s="1144"/>
      <c r="E87" s="1313"/>
      <c r="F87" s="697"/>
      <c r="G87" s="512"/>
      <c r="H87" s="700"/>
      <c r="I87" s="1333"/>
      <c r="J87" s="2643" t="s">
        <v>3973</v>
      </c>
      <c r="K87" s="2644"/>
      <c r="L87" s="2624"/>
      <c r="M87" s="2624"/>
      <c r="N87" s="2624"/>
      <c r="O87" s="2624"/>
      <c r="P87" s="2624"/>
      <c r="Q87" s="372"/>
      <c r="R87" s="2624"/>
      <c r="S87" s="1672">
        <v>20000000</v>
      </c>
      <c r="T87" s="2644" t="s">
        <v>0</v>
      </c>
      <c r="U87" s="2644"/>
      <c r="V87" s="2644">
        <v>3</v>
      </c>
      <c r="W87" s="2644" t="s">
        <v>46</v>
      </c>
      <c r="X87" s="1140" t="s">
        <v>5</v>
      </c>
      <c r="Y87" s="1674">
        <f t="shared" si="24"/>
        <v>60000</v>
      </c>
      <c r="Z87" s="407">
        <f t="shared" si="27"/>
        <v>60000000</v>
      </c>
      <c r="AA87" s="401"/>
      <c r="AB87" s="1091"/>
      <c r="AC87" s="1095"/>
      <c r="AD87" s="2553"/>
    </row>
    <row r="88" spans="1:30" s="2558" customFormat="1" ht="23.1" customHeight="1">
      <c r="A88" s="396"/>
      <c r="B88" s="2652"/>
      <c r="C88" s="397"/>
      <c r="D88" s="1144"/>
      <c r="E88" s="1313"/>
      <c r="F88" s="697"/>
      <c r="G88" s="512"/>
      <c r="H88" s="700"/>
      <c r="I88" s="1333"/>
      <c r="J88" s="2643" t="s">
        <v>3974</v>
      </c>
      <c r="K88" s="2644"/>
      <c r="L88" s="2624"/>
      <c r="M88" s="2624"/>
      <c r="N88" s="2624"/>
      <c r="O88" s="2624"/>
      <c r="P88" s="2624"/>
      <c r="Q88" s="372"/>
      <c r="R88" s="2624"/>
      <c r="S88" s="1672">
        <v>10000000</v>
      </c>
      <c r="T88" s="2644" t="s">
        <v>0</v>
      </c>
      <c r="U88" s="2644"/>
      <c r="V88" s="2644">
        <v>4</v>
      </c>
      <c r="W88" s="2644" t="s">
        <v>46</v>
      </c>
      <c r="X88" s="1140" t="s">
        <v>5</v>
      </c>
      <c r="Y88" s="1674">
        <f t="shared" si="24"/>
        <v>40000</v>
      </c>
      <c r="Z88" s="407">
        <f t="shared" si="27"/>
        <v>40000000</v>
      </c>
      <c r="AA88" s="401"/>
      <c r="AB88" s="1091"/>
      <c r="AC88" s="1095"/>
      <c r="AD88" s="2553"/>
    </row>
    <row r="89" spans="1:30" s="2558" customFormat="1" ht="23.1" customHeight="1">
      <c r="A89" s="396"/>
      <c r="B89" s="2652"/>
      <c r="C89" s="397"/>
      <c r="D89" s="1144"/>
      <c r="E89" s="1313"/>
      <c r="F89" s="697" t="s">
        <v>44</v>
      </c>
      <c r="G89" s="512"/>
      <c r="H89" s="700"/>
      <c r="I89" s="1333"/>
      <c r="J89" s="2643" t="s">
        <v>3975</v>
      </c>
      <c r="K89" s="2644"/>
      <c r="L89" s="2624"/>
      <c r="M89" s="2624"/>
      <c r="N89" s="2624"/>
      <c r="O89" s="2624"/>
      <c r="P89" s="2624"/>
      <c r="Q89" s="372"/>
      <c r="R89" s="2624"/>
      <c r="S89" s="1672">
        <v>40000000</v>
      </c>
      <c r="T89" s="2644" t="s">
        <v>0</v>
      </c>
      <c r="U89" s="2644"/>
      <c r="V89" s="2644">
        <v>2</v>
      </c>
      <c r="W89" s="2644" t="s">
        <v>46</v>
      </c>
      <c r="X89" s="1140" t="s">
        <v>5</v>
      </c>
      <c r="Y89" s="1674">
        <f t="shared" si="24"/>
        <v>80000</v>
      </c>
      <c r="Z89" s="407">
        <f t="shared" si="27"/>
        <v>80000000</v>
      </c>
      <c r="AA89" s="401"/>
      <c r="AB89" s="1091"/>
      <c r="AC89" s="1095"/>
      <c r="AD89" s="2553"/>
    </row>
    <row r="90" spans="1:30" s="2558" customFormat="1" ht="23.1" customHeight="1">
      <c r="A90" s="396"/>
      <c r="B90" s="2652"/>
      <c r="C90" s="397"/>
      <c r="D90" s="1144"/>
      <c r="E90" s="1313"/>
      <c r="F90" s="697"/>
      <c r="G90" s="512"/>
      <c r="H90" s="700"/>
      <c r="I90" s="1333"/>
      <c r="J90" s="2643" t="s">
        <v>3976</v>
      </c>
      <c r="K90" s="2644"/>
      <c r="L90" s="2624"/>
      <c r="M90" s="2624"/>
      <c r="N90" s="1673"/>
      <c r="O90" s="2624"/>
      <c r="P90" s="2624"/>
      <c r="Q90" s="372"/>
      <c r="R90" s="2624"/>
      <c r="S90" s="1672"/>
      <c r="T90" s="2644"/>
      <c r="U90" s="2644"/>
      <c r="V90" s="2644"/>
      <c r="W90" s="2644"/>
      <c r="X90" s="1140"/>
      <c r="Y90" s="1674">
        <f>Z90/1000</f>
        <v>100000</v>
      </c>
      <c r="Z90" s="407">
        <f>SUM(Z91:Z92)</f>
        <v>100000000</v>
      </c>
      <c r="AA90" s="401"/>
      <c r="AB90" s="1091"/>
      <c r="AC90" s="1095"/>
      <c r="AD90" s="2553"/>
    </row>
    <row r="91" spans="1:30" s="2558" customFormat="1" ht="23.1" customHeight="1">
      <c r="A91" s="396"/>
      <c r="B91" s="2652"/>
      <c r="C91" s="397"/>
      <c r="D91" s="1144"/>
      <c r="E91" s="1313"/>
      <c r="F91" s="697"/>
      <c r="G91" s="512"/>
      <c r="H91" s="700"/>
      <c r="I91" s="1333"/>
      <c r="J91" s="2643" t="s">
        <v>3977</v>
      </c>
      <c r="K91" s="2644"/>
      <c r="L91" s="2624"/>
      <c r="M91" s="2624"/>
      <c r="N91" s="1673"/>
      <c r="O91" s="2624"/>
      <c r="P91" s="2624"/>
      <c r="Q91" s="372"/>
      <c r="R91" s="2624"/>
      <c r="S91" s="1672">
        <v>8000000</v>
      </c>
      <c r="T91" s="2644" t="s">
        <v>0</v>
      </c>
      <c r="U91" s="2644"/>
      <c r="V91" s="2644">
        <v>5</v>
      </c>
      <c r="W91" s="2644" t="s">
        <v>46</v>
      </c>
      <c r="X91" s="1140" t="s">
        <v>5</v>
      </c>
      <c r="Y91" s="1674">
        <f t="shared" si="24"/>
        <v>40000</v>
      </c>
      <c r="Z91" s="407">
        <f>S91*V91</f>
        <v>40000000</v>
      </c>
      <c r="AA91" s="401"/>
      <c r="AB91" s="1091"/>
      <c r="AC91" s="1095"/>
      <c r="AD91" s="2553"/>
    </row>
    <row r="92" spans="1:30" s="2558" customFormat="1" ht="23.1" customHeight="1">
      <c r="A92" s="396"/>
      <c r="B92" s="2652"/>
      <c r="C92" s="397"/>
      <c r="D92" s="1144"/>
      <c r="E92" s="1313"/>
      <c r="F92" s="697"/>
      <c r="G92" s="512"/>
      <c r="H92" s="700"/>
      <c r="I92" s="1333"/>
      <c r="J92" s="2643" t="s">
        <v>3978</v>
      </c>
      <c r="K92" s="2644"/>
      <c r="L92" s="2624"/>
      <c r="M92" s="2624"/>
      <c r="N92" s="2624"/>
      <c r="O92" s="2624"/>
      <c r="P92" s="2624"/>
      <c r="Q92" s="372"/>
      <c r="R92" s="2624"/>
      <c r="S92" s="1672">
        <v>30000000</v>
      </c>
      <c r="T92" s="2644" t="s">
        <v>0</v>
      </c>
      <c r="U92" s="2644"/>
      <c r="V92" s="2644">
        <v>2</v>
      </c>
      <c r="W92" s="2644" t="s">
        <v>46</v>
      </c>
      <c r="X92" s="1140" t="s">
        <v>5</v>
      </c>
      <c r="Y92" s="1674">
        <f t="shared" si="24"/>
        <v>60000</v>
      </c>
      <c r="Z92" s="407">
        <f t="shared" ref="Z92" si="28">S92*V92</f>
        <v>60000000</v>
      </c>
      <c r="AA92" s="401"/>
      <c r="AB92" s="1091"/>
      <c r="AC92" s="1095"/>
      <c r="AD92" s="2553"/>
    </row>
    <row r="93" spans="1:30" s="587" customFormat="1" ht="23.1" customHeight="1">
      <c r="A93" s="1429"/>
      <c r="B93" s="1430"/>
      <c r="C93" s="1431"/>
      <c r="D93" s="1435"/>
      <c r="E93" s="1313" t="s">
        <v>17</v>
      </c>
      <c r="F93" s="598">
        <f t="shared" ref="F93:F95" si="29">Y93</f>
        <v>1000</v>
      </c>
      <c r="G93" s="512">
        <v>1000</v>
      </c>
      <c r="H93" s="700"/>
      <c r="I93" s="1333"/>
      <c r="J93" s="2643" t="s">
        <v>3979</v>
      </c>
      <c r="K93" s="2357"/>
      <c r="L93" s="2357"/>
      <c r="M93" s="2357"/>
      <c r="N93" s="2357"/>
      <c r="O93" s="2357"/>
      <c r="P93" s="1128"/>
      <c r="Q93" s="372"/>
      <c r="R93" s="2624"/>
      <c r="S93" s="1314">
        <v>200000</v>
      </c>
      <c r="T93" s="344" t="s">
        <v>4</v>
      </c>
      <c r="U93" s="2501"/>
      <c r="V93" s="372">
        <v>5</v>
      </c>
      <c r="W93" s="2624" t="s">
        <v>35</v>
      </c>
      <c r="X93" s="1140" t="s">
        <v>1</v>
      </c>
      <c r="Y93" s="406">
        <f>Z93/1000</f>
        <v>1000</v>
      </c>
      <c r="Z93" s="494">
        <f>S93*V93</f>
        <v>1000000</v>
      </c>
      <c r="AA93" s="1432"/>
      <c r="AB93" s="1433"/>
      <c r="AC93" s="1434"/>
      <c r="AD93" s="586"/>
    </row>
    <row r="94" spans="1:30" s="2558" customFormat="1" ht="23.1" customHeight="1">
      <c r="A94" s="396"/>
      <c r="B94" s="2652"/>
      <c r="C94" s="397"/>
      <c r="D94" s="1144"/>
      <c r="E94" s="1313" t="s">
        <v>67</v>
      </c>
      <c r="F94" s="598">
        <f t="shared" si="29"/>
        <v>20000</v>
      </c>
      <c r="G94" s="512">
        <v>20000</v>
      </c>
      <c r="H94" s="700"/>
      <c r="I94" s="1333"/>
      <c r="J94" s="2643" t="s">
        <v>3980</v>
      </c>
      <c r="K94" s="2624"/>
      <c r="L94" s="2624"/>
      <c r="M94" s="2624"/>
      <c r="N94" s="2624"/>
      <c r="O94" s="2624"/>
      <c r="P94" s="2624"/>
      <c r="Q94" s="408"/>
      <c r="R94" s="2628"/>
      <c r="S94" s="1672">
        <v>5000000</v>
      </c>
      <c r="T94" s="2644" t="s">
        <v>0</v>
      </c>
      <c r="U94" s="2644"/>
      <c r="V94" s="2644">
        <v>4</v>
      </c>
      <c r="W94" s="2644" t="s">
        <v>35</v>
      </c>
      <c r="X94" s="1140" t="s">
        <v>1</v>
      </c>
      <c r="Y94" s="1674">
        <f t="shared" ref="Y94:Y95" si="30">Z94/1000</f>
        <v>20000</v>
      </c>
      <c r="Z94" s="407">
        <f t="shared" ref="Z94:Z95" si="31">S94*V94</f>
        <v>20000000</v>
      </c>
      <c r="AA94" s="401"/>
      <c r="AB94" s="1091"/>
      <c r="AC94" s="1095"/>
      <c r="AD94" s="2553"/>
    </row>
    <row r="95" spans="1:30" s="2558" customFormat="1" ht="23.1" customHeight="1">
      <c r="A95" s="396"/>
      <c r="B95" s="2652"/>
      <c r="C95" s="397"/>
      <c r="D95" s="1144"/>
      <c r="E95" s="1313" t="s">
        <v>14</v>
      </c>
      <c r="F95" s="598">
        <f t="shared" si="29"/>
        <v>10000</v>
      </c>
      <c r="G95" s="512">
        <v>10000</v>
      </c>
      <c r="H95" s="700"/>
      <c r="I95" s="1333"/>
      <c r="J95" s="2643" t="s">
        <v>3981</v>
      </c>
      <c r="K95" s="2644"/>
      <c r="L95" s="2624"/>
      <c r="M95" s="2624"/>
      <c r="N95" s="2624"/>
      <c r="O95" s="2624"/>
      <c r="P95" s="2624"/>
      <c r="Q95" s="408"/>
      <c r="R95" s="2630"/>
      <c r="S95" s="1672">
        <v>200000</v>
      </c>
      <c r="T95" s="2644" t="s">
        <v>4</v>
      </c>
      <c r="U95" s="2644"/>
      <c r="V95" s="2644">
        <v>50</v>
      </c>
      <c r="W95" s="2644" t="s">
        <v>35</v>
      </c>
      <c r="X95" s="1140" t="s">
        <v>5</v>
      </c>
      <c r="Y95" s="1674">
        <f t="shared" si="30"/>
        <v>10000</v>
      </c>
      <c r="Z95" s="407">
        <f t="shared" si="31"/>
        <v>10000000</v>
      </c>
      <c r="AA95" s="401"/>
      <c r="AB95" s="1091"/>
      <c r="AC95" s="1095"/>
      <c r="AD95" s="2553"/>
    </row>
    <row r="96" spans="1:30" s="2558" customFormat="1" ht="23.1" customHeight="1">
      <c r="A96" s="396"/>
      <c r="B96" s="2652"/>
      <c r="C96" s="397"/>
      <c r="D96" s="3312" t="s">
        <v>3982</v>
      </c>
      <c r="E96" s="3313"/>
      <c r="F96" s="1683">
        <f>SUM(F97:F106)</f>
        <v>550000</v>
      </c>
      <c r="G96" s="1683">
        <v>550000</v>
      </c>
      <c r="H96" s="1383">
        <f>F96-G96</f>
        <v>0</v>
      </c>
      <c r="I96" s="467">
        <f>G96-H96</f>
        <v>550000</v>
      </c>
      <c r="J96" s="394"/>
      <c r="K96" s="2598"/>
      <c r="L96" s="2598"/>
      <c r="M96" s="2598"/>
      <c r="N96" s="2598"/>
      <c r="O96" s="2598"/>
      <c r="P96" s="2598"/>
      <c r="Q96" s="2598"/>
      <c r="R96" s="395"/>
      <c r="S96" s="2598"/>
      <c r="T96" s="2598"/>
      <c r="U96" s="2598"/>
      <c r="V96" s="2598"/>
      <c r="W96" s="2598"/>
      <c r="X96" s="430"/>
      <c r="Y96" s="442"/>
      <c r="Z96" s="440"/>
      <c r="AA96" s="401"/>
      <c r="AB96" s="1091"/>
      <c r="AC96" s="1095"/>
      <c r="AD96" s="2553"/>
    </row>
    <row r="97" spans="1:30" s="2558" customFormat="1" ht="23.1" customHeight="1">
      <c r="A97" s="396"/>
      <c r="B97" s="2652"/>
      <c r="C97" s="397"/>
      <c r="D97" s="1144"/>
      <c r="E97" s="2514" t="s">
        <v>369</v>
      </c>
      <c r="F97" s="697">
        <f t="shared" ref="F97:F98" si="32">Y97</f>
        <v>1000</v>
      </c>
      <c r="G97" s="512">
        <v>1000</v>
      </c>
      <c r="H97" s="700"/>
      <c r="I97" s="467"/>
      <c r="J97" s="2643" t="s">
        <v>3983</v>
      </c>
      <c r="K97" s="447"/>
      <c r="L97" s="447"/>
      <c r="M97" s="447"/>
      <c r="N97" s="447"/>
      <c r="O97" s="447"/>
      <c r="P97" s="447"/>
      <c r="Q97" s="448"/>
      <c r="R97" s="449"/>
      <c r="S97" s="450">
        <v>500000</v>
      </c>
      <c r="T97" s="451" t="s">
        <v>0</v>
      </c>
      <c r="U97" s="451"/>
      <c r="V97" s="451">
        <v>2</v>
      </c>
      <c r="W97" s="451" t="s">
        <v>46</v>
      </c>
      <c r="X97" s="452" t="s">
        <v>5</v>
      </c>
      <c r="Y97" s="356">
        <f t="shared" ref="Y97:Y99" si="33">Z97/1000</f>
        <v>1000</v>
      </c>
      <c r="Z97" s="1086">
        <f>S97*V97</f>
        <v>1000000</v>
      </c>
      <c r="AA97" s="401"/>
      <c r="AB97" s="1091"/>
      <c r="AC97" s="1095"/>
      <c r="AD97" s="2553"/>
    </row>
    <row r="98" spans="1:30" s="2558" customFormat="1" ht="23.1" customHeight="1">
      <c r="A98" s="396"/>
      <c r="B98" s="2652"/>
      <c r="C98" s="397"/>
      <c r="D98" s="1144"/>
      <c r="E98" s="1313" t="s">
        <v>16</v>
      </c>
      <c r="F98" s="697">
        <f t="shared" si="32"/>
        <v>9000</v>
      </c>
      <c r="G98" s="512">
        <v>9000</v>
      </c>
      <c r="H98" s="700"/>
      <c r="I98" s="1333"/>
      <c r="J98" s="2643" t="s">
        <v>3984</v>
      </c>
      <c r="K98" s="2624"/>
      <c r="L98" s="2624"/>
      <c r="M98" s="2624"/>
      <c r="N98" s="2624"/>
      <c r="O98" s="2624"/>
      <c r="P98" s="2624"/>
      <c r="Q98" s="408"/>
      <c r="R98" s="2630"/>
      <c r="S98" s="1672">
        <v>9000000</v>
      </c>
      <c r="T98" s="2644" t="s">
        <v>0</v>
      </c>
      <c r="U98" s="2644"/>
      <c r="V98" s="2644">
        <v>1</v>
      </c>
      <c r="W98" s="2644" t="s">
        <v>46</v>
      </c>
      <c r="X98" s="1140" t="s">
        <v>5</v>
      </c>
      <c r="Y98" s="1674">
        <f t="shared" si="33"/>
        <v>9000</v>
      </c>
      <c r="Z98" s="407">
        <f>S98*V98</f>
        <v>9000000</v>
      </c>
      <c r="AA98" s="401"/>
      <c r="AB98" s="1091"/>
      <c r="AC98" s="1095"/>
      <c r="AD98" s="2553"/>
    </row>
    <row r="99" spans="1:30" s="2558" customFormat="1" ht="23.1" customHeight="1">
      <c r="A99" s="396"/>
      <c r="B99" s="2652"/>
      <c r="C99" s="397"/>
      <c r="D99" s="1144"/>
      <c r="E99" s="2514" t="s">
        <v>15</v>
      </c>
      <c r="F99" s="697">
        <f>Y99</f>
        <v>9000</v>
      </c>
      <c r="G99" s="512">
        <v>9000</v>
      </c>
      <c r="H99" s="700"/>
      <c r="I99" s="1333"/>
      <c r="J99" s="2643" t="s">
        <v>3985</v>
      </c>
      <c r="K99" s="2624"/>
      <c r="L99" s="2624"/>
      <c r="M99" s="2624"/>
      <c r="N99" s="2624"/>
      <c r="O99" s="2624"/>
      <c r="P99" s="2624"/>
      <c r="Q99" s="408">
        <v>5</v>
      </c>
      <c r="R99" s="2630" t="s">
        <v>33</v>
      </c>
      <c r="S99" s="1672">
        <v>200000</v>
      </c>
      <c r="T99" s="2644" t="s">
        <v>0</v>
      </c>
      <c r="U99" s="2644"/>
      <c r="V99" s="2644">
        <v>9</v>
      </c>
      <c r="W99" s="2644" t="s">
        <v>3</v>
      </c>
      <c r="X99" s="1140" t="s">
        <v>5</v>
      </c>
      <c r="Y99" s="1674">
        <f t="shared" si="33"/>
        <v>9000</v>
      </c>
      <c r="Z99" s="407">
        <f>Q99*S99*V99</f>
        <v>9000000</v>
      </c>
      <c r="AA99" s="401"/>
      <c r="AB99" s="1091"/>
      <c r="AC99" s="1095"/>
      <c r="AD99" s="2553"/>
    </row>
    <row r="100" spans="1:30" s="2558" customFormat="1" ht="23.1" customHeight="1">
      <c r="A100" s="396"/>
      <c r="B100" s="2652"/>
      <c r="C100" s="397"/>
      <c r="D100" s="1144"/>
      <c r="E100" s="2514" t="s">
        <v>222</v>
      </c>
      <c r="F100" s="697">
        <f t="shared" ref="F100" si="34">Y100</f>
        <v>523000</v>
      </c>
      <c r="G100" s="512">
        <v>523000</v>
      </c>
      <c r="H100" s="700"/>
      <c r="I100" s="1333"/>
      <c r="J100" s="2643" t="s">
        <v>8</v>
      </c>
      <c r="K100" s="2644"/>
      <c r="L100" s="2624"/>
      <c r="M100" s="2624"/>
      <c r="N100" s="1673"/>
      <c r="O100" s="2624"/>
      <c r="P100" s="2624"/>
      <c r="Q100" s="408"/>
      <c r="R100" s="2630"/>
      <c r="S100" s="1672"/>
      <c r="T100" s="2644"/>
      <c r="U100" s="2644"/>
      <c r="V100" s="2644"/>
      <c r="W100" s="2644"/>
      <c r="X100" s="1140"/>
      <c r="Y100" s="1674">
        <f>Z100/1000</f>
        <v>523000</v>
      </c>
      <c r="Z100" s="407">
        <f>SUM(Z101:Z104)</f>
        <v>523000000</v>
      </c>
      <c r="AA100" s="401"/>
      <c r="AB100" s="1091"/>
      <c r="AC100" s="1095"/>
      <c r="AD100" s="2553"/>
    </row>
    <row r="101" spans="1:30" s="2558" customFormat="1" ht="23.1" customHeight="1">
      <c r="A101" s="396"/>
      <c r="B101" s="2652"/>
      <c r="C101" s="397"/>
      <c r="D101" s="1144"/>
      <c r="E101" s="2514"/>
      <c r="F101" s="873"/>
      <c r="G101" s="512"/>
      <c r="H101" s="700"/>
      <c r="I101" s="1333"/>
      <c r="J101" s="2643" t="s">
        <v>3986</v>
      </c>
      <c r="K101" s="2644"/>
      <c r="L101" s="2624"/>
      <c r="M101" s="2624"/>
      <c r="N101" s="1673"/>
      <c r="O101" s="2624"/>
      <c r="P101" s="2624"/>
      <c r="Q101" s="408"/>
      <c r="R101" s="2630"/>
      <c r="S101" s="1672">
        <v>50000000</v>
      </c>
      <c r="T101" s="2644" t="s">
        <v>0</v>
      </c>
      <c r="U101" s="2644"/>
      <c r="V101" s="2644">
        <v>4</v>
      </c>
      <c r="W101" s="2644" t="s">
        <v>46</v>
      </c>
      <c r="X101" s="1140" t="s">
        <v>5</v>
      </c>
      <c r="Y101" s="1674">
        <f>Z101/1000</f>
        <v>200000</v>
      </c>
      <c r="Z101" s="407">
        <f>S101*V101</f>
        <v>200000000</v>
      </c>
      <c r="AA101" s="401"/>
      <c r="AB101" s="1091"/>
      <c r="AC101" s="1095"/>
      <c r="AD101" s="2553"/>
    </row>
    <row r="102" spans="1:30" s="2558" customFormat="1" ht="23.1" customHeight="1">
      <c r="A102" s="396"/>
      <c r="B102" s="2652"/>
      <c r="C102" s="397"/>
      <c r="D102" s="1144"/>
      <c r="E102" s="1313"/>
      <c r="F102" s="697"/>
      <c r="G102" s="512"/>
      <c r="H102" s="700"/>
      <c r="I102" s="1333"/>
      <c r="J102" s="2643" t="s">
        <v>3987</v>
      </c>
      <c r="K102" s="2644"/>
      <c r="L102" s="2624"/>
      <c r="M102" s="2624"/>
      <c r="N102" s="1673"/>
      <c r="O102" s="2624"/>
      <c r="P102" s="2624"/>
      <c r="Q102" s="408"/>
      <c r="R102" s="2630"/>
      <c r="S102" s="1672">
        <v>25000000</v>
      </c>
      <c r="T102" s="2644" t="s">
        <v>4</v>
      </c>
      <c r="U102" s="2644"/>
      <c r="V102" s="2644">
        <v>8</v>
      </c>
      <c r="W102" s="2644" t="s">
        <v>46</v>
      </c>
      <c r="X102" s="1140" t="s">
        <v>5</v>
      </c>
      <c r="Y102" s="1674">
        <f t="shared" ref="Y102:Y106" si="35">Z102/1000</f>
        <v>200000</v>
      </c>
      <c r="Z102" s="407">
        <f t="shared" ref="Z102:Z106" si="36">S102*V102</f>
        <v>200000000</v>
      </c>
      <c r="AA102" s="401"/>
      <c r="AB102" s="1091"/>
      <c r="AC102" s="1095"/>
      <c r="AD102" s="2553"/>
    </row>
    <row r="103" spans="1:30" s="2558" customFormat="1" ht="23.1" customHeight="1">
      <c r="A103" s="396"/>
      <c r="B103" s="2652"/>
      <c r="C103" s="397"/>
      <c r="D103" s="1144"/>
      <c r="E103" s="1313"/>
      <c r="F103" s="697"/>
      <c r="G103" s="512"/>
      <c r="H103" s="700"/>
      <c r="I103" s="1333"/>
      <c r="J103" s="2643" t="s">
        <v>3988</v>
      </c>
      <c r="K103" s="2644"/>
      <c r="L103" s="2624"/>
      <c r="M103" s="2624"/>
      <c r="N103" s="1673"/>
      <c r="O103" s="2624"/>
      <c r="P103" s="2624"/>
      <c r="Q103" s="408"/>
      <c r="R103" s="2630"/>
      <c r="S103" s="1672">
        <v>25000000</v>
      </c>
      <c r="T103" s="2644" t="s">
        <v>0</v>
      </c>
      <c r="U103" s="2644"/>
      <c r="V103" s="2644">
        <v>4</v>
      </c>
      <c r="W103" s="2644" t="s">
        <v>46</v>
      </c>
      <c r="X103" s="1140" t="s">
        <v>5</v>
      </c>
      <c r="Y103" s="1674">
        <f>Z103/1000</f>
        <v>100000</v>
      </c>
      <c r="Z103" s="407">
        <f t="shared" si="36"/>
        <v>100000000</v>
      </c>
      <c r="AA103" s="401"/>
      <c r="AB103" s="1091"/>
      <c r="AC103" s="1095"/>
      <c r="AD103" s="2553"/>
    </row>
    <row r="104" spans="1:30" s="2558" customFormat="1" ht="23.1" customHeight="1">
      <c r="A104" s="396"/>
      <c r="B104" s="2652"/>
      <c r="C104" s="397"/>
      <c r="D104" s="1144"/>
      <c r="E104" s="1313"/>
      <c r="F104" s="697"/>
      <c r="G104" s="512"/>
      <c r="H104" s="700"/>
      <c r="I104" s="1333"/>
      <c r="J104" s="2643" t="s">
        <v>3989</v>
      </c>
      <c r="K104" s="2644"/>
      <c r="L104" s="2624"/>
      <c r="M104" s="2624"/>
      <c r="N104" s="1673"/>
      <c r="O104" s="2624"/>
      <c r="P104" s="2624"/>
      <c r="Q104" s="408"/>
      <c r="R104" s="2630"/>
      <c r="S104" s="1672">
        <v>23000000</v>
      </c>
      <c r="T104" s="2644" t="s">
        <v>4</v>
      </c>
      <c r="U104" s="2644"/>
      <c r="V104" s="2644">
        <v>1</v>
      </c>
      <c r="W104" s="2644" t="s">
        <v>46</v>
      </c>
      <c r="X104" s="1140" t="s">
        <v>5</v>
      </c>
      <c r="Y104" s="1674">
        <f t="shared" ref="Y104" si="37">Z104/1000</f>
        <v>23000</v>
      </c>
      <c r="Z104" s="407">
        <f t="shared" si="36"/>
        <v>23000000</v>
      </c>
      <c r="AA104" s="401"/>
      <c r="AB104" s="1091"/>
      <c r="AC104" s="1095"/>
      <c r="AD104" s="2553"/>
    </row>
    <row r="105" spans="1:30" s="587" customFormat="1" ht="23.1" customHeight="1">
      <c r="A105" s="1429"/>
      <c r="B105" s="1430"/>
      <c r="C105" s="1431"/>
      <c r="D105" s="1435"/>
      <c r="E105" s="1313" t="s">
        <v>67</v>
      </c>
      <c r="F105" s="697">
        <f t="shared" ref="F105:F106" si="38">Y105</f>
        <v>4000</v>
      </c>
      <c r="G105" s="512">
        <v>4000</v>
      </c>
      <c r="H105" s="700"/>
      <c r="I105" s="1333"/>
      <c r="J105" s="2643" t="s">
        <v>3980</v>
      </c>
      <c r="K105" s="2624"/>
      <c r="L105" s="2624"/>
      <c r="M105" s="2624"/>
      <c r="N105" s="2624"/>
      <c r="O105" s="2624"/>
      <c r="P105" s="2624"/>
      <c r="Q105" s="408"/>
      <c r="R105" s="2628"/>
      <c r="S105" s="1672">
        <v>2000000</v>
      </c>
      <c r="T105" s="2644" t="s">
        <v>0</v>
      </c>
      <c r="U105" s="2644"/>
      <c r="V105" s="2644">
        <v>2</v>
      </c>
      <c r="W105" s="2644" t="s">
        <v>196</v>
      </c>
      <c r="X105" s="1140" t="s">
        <v>1</v>
      </c>
      <c r="Y105" s="1674">
        <f t="shared" si="35"/>
        <v>4000</v>
      </c>
      <c r="Z105" s="407">
        <f t="shared" si="36"/>
        <v>4000000</v>
      </c>
      <c r="AA105" s="1432"/>
      <c r="AB105" s="1433"/>
      <c r="AC105" s="1434"/>
      <c r="AD105" s="586"/>
    </row>
    <row r="106" spans="1:30" s="2558" customFormat="1" ht="23.1" customHeight="1">
      <c r="A106" s="396"/>
      <c r="B106" s="2652"/>
      <c r="C106" s="397"/>
      <c r="D106" s="1144"/>
      <c r="E106" s="1313" t="s">
        <v>14</v>
      </c>
      <c r="F106" s="697">
        <f t="shared" si="38"/>
        <v>4000</v>
      </c>
      <c r="G106" s="512">
        <v>4000</v>
      </c>
      <c r="H106" s="700"/>
      <c r="I106" s="1333"/>
      <c r="J106" s="2643" t="s">
        <v>3990</v>
      </c>
      <c r="K106" s="2644"/>
      <c r="L106" s="2624"/>
      <c r="M106" s="2624"/>
      <c r="N106" s="2624"/>
      <c r="O106" s="2624"/>
      <c r="P106" s="2624"/>
      <c r="Q106" s="408"/>
      <c r="R106" s="2630"/>
      <c r="S106" s="1672">
        <v>200000</v>
      </c>
      <c r="T106" s="2644" t="s">
        <v>4</v>
      </c>
      <c r="U106" s="2644"/>
      <c r="V106" s="2644">
        <v>20</v>
      </c>
      <c r="W106" s="2644" t="s">
        <v>35</v>
      </c>
      <c r="X106" s="1140" t="s">
        <v>5</v>
      </c>
      <c r="Y106" s="1674">
        <f t="shared" si="35"/>
        <v>4000</v>
      </c>
      <c r="Z106" s="407">
        <f t="shared" si="36"/>
        <v>4000000</v>
      </c>
      <c r="AA106" s="401"/>
      <c r="AB106" s="1091"/>
      <c r="AC106" s="1095"/>
      <c r="AD106" s="2553"/>
    </row>
    <row r="107" spans="1:30" s="2558" customFormat="1" ht="23.1" customHeight="1">
      <c r="A107" s="396"/>
      <c r="B107" s="2652"/>
      <c r="C107" s="3277" t="s">
        <v>3332</v>
      </c>
      <c r="D107" s="3271"/>
      <c r="E107" s="3272"/>
      <c r="F107" s="1683">
        <f>F108</f>
        <v>1380000</v>
      </c>
      <c r="G107" s="1683">
        <f>G108</f>
        <v>1380000</v>
      </c>
      <c r="H107" s="468">
        <f t="shared" ref="H107" si="39">F107-G107</f>
        <v>0</v>
      </c>
      <c r="I107" s="409"/>
      <c r="J107" s="394"/>
      <c r="K107" s="2598"/>
      <c r="L107" s="2598"/>
      <c r="M107" s="2598"/>
      <c r="N107" s="2598"/>
      <c r="O107" s="2598"/>
      <c r="P107" s="2598"/>
      <c r="Q107" s="2598"/>
      <c r="R107" s="2598"/>
      <c r="S107" s="2598"/>
      <c r="T107" s="2598"/>
      <c r="U107" s="2598"/>
      <c r="V107" s="2598"/>
      <c r="W107" s="2598"/>
      <c r="X107" s="430"/>
      <c r="Y107" s="442"/>
      <c r="Z107" s="440"/>
      <c r="AA107" s="401"/>
      <c r="AB107" s="1091">
        <f>F107</f>
        <v>1380000</v>
      </c>
      <c r="AC107" s="1095"/>
      <c r="AD107" s="2553"/>
    </row>
    <row r="108" spans="1:30" s="2558" customFormat="1" ht="23.1" customHeight="1">
      <c r="A108" s="396"/>
      <c r="B108" s="2652"/>
      <c r="C108" s="397"/>
      <c r="D108" s="3312" t="s">
        <v>3991</v>
      </c>
      <c r="E108" s="3313"/>
      <c r="F108" s="1683">
        <f>SUM(F109:F121)</f>
        <v>1380000</v>
      </c>
      <c r="G108" s="1683">
        <v>1380000</v>
      </c>
      <c r="H108" s="1383">
        <f>F108-G108</f>
        <v>0</v>
      </c>
      <c r="I108" s="467">
        <f>G108-H108</f>
        <v>1380000</v>
      </c>
      <c r="J108" s="394"/>
      <c r="K108" s="2598"/>
      <c r="L108" s="2598"/>
      <c r="M108" s="2598"/>
      <c r="N108" s="2598"/>
      <c r="O108" s="2598"/>
      <c r="P108" s="2598"/>
      <c r="Q108" s="2598"/>
      <c r="R108" s="395"/>
      <c r="S108" s="2598"/>
      <c r="T108" s="2598"/>
      <c r="U108" s="2598"/>
      <c r="V108" s="2598"/>
      <c r="W108" s="2598"/>
      <c r="X108" s="430"/>
      <c r="Y108" s="442"/>
      <c r="Z108" s="440"/>
      <c r="AA108" s="401"/>
      <c r="AB108" s="1091"/>
      <c r="AC108" s="1095"/>
      <c r="AD108" s="2553"/>
    </row>
    <row r="109" spans="1:30" s="2558" customFormat="1" ht="23.1" customHeight="1">
      <c r="A109" s="396"/>
      <c r="B109" s="2652"/>
      <c r="C109" s="397"/>
      <c r="D109" s="1144"/>
      <c r="E109" s="1313" t="s">
        <v>195</v>
      </c>
      <c r="F109" s="1688">
        <f>Y109</f>
        <v>7000</v>
      </c>
      <c r="G109" s="1688">
        <v>7000</v>
      </c>
      <c r="H109" s="700"/>
      <c r="I109" s="1333"/>
      <c r="J109" s="2643" t="s">
        <v>194</v>
      </c>
      <c r="K109" s="2624"/>
      <c r="L109" s="2624"/>
      <c r="M109" s="451"/>
      <c r="N109" s="2624"/>
      <c r="O109" s="2624"/>
      <c r="P109" s="447"/>
      <c r="Q109" s="448"/>
      <c r="R109" s="449"/>
      <c r="S109" s="450"/>
      <c r="T109" s="451"/>
      <c r="U109" s="451"/>
      <c r="V109" s="451"/>
      <c r="W109" s="451"/>
      <c r="X109" s="452"/>
      <c r="Y109" s="356">
        <f>Z109/1000</f>
        <v>7000</v>
      </c>
      <c r="Z109" s="1086">
        <f>SUM(Z110:Z111)</f>
        <v>7000000</v>
      </c>
      <c r="AA109" s="401"/>
      <c r="AB109" s="1091"/>
      <c r="AC109" s="1095"/>
      <c r="AD109" s="2553"/>
    </row>
    <row r="110" spans="1:30" s="2558" customFormat="1" ht="23.1" customHeight="1">
      <c r="A110" s="396"/>
      <c r="B110" s="2652"/>
      <c r="C110" s="397"/>
      <c r="D110" s="1144"/>
      <c r="E110" s="1313"/>
      <c r="F110" s="697"/>
      <c r="G110" s="697"/>
      <c r="H110" s="700"/>
      <c r="I110" s="1333"/>
      <c r="J110" s="2643" t="s">
        <v>3992</v>
      </c>
      <c r="K110" s="2644"/>
      <c r="L110" s="2624"/>
      <c r="M110" s="2624"/>
      <c r="N110" s="2624"/>
      <c r="O110" s="2624"/>
      <c r="P110" s="2624"/>
      <c r="Q110" s="408">
        <v>2</v>
      </c>
      <c r="R110" s="2630" t="s">
        <v>33</v>
      </c>
      <c r="S110" s="1672">
        <v>20000</v>
      </c>
      <c r="T110" s="2644" t="s">
        <v>0</v>
      </c>
      <c r="U110" s="2644"/>
      <c r="V110" s="2644">
        <v>50</v>
      </c>
      <c r="W110" s="2644" t="s">
        <v>35</v>
      </c>
      <c r="X110" s="1140" t="s">
        <v>5</v>
      </c>
      <c r="Y110" s="1674">
        <f t="shared" ref="Y110:Y113" si="40">Z110/1000</f>
        <v>2000</v>
      </c>
      <c r="Z110" s="407">
        <f>Q110*S110*V110</f>
        <v>2000000</v>
      </c>
      <c r="AA110" s="401"/>
      <c r="AB110" s="1091"/>
      <c r="AC110" s="1095"/>
      <c r="AD110" s="2553"/>
    </row>
    <row r="111" spans="1:30" s="2558" customFormat="1" ht="23.1" customHeight="1">
      <c r="A111" s="396"/>
      <c r="B111" s="2652"/>
      <c r="C111" s="397"/>
      <c r="D111" s="1144"/>
      <c r="E111" s="1313"/>
      <c r="F111" s="697"/>
      <c r="G111" s="697"/>
      <c r="H111" s="700"/>
      <c r="I111" s="1333"/>
      <c r="J111" s="2643" t="s">
        <v>3993</v>
      </c>
      <c r="K111" s="2644"/>
      <c r="L111" s="2624"/>
      <c r="M111" s="2624"/>
      <c r="N111" s="1673"/>
      <c r="O111" s="2624"/>
      <c r="P111" s="2624"/>
      <c r="Q111" s="408">
        <v>1</v>
      </c>
      <c r="R111" s="2630" t="s">
        <v>33</v>
      </c>
      <c r="S111" s="1672">
        <v>5000000</v>
      </c>
      <c r="T111" s="2644" t="s">
        <v>0</v>
      </c>
      <c r="U111" s="2644"/>
      <c r="V111" s="2644">
        <v>1</v>
      </c>
      <c r="W111" s="2644" t="s">
        <v>35</v>
      </c>
      <c r="X111" s="1140" t="s">
        <v>5</v>
      </c>
      <c r="Y111" s="1674">
        <f t="shared" si="40"/>
        <v>5000</v>
      </c>
      <c r="Z111" s="407">
        <f>Q111*S111*V111</f>
        <v>5000000</v>
      </c>
      <c r="AA111" s="401"/>
      <c r="AB111" s="1091"/>
      <c r="AC111" s="1095"/>
      <c r="AD111" s="2553"/>
    </row>
    <row r="112" spans="1:30" s="2558" customFormat="1" ht="23.1" customHeight="1">
      <c r="A112" s="396"/>
      <c r="B112" s="2652"/>
      <c r="C112" s="397"/>
      <c r="D112" s="1144"/>
      <c r="E112" s="1313" t="s">
        <v>15</v>
      </c>
      <c r="F112" s="697">
        <f>Y112</f>
        <v>10000</v>
      </c>
      <c r="G112" s="697">
        <v>10000</v>
      </c>
      <c r="H112" s="700"/>
      <c r="I112" s="1333"/>
      <c r="J112" s="2643" t="s">
        <v>3994</v>
      </c>
      <c r="K112" s="2624"/>
      <c r="L112" s="2624"/>
      <c r="M112" s="2624"/>
      <c r="N112" s="2624"/>
      <c r="O112" s="2624"/>
      <c r="P112" s="2624"/>
      <c r="Q112" s="408">
        <v>5</v>
      </c>
      <c r="R112" s="2630" t="s">
        <v>33</v>
      </c>
      <c r="S112" s="1672">
        <v>200000</v>
      </c>
      <c r="T112" s="2644" t="s">
        <v>0</v>
      </c>
      <c r="U112" s="2644"/>
      <c r="V112" s="2644">
        <v>10</v>
      </c>
      <c r="W112" s="2644" t="s">
        <v>3</v>
      </c>
      <c r="X112" s="1140" t="s">
        <v>5</v>
      </c>
      <c r="Y112" s="1674">
        <f t="shared" si="40"/>
        <v>10000</v>
      </c>
      <c r="Z112" s="407">
        <f>Q112*S112*V112</f>
        <v>10000000</v>
      </c>
      <c r="AA112" s="401"/>
      <c r="AB112" s="1091"/>
      <c r="AC112" s="1095"/>
      <c r="AD112" s="2553"/>
    </row>
    <row r="113" spans="1:30" s="2558" customFormat="1" ht="23.1" customHeight="1">
      <c r="A113" s="396"/>
      <c r="B113" s="2652"/>
      <c r="C113" s="397"/>
      <c r="D113" s="1144"/>
      <c r="E113" s="2514" t="s">
        <v>16</v>
      </c>
      <c r="F113" s="697">
        <f>Y113</f>
        <v>40000</v>
      </c>
      <c r="G113" s="697">
        <v>40000</v>
      </c>
      <c r="H113" s="700"/>
      <c r="I113" s="1333"/>
      <c r="J113" s="2643" t="s">
        <v>8</v>
      </c>
      <c r="K113" s="2644"/>
      <c r="L113" s="2624"/>
      <c r="M113" s="2624"/>
      <c r="N113" s="1673"/>
      <c r="O113" s="2624"/>
      <c r="P113" s="2624"/>
      <c r="Q113" s="408"/>
      <c r="R113" s="2630"/>
      <c r="S113" s="1672"/>
      <c r="T113" s="2644"/>
      <c r="U113" s="2644"/>
      <c r="V113" s="2644"/>
      <c r="W113" s="2644"/>
      <c r="X113" s="1140"/>
      <c r="Y113" s="1674">
        <f t="shared" si="40"/>
        <v>40000</v>
      </c>
      <c r="Z113" s="407">
        <f>SUM(Z114:Z115)</f>
        <v>40000000</v>
      </c>
      <c r="AA113" s="401"/>
      <c r="AB113" s="1091"/>
      <c r="AC113" s="1095"/>
      <c r="AD113" s="2553"/>
    </row>
    <row r="114" spans="1:30" s="2558" customFormat="1" ht="23.1" customHeight="1">
      <c r="A114" s="396"/>
      <c r="B114" s="2652"/>
      <c r="C114" s="397"/>
      <c r="D114" s="1144"/>
      <c r="E114" s="1313"/>
      <c r="F114" s="697"/>
      <c r="G114" s="697"/>
      <c r="H114" s="700"/>
      <c r="I114" s="1333"/>
      <c r="J114" s="2643" t="s">
        <v>3995</v>
      </c>
      <c r="K114" s="2644"/>
      <c r="L114" s="2624"/>
      <c r="M114" s="2624"/>
      <c r="N114" s="1673"/>
      <c r="O114" s="2624"/>
      <c r="P114" s="2624"/>
      <c r="Q114" s="408"/>
      <c r="R114" s="2630"/>
      <c r="S114" s="1672">
        <v>10000</v>
      </c>
      <c r="T114" s="2644" t="s">
        <v>0</v>
      </c>
      <c r="U114" s="2644"/>
      <c r="V114" s="2644">
        <v>1000</v>
      </c>
      <c r="W114" s="2644" t="s">
        <v>218</v>
      </c>
      <c r="X114" s="1140" t="s">
        <v>5</v>
      </c>
      <c r="Y114" s="1674">
        <f>Z114/1000</f>
        <v>10000</v>
      </c>
      <c r="Z114" s="407">
        <f>S114*V114</f>
        <v>10000000</v>
      </c>
      <c r="AA114" s="401"/>
      <c r="AB114" s="1091"/>
      <c r="AC114" s="1095"/>
      <c r="AD114" s="2553"/>
    </row>
    <row r="115" spans="1:30" s="587" customFormat="1" ht="23.1" customHeight="1">
      <c r="A115" s="1429"/>
      <c r="B115" s="1430"/>
      <c r="C115" s="1431"/>
      <c r="D115" s="1435"/>
      <c r="E115" s="1313"/>
      <c r="F115" s="697"/>
      <c r="G115" s="697"/>
      <c r="H115" s="700"/>
      <c r="I115" s="1333"/>
      <c r="J115" s="2643" t="s">
        <v>3996</v>
      </c>
      <c r="K115" s="2644"/>
      <c r="L115" s="2624"/>
      <c r="M115" s="2624"/>
      <c r="N115" s="1673"/>
      <c r="O115" s="2624"/>
      <c r="P115" s="2624"/>
      <c r="Q115" s="408"/>
      <c r="R115" s="2630"/>
      <c r="S115" s="1672">
        <v>2000000</v>
      </c>
      <c r="T115" s="2644" t="s">
        <v>4</v>
      </c>
      <c r="U115" s="2644"/>
      <c r="V115" s="2644">
        <v>15</v>
      </c>
      <c r="W115" s="2644" t="s">
        <v>3338</v>
      </c>
      <c r="X115" s="1140" t="s">
        <v>5</v>
      </c>
      <c r="Y115" s="1674">
        <f t="shared" ref="Y115:Y121" si="41">Z115/1000</f>
        <v>30000</v>
      </c>
      <c r="Z115" s="407">
        <f t="shared" ref="Z115" si="42">S115*V115</f>
        <v>30000000</v>
      </c>
      <c r="AA115" s="1432"/>
      <c r="AB115" s="1433"/>
      <c r="AC115" s="1434"/>
      <c r="AD115" s="586"/>
    </row>
    <row r="116" spans="1:30" s="587" customFormat="1" ht="23.1" customHeight="1">
      <c r="A116" s="1429"/>
      <c r="B116" s="1430"/>
      <c r="C116" s="1431"/>
      <c r="D116" s="1435"/>
      <c r="E116" s="1134" t="s">
        <v>222</v>
      </c>
      <c r="F116" s="697">
        <f>Y116</f>
        <v>1315000</v>
      </c>
      <c r="G116" s="697">
        <v>1315000</v>
      </c>
      <c r="H116" s="700"/>
      <c r="I116" s="1333"/>
      <c r="J116" s="2643" t="s">
        <v>194</v>
      </c>
      <c r="K116" s="2624"/>
      <c r="L116" s="2624"/>
      <c r="M116" s="2624"/>
      <c r="N116" s="2624"/>
      <c r="O116" s="2624"/>
      <c r="P116" s="2624"/>
      <c r="Q116" s="408"/>
      <c r="R116" s="2628"/>
      <c r="S116" s="1672"/>
      <c r="T116" s="2644"/>
      <c r="U116" s="2644"/>
      <c r="V116" s="2644"/>
      <c r="W116" s="2644"/>
      <c r="X116" s="1140"/>
      <c r="Y116" s="1674">
        <f>Z116/1000</f>
        <v>1315000</v>
      </c>
      <c r="Z116" s="407">
        <f>SUM(Z117:Z119)</f>
        <v>1315000000</v>
      </c>
      <c r="AA116" s="1432"/>
      <c r="AB116" s="1433"/>
      <c r="AC116" s="1434"/>
      <c r="AD116" s="586"/>
    </row>
    <row r="117" spans="1:30" s="2558" customFormat="1" ht="23.1" customHeight="1">
      <c r="A117" s="396"/>
      <c r="B117" s="2652"/>
      <c r="C117" s="397"/>
      <c r="D117" s="1144"/>
      <c r="E117" s="1134"/>
      <c r="F117" s="873"/>
      <c r="G117" s="873"/>
      <c r="H117" s="700"/>
      <c r="I117" s="1333"/>
      <c r="J117" s="2643" t="s">
        <v>3997</v>
      </c>
      <c r="K117" s="2644"/>
      <c r="L117" s="2624"/>
      <c r="M117" s="2624"/>
      <c r="N117" s="1673"/>
      <c r="O117" s="2624"/>
      <c r="P117" s="2624"/>
      <c r="Q117" s="408"/>
      <c r="R117" s="2630"/>
      <c r="S117" s="1672">
        <v>78000000</v>
      </c>
      <c r="T117" s="2644" t="s">
        <v>0</v>
      </c>
      <c r="U117" s="2644"/>
      <c r="V117" s="2644">
        <v>15</v>
      </c>
      <c r="W117" s="2644" t="s">
        <v>46</v>
      </c>
      <c r="X117" s="1140" t="s">
        <v>5</v>
      </c>
      <c r="Y117" s="1674">
        <f>Z117/1000</f>
        <v>1170000</v>
      </c>
      <c r="Z117" s="407">
        <f>S117*V117</f>
        <v>1170000000</v>
      </c>
      <c r="AA117" s="401"/>
      <c r="AB117" s="1091"/>
      <c r="AC117" s="1095"/>
      <c r="AD117" s="2553"/>
    </row>
    <row r="118" spans="1:30" s="2558" customFormat="1" ht="23.1" customHeight="1">
      <c r="A118" s="396"/>
      <c r="B118" s="2652"/>
      <c r="C118" s="397"/>
      <c r="D118" s="1144"/>
      <c r="E118" s="1134"/>
      <c r="F118" s="697"/>
      <c r="G118" s="697"/>
      <c r="H118" s="700"/>
      <c r="I118" s="1333"/>
      <c r="J118" s="2643" t="s">
        <v>3998</v>
      </c>
      <c r="K118" s="2644"/>
      <c r="L118" s="2624"/>
      <c r="M118" s="2624"/>
      <c r="N118" s="1673"/>
      <c r="O118" s="2624"/>
      <c r="P118" s="2624"/>
      <c r="Q118" s="408"/>
      <c r="R118" s="2630"/>
      <c r="S118" s="1672">
        <v>110000000</v>
      </c>
      <c r="T118" s="2644" t="s">
        <v>4</v>
      </c>
      <c r="U118" s="2644"/>
      <c r="V118" s="2644">
        <v>1</v>
      </c>
      <c r="W118" s="2644" t="s">
        <v>46</v>
      </c>
      <c r="X118" s="1140" t="s">
        <v>5</v>
      </c>
      <c r="Y118" s="1674">
        <f t="shared" ref="Y118:Y119" si="43">Z118/1000</f>
        <v>110000</v>
      </c>
      <c r="Z118" s="407">
        <f t="shared" ref="Z118:Z119" si="44">S118*V118</f>
        <v>110000000</v>
      </c>
      <c r="AA118" s="401"/>
      <c r="AB118" s="1091"/>
      <c r="AC118" s="1095"/>
      <c r="AD118" s="2553"/>
    </row>
    <row r="119" spans="1:30" s="2558" customFormat="1" ht="23.1" customHeight="1">
      <c r="A119" s="396"/>
      <c r="B119" s="2652"/>
      <c r="C119" s="397"/>
      <c r="D119" s="1144"/>
      <c r="E119" s="1134"/>
      <c r="F119" s="697"/>
      <c r="G119" s="697"/>
      <c r="H119" s="700"/>
      <c r="I119" s="1333"/>
      <c r="J119" s="2643" t="s">
        <v>3999</v>
      </c>
      <c r="K119" s="2644"/>
      <c r="L119" s="2624"/>
      <c r="M119" s="2624"/>
      <c r="N119" s="1673"/>
      <c r="O119" s="2624"/>
      <c r="P119" s="2624"/>
      <c r="Q119" s="408"/>
      <c r="R119" s="2630"/>
      <c r="S119" s="1672">
        <v>35000000</v>
      </c>
      <c r="T119" s="2644" t="s">
        <v>4</v>
      </c>
      <c r="U119" s="2644"/>
      <c r="V119" s="2644">
        <v>1</v>
      </c>
      <c r="W119" s="2644" t="s">
        <v>46</v>
      </c>
      <c r="X119" s="1140" t="s">
        <v>5</v>
      </c>
      <c r="Y119" s="1674">
        <f t="shared" si="43"/>
        <v>35000</v>
      </c>
      <c r="Z119" s="407">
        <f t="shared" si="44"/>
        <v>35000000</v>
      </c>
      <c r="AA119" s="401"/>
      <c r="AB119" s="1091"/>
      <c r="AC119" s="1095"/>
      <c r="AD119" s="2553"/>
    </row>
    <row r="120" spans="1:30" s="587" customFormat="1" ht="23.1" customHeight="1">
      <c r="A120" s="1429"/>
      <c r="B120" s="1430"/>
      <c r="C120" s="1431"/>
      <c r="D120" s="1435"/>
      <c r="E120" s="1134" t="s">
        <v>67</v>
      </c>
      <c r="F120" s="697">
        <f t="shared" ref="F120:F121" si="45">Y120</f>
        <v>4000</v>
      </c>
      <c r="G120" s="697">
        <v>4000</v>
      </c>
      <c r="H120" s="700"/>
      <c r="I120" s="1333"/>
      <c r="J120" s="2643" t="s">
        <v>3980</v>
      </c>
      <c r="K120" s="2624"/>
      <c r="L120" s="2624"/>
      <c r="M120" s="2624"/>
      <c r="N120" s="2624"/>
      <c r="O120" s="2624"/>
      <c r="P120" s="2624"/>
      <c r="Q120" s="408"/>
      <c r="R120" s="2628"/>
      <c r="S120" s="1672">
        <v>2000000</v>
      </c>
      <c r="T120" s="2644" t="s">
        <v>0</v>
      </c>
      <c r="U120" s="2644"/>
      <c r="V120" s="2644">
        <v>2</v>
      </c>
      <c r="W120" s="2644" t="s">
        <v>196</v>
      </c>
      <c r="X120" s="1140" t="s">
        <v>1</v>
      </c>
      <c r="Y120" s="1674">
        <f t="shared" si="41"/>
        <v>4000</v>
      </c>
      <c r="Z120" s="407">
        <f>S120*V120</f>
        <v>4000000</v>
      </c>
      <c r="AA120" s="1432"/>
      <c r="AB120" s="1433"/>
      <c r="AC120" s="1434"/>
      <c r="AD120" s="586"/>
    </row>
    <row r="121" spans="1:30" s="587" customFormat="1" ht="23.1" customHeight="1">
      <c r="A121" s="1429"/>
      <c r="B121" s="1430"/>
      <c r="C121" s="1431"/>
      <c r="D121" s="1435"/>
      <c r="E121" s="1134" t="s">
        <v>14</v>
      </c>
      <c r="F121" s="697">
        <f t="shared" si="45"/>
        <v>4000</v>
      </c>
      <c r="G121" s="697">
        <v>4000</v>
      </c>
      <c r="H121" s="700"/>
      <c r="I121" s="1333"/>
      <c r="J121" s="2643" t="s">
        <v>3990</v>
      </c>
      <c r="K121" s="2644"/>
      <c r="L121" s="2624"/>
      <c r="M121" s="2624"/>
      <c r="N121" s="2624"/>
      <c r="O121" s="2624"/>
      <c r="P121" s="2624"/>
      <c r="Q121" s="408"/>
      <c r="R121" s="2630"/>
      <c r="S121" s="1672">
        <v>200000</v>
      </c>
      <c r="T121" s="2644" t="s">
        <v>4</v>
      </c>
      <c r="U121" s="2644"/>
      <c r="V121" s="2644">
        <v>20</v>
      </c>
      <c r="W121" s="2644" t="s">
        <v>35</v>
      </c>
      <c r="X121" s="1140" t="s">
        <v>5</v>
      </c>
      <c r="Y121" s="1674">
        <f t="shared" si="41"/>
        <v>4000</v>
      </c>
      <c r="Z121" s="407">
        <f>S121*V121</f>
        <v>4000000</v>
      </c>
      <c r="AA121" s="1432"/>
      <c r="AB121" s="1433"/>
      <c r="AC121" s="1434"/>
      <c r="AD121" s="586"/>
    </row>
    <row r="122" spans="1:30" s="2558" customFormat="1" ht="23.1" customHeight="1">
      <c r="A122" s="396"/>
      <c r="B122" s="2652"/>
      <c r="C122" s="3277" t="s">
        <v>3333</v>
      </c>
      <c r="D122" s="3271"/>
      <c r="E122" s="3272"/>
      <c r="F122" s="1683">
        <f>F123</f>
        <v>468000</v>
      </c>
      <c r="G122" s="1683">
        <f>G123</f>
        <v>468000</v>
      </c>
      <c r="H122" s="468">
        <f t="shared" ref="H122" si="46">F122-G122</f>
        <v>0</v>
      </c>
      <c r="I122" s="409"/>
      <c r="J122" s="394"/>
      <c r="K122" s="2598"/>
      <c r="L122" s="2598"/>
      <c r="M122" s="2598"/>
      <c r="N122" s="2598"/>
      <c r="O122" s="2598"/>
      <c r="P122" s="2598"/>
      <c r="Q122" s="2598"/>
      <c r="R122" s="2598"/>
      <c r="S122" s="2598"/>
      <c r="T122" s="2598"/>
      <c r="U122" s="2598"/>
      <c r="V122" s="2598"/>
      <c r="W122" s="2598"/>
      <c r="X122" s="430"/>
      <c r="Y122" s="442"/>
      <c r="Z122" s="440"/>
      <c r="AA122" s="401"/>
      <c r="AB122" s="1091">
        <f>F122</f>
        <v>468000</v>
      </c>
      <c r="AC122" s="1095"/>
      <c r="AD122" s="2553"/>
    </row>
    <row r="123" spans="1:30" s="2558" customFormat="1" ht="23.1" customHeight="1">
      <c r="A123" s="396"/>
      <c r="B123" s="2652"/>
      <c r="C123" s="397"/>
      <c r="D123" s="3312" t="s">
        <v>2987</v>
      </c>
      <c r="E123" s="3313"/>
      <c r="F123" s="1683">
        <f>SUM(F124:F146)</f>
        <v>468000</v>
      </c>
      <c r="G123" s="1683">
        <f>SUM(G124:G146)</f>
        <v>468000</v>
      </c>
      <c r="H123" s="1383">
        <f>F123-G123</f>
        <v>0</v>
      </c>
      <c r="I123" s="467">
        <f>G123-H123</f>
        <v>468000</v>
      </c>
      <c r="J123" s="394"/>
      <c r="K123" s="2598"/>
      <c r="L123" s="2598"/>
      <c r="M123" s="2598"/>
      <c r="N123" s="2598"/>
      <c r="O123" s="2598"/>
      <c r="P123" s="2598"/>
      <c r="Q123" s="2598"/>
      <c r="R123" s="395"/>
      <c r="S123" s="2598"/>
      <c r="T123" s="2598"/>
      <c r="U123" s="2598"/>
      <c r="V123" s="2598"/>
      <c r="W123" s="2598"/>
      <c r="X123" s="430"/>
      <c r="Y123" s="442"/>
      <c r="Z123" s="440"/>
      <c r="AA123" s="401"/>
      <c r="AB123" s="1091"/>
      <c r="AC123" s="1095"/>
      <c r="AD123" s="2553"/>
    </row>
    <row r="124" spans="1:30" s="2558" customFormat="1" ht="23.1" customHeight="1">
      <c r="A124" s="396"/>
      <c r="B124" s="2652"/>
      <c r="C124" s="397"/>
      <c r="D124" s="1144"/>
      <c r="E124" s="1313" t="s">
        <v>224</v>
      </c>
      <c r="F124" s="697">
        <f t="shared" ref="F124:F126" si="47">Y124</f>
        <v>400</v>
      </c>
      <c r="G124" s="512">
        <v>400</v>
      </c>
      <c r="H124" s="700"/>
      <c r="I124" s="1333"/>
      <c r="J124" s="2732" t="s">
        <v>4743</v>
      </c>
      <c r="K124" s="2357"/>
      <c r="L124" s="2357"/>
      <c r="M124" s="2357"/>
      <c r="N124" s="2357"/>
      <c r="O124" s="2357"/>
      <c r="P124" s="1128"/>
      <c r="Q124" s="372"/>
      <c r="R124" s="2727"/>
      <c r="S124" s="1314">
        <v>400000</v>
      </c>
      <c r="T124" s="2733" t="s">
        <v>0</v>
      </c>
      <c r="U124" s="2501"/>
      <c r="V124" s="372">
        <v>1</v>
      </c>
      <c r="W124" s="2727" t="s">
        <v>4718</v>
      </c>
      <c r="X124" s="1140" t="s">
        <v>1</v>
      </c>
      <c r="Y124" s="406">
        <f>Z124/1000</f>
        <v>400</v>
      </c>
      <c r="Z124" s="1310">
        <f>S124*V124</f>
        <v>400000</v>
      </c>
      <c r="AA124" s="401"/>
      <c r="AB124" s="1091"/>
      <c r="AC124" s="1095"/>
      <c r="AD124" s="2553"/>
    </row>
    <row r="125" spans="1:30" s="2558" customFormat="1" ht="22.5" customHeight="1">
      <c r="A125" s="396"/>
      <c r="B125" s="2652"/>
      <c r="C125" s="397"/>
      <c r="D125" s="1144"/>
      <c r="E125" s="1313" t="s">
        <v>195</v>
      </c>
      <c r="F125" s="697">
        <f t="shared" si="47"/>
        <v>2000</v>
      </c>
      <c r="G125" s="512">
        <v>2000</v>
      </c>
      <c r="H125" s="700"/>
      <c r="I125" s="1333"/>
      <c r="J125" s="2732" t="s">
        <v>4744</v>
      </c>
      <c r="K125" s="1154"/>
      <c r="L125" s="2357"/>
      <c r="M125" s="2357"/>
      <c r="N125" s="2357"/>
      <c r="O125" s="2357"/>
      <c r="P125" s="1128"/>
      <c r="Q125" s="372"/>
      <c r="R125" s="2727"/>
      <c r="S125" s="1314">
        <v>40000</v>
      </c>
      <c r="T125" s="2733" t="s">
        <v>0</v>
      </c>
      <c r="U125" s="2501"/>
      <c r="V125" s="372">
        <v>50</v>
      </c>
      <c r="W125" s="2727" t="s">
        <v>4718</v>
      </c>
      <c r="X125" s="1140" t="s">
        <v>1</v>
      </c>
      <c r="Y125" s="406">
        <f>Z125/1000</f>
        <v>2000</v>
      </c>
      <c r="Z125" s="1310">
        <f>S125*V125</f>
        <v>2000000</v>
      </c>
      <c r="AA125" s="401"/>
      <c r="AB125" s="1091"/>
      <c r="AC125" s="1095"/>
      <c r="AD125" s="2553"/>
    </row>
    <row r="126" spans="1:30" s="2558" customFormat="1" ht="22.5" customHeight="1">
      <c r="A126" s="396"/>
      <c r="B126" s="2652"/>
      <c r="C126" s="397"/>
      <c r="D126" s="1144"/>
      <c r="E126" s="1313" t="s">
        <v>269</v>
      </c>
      <c r="F126" s="697">
        <f t="shared" si="47"/>
        <v>16400</v>
      </c>
      <c r="G126" s="512">
        <v>16400</v>
      </c>
      <c r="H126" s="700"/>
      <c r="I126" s="1333"/>
      <c r="J126" s="2732" t="s">
        <v>4716</v>
      </c>
      <c r="K126" s="2357"/>
      <c r="L126" s="2357"/>
      <c r="M126" s="2357"/>
      <c r="N126" s="2357"/>
      <c r="O126" s="2357"/>
      <c r="P126" s="1128"/>
      <c r="Q126" s="372"/>
      <c r="R126" s="2727"/>
      <c r="S126" s="1314"/>
      <c r="T126" s="344"/>
      <c r="U126" s="2501"/>
      <c r="V126" s="372"/>
      <c r="W126" s="2727"/>
      <c r="X126" s="1140"/>
      <c r="Y126" s="406">
        <f>Z126/1000</f>
        <v>16400</v>
      </c>
      <c r="Z126" s="1310">
        <f>SUM(Z127:Z131)</f>
        <v>16400000</v>
      </c>
      <c r="AA126" s="401"/>
      <c r="AB126" s="1091"/>
      <c r="AC126" s="1095"/>
      <c r="AD126" s="2553"/>
    </row>
    <row r="127" spans="1:30" s="2558" customFormat="1" ht="22.5" customHeight="1">
      <c r="A127" s="396"/>
      <c r="B127" s="2652"/>
      <c r="C127" s="397"/>
      <c r="D127" s="1144"/>
      <c r="E127" s="1313"/>
      <c r="F127" s="697"/>
      <c r="G127" s="512"/>
      <c r="H127" s="700"/>
      <c r="I127" s="1333"/>
      <c r="J127" s="1670" t="s">
        <v>4745</v>
      </c>
      <c r="K127" s="2357" t="s">
        <v>4765</v>
      </c>
      <c r="L127" s="2357"/>
      <c r="M127" s="2357"/>
      <c r="N127" s="2357"/>
      <c r="O127" s="2357"/>
      <c r="P127" s="1128"/>
      <c r="Q127" s="372">
        <v>4</v>
      </c>
      <c r="R127" s="2727" t="s">
        <v>4746</v>
      </c>
      <c r="S127" s="1314">
        <v>400000</v>
      </c>
      <c r="T127" s="344" t="s">
        <v>4747</v>
      </c>
      <c r="U127" s="2501"/>
      <c r="V127" s="372">
        <v>2</v>
      </c>
      <c r="W127" s="2727" t="s">
        <v>4718</v>
      </c>
      <c r="X127" s="1140" t="s">
        <v>1</v>
      </c>
      <c r="Y127" s="406">
        <v>3200</v>
      </c>
      <c r="Z127" s="1310">
        <f t="shared" ref="Z127:Z131" si="48">S127*V127*Q127</f>
        <v>3200000</v>
      </c>
      <c r="AA127" s="401"/>
      <c r="AB127" s="1091"/>
      <c r="AC127" s="1095"/>
      <c r="AD127" s="2553"/>
    </row>
    <row r="128" spans="1:30" s="2558" customFormat="1" ht="22.5" customHeight="1">
      <c r="A128" s="396"/>
      <c r="B128" s="2652"/>
      <c r="C128" s="397"/>
      <c r="D128" s="1144"/>
      <c r="E128" s="1313"/>
      <c r="F128" s="697"/>
      <c r="G128" s="512"/>
      <c r="H128" s="700"/>
      <c r="I128" s="1333"/>
      <c r="J128" s="1670"/>
      <c r="K128" s="2357" t="s">
        <v>4748</v>
      </c>
      <c r="L128" s="2357"/>
      <c r="M128" s="2357"/>
      <c r="N128" s="2357"/>
      <c r="O128" s="2357"/>
      <c r="P128" s="1128"/>
      <c r="Q128" s="372">
        <v>6</v>
      </c>
      <c r="R128" s="2727" t="s">
        <v>4746</v>
      </c>
      <c r="S128" s="1314">
        <v>250000</v>
      </c>
      <c r="T128" s="344" t="s">
        <v>4747</v>
      </c>
      <c r="U128" s="2501"/>
      <c r="V128" s="372">
        <v>1</v>
      </c>
      <c r="W128" s="2727" t="s">
        <v>4717</v>
      </c>
      <c r="X128" s="1140" t="s">
        <v>1</v>
      </c>
      <c r="Y128" s="406">
        <v>1500</v>
      </c>
      <c r="Z128" s="1310">
        <f t="shared" si="48"/>
        <v>1500000</v>
      </c>
      <c r="AA128" s="401"/>
      <c r="AB128" s="1091"/>
      <c r="AC128" s="1095"/>
      <c r="AD128" s="2553"/>
    </row>
    <row r="129" spans="1:30" s="2558" customFormat="1" ht="22.5" customHeight="1">
      <c r="A129" s="396"/>
      <c r="B129" s="2652"/>
      <c r="C129" s="397"/>
      <c r="D129" s="1144"/>
      <c r="E129" s="1313"/>
      <c r="F129" s="873"/>
      <c r="G129" s="512"/>
      <c r="H129" s="700"/>
      <c r="I129" s="1333"/>
      <c r="J129" s="1670"/>
      <c r="K129" s="2357" t="s">
        <v>4749</v>
      </c>
      <c r="L129" s="2357"/>
      <c r="M129" s="2357"/>
      <c r="N129" s="2357"/>
      <c r="O129" s="2357"/>
      <c r="P129" s="1128"/>
      <c r="Q129" s="372">
        <v>4</v>
      </c>
      <c r="R129" s="2727" t="s">
        <v>4746</v>
      </c>
      <c r="S129" s="1314">
        <v>400000</v>
      </c>
      <c r="T129" s="344" t="s">
        <v>4747</v>
      </c>
      <c r="U129" s="2501"/>
      <c r="V129" s="372">
        <v>3</v>
      </c>
      <c r="W129" s="2727" t="s">
        <v>4750</v>
      </c>
      <c r="X129" s="1140" t="s">
        <v>1</v>
      </c>
      <c r="Y129" s="406">
        <v>4800</v>
      </c>
      <c r="Z129" s="1310">
        <f t="shared" si="48"/>
        <v>4800000</v>
      </c>
      <c r="AA129" s="401"/>
      <c r="AB129" s="1091"/>
      <c r="AC129" s="1095"/>
      <c r="AD129" s="2553"/>
    </row>
    <row r="130" spans="1:30" s="2558" customFormat="1" ht="22.5" customHeight="1">
      <c r="A130" s="396"/>
      <c r="B130" s="2652"/>
      <c r="C130" s="397"/>
      <c r="D130" s="1144"/>
      <c r="E130" s="1313"/>
      <c r="F130" s="697"/>
      <c r="G130" s="512"/>
      <c r="H130" s="700"/>
      <c r="I130" s="1333"/>
      <c r="J130" s="1670"/>
      <c r="K130" s="2357" t="s">
        <v>4751</v>
      </c>
      <c r="L130" s="2357"/>
      <c r="M130" s="2357"/>
      <c r="N130" s="2357"/>
      <c r="O130" s="2357"/>
      <c r="P130" s="1128"/>
      <c r="Q130" s="372">
        <v>6</v>
      </c>
      <c r="R130" s="2727" t="s">
        <v>4746</v>
      </c>
      <c r="S130" s="1314">
        <v>250000</v>
      </c>
      <c r="T130" s="344" t="s">
        <v>4747</v>
      </c>
      <c r="U130" s="2501"/>
      <c r="V130" s="372">
        <v>2</v>
      </c>
      <c r="W130" s="2727" t="s">
        <v>4718</v>
      </c>
      <c r="X130" s="1140" t="s">
        <v>1</v>
      </c>
      <c r="Y130" s="406">
        <v>3000</v>
      </c>
      <c r="Z130" s="1310">
        <f t="shared" si="48"/>
        <v>3000000</v>
      </c>
      <c r="AA130" s="401"/>
      <c r="AB130" s="1091"/>
      <c r="AC130" s="1095"/>
      <c r="AD130" s="2553"/>
    </row>
    <row r="131" spans="1:30" s="587" customFormat="1" ht="22.5" customHeight="1">
      <c r="A131" s="1429"/>
      <c r="B131" s="1430"/>
      <c r="C131" s="1431"/>
      <c r="D131" s="1435"/>
      <c r="E131" s="1313"/>
      <c r="F131" s="697"/>
      <c r="G131" s="512"/>
      <c r="H131" s="700"/>
      <c r="I131" s="1333"/>
      <c r="J131" s="1670"/>
      <c r="K131" s="2357" t="s">
        <v>4752</v>
      </c>
      <c r="L131" s="2357"/>
      <c r="M131" s="2357"/>
      <c r="N131" s="2357"/>
      <c r="O131" s="2357"/>
      <c r="P131" s="1128"/>
      <c r="Q131" s="372">
        <v>2</v>
      </c>
      <c r="R131" s="2727" t="s">
        <v>4746</v>
      </c>
      <c r="S131" s="1314">
        <v>65000</v>
      </c>
      <c r="T131" s="344" t="s">
        <v>4747</v>
      </c>
      <c r="U131" s="2501"/>
      <c r="V131" s="372">
        <v>30</v>
      </c>
      <c r="W131" s="2727" t="s">
        <v>4718</v>
      </c>
      <c r="X131" s="1140" t="s">
        <v>1</v>
      </c>
      <c r="Y131" s="406">
        <v>3900</v>
      </c>
      <c r="Z131" s="1310">
        <f t="shared" si="48"/>
        <v>3900000</v>
      </c>
      <c r="AA131" s="1432"/>
      <c r="AB131" s="1433"/>
      <c r="AC131" s="1434"/>
      <c r="AD131" s="586"/>
    </row>
    <row r="132" spans="1:30" s="2558" customFormat="1" ht="22.5" customHeight="1">
      <c r="A132" s="396"/>
      <c r="B132" s="2652"/>
      <c r="C132" s="397"/>
      <c r="D132" s="1144"/>
      <c r="E132" s="1313" t="s">
        <v>287</v>
      </c>
      <c r="F132" s="697">
        <f>Y132</f>
        <v>6800</v>
      </c>
      <c r="G132" s="512">
        <v>6800</v>
      </c>
      <c r="H132" s="700"/>
      <c r="I132" s="1333"/>
      <c r="J132" s="2732" t="s">
        <v>8</v>
      </c>
      <c r="K132" s="2357"/>
      <c r="L132" s="2357"/>
      <c r="M132" s="2357"/>
      <c r="N132" s="2357"/>
      <c r="O132" s="2357"/>
      <c r="P132" s="1128"/>
      <c r="Q132" s="372"/>
      <c r="R132" s="2727"/>
      <c r="S132" s="1314"/>
      <c r="T132" s="344"/>
      <c r="U132" s="2501"/>
      <c r="V132" s="372"/>
      <c r="W132" s="2727"/>
      <c r="X132" s="1140"/>
      <c r="Y132" s="406">
        <f>Z132/1000</f>
        <v>6800</v>
      </c>
      <c r="Z132" s="1310">
        <f>SUM(Z133:Z134)</f>
        <v>6800000</v>
      </c>
      <c r="AA132" s="401"/>
      <c r="AB132" s="1091"/>
      <c r="AC132" s="1095"/>
      <c r="AD132" s="2553"/>
    </row>
    <row r="133" spans="1:30" s="2558" customFormat="1" ht="22.5" customHeight="1">
      <c r="A133" s="396"/>
      <c r="B133" s="2652"/>
      <c r="C133" s="397"/>
      <c r="D133" s="1144"/>
      <c r="E133" s="1313"/>
      <c r="F133" s="697"/>
      <c r="G133" s="512"/>
      <c r="H133" s="700"/>
      <c r="I133" s="1333"/>
      <c r="J133" s="1670"/>
      <c r="K133" s="2357" t="s">
        <v>4753</v>
      </c>
      <c r="L133" s="2357"/>
      <c r="M133" s="2357"/>
      <c r="N133" s="2357"/>
      <c r="O133" s="2357"/>
      <c r="P133" s="1128"/>
      <c r="Q133" s="372"/>
      <c r="R133" s="2727"/>
      <c r="S133" s="1314">
        <v>200000</v>
      </c>
      <c r="T133" s="344" t="s">
        <v>0</v>
      </c>
      <c r="U133" s="2501"/>
      <c r="V133" s="372">
        <v>24</v>
      </c>
      <c r="W133" s="2727" t="s">
        <v>4718</v>
      </c>
      <c r="X133" s="1140" t="s">
        <v>1</v>
      </c>
      <c r="Y133" s="406">
        <v>4800</v>
      </c>
      <c r="Z133" s="1310">
        <f t="shared" ref="Z133:Z134" si="49">S133*V133</f>
        <v>4800000</v>
      </c>
      <c r="AA133" s="401"/>
      <c r="AB133" s="1091"/>
      <c r="AC133" s="1095"/>
      <c r="AD133" s="2553"/>
    </row>
    <row r="134" spans="1:30" s="587" customFormat="1" ht="22.5" customHeight="1">
      <c r="A134" s="1429"/>
      <c r="B134" s="1430"/>
      <c r="C134" s="1431"/>
      <c r="D134" s="1435"/>
      <c r="E134" s="1313"/>
      <c r="F134" s="697"/>
      <c r="G134" s="697"/>
      <c r="H134" s="700"/>
      <c r="I134" s="1707"/>
      <c r="J134" s="1670"/>
      <c r="K134" s="2357" t="s">
        <v>4754</v>
      </c>
      <c r="L134" s="2357"/>
      <c r="M134" s="2357"/>
      <c r="N134" s="2357"/>
      <c r="O134" s="2357"/>
      <c r="P134" s="1128"/>
      <c r="Q134" s="372"/>
      <c r="R134" s="2727"/>
      <c r="S134" s="1314">
        <v>2000000</v>
      </c>
      <c r="T134" s="344" t="s">
        <v>0</v>
      </c>
      <c r="U134" s="2501"/>
      <c r="V134" s="372">
        <v>1</v>
      </c>
      <c r="W134" s="2727" t="s">
        <v>4718</v>
      </c>
      <c r="X134" s="1140" t="s">
        <v>1</v>
      </c>
      <c r="Y134" s="406">
        <v>2000</v>
      </c>
      <c r="Z134" s="1310">
        <f t="shared" si="49"/>
        <v>2000000</v>
      </c>
      <c r="AA134" s="1432"/>
      <c r="AB134" s="1433"/>
      <c r="AC134" s="1434"/>
      <c r="AD134" s="586"/>
    </row>
    <row r="135" spans="1:30" s="587" customFormat="1" ht="22.5" customHeight="1">
      <c r="A135" s="1429"/>
      <c r="B135" s="1430"/>
      <c r="C135" s="1431"/>
      <c r="D135" s="1435"/>
      <c r="E135" s="1313" t="s">
        <v>223</v>
      </c>
      <c r="F135" s="697">
        <f>Y135</f>
        <v>3200</v>
      </c>
      <c r="G135" s="512">
        <v>3200</v>
      </c>
      <c r="H135" s="700"/>
      <c r="I135" s="1333"/>
      <c r="J135" s="2732" t="s">
        <v>8</v>
      </c>
      <c r="K135" s="2357"/>
      <c r="L135" s="2357"/>
      <c r="M135" s="2357"/>
      <c r="N135" s="2357"/>
      <c r="O135" s="2357"/>
      <c r="P135" s="1128"/>
      <c r="Q135" s="372"/>
      <c r="R135" s="2727"/>
      <c r="S135" s="1314"/>
      <c r="T135" s="344"/>
      <c r="U135" s="2501"/>
      <c r="V135" s="372"/>
      <c r="W135" s="2727"/>
      <c r="X135" s="1140"/>
      <c r="Y135" s="406">
        <f>Z135/1000</f>
        <v>3200</v>
      </c>
      <c r="Z135" s="1310">
        <f>SUM(Z136:Z137)</f>
        <v>3200000</v>
      </c>
      <c r="AA135" s="1432"/>
      <c r="AB135" s="1433"/>
      <c r="AC135" s="1434"/>
      <c r="AD135" s="586"/>
    </row>
    <row r="136" spans="1:30" s="587" customFormat="1" ht="22.5" customHeight="1">
      <c r="A136" s="1429"/>
      <c r="B136" s="1430"/>
      <c r="C136" s="1431"/>
      <c r="D136" s="1435"/>
      <c r="E136" s="1313"/>
      <c r="F136" s="873"/>
      <c r="G136" s="512"/>
      <c r="H136" s="700"/>
      <c r="I136" s="1333"/>
      <c r="J136" s="1670"/>
      <c r="K136" s="2357" t="s">
        <v>4755</v>
      </c>
      <c r="L136" s="2357"/>
      <c r="M136" s="2357"/>
      <c r="N136" s="2357"/>
      <c r="O136" s="2357"/>
      <c r="P136" s="1128"/>
      <c r="Q136" s="372"/>
      <c r="R136" s="2727"/>
      <c r="S136" s="1314">
        <v>300000</v>
      </c>
      <c r="T136" s="344" t="s">
        <v>0</v>
      </c>
      <c r="U136" s="2501"/>
      <c r="V136" s="372">
        <v>5</v>
      </c>
      <c r="W136" s="2727" t="s">
        <v>4718</v>
      </c>
      <c r="X136" s="1140" t="s">
        <v>1</v>
      </c>
      <c r="Y136" s="406">
        <v>1500</v>
      </c>
      <c r="Z136" s="1310">
        <f>S136*V136</f>
        <v>1500000</v>
      </c>
      <c r="AA136" s="1432"/>
      <c r="AB136" s="1433"/>
      <c r="AC136" s="1434"/>
      <c r="AD136" s="586"/>
    </row>
    <row r="137" spans="1:30" s="2558" customFormat="1" ht="22.5" customHeight="1">
      <c r="A137" s="396"/>
      <c r="B137" s="2652"/>
      <c r="C137" s="397"/>
      <c r="D137" s="1144"/>
      <c r="E137" s="1313"/>
      <c r="F137" s="873"/>
      <c r="G137" s="512"/>
      <c r="H137" s="700"/>
      <c r="I137" s="1333"/>
      <c r="J137" s="1670"/>
      <c r="K137" s="2357" t="s">
        <v>4756</v>
      </c>
      <c r="L137" s="2357"/>
      <c r="M137" s="2357"/>
      <c r="N137" s="2357"/>
      <c r="O137" s="2357"/>
      <c r="P137" s="1128"/>
      <c r="Q137" s="372"/>
      <c r="R137" s="2727"/>
      <c r="S137" s="1314">
        <v>340000</v>
      </c>
      <c r="T137" s="344" t="s">
        <v>0</v>
      </c>
      <c r="U137" s="2501"/>
      <c r="V137" s="372">
        <v>5</v>
      </c>
      <c r="W137" s="2727" t="s">
        <v>4718</v>
      </c>
      <c r="X137" s="1140" t="s">
        <v>1</v>
      </c>
      <c r="Y137" s="406">
        <v>1700</v>
      </c>
      <c r="Z137" s="1310">
        <f t="shared" ref="Z137:Z146" si="50">S137*V137</f>
        <v>1700000</v>
      </c>
      <c r="AA137" s="401"/>
      <c r="AB137" s="1091"/>
      <c r="AC137" s="1095"/>
      <c r="AD137" s="2553"/>
    </row>
    <row r="138" spans="1:30" s="2558" customFormat="1" ht="22.5" customHeight="1">
      <c r="A138" s="396"/>
      <c r="B138" s="2652"/>
      <c r="C138" s="397"/>
      <c r="D138" s="1144"/>
      <c r="E138" s="1313" t="s">
        <v>222</v>
      </c>
      <c r="F138" s="697">
        <f>Y138</f>
        <v>421200</v>
      </c>
      <c r="G138" s="512">
        <v>421200</v>
      </c>
      <c r="H138" s="700"/>
      <c r="I138" s="1333"/>
      <c r="J138" s="2732" t="s">
        <v>8</v>
      </c>
      <c r="K138" s="2357"/>
      <c r="L138" s="2357"/>
      <c r="M138" s="2357"/>
      <c r="N138" s="2357"/>
      <c r="O138" s="2357"/>
      <c r="P138" s="1128"/>
      <c r="Q138" s="408"/>
      <c r="R138" s="2729"/>
      <c r="S138" s="492"/>
      <c r="T138" s="2727"/>
      <c r="U138" s="2727"/>
      <c r="V138" s="492"/>
      <c r="W138" s="2727"/>
      <c r="X138" s="1140"/>
      <c r="Y138" s="406">
        <f>Z138/1000</f>
        <v>421200</v>
      </c>
      <c r="Z138" s="1310">
        <f>SUM(Z139:Z141)</f>
        <v>421200000</v>
      </c>
      <c r="AA138" s="401"/>
      <c r="AB138" s="1091"/>
      <c r="AC138" s="1095"/>
      <c r="AD138" s="2553"/>
    </row>
    <row r="139" spans="1:30" s="2558" customFormat="1" ht="22.5" customHeight="1">
      <c r="A139" s="396"/>
      <c r="B139" s="2652"/>
      <c r="C139" s="397"/>
      <c r="D139" s="1144"/>
      <c r="E139" s="1134"/>
      <c r="F139" s="697"/>
      <c r="G139" s="512"/>
      <c r="H139" s="700"/>
      <c r="I139" s="1333"/>
      <c r="J139" s="2732"/>
      <c r="K139" s="2727" t="s">
        <v>4757</v>
      </c>
      <c r="L139" s="2727"/>
      <c r="M139" s="2727"/>
      <c r="N139" s="2727"/>
      <c r="O139" s="2727"/>
      <c r="P139" s="2727"/>
      <c r="Q139" s="408"/>
      <c r="R139" s="2730"/>
      <c r="S139" s="1672">
        <v>16500000</v>
      </c>
      <c r="T139" s="344" t="s">
        <v>0</v>
      </c>
      <c r="U139" s="2733"/>
      <c r="V139" s="2733">
        <v>20</v>
      </c>
      <c r="W139" s="2733" t="s">
        <v>4758</v>
      </c>
      <c r="X139" s="1140" t="s">
        <v>1</v>
      </c>
      <c r="Y139" s="406">
        <v>330000</v>
      </c>
      <c r="Z139" s="1310">
        <f t="shared" si="50"/>
        <v>330000000</v>
      </c>
      <c r="AA139" s="401"/>
      <c r="AB139" s="1091"/>
      <c r="AC139" s="1095"/>
      <c r="AD139" s="2553"/>
    </row>
    <row r="140" spans="1:30" s="587" customFormat="1" ht="22.5" customHeight="1">
      <c r="A140" s="1429"/>
      <c r="B140" s="1430"/>
      <c r="C140" s="1431"/>
      <c r="D140" s="1435"/>
      <c r="E140" s="1134"/>
      <c r="F140" s="873"/>
      <c r="G140" s="512"/>
      <c r="H140" s="700"/>
      <c r="I140" s="1333"/>
      <c r="J140" s="2732"/>
      <c r="K140" s="2727" t="s">
        <v>4759</v>
      </c>
      <c r="L140" s="2727"/>
      <c r="M140" s="2727"/>
      <c r="N140" s="2727"/>
      <c r="O140" s="2727"/>
      <c r="P140" s="2727"/>
      <c r="Q140" s="408"/>
      <c r="R140" s="2730"/>
      <c r="S140" s="1672">
        <v>17800000</v>
      </c>
      <c r="T140" s="344" t="s">
        <v>0</v>
      </c>
      <c r="U140" s="2733"/>
      <c r="V140" s="2733">
        <v>4</v>
      </c>
      <c r="W140" s="2733" t="s">
        <v>4758</v>
      </c>
      <c r="X140" s="1140" t="s">
        <v>1</v>
      </c>
      <c r="Y140" s="406">
        <v>71200</v>
      </c>
      <c r="Z140" s="1310">
        <v>71200000</v>
      </c>
      <c r="AA140" s="1432"/>
      <c r="AB140" s="1433"/>
      <c r="AC140" s="1434"/>
      <c r="AD140" s="586"/>
    </row>
    <row r="141" spans="1:30" s="2558" customFormat="1" ht="22.5" customHeight="1">
      <c r="A141" s="396"/>
      <c r="B141" s="2652"/>
      <c r="C141" s="397"/>
      <c r="D141" s="1144"/>
      <c r="E141" s="1134"/>
      <c r="F141" s="873"/>
      <c r="G141" s="512"/>
      <c r="H141" s="700"/>
      <c r="I141" s="1333"/>
      <c r="J141" s="2732"/>
      <c r="K141" s="2727" t="s">
        <v>4760</v>
      </c>
      <c r="L141" s="2727"/>
      <c r="M141" s="2727"/>
      <c r="N141" s="2727"/>
      <c r="O141" s="2727"/>
      <c r="P141" s="2727"/>
      <c r="Q141" s="408"/>
      <c r="R141" s="2729"/>
      <c r="S141" s="1672">
        <v>20000000</v>
      </c>
      <c r="T141" s="344" t="s">
        <v>4747</v>
      </c>
      <c r="U141" s="2733"/>
      <c r="V141" s="2733">
        <v>1</v>
      </c>
      <c r="W141" s="2733" t="s">
        <v>4758</v>
      </c>
      <c r="X141" s="1140" t="s">
        <v>1</v>
      </c>
      <c r="Y141" s="406">
        <v>20000</v>
      </c>
      <c r="Z141" s="1310">
        <f t="shared" si="50"/>
        <v>20000000</v>
      </c>
      <c r="AA141" s="401"/>
      <c r="AB141" s="1091"/>
      <c r="AC141" s="1095"/>
      <c r="AD141" s="2553"/>
    </row>
    <row r="142" spans="1:30" s="2558" customFormat="1" ht="22.5" customHeight="1">
      <c r="A142" s="396"/>
      <c r="B142" s="2652"/>
      <c r="C142" s="397"/>
      <c r="D142" s="1144"/>
      <c r="E142" s="1134" t="s">
        <v>602</v>
      </c>
      <c r="F142" s="697">
        <f>Y142</f>
        <v>15200</v>
      </c>
      <c r="G142" s="512">
        <v>15200</v>
      </c>
      <c r="H142" s="700"/>
      <c r="I142" s="1333"/>
      <c r="J142" s="2732" t="s">
        <v>8</v>
      </c>
      <c r="K142" s="2727"/>
      <c r="L142" s="2727"/>
      <c r="M142" s="2727"/>
      <c r="N142" s="2727"/>
      <c r="O142" s="2727"/>
      <c r="P142" s="2727"/>
      <c r="Q142" s="408"/>
      <c r="R142" s="2729"/>
      <c r="S142" s="1672"/>
      <c r="T142" s="2733"/>
      <c r="U142" s="2733"/>
      <c r="V142" s="2733"/>
      <c r="W142" s="2733"/>
      <c r="X142" s="1140"/>
      <c r="Y142" s="406">
        <f>Z142/1000</f>
        <v>15200</v>
      </c>
      <c r="Z142" s="1310">
        <f>SUM(Z143:Z145)</f>
        <v>15200000</v>
      </c>
      <c r="AA142" s="401"/>
      <c r="AB142" s="1091"/>
      <c r="AC142" s="1095"/>
      <c r="AD142" s="2553"/>
    </row>
    <row r="143" spans="1:30" s="587" customFormat="1" ht="22.5" customHeight="1">
      <c r="A143" s="1429"/>
      <c r="B143" s="1430"/>
      <c r="C143" s="1431"/>
      <c r="D143" s="1435"/>
      <c r="E143" s="1134"/>
      <c r="F143" s="873"/>
      <c r="G143" s="512"/>
      <c r="H143" s="700"/>
      <c r="I143" s="1333"/>
      <c r="J143" s="2732"/>
      <c r="K143" s="2727" t="s">
        <v>4761</v>
      </c>
      <c r="L143" s="2727"/>
      <c r="M143" s="2727"/>
      <c r="N143" s="2727"/>
      <c r="O143" s="2727"/>
      <c r="P143" s="2727"/>
      <c r="Q143" s="408"/>
      <c r="R143" s="2729"/>
      <c r="S143" s="1672">
        <v>2200000</v>
      </c>
      <c r="T143" s="344" t="s">
        <v>4747</v>
      </c>
      <c r="U143" s="2733"/>
      <c r="V143" s="2733">
        <v>5</v>
      </c>
      <c r="W143" s="2733" t="s">
        <v>4718</v>
      </c>
      <c r="X143" s="1140" t="s">
        <v>1</v>
      </c>
      <c r="Y143" s="406">
        <v>11000</v>
      </c>
      <c r="Z143" s="1310">
        <f t="shared" si="50"/>
        <v>11000000</v>
      </c>
      <c r="AA143" s="1432"/>
      <c r="AB143" s="1433"/>
      <c r="AC143" s="1434"/>
      <c r="AD143" s="586"/>
    </row>
    <row r="144" spans="1:30" s="587" customFormat="1" ht="22.5" customHeight="1">
      <c r="A144" s="1429"/>
      <c r="B144" s="1430"/>
      <c r="C144" s="1431"/>
      <c r="D144" s="1435"/>
      <c r="E144" s="1134"/>
      <c r="F144" s="873"/>
      <c r="G144" s="512"/>
      <c r="H144" s="700"/>
      <c r="I144" s="1333"/>
      <c r="J144" s="2732"/>
      <c r="K144" s="2727" t="s">
        <v>4762</v>
      </c>
      <c r="L144" s="2727"/>
      <c r="M144" s="2727"/>
      <c r="N144" s="2727"/>
      <c r="O144" s="2727"/>
      <c r="P144" s="2727"/>
      <c r="Q144" s="408"/>
      <c r="R144" s="2729"/>
      <c r="S144" s="1672">
        <v>300000</v>
      </c>
      <c r="T144" s="344" t="s">
        <v>4747</v>
      </c>
      <c r="U144" s="2733"/>
      <c r="V144" s="2733">
        <v>6</v>
      </c>
      <c r="W144" s="2733" t="s">
        <v>4718</v>
      </c>
      <c r="X144" s="1140" t="s">
        <v>1</v>
      </c>
      <c r="Y144" s="406">
        <v>1800</v>
      </c>
      <c r="Z144" s="1310">
        <f t="shared" si="50"/>
        <v>1800000</v>
      </c>
      <c r="AA144" s="1432"/>
      <c r="AB144" s="1433"/>
      <c r="AC144" s="1434"/>
      <c r="AD144" s="586"/>
    </row>
    <row r="145" spans="1:30" s="587" customFormat="1" ht="22.5" customHeight="1">
      <c r="A145" s="1429"/>
      <c r="B145" s="1430"/>
      <c r="C145" s="1431"/>
      <c r="D145" s="1435"/>
      <c r="E145" s="1134"/>
      <c r="F145" s="873"/>
      <c r="G145" s="512"/>
      <c r="H145" s="700"/>
      <c r="I145" s="1333"/>
      <c r="J145" s="2732"/>
      <c r="K145" s="2727" t="s">
        <v>4763</v>
      </c>
      <c r="L145" s="2727"/>
      <c r="M145" s="2727"/>
      <c r="N145" s="2727"/>
      <c r="O145" s="2727"/>
      <c r="P145" s="2727"/>
      <c r="Q145" s="408"/>
      <c r="R145" s="2729"/>
      <c r="S145" s="1672">
        <v>240000</v>
      </c>
      <c r="T145" s="344" t="s">
        <v>4747</v>
      </c>
      <c r="U145" s="2733"/>
      <c r="V145" s="2733">
        <v>10</v>
      </c>
      <c r="W145" s="2733" t="s">
        <v>4718</v>
      </c>
      <c r="X145" s="1140" t="s">
        <v>1</v>
      </c>
      <c r="Y145" s="406">
        <v>2400</v>
      </c>
      <c r="Z145" s="1310">
        <f t="shared" si="50"/>
        <v>2400000</v>
      </c>
      <c r="AA145" s="1432"/>
      <c r="AB145" s="1433"/>
      <c r="AC145" s="1434"/>
      <c r="AD145" s="586"/>
    </row>
    <row r="146" spans="1:30" s="2558" customFormat="1" ht="22.5" customHeight="1">
      <c r="A146" s="396"/>
      <c r="B146" s="2652"/>
      <c r="C146" s="397"/>
      <c r="D146" s="1144"/>
      <c r="E146" s="1318" t="s">
        <v>271</v>
      </c>
      <c r="F146" s="697">
        <f>Y146</f>
        <v>2800</v>
      </c>
      <c r="G146" s="1149">
        <v>2800</v>
      </c>
      <c r="H146" s="700"/>
      <c r="I146" s="2513"/>
      <c r="J146" s="2939" t="s">
        <v>4764</v>
      </c>
      <c r="K146" s="2992"/>
      <c r="L146" s="2992"/>
      <c r="M146" s="2992"/>
      <c r="N146" s="2992"/>
      <c r="O146" s="2992"/>
      <c r="P146" s="1128"/>
      <c r="Q146" s="372"/>
      <c r="R146" s="2938"/>
      <c r="S146" s="1314">
        <v>100000</v>
      </c>
      <c r="T146" s="344" t="s">
        <v>4747</v>
      </c>
      <c r="U146" s="2501"/>
      <c r="V146" s="372">
        <v>28</v>
      </c>
      <c r="W146" s="2938" t="s">
        <v>4718</v>
      </c>
      <c r="X146" s="1140" t="s">
        <v>1</v>
      </c>
      <c r="Y146" s="406">
        <v>2800</v>
      </c>
      <c r="Z146" s="1310">
        <f t="shared" si="50"/>
        <v>2800000</v>
      </c>
      <c r="AA146" s="401"/>
      <c r="AB146" s="1091"/>
      <c r="AC146" s="1095"/>
      <c r="AD146" s="2553"/>
    </row>
    <row r="147" spans="1:30" s="2558" customFormat="1" ht="22.5" customHeight="1">
      <c r="A147" s="396"/>
      <c r="B147" s="2652"/>
      <c r="C147" s="3271" t="s">
        <v>4000</v>
      </c>
      <c r="D147" s="3271"/>
      <c r="E147" s="3376"/>
      <c r="F147" s="1683">
        <f>F148+F169+F176+F194</f>
        <v>300000</v>
      </c>
      <c r="G147" s="1683">
        <f>G148+G169+G176+G194</f>
        <v>300000</v>
      </c>
      <c r="H147" s="810">
        <f>F147-G147</f>
        <v>0</v>
      </c>
      <c r="I147" s="409"/>
      <c r="J147" s="394"/>
      <c r="K147" s="2921"/>
      <c r="L147" s="2921"/>
      <c r="M147" s="2921"/>
      <c r="N147" s="2921"/>
      <c r="O147" s="2921"/>
      <c r="P147" s="2921"/>
      <c r="Q147" s="2921"/>
      <c r="R147" s="2921"/>
      <c r="S147" s="2921"/>
      <c r="T147" s="2921"/>
      <c r="U147" s="2921"/>
      <c r="V147" s="2921"/>
      <c r="W147" s="2921"/>
      <c r="X147" s="430"/>
      <c r="Y147" s="442"/>
      <c r="Z147" s="440"/>
      <c r="AA147" s="401"/>
      <c r="AB147" s="1091">
        <f>F147</f>
        <v>300000</v>
      </c>
      <c r="AC147" s="1095"/>
      <c r="AD147" s="2553"/>
    </row>
    <row r="148" spans="1:30" s="2558" customFormat="1" ht="22.5" customHeight="1">
      <c r="A148" s="396"/>
      <c r="B148" s="2652"/>
      <c r="C148" s="397"/>
      <c r="D148" s="3312" t="s">
        <v>4001</v>
      </c>
      <c r="E148" s="3313"/>
      <c r="F148" s="1683">
        <f>SUM(F149:F168)</f>
        <v>150000</v>
      </c>
      <c r="G148" s="1683">
        <f>SUM(G149:G168)</f>
        <v>150000</v>
      </c>
      <c r="H148" s="468">
        <f>F148-G148</f>
        <v>0</v>
      </c>
      <c r="I148" s="409"/>
      <c r="J148" s="394"/>
      <c r="K148" s="2598"/>
      <c r="L148" s="2598"/>
      <c r="M148" s="2598"/>
      <c r="N148" s="2598"/>
      <c r="O148" s="2598"/>
      <c r="P148" s="2598"/>
      <c r="Q148" s="2598"/>
      <c r="R148" s="395"/>
      <c r="S148" s="2598"/>
      <c r="T148" s="2598"/>
      <c r="U148" s="2598"/>
      <c r="V148" s="2598"/>
      <c r="W148" s="2598"/>
      <c r="X148" s="430"/>
      <c r="Y148" s="439"/>
      <c r="Z148" s="1411"/>
      <c r="AA148" s="401"/>
      <c r="AB148" s="1091"/>
      <c r="AC148" s="1095"/>
      <c r="AD148" s="2553"/>
    </row>
    <row r="149" spans="1:30" s="2558" customFormat="1" ht="22.5" customHeight="1">
      <c r="A149" s="396"/>
      <c r="B149" s="2652"/>
      <c r="C149" s="397"/>
      <c r="D149" s="402"/>
      <c r="E149" s="934" t="s">
        <v>59</v>
      </c>
      <c r="F149" s="403">
        <f>Y149</f>
        <v>73360</v>
      </c>
      <c r="G149" s="1139">
        <v>73360</v>
      </c>
      <c r="H149" s="700"/>
      <c r="I149" s="409"/>
      <c r="J149" s="2643" t="s">
        <v>194</v>
      </c>
      <c r="K149" s="2624"/>
      <c r="L149" s="2624"/>
      <c r="M149" s="2624"/>
      <c r="N149" s="2624"/>
      <c r="O149" s="2624"/>
      <c r="P149" s="2624"/>
      <c r="Q149" s="408"/>
      <c r="R149" s="2630"/>
      <c r="S149" s="1672"/>
      <c r="T149" s="2644"/>
      <c r="U149" s="2644"/>
      <c r="V149" s="2644"/>
      <c r="W149" s="2644"/>
      <c r="X149" s="1140"/>
      <c r="Y149" s="1674">
        <f>SUM(Y150:Y156)</f>
        <v>73360</v>
      </c>
      <c r="Z149" s="407">
        <f>SUM(Z150:Z156)</f>
        <v>73360000</v>
      </c>
      <c r="AA149" s="401"/>
      <c r="AB149" s="1091"/>
      <c r="AC149" s="1095"/>
      <c r="AD149" s="2553"/>
    </row>
    <row r="150" spans="1:30" s="2558" customFormat="1" ht="22.5" customHeight="1">
      <c r="A150" s="396"/>
      <c r="B150" s="2652"/>
      <c r="C150" s="397"/>
      <c r="D150" s="402"/>
      <c r="E150" s="875"/>
      <c r="F150" s="403"/>
      <c r="G150" s="1139"/>
      <c r="H150" s="404"/>
      <c r="I150" s="409"/>
      <c r="J150" s="2939" t="s">
        <v>4809</v>
      </c>
      <c r="K150" s="2624"/>
      <c r="L150" s="2517"/>
      <c r="M150" s="2517"/>
      <c r="N150" s="2624"/>
      <c r="O150" s="2624"/>
      <c r="P150" s="2518"/>
      <c r="Q150" s="1673">
        <v>1</v>
      </c>
      <c r="R150" s="2628" t="s">
        <v>4003</v>
      </c>
      <c r="S150" s="1672">
        <v>2400000</v>
      </c>
      <c r="T150" s="2644" t="s">
        <v>0</v>
      </c>
      <c r="U150" s="2644"/>
      <c r="V150" s="2644">
        <v>12</v>
      </c>
      <c r="W150" s="2644" t="s">
        <v>4004</v>
      </c>
      <c r="X150" s="1140" t="s">
        <v>3441</v>
      </c>
      <c r="Y150" s="1674">
        <f>Z150/1000</f>
        <v>28800</v>
      </c>
      <c r="Z150" s="407">
        <f>Q150*S150*V150</f>
        <v>28800000</v>
      </c>
      <c r="AA150" s="401"/>
      <c r="AB150" s="1091"/>
      <c r="AC150" s="1095"/>
      <c r="AD150" s="2553"/>
    </row>
    <row r="151" spans="1:30" s="2558" customFormat="1" ht="22.5" customHeight="1">
      <c r="A151" s="396"/>
      <c r="B151" s="2652"/>
      <c r="C151" s="397"/>
      <c r="D151" s="402"/>
      <c r="E151" s="875"/>
      <c r="F151" s="403"/>
      <c r="G151" s="1139"/>
      <c r="H151" s="404"/>
      <c r="I151" s="409"/>
      <c r="J151" s="1670"/>
      <c r="K151" s="2624"/>
      <c r="L151" s="2517"/>
      <c r="M151" s="2517"/>
      <c r="N151" s="2624"/>
      <c r="O151" s="2624"/>
      <c r="P151" s="2518"/>
      <c r="Q151" s="1673">
        <v>1</v>
      </c>
      <c r="R151" s="2628" t="s">
        <v>4003</v>
      </c>
      <c r="S151" s="1672">
        <v>2400000</v>
      </c>
      <c r="T151" s="2644" t="s">
        <v>0</v>
      </c>
      <c r="U151" s="2644"/>
      <c r="V151" s="2644">
        <v>11</v>
      </c>
      <c r="W151" s="2644" t="s">
        <v>4004</v>
      </c>
      <c r="X151" s="1140" t="s">
        <v>3441</v>
      </c>
      <c r="Y151" s="1674">
        <f t="shared" ref="Y151:Y152" si="51">Z151/1000</f>
        <v>26400</v>
      </c>
      <c r="Z151" s="407">
        <f t="shared" ref="Z151:Z152" si="52">Q151*S151*V151</f>
        <v>26400000</v>
      </c>
      <c r="AA151" s="401"/>
      <c r="AB151" s="1091"/>
      <c r="AC151" s="1095"/>
      <c r="AD151" s="2553"/>
    </row>
    <row r="152" spans="1:30" s="2558" customFormat="1" ht="22.5" customHeight="1">
      <c r="A152" s="396"/>
      <c r="B152" s="2652"/>
      <c r="C152" s="397"/>
      <c r="D152" s="402"/>
      <c r="E152" s="875"/>
      <c r="F152" s="403"/>
      <c r="G152" s="1139"/>
      <c r="H152" s="404"/>
      <c r="I152" s="409"/>
      <c r="J152" s="1670" t="s">
        <v>5934</v>
      </c>
      <c r="K152" s="2624"/>
      <c r="L152" s="2517"/>
      <c r="M152" s="2517"/>
      <c r="N152" s="2624"/>
      <c r="O152" s="2624"/>
      <c r="P152" s="2518"/>
      <c r="Q152" s="1673">
        <v>1</v>
      </c>
      <c r="R152" s="2628" t="s">
        <v>4003</v>
      </c>
      <c r="S152" s="1672">
        <v>2400000</v>
      </c>
      <c r="T152" s="2644" t="s">
        <v>0</v>
      </c>
      <c r="U152" s="2644"/>
      <c r="V152" s="2644">
        <v>1</v>
      </c>
      <c r="W152" s="2644" t="s">
        <v>3732</v>
      </c>
      <c r="X152" s="1140" t="s">
        <v>3441</v>
      </c>
      <c r="Y152" s="1674">
        <f t="shared" si="51"/>
        <v>2400</v>
      </c>
      <c r="Z152" s="407">
        <f t="shared" si="52"/>
        <v>2400000</v>
      </c>
      <c r="AA152" s="401"/>
      <c r="AB152" s="1091"/>
      <c r="AC152" s="1095"/>
      <c r="AD152" s="2553"/>
    </row>
    <row r="153" spans="1:30" s="2558" customFormat="1" ht="22.5" customHeight="1">
      <c r="A153" s="396"/>
      <c r="B153" s="2652"/>
      <c r="C153" s="397"/>
      <c r="D153" s="402"/>
      <c r="E153" s="875"/>
      <c r="F153" s="403"/>
      <c r="G153" s="1139"/>
      <c r="H153" s="404"/>
      <c r="I153" s="409"/>
      <c r="J153" s="1670" t="s">
        <v>5935</v>
      </c>
      <c r="K153" s="2624"/>
      <c r="L153" s="2517"/>
      <c r="M153" s="2517"/>
      <c r="N153" s="2624"/>
      <c r="O153" s="2624"/>
      <c r="P153" s="2518"/>
      <c r="Q153" s="1673"/>
      <c r="R153" s="2630"/>
      <c r="S153" s="1672">
        <f>(Z150+Z151)</f>
        <v>55200000</v>
      </c>
      <c r="T153" s="2644" t="s">
        <v>0</v>
      </c>
      <c r="U153" s="2644"/>
      <c r="V153" s="2644">
        <v>10</v>
      </c>
      <c r="W153" s="2644" t="s">
        <v>4007</v>
      </c>
      <c r="X153" s="1140" t="s">
        <v>3441</v>
      </c>
      <c r="Y153" s="1674">
        <f>Z153/1000</f>
        <v>5520</v>
      </c>
      <c r="Z153" s="407">
        <f>S153*10%</f>
        <v>5520000</v>
      </c>
      <c r="AA153" s="401"/>
      <c r="AB153" s="1091"/>
      <c r="AC153" s="1095"/>
      <c r="AD153" s="2553"/>
    </row>
    <row r="154" spans="1:30" s="2558" customFormat="1" ht="22.5" customHeight="1">
      <c r="A154" s="396"/>
      <c r="B154" s="2652"/>
      <c r="C154" s="397"/>
      <c r="D154" s="402"/>
      <c r="E154" s="875"/>
      <c r="F154" s="403"/>
      <c r="G154" s="1139"/>
      <c r="H154" s="404"/>
      <c r="I154" s="409"/>
      <c r="J154" s="1670" t="s">
        <v>5936</v>
      </c>
      <c r="K154" s="2624"/>
      <c r="L154" s="2517"/>
      <c r="M154" s="2517"/>
      <c r="N154" s="2624"/>
      <c r="O154" s="2624"/>
      <c r="P154" s="2518"/>
      <c r="Q154" s="1673">
        <v>2</v>
      </c>
      <c r="R154" s="2630" t="s">
        <v>4003</v>
      </c>
      <c r="S154" s="1672">
        <v>750000</v>
      </c>
      <c r="T154" s="2644" t="s">
        <v>4009</v>
      </c>
      <c r="U154" s="2644"/>
      <c r="V154" s="2644"/>
      <c r="W154" s="2644"/>
      <c r="X154" s="1140" t="s">
        <v>3441</v>
      </c>
      <c r="Y154" s="1674">
        <f>Z154/1000</f>
        <v>1500</v>
      </c>
      <c r="Z154" s="407">
        <f>Q154*S154</f>
        <v>1500000</v>
      </c>
      <c r="AA154" s="401"/>
      <c r="AB154" s="1091"/>
      <c r="AC154" s="1095"/>
      <c r="AD154" s="2553"/>
    </row>
    <row r="155" spans="1:30" s="2558" customFormat="1" ht="22.5" customHeight="1">
      <c r="A155" s="396"/>
      <c r="B155" s="2652"/>
      <c r="C155" s="397"/>
      <c r="D155" s="402"/>
      <c r="E155" s="875"/>
      <c r="F155" s="403"/>
      <c r="G155" s="1139"/>
      <c r="H155" s="404"/>
      <c r="I155" s="409"/>
      <c r="J155" s="1670" t="s">
        <v>5937</v>
      </c>
      <c r="K155" s="2624"/>
      <c r="L155" s="2517"/>
      <c r="M155" s="2517"/>
      <c r="N155" s="2624"/>
      <c r="O155" s="2624"/>
      <c r="P155" s="2518"/>
      <c r="Q155" s="1673">
        <v>2</v>
      </c>
      <c r="R155" s="2630" t="s">
        <v>4003</v>
      </c>
      <c r="S155" s="1672">
        <v>100000</v>
      </c>
      <c r="T155" s="2644" t="s">
        <v>4009</v>
      </c>
      <c r="U155" s="2644"/>
      <c r="V155" s="2644">
        <v>1</v>
      </c>
      <c r="W155" s="2644" t="s">
        <v>3732</v>
      </c>
      <c r="X155" s="1140" t="s">
        <v>3441</v>
      </c>
      <c r="Y155" s="1674">
        <f>Z155/1000</f>
        <v>200</v>
      </c>
      <c r="Z155" s="407">
        <f>Q155*S155*V155</f>
        <v>200000</v>
      </c>
      <c r="AA155" s="401"/>
      <c r="AB155" s="1091"/>
      <c r="AC155" s="1095"/>
      <c r="AD155" s="2553"/>
    </row>
    <row r="156" spans="1:30" s="2558" customFormat="1" ht="22.5" customHeight="1">
      <c r="A156" s="396"/>
      <c r="B156" s="2652"/>
      <c r="C156" s="397"/>
      <c r="D156" s="402"/>
      <c r="E156" s="875"/>
      <c r="F156" s="403"/>
      <c r="G156" s="1139"/>
      <c r="H156" s="404"/>
      <c r="I156" s="409"/>
      <c r="J156" s="1670" t="s">
        <v>5938</v>
      </c>
      <c r="K156" s="2624"/>
      <c r="L156" s="2517"/>
      <c r="M156" s="2517"/>
      <c r="N156" s="2624"/>
      <c r="O156" s="2624"/>
      <c r="P156" s="2518"/>
      <c r="Q156" s="1673">
        <v>4</v>
      </c>
      <c r="R156" s="2630" t="s">
        <v>4003</v>
      </c>
      <c r="S156" s="1672">
        <v>61000</v>
      </c>
      <c r="T156" s="2644" t="s">
        <v>3727</v>
      </c>
      <c r="U156" s="2644"/>
      <c r="V156" s="2644">
        <v>35</v>
      </c>
      <c r="W156" s="2644" t="s">
        <v>3732</v>
      </c>
      <c r="X156" s="1140" t="s">
        <v>3441</v>
      </c>
      <c r="Y156" s="1674">
        <f>Z156/1000</f>
        <v>8540</v>
      </c>
      <c r="Z156" s="407">
        <f>Q156*S156*V156</f>
        <v>8540000</v>
      </c>
      <c r="AA156" s="401"/>
      <c r="AB156" s="1091"/>
      <c r="AC156" s="1095"/>
      <c r="AD156" s="2553"/>
    </row>
    <row r="157" spans="1:30" s="2558" customFormat="1" ht="22.5" customHeight="1">
      <c r="A157" s="396"/>
      <c r="B157" s="2652"/>
      <c r="C157" s="397"/>
      <c r="D157" s="402"/>
      <c r="E157" s="542" t="s">
        <v>4011</v>
      </c>
      <c r="F157" s="403">
        <f>Y157</f>
        <v>2400</v>
      </c>
      <c r="G157" s="1139">
        <v>2400</v>
      </c>
      <c r="H157" s="700"/>
      <c r="I157" s="409"/>
      <c r="J157" s="2643" t="s">
        <v>4012</v>
      </c>
      <c r="K157" s="2644"/>
      <c r="L157" s="2624"/>
      <c r="M157" s="2624"/>
      <c r="N157" s="2624"/>
      <c r="O157" s="2624"/>
      <c r="P157" s="2624"/>
      <c r="Q157" s="408"/>
      <c r="R157" s="2630"/>
      <c r="S157" s="1672">
        <v>200000</v>
      </c>
      <c r="T157" s="2644" t="s">
        <v>0</v>
      </c>
      <c r="U157" s="2644"/>
      <c r="V157" s="2644">
        <v>12</v>
      </c>
      <c r="W157" s="2644" t="s">
        <v>3</v>
      </c>
      <c r="X157" s="1140" t="s">
        <v>1</v>
      </c>
      <c r="Y157" s="1674">
        <f>Z157/1000</f>
        <v>2400</v>
      </c>
      <c r="Z157" s="407">
        <f>S157*V157</f>
        <v>2400000</v>
      </c>
      <c r="AA157" s="401"/>
      <c r="AB157" s="1091"/>
      <c r="AC157" s="1095"/>
      <c r="AD157" s="2553"/>
    </row>
    <row r="158" spans="1:30" s="2558" customFormat="1" ht="22.5" customHeight="1">
      <c r="A158" s="396"/>
      <c r="B158" s="2652"/>
      <c r="C158" s="397"/>
      <c r="D158" s="402"/>
      <c r="E158" s="542" t="s">
        <v>4013</v>
      </c>
      <c r="F158" s="403">
        <f>Y158</f>
        <v>19500</v>
      </c>
      <c r="G158" s="1139">
        <v>19500</v>
      </c>
      <c r="H158" s="700"/>
      <c r="I158" s="409"/>
      <c r="J158" s="2643" t="s">
        <v>3447</v>
      </c>
      <c r="K158" s="2644"/>
      <c r="L158" s="2624"/>
      <c r="M158" s="2624"/>
      <c r="N158" s="1673" t="s">
        <v>19</v>
      </c>
      <c r="O158" s="2624" t="s">
        <v>19</v>
      </c>
      <c r="P158" s="2624"/>
      <c r="Q158" s="408"/>
      <c r="R158" s="2628"/>
      <c r="S158" s="1672"/>
      <c r="T158" s="2644"/>
      <c r="U158" s="2644"/>
      <c r="V158" s="2644"/>
      <c r="W158" s="2644"/>
      <c r="X158" s="1140"/>
      <c r="Y158" s="1674">
        <f>SUM(Y159:Y160)</f>
        <v>19500</v>
      </c>
      <c r="Z158" s="407">
        <f>SUM(Z159:Z160)</f>
        <v>19500000</v>
      </c>
      <c r="AA158" s="401"/>
      <c r="AB158" s="1091"/>
      <c r="AC158" s="1095"/>
      <c r="AD158" s="2553"/>
    </row>
    <row r="159" spans="1:30" s="2558" customFormat="1" ht="22.5" customHeight="1">
      <c r="A159" s="396"/>
      <c r="B159" s="2652"/>
      <c r="C159" s="397"/>
      <c r="D159" s="402"/>
      <c r="E159" s="542"/>
      <c r="F159" s="403"/>
      <c r="G159" s="337"/>
      <c r="H159" s="404"/>
      <c r="I159" s="409"/>
      <c r="J159" s="2939" t="s">
        <v>5929</v>
      </c>
      <c r="K159" s="2644"/>
      <c r="L159" s="2624"/>
      <c r="M159" s="2624"/>
      <c r="N159" s="1673"/>
      <c r="O159" s="2624"/>
      <c r="P159" s="2624"/>
      <c r="Q159" s="408">
        <v>500</v>
      </c>
      <c r="R159" s="2628" t="s">
        <v>4014</v>
      </c>
      <c r="S159" s="1672">
        <v>10000</v>
      </c>
      <c r="T159" s="2644" t="s">
        <v>3727</v>
      </c>
      <c r="U159" s="2644"/>
      <c r="V159" s="2644">
        <v>3</v>
      </c>
      <c r="W159" s="2644" t="s">
        <v>3732</v>
      </c>
      <c r="X159" s="1140" t="s">
        <v>3441</v>
      </c>
      <c r="Y159" s="1674">
        <f>Z159/1000</f>
        <v>15000</v>
      </c>
      <c r="Z159" s="407">
        <f>Q159*S159*V159</f>
        <v>15000000</v>
      </c>
      <c r="AA159" s="401"/>
      <c r="AB159" s="1091"/>
      <c r="AC159" s="1095"/>
      <c r="AD159" s="2553"/>
    </row>
    <row r="160" spans="1:30" s="2558" customFormat="1" ht="22.5" customHeight="1">
      <c r="A160" s="396"/>
      <c r="B160" s="2652"/>
      <c r="C160" s="397"/>
      <c r="D160" s="402"/>
      <c r="E160" s="1134"/>
      <c r="F160" s="403"/>
      <c r="G160" s="337"/>
      <c r="H160" s="404"/>
      <c r="I160" s="409"/>
      <c r="J160" s="2939" t="s">
        <v>5930</v>
      </c>
      <c r="K160" s="2624"/>
      <c r="L160" s="2624"/>
      <c r="M160" s="2624"/>
      <c r="N160" s="2624"/>
      <c r="O160" s="2624"/>
      <c r="P160" s="2624"/>
      <c r="Q160" s="1673"/>
      <c r="R160" s="405"/>
      <c r="S160" s="1673">
        <v>450000</v>
      </c>
      <c r="T160" s="2624" t="s">
        <v>3727</v>
      </c>
      <c r="U160" s="2624"/>
      <c r="V160" s="1673">
        <v>10</v>
      </c>
      <c r="W160" s="2624" t="s">
        <v>3732</v>
      </c>
      <c r="X160" s="1140" t="s">
        <v>3441</v>
      </c>
      <c r="Y160" s="1674">
        <f>Z160/1000</f>
        <v>4500</v>
      </c>
      <c r="Z160" s="407">
        <f>S160*V160</f>
        <v>4500000</v>
      </c>
      <c r="AA160" s="401"/>
      <c r="AB160" s="1091"/>
      <c r="AC160" s="1095"/>
      <c r="AD160" s="980"/>
    </row>
    <row r="161" spans="1:30" s="2558" customFormat="1" ht="22.5" customHeight="1">
      <c r="A161" s="396"/>
      <c r="B161" s="2652"/>
      <c r="C161" s="397"/>
      <c r="D161" s="402"/>
      <c r="E161" s="1134" t="s">
        <v>4015</v>
      </c>
      <c r="F161" s="403">
        <f>Y161</f>
        <v>3600</v>
      </c>
      <c r="G161" s="337">
        <v>3600</v>
      </c>
      <c r="H161" s="700"/>
      <c r="I161" s="409"/>
      <c r="J161" s="2643" t="s">
        <v>4016</v>
      </c>
      <c r="K161" s="2624"/>
      <c r="L161" s="2624"/>
      <c r="M161" s="2624"/>
      <c r="N161" s="2624"/>
      <c r="O161" s="2624"/>
      <c r="P161" s="2624"/>
      <c r="Q161" s="408"/>
      <c r="R161" s="2628"/>
      <c r="S161" s="1672">
        <v>300000</v>
      </c>
      <c r="T161" s="2644" t="s">
        <v>0</v>
      </c>
      <c r="U161" s="2644"/>
      <c r="V161" s="2644">
        <v>12</v>
      </c>
      <c r="W161" s="2644" t="s">
        <v>4004</v>
      </c>
      <c r="X161" s="1140" t="s">
        <v>1</v>
      </c>
      <c r="Y161" s="1674">
        <f t="shared" ref="Y161:Y168" si="53">Z161/1000</f>
        <v>3600</v>
      </c>
      <c r="Z161" s="407">
        <f>S161*V161</f>
        <v>3600000</v>
      </c>
      <c r="AA161" s="401"/>
      <c r="AB161" s="1091"/>
      <c r="AC161" s="1095"/>
      <c r="AD161" s="2553"/>
    </row>
    <row r="162" spans="1:30" s="2558" customFormat="1" ht="19.899999999999999" customHeight="1">
      <c r="A162" s="396"/>
      <c r="B162" s="2652"/>
      <c r="C162" s="397"/>
      <c r="D162" s="402"/>
      <c r="E162" s="1134" t="s">
        <v>4017</v>
      </c>
      <c r="F162" s="403">
        <f>Y161</f>
        <v>3600</v>
      </c>
      <c r="G162" s="337">
        <v>3600</v>
      </c>
      <c r="H162" s="700"/>
      <c r="I162" s="409"/>
      <c r="J162" s="2643" t="s">
        <v>4018</v>
      </c>
      <c r="K162" s="2624"/>
      <c r="L162" s="2624"/>
      <c r="M162" s="2624"/>
      <c r="N162" s="2624"/>
      <c r="O162" s="2624"/>
      <c r="P162" s="2624"/>
      <c r="Q162" s="408">
        <v>3</v>
      </c>
      <c r="R162" s="2628" t="s">
        <v>4003</v>
      </c>
      <c r="S162" s="1672">
        <v>40000</v>
      </c>
      <c r="T162" s="2644" t="s">
        <v>0</v>
      </c>
      <c r="U162" s="2644"/>
      <c r="V162" s="2644">
        <v>30</v>
      </c>
      <c r="W162" s="2644" t="s">
        <v>3</v>
      </c>
      <c r="X162" s="1140" t="s">
        <v>1</v>
      </c>
      <c r="Y162" s="1674">
        <f t="shared" si="53"/>
        <v>3600</v>
      </c>
      <c r="Z162" s="407">
        <f>Q162*S162*V162</f>
        <v>3600000</v>
      </c>
      <c r="AA162" s="401"/>
      <c r="AB162" s="1091"/>
      <c r="AC162" s="1095"/>
      <c r="AD162" s="2553"/>
    </row>
    <row r="163" spans="1:30" s="2558" customFormat="1" ht="19.899999999999999" customHeight="1">
      <c r="A163" s="396"/>
      <c r="B163" s="2652"/>
      <c r="C163" s="397"/>
      <c r="D163" s="402"/>
      <c r="E163" s="1134" t="s">
        <v>3729</v>
      </c>
      <c r="F163" s="403">
        <f>Y163</f>
        <v>1500</v>
      </c>
      <c r="G163" s="337">
        <v>1500</v>
      </c>
      <c r="H163" s="700"/>
      <c r="I163" s="409"/>
      <c r="J163" s="2643" t="s">
        <v>4019</v>
      </c>
      <c r="K163" s="2644"/>
      <c r="L163" s="2624"/>
      <c r="M163" s="2624"/>
      <c r="N163" s="2624"/>
      <c r="O163" s="2624"/>
      <c r="P163" s="2624"/>
      <c r="Q163" s="408"/>
      <c r="R163" s="2630"/>
      <c r="S163" s="1672">
        <v>250000</v>
      </c>
      <c r="T163" s="2644" t="s">
        <v>3727</v>
      </c>
      <c r="U163" s="2644"/>
      <c r="V163" s="2644">
        <v>6</v>
      </c>
      <c r="W163" s="2644" t="s">
        <v>4004</v>
      </c>
      <c r="X163" s="1140" t="s">
        <v>3441</v>
      </c>
      <c r="Y163" s="1674">
        <f t="shared" si="53"/>
        <v>1500</v>
      </c>
      <c r="Z163" s="407">
        <f>S163*V163</f>
        <v>1500000</v>
      </c>
      <c r="AA163" s="401"/>
      <c r="AB163" s="1091"/>
      <c r="AC163" s="1095"/>
      <c r="AD163" s="2553"/>
    </row>
    <row r="164" spans="1:30" s="2558" customFormat="1" ht="19.899999999999999" customHeight="1">
      <c r="A164" s="396"/>
      <c r="B164" s="2652"/>
      <c r="C164" s="397"/>
      <c r="D164" s="402"/>
      <c r="E164" s="1134" t="s">
        <v>3740</v>
      </c>
      <c r="F164" s="403">
        <f>Y164</f>
        <v>45000</v>
      </c>
      <c r="G164" s="337">
        <v>45000</v>
      </c>
      <c r="H164" s="700"/>
      <c r="I164" s="409"/>
      <c r="J164" s="2643" t="s">
        <v>3447</v>
      </c>
      <c r="K164" s="2644"/>
      <c r="L164" s="2624"/>
      <c r="M164" s="2624"/>
      <c r="N164" s="1673"/>
      <c r="O164" s="2624"/>
      <c r="P164" s="2624"/>
      <c r="Q164" s="408"/>
      <c r="R164" s="2630"/>
      <c r="S164" s="1672"/>
      <c r="T164" s="2644"/>
      <c r="U164" s="2644"/>
      <c r="V164" s="2644"/>
      <c r="W164" s="2644"/>
      <c r="X164" s="1140"/>
      <c r="Y164" s="1674">
        <f>SUM(Y165:Y167)</f>
        <v>45000</v>
      </c>
      <c r="Z164" s="407">
        <f>SUM(Z165:Z167)</f>
        <v>45000000</v>
      </c>
      <c r="AA164" s="401"/>
      <c r="AB164" s="1091"/>
      <c r="AC164" s="1095"/>
      <c r="AD164" s="2553"/>
    </row>
    <row r="165" spans="1:30" s="2558" customFormat="1" ht="19.899999999999999" customHeight="1">
      <c r="A165" s="396"/>
      <c r="B165" s="2652"/>
      <c r="C165" s="397"/>
      <c r="D165" s="402"/>
      <c r="E165" s="1134"/>
      <c r="F165" s="403"/>
      <c r="G165" s="337"/>
      <c r="H165" s="404"/>
      <c r="I165" s="409"/>
      <c r="J165" s="2939" t="s">
        <v>5931</v>
      </c>
      <c r="K165" s="2644"/>
      <c r="L165" s="2624"/>
      <c r="M165" s="2624"/>
      <c r="N165" s="1673"/>
      <c r="O165" s="2624"/>
      <c r="P165" s="2624"/>
      <c r="Q165" s="408"/>
      <c r="R165" s="2630"/>
      <c r="S165" s="1672">
        <v>20000000</v>
      </c>
      <c r="T165" s="2644" t="s">
        <v>0</v>
      </c>
      <c r="U165" s="2644"/>
      <c r="V165" s="2644">
        <v>1</v>
      </c>
      <c r="W165" s="2644" t="s">
        <v>3440</v>
      </c>
      <c r="X165" s="1140" t="s">
        <v>1</v>
      </c>
      <c r="Y165" s="1674">
        <f t="shared" ref="Y165" si="54">Z165/1000</f>
        <v>20000</v>
      </c>
      <c r="Z165" s="407">
        <f>S165*V165</f>
        <v>20000000</v>
      </c>
      <c r="AA165" s="401"/>
      <c r="AB165" s="1091"/>
      <c r="AC165" s="1095"/>
      <c r="AD165" s="2553"/>
    </row>
    <row r="166" spans="1:30" s="2558" customFormat="1" ht="19.899999999999999" customHeight="1">
      <c r="A166" s="396"/>
      <c r="B166" s="2652"/>
      <c r="C166" s="397"/>
      <c r="D166" s="465"/>
      <c r="E166" s="1134"/>
      <c r="F166" s="403"/>
      <c r="G166" s="337"/>
      <c r="H166" s="404"/>
      <c r="I166" s="409"/>
      <c r="J166" s="2939" t="s">
        <v>5932</v>
      </c>
      <c r="K166" s="2644"/>
      <c r="L166" s="2624"/>
      <c r="M166" s="2624"/>
      <c r="N166" s="1673"/>
      <c r="O166" s="2624"/>
      <c r="P166" s="2624"/>
      <c r="Q166" s="408"/>
      <c r="R166" s="2630"/>
      <c r="S166" s="1672">
        <v>15000000</v>
      </c>
      <c r="T166" s="2644" t="s">
        <v>0</v>
      </c>
      <c r="U166" s="2644"/>
      <c r="V166" s="2644">
        <v>1</v>
      </c>
      <c r="W166" s="2644" t="s">
        <v>3440</v>
      </c>
      <c r="X166" s="1140" t="s">
        <v>1</v>
      </c>
      <c r="Y166" s="1674">
        <f t="shared" si="53"/>
        <v>15000</v>
      </c>
      <c r="Z166" s="407">
        <f>S166*V166</f>
        <v>15000000</v>
      </c>
      <c r="AA166" s="401"/>
      <c r="AB166" s="1091"/>
      <c r="AC166" s="1095"/>
      <c r="AD166" s="2553"/>
    </row>
    <row r="167" spans="1:30" s="2558" customFormat="1" ht="19.899999999999999" customHeight="1">
      <c r="A167" s="396"/>
      <c r="B167" s="2652"/>
      <c r="C167" s="397"/>
      <c r="D167" s="402"/>
      <c r="E167" s="1134"/>
      <c r="F167" s="403"/>
      <c r="G167" s="337"/>
      <c r="H167" s="404"/>
      <c r="I167" s="409"/>
      <c r="J167" s="2939" t="s">
        <v>5933</v>
      </c>
      <c r="K167" s="2644"/>
      <c r="L167" s="2624"/>
      <c r="M167" s="2624"/>
      <c r="N167" s="1673"/>
      <c r="O167" s="2624"/>
      <c r="P167" s="2624"/>
      <c r="Q167" s="408"/>
      <c r="R167" s="2630"/>
      <c r="S167" s="1672">
        <v>1000000</v>
      </c>
      <c r="T167" s="2644" t="s">
        <v>0</v>
      </c>
      <c r="U167" s="2644"/>
      <c r="V167" s="2644">
        <v>10</v>
      </c>
      <c r="W167" s="2644" t="s">
        <v>3</v>
      </c>
      <c r="X167" s="1140" t="s">
        <v>1</v>
      </c>
      <c r="Y167" s="1674">
        <f t="shared" si="53"/>
        <v>10000</v>
      </c>
      <c r="Z167" s="407">
        <f>S167*V167</f>
        <v>10000000</v>
      </c>
      <c r="AA167" s="401"/>
      <c r="AB167" s="1091"/>
      <c r="AC167" s="1095"/>
      <c r="AD167" s="2553"/>
    </row>
    <row r="168" spans="1:30" s="2558" customFormat="1" ht="19.899999999999999" customHeight="1">
      <c r="A168" s="396"/>
      <c r="B168" s="2652"/>
      <c r="C168" s="397"/>
      <c r="D168" s="402"/>
      <c r="E168" s="2622" t="s">
        <v>3456</v>
      </c>
      <c r="F168" s="403">
        <f>Y168</f>
        <v>1040</v>
      </c>
      <c r="G168" s="337">
        <v>1040</v>
      </c>
      <c r="H168" s="700"/>
      <c r="I168" s="409"/>
      <c r="J168" s="1627" t="s">
        <v>4020</v>
      </c>
      <c r="K168" s="459"/>
      <c r="L168" s="2619"/>
      <c r="M168" s="2619"/>
      <c r="N168" s="368"/>
      <c r="O168" s="2619"/>
      <c r="P168" s="2619"/>
      <c r="Q168" s="456"/>
      <c r="R168" s="457"/>
      <c r="S168" s="458">
        <v>52000</v>
      </c>
      <c r="T168" s="459" t="s">
        <v>0</v>
      </c>
      <c r="U168" s="459"/>
      <c r="V168" s="459">
        <v>20</v>
      </c>
      <c r="W168" s="459" t="s">
        <v>3</v>
      </c>
      <c r="X168" s="460" t="s">
        <v>1</v>
      </c>
      <c r="Y168" s="345">
        <f t="shared" si="53"/>
        <v>1040</v>
      </c>
      <c r="Z168" s="400">
        <f>S168*V168</f>
        <v>1040000</v>
      </c>
      <c r="AA168" s="401"/>
      <c r="AB168" s="1091"/>
      <c r="AC168" s="1095"/>
      <c r="AD168" s="2553"/>
    </row>
    <row r="169" spans="1:30" s="2558" customFormat="1" ht="21.95" customHeight="1">
      <c r="A169" s="396"/>
      <c r="B169" s="2652"/>
      <c r="C169" s="397"/>
      <c r="D169" s="3275" t="s">
        <v>4021</v>
      </c>
      <c r="E169" s="3276"/>
      <c r="F169" s="1683">
        <f>SUM(F170:F175)</f>
        <v>39400</v>
      </c>
      <c r="G169" s="1683">
        <f>SUM(G170:G175)</f>
        <v>39400</v>
      </c>
      <c r="H169" s="468">
        <f>F169-G169</f>
        <v>0</v>
      </c>
      <c r="I169" s="409"/>
      <c r="J169" s="394"/>
      <c r="K169" s="2598"/>
      <c r="L169" s="2598"/>
      <c r="M169" s="2598"/>
      <c r="N169" s="2598"/>
      <c r="O169" s="2598"/>
      <c r="P169" s="2598"/>
      <c r="Q169" s="2598"/>
      <c r="R169" s="395"/>
      <c r="S169" s="2598"/>
      <c r="T169" s="2598"/>
      <c r="U169" s="2598"/>
      <c r="V169" s="2598"/>
      <c r="W169" s="2598"/>
      <c r="X169" s="430"/>
      <c r="Y169" s="439"/>
      <c r="Z169" s="1411"/>
      <c r="AA169" s="401"/>
      <c r="AB169" s="1091"/>
      <c r="AC169" s="1095"/>
      <c r="AD169" s="2553"/>
    </row>
    <row r="170" spans="1:30" s="2558" customFormat="1" ht="21.95" customHeight="1">
      <c r="A170" s="396"/>
      <c r="B170" s="2652"/>
      <c r="C170" s="397"/>
      <c r="D170" s="1131"/>
      <c r="E170" s="1134" t="s">
        <v>4022</v>
      </c>
      <c r="F170" s="403">
        <f>Y170</f>
        <v>3400</v>
      </c>
      <c r="G170" s="1139">
        <v>3400</v>
      </c>
      <c r="H170" s="700"/>
      <c r="I170" s="409"/>
      <c r="J170" s="2643" t="s">
        <v>3447</v>
      </c>
      <c r="K170" s="2624"/>
      <c r="L170" s="2624"/>
      <c r="M170" s="2624"/>
      <c r="N170" s="2624"/>
      <c r="O170" s="2624"/>
      <c r="P170" s="2624"/>
      <c r="Q170" s="408"/>
      <c r="R170" s="2628"/>
      <c r="S170" s="1672"/>
      <c r="T170" s="2644"/>
      <c r="U170" s="2644"/>
      <c r="V170" s="2644"/>
      <c r="W170" s="2644"/>
      <c r="X170" s="1140"/>
      <c r="Y170" s="1674">
        <f t="shared" ref="Y170:Y171" si="55">Z170/1000</f>
        <v>3400</v>
      </c>
      <c r="Z170" s="407">
        <f>SUM(Z171:Z172)</f>
        <v>3400000</v>
      </c>
      <c r="AA170" s="401"/>
      <c r="AB170" s="1091"/>
      <c r="AC170" s="1095"/>
      <c r="AD170" s="2553"/>
    </row>
    <row r="171" spans="1:30" s="2558" customFormat="1" ht="21.95" customHeight="1">
      <c r="A171" s="396"/>
      <c r="B171" s="2652"/>
      <c r="C171" s="397"/>
      <c r="D171" s="1126"/>
      <c r="E171" s="1134"/>
      <c r="F171" s="403"/>
      <c r="G171" s="337"/>
      <c r="H171" s="404"/>
      <c r="I171" s="409"/>
      <c r="J171" s="2939" t="s">
        <v>5928</v>
      </c>
      <c r="K171" s="2644"/>
      <c r="L171" s="2624"/>
      <c r="M171" s="2624"/>
      <c r="N171" s="2624"/>
      <c r="O171" s="2624"/>
      <c r="P171" s="2624"/>
      <c r="Q171" s="408">
        <v>4</v>
      </c>
      <c r="R171" s="2630" t="s">
        <v>4003</v>
      </c>
      <c r="S171" s="1672">
        <v>300000</v>
      </c>
      <c r="T171" s="2644" t="s">
        <v>0</v>
      </c>
      <c r="U171" s="2644"/>
      <c r="V171" s="2644">
        <v>2</v>
      </c>
      <c r="W171" s="2644" t="s">
        <v>3</v>
      </c>
      <c r="X171" s="1140" t="s">
        <v>3441</v>
      </c>
      <c r="Y171" s="1674">
        <f t="shared" si="55"/>
        <v>2400</v>
      </c>
      <c r="Z171" s="407">
        <f>Q171*S171*V171</f>
        <v>2400000</v>
      </c>
      <c r="AA171" s="401"/>
      <c r="AB171" s="1091"/>
      <c r="AC171" s="1095"/>
      <c r="AD171" s="2553"/>
    </row>
    <row r="172" spans="1:30" s="2558" customFormat="1" ht="21.95" customHeight="1">
      <c r="A172" s="396"/>
      <c r="B172" s="2652"/>
      <c r="C172" s="397"/>
      <c r="D172" s="1126"/>
      <c r="E172" s="1134"/>
      <c r="F172" s="403"/>
      <c r="G172" s="337"/>
      <c r="H172" s="404"/>
      <c r="I172" s="409"/>
      <c r="J172" s="2939" t="s">
        <v>5918</v>
      </c>
      <c r="K172" s="2644"/>
      <c r="L172" s="2624"/>
      <c r="M172" s="2624"/>
      <c r="N172" s="1673"/>
      <c r="O172" s="2624"/>
      <c r="P172" s="2624"/>
      <c r="Q172" s="408"/>
      <c r="R172" s="2630"/>
      <c r="S172" s="1672">
        <v>200000</v>
      </c>
      <c r="T172" s="2644" t="s">
        <v>0</v>
      </c>
      <c r="U172" s="2644"/>
      <c r="V172" s="2644">
        <v>5</v>
      </c>
      <c r="W172" s="2644" t="s">
        <v>3732</v>
      </c>
      <c r="X172" s="1140" t="s">
        <v>1</v>
      </c>
      <c r="Y172" s="1674">
        <f>Z172/1000</f>
        <v>1000</v>
      </c>
      <c r="Z172" s="407">
        <f>S172*V172</f>
        <v>1000000</v>
      </c>
      <c r="AA172" s="401"/>
      <c r="AB172" s="1091"/>
      <c r="AC172" s="1095"/>
      <c r="AD172" s="2553"/>
    </row>
    <row r="173" spans="1:30" s="2558" customFormat="1" ht="21.95" customHeight="1">
      <c r="A173" s="396"/>
      <c r="B173" s="2652"/>
      <c r="C173" s="397"/>
      <c r="D173" s="1126"/>
      <c r="E173" s="1134" t="s">
        <v>4023</v>
      </c>
      <c r="F173" s="403">
        <f>Y173</f>
        <v>30000</v>
      </c>
      <c r="G173" s="337">
        <v>30000</v>
      </c>
      <c r="H173" s="700"/>
      <c r="I173" s="409"/>
      <c r="J173" s="2643" t="s">
        <v>4024</v>
      </c>
      <c r="K173" s="2644"/>
      <c r="L173" s="2624"/>
      <c r="M173" s="2624"/>
      <c r="N173" s="1673"/>
      <c r="O173" s="2624"/>
      <c r="P173" s="2624"/>
      <c r="Q173" s="408"/>
      <c r="R173" s="2630"/>
      <c r="S173" s="1672">
        <v>6000000</v>
      </c>
      <c r="T173" s="2644" t="s">
        <v>3727</v>
      </c>
      <c r="U173" s="2644"/>
      <c r="V173" s="2644">
        <v>5</v>
      </c>
      <c r="W173" s="2644" t="s">
        <v>4025</v>
      </c>
      <c r="X173" s="1140" t="s">
        <v>3441</v>
      </c>
      <c r="Y173" s="1674">
        <f t="shared" ref="Y173:Y175" si="56">Z173/1000</f>
        <v>30000</v>
      </c>
      <c r="Z173" s="407">
        <f t="shared" ref="Z173" si="57">S173*V173</f>
        <v>30000000</v>
      </c>
      <c r="AA173" s="401"/>
      <c r="AB173" s="1091"/>
      <c r="AC173" s="1095"/>
      <c r="AD173" s="2553"/>
    </row>
    <row r="174" spans="1:30" s="2558" customFormat="1" ht="21.95" customHeight="1">
      <c r="A174" s="396"/>
      <c r="B174" s="2652"/>
      <c r="C174" s="397"/>
      <c r="D174" s="1131"/>
      <c r="E174" s="402" t="s">
        <v>4026</v>
      </c>
      <c r="F174" s="403">
        <f>Y174</f>
        <v>4000</v>
      </c>
      <c r="G174" s="337">
        <v>4000</v>
      </c>
      <c r="H174" s="700"/>
      <c r="I174" s="409"/>
      <c r="J174" s="2643" t="s">
        <v>4027</v>
      </c>
      <c r="K174" s="2644"/>
      <c r="L174" s="2624"/>
      <c r="M174" s="2624"/>
      <c r="N174" s="1673"/>
      <c r="O174" s="2624"/>
      <c r="P174" s="2624"/>
      <c r="Q174" s="408"/>
      <c r="R174" s="2630"/>
      <c r="S174" s="1672">
        <v>2000000</v>
      </c>
      <c r="T174" s="2644" t="s">
        <v>0</v>
      </c>
      <c r="U174" s="2644"/>
      <c r="V174" s="2644">
        <v>2</v>
      </c>
      <c r="W174" s="2644" t="s">
        <v>3732</v>
      </c>
      <c r="X174" s="1140" t="s">
        <v>3441</v>
      </c>
      <c r="Y174" s="1674">
        <f t="shared" si="56"/>
        <v>4000</v>
      </c>
      <c r="Z174" s="407">
        <f>S174*V174</f>
        <v>4000000</v>
      </c>
      <c r="AA174" s="401"/>
      <c r="AB174" s="1091"/>
      <c r="AC174" s="1095"/>
      <c r="AD174" s="2553"/>
    </row>
    <row r="175" spans="1:30" s="2558" customFormat="1" ht="21.95" customHeight="1">
      <c r="A175" s="396"/>
      <c r="B175" s="2652"/>
      <c r="C175" s="397"/>
      <c r="D175" s="1126"/>
      <c r="E175" s="855" t="s">
        <v>4028</v>
      </c>
      <c r="F175" s="403">
        <f>Y175</f>
        <v>2000</v>
      </c>
      <c r="G175" s="337">
        <v>2000</v>
      </c>
      <c r="H175" s="700"/>
      <c r="I175" s="409"/>
      <c r="J175" s="1627" t="s">
        <v>4029</v>
      </c>
      <c r="K175" s="459"/>
      <c r="L175" s="2619"/>
      <c r="M175" s="2619"/>
      <c r="N175" s="368"/>
      <c r="O175" s="2619"/>
      <c r="P175" s="2619"/>
      <c r="Q175" s="456"/>
      <c r="R175" s="457"/>
      <c r="S175" s="458">
        <v>100000</v>
      </c>
      <c r="T175" s="459" t="s">
        <v>3727</v>
      </c>
      <c r="U175" s="459"/>
      <c r="V175" s="459">
        <v>20</v>
      </c>
      <c r="W175" s="459" t="s">
        <v>3732</v>
      </c>
      <c r="X175" s="460" t="s">
        <v>3441</v>
      </c>
      <c r="Y175" s="345">
        <f t="shared" si="56"/>
        <v>2000</v>
      </c>
      <c r="Z175" s="400">
        <f t="shared" ref="Z175" si="58">S175*V175</f>
        <v>2000000</v>
      </c>
      <c r="AA175" s="401"/>
      <c r="AB175" s="1091"/>
      <c r="AC175" s="1095"/>
      <c r="AD175" s="2553"/>
    </row>
    <row r="176" spans="1:30" s="2558" customFormat="1" ht="21.95" customHeight="1">
      <c r="A176" s="396"/>
      <c r="B176" s="2652"/>
      <c r="C176" s="1110"/>
      <c r="D176" s="3275" t="s">
        <v>4030</v>
      </c>
      <c r="E176" s="3276"/>
      <c r="F176" s="1683">
        <f>SUM(F177:F193)</f>
        <v>102000</v>
      </c>
      <c r="G176" s="1683">
        <f>SUM(G177:G193)</f>
        <v>102000</v>
      </c>
      <c r="H176" s="468">
        <f>F176-G176</f>
        <v>0</v>
      </c>
      <c r="I176" s="409"/>
      <c r="J176" s="394"/>
      <c r="K176" s="2598"/>
      <c r="L176" s="2598"/>
      <c r="M176" s="2598"/>
      <c r="N176" s="2598"/>
      <c r="O176" s="2598"/>
      <c r="P176" s="2598"/>
      <c r="Q176" s="2598"/>
      <c r="R176" s="395"/>
      <c r="S176" s="2598"/>
      <c r="T176" s="2598"/>
      <c r="U176" s="2598"/>
      <c r="V176" s="2598"/>
      <c r="W176" s="2598"/>
      <c r="X176" s="430"/>
      <c r="Y176" s="439"/>
      <c r="Z176" s="1411"/>
      <c r="AA176" s="401"/>
      <c r="AB176" s="1091"/>
      <c r="AC176" s="1095"/>
      <c r="AD176" s="2553"/>
    </row>
    <row r="177" spans="1:30" s="2558" customFormat="1" ht="21.95" customHeight="1">
      <c r="A177" s="396"/>
      <c r="B177" s="2652"/>
      <c r="C177" s="1110"/>
      <c r="D177" s="1131"/>
      <c r="E177" s="434" t="s">
        <v>51</v>
      </c>
      <c r="F177" s="403">
        <f>Y177</f>
        <v>4000</v>
      </c>
      <c r="G177" s="1139">
        <v>4000</v>
      </c>
      <c r="H177" s="700"/>
      <c r="I177" s="409"/>
      <c r="J177" s="446" t="s">
        <v>4031</v>
      </c>
      <c r="K177" s="451"/>
      <c r="L177" s="447"/>
      <c r="M177" s="447"/>
      <c r="N177" s="447"/>
      <c r="O177" s="447"/>
      <c r="P177" s="447"/>
      <c r="Q177" s="448"/>
      <c r="R177" s="449"/>
      <c r="S177" s="450">
        <v>4000000</v>
      </c>
      <c r="T177" s="451" t="s">
        <v>0</v>
      </c>
      <c r="U177" s="451"/>
      <c r="V177" s="451">
        <v>1</v>
      </c>
      <c r="W177" s="451" t="s">
        <v>3440</v>
      </c>
      <c r="X177" s="452" t="s">
        <v>3441</v>
      </c>
      <c r="Y177" s="356">
        <f>Z177/1000</f>
        <v>4000</v>
      </c>
      <c r="Z177" s="1086">
        <f>S177*V177</f>
        <v>4000000</v>
      </c>
      <c r="AA177" s="401"/>
      <c r="AB177" s="1091"/>
      <c r="AC177" s="1095"/>
      <c r="AD177" s="2553"/>
    </row>
    <row r="178" spans="1:30" ht="21.95" customHeight="1">
      <c r="A178" s="396"/>
      <c r="B178" s="2652"/>
      <c r="C178" s="1110"/>
      <c r="D178" s="1131"/>
      <c r="E178" s="1134" t="s">
        <v>4022</v>
      </c>
      <c r="F178" s="403">
        <f>Y178</f>
        <v>14500</v>
      </c>
      <c r="G178" s="1139">
        <v>14500</v>
      </c>
      <c r="H178" s="700"/>
      <c r="I178" s="409"/>
      <c r="J178" s="2643" t="s">
        <v>3447</v>
      </c>
      <c r="K178" s="2624"/>
      <c r="L178" s="2624"/>
      <c r="M178" s="2624"/>
      <c r="N178" s="2624"/>
      <c r="O178" s="2624"/>
      <c r="P178" s="2624"/>
      <c r="Q178" s="408"/>
      <c r="R178" s="2628"/>
      <c r="S178" s="1672"/>
      <c r="T178" s="2644"/>
      <c r="U178" s="2644"/>
      <c r="V178" s="2644"/>
      <c r="W178" s="2644"/>
      <c r="X178" s="1140"/>
      <c r="Y178" s="1674">
        <f t="shared" ref="Y178:Y182" si="59">Z178/1000</f>
        <v>14500</v>
      </c>
      <c r="Z178" s="407">
        <f>SUM(Z179:Z181)</f>
        <v>14500000</v>
      </c>
      <c r="AA178" s="401"/>
      <c r="AB178" s="1091"/>
      <c r="AC178" s="1440"/>
    </row>
    <row r="179" spans="1:30" ht="21.95" customHeight="1">
      <c r="A179" s="411"/>
      <c r="B179" s="412"/>
      <c r="C179" s="1328"/>
      <c r="D179" s="1131"/>
      <c r="E179" s="1134"/>
      <c r="F179" s="403"/>
      <c r="G179" s="1139"/>
      <c r="H179" s="404"/>
      <c r="I179" s="409"/>
      <c r="J179" s="2939" t="s">
        <v>5917</v>
      </c>
      <c r="K179" s="2644"/>
      <c r="L179" s="2624"/>
      <c r="M179" s="2624"/>
      <c r="N179" s="2624"/>
      <c r="O179" s="2624"/>
      <c r="P179" s="2624"/>
      <c r="Q179" s="408">
        <v>5</v>
      </c>
      <c r="R179" s="2630" t="s">
        <v>4003</v>
      </c>
      <c r="S179" s="1672">
        <v>200000</v>
      </c>
      <c r="T179" s="2644" t="s">
        <v>0</v>
      </c>
      <c r="U179" s="2644"/>
      <c r="V179" s="2644">
        <v>8</v>
      </c>
      <c r="W179" s="2644" t="s">
        <v>3</v>
      </c>
      <c r="X179" s="1140" t="s">
        <v>3441</v>
      </c>
      <c r="Y179" s="1674">
        <f t="shared" si="59"/>
        <v>8000</v>
      </c>
      <c r="Z179" s="407">
        <f>Q179*S179*V179</f>
        <v>8000000</v>
      </c>
      <c r="AA179" s="401"/>
      <c r="AB179" s="1091"/>
      <c r="AC179" s="1440"/>
    </row>
    <row r="180" spans="1:30" ht="21.95" customHeight="1">
      <c r="A180" s="411"/>
      <c r="B180" s="412"/>
      <c r="C180" s="1328"/>
      <c r="D180" s="1131"/>
      <c r="E180" s="1134"/>
      <c r="F180" s="403"/>
      <c r="G180" s="1139"/>
      <c r="H180" s="404"/>
      <c r="I180" s="409"/>
      <c r="J180" s="2939" t="s">
        <v>5918</v>
      </c>
      <c r="K180" s="2644"/>
      <c r="L180" s="2624"/>
      <c r="M180" s="2624"/>
      <c r="N180" s="1673"/>
      <c r="O180" s="2624"/>
      <c r="P180" s="2624"/>
      <c r="Q180" s="408">
        <v>5</v>
      </c>
      <c r="R180" s="2630" t="s">
        <v>4003</v>
      </c>
      <c r="S180" s="1672">
        <v>200000</v>
      </c>
      <c r="T180" s="2644" t="s">
        <v>0</v>
      </c>
      <c r="U180" s="2644"/>
      <c r="V180" s="2644">
        <v>4</v>
      </c>
      <c r="W180" s="2644" t="s">
        <v>3</v>
      </c>
      <c r="X180" s="1140" t="s">
        <v>1</v>
      </c>
      <c r="Y180" s="1674">
        <f t="shared" si="59"/>
        <v>4000</v>
      </c>
      <c r="Z180" s="407">
        <f t="shared" ref="Z180:Z181" si="60">Q180*S180*V180</f>
        <v>4000000</v>
      </c>
      <c r="AA180" s="401"/>
      <c r="AB180" s="1091"/>
      <c r="AC180" s="1440"/>
    </row>
    <row r="181" spans="1:30" ht="21.95" customHeight="1">
      <c r="A181" s="411"/>
      <c r="B181" s="412"/>
      <c r="C181" s="1328"/>
      <c r="D181" s="1131"/>
      <c r="E181" s="1134"/>
      <c r="F181" s="403"/>
      <c r="G181" s="1139"/>
      <c r="H181" s="404"/>
      <c r="I181" s="409"/>
      <c r="J181" s="2939" t="s">
        <v>5919</v>
      </c>
      <c r="K181" s="2644"/>
      <c r="L181" s="2624"/>
      <c r="M181" s="2624"/>
      <c r="N181" s="1673"/>
      <c r="O181" s="2624"/>
      <c r="P181" s="2624"/>
      <c r="Q181" s="408">
        <v>5</v>
      </c>
      <c r="R181" s="2630" t="s">
        <v>4003</v>
      </c>
      <c r="S181" s="1672">
        <v>250000</v>
      </c>
      <c r="T181" s="2644" t="s">
        <v>0</v>
      </c>
      <c r="U181" s="2644"/>
      <c r="V181" s="2644">
        <v>2</v>
      </c>
      <c r="W181" s="2644" t="s">
        <v>3</v>
      </c>
      <c r="X181" s="1140" t="s">
        <v>1</v>
      </c>
      <c r="Y181" s="1674">
        <f t="shared" si="59"/>
        <v>2500</v>
      </c>
      <c r="Z181" s="407">
        <f t="shared" si="60"/>
        <v>2500000</v>
      </c>
      <c r="AA181" s="401"/>
      <c r="AB181" s="1091"/>
      <c r="AC181" s="1440"/>
    </row>
    <row r="182" spans="1:30" ht="21.95" customHeight="1">
      <c r="A182" s="411"/>
      <c r="B182" s="412"/>
      <c r="C182" s="1328"/>
      <c r="D182" s="1131"/>
      <c r="E182" s="2650" t="s">
        <v>3740</v>
      </c>
      <c r="F182" s="403">
        <f>Y182</f>
        <v>45000</v>
      </c>
      <c r="G182" s="1139">
        <v>45000</v>
      </c>
      <c r="H182" s="700"/>
      <c r="I182" s="409"/>
      <c r="J182" s="2643" t="s">
        <v>8</v>
      </c>
      <c r="K182" s="2644"/>
      <c r="L182" s="2624"/>
      <c r="M182" s="2624"/>
      <c r="N182" s="1673"/>
      <c r="O182" s="2624"/>
      <c r="P182" s="2624"/>
      <c r="Q182" s="408"/>
      <c r="R182" s="2630"/>
      <c r="S182" s="1672"/>
      <c r="T182" s="2644"/>
      <c r="U182" s="2644"/>
      <c r="V182" s="2644"/>
      <c r="W182" s="2644"/>
      <c r="X182" s="1140"/>
      <c r="Y182" s="1674">
        <f t="shared" si="59"/>
        <v>45000</v>
      </c>
      <c r="Z182" s="407">
        <f>SUM(Z183:Z184)</f>
        <v>45000000</v>
      </c>
      <c r="AA182" s="401"/>
      <c r="AB182" s="1091"/>
      <c r="AC182" s="1440"/>
    </row>
    <row r="183" spans="1:30" ht="21.95" customHeight="1">
      <c r="A183" s="411"/>
      <c r="B183" s="412"/>
      <c r="C183" s="1328"/>
      <c r="D183" s="1131"/>
      <c r="E183" s="402"/>
      <c r="F183" s="403"/>
      <c r="G183" s="1139"/>
      <c r="H183" s="404"/>
      <c r="I183" s="409"/>
      <c r="J183" s="2939" t="s">
        <v>5920</v>
      </c>
      <c r="K183" s="2644"/>
      <c r="L183" s="2624"/>
      <c r="M183" s="2624"/>
      <c r="N183" s="1673"/>
      <c r="O183" s="2624"/>
      <c r="P183" s="2624"/>
      <c r="Q183" s="408"/>
      <c r="R183" s="2630"/>
      <c r="S183" s="1672">
        <v>250000</v>
      </c>
      <c r="T183" s="2644" t="s">
        <v>0</v>
      </c>
      <c r="U183" s="2644"/>
      <c r="V183" s="2644">
        <v>20</v>
      </c>
      <c r="W183" s="2644" t="s">
        <v>3732</v>
      </c>
      <c r="X183" s="1140" t="s">
        <v>3441</v>
      </c>
      <c r="Y183" s="1674">
        <f>Z183/1000</f>
        <v>5000</v>
      </c>
      <c r="Z183" s="407">
        <f>S183*V183</f>
        <v>5000000</v>
      </c>
      <c r="AA183" s="401"/>
      <c r="AB183" s="1091"/>
      <c r="AC183" s="1440"/>
    </row>
    <row r="184" spans="1:30" ht="21.95" customHeight="1">
      <c r="A184" s="411"/>
      <c r="B184" s="412"/>
      <c r="C184" s="1328"/>
      <c r="D184" s="1131"/>
      <c r="E184" s="402"/>
      <c r="F184" s="403"/>
      <c r="G184" s="1139"/>
      <c r="H184" s="404"/>
      <c r="I184" s="409"/>
      <c r="J184" s="2939" t="s">
        <v>5921</v>
      </c>
      <c r="K184" s="2644"/>
      <c r="L184" s="2624"/>
      <c r="M184" s="2624"/>
      <c r="N184" s="1673"/>
      <c r="O184" s="2624"/>
      <c r="P184" s="2624"/>
      <c r="Q184" s="408"/>
      <c r="R184" s="2630"/>
      <c r="S184" s="1672">
        <v>10000000</v>
      </c>
      <c r="T184" s="2644" t="s">
        <v>3727</v>
      </c>
      <c r="U184" s="2644"/>
      <c r="V184" s="2644">
        <v>4</v>
      </c>
      <c r="W184" s="2644" t="s">
        <v>3732</v>
      </c>
      <c r="X184" s="1140" t="s">
        <v>3441</v>
      </c>
      <c r="Y184" s="1674">
        <f t="shared" ref="Y184:Y193" si="61">Z184/1000</f>
        <v>40000</v>
      </c>
      <c r="Z184" s="407">
        <f t="shared" ref="Z184" si="62">S184*V184</f>
        <v>40000000</v>
      </c>
      <c r="AA184" s="401"/>
      <c r="AB184" s="1091"/>
      <c r="AC184" s="1440"/>
    </row>
    <row r="185" spans="1:30" s="2558" customFormat="1" ht="21.95" customHeight="1">
      <c r="A185" s="396"/>
      <c r="B185" s="2652"/>
      <c r="C185" s="397"/>
      <c r="D185" s="402"/>
      <c r="E185" s="402" t="s">
        <v>4032</v>
      </c>
      <c r="F185" s="403">
        <f>Y185</f>
        <v>7000</v>
      </c>
      <c r="G185" s="337">
        <v>7000</v>
      </c>
      <c r="H185" s="700"/>
      <c r="I185" s="409"/>
      <c r="J185" s="2643" t="s">
        <v>3447</v>
      </c>
      <c r="K185" s="2644"/>
      <c r="L185" s="2624"/>
      <c r="M185" s="2624"/>
      <c r="N185" s="1673"/>
      <c r="O185" s="2624"/>
      <c r="P185" s="2624"/>
      <c r="Q185" s="408"/>
      <c r="R185" s="2630"/>
      <c r="S185" s="1672"/>
      <c r="T185" s="2644"/>
      <c r="U185" s="2644"/>
      <c r="V185" s="2644"/>
      <c r="W185" s="2644"/>
      <c r="X185" s="1140"/>
      <c r="Y185" s="1674">
        <f t="shared" si="61"/>
        <v>7000</v>
      </c>
      <c r="Z185" s="407">
        <f>SUM(Z186:Z187)</f>
        <v>7000000</v>
      </c>
      <c r="AA185" s="401"/>
      <c r="AB185" s="1091"/>
      <c r="AC185" s="1095"/>
      <c r="AD185" s="2553"/>
    </row>
    <row r="186" spans="1:30" ht="21.95" customHeight="1">
      <c r="A186" s="411"/>
      <c r="B186" s="412"/>
      <c r="C186" s="1328"/>
      <c r="D186" s="1131"/>
      <c r="E186" s="402"/>
      <c r="F186" s="403"/>
      <c r="G186" s="1139"/>
      <c r="H186" s="404"/>
      <c r="I186" s="409"/>
      <c r="J186" s="2939" t="s">
        <v>5922</v>
      </c>
      <c r="K186" s="2644"/>
      <c r="L186" s="2624"/>
      <c r="M186" s="2624"/>
      <c r="N186" s="1673"/>
      <c r="O186" s="2624"/>
      <c r="P186" s="2624"/>
      <c r="Q186" s="408"/>
      <c r="R186" s="2630"/>
      <c r="S186" s="1672">
        <v>2500000</v>
      </c>
      <c r="T186" s="2644" t="s">
        <v>3727</v>
      </c>
      <c r="U186" s="2644"/>
      <c r="V186" s="2644">
        <v>2</v>
      </c>
      <c r="W186" s="2644" t="s">
        <v>3732</v>
      </c>
      <c r="X186" s="1140" t="s">
        <v>3441</v>
      </c>
      <c r="Y186" s="1674">
        <f t="shared" si="61"/>
        <v>5000</v>
      </c>
      <c r="Z186" s="407">
        <f t="shared" ref="Z186:Z187" si="63">S186*V186</f>
        <v>5000000</v>
      </c>
      <c r="AA186" s="401"/>
      <c r="AB186" s="1091"/>
      <c r="AC186" s="1440"/>
    </row>
    <row r="187" spans="1:30" ht="21.95" customHeight="1">
      <c r="A187" s="411"/>
      <c r="B187" s="412"/>
      <c r="C187" s="1328"/>
      <c r="D187" s="1131"/>
      <c r="E187" s="402"/>
      <c r="F187" s="403"/>
      <c r="G187" s="1139"/>
      <c r="H187" s="404"/>
      <c r="I187" s="409"/>
      <c r="J187" s="2939" t="s">
        <v>5923</v>
      </c>
      <c r="K187" s="2644"/>
      <c r="L187" s="2624"/>
      <c r="M187" s="2624"/>
      <c r="N187" s="1673"/>
      <c r="O187" s="2624"/>
      <c r="P187" s="2624"/>
      <c r="Q187" s="408"/>
      <c r="R187" s="2630"/>
      <c r="S187" s="1672">
        <v>500000</v>
      </c>
      <c r="T187" s="2644" t="s">
        <v>3727</v>
      </c>
      <c r="U187" s="2644"/>
      <c r="V187" s="2644">
        <v>4</v>
      </c>
      <c r="W187" s="2644" t="s">
        <v>3732</v>
      </c>
      <c r="X187" s="1140" t="s">
        <v>3441</v>
      </c>
      <c r="Y187" s="1674">
        <f t="shared" si="61"/>
        <v>2000</v>
      </c>
      <c r="Z187" s="407">
        <f t="shared" si="63"/>
        <v>2000000</v>
      </c>
      <c r="AA187" s="401"/>
      <c r="AB187" s="1091"/>
      <c r="AC187" s="1440"/>
    </row>
    <row r="188" spans="1:30" ht="21.95" customHeight="1">
      <c r="A188" s="411"/>
      <c r="B188" s="412"/>
      <c r="C188" s="1328"/>
      <c r="D188" s="1131"/>
      <c r="E188" s="402" t="s">
        <v>4026</v>
      </c>
      <c r="F188" s="403">
        <f>Y188</f>
        <v>28500</v>
      </c>
      <c r="G188" s="1139">
        <v>28500</v>
      </c>
      <c r="H188" s="700"/>
      <c r="I188" s="409"/>
      <c r="J188" s="2643" t="s">
        <v>8</v>
      </c>
      <c r="K188" s="2644"/>
      <c r="L188" s="2624"/>
      <c r="M188" s="2624"/>
      <c r="N188" s="1673"/>
      <c r="O188" s="2624"/>
      <c r="P188" s="2624"/>
      <c r="Q188" s="408"/>
      <c r="R188" s="2630"/>
      <c r="S188" s="1672"/>
      <c r="T188" s="2644"/>
      <c r="U188" s="2644"/>
      <c r="V188" s="2644"/>
      <c r="W188" s="2644"/>
      <c r="X188" s="1140"/>
      <c r="Y188" s="1674">
        <f t="shared" si="61"/>
        <v>28500</v>
      </c>
      <c r="Z188" s="407">
        <f>SUM(Z189:Z190)</f>
        <v>28500000</v>
      </c>
      <c r="AA188" s="401"/>
      <c r="AB188" s="1091"/>
      <c r="AC188" s="1440"/>
    </row>
    <row r="189" spans="1:30" ht="21.95" customHeight="1">
      <c r="A189" s="411"/>
      <c r="B189" s="412"/>
      <c r="C189" s="1328"/>
      <c r="D189" s="1131"/>
      <c r="E189" s="402"/>
      <c r="F189" s="403"/>
      <c r="G189" s="1139"/>
      <c r="H189" s="404"/>
      <c r="I189" s="409"/>
      <c r="J189" s="2939" t="s">
        <v>5924</v>
      </c>
      <c r="K189" s="2644"/>
      <c r="L189" s="2624"/>
      <c r="M189" s="2624"/>
      <c r="N189" s="1673"/>
      <c r="O189" s="2624"/>
      <c r="P189" s="2624"/>
      <c r="Q189" s="408"/>
      <c r="R189" s="2630"/>
      <c r="S189" s="1672">
        <v>8000000</v>
      </c>
      <c r="T189" s="2644" t="s">
        <v>3727</v>
      </c>
      <c r="U189" s="2644"/>
      <c r="V189" s="2644">
        <v>3</v>
      </c>
      <c r="W189" s="2644" t="s">
        <v>3732</v>
      </c>
      <c r="X189" s="1140" t="s">
        <v>3441</v>
      </c>
      <c r="Y189" s="1674">
        <f t="shared" si="61"/>
        <v>24000</v>
      </c>
      <c r="Z189" s="407">
        <f t="shared" ref="Z189" si="64">S189*V189</f>
        <v>24000000</v>
      </c>
      <c r="AA189" s="401"/>
      <c r="AB189" s="1091"/>
      <c r="AC189" s="1440"/>
    </row>
    <row r="190" spans="1:30" ht="21.95" customHeight="1">
      <c r="A190" s="411"/>
      <c r="B190" s="412"/>
      <c r="C190" s="1328"/>
      <c r="D190" s="1131"/>
      <c r="E190" s="402"/>
      <c r="F190" s="403"/>
      <c r="G190" s="1139"/>
      <c r="H190" s="404"/>
      <c r="I190" s="409"/>
      <c r="J190" s="2939" t="s">
        <v>5925</v>
      </c>
      <c r="K190" s="2644"/>
      <c r="L190" s="2624"/>
      <c r="M190" s="2624"/>
      <c r="N190" s="1673"/>
      <c r="O190" s="2624"/>
      <c r="P190" s="2624"/>
      <c r="Q190" s="408"/>
      <c r="R190" s="2630"/>
      <c r="S190" s="1672">
        <v>1500000</v>
      </c>
      <c r="T190" s="2644" t="s">
        <v>3727</v>
      </c>
      <c r="U190" s="2644"/>
      <c r="V190" s="2644">
        <v>3</v>
      </c>
      <c r="W190" s="2644" t="s">
        <v>3732</v>
      </c>
      <c r="X190" s="1140" t="s">
        <v>3441</v>
      </c>
      <c r="Y190" s="1674">
        <f t="shared" si="61"/>
        <v>4500</v>
      </c>
      <c r="Z190" s="407">
        <f>S190*V190</f>
        <v>4500000</v>
      </c>
      <c r="AA190" s="401"/>
      <c r="AB190" s="1091"/>
      <c r="AC190" s="1440"/>
    </row>
    <row r="191" spans="1:30" ht="21.95" customHeight="1">
      <c r="A191" s="411"/>
      <c r="B191" s="412"/>
      <c r="C191" s="1328"/>
      <c r="D191" s="1131"/>
      <c r="E191" s="1134" t="s">
        <v>4028</v>
      </c>
      <c r="F191" s="403">
        <f>Y191</f>
        <v>3000</v>
      </c>
      <c r="G191" s="1139">
        <v>3000</v>
      </c>
      <c r="H191" s="700"/>
      <c r="I191" s="409"/>
      <c r="J191" s="2643" t="s">
        <v>8</v>
      </c>
      <c r="K191" s="2644"/>
      <c r="L191" s="2624"/>
      <c r="M191" s="2624"/>
      <c r="N191" s="1673"/>
      <c r="O191" s="2624"/>
      <c r="P191" s="2624"/>
      <c r="Q191" s="408"/>
      <c r="R191" s="2630"/>
      <c r="S191" s="1672"/>
      <c r="T191" s="2644"/>
      <c r="U191" s="2644"/>
      <c r="V191" s="2644"/>
      <c r="W191" s="2644"/>
      <c r="X191" s="1140"/>
      <c r="Y191" s="1674">
        <f t="shared" si="61"/>
        <v>3000</v>
      </c>
      <c r="Z191" s="407">
        <f>SUM(Z192:Z193)</f>
        <v>3000000</v>
      </c>
      <c r="AA191" s="401"/>
      <c r="AB191" s="1091"/>
      <c r="AC191" s="1440"/>
    </row>
    <row r="192" spans="1:30" ht="21.95" customHeight="1">
      <c r="A192" s="411"/>
      <c r="B192" s="412"/>
      <c r="C192" s="1328"/>
      <c r="D192" s="1131"/>
      <c r="E192" s="1134"/>
      <c r="F192" s="403"/>
      <c r="G192" s="1139"/>
      <c r="H192" s="404"/>
      <c r="I192" s="409"/>
      <c r="J192" s="2939" t="s">
        <v>5926</v>
      </c>
      <c r="K192" s="2644"/>
      <c r="L192" s="2624"/>
      <c r="M192" s="2624"/>
      <c r="N192" s="1673"/>
      <c r="O192" s="2624"/>
      <c r="P192" s="2624"/>
      <c r="Q192" s="408"/>
      <c r="R192" s="2630"/>
      <c r="S192" s="1672">
        <v>200000</v>
      </c>
      <c r="T192" s="2644" t="s">
        <v>3727</v>
      </c>
      <c r="U192" s="2644"/>
      <c r="V192" s="2644">
        <v>5</v>
      </c>
      <c r="W192" s="2644" t="s">
        <v>3732</v>
      </c>
      <c r="X192" s="1140" t="s">
        <v>3441</v>
      </c>
      <c r="Y192" s="1674">
        <f t="shared" si="61"/>
        <v>1000</v>
      </c>
      <c r="Z192" s="407">
        <f t="shared" ref="Z192:Z193" si="65">S192*V192</f>
        <v>1000000</v>
      </c>
      <c r="AA192" s="401"/>
      <c r="AB192" s="1091"/>
      <c r="AC192" s="1440"/>
    </row>
    <row r="193" spans="1:30" ht="21.95" customHeight="1">
      <c r="A193" s="411"/>
      <c r="B193" s="412"/>
      <c r="C193" s="1328"/>
      <c r="D193" s="1131"/>
      <c r="E193" s="855"/>
      <c r="F193" s="403"/>
      <c r="G193" s="1139"/>
      <c r="H193" s="404"/>
      <c r="I193" s="409"/>
      <c r="J193" s="1627" t="s">
        <v>5927</v>
      </c>
      <c r="K193" s="459"/>
      <c r="L193" s="2619"/>
      <c r="M193" s="2619"/>
      <c r="N193" s="368"/>
      <c r="O193" s="2619"/>
      <c r="P193" s="2619"/>
      <c r="Q193" s="456"/>
      <c r="R193" s="457"/>
      <c r="S193" s="458">
        <v>200000</v>
      </c>
      <c r="T193" s="459" t="s">
        <v>3727</v>
      </c>
      <c r="U193" s="459"/>
      <c r="V193" s="459">
        <v>10</v>
      </c>
      <c r="W193" s="459" t="s">
        <v>3732</v>
      </c>
      <c r="X193" s="460" t="s">
        <v>3441</v>
      </c>
      <c r="Y193" s="345">
        <f t="shared" si="61"/>
        <v>2000</v>
      </c>
      <c r="Z193" s="400">
        <f t="shared" si="65"/>
        <v>2000000</v>
      </c>
      <c r="AA193" s="401"/>
      <c r="AB193" s="1091"/>
      <c r="AC193" s="1440"/>
    </row>
    <row r="194" spans="1:30" ht="21.95" customHeight="1">
      <c r="A194" s="411"/>
      <c r="B194" s="412"/>
      <c r="C194" s="1111"/>
      <c r="D194" s="3275" t="s">
        <v>4033</v>
      </c>
      <c r="E194" s="3276"/>
      <c r="F194" s="429">
        <f>SUM(F195:F197)</f>
        <v>8600</v>
      </c>
      <c r="G194" s="429">
        <f>SUM(G195:G197)</f>
        <v>8600</v>
      </c>
      <c r="H194" s="386">
        <f>F194-G194</f>
        <v>0</v>
      </c>
      <c r="I194" s="409"/>
      <c r="J194" s="394"/>
      <c r="K194" s="2598"/>
      <c r="L194" s="2598"/>
      <c r="M194" s="2598"/>
      <c r="N194" s="2598"/>
      <c r="O194" s="2598"/>
      <c r="P194" s="2598"/>
      <c r="Q194" s="2598"/>
      <c r="R194" s="395"/>
      <c r="S194" s="2598"/>
      <c r="T194" s="2598"/>
      <c r="U194" s="2598"/>
      <c r="V194" s="2598"/>
      <c r="W194" s="2598"/>
      <c r="X194" s="430"/>
      <c r="Y194" s="439"/>
      <c r="Z194" s="1411"/>
      <c r="AA194" s="401"/>
      <c r="AB194" s="1091"/>
      <c r="AC194" s="1440"/>
    </row>
    <row r="195" spans="1:30" ht="21.95" customHeight="1">
      <c r="A195" s="411"/>
      <c r="B195" s="412"/>
      <c r="C195" s="1111"/>
      <c r="D195" s="1144"/>
      <c r="E195" s="542" t="s">
        <v>51</v>
      </c>
      <c r="F195" s="435">
        <f>Y195</f>
        <v>7000</v>
      </c>
      <c r="G195" s="435">
        <v>7000</v>
      </c>
      <c r="H195" s="700"/>
      <c r="I195" s="409"/>
      <c r="J195" s="2643" t="s">
        <v>4034</v>
      </c>
      <c r="K195" s="2644"/>
      <c r="L195" s="2624"/>
      <c r="M195" s="2624"/>
      <c r="N195" s="2624"/>
      <c r="O195" s="2624"/>
      <c r="P195" s="2624"/>
      <c r="Q195" s="408"/>
      <c r="R195" s="2630"/>
      <c r="S195" s="1672">
        <v>7000000</v>
      </c>
      <c r="T195" s="2644" t="s">
        <v>0</v>
      </c>
      <c r="U195" s="2644"/>
      <c r="V195" s="2644">
        <v>1</v>
      </c>
      <c r="W195" s="2644" t="s">
        <v>3440</v>
      </c>
      <c r="X195" s="1140" t="s">
        <v>1</v>
      </c>
      <c r="Y195" s="1674">
        <f t="shared" ref="Y195:Y197" si="66">Z195/1000</f>
        <v>7000</v>
      </c>
      <c r="Z195" s="1723">
        <f>S195*V195</f>
        <v>7000000</v>
      </c>
      <c r="AA195" s="401"/>
      <c r="AB195" s="1091"/>
      <c r="AC195" s="1440"/>
    </row>
    <row r="196" spans="1:30" s="158" customFormat="1" ht="21.95" customHeight="1">
      <c r="A196" s="411"/>
      <c r="B196" s="412"/>
      <c r="C196" s="1328"/>
      <c r="D196" s="1144"/>
      <c r="E196" s="1134" t="s">
        <v>4035</v>
      </c>
      <c r="F196" s="435">
        <f>Y196</f>
        <v>1100</v>
      </c>
      <c r="G196" s="435">
        <v>1100</v>
      </c>
      <c r="H196" s="700"/>
      <c r="I196" s="409"/>
      <c r="J196" s="2643" t="s">
        <v>4036</v>
      </c>
      <c r="K196" s="2624"/>
      <c r="L196" s="2624"/>
      <c r="M196" s="2624"/>
      <c r="N196" s="2624"/>
      <c r="O196" s="2624"/>
      <c r="P196" s="2624"/>
      <c r="Q196" s="408"/>
      <c r="R196" s="2628"/>
      <c r="S196" s="1672">
        <v>220000</v>
      </c>
      <c r="T196" s="2644" t="s">
        <v>0</v>
      </c>
      <c r="U196" s="2644"/>
      <c r="V196" s="2644">
        <v>5</v>
      </c>
      <c r="W196" s="2644" t="s">
        <v>3</v>
      </c>
      <c r="X196" s="1140" t="s">
        <v>1</v>
      </c>
      <c r="Y196" s="1674">
        <f t="shared" si="66"/>
        <v>1100</v>
      </c>
      <c r="Z196" s="1098">
        <f>S196*V196</f>
        <v>1100000</v>
      </c>
      <c r="AA196" s="401"/>
      <c r="AB196" s="1091"/>
      <c r="AC196" s="1440"/>
      <c r="AD196" s="606"/>
    </row>
    <row r="197" spans="1:30" ht="21.95" customHeight="1">
      <c r="A197" s="411"/>
      <c r="B197" s="412"/>
      <c r="C197" s="1328"/>
      <c r="D197" s="1154"/>
      <c r="E197" s="855" t="s">
        <v>4028</v>
      </c>
      <c r="F197" s="435">
        <f>Y197</f>
        <v>500</v>
      </c>
      <c r="G197" s="435">
        <v>500</v>
      </c>
      <c r="H197" s="700"/>
      <c r="I197" s="409"/>
      <c r="J197" s="1627" t="s">
        <v>4037</v>
      </c>
      <c r="K197" s="459"/>
      <c r="L197" s="2925"/>
      <c r="M197" s="2925"/>
      <c r="N197" s="368"/>
      <c r="O197" s="2925"/>
      <c r="P197" s="2925"/>
      <c r="Q197" s="456"/>
      <c r="R197" s="457"/>
      <c r="S197" s="458">
        <v>100000</v>
      </c>
      <c r="T197" s="459" t="s">
        <v>0</v>
      </c>
      <c r="U197" s="459"/>
      <c r="V197" s="459">
        <v>5</v>
      </c>
      <c r="W197" s="459" t="s">
        <v>3732</v>
      </c>
      <c r="X197" s="460" t="s">
        <v>3441</v>
      </c>
      <c r="Y197" s="345">
        <f t="shared" si="66"/>
        <v>500</v>
      </c>
      <c r="Z197" s="1452">
        <f>S197*V197</f>
        <v>500000</v>
      </c>
      <c r="AA197" s="401"/>
      <c r="AB197" s="1091"/>
      <c r="AC197" s="1440"/>
    </row>
    <row r="198" spans="1:30" s="2558" customFormat="1" ht="21.95" customHeight="1">
      <c r="A198" s="396"/>
      <c r="B198" s="2652"/>
      <c r="C198" s="3271" t="s">
        <v>436</v>
      </c>
      <c r="D198" s="3271"/>
      <c r="E198" s="3376"/>
      <c r="F198" s="1683">
        <f>+F199</f>
        <v>1500000</v>
      </c>
      <c r="G198" s="1683">
        <f>+G199</f>
        <v>1500000</v>
      </c>
      <c r="H198" s="810">
        <f t="shared" ref="H198:H199" si="67">F198-G198</f>
        <v>0</v>
      </c>
      <c r="I198" s="409"/>
      <c r="J198" s="2939"/>
      <c r="K198" s="2940"/>
      <c r="L198" s="2938"/>
      <c r="M198" s="2938"/>
      <c r="N198" s="1673"/>
      <c r="O198" s="2938"/>
      <c r="P198" s="2938"/>
      <c r="Q198" s="1673"/>
      <c r="R198" s="2938"/>
      <c r="S198" s="1672"/>
      <c r="T198" s="2940"/>
      <c r="U198" s="2940"/>
      <c r="V198" s="1673"/>
      <c r="W198" s="2931"/>
      <c r="X198" s="1140"/>
      <c r="Y198" s="406"/>
      <c r="Z198" s="407"/>
      <c r="AA198" s="401"/>
      <c r="AB198" s="1091">
        <f>F198</f>
        <v>1500000</v>
      </c>
      <c r="AC198" s="1095"/>
      <c r="AD198" s="2553"/>
    </row>
    <row r="199" spans="1:30" s="2558" customFormat="1" ht="21.95" customHeight="1">
      <c r="A199" s="396"/>
      <c r="B199" s="2652"/>
      <c r="C199" s="397"/>
      <c r="D199" s="3312" t="s">
        <v>4038</v>
      </c>
      <c r="E199" s="3313"/>
      <c r="F199" s="1683">
        <f>SUM(F200:F241)</f>
        <v>1500000</v>
      </c>
      <c r="G199" s="1683">
        <f>SUM(G200:G241)</f>
        <v>1500000</v>
      </c>
      <c r="H199" s="468">
        <f t="shared" si="67"/>
        <v>0</v>
      </c>
      <c r="I199" s="409"/>
      <c r="J199" s="394"/>
      <c r="K199" s="2598"/>
      <c r="L199" s="2598"/>
      <c r="M199" s="2598"/>
      <c r="N199" s="2598"/>
      <c r="O199" s="2598"/>
      <c r="P199" s="2598"/>
      <c r="Q199" s="2598"/>
      <c r="R199" s="395"/>
      <c r="S199" s="2598"/>
      <c r="T199" s="2598"/>
      <c r="U199" s="2598"/>
      <c r="V199" s="2598"/>
      <c r="W199" s="2598"/>
      <c r="X199" s="430"/>
      <c r="Y199" s="431"/>
      <c r="Z199" s="1192"/>
      <c r="AA199" s="401"/>
      <c r="AB199" s="1091"/>
      <c r="AC199" s="1095"/>
      <c r="AD199" s="2553"/>
    </row>
    <row r="200" spans="1:30" s="2558" customFormat="1" ht="21.95" customHeight="1">
      <c r="A200" s="396"/>
      <c r="B200" s="2652"/>
      <c r="C200" s="397"/>
      <c r="D200" s="465"/>
      <c r="E200" s="2515" t="s">
        <v>4039</v>
      </c>
      <c r="F200" s="392">
        <f>Y200/1000</f>
        <v>139560</v>
      </c>
      <c r="G200" s="435">
        <v>139560</v>
      </c>
      <c r="H200" s="700"/>
      <c r="I200" s="766">
        <f t="shared" ref="I200:I205" si="68">G200-H200</f>
        <v>139560</v>
      </c>
      <c r="J200" s="2643" t="s">
        <v>3447</v>
      </c>
      <c r="K200" s="2624"/>
      <c r="L200" s="2624"/>
      <c r="M200" s="2357"/>
      <c r="N200" s="2357"/>
      <c r="O200" s="2357"/>
      <c r="P200" s="1128"/>
      <c r="Q200" s="372"/>
      <c r="R200" s="2624"/>
      <c r="S200" s="1314"/>
      <c r="T200" s="344"/>
      <c r="U200" s="2501"/>
      <c r="V200" s="372"/>
      <c r="W200" s="2624"/>
      <c r="X200" s="1140"/>
      <c r="Y200" s="2516">
        <f>SUM(Y201:Y207)</f>
        <v>139560000</v>
      </c>
      <c r="Z200" s="494">
        <f>SUM(Z201:Z207)</f>
        <v>139560000</v>
      </c>
      <c r="AA200" s="401"/>
      <c r="AB200" s="1091"/>
      <c r="AC200" s="1095"/>
      <c r="AD200" s="2553"/>
    </row>
    <row r="201" spans="1:30" s="2558" customFormat="1" ht="21.95" customHeight="1">
      <c r="A201" s="396"/>
      <c r="B201" s="2652"/>
      <c r="C201" s="397"/>
      <c r="D201" s="465"/>
      <c r="E201" s="1313"/>
      <c r="F201" s="392"/>
      <c r="G201" s="435"/>
      <c r="H201" s="482"/>
      <c r="I201" s="766">
        <f t="shared" si="68"/>
        <v>0</v>
      </c>
      <c r="J201" s="2643" t="s">
        <v>4002</v>
      </c>
      <c r="K201" s="2624"/>
      <c r="L201" s="2517"/>
      <c r="M201" s="2517"/>
      <c r="N201" s="2624"/>
      <c r="O201" s="2624"/>
      <c r="P201" s="2518"/>
      <c r="Q201" s="1673">
        <v>3</v>
      </c>
      <c r="R201" s="2628" t="s">
        <v>4003</v>
      </c>
      <c r="S201" s="1672">
        <v>2400000</v>
      </c>
      <c r="T201" s="2644" t="s">
        <v>0</v>
      </c>
      <c r="U201" s="2644"/>
      <c r="V201" s="2644">
        <v>12</v>
      </c>
      <c r="W201" s="2644" t="s">
        <v>4004</v>
      </c>
      <c r="X201" s="1140" t="s">
        <v>3441</v>
      </c>
      <c r="Y201" s="2516">
        <f>Q201*S201*V201</f>
        <v>86400000</v>
      </c>
      <c r="Z201" s="494">
        <f>Q201*V201*S201</f>
        <v>86400000</v>
      </c>
      <c r="AA201" s="401"/>
      <c r="AB201" s="1091"/>
      <c r="AC201" s="1095"/>
      <c r="AD201" s="2553"/>
    </row>
    <row r="202" spans="1:30" s="2558" customFormat="1" ht="21.95" customHeight="1">
      <c r="A202" s="396"/>
      <c r="B202" s="2652"/>
      <c r="C202" s="397"/>
      <c r="D202" s="465"/>
      <c r="E202" s="1313"/>
      <c r="F202" s="392"/>
      <c r="G202" s="435"/>
      <c r="H202" s="482"/>
      <c r="I202" s="766">
        <f t="shared" si="68"/>
        <v>0</v>
      </c>
      <c r="J202" s="1670"/>
      <c r="K202" s="2357"/>
      <c r="L202" s="2357"/>
      <c r="M202" s="2357"/>
      <c r="N202" s="2357"/>
      <c r="O202" s="2357"/>
      <c r="P202" s="1128"/>
      <c r="Q202" s="1673">
        <v>1</v>
      </c>
      <c r="R202" s="2628" t="s">
        <v>4003</v>
      </c>
      <c r="S202" s="1672">
        <v>2400000</v>
      </c>
      <c r="T202" s="2644" t="s">
        <v>0</v>
      </c>
      <c r="U202" s="2644"/>
      <c r="V202" s="2644">
        <v>11</v>
      </c>
      <c r="W202" s="2644" t="s">
        <v>4004</v>
      </c>
      <c r="X202" s="1140" t="s">
        <v>3441</v>
      </c>
      <c r="Y202" s="2516">
        <f>Q202*S202*V202</f>
        <v>26400000</v>
      </c>
      <c r="Z202" s="494">
        <f t="shared" ref="Z202:Z207" si="69">Q202*V202*S202</f>
        <v>26400000</v>
      </c>
      <c r="AA202" s="401"/>
      <c r="AB202" s="1091"/>
      <c r="AC202" s="1095"/>
      <c r="AD202" s="2553"/>
    </row>
    <row r="203" spans="1:30" s="2558" customFormat="1" ht="21.95" customHeight="1">
      <c r="A203" s="396"/>
      <c r="B203" s="2652"/>
      <c r="C203" s="397"/>
      <c r="D203" s="465"/>
      <c r="E203" s="1313"/>
      <c r="F203" s="392"/>
      <c r="G203" s="435"/>
      <c r="H203" s="482"/>
      <c r="I203" s="766">
        <f t="shared" si="68"/>
        <v>0</v>
      </c>
      <c r="J203" s="1670" t="s">
        <v>4005</v>
      </c>
      <c r="K203" s="2624"/>
      <c r="L203" s="2517"/>
      <c r="M203" s="2517"/>
      <c r="N203" s="2624"/>
      <c r="O203" s="2624"/>
      <c r="P203" s="2518"/>
      <c r="Q203" s="1673">
        <v>1</v>
      </c>
      <c r="R203" s="2628" t="s">
        <v>4003</v>
      </c>
      <c r="S203" s="1672">
        <v>2400000</v>
      </c>
      <c r="T203" s="2644" t="s">
        <v>0</v>
      </c>
      <c r="U203" s="2644"/>
      <c r="V203" s="2644">
        <v>3</v>
      </c>
      <c r="W203" s="2644" t="s">
        <v>3732</v>
      </c>
      <c r="X203" s="1140" t="s">
        <v>3441</v>
      </c>
      <c r="Y203" s="2516">
        <f>Q203*S203*V203</f>
        <v>7200000</v>
      </c>
      <c r="Z203" s="494">
        <f t="shared" si="69"/>
        <v>7200000</v>
      </c>
      <c r="AA203" s="401"/>
      <c r="AB203" s="1091"/>
      <c r="AC203" s="1095"/>
      <c r="AD203" s="2553"/>
    </row>
    <row r="204" spans="1:30" s="2558" customFormat="1" ht="21.95" customHeight="1">
      <c r="A204" s="396"/>
      <c r="B204" s="2652"/>
      <c r="C204" s="397"/>
      <c r="D204" s="402"/>
      <c r="E204" s="1313"/>
      <c r="F204" s="403"/>
      <c r="G204" s="337"/>
      <c r="H204" s="404"/>
      <c r="I204" s="409"/>
      <c r="J204" s="1670" t="s">
        <v>4006</v>
      </c>
      <c r="K204" s="2624"/>
      <c r="L204" s="2517"/>
      <c r="M204" s="2517"/>
      <c r="N204" s="2624"/>
      <c r="O204" s="2624"/>
      <c r="P204" s="2518"/>
      <c r="Q204" s="1673"/>
      <c r="R204" s="2630"/>
      <c r="S204" s="1672">
        <f>(Y201+Y202)</f>
        <v>112800000</v>
      </c>
      <c r="T204" s="2644" t="s">
        <v>0</v>
      </c>
      <c r="U204" s="2644"/>
      <c r="V204" s="2644">
        <v>10</v>
      </c>
      <c r="W204" s="2644" t="s">
        <v>4007</v>
      </c>
      <c r="X204" s="1140" t="s">
        <v>3441</v>
      </c>
      <c r="Y204" s="2516">
        <f>S204*10%</f>
        <v>11280000</v>
      </c>
      <c r="Z204" s="494">
        <f>V204*S204%</f>
        <v>11280000</v>
      </c>
      <c r="AA204" s="401"/>
      <c r="AB204" s="1091"/>
      <c r="AC204" s="1095"/>
      <c r="AD204" s="2553"/>
    </row>
    <row r="205" spans="1:30" s="2558" customFormat="1" ht="21.95" customHeight="1">
      <c r="A205" s="396"/>
      <c r="B205" s="2652"/>
      <c r="C205" s="397"/>
      <c r="D205" s="465"/>
      <c r="E205" s="1313"/>
      <c r="F205" s="392"/>
      <c r="G205" s="435"/>
      <c r="H205" s="482"/>
      <c r="I205" s="766">
        <f t="shared" si="68"/>
        <v>0</v>
      </c>
      <c r="J205" s="1670" t="s">
        <v>4008</v>
      </c>
      <c r="K205" s="2624"/>
      <c r="L205" s="2517"/>
      <c r="M205" s="2517"/>
      <c r="N205" s="2624"/>
      <c r="O205" s="2624"/>
      <c r="P205" s="2518"/>
      <c r="Q205" s="1673">
        <v>4</v>
      </c>
      <c r="R205" s="2630" t="s">
        <v>4003</v>
      </c>
      <c r="S205" s="1672">
        <v>750000</v>
      </c>
      <c r="T205" s="2644" t="s">
        <v>0</v>
      </c>
      <c r="U205" s="2644"/>
      <c r="V205" s="2644">
        <v>1</v>
      </c>
      <c r="W205" s="2644" t="s">
        <v>3732</v>
      </c>
      <c r="X205" s="1140" t="s">
        <v>3441</v>
      </c>
      <c r="Y205" s="2516">
        <f>Q205*S205</f>
        <v>3000000</v>
      </c>
      <c r="Z205" s="494">
        <f t="shared" si="69"/>
        <v>3000000</v>
      </c>
      <c r="AA205" s="401"/>
      <c r="AB205" s="1091"/>
      <c r="AC205" s="1095"/>
      <c r="AD205" s="2553"/>
    </row>
    <row r="206" spans="1:30" s="2558" customFormat="1" ht="21.95" customHeight="1">
      <c r="A206" s="396"/>
      <c r="B206" s="2652"/>
      <c r="C206" s="397"/>
      <c r="D206" s="465"/>
      <c r="E206" s="1313"/>
      <c r="F206" s="392"/>
      <c r="G206" s="435"/>
      <c r="H206" s="482"/>
      <c r="I206" s="766"/>
      <c r="J206" s="1670" t="s">
        <v>4010</v>
      </c>
      <c r="K206" s="2624"/>
      <c r="L206" s="2517"/>
      <c r="M206" s="2517"/>
      <c r="N206" s="2624"/>
      <c r="O206" s="2624"/>
      <c r="P206" s="2518"/>
      <c r="Q206" s="1673">
        <v>4</v>
      </c>
      <c r="R206" s="2630" t="s">
        <v>4003</v>
      </c>
      <c r="S206" s="1672">
        <v>100000</v>
      </c>
      <c r="T206" s="2644" t="s">
        <v>0</v>
      </c>
      <c r="U206" s="2644"/>
      <c r="V206" s="2644">
        <v>1</v>
      </c>
      <c r="W206" s="2644" t="s">
        <v>3732</v>
      </c>
      <c r="X206" s="1140" t="s">
        <v>3441</v>
      </c>
      <c r="Y206" s="2516">
        <f>Q206*S206*V206</f>
        <v>400000</v>
      </c>
      <c r="Z206" s="494">
        <f t="shared" si="69"/>
        <v>400000</v>
      </c>
      <c r="AA206" s="401"/>
      <c r="AB206" s="1091"/>
      <c r="AC206" s="1095"/>
      <c r="AD206" s="2553"/>
    </row>
    <row r="207" spans="1:30" s="2558" customFormat="1" ht="21.95" customHeight="1">
      <c r="A207" s="396"/>
      <c r="B207" s="2652"/>
      <c r="C207" s="397"/>
      <c r="D207" s="465"/>
      <c r="E207" s="1313"/>
      <c r="F207" s="392"/>
      <c r="G207" s="435"/>
      <c r="H207" s="482"/>
      <c r="I207" s="766"/>
      <c r="J207" s="1670" t="s">
        <v>4040</v>
      </c>
      <c r="K207" s="2624"/>
      <c r="L207" s="2517"/>
      <c r="M207" s="2517"/>
      <c r="N207" s="2624"/>
      <c r="O207" s="2624"/>
      <c r="P207" s="2518"/>
      <c r="Q207" s="1673">
        <v>4</v>
      </c>
      <c r="R207" s="2630" t="s">
        <v>4003</v>
      </c>
      <c r="S207" s="1672">
        <v>61000</v>
      </c>
      <c r="T207" s="2644" t="s">
        <v>0</v>
      </c>
      <c r="U207" s="2644"/>
      <c r="V207" s="2644">
        <v>20</v>
      </c>
      <c r="W207" s="2644" t="s">
        <v>3732</v>
      </c>
      <c r="X207" s="1140" t="s">
        <v>3441</v>
      </c>
      <c r="Y207" s="2516">
        <f>Q207*S207*V207</f>
        <v>4880000</v>
      </c>
      <c r="Z207" s="1310">
        <f t="shared" si="69"/>
        <v>4880000</v>
      </c>
      <c r="AA207" s="401"/>
      <c r="AB207" s="1091"/>
      <c r="AC207" s="1095"/>
      <c r="AD207" s="2553"/>
    </row>
    <row r="208" spans="1:30" s="2558" customFormat="1" ht="21.95" customHeight="1">
      <c r="A208" s="396"/>
      <c r="B208" s="1110"/>
      <c r="C208" s="397"/>
      <c r="D208" s="402"/>
      <c r="E208" s="1313" t="s">
        <v>4041</v>
      </c>
      <c r="F208" s="392">
        <f>Y208/1000</f>
        <v>17000</v>
      </c>
      <c r="G208" s="435">
        <v>17000</v>
      </c>
      <c r="H208" s="700"/>
      <c r="I208" s="766">
        <f>G208-H208</f>
        <v>17000</v>
      </c>
      <c r="J208" s="2643" t="s">
        <v>3447</v>
      </c>
      <c r="K208" s="2644"/>
      <c r="L208" s="2624"/>
      <c r="M208" s="2357"/>
      <c r="N208" s="2357"/>
      <c r="O208" s="2357"/>
      <c r="P208" s="1128"/>
      <c r="Q208" s="372"/>
      <c r="R208" s="2624"/>
      <c r="S208" s="1314"/>
      <c r="T208" s="344"/>
      <c r="U208" s="2501"/>
      <c r="V208" s="372"/>
      <c r="W208" s="2624"/>
      <c r="X208" s="1140"/>
      <c r="Y208" s="2516">
        <f>Y209+Y210</f>
        <v>17000000</v>
      </c>
      <c r="Z208" s="494">
        <f>SUM(Z209:Z210)</f>
        <v>17000000</v>
      </c>
      <c r="AA208" s="401"/>
      <c r="AB208" s="1091"/>
      <c r="AC208" s="1095"/>
      <c r="AD208" s="2553"/>
    </row>
    <row r="209" spans="1:30" s="2558" customFormat="1" ht="21.95" customHeight="1">
      <c r="A209" s="396"/>
      <c r="B209" s="1110"/>
      <c r="C209" s="397"/>
      <c r="D209" s="402"/>
      <c r="E209" s="1313"/>
      <c r="F209" s="392"/>
      <c r="G209" s="435"/>
      <c r="H209" s="482"/>
      <c r="I209" s="766"/>
      <c r="J209" s="2643" t="s">
        <v>4042</v>
      </c>
      <c r="K209" s="2357"/>
      <c r="L209" s="2357"/>
      <c r="M209" s="2357"/>
      <c r="N209" s="2357"/>
      <c r="O209" s="2357"/>
      <c r="P209" s="1128"/>
      <c r="Q209" s="372"/>
      <c r="R209" s="2624"/>
      <c r="S209" s="1314">
        <v>10000</v>
      </c>
      <c r="T209" s="2644" t="s">
        <v>0</v>
      </c>
      <c r="U209" s="2501"/>
      <c r="V209" s="372">
        <v>700</v>
      </c>
      <c r="W209" s="2624" t="s">
        <v>4043</v>
      </c>
      <c r="X209" s="1140" t="s">
        <v>3441</v>
      </c>
      <c r="Y209" s="2516">
        <f>S209*V209</f>
        <v>7000000</v>
      </c>
      <c r="Z209" s="494">
        <f>S209*V209</f>
        <v>7000000</v>
      </c>
      <c r="AA209" s="401"/>
      <c r="AB209" s="1091"/>
      <c r="AC209" s="1095"/>
      <c r="AD209" s="2553"/>
    </row>
    <row r="210" spans="1:30" s="2558" customFormat="1" ht="21.95" customHeight="1">
      <c r="A210" s="396"/>
      <c r="B210" s="1110"/>
      <c r="C210" s="397"/>
      <c r="D210" s="402"/>
      <c r="E210" s="1313"/>
      <c r="F210" s="392"/>
      <c r="G210" s="435"/>
      <c r="H210" s="482"/>
      <c r="I210" s="766"/>
      <c r="J210" s="2643" t="s">
        <v>4044</v>
      </c>
      <c r="K210" s="2357"/>
      <c r="L210" s="2357"/>
      <c r="M210" s="2357"/>
      <c r="N210" s="2357"/>
      <c r="O210" s="2357"/>
      <c r="P210" s="1128"/>
      <c r="Q210" s="372"/>
      <c r="R210" s="2624"/>
      <c r="S210" s="1314">
        <v>2500000</v>
      </c>
      <c r="T210" s="2644" t="s">
        <v>0</v>
      </c>
      <c r="U210" s="2501"/>
      <c r="V210" s="372">
        <v>4</v>
      </c>
      <c r="W210" s="2624" t="s">
        <v>3732</v>
      </c>
      <c r="X210" s="1140" t="s">
        <v>3441</v>
      </c>
      <c r="Y210" s="2516">
        <f>S210*V210</f>
        <v>10000000</v>
      </c>
      <c r="Z210" s="1310">
        <f t="shared" ref="Z210:Z241" si="70">S210*V210</f>
        <v>10000000</v>
      </c>
      <c r="AA210" s="401"/>
      <c r="AB210" s="1091"/>
      <c r="AC210" s="1095"/>
      <c r="AD210" s="2553"/>
    </row>
    <row r="211" spans="1:30" s="2558" customFormat="1" ht="21.95" customHeight="1">
      <c r="A211" s="396"/>
      <c r="B211" s="1110"/>
      <c r="C211" s="397"/>
      <c r="D211" s="402"/>
      <c r="E211" s="1313" t="s">
        <v>4013</v>
      </c>
      <c r="F211" s="392">
        <f t="shared" ref="F211:F213" si="71">Y211/1000</f>
        <v>1100</v>
      </c>
      <c r="G211" s="435">
        <v>1100</v>
      </c>
      <c r="H211" s="700"/>
      <c r="I211" s="766"/>
      <c r="J211" s="2643" t="s">
        <v>4045</v>
      </c>
      <c r="K211" s="2644"/>
      <c r="L211" s="2624"/>
      <c r="M211" s="2357"/>
      <c r="N211" s="2357"/>
      <c r="O211" s="2357"/>
      <c r="P211" s="1128"/>
      <c r="Q211" s="372"/>
      <c r="R211" s="2624"/>
      <c r="S211" s="1314">
        <v>550000</v>
      </c>
      <c r="T211" s="2644" t="s">
        <v>0</v>
      </c>
      <c r="U211" s="2501"/>
      <c r="V211" s="372">
        <v>2</v>
      </c>
      <c r="W211" s="2624" t="s">
        <v>3732</v>
      </c>
      <c r="X211" s="1140" t="s">
        <v>3441</v>
      </c>
      <c r="Y211" s="2516">
        <f>S211*V211</f>
        <v>1100000</v>
      </c>
      <c r="Z211" s="1310">
        <f t="shared" si="70"/>
        <v>1100000</v>
      </c>
      <c r="AA211" s="401"/>
      <c r="AB211" s="1091"/>
      <c r="AC211" s="1095"/>
      <c r="AD211" s="2553"/>
    </row>
    <row r="212" spans="1:30" s="2558" customFormat="1" ht="21.95" customHeight="1">
      <c r="A212" s="396"/>
      <c r="B212" s="1110"/>
      <c r="C212" s="397"/>
      <c r="D212" s="402"/>
      <c r="E212" s="1313" t="s">
        <v>4017</v>
      </c>
      <c r="F212" s="392">
        <f t="shared" si="71"/>
        <v>8000</v>
      </c>
      <c r="G212" s="435">
        <v>8000</v>
      </c>
      <c r="H212" s="700"/>
      <c r="I212" s="766">
        <f>G212-H212</f>
        <v>8000</v>
      </c>
      <c r="J212" s="2643" t="s">
        <v>4018</v>
      </c>
      <c r="K212" s="2624"/>
      <c r="L212" s="2624"/>
      <c r="M212" s="2624"/>
      <c r="N212" s="2624"/>
      <c r="O212" s="2624"/>
      <c r="P212" s="2624"/>
      <c r="Q212" s="408">
        <v>4</v>
      </c>
      <c r="R212" s="2628" t="s">
        <v>4003</v>
      </c>
      <c r="S212" s="1672">
        <v>50000</v>
      </c>
      <c r="T212" s="2644" t="s">
        <v>0</v>
      </c>
      <c r="U212" s="2644"/>
      <c r="V212" s="2644">
        <v>40</v>
      </c>
      <c r="W212" s="2644" t="s">
        <v>3</v>
      </c>
      <c r="X212" s="1140" t="s">
        <v>1</v>
      </c>
      <c r="Y212" s="2516">
        <f>Q212*S212*V212</f>
        <v>8000000</v>
      </c>
      <c r="Z212" s="1310">
        <f>S212*V212*Q212</f>
        <v>8000000</v>
      </c>
      <c r="AA212" s="401"/>
      <c r="AB212" s="1091"/>
      <c r="AC212" s="1095"/>
      <c r="AD212" s="2553"/>
    </row>
    <row r="213" spans="1:30" s="2558" customFormat="1" ht="21.95" customHeight="1">
      <c r="A213" s="396"/>
      <c r="B213" s="1110"/>
      <c r="C213" s="397"/>
      <c r="D213" s="402"/>
      <c r="E213" s="1313" t="s">
        <v>4022</v>
      </c>
      <c r="F213" s="392">
        <f t="shared" si="71"/>
        <v>21350</v>
      </c>
      <c r="G213" s="435">
        <v>21350</v>
      </c>
      <c r="H213" s="700"/>
      <c r="I213" s="766"/>
      <c r="J213" s="2643" t="s">
        <v>3447</v>
      </c>
      <c r="K213" s="2644"/>
      <c r="L213" s="2624"/>
      <c r="M213" s="2357"/>
      <c r="N213" s="2357"/>
      <c r="O213" s="2357"/>
      <c r="P213" s="1128"/>
      <c r="Q213" s="408"/>
      <c r="R213" s="2628"/>
      <c r="S213" s="492"/>
      <c r="T213" s="2624"/>
      <c r="U213" s="2624"/>
      <c r="V213" s="492"/>
      <c r="W213" s="2624"/>
      <c r="X213" s="1140"/>
      <c r="Y213" s="2516">
        <f>SUM(Y214:Y219)</f>
        <v>21350000</v>
      </c>
      <c r="Z213" s="494">
        <f>SUM(Z214:Z219)</f>
        <v>21350000</v>
      </c>
      <c r="AA213" s="401"/>
      <c r="AB213" s="1091"/>
      <c r="AC213" s="1095"/>
      <c r="AD213" s="2553"/>
    </row>
    <row r="214" spans="1:30" s="2558" customFormat="1" ht="21.95" customHeight="1">
      <c r="A214" s="396"/>
      <c r="B214" s="1110"/>
      <c r="C214" s="397"/>
      <c r="D214" s="402"/>
      <c r="E214" s="1313"/>
      <c r="F214" s="392"/>
      <c r="G214" s="435"/>
      <c r="H214" s="482"/>
      <c r="I214" s="766"/>
      <c r="J214" s="2643" t="s">
        <v>4046</v>
      </c>
      <c r="K214" s="2624"/>
      <c r="L214" s="2517"/>
      <c r="M214" s="2517"/>
      <c r="N214" s="2624"/>
      <c r="O214" s="2624"/>
      <c r="P214" s="2518"/>
      <c r="Q214" s="1673">
        <v>3</v>
      </c>
      <c r="R214" s="2628" t="s">
        <v>4003</v>
      </c>
      <c r="S214" s="1672">
        <v>400000</v>
      </c>
      <c r="T214" s="2644" t="s">
        <v>0</v>
      </c>
      <c r="U214" s="2644"/>
      <c r="V214" s="2644">
        <v>2</v>
      </c>
      <c r="W214" s="2644" t="s">
        <v>3732</v>
      </c>
      <c r="X214" s="1140" t="s">
        <v>3441</v>
      </c>
      <c r="Y214" s="2516">
        <f>Q214*S214*V214</f>
        <v>2400000</v>
      </c>
      <c r="Z214" s="494">
        <f>S214*V214*Q214</f>
        <v>2400000</v>
      </c>
      <c r="AA214" s="401"/>
      <c r="AB214" s="1091"/>
      <c r="AC214" s="1095"/>
      <c r="AD214" s="2553"/>
    </row>
    <row r="215" spans="1:30" s="2558" customFormat="1" ht="21.95" customHeight="1">
      <c r="A215" s="396"/>
      <c r="B215" s="1110"/>
      <c r="C215" s="397"/>
      <c r="D215" s="402"/>
      <c r="E215" s="1313"/>
      <c r="F215" s="392"/>
      <c r="G215" s="435"/>
      <c r="H215" s="482"/>
      <c r="I215" s="766"/>
      <c r="J215" s="2643" t="s">
        <v>4047</v>
      </c>
      <c r="K215" s="2357"/>
      <c r="L215" s="2357"/>
      <c r="M215" s="2357"/>
      <c r="N215" s="2357"/>
      <c r="O215" s="2357"/>
      <c r="P215" s="1128"/>
      <c r="Q215" s="1673">
        <v>10</v>
      </c>
      <c r="R215" s="2628" t="s">
        <v>4003</v>
      </c>
      <c r="S215" s="1672">
        <v>400000</v>
      </c>
      <c r="T215" s="2644" t="s">
        <v>0</v>
      </c>
      <c r="U215" s="2624"/>
      <c r="V215" s="492">
        <v>1</v>
      </c>
      <c r="W215" s="2644" t="s">
        <v>3732</v>
      </c>
      <c r="X215" s="1140" t="s">
        <v>3441</v>
      </c>
      <c r="Y215" s="2516">
        <f t="shared" ref="Y215:Y217" si="72">Q215*S215*V215</f>
        <v>4000000</v>
      </c>
      <c r="Z215" s="494">
        <f t="shared" ref="Z215:Z217" si="73">S215*V215*Q215</f>
        <v>4000000</v>
      </c>
      <c r="AA215" s="401"/>
      <c r="AB215" s="1091"/>
      <c r="AC215" s="1095"/>
      <c r="AD215" s="2553"/>
    </row>
    <row r="216" spans="1:30" s="2558" customFormat="1" ht="21.95" customHeight="1">
      <c r="A216" s="396"/>
      <c r="B216" s="1110"/>
      <c r="C216" s="397"/>
      <c r="D216" s="402"/>
      <c r="E216" s="1313"/>
      <c r="F216" s="392"/>
      <c r="G216" s="435"/>
      <c r="H216" s="482"/>
      <c r="I216" s="766">
        <f>G216-H216</f>
        <v>0</v>
      </c>
      <c r="J216" s="2643" t="s">
        <v>4048</v>
      </c>
      <c r="K216" s="2357"/>
      <c r="L216" s="2357"/>
      <c r="M216" s="2357"/>
      <c r="N216" s="2357"/>
      <c r="O216" s="2357"/>
      <c r="P216" s="1128"/>
      <c r="Q216" s="1673">
        <v>4</v>
      </c>
      <c r="R216" s="2628" t="s">
        <v>4003</v>
      </c>
      <c r="S216" s="1672">
        <v>400000</v>
      </c>
      <c r="T216" s="2644" t="s">
        <v>0</v>
      </c>
      <c r="U216" s="2624"/>
      <c r="V216" s="492">
        <v>5</v>
      </c>
      <c r="W216" s="2624" t="s">
        <v>4049</v>
      </c>
      <c r="X216" s="1140" t="s">
        <v>3441</v>
      </c>
      <c r="Y216" s="2516">
        <f t="shared" si="72"/>
        <v>8000000</v>
      </c>
      <c r="Z216" s="494">
        <f t="shared" si="73"/>
        <v>8000000</v>
      </c>
      <c r="AA216" s="401"/>
      <c r="AB216" s="1091"/>
      <c r="AC216" s="1095"/>
      <c r="AD216" s="2553"/>
    </row>
    <row r="217" spans="1:30" s="2558" customFormat="1" ht="21" customHeight="1">
      <c r="A217" s="396"/>
      <c r="B217" s="1110"/>
      <c r="C217" s="397"/>
      <c r="D217" s="402"/>
      <c r="E217" s="1313"/>
      <c r="F217" s="392"/>
      <c r="G217" s="435"/>
      <c r="H217" s="482"/>
      <c r="I217" s="766"/>
      <c r="J217" s="2643" t="s">
        <v>4050</v>
      </c>
      <c r="K217" s="2357"/>
      <c r="L217" s="2357"/>
      <c r="M217" s="2357"/>
      <c r="N217" s="2357"/>
      <c r="O217" s="2357"/>
      <c r="P217" s="1128"/>
      <c r="Q217" s="1673">
        <v>4</v>
      </c>
      <c r="R217" s="2628" t="s">
        <v>4003</v>
      </c>
      <c r="S217" s="492">
        <v>200000</v>
      </c>
      <c r="T217" s="2644" t="s">
        <v>0</v>
      </c>
      <c r="U217" s="2624"/>
      <c r="V217" s="492">
        <v>5</v>
      </c>
      <c r="W217" s="2624" t="s">
        <v>3732</v>
      </c>
      <c r="X217" s="1140" t="s">
        <v>3441</v>
      </c>
      <c r="Y217" s="2516">
        <f t="shared" si="72"/>
        <v>4000000</v>
      </c>
      <c r="Z217" s="494">
        <f t="shared" si="73"/>
        <v>4000000</v>
      </c>
      <c r="AA217" s="401"/>
      <c r="AB217" s="1091"/>
      <c r="AC217" s="1095"/>
      <c r="AD217" s="2553"/>
    </row>
    <row r="218" spans="1:30" s="2558" customFormat="1" ht="21" customHeight="1">
      <c r="A218" s="396"/>
      <c r="B218" s="1110"/>
      <c r="C218" s="397"/>
      <c r="D218" s="402"/>
      <c r="E218" s="1313"/>
      <c r="F218" s="392"/>
      <c r="G218" s="435"/>
      <c r="H218" s="482"/>
      <c r="I218" s="766"/>
      <c r="J218" s="2643" t="s">
        <v>4051</v>
      </c>
      <c r="K218" s="2357"/>
      <c r="L218" s="2357"/>
      <c r="M218" s="2357"/>
      <c r="N218" s="2357"/>
      <c r="O218" s="2357"/>
      <c r="P218" s="1128"/>
      <c r="Q218" s="408"/>
      <c r="R218" s="2628"/>
      <c r="S218" s="492">
        <v>100000</v>
      </c>
      <c r="T218" s="2644" t="s">
        <v>0</v>
      </c>
      <c r="U218" s="2624"/>
      <c r="V218" s="492">
        <v>10</v>
      </c>
      <c r="W218" s="2624" t="s">
        <v>3732</v>
      </c>
      <c r="X218" s="1140" t="s">
        <v>3441</v>
      </c>
      <c r="Y218" s="2516">
        <f>S218*V218</f>
        <v>1000000</v>
      </c>
      <c r="Z218" s="494">
        <f t="shared" si="70"/>
        <v>1000000</v>
      </c>
      <c r="AA218" s="401"/>
      <c r="AB218" s="1091"/>
      <c r="AC218" s="1095"/>
      <c r="AD218" s="2553"/>
    </row>
    <row r="219" spans="1:30" s="2558" customFormat="1" ht="21" customHeight="1">
      <c r="A219" s="396"/>
      <c r="B219" s="1110"/>
      <c r="C219" s="397"/>
      <c r="D219" s="402"/>
      <c r="E219" s="1134"/>
      <c r="F219" s="392"/>
      <c r="G219" s="435"/>
      <c r="H219" s="482"/>
      <c r="I219" s="766"/>
      <c r="J219" s="1670" t="s">
        <v>4052</v>
      </c>
      <c r="K219" s="2624"/>
      <c r="L219" s="2517"/>
      <c r="M219" s="2624"/>
      <c r="N219" s="2624"/>
      <c r="O219" s="2624"/>
      <c r="P219" s="2624"/>
      <c r="Q219" s="408"/>
      <c r="R219" s="2630"/>
      <c r="S219" s="1672">
        <v>65000</v>
      </c>
      <c r="T219" s="2644" t="s">
        <v>0</v>
      </c>
      <c r="U219" s="2644"/>
      <c r="V219" s="2644">
        <v>30</v>
      </c>
      <c r="W219" s="2644" t="s">
        <v>3732</v>
      </c>
      <c r="X219" s="1140" t="s">
        <v>3441</v>
      </c>
      <c r="Y219" s="2516">
        <f>S219*V219</f>
        <v>1950000</v>
      </c>
      <c r="Z219" s="1310">
        <f t="shared" si="70"/>
        <v>1950000</v>
      </c>
      <c r="AA219" s="401"/>
      <c r="AB219" s="1091"/>
      <c r="AC219" s="1095"/>
      <c r="AD219" s="2553"/>
    </row>
    <row r="220" spans="1:30" s="2558" customFormat="1" ht="21" customHeight="1">
      <c r="A220" s="396"/>
      <c r="B220" s="1110"/>
      <c r="C220" s="397"/>
      <c r="D220" s="402"/>
      <c r="E220" s="1134" t="s">
        <v>3740</v>
      </c>
      <c r="F220" s="392">
        <f>Y220/1000</f>
        <v>111000</v>
      </c>
      <c r="G220" s="435">
        <v>111000</v>
      </c>
      <c r="H220" s="700"/>
      <c r="I220" s="766"/>
      <c r="J220" s="2643" t="s">
        <v>3447</v>
      </c>
      <c r="K220" s="2644"/>
      <c r="L220" s="2624"/>
      <c r="M220" s="2624"/>
      <c r="N220" s="2624"/>
      <c r="O220" s="2624"/>
      <c r="P220" s="2624"/>
      <c r="Q220" s="408"/>
      <c r="R220" s="2628"/>
      <c r="S220" s="1672"/>
      <c r="T220" s="2644"/>
      <c r="U220" s="2644"/>
      <c r="V220" s="2644"/>
      <c r="W220" s="2644"/>
      <c r="X220" s="1140"/>
      <c r="Y220" s="2516">
        <f>SUM(Y221:Y225)</f>
        <v>111000000</v>
      </c>
      <c r="Z220" s="494">
        <f>SUM(Z221:Z225)</f>
        <v>111000000</v>
      </c>
      <c r="AA220" s="401"/>
      <c r="AB220" s="1091"/>
      <c r="AC220" s="1095"/>
      <c r="AD220" s="2553"/>
    </row>
    <row r="221" spans="1:30" s="2558" customFormat="1" ht="21" customHeight="1">
      <c r="A221" s="396"/>
      <c r="B221" s="1110"/>
      <c r="C221" s="397"/>
      <c r="D221" s="402"/>
      <c r="E221" s="1134"/>
      <c r="F221" s="392"/>
      <c r="G221" s="435"/>
      <c r="H221" s="482"/>
      <c r="I221" s="766"/>
      <c r="J221" s="2763" t="s">
        <v>4820</v>
      </c>
      <c r="K221" s="2644"/>
      <c r="L221" s="2624"/>
      <c r="M221" s="2624"/>
      <c r="N221" s="1673"/>
      <c r="O221" s="2624"/>
      <c r="P221" s="2624"/>
      <c r="Q221" s="408"/>
      <c r="R221" s="2630"/>
      <c r="S221" s="1672">
        <v>200000</v>
      </c>
      <c r="T221" s="2644" t="s">
        <v>0</v>
      </c>
      <c r="U221" s="2644"/>
      <c r="V221" s="2644">
        <v>30</v>
      </c>
      <c r="W221" s="2644" t="s">
        <v>3732</v>
      </c>
      <c r="X221" s="1140" t="s">
        <v>3441</v>
      </c>
      <c r="Y221" s="2516">
        <f>S221*V221</f>
        <v>6000000</v>
      </c>
      <c r="Z221" s="494">
        <f t="shared" si="70"/>
        <v>6000000</v>
      </c>
      <c r="AA221" s="401"/>
      <c r="AB221" s="1091"/>
      <c r="AC221" s="1095"/>
      <c r="AD221" s="2553"/>
    </row>
    <row r="222" spans="1:30" s="2558" customFormat="1" ht="21" customHeight="1">
      <c r="A222" s="396"/>
      <c r="B222" s="1110"/>
      <c r="C222" s="397"/>
      <c r="D222" s="402"/>
      <c r="E222" s="1134"/>
      <c r="F222" s="392"/>
      <c r="G222" s="435"/>
      <c r="H222" s="482"/>
      <c r="I222" s="766"/>
      <c r="J222" s="2763" t="s">
        <v>4821</v>
      </c>
      <c r="K222" s="2644"/>
      <c r="L222" s="2624"/>
      <c r="M222" s="2624"/>
      <c r="N222" s="1673"/>
      <c r="O222" s="2624"/>
      <c r="P222" s="2624"/>
      <c r="Q222" s="408"/>
      <c r="R222" s="2630"/>
      <c r="S222" s="1672">
        <v>2000000</v>
      </c>
      <c r="T222" s="2644" t="s">
        <v>0</v>
      </c>
      <c r="U222" s="2644"/>
      <c r="V222" s="2644">
        <v>4</v>
      </c>
      <c r="W222" s="2644" t="s">
        <v>3732</v>
      </c>
      <c r="X222" s="1140" t="s">
        <v>3441</v>
      </c>
      <c r="Y222" s="2516">
        <f t="shared" ref="Y222:Y225" si="74">S222*V222</f>
        <v>8000000</v>
      </c>
      <c r="Z222" s="494">
        <f t="shared" si="70"/>
        <v>8000000</v>
      </c>
      <c r="AA222" s="401"/>
      <c r="AB222" s="1091"/>
      <c r="AC222" s="1095"/>
      <c r="AD222" s="2553"/>
    </row>
    <row r="223" spans="1:30" s="2558" customFormat="1" ht="21" customHeight="1">
      <c r="A223" s="396"/>
      <c r="B223" s="1110"/>
      <c r="C223" s="397"/>
      <c r="D223" s="402"/>
      <c r="E223" s="1134"/>
      <c r="F223" s="392"/>
      <c r="G223" s="435"/>
      <c r="H223" s="482"/>
      <c r="I223" s="766"/>
      <c r="J223" s="2763" t="s">
        <v>4822</v>
      </c>
      <c r="K223" s="2644"/>
      <c r="L223" s="2624"/>
      <c r="M223" s="2624"/>
      <c r="N223" s="1673"/>
      <c r="O223" s="2624"/>
      <c r="P223" s="2624"/>
      <c r="Q223" s="408"/>
      <c r="R223" s="2630"/>
      <c r="S223" s="1672">
        <v>40000000</v>
      </c>
      <c r="T223" s="2644" t="s">
        <v>0</v>
      </c>
      <c r="U223" s="2644"/>
      <c r="V223" s="2644">
        <v>1</v>
      </c>
      <c r="W223" s="2644" t="s">
        <v>3440</v>
      </c>
      <c r="X223" s="1140" t="s">
        <v>3441</v>
      </c>
      <c r="Y223" s="2516">
        <f t="shared" si="74"/>
        <v>40000000</v>
      </c>
      <c r="Z223" s="494">
        <f t="shared" si="70"/>
        <v>40000000</v>
      </c>
      <c r="AA223" s="401"/>
      <c r="AB223" s="1091"/>
      <c r="AC223" s="1095"/>
      <c r="AD223" s="2553"/>
    </row>
    <row r="224" spans="1:30" s="2558" customFormat="1" ht="21" customHeight="1">
      <c r="A224" s="396"/>
      <c r="B224" s="1110"/>
      <c r="C224" s="397"/>
      <c r="D224" s="402"/>
      <c r="E224" s="1134"/>
      <c r="F224" s="392"/>
      <c r="G224" s="435"/>
      <c r="H224" s="482"/>
      <c r="I224" s="766"/>
      <c r="J224" s="2763" t="s">
        <v>4823</v>
      </c>
      <c r="K224" s="2624"/>
      <c r="L224" s="2624"/>
      <c r="M224" s="2624"/>
      <c r="N224" s="2624"/>
      <c r="O224" s="2624"/>
      <c r="P224" s="2624"/>
      <c r="Q224" s="408"/>
      <c r="R224" s="2628"/>
      <c r="S224" s="1672">
        <v>25000000</v>
      </c>
      <c r="T224" s="2644" t="s">
        <v>0</v>
      </c>
      <c r="U224" s="2644"/>
      <c r="V224" s="2644">
        <v>2</v>
      </c>
      <c r="W224" s="2644" t="s">
        <v>3732</v>
      </c>
      <c r="X224" s="1140" t="s">
        <v>3441</v>
      </c>
      <c r="Y224" s="2516">
        <f t="shared" si="74"/>
        <v>50000000</v>
      </c>
      <c r="Z224" s="494">
        <f t="shared" si="70"/>
        <v>50000000</v>
      </c>
      <c r="AA224" s="401"/>
      <c r="AB224" s="1091"/>
      <c r="AC224" s="1095"/>
      <c r="AD224" s="2553"/>
    </row>
    <row r="225" spans="1:30" s="2558" customFormat="1" ht="21" customHeight="1">
      <c r="A225" s="396"/>
      <c r="B225" s="1110"/>
      <c r="C225" s="397"/>
      <c r="D225" s="402"/>
      <c r="E225" s="1134"/>
      <c r="F225" s="392"/>
      <c r="G225" s="435"/>
      <c r="H225" s="482"/>
      <c r="I225" s="766"/>
      <c r="J225" s="2763" t="s">
        <v>4824</v>
      </c>
      <c r="K225" s="2624"/>
      <c r="L225" s="2624"/>
      <c r="M225" s="2624"/>
      <c r="N225" s="2624"/>
      <c r="O225" s="2624"/>
      <c r="P225" s="2624"/>
      <c r="Q225" s="408"/>
      <c r="R225" s="2628"/>
      <c r="S225" s="1672">
        <v>1750000</v>
      </c>
      <c r="T225" s="2644" t="s">
        <v>0</v>
      </c>
      <c r="U225" s="2644"/>
      <c r="V225" s="2644">
        <v>4</v>
      </c>
      <c r="W225" s="2644" t="s">
        <v>3732</v>
      </c>
      <c r="X225" s="1140" t="s">
        <v>3441</v>
      </c>
      <c r="Y225" s="2516">
        <f t="shared" si="74"/>
        <v>7000000</v>
      </c>
      <c r="Z225" s="1310">
        <f t="shared" si="70"/>
        <v>7000000</v>
      </c>
      <c r="AA225" s="401"/>
      <c r="AB225" s="1091"/>
      <c r="AC225" s="1095"/>
      <c r="AD225" s="2553"/>
    </row>
    <row r="226" spans="1:30" s="2558" customFormat="1" ht="21" customHeight="1">
      <c r="A226" s="396"/>
      <c r="B226" s="1110"/>
      <c r="C226" s="397"/>
      <c r="D226" s="402"/>
      <c r="E226" s="1134" t="s">
        <v>4032</v>
      </c>
      <c r="F226" s="392">
        <f>Y226/1000</f>
        <v>22000</v>
      </c>
      <c r="G226" s="435">
        <v>22000</v>
      </c>
      <c r="H226" s="700"/>
      <c r="I226" s="766"/>
      <c r="J226" s="2643" t="s">
        <v>3447</v>
      </c>
      <c r="K226" s="2644"/>
      <c r="L226" s="2624"/>
      <c r="M226" s="2624"/>
      <c r="N226" s="2624"/>
      <c r="O226" s="2624"/>
      <c r="P226" s="2624"/>
      <c r="Q226" s="408"/>
      <c r="R226" s="2628"/>
      <c r="S226" s="1672"/>
      <c r="T226" s="2644"/>
      <c r="U226" s="2644"/>
      <c r="V226" s="2644"/>
      <c r="W226" s="2644"/>
      <c r="X226" s="1140"/>
      <c r="Y226" s="2516">
        <f>SUM(Y227:Y229)</f>
        <v>22000000</v>
      </c>
      <c r="Z226" s="494">
        <f>SUM(Z227:Z229)</f>
        <v>22000000</v>
      </c>
      <c r="AA226" s="401"/>
      <c r="AB226" s="1091"/>
      <c r="AC226" s="1095"/>
      <c r="AD226" s="2553"/>
    </row>
    <row r="227" spans="1:30" s="2558" customFormat="1" ht="21" customHeight="1">
      <c r="A227" s="396"/>
      <c r="B227" s="1110"/>
      <c r="C227" s="397"/>
      <c r="D227" s="402"/>
      <c r="E227" s="1134"/>
      <c r="F227" s="392"/>
      <c r="G227" s="435"/>
      <c r="H227" s="482"/>
      <c r="I227" s="766"/>
      <c r="J227" s="2763" t="s">
        <v>4825</v>
      </c>
      <c r="K227" s="2624"/>
      <c r="L227" s="2624"/>
      <c r="M227" s="2624"/>
      <c r="N227" s="2624"/>
      <c r="O227" s="2624"/>
      <c r="P227" s="2624"/>
      <c r="Q227" s="408"/>
      <c r="R227" s="2628"/>
      <c r="S227" s="1672">
        <v>500000</v>
      </c>
      <c r="T227" s="2644" t="s">
        <v>0</v>
      </c>
      <c r="U227" s="2644"/>
      <c r="V227" s="2644">
        <v>6</v>
      </c>
      <c r="W227" s="2644" t="s">
        <v>4004</v>
      </c>
      <c r="X227" s="1140" t="s">
        <v>3441</v>
      </c>
      <c r="Y227" s="2516">
        <f>S227*V227</f>
        <v>3000000</v>
      </c>
      <c r="Z227" s="494">
        <f t="shared" si="70"/>
        <v>3000000</v>
      </c>
      <c r="AA227" s="401"/>
      <c r="AB227" s="1091"/>
      <c r="AC227" s="1095"/>
      <c r="AD227" s="2553"/>
    </row>
    <row r="228" spans="1:30" s="2558" customFormat="1" ht="21" customHeight="1">
      <c r="A228" s="396"/>
      <c r="B228" s="1110"/>
      <c r="C228" s="397"/>
      <c r="D228" s="402"/>
      <c r="E228" s="1134"/>
      <c r="F228" s="392"/>
      <c r="G228" s="435"/>
      <c r="H228" s="482"/>
      <c r="I228" s="766"/>
      <c r="J228" s="2763" t="s">
        <v>4826</v>
      </c>
      <c r="K228" s="2624"/>
      <c r="L228" s="2624"/>
      <c r="M228" s="2624"/>
      <c r="N228" s="2624"/>
      <c r="O228" s="2624"/>
      <c r="P228" s="2624"/>
      <c r="Q228" s="408"/>
      <c r="R228" s="2628"/>
      <c r="S228" s="1672">
        <v>500000</v>
      </c>
      <c r="T228" s="2644" t="s">
        <v>0</v>
      </c>
      <c r="U228" s="2644"/>
      <c r="V228" s="2644">
        <v>8</v>
      </c>
      <c r="W228" s="2644" t="s">
        <v>3732</v>
      </c>
      <c r="X228" s="1140" t="s">
        <v>3441</v>
      </c>
      <c r="Y228" s="2516">
        <f t="shared" ref="Y228:Y229" si="75">S228*V228</f>
        <v>4000000</v>
      </c>
      <c r="Z228" s="494">
        <f t="shared" si="70"/>
        <v>4000000</v>
      </c>
      <c r="AA228" s="401"/>
      <c r="AB228" s="1091"/>
      <c r="AC228" s="1095"/>
      <c r="AD228" s="2553"/>
    </row>
    <row r="229" spans="1:30" s="2558" customFormat="1" ht="21" customHeight="1">
      <c r="A229" s="396"/>
      <c r="B229" s="1110"/>
      <c r="C229" s="397"/>
      <c r="D229" s="402"/>
      <c r="E229" s="1134"/>
      <c r="F229" s="392"/>
      <c r="G229" s="435"/>
      <c r="H229" s="482"/>
      <c r="I229" s="766"/>
      <c r="J229" s="2763" t="s">
        <v>4827</v>
      </c>
      <c r="K229" s="2624"/>
      <c r="L229" s="2624"/>
      <c r="M229" s="2624"/>
      <c r="N229" s="2624"/>
      <c r="O229" s="2624"/>
      <c r="P229" s="2624"/>
      <c r="Q229" s="408"/>
      <c r="R229" s="2628"/>
      <c r="S229" s="1672">
        <v>1250000</v>
      </c>
      <c r="T229" s="2644" t="s">
        <v>0</v>
      </c>
      <c r="U229" s="2644"/>
      <c r="V229" s="2644">
        <v>12</v>
      </c>
      <c r="W229" s="2644" t="s">
        <v>4004</v>
      </c>
      <c r="X229" s="1140" t="s">
        <v>3441</v>
      </c>
      <c r="Y229" s="2516">
        <f t="shared" si="75"/>
        <v>15000000</v>
      </c>
      <c r="Z229" s="1310">
        <f t="shared" si="70"/>
        <v>15000000</v>
      </c>
      <c r="AA229" s="401"/>
      <c r="AB229" s="1091"/>
      <c r="AC229" s="1095"/>
      <c r="AD229" s="2553"/>
    </row>
    <row r="230" spans="1:30" s="2558" customFormat="1" ht="21" customHeight="1">
      <c r="A230" s="396"/>
      <c r="B230" s="1110"/>
      <c r="C230" s="397"/>
      <c r="D230" s="402"/>
      <c r="E230" s="1134" t="s">
        <v>4023</v>
      </c>
      <c r="F230" s="392">
        <f>Y230/1000</f>
        <v>1050000</v>
      </c>
      <c r="G230" s="435">
        <v>1050000</v>
      </c>
      <c r="H230" s="700"/>
      <c r="I230" s="766"/>
      <c r="J230" s="2643" t="s">
        <v>3447</v>
      </c>
      <c r="K230" s="2644"/>
      <c r="L230" s="2624"/>
      <c r="M230" s="2624"/>
      <c r="N230" s="2624"/>
      <c r="O230" s="2624"/>
      <c r="P230" s="2624"/>
      <c r="Q230" s="408"/>
      <c r="R230" s="2628"/>
      <c r="S230" s="1672"/>
      <c r="T230" s="2644"/>
      <c r="U230" s="2644"/>
      <c r="V230" s="2644"/>
      <c r="W230" s="2644"/>
      <c r="X230" s="1140"/>
      <c r="Y230" s="2516">
        <f>Y231+Y232</f>
        <v>1050000000</v>
      </c>
      <c r="Z230" s="494">
        <f>SUM(Z231:Z232)</f>
        <v>1050000000</v>
      </c>
      <c r="AA230" s="401"/>
      <c r="AB230" s="1091"/>
      <c r="AC230" s="1095"/>
      <c r="AD230" s="2553"/>
    </row>
    <row r="231" spans="1:30" s="2558" customFormat="1" ht="21" customHeight="1">
      <c r="A231" s="396"/>
      <c r="B231" s="1110"/>
      <c r="C231" s="397"/>
      <c r="D231" s="402"/>
      <c r="E231" s="1134"/>
      <c r="F231" s="392"/>
      <c r="G231" s="435"/>
      <c r="H231" s="482"/>
      <c r="I231" s="766"/>
      <c r="J231" s="2763" t="s">
        <v>4828</v>
      </c>
      <c r="K231" s="2624"/>
      <c r="L231" s="2624"/>
      <c r="M231" s="2624"/>
      <c r="N231" s="2624"/>
      <c r="O231" s="2624"/>
      <c r="P231" s="2624"/>
      <c r="Q231" s="408"/>
      <c r="R231" s="2628"/>
      <c r="S231" s="1672">
        <v>25000000</v>
      </c>
      <c r="T231" s="2644" t="s">
        <v>0</v>
      </c>
      <c r="U231" s="2644"/>
      <c r="V231" s="2644">
        <v>40</v>
      </c>
      <c r="W231" s="2644" t="s">
        <v>4053</v>
      </c>
      <c r="X231" s="1140" t="s">
        <v>3441</v>
      </c>
      <c r="Y231" s="2516">
        <f>S231*V231</f>
        <v>1000000000</v>
      </c>
      <c r="Z231" s="494">
        <f t="shared" si="70"/>
        <v>1000000000</v>
      </c>
      <c r="AA231" s="401"/>
      <c r="AB231" s="1091"/>
      <c r="AC231" s="1095"/>
      <c r="AD231" s="2553"/>
    </row>
    <row r="232" spans="1:30" s="2558" customFormat="1" ht="21" customHeight="1">
      <c r="A232" s="396"/>
      <c r="B232" s="1110"/>
      <c r="C232" s="397"/>
      <c r="D232" s="402"/>
      <c r="E232" s="1134"/>
      <c r="F232" s="392"/>
      <c r="G232" s="435"/>
      <c r="H232" s="482"/>
      <c r="I232" s="766"/>
      <c r="J232" s="2763" t="s">
        <v>4829</v>
      </c>
      <c r="K232" s="2624"/>
      <c r="L232" s="2624"/>
      <c r="M232" s="2624"/>
      <c r="N232" s="2624"/>
      <c r="O232" s="2624"/>
      <c r="P232" s="2624"/>
      <c r="Q232" s="408"/>
      <c r="R232" s="2628"/>
      <c r="S232" s="1672">
        <v>50000000</v>
      </c>
      <c r="T232" s="2644" t="s">
        <v>0</v>
      </c>
      <c r="U232" s="2644"/>
      <c r="V232" s="2644">
        <v>1</v>
      </c>
      <c r="W232" s="2644" t="s">
        <v>4053</v>
      </c>
      <c r="X232" s="1140" t="s">
        <v>3441</v>
      </c>
      <c r="Y232" s="2516">
        <f>S232*V232</f>
        <v>50000000</v>
      </c>
      <c r="Z232" s="1310">
        <f t="shared" si="70"/>
        <v>50000000</v>
      </c>
      <c r="AA232" s="401"/>
      <c r="AB232" s="1091"/>
      <c r="AC232" s="1095"/>
      <c r="AD232" s="2553"/>
    </row>
    <row r="233" spans="1:30" s="2558" customFormat="1" ht="21" customHeight="1">
      <c r="A233" s="396"/>
      <c r="B233" s="1110"/>
      <c r="C233" s="397"/>
      <c r="D233" s="402"/>
      <c r="E233" s="1134" t="s">
        <v>3456</v>
      </c>
      <c r="F233" s="392">
        <f>Y233/1000</f>
        <v>490</v>
      </c>
      <c r="G233" s="435">
        <v>490</v>
      </c>
      <c r="H233" s="700"/>
      <c r="I233" s="766"/>
      <c r="J233" s="2643" t="s">
        <v>4054</v>
      </c>
      <c r="K233" s="2624"/>
      <c r="L233" s="2624"/>
      <c r="M233" s="2624"/>
      <c r="N233" s="2624"/>
      <c r="O233" s="2624"/>
      <c r="P233" s="2624"/>
      <c r="Q233" s="408"/>
      <c r="R233" s="2628"/>
      <c r="S233" s="1672">
        <v>49000</v>
      </c>
      <c r="T233" s="2644" t="s">
        <v>0</v>
      </c>
      <c r="U233" s="2644"/>
      <c r="V233" s="2644">
        <v>10</v>
      </c>
      <c r="W233" s="2644" t="s">
        <v>3732</v>
      </c>
      <c r="X233" s="1140" t="s">
        <v>3441</v>
      </c>
      <c r="Y233" s="2516">
        <f>S233*V233</f>
        <v>490000</v>
      </c>
      <c r="Z233" s="1310">
        <f t="shared" si="70"/>
        <v>490000</v>
      </c>
      <c r="AA233" s="401"/>
      <c r="AB233" s="1091"/>
      <c r="AC233" s="1095"/>
      <c r="AD233" s="2553"/>
    </row>
    <row r="234" spans="1:30" s="2558" customFormat="1" ht="21" customHeight="1">
      <c r="A234" s="396"/>
      <c r="B234" s="1110"/>
      <c r="C234" s="397"/>
      <c r="D234" s="402"/>
      <c r="E234" s="1134" t="s">
        <v>4026</v>
      </c>
      <c r="F234" s="392">
        <f>Y234/1000</f>
        <v>124500</v>
      </c>
      <c r="G234" s="435">
        <v>124500</v>
      </c>
      <c r="H234" s="700"/>
      <c r="I234" s="766"/>
      <c r="J234" s="2643" t="s">
        <v>3447</v>
      </c>
      <c r="K234" s="2644"/>
      <c r="L234" s="2624"/>
      <c r="M234" s="2624"/>
      <c r="N234" s="2624"/>
      <c r="O234" s="2624"/>
      <c r="P234" s="2624"/>
      <c r="Q234" s="408"/>
      <c r="R234" s="2628"/>
      <c r="S234" s="1672"/>
      <c r="T234" s="2644"/>
      <c r="U234" s="2644"/>
      <c r="V234" s="2644"/>
      <c r="W234" s="2644"/>
      <c r="X234" s="1140"/>
      <c r="Y234" s="2516">
        <f>SUM(Y235:Y240)</f>
        <v>124500000</v>
      </c>
      <c r="Z234" s="494">
        <f>SUM(Z235:Z240)</f>
        <v>124500000</v>
      </c>
      <c r="AA234" s="401"/>
      <c r="AB234" s="1091"/>
      <c r="AC234" s="1095"/>
      <c r="AD234" s="2553"/>
    </row>
    <row r="235" spans="1:30" s="2558" customFormat="1" ht="21" customHeight="1">
      <c r="A235" s="396"/>
      <c r="B235" s="1110"/>
      <c r="C235" s="397"/>
      <c r="D235" s="402"/>
      <c r="E235" s="1134"/>
      <c r="F235" s="392"/>
      <c r="G235" s="435"/>
      <c r="H235" s="482"/>
      <c r="I235" s="766"/>
      <c r="J235" s="2763" t="s">
        <v>4830</v>
      </c>
      <c r="K235" s="2624"/>
      <c r="L235" s="2624"/>
      <c r="M235" s="2624"/>
      <c r="N235" s="2624"/>
      <c r="O235" s="2624"/>
      <c r="P235" s="2624"/>
      <c r="Q235" s="408"/>
      <c r="R235" s="2628"/>
      <c r="S235" s="1672">
        <v>70000000</v>
      </c>
      <c r="T235" s="2644" t="s">
        <v>0</v>
      </c>
      <c r="U235" s="2644"/>
      <c r="V235" s="2644">
        <v>1</v>
      </c>
      <c r="W235" s="2644" t="s">
        <v>3732</v>
      </c>
      <c r="X235" s="1140" t="s">
        <v>3441</v>
      </c>
      <c r="Y235" s="2516">
        <f t="shared" ref="Y235:Y241" si="76">S235*V235</f>
        <v>70000000</v>
      </c>
      <c r="Z235" s="494">
        <f t="shared" si="70"/>
        <v>70000000</v>
      </c>
      <c r="AA235" s="401"/>
      <c r="AB235" s="1091"/>
      <c r="AC235" s="1095"/>
      <c r="AD235" s="2553"/>
    </row>
    <row r="236" spans="1:30" s="2558" customFormat="1" ht="21" customHeight="1">
      <c r="A236" s="396"/>
      <c r="B236" s="1110"/>
      <c r="C236" s="397"/>
      <c r="D236" s="402"/>
      <c r="E236" s="1134"/>
      <c r="F236" s="392"/>
      <c r="G236" s="435"/>
      <c r="H236" s="482"/>
      <c r="I236" s="766"/>
      <c r="J236" s="2763" t="s">
        <v>4831</v>
      </c>
      <c r="K236" s="2624"/>
      <c r="L236" s="2624"/>
      <c r="M236" s="2624"/>
      <c r="N236" s="2624"/>
      <c r="O236" s="2624"/>
      <c r="P236" s="2624"/>
      <c r="Q236" s="408"/>
      <c r="R236" s="2628"/>
      <c r="S236" s="1672">
        <v>15000000</v>
      </c>
      <c r="T236" s="2644" t="s">
        <v>0</v>
      </c>
      <c r="U236" s="2644"/>
      <c r="V236" s="2644">
        <v>2</v>
      </c>
      <c r="W236" s="2644" t="s">
        <v>3732</v>
      </c>
      <c r="X236" s="1140" t="s">
        <v>3441</v>
      </c>
      <c r="Y236" s="2516">
        <f t="shared" si="76"/>
        <v>30000000</v>
      </c>
      <c r="Z236" s="494">
        <f t="shared" si="70"/>
        <v>30000000</v>
      </c>
      <c r="AA236" s="401"/>
      <c r="AB236" s="1091"/>
      <c r="AC236" s="1095"/>
      <c r="AD236" s="2553"/>
    </row>
    <row r="237" spans="1:30" s="2558" customFormat="1" ht="21" customHeight="1">
      <c r="A237" s="396"/>
      <c r="B237" s="1110"/>
      <c r="C237" s="397"/>
      <c r="D237" s="402"/>
      <c r="E237" s="1134"/>
      <c r="F237" s="392"/>
      <c r="G237" s="435"/>
      <c r="H237" s="482"/>
      <c r="I237" s="766"/>
      <c r="J237" s="2763" t="s">
        <v>4832</v>
      </c>
      <c r="K237" s="2624"/>
      <c r="L237" s="2624"/>
      <c r="M237" s="2624"/>
      <c r="N237" s="2624"/>
      <c r="O237" s="2624"/>
      <c r="P237" s="2624"/>
      <c r="Q237" s="408"/>
      <c r="R237" s="2628"/>
      <c r="S237" s="1672">
        <v>8000</v>
      </c>
      <c r="T237" s="2644" t="s">
        <v>0</v>
      </c>
      <c r="U237" s="2644"/>
      <c r="V237" s="2644">
        <v>500</v>
      </c>
      <c r="W237" s="2644" t="s">
        <v>3728</v>
      </c>
      <c r="X237" s="1140" t="s">
        <v>3441</v>
      </c>
      <c r="Y237" s="2516">
        <f t="shared" si="76"/>
        <v>4000000</v>
      </c>
      <c r="Z237" s="494">
        <f t="shared" si="70"/>
        <v>4000000</v>
      </c>
      <c r="AA237" s="401"/>
      <c r="AB237" s="1091"/>
      <c r="AC237" s="1095"/>
      <c r="AD237" s="2553"/>
    </row>
    <row r="238" spans="1:30" s="2558" customFormat="1" ht="21" customHeight="1">
      <c r="A238" s="396"/>
      <c r="B238" s="1110"/>
      <c r="C238" s="397"/>
      <c r="D238" s="402"/>
      <c r="E238" s="1134"/>
      <c r="F238" s="392"/>
      <c r="G238" s="435"/>
      <c r="H238" s="482"/>
      <c r="I238" s="766"/>
      <c r="J238" s="2763" t="s">
        <v>4833</v>
      </c>
      <c r="K238" s="2624"/>
      <c r="L238" s="2624"/>
      <c r="M238" s="2624"/>
      <c r="N238" s="2624"/>
      <c r="O238" s="2624"/>
      <c r="P238" s="2624"/>
      <c r="Q238" s="408"/>
      <c r="R238" s="2628"/>
      <c r="S238" s="1672">
        <v>300000</v>
      </c>
      <c r="T238" s="2644" t="s">
        <v>0</v>
      </c>
      <c r="U238" s="2644"/>
      <c r="V238" s="2644">
        <v>10</v>
      </c>
      <c r="W238" s="2644" t="s">
        <v>4049</v>
      </c>
      <c r="X238" s="1140" t="s">
        <v>3441</v>
      </c>
      <c r="Y238" s="2516">
        <f t="shared" si="76"/>
        <v>3000000</v>
      </c>
      <c r="Z238" s="494">
        <f t="shared" si="70"/>
        <v>3000000</v>
      </c>
      <c r="AA238" s="401"/>
      <c r="AB238" s="1091"/>
      <c r="AC238" s="1095"/>
      <c r="AD238" s="2553"/>
    </row>
    <row r="239" spans="1:30" s="2558" customFormat="1" ht="21" customHeight="1">
      <c r="A239" s="396"/>
      <c r="B239" s="1110"/>
      <c r="C239" s="397"/>
      <c r="D239" s="402"/>
      <c r="E239" s="1134"/>
      <c r="F239" s="392"/>
      <c r="G239" s="435"/>
      <c r="H239" s="482"/>
      <c r="I239" s="766">
        <f t="shared" ref="H239:I242" si="77">G239-H239</f>
        <v>0</v>
      </c>
      <c r="J239" s="2763" t="s">
        <v>4834</v>
      </c>
      <c r="K239" s="2624"/>
      <c r="L239" s="2624"/>
      <c r="M239" s="2624"/>
      <c r="N239" s="2624"/>
      <c r="O239" s="2624"/>
      <c r="P239" s="2624"/>
      <c r="Q239" s="408"/>
      <c r="R239" s="2628"/>
      <c r="S239" s="1672">
        <v>500000</v>
      </c>
      <c r="T239" s="2644" t="s">
        <v>0</v>
      </c>
      <c r="U239" s="2644"/>
      <c r="V239" s="2644">
        <v>15</v>
      </c>
      <c r="W239" s="2644" t="s">
        <v>3732</v>
      </c>
      <c r="X239" s="1140" t="s">
        <v>3441</v>
      </c>
      <c r="Y239" s="2516">
        <f t="shared" si="76"/>
        <v>7500000</v>
      </c>
      <c r="Z239" s="494">
        <f t="shared" si="70"/>
        <v>7500000</v>
      </c>
      <c r="AA239" s="401"/>
      <c r="AB239" s="1091"/>
      <c r="AC239" s="1095"/>
      <c r="AD239" s="2553"/>
    </row>
    <row r="240" spans="1:30" s="2558" customFormat="1" ht="21" customHeight="1">
      <c r="A240" s="396"/>
      <c r="B240" s="1110"/>
      <c r="C240" s="397"/>
      <c r="D240" s="402"/>
      <c r="E240" s="1134"/>
      <c r="F240" s="392"/>
      <c r="G240" s="435"/>
      <c r="H240" s="482"/>
      <c r="I240" s="766">
        <f t="shared" si="77"/>
        <v>0</v>
      </c>
      <c r="J240" s="2763" t="s">
        <v>4835</v>
      </c>
      <c r="K240" s="2519"/>
      <c r="L240" s="2519"/>
      <c r="M240" s="2519"/>
      <c r="N240" s="2624"/>
      <c r="O240" s="2624"/>
      <c r="P240" s="2624"/>
      <c r="Q240" s="408"/>
      <c r="R240" s="2628"/>
      <c r="S240" s="1672">
        <v>10000000</v>
      </c>
      <c r="T240" s="2644" t="s">
        <v>0</v>
      </c>
      <c r="U240" s="2644"/>
      <c r="V240" s="2644">
        <v>1</v>
      </c>
      <c r="W240" s="2644" t="s">
        <v>3440</v>
      </c>
      <c r="X240" s="1140" t="s">
        <v>3441</v>
      </c>
      <c r="Y240" s="2516">
        <f t="shared" si="76"/>
        <v>10000000</v>
      </c>
      <c r="Z240" s="1310">
        <f t="shared" si="70"/>
        <v>10000000</v>
      </c>
      <c r="AA240" s="401"/>
      <c r="AB240" s="1091"/>
      <c r="AC240" s="1095"/>
      <c r="AD240" s="2553"/>
    </row>
    <row r="241" spans="1:30" s="2558" customFormat="1" ht="21" customHeight="1" thickBot="1">
      <c r="A241" s="396"/>
      <c r="B241" s="1110"/>
      <c r="C241" s="397"/>
      <c r="D241" s="402"/>
      <c r="E241" s="855" t="s">
        <v>4028</v>
      </c>
      <c r="F241" s="2520">
        <f>Y241/1000</f>
        <v>5000</v>
      </c>
      <c r="G241" s="424">
        <v>5000</v>
      </c>
      <c r="H241" s="700"/>
      <c r="I241" s="766">
        <f t="shared" si="77"/>
        <v>5000</v>
      </c>
      <c r="J241" s="1627" t="s">
        <v>4055</v>
      </c>
      <c r="K241" s="2619"/>
      <c r="L241" s="2619"/>
      <c r="M241" s="2619"/>
      <c r="N241" s="2619"/>
      <c r="O241" s="2619"/>
      <c r="P241" s="2619"/>
      <c r="Q241" s="368"/>
      <c r="R241" s="1325"/>
      <c r="S241" s="459">
        <v>100000</v>
      </c>
      <c r="T241" s="459" t="s">
        <v>0</v>
      </c>
      <c r="U241" s="459"/>
      <c r="V241" s="459">
        <v>50</v>
      </c>
      <c r="W241" s="459" t="s">
        <v>3732</v>
      </c>
      <c r="X241" s="460"/>
      <c r="Y241" s="2521">
        <f t="shared" si="76"/>
        <v>5000000</v>
      </c>
      <c r="Z241" s="1158">
        <f t="shared" si="70"/>
        <v>5000000</v>
      </c>
      <c r="AA241" s="401"/>
      <c r="AB241" s="1091"/>
      <c r="AC241" s="1095"/>
      <c r="AD241" s="2553"/>
    </row>
    <row r="242" spans="1:30" s="591" customFormat="1" ht="21" customHeight="1" thickBot="1">
      <c r="A242" s="1112"/>
      <c r="B242" s="3538" t="s">
        <v>4056</v>
      </c>
      <c r="C242" s="3538"/>
      <c r="D242" s="3538"/>
      <c r="E242" s="3538"/>
      <c r="F242" s="615">
        <f>F243+F264+F484+F510+F522+F534+F538</f>
        <v>27762642</v>
      </c>
      <c r="G242" s="615">
        <f>G243+G264+G484+G510+G522+G534+G538</f>
        <v>26987642</v>
      </c>
      <c r="H242" s="421">
        <f t="shared" si="77"/>
        <v>775000</v>
      </c>
      <c r="I242" s="1783"/>
      <c r="J242" s="1441"/>
      <c r="K242" s="423"/>
      <c r="L242" s="423"/>
      <c r="M242" s="423"/>
      <c r="N242" s="423"/>
      <c r="O242" s="423"/>
      <c r="P242" s="423"/>
      <c r="Q242" s="1442"/>
      <c r="R242" s="1442"/>
      <c r="S242" s="1442"/>
      <c r="T242" s="1442"/>
      <c r="U242" s="1442"/>
      <c r="V242" s="1442"/>
      <c r="W242" s="1442"/>
      <c r="X242" s="1443"/>
      <c r="Y242" s="1444"/>
      <c r="Z242" s="1445"/>
      <c r="AA242" s="401"/>
      <c r="AB242" s="1091"/>
      <c r="AC242" s="1423"/>
      <c r="AD242" s="607"/>
    </row>
    <row r="243" spans="1:30" s="2558" customFormat="1" ht="21" customHeight="1">
      <c r="A243" s="396"/>
      <c r="B243" s="412"/>
      <c r="C243" s="3381" t="s">
        <v>4057</v>
      </c>
      <c r="D243" s="3375"/>
      <c r="E243" s="3376"/>
      <c r="F243" s="1446">
        <f>F244+F262</f>
        <v>19787642</v>
      </c>
      <c r="G243" s="1446">
        <f>G244+G262</f>
        <v>19787642</v>
      </c>
      <c r="H243" s="820">
        <f>F243-G243</f>
        <v>0</v>
      </c>
      <c r="I243" s="3106">
        <f t="shared" ref="I243:I260" si="78">G243-H243</f>
        <v>19787642</v>
      </c>
      <c r="J243" s="2284"/>
      <c r="K243" s="2619"/>
      <c r="L243" s="2619"/>
      <c r="M243" s="2619"/>
      <c r="N243" s="2619"/>
      <c r="O243" s="2619"/>
      <c r="P243" s="2619"/>
      <c r="Q243" s="2619"/>
      <c r="R243" s="2619"/>
      <c r="S243" s="2619"/>
      <c r="T243" s="2619"/>
      <c r="U243" s="2619"/>
      <c r="V243" s="2619"/>
      <c r="W243" s="2619"/>
      <c r="X243" s="426"/>
      <c r="Y243" s="427"/>
      <c r="Z243" s="428"/>
      <c r="AA243" s="401"/>
      <c r="AB243" s="2625"/>
      <c r="AC243" s="1091">
        <f>F243</f>
        <v>19787642</v>
      </c>
      <c r="AD243" s="2553"/>
    </row>
    <row r="244" spans="1:30" s="2558" customFormat="1" ht="21" customHeight="1">
      <c r="A244" s="436"/>
      <c r="B244" s="402"/>
      <c r="C244" s="465"/>
      <c r="D244" s="3314" t="s">
        <v>4061</v>
      </c>
      <c r="E244" s="3314"/>
      <c r="F244" s="1190">
        <f>SUM(F245:F261)</f>
        <v>115642</v>
      </c>
      <c r="G244" s="1190">
        <f>SUM(G245:G261)</f>
        <v>115642</v>
      </c>
      <c r="H244" s="468">
        <f>F244-G244</f>
        <v>0</v>
      </c>
      <c r="I244" s="3107">
        <f t="shared" si="78"/>
        <v>115642</v>
      </c>
      <c r="J244" s="394"/>
      <c r="K244" s="2598"/>
      <c r="L244" s="2598"/>
      <c r="M244" s="2598"/>
      <c r="N244" s="2598"/>
      <c r="O244" s="2598"/>
      <c r="P244" s="2598"/>
      <c r="Q244" s="2598"/>
      <c r="R244" s="395"/>
      <c r="S244" s="2598"/>
      <c r="T244" s="2598"/>
      <c r="U244" s="2598"/>
      <c r="V244" s="2598"/>
      <c r="W244" s="2598"/>
      <c r="X244" s="430"/>
      <c r="Y244" s="439"/>
      <c r="Z244" s="440"/>
      <c r="AA244" s="401"/>
      <c r="AB244" s="1091"/>
      <c r="AC244" s="1095"/>
      <c r="AD244" s="2553"/>
    </row>
    <row r="245" spans="1:30" s="2558" customFormat="1" ht="21" customHeight="1">
      <c r="A245" s="436"/>
      <c r="B245" s="402"/>
      <c r="C245" s="465"/>
      <c r="D245" s="1418"/>
      <c r="E245" s="1134" t="s">
        <v>4062</v>
      </c>
      <c r="F245" s="392">
        <f>Y245</f>
        <v>57600</v>
      </c>
      <c r="G245" s="403">
        <v>57600</v>
      </c>
      <c r="H245" s="810"/>
      <c r="I245" s="467">
        <f t="shared" si="78"/>
        <v>57600</v>
      </c>
      <c r="J245" s="2643" t="s">
        <v>3447</v>
      </c>
      <c r="K245" s="2644"/>
      <c r="L245" s="2624"/>
      <c r="M245" s="2624"/>
      <c r="N245" s="2624"/>
      <c r="O245" s="2624"/>
      <c r="P245" s="2624"/>
      <c r="Q245" s="408"/>
      <c r="R245" s="2630"/>
      <c r="S245" s="1672"/>
      <c r="T245" s="2644"/>
      <c r="U245" s="2644"/>
      <c r="V245" s="2644"/>
      <c r="W245" s="2644"/>
      <c r="X245" s="2644"/>
      <c r="Y245" s="1674">
        <f t="shared" ref="Y245:Y261" si="79">(Z245)/1000</f>
        <v>57600</v>
      </c>
      <c r="Z245" s="407">
        <f>SUM(Z246:Z247)</f>
        <v>57600000</v>
      </c>
      <c r="AA245" s="401"/>
      <c r="AB245" s="1091"/>
      <c r="AC245" s="1095"/>
      <c r="AD245" s="2553"/>
    </row>
    <row r="246" spans="1:30" s="2558" customFormat="1" ht="23.1" customHeight="1">
      <c r="A246" s="436"/>
      <c r="B246" s="402"/>
      <c r="C246" s="465"/>
      <c r="D246" s="1418"/>
      <c r="E246" s="1134"/>
      <c r="F246" s="392"/>
      <c r="G246" s="403"/>
      <c r="H246" s="404"/>
      <c r="I246" s="467"/>
      <c r="J246" s="2763" t="s">
        <v>4809</v>
      </c>
      <c r="K246" s="2644"/>
      <c r="L246" s="2624"/>
      <c r="M246" s="2624"/>
      <c r="N246" s="2624"/>
      <c r="O246" s="2624"/>
      <c r="P246" s="2624"/>
      <c r="Q246" s="408">
        <v>2</v>
      </c>
      <c r="R246" s="2630" t="s">
        <v>4063</v>
      </c>
      <c r="S246" s="1672">
        <v>2150000</v>
      </c>
      <c r="T246" s="2644" t="s">
        <v>3727</v>
      </c>
      <c r="U246" s="2644"/>
      <c r="V246" s="2644">
        <v>12</v>
      </c>
      <c r="W246" s="2644" t="s">
        <v>4004</v>
      </c>
      <c r="X246" s="2644" t="s">
        <v>3441</v>
      </c>
      <c r="Y246" s="1674">
        <f t="shared" si="79"/>
        <v>51600</v>
      </c>
      <c r="Z246" s="407">
        <f>Q246*S246*V246</f>
        <v>51600000</v>
      </c>
      <c r="AA246" s="401"/>
      <c r="AB246" s="1091"/>
      <c r="AC246" s="1095"/>
      <c r="AD246" s="2553"/>
    </row>
    <row r="247" spans="1:30" s="2558" customFormat="1" ht="23.1" customHeight="1">
      <c r="A247" s="436"/>
      <c r="B247" s="402"/>
      <c r="C247" s="465"/>
      <c r="D247" s="1418"/>
      <c r="E247" s="1134"/>
      <c r="F247" s="392"/>
      <c r="G247" s="403"/>
      <c r="H247" s="404"/>
      <c r="I247" s="467"/>
      <c r="J247" s="2763" t="s">
        <v>4810</v>
      </c>
      <c r="K247" s="2644"/>
      <c r="L247" s="2624"/>
      <c r="M247" s="2624"/>
      <c r="N247" s="2624"/>
      <c r="O247" s="2624"/>
      <c r="P247" s="2624"/>
      <c r="Q247" s="408">
        <v>2</v>
      </c>
      <c r="R247" s="2630" t="s">
        <v>4063</v>
      </c>
      <c r="S247" s="1672">
        <v>250000</v>
      </c>
      <c r="T247" s="2644" t="s">
        <v>3727</v>
      </c>
      <c r="U247" s="2644"/>
      <c r="V247" s="2644">
        <v>12</v>
      </c>
      <c r="W247" s="2644" t="s">
        <v>4004</v>
      </c>
      <c r="X247" s="2644" t="s">
        <v>3441</v>
      </c>
      <c r="Y247" s="1674">
        <f t="shared" si="79"/>
        <v>6000</v>
      </c>
      <c r="Z247" s="407">
        <f>Q247*S247*V247</f>
        <v>6000000</v>
      </c>
      <c r="AA247" s="401"/>
      <c r="AB247" s="1091"/>
      <c r="AC247" s="1095"/>
      <c r="AD247" s="2553"/>
    </row>
    <row r="248" spans="1:30" s="2558" customFormat="1" ht="23.1" customHeight="1">
      <c r="A248" s="436"/>
      <c r="B248" s="402"/>
      <c r="C248" s="465"/>
      <c r="D248" s="1418"/>
      <c r="E248" s="1134" t="s">
        <v>4064</v>
      </c>
      <c r="F248" s="392">
        <f>Y248</f>
        <v>4600</v>
      </c>
      <c r="G248" s="403">
        <v>4600</v>
      </c>
      <c r="H248" s="404"/>
      <c r="I248" s="467"/>
      <c r="J248" s="3092" t="s">
        <v>6109</v>
      </c>
      <c r="K248" s="1671"/>
      <c r="L248" s="1671"/>
      <c r="M248" s="1671"/>
      <c r="N248" s="1671"/>
      <c r="O248" s="1671"/>
      <c r="P248" s="1671"/>
      <c r="Q248" s="408">
        <v>2</v>
      </c>
      <c r="R248" s="3091" t="s">
        <v>220</v>
      </c>
      <c r="S248" s="1672">
        <v>2300000</v>
      </c>
      <c r="T248" s="3093" t="s">
        <v>626</v>
      </c>
      <c r="U248" s="3093"/>
      <c r="V248" s="1708">
        <v>1</v>
      </c>
      <c r="W248" s="3093" t="s">
        <v>49</v>
      </c>
      <c r="X248" s="3093" t="s">
        <v>266</v>
      </c>
      <c r="Y248" s="1674">
        <f>(Z248)/1000</f>
        <v>4600</v>
      </c>
      <c r="Z248" s="407">
        <f>Q248*S248*V248</f>
        <v>4600000</v>
      </c>
      <c r="AA248" s="401"/>
      <c r="AB248" s="1091"/>
      <c r="AC248" s="1095"/>
      <c r="AD248" s="2553"/>
    </row>
    <row r="249" spans="1:30" s="2558" customFormat="1" ht="21.95" customHeight="1">
      <c r="A249" s="436"/>
      <c r="B249" s="402"/>
      <c r="C249" s="465"/>
      <c r="D249" s="1418"/>
      <c r="E249" s="1134" t="s">
        <v>4065</v>
      </c>
      <c r="F249" s="392">
        <f>Y249</f>
        <v>8992</v>
      </c>
      <c r="G249" s="403">
        <v>8992</v>
      </c>
      <c r="H249" s="404"/>
      <c r="I249" s="467">
        <f t="shared" si="78"/>
        <v>8992</v>
      </c>
      <c r="J249" s="2643" t="s">
        <v>3447</v>
      </c>
      <c r="K249" s="1671"/>
      <c r="L249" s="1671"/>
      <c r="M249" s="1671"/>
      <c r="N249" s="1671"/>
      <c r="O249" s="1671"/>
      <c r="P249" s="1671"/>
      <c r="Q249" s="2644"/>
      <c r="R249" s="2644"/>
      <c r="S249" s="408"/>
      <c r="T249" s="2644"/>
      <c r="U249" s="2644"/>
      <c r="V249" s="2644"/>
      <c r="W249" s="2644"/>
      <c r="X249" s="2644"/>
      <c r="Y249" s="1674">
        <f t="shared" si="79"/>
        <v>8992</v>
      </c>
      <c r="Z249" s="1413">
        <f>SUM(Z250:Z253)</f>
        <v>8992000</v>
      </c>
      <c r="AA249" s="401"/>
      <c r="AB249" s="1091"/>
      <c r="AC249" s="1095"/>
      <c r="AD249" s="2553"/>
    </row>
    <row r="250" spans="1:30" s="2558" customFormat="1" ht="21.95" customHeight="1">
      <c r="A250" s="436"/>
      <c r="B250" s="402"/>
      <c r="C250" s="465"/>
      <c r="D250" s="1418"/>
      <c r="E250" s="1134"/>
      <c r="F250" s="392"/>
      <c r="G250" s="403"/>
      <c r="H250" s="404"/>
      <c r="I250" s="467"/>
      <c r="J250" s="2763" t="s">
        <v>4811</v>
      </c>
      <c r="K250" s="1671"/>
      <c r="L250" s="1671"/>
      <c r="M250" s="1671"/>
      <c r="N250" s="1671"/>
      <c r="O250" s="1671"/>
      <c r="P250" s="1671"/>
      <c r="Q250" s="2644"/>
      <c r="R250" s="2644"/>
      <c r="S250" s="408">
        <v>57600000</v>
      </c>
      <c r="T250" s="2644" t="s">
        <v>3727</v>
      </c>
      <c r="U250" s="2644"/>
      <c r="V250" s="2644">
        <v>12</v>
      </c>
      <c r="W250" s="2644" t="s">
        <v>4007</v>
      </c>
      <c r="X250" s="2644" t="s">
        <v>3441</v>
      </c>
      <c r="Y250" s="1674">
        <f>(Z250)/1000</f>
        <v>6910</v>
      </c>
      <c r="Z250" s="1413">
        <f>S250*V250%-2000</f>
        <v>6910000</v>
      </c>
      <c r="AA250" s="401"/>
      <c r="AB250" s="1091"/>
      <c r="AC250" s="1095"/>
      <c r="AD250" s="2553"/>
    </row>
    <row r="251" spans="1:30" s="2558" customFormat="1" ht="21.95" customHeight="1">
      <c r="A251" s="436"/>
      <c r="B251" s="402"/>
      <c r="C251" s="465"/>
      <c r="D251" s="1418"/>
      <c r="E251" s="1134"/>
      <c r="F251" s="392"/>
      <c r="G251" s="403"/>
      <c r="H251" s="404"/>
      <c r="I251" s="467"/>
      <c r="J251" s="2763" t="s">
        <v>4812</v>
      </c>
      <c r="K251" s="1671"/>
      <c r="L251" s="1671"/>
      <c r="M251" s="1671"/>
      <c r="N251" s="1671"/>
      <c r="O251" s="1671"/>
      <c r="P251" s="1671"/>
      <c r="Q251" s="2644"/>
      <c r="R251" s="2644"/>
      <c r="S251" s="408">
        <v>800000</v>
      </c>
      <c r="T251" s="2644" t="s">
        <v>3727</v>
      </c>
      <c r="U251" s="2644"/>
      <c r="V251" s="2644">
        <v>2</v>
      </c>
      <c r="W251" s="2644" t="s">
        <v>4063</v>
      </c>
      <c r="X251" s="2644" t="s">
        <v>3441</v>
      </c>
      <c r="Y251" s="1674">
        <f t="shared" si="79"/>
        <v>1600</v>
      </c>
      <c r="Z251" s="1413">
        <f>S251*V251</f>
        <v>1600000</v>
      </c>
      <c r="AA251" s="401"/>
      <c r="AB251" s="1091"/>
      <c r="AC251" s="1095"/>
      <c r="AD251" s="2553"/>
    </row>
    <row r="252" spans="1:30" s="2558" customFormat="1" ht="21.95" customHeight="1">
      <c r="A252" s="436"/>
      <c r="B252" s="402"/>
      <c r="C252" s="465"/>
      <c r="D252" s="1418"/>
      <c r="E252" s="1134"/>
      <c r="F252" s="392"/>
      <c r="G252" s="403"/>
      <c r="H252" s="404"/>
      <c r="I252" s="467"/>
      <c r="J252" s="2763" t="s">
        <v>4813</v>
      </c>
      <c r="K252" s="1671"/>
      <c r="L252" s="1671"/>
      <c r="M252" s="1671"/>
      <c r="N252" s="1671"/>
      <c r="O252" s="1671"/>
      <c r="P252" s="1671"/>
      <c r="Q252" s="2644"/>
      <c r="R252" s="2644"/>
      <c r="S252" s="408">
        <v>120000</v>
      </c>
      <c r="T252" s="2644" t="s">
        <v>3727</v>
      </c>
      <c r="U252" s="2644"/>
      <c r="V252" s="2644">
        <v>2</v>
      </c>
      <c r="W252" s="2644" t="s">
        <v>4063</v>
      </c>
      <c r="X252" s="2644" t="s">
        <v>3441</v>
      </c>
      <c r="Y252" s="1674">
        <f t="shared" si="79"/>
        <v>240</v>
      </c>
      <c r="Z252" s="1413">
        <f t="shared" ref="Z252:Z255" si="80">S252*V252</f>
        <v>240000</v>
      </c>
      <c r="AA252" s="401"/>
      <c r="AB252" s="1091"/>
      <c r="AC252" s="1095"/>
      <c r="AD252" s="2553"/>
    </row>
    <row r="253" spans="1:30" s="2558" customFormat="1" ht="21.95" customHeight="1">
      <c r="A253" s="436"/>
      <c r="B253" s="402"/>
      <c r="C253" s="465"/>
      <c r="D253" s="1418"/>
      <c r="E253" s="1134"/>
      <c r="F253" s="392"/>
      <c r="G253" s="403"/>
      <c r="H253" s="404"/>
      <c r="I253" s="467"/>
      <c r="J253" s="2763" t="s">
        <v>4814</v>
      </c>
      <c r="K253" s="1671"/>
      <c r="L253" s="1671"/>
      <c r="M253" s="1671"/>
      <c r="N253" s="1671"/>
      <c r="O253" s="1671"/>
      <c r="P253" s="1671"/>
      <c r="Q253" s="2644"/>
      <c r="R253" s="2644"/>
      <c r="S253" s="408">
        <v>121000</v>
      </c>
      <c r="T253" s="2644" t="s">
        <v>3727</v>
      </c>
      <c r="U253" s="2644"/>
      <c r="V253" s="2644">
        <v>2</v>
      </c>
      <c r="W253" s="2644" t="s">
        <v>4063</v>
      </c>
      <c r="X253" s="2644" t="s">
        <v>3441</v>
      </c>
      <c r="Y253" s="1674">
        <f t="shared" si="79"/>
        <v>242</v>
      </c>
      <c r="Z253" s="1413">
        <f t="shared" si="80"/>
        <v>242000</v>
      </c>
      <c r="AA253" s="401"/>
      <c r="AB253" s="1091"/>
      <c r="AC253" s="1095"/>
      <c r="AD253" s="2553"/>
    </row>
    <row r="254" spans="1:30" s="2558" customFormat="1" ht="21.95" customHeight="1">
      <c r="A254" s="436"/>
      <c r="B254" s="402"/>
      <c r="C254" s="465"/>
      <c r="D254" s="1418"/>
      <c r="E254" s="1134" t="s">
        <v>4041</v>
      </c>
      <c r="F254" s="392">
        <f>Y254</f>
        <v>16000</v>
      </c>
      <c r="G254" s="403">
        <v>16000</v>
      </c>
      <c r="H254" s="404"/>
      <c r="I254" s="467">
        <f>G254-H254</f>
        <v>16000</v>
      </c>
      <c r="J254" s="2643" t="s">
        <v>4066</v>
      </c>
      <c r="K254" s="1671"/>
      <c r="L254" s="1671"/>
      <c r="M254" s="1671"/>
      <c r="N254" s="1671"/>
      <c r="O254" s="1671"/>
      <c r="P254" s="1671"/>
      <c r="Q254" s="2644"/>
      <c r="R254" s="2644"/>
      <c r="S254" s="408">
        <v>100</v>
      </c>
      <c r="T254" s="2644" t="s">
        <v>3727</v>
      </c>
      <c r="U254" s="2644"/>
      <c r="V254" s="2644">
        <v>160000</v>
      </c>
      <c r="W254" s="2644" t="s">
        <v>4043</v>
      </c>
      <c r="X254" s="2644" t="s">
        <v>3441</v>
      </c>
      <c r="Y254" s="1674">
        <f t="shared" si="79"/>
        <v>16000</v>
      </c>
      <c r="Z254" s="1413">
        <f t="shared" si="80"/>
        <v>16000000</v>
      </c>
      <c r="AA254" s="401"/>
      <c r="AB254" s="1091"/>
      <c r="AC254" s="1095"/>
      <c r="AD254" s="2553"/>
    </row>
    <row r="255" spans="1:30" s="2558" customFormat="1" ht="21.95" customHeight="1">
      <c r="A255" s="436"/>
      <c r="B255" s="402"/>
      <c r="C255" s="465"/>
      <c r="D255" s="1418"/>
      <c r="E255" s="1134" t="s">
        <v>4067</v>
      </c>
      <c r="F255" s="392">
        <f t="shared" ref="F255:F261" si="81">Y255</f>
        <v>2230</v>
      </c>
      <c r="G255" s="403">
        <v>2230</v>
      </c>
      <c r="H255" s="404"/>
      <c r="I255" s="467">
        <f t="shared" si="78"/>
        <v>2230</v>
      </c>
      <c r="J255" s="2643" t="s">
        <v>4068</v>
      </c>
      <c r="K255" s="1671"/>
      <c r="L255" s="1671"/>
      <c r="M255" s="1671"/>
      <c r="N255" s="1671"/>
      <c r="O255" s="1671"/>
      <c r="P255" s="1671"/>
      <c r="Q255" s="408"/>
      <c r="R255" s="2630"/>
      <c r="S255" s="408">
        <v>2230000</v>
      </c>
      <c r="T255" s="2644" t="s">
        <v>3727</v>
      </c>
      <c r="U255" s="2644"/>
      <c r="V255" s="2644">
        <v>1</v>
      </c>
      <c r="W255" s="2644" t="s">
        <v>3440</v>
      </c>
      <c r="X255" s="2644" t="s">
        <v>3441</v>
      </c>
      <c r="Y255" s="1674">
        <f t="shared" si="79"/>
        <v>2230</v>
      </c>
      <c r="Z255" s="407">
        <f t="shared" si="80"/>
        <v>2230000</v>
      </c>
      <c r="AA255" s="401"/>
      <c r="AB255" s="1091"/>
      <c r="AC255" s="1095"/>
      <c r="AD255" s="2553"/>
    </row>
    <row r="256" spans="1:30" s="2558" customFormat="1" ht="21.95" customHeight="1">
      <c r="A256" s="436"/>
      <c r="B256" s="402"/>
      <c r="C256" s="465"/>
      <c r="D256" s="1418"/>
      <c r="E256" s="1134" t="s">
        <v>4017</v>
      </c>
      <c r="F256" s="392">
        <f t="shared" si="81"/>
        <v>4200</v>
      </c>
      <c r="G256" s="403">
        <v>4200</v>
      </c>
      <c r="H256" s="404"/>
      <c r="I256" s="467">
        <f>G256-H256</f>
        <v>4200</v>
      </c>
      <c r="J256" s="2643" t="s">
        <v>4069</v>
      </c>
      <c r="K256" s="1671"/>
      <c r="L256" s="1671"/>
      <c r="M256" s="1671"/>
      <c r="N256" s="1671"/>
      <c r="O256" s="1671"/>
      <c r="P256" s="1671"/>
      <c r="Q256" s="2644">
        <v>2</v>
      </c>
      <c r="R256" s="2644" t="s">
        <v>4003</v>
      </c>
      <c r="S256" s="408">
        <v>30000</v>
      </c>
      <c r="T256" s="2644" t="s">
        <v>3727</v>
      </c>
      <c r="U256" s="2644"/>
      <c r="V256" s="2644">
        <v>70</v>
      </c>
      <c r="W256" s="2644" t="s">
        <v>3732</v>
      </c>
      <c r="X256" s="2644" t="s">
        <v>3441</v>
      </c>
      <c r="Y256" s="1674">
        <f t="shared" si="79"/>
        <v>4200</v>
      </c>
      <c r="Z256" s="407">
        <f>Q256*S256*V256</f>
        <v>4200000</v>
      </c>
      <c r="AA256" s="401"/>
      <c r="AB256" s="1091"/>
      <c r="AC256" s="1095"/>
      <c r="AD256" s="2553"/>
    </row>
    <row r="257" spans="1:30" s="2558" customFormat="1" ht="23.85" customHeight="1">
      <c r="A257" s="436"/>
      <c r="B257" s="402"/>
      <c r="C257" s="465"/>
      <c r="D257" s="1418"/>
      <c r="E257" s="1134" t="s">
        <v>4022</v>
      </c>
      <c r="F257" s="392">
        <f t="shared" si="81"/>
        <v>3900</v>
      </c>
      <c r="G257" s="403">
        <v>3900</v>
      </c>
      <c r="H257" s="404"/>
      <c r="I257" s="467">
        <f>G257-H257</f>
        <v>3900</v>
      </c>
      <c r="J257" s="2643" t="s">
        <v>4070</v>
      </c>
      <c r="K257" s="1671"/>
      <c r="L257" s="1671"/>
      <c r="M257" s="1671"/>
      <c r="N257" s="1671"/>
      <c r="O257" s="1671"/>
      <c r="P257" s="1671"/>
      <c r="Q257" s="408"/>
      <c r="R257" s="2630"/>
      <c r="S257" s="408">
        <v>65000</v>
      </c>
      <c r="T257" s="2644" t="s">
        <v>3727</v>
      </c>
      <c r="U257" s="2644"/>
      <c r="V257" s="2644">
        <v>60</v>
      </c>
      <c r="W257" s="2644" t="s">
        <v>3732</v>
      </c>
      <c r="X257" s="2644" t="s">
        <v>3441</v>
      </c>
      <c r="Y257" s="1674">
        <f t="shared" si="79"/>
        <v>3900</v>
      </c>
      <c r="Z257" s="407">
        <f>S257*V257</f>
        <v>3900000</v>
      </c>
      <c r="AA257" s="401"/>
      <c r="AB257" s="1091"/>
      <c r="AC257" s="1095"/>
      <c r="AD257" s="2553"/>
    </row>
    <row r="258" spans="1:30" s="2558" customFormat="1" ht="23.85" customHeight="1">
      <c r="A258" s="436"/>
      <c r="B258" s="402"/>
      <c r="C258" s="465"/>
      <c r="D258" s="1418"/>
      <c r="E258" s="1134" t="s">
        <v>4032</v>
      </c>
      <c r="F258" s="392">
        <f t="shared" si="81"/>
        <v>5000</v>
      </c>
      <c r="G258" s="403">
        <v>5000</v>
      </c>
      <c r="H258" s="404"/>
      <c r="I258" s="467">
        <f>G258-H258</f>
        <v>5000</v>
      </c>
      <c r="J258" s="2643" t="s">
        <v>4071</v>
      </c>
      <c r="K258" s="1671"/>
      <c r="L258" s="1671"/>
      <c r="M258" s="1671"/>
      <c r="N258" s="1671"/>
      <c r="O258" s="1671"/>
      <c r="P258" s="1671"/>
      <c r="Q258" s="2644"/>
      <c r="R258" s="2644"/>
      <c r="S258" s="408">
        <v>5000000</v>
      </c>
      <c r="T258" s="2644" t="s">
        <v>3727</v>
      </c>
      <c r="U258" s="2644"/>
      <c r="V258" s="2644">
        <v>1</v>
      </c>
      <c r="W258" s="2644" t="s">
        <v>3440</v>
      </c>
      <c r="X258" s="2644" t="s">
        <v>3441</v>
      </c>
      <c r="Y258" s="1674">
        <f t="shared" si="79"/>
        <v>5000</v>
      </c>
      <c r="Z258" s="407">
        <f>S258*V258</f>
        <v>5000000</v>
      </c>
      <c r="AA258" s="401"/>
      <c r="AB258" s="1091"/>
      <c r="AC258" s="1095"/>
      <c r="AD258" s="2553"/>
    </row>
    <row r="259" spans="1:30" s="2558" customFormat="1" ht="23.85" customHeight="1">
      <c r="A259" s="436"/>
      <c r="B259" s="402"/>
      <c r="C259" s="465"/>
      <c r="D259" s="1418"/>
      <c r="E259" s="1134" t="s">
        <v>3456</v>
      </c>
      <c r="F259" s="392">
        <f t="shared" si="81"/>
        <v>8120</v>
      </c>
      <c r="G259" s="403">
        <v>8120</v>
      </c>
      <c r="H259" s="404"/>
      <c r="I259" s="467">
        <f t="shared" si="78"/>
        <v>8120</v>
      </c>
      <c r="J259" s="2643" t="s">
        <v>4072</v>
      </c>
      <c r="K259" s="1671"/>
      <c r="L259" s="1671"/>
      <c r="M259" s="1671"/>
      <c r="N259" s="1671"/>
      <c r="O259" s="1671"/>
      <c r="P259" s="1671"/>
      <c r="Q259" s="2644">
        <v>4</v>
      </c>
      <c r="R259" s="2644" t="s">
        <v>4073</v>
      </c>
      <c r="S259" s="408">
        <v>500</v>
      </c>
      <c r="T259" s="2644" t="s">
        <v>3727</v>
      </c>
      <c r="U259" s="2644"/>
      <c r="V259" s="2644">
        <v>4060</v>
      </c>
      <c r="W259" s="2644" t="s">
        <v>4074</v>
      </c>
      <c r="X259" s="2644" t="s">
        <v>3441</v>
      </c>
      <c r="Y259" s="1674">
        <f t="shared" si="79"/>
        <v>8120</v>
      </c>
      <c r="Z259" s="1413">
        <f>Q259*S259*V259</f>
        <v>8120000</v>
      </c>
      <c r="AA259" s="401"/>
      <c r="AB259" s="1091"/>
      <c r="AC259" s="1095"/>
      <c r="AD259" s="2553"/>
    </row>
    <row r="260" spans="1:30" s="2558" customFormat="1" ht="23.85" customHeight="1">
      <c r="A260" s="436"/>
      <c r="B260" s="402"/>
      <c r="C260" s="465"/>
      <c r="D260" s="1418"/>
      <c r="E260" s="1134" t="s">
        <v>4026</v>
      </c>
      <c r="F260" s="392">
        <f t="shared" si="81"/>
        <v>2000</v>
      </c>
      <c r="G260" s="403">
        <v>2000</v>
      </c>
      <c r="H260" s="404"/>
      <c r="I260" s="467">
        <f t="shared" si="78"/>
        <v>2000</v>
      </c>
      <c r="J260" s="2643" t="s">
        <v>4075</v>
      </c>
      <c r="K260" s="1671"/>
      <c r="L260" s="1671"/>
      <c r="M260" s="1671"/>
      <c r="N260" s="1671"/>
      <c r="O260" s="1671"/>
      <c r="P260" s="1671"/>
      <c r="Q260" s="2644"/>
      <c r="R260" s="2644"/>
      <c r="S260" s="408">
        <v>1000000</v>
      </c>
      <c r="T260" s="2644" t="s">
        <v>3727</v>
      </c>
      <c r="U260" s="2644"/>
      <c r="V260" s="2644">
        <v>2</v>
      </c>
      <c r="W260" s="2644" t="s">
        <v>3732</v>
      </c>
      <c r="X260" s="2644" t="s">
        <v>3441</v>
      </c>
      <c r="Y260" s="1674">
        <f t="shared" si="79"/>
        <v>2000</v>
      </c>
      <c r="Z260" s="1413">
        <f>S260*V260</f>
        <v>2000000</v>
      </c>
      <c r="AA260" s="401"/>
      <c r="AB260" s="1091"/>
      <c r="AC260" s="1095"/>
      <c r="AD260" s="2553"/>
    </row>
    <row r="261" spans="1:30" s="2558" customFormat="1" ht="23.85" customHeight="1">
      <c r="A261" s="436"/>
      <c r="B261" s="402"/>
      <c r="C261" s="465"/>
      <c r="D261" s="1418"/>
      <c r="E261" s="1134" t="s">
        <v>4028</v>
      </c>
      <c r="F261" s="392">
        <f t="shared" si="81"/>
        <v>3000</v>
      </c>
      <c r="G261" s="403">
        <v>3000</v>
      </c>
      <c r="H261" s="820"/>
      <c r="I261" s="467">
        <f>G261-H261</f>
        <v>3000</v>
      </c>
      <c r="J261" s="1627" t="s">
        <v>4076</v>
      </c>
      <c r="K261" s="459"/>
      <c r="L261" s="459"/>
      <c r="M261" s="459"/>
      <c r="N261" s="371"/>
      <c r="O261" s="371"/>
      <c r="P261" s="371"/>
      <c r="Q261" s="459"/>
      <c r="R261" s="459"/>
      <c r="S261" s="456">
        <v>100000</v>
      </c>
      <c r="T261" s="459" t="s">
        <v>3727</v>
      </c>
      <c r="U261" s="459"/>
      <c r="V261" s="459">
        <v>30</v>
      </c>
      <c r="W261" s="459" t="s">
        <v>3732</v>
      </c>
      <c r="X261" s="459" t="s">
        <v>3441</v>
      </c>
      <c r="Y261" s="345">
        <f t="shared" si="79"/>
        <v>3000</v>
      </c>
      <c r="Z261" s="400">
        <f>S261*V261</f>
        <v>3000000</v>
      </c>
      <c r="AA261" s="401"/>
      <c r="AB261" s="1091"/>
      <c r="AC261" s="1095"/>
      <c r="AD261" s="2553"/>
    </row>
    <row r="262" spans="1:30" s="2558" customFormat="1" ht="23.85" customHeight="1">
      <c r="A262" s="396"/>
      <c r="B262" s="402"/>
      <c r="C262" s="2941"/>
      <c r="D262" s="3314" t="s">
        <v>4058</v>
      </c>
      <c r="E262" s="3314"/>
      <c r="F262" s="1190">
        <f>F263</f>
        <v>19672000</v>
      </c>
      <c r="G262" s="1190">
        <f>SUM(G263)</f>
        <v>19672000</v>
      </c>
      <c r="H262" s="468">
        <f>F262-G262</f>
        <v>0</v>
      </c>
      <c r="I262" s="439">
        <f t="shared" ref="I262:I263" si="82">G262-H262</f>
        <v>19672000</v>
      </c>
      <c r="J262" s="394"/>
      <c r="K262" s="2876"/>
      <c r="L262" s="2876"/>
      <c r="M262" s="2876"/>
      <c r="N262" s="2876"/>
      <c r="O262" s="2876"/>
      <c r="P262" s="2876"/>
      <c r="Q262" s="2876"/>
      <c r="R262" s="395"/>
      <c r="S262" s="2876"/>
      <c r="T262" s="2876"/>
      <c r="U262" s="2876"/>
      <c r="V262" s="2876"/>
      <c r="W262" s="2876"/>
      <c r="X262" s="430"/>
      <c r="Y262" s="406"/>
      <c r="Z262" s="432">
        <f>Z263</f>
        <v>19672000000</v>
      </c>
      <c r="AA262" s="401"/>
      <c r="AB262" s="1091"/>
      <c r="AC262" s="1095"/>
      <c r="AD262" s="2553"/>
    </row>
    <row r="263" spans="1:30" s="2558" customFormat="1" ht="23.85" customHeight="1">
      <c r="A263" s="436"/>
      <c r="B263" s="402"/>
      <c r="C263" s="2905"/>
      <c r="D263" s="1126"/>
      <c r="E263" s="1134" t="s">
        <v>602</v>
      </c>
      <c r="F263" s="390">
        <f>+Y263</f>
        <v>19672000</v>
      </c>
      <c r="G263" s="403">
        <v>19672000</v>
      </c>
      <c r="H263" s="404">
        <f>F263-G263</f>
        <v>0</v>
      </c>
      <c r="I263" s="766">
        <f t="shared" si="82"/>
        <v>19672000</v>
      </c>
      <c r="J263" s="2899" t="s">
        <v>4059</v>
      </c>
      <c r="K263" s="2900"/>
      <c r="L263" s="2889"/>
      <c r="M263" s="2889"/>
      <c r="N263" s="1673" t="s">
        <v>267</v>
      </c>
      <c r="O263" s="2889" t="s">
        <v>267</v>
      </c>
      <c r="P263" s="2889"/>
      <c r="Q263" s="408"/>
      <c r="R263" s="2895"/>
      <c r="S263" s="1672">
        <v>70000</v>
      </c>
      <c r="T263" s="2900" t="s">
        <v>264</v>
      </c>
      <c r="U263" s="2900"/>
      <c r="V263" s="2900">
        <v>281028.57142857142</v>
      </c>
      <c r="W263" s="2900" t="s">
        <v>363</v>
      </c>
      <c r="X263" s="2900" t="s">
        <v>266</v>
      </c>
      <c r="Y263" s="377">
        <f>(Z263)/1000</f>
        <v>19672000</v>
      </c>
      <c r="Z263" s="407">
        <f>S263*V263</f>
        <v>19672000000</v>
      </c>
      <c r="AA263" s="401"/>
      <c r="AB263" s="1091"/>
      <c r="AC263" s="1095"/>
      <c r="AD263" s="2553"/>
    </row>
    <row r="264" spans="1:30" s="2558" customFormat="1" ht="23.85" customHeight="1">
      <c r="A264" s="396"/>
      <c r="B264" s="412"/>
      <c r="C264" s="864" t="s">
        <v>4077</v>
      </c>
      <c r="D264" s="462"/>
      <c r="E264" s="1447"/>
      <c r="F264" s="599">
        <f>F265+F279+F293+F310+F334+F352+F362+F379+F422</f>
        <v>3400000</v>
      </c>
      <c r="G264" s="599">
        <f>G265+G279+G293+G310+G334+G352+G362+G379+G422</f>
        <v>3400000</v>
      </c>
      <c r="H264" s="468">
        <f t="shared" ref="H264" si="83">F264-G264</f>
        <v>0</v>
      </c>
      <c r="I264" s="409"/>
      <c r="J264" s="1627"/>
      <c r="K264" s="2619"/>
      <c r="L264" s="2619"/>
      <c r="M264" s="2619"/>
      <c r="N264" s="2619"/>
      <c r="O264" s="2619"/>
      <c r="P264" s="2619"/>
      <c r="Q264" s="459"/>
      <c r="R264" s="459"/>
      <c r="S264" s="459"/>
      <c r="T264" s="459"/>
      <c r="U264" s="459"/>
      <c r="V264" s="459"/>
      <c r="W264" s="459"/>
      <c r="X264" s="460"/>
      <c r="Y264" s="549"/>
      <c r="Z264" s="400"/>
      <c r="AA264" s="401"/>
      <c r="AB264" s="1091">
        <f>F264</f>
        <v>3400000</v>
      </c>
      <c r="AC264" s="1095"/>
      <c r="AD264" s="2553"/>
    </row>
    <row r="265" spans="1:30" s="2558" customFormat="1" ht="23.85" customHeight="1">
      <c r="A265" s="396"/>
      <c r="B265" s="402"/>
      <c r="C265" s="809"/>
      <c r="D265" s="3539" t="s">
        <v>4078</v>
      </c>
      <c r="E265" s="3539"/>
      <c r="F265" s="599">
        <f>SUM(F266:F278)</f>
        <v>80000</v>
      </c>
      <c r="G265" s="599">
        <f>SUM(G266:G278)</f>
        <v>80000</v>
      </c>
      <c r="H265" s="468">
        <f>F265-G265</f>
        <v>0</v>
      </c>
      <c r="I265" s="409"/>
      <c r="J265" s="1135"/>
      <c r="K265" s="2598"/>
      <c r="L265" s="2598"/>
      <c r="M265" s="2598"/>
      <c r="N265" s="2598"/>
      <c r="O265" s="2598"/>
      <c r="P265" s="2598"/>
      <c r="Q265" s="836"/>
      <c r="R265" s="395"/>
      <c r="S265" s="399"/>
      <c r="T265" s="1136"/>
      <c r="U265" s="1136"/>
      <c r="V265" s="1136"/>
      <c r="W265" s="1136"/>
      <c r="X265" s="1138"/>
      <c r="Y265" s="431"/>
      <c r="Z265" s="1448"/>
      <c r="AA265" s="401"/>
      <c r="AB265" s="1091"/>
      <c r="AC265" s="1095"/>
      <c r="AD265" s="2553"/>
    </row>
    <row r="266" spans="1:30" s="2558" customFormat="1" ht="23.85" customHeight="1">
      <c r="A266" s="436"/>
      <c r="B266" s="402"/>
      <c r="C266" s="465"/>
      <c r="D266" s="1449"/>
      <c r="E266" s="389" t="s">
        <v>4041</v>
      </c>
      <c r="F266" s="403">
        <f t="shared" ref="F266:F269" si="84">Y266</f>
        <v>4400</v>
      </c>
      <c r="G266" s="403">
        <v>4400</v>
      </c>
      <c r="H266" s="700"/>
      <c r="I266" s="409"/>
      <c r="J266" s="2643" t="s">
        <v>4079</v>
      </c>
      <c r="K266" s="2624"/>
      <c r="L266" s="2624"/>
      <c r="M266" s="2624"/>
      <c r="N266" s="2624"/>
      <c r="O266" s="2624"/>
      <c r="P266" s="1671"/>
      <c r="Q266" s="1671"/>
      <c r="R266" s="405"/>
      <c r="S266" s="1672">
        <v>4400000</v>
      </c>
      <c r="T266" s="2644" t="s">
        <v>3727</v>
      </c>
      <c r="U266" s="2644"/>
      <c r="V266" s="2644">
        <v>1</v>
      </c>
      <c r="W266" s="2644" t="s">
        <v>3440</v>
      </c>
      <c r="X266" s="1140" t="s">
        <v>3441</v>
      </c>
      <c r="Y266" s="406">
        <f t="shared" ref="Y266" si="85">Z266/1000</f>
        <v>4400</v>
      </c>
      <c r="Z266" s="1098">
        <f>S266*V266</f>
        <v>4400000</v>
      </c>
      <c r="AA266" s="401"/>
      <c r="AB266" s="1091"/>
      <c r="AC266" s="1095"/>
      <c r="AD266" s="2553"/>
    </row>
    <row r="267" spans="1:30" s="2558" customFormat="1" ht="23.85" customHeight="1">
      <c r="A267" s="436"/>
      <c r="B267" s="402"/>
      <c r="C267" s="465"/>
      <c r="D267" s="1449"/>
      <c r="E267" s="389" t="s">
        <v>4013</v>
      </c>
      <c r="F267" s="403">
        <f>Y267</f>
        <v>5000</v>
      </c>
      <c r="G267" s="403">
        <v>5000</v>
      </c>
      <c r="H267" s="700"/>
      <c r="I267" s="409"/>
      <c r="J267" s="2643" t="s">
        <v>4080</v>
      </c>
      <c r="K267" s="2624"/>
      <c r="L267" s="2624"/>
      <c r="M267" s="2624"/>
      <c r="N267" s="2624"/>
      <c r="O267" s="2624"/>
      <c r="P267" s="1671"/>
      <c r="Q267" s="1671"/>
      <c r="R267" s="405"/>
      <c r="S267" s="1672">
        <v>5000000</v>
      </c>
      <c r="T267" s="2644" t="s">
        <v>3727</v>
      </c>
      <c r="U267" s="2644"/>
      <c r="V267" s="2644">
        <v>1</v>
      </c>
      <c r="W267" s="2644" t="s">
        <v>3440</v>
      </c>
      <c r="X267" s="1140" t="s">
        <v>3441</v>
      </c>
      <c r="Y267" s="406">
        <f>Z267/1000</f>
        <v>5000</v>
      </c>
      <c r="Z267" s="1098">
        <f>S267*V267</f>
        <v>5000000</v>
      </c>
      <c r="AA267" s="401"/>
      <c r="AB267" s="1091"/>
      <c r="AC267" s="1095"/>
      <c r="AD267" s="2553"/>
    </row>
    <row r="268" spans="1:30" s="2558" customFormat="1" ht="23.85" customHeight="1">
      <c r="A268" s="436"/>
      <c r="B268" s="402"/>
      <c r="C268" s="465"/>
      <c r="D268" s="1449"/>
      <c r="E268" s="389" t="s">
        <v>4017</v>
      </c>
      <c r="F268" s="403">
        <f t="shared" si="84"/>
        <v>6000</v>
      </c>
      <c r="G268" s="403">
        <v>6000</v>
      </c>
      <c r="H268" s="700"/>
      <c r="I268" s="409"/>
      <c r="J268" s="2643" t="s">
        <v>4081</v>
      </c>
      <c r="K268" s="2624"/>
      <c r="L268" s="2624"/>
      <c r="M268" s="2624"/>
      <c r="N268" s="2624"/>
      <c r="O268" s="2624"/>
      <c r="P268" s="1671">
        <v>5</v>
      </c>
      <c r="Q268" s="1671" t="s">
        <v>4073</v>
      </c>
      <c r="R268" s="405" t="s">
        <v>4003</v>
      </c>
      <c r="S268" s="1672">
        <v>50000</v>
      </c>
      <c r="T268" s="2644" t="s">
        <v>3727</v>
      </c>
      <c r="U268" s="2644"/>
      <c r="V268" s="2644">
        <v>24</v>
      </c>
      <c r="W268" s="2644" t="s">
        <v>3732</v>
      </c>
      <c r="X268" s="1140" t="s">
        <v>3441</v>
      </c>
      <c r="Y268" s="406">
        <f t="shared" ref="Y268" si="86">Z268/1000</f>
        <v>6000</v>
      </c>
      <c r="Z268" s="1098">
        <f>P268*S268*V268</f>
        <v>6000000</v>
      </c>
      <c r="AA268" s="401"/>
      <c r="AB268" s="1091"/>
      <c r="AC268" s="1095"/>
      <c r="AD268" s="2553"/>
    </row>
    <row r="269" spans="1:30" s="2558" customFormat="1" ht="23.85" customHeight="1">
      <c r="A269" s="436"/>
      <c r="B269" s="402"/>
      <c r="C269" s="1449"/>
      <c r="D269" s="1449"/>
      <c r="E269" s="389" t="s">
        <v>4022</v>
      </c>
      <c r="F269" s="403">
        <f t="shared" si="84"/>
        <v>21600</v>
      </c>
      <c r="G269" s="403">
        <v>21600</v>
      </c>
      <c r="H269" s="700"/>
      <c r="I269" s="409"/>
      <c r="J269" s="2643" t="s">
        <v>4082</v>
      </c>
      <c r="K269" s="2624"/>
      <c r="L269" s="2624"/>
      <c r="M269" s="2624"/>
      <c r="N269" s="2624"/>
      <c r="O269" s="2624"/>
      <c r="P269" s="1671">
        <v>3</v>
      </c>
      <c r="Q269" s="1671" t="s">
        <v>4083</v>
      </c>
      <c r="R269" s="405" t="s">
        <v>4084</v>
      </c>
      <c r="S269" s="1672">
        <v>300000</v>
      </c>
      <c r="T269" s="2644" t="s">
        <v>3727</v>
      </c>
      <c r="U269" s="2644"/>
      <c r="V269" s="2644">
        <v>24</v>
      </c>
      <c r="W269" s="2644" t="s">
        <v>3732</v>
      </c>
      <c r="X269" s="1140"/>
      <c r="Y269" s="406">
        <f>Z269/1000</f>
        <v>21600</v>
      </c>
      <c r="Z269" s="1098">
        <f>P269*S269*V269</f>
        <v>21600000</v>
      </c>
      <c r="AA269" s="401"/>
      <c r="AB269" s="1091"/>
      <c r="AC269" s="1095"/>
      <c r="AD269" s="2553"/>
    </row>
    <row r="270" spans="1:30" s="2558" customFormat="1" ht="23.85" customHeight="1">
      <c r="A270" s="436"/>
      <c r="B270" s="402"/>
      <c r="C270" s="465"/>
      <c r="D270" s="1450"/>
      <c r="E270" s="389"/>
      <c r="F270" s="403"/>
      <c r="G270" s="403"/>
      <c r="H270" s="404"/>
      <c r="I270" s="409"/>
      <c r="J270" s="2939" t="s">
        <v>5939</v>
      </c>
      <c r="K270" s="2624"/>
      <c r="L270" s="2624"/>
      <c r="M270" s="2624"/>
      <c r="N270" s="2624"/>
      <c r="O270" s="2624"/>
      <c r="P270" s="1671"/>
      <c r="Q270" s="1671"/>
      <c r="R270" s="405"/>
      <c r="S270" s="1672">
        <v>300000</v>
      </c>
      <c r="T270" s="2644" t="s">
        <v>3727</v>
      </c>
      <c r="U270" s="2644"/>
      <c r="V270" s="2644">
        <v>80</v>
      </c>
      <c r="W270" s="2644" t="s">
        <v>3732</v>
      </c>
      <c r="X270" s="1140" t="s">
        <v>3441</v>
      </c>
      <c r="Y270" s="406">
        <f t="shared" ref="Y270" si="87">Z270/1000</f>
        <v>24000</v>
      </c>
      <c r="Z270" s="1098">
        <f>S270*V270</f>
        <v>24000000</v>
      </c>
      <c r="AA270" s="401"/>
      <c r="AB270" s="1091"/>
      <c r="AC270" s="1095"/>
      <c r="AD270" s="2553"/>
    </row>
    <row r="271" spans="1:30" s="2558" customFormat="1" ht="23.85" customHeight="1">
      <c r="A271" s="436"/>
      <c r="B271" s="402"/>
      <c r="C271" s="465"/>
      <c r="D271" s="1450"/>
      <c r="E271" s="389"/>
      <c r="F271" s="403"/>
      <c r="G271" s="403"/>
      <c r="H271" s="404"/>
      <c r="I271" s="409"/>
      <c r="J271" s="2939" t="s">
        <v>5940</v>
      </c>
      <c r="K271" s="2624"/>
      <c r="L271" s="2624"/>
      <c r="M271" s="2624"/>
      <c r="N271" s="2624"/>
      <c r="O271" s="2624"/>
      <c r="P271" s="1671"/>
      <c r="Q271" s="1671">
        <v>3</v>
      </c>
      <c r="R271" s="405" t="s">
        <v>4003</v>
      </c>
      <c r="S271" s="1672">
        <v>300000</v>
      </c>
      <c r="T271" s="2644" t="s">
        <v>3727</v>
      </c>
      <c r="U271" s="2644"/>
      <c r="V271" s="2644">
        <v>3</v>
      </c>
      <c r="W271" s="2644" t="s">
        <v>3732</v>
      </c>
      <c r="X271" s="1140" t="s">
        <v>3441</v>
      </c>
      <c r="Y271" s="406">
        <f>Z271/1000</f>
        <v>2700</v>
      </c>
      <c r="Z271" s="1098">
        <f>Q271*S271*V271</f>
        <v>2700000</v>
      </c>
      <c r="AA271" s="401"/>
      <c r="AB271" s="1091"/>
      <c r="AC271" s="1095"/>
      <c r="AD271" s="2553"/>
    </row>
    <row r="272" spans="1:30" s="2558" customFormat="1" ht="23.85" customHeight="1">
      <c r="A272" s="436"/>
      <c r="B272" s="402"/>
      <c r="C272" s="465"/>
      <c r="D272" s="1450"/>
      <c r="E272" s="389"/>
      <c r="F272" s="403"/>
      <c r="G272" s="403"/>
      <c r="H272" s="404"/>
      <c r="I272" s="409"/>
      <c r="J272" s="2939" t="s">
        <v>5941</v>
      </c>
      <c r="K272" s="2624"/>
      <c r="L272" s="2624"/>
      <c r="M272" s="2624"/>
      <c r="N272" s="2624"/>
      <c r="O272" s="2624"/>
      <c r="P272" s="1671"/>
      <c r="Q272" s="1671">
        <v>2</v>
      </c>
      <c r="R272" s="405" t="s">
        <v>4003</v>
      </c>
      <c r="S272" s="1672">
        <v>300000</v>
      </c>
      <c r="T272" s="2644" t="s">
        <v>3727</v>
      </c>
      <c r="U272" s="2644"/>
      <c r="V272" s="2644">
        <v>3</v>
      </c>
      <c r="W272" s="2644" t="s">
        <v>3732</v>
      </c>
      <c r="X272" s="1140" t="s">
        <v>3441</v>
      </c>
      <c r="Y272" s="406">
        <f>Z272/1000</f>
        <v>1800</v>
      </c>
      <c r="Z272" s="1098">
        <f>Q272*S272*V272</f>
        <v>1800000</v>
      </c>
      <c r="AA272" s="401"/>
      <c r="AB272" s="1091"/>
      <c r="AC272" s="1095"/>
      <c r="AD272" s="2553"/>
    </row>
    <row r="273" spans="1:30" s="2558" customFormat="1" ht="23.85" customHeight="1">
      <c r="A273" s="436"/>
      <c r="B273" s="402"/>
      <c r="C273" s="465"/>
      <c r="D273" s="1450"/>
      <c r="E273" s="389"/>
      <c r="F273" s="403"/>
      <c r="G273" s="403"/>
      <c r="H273" s="404"/>
      <c r="I273" s="409"/>
      <c r="J273" s="2939" t="s">
        <v>5942</v>
      </c>
      <c r="K273" s="2624"/>
      <c r="L273" s="2624"/>
      <c r="M273" s="2624"/>
      <c r="N273" s="2624"/>
      <c r="O273" s="2624"/>
      <c r="P273" s="1671"/>
      <c r="Q273" s="1671"/>
      <c r="R273" s="405"/>
      <c r="S273" s="1672">
        <v>200000</v>
      </c>
      <c r="T273" s="2644" t="s">
        <v>3727</v>
      </c>
      <c r="U273" s="2644"/>
      <c r="V273" s="2644">
        <v>30</v>
      </c>
      <c r="W273" s="2644" t="s">
        <v>3732</v>
      </c>
      <c r="X273" s="1140" t="s">
        <v>3441</v>
      </c>
      <c r="Y273" s="406">
        <f t="shared" ref="Y273" si="88">Z273/1000</f>
        <v>6000</v>
      </c>
      <c r="Z273" s="1098">
        <f>S273*V273</f>
        <v>6000000</v>
      </c>
      <c r="AA273" s="401"/>
      <c r="AB273" s="1091"/>
      <c r="AC273" s="1095"/>
      <c r="AD273" s="2553"/>
    </row>
    <row r="274" spans="1:30" s="2558" customFormat="1" ht="23.85" customHeight="1">
      <c r="A274" s="436"/>
      <c r="B274" s="402"/>
      <c r="C274" s="465"/>
      <c r="D274" s="1450"/>
      <c r="E274" s="389" t="s">
        <v>4023</v>
      </c>
      <c r="F274" s="403">
        <f>Y274</f>
        <v>20000</v>
      </c>
      <c r="G274" s="403">
        <v>20000</v>
      </c>
      <c r="H274" s="700"/>
      <c r="I274" s="409"/>
      <c r="J274" s="2763" t="s">
        <v>4816</v>
      </c>
      <c r="K274" s="2624"/>
      <c r="L274" s="2624"/>
      <c r="M274" s="2624"/>
      <c r="N274" s="2624"/>
      <c r="O274" s="2624"/>
      <c r="P274" s="1671"/>
      <c r="Q274" s="1671"/>
      <c r="R274" s="405"/>
      <c r="S274" s="1672">
        <v>5000000</v>
      </c>
      <c r="T274" s="2644" t="s">
        <v>3727</v>
      </c>
      <c r="U274" s="2644"/>
      <c r="V274" s="2644">
        <v>4</v>
      </c>
      <c r="W274" s="2644" t="s">
        <v>4074</v>
      </c>
      <c r="X274" s="1140" t="s">
        <v>3441</v>
      </c>
      <c r="Y274" s="406">
        <f>Z274/1000</f>
        <v>20000</v>
      </c>
      <c r="Z274" s="407">
        <f>S274*V274</f>
        <v>20000000</v>
      </c>
      <c r="AA274" s="401"/>
      <c r="AB274" s="1091"/>
      <c r="AC274" s="1095"/>
      <c r="AD274" s="2553"/>
    </row>
    <row r="275" spans="1:30" s="2558" customFormat="1" ht="23.85" customHeight="1">
      <c r="A275" s="436"/>
      <c r="B275" s="402"/>
      <c r="C275" s="465"/>
      <c r="D275" s="1450"/>
      <c r="E275" s="389" t="s">
        <v>4026</v>
      </c>
      <c r="F275" s="403">
        <f>Y275</f>
        <v>19000</v>
      </c>
      <c r="G275" s="403">
        <v>19000</v>
      </c>
      <c r="H275" s="700"/>
      <c r="I275" s="409"/>
      <c r="J275" s="2643" t="s">
        <v>3447</v>
      </c>
      <c r="K275" s="2624"/>
      <c r="L275" s="2624"/>
      <c r="M275" s="2624"/>
      <c r="N275" s="2624"/>
      <c r="O275" s="2624"/>
      <c r="P275" s="1671"/>
      <c r="Q275" s="1671" t="s">
        <v>4084</v>
      </c>
      <c r="R275" s="405" t="s">
        <v>4084</v>
      </c>
      <c r="S275" s="1672"/>
      <c r="T275" s="2644"/>
      <c r="U275" s="2644"/>
      <c r="V275" s="2644"/>
      <c r="W275" s="2644"/>
      <c r="X275" s="1140"/>
      <c r="Y275" s="406">
        <f>Z275/1000</f>
        <v>19000</v>
      </c>
      <c r="Z275" s="1098">
        <f>SUM(Z276:Z277)</f>
        <v>19000000</v>
      </c>
      <c r="AA275" s="401"/>
      <c r="AB275" s="1091"/>
      <c r="AC275" s="1095"/>
      <c r="AD275" s="2553"/>
    </row>
    <row r="276" spans="1:30" s="2558" customFormat="1" ht="23.85" customHeight="1">
      <c r="A276" s="436"/>
      <c r="B276" s="402"/>
      <c r="C276" s="465"/>
      <c r="D276" s="1449"/>
      <c r="E276" s="389"/>
      <c r="F276" s="403"/>
      <c r="G276" s="403"/>
      <c r="H276" s="404"/>
      <c r="I276" s="409"/>
      <c r="J276" s="2643" t="s">
        <v>4085</v>
      </c>
      <c r="K276" s="2624"/>
      <c r="L276" s="2624"/>
      <c r="M276" s="2624"/>
      <c r="N276" s="2624"/>
      <c r="O276" s="2624"/>
      <c r="P276" s="1671"/>
      <c r="Q276" s="1671"/>
      <c r="R276" s="405"/>
      <c r="S276" s="1672">
        <v>15000000</v>
      </c>
      <c r="T276" s="2644" t="s">
        <v>3727</v>
      </c>
      <c r="U276" s="2644"/>
      <c r="V276" s="2644">
        <v>1</v>
      </c>
      <c r="W276" s="2644" t="s">
        <v>3440</v>
      </c>
      <c r="X276" s="1140" t="s">
        <v>3441</v>
      </c>
      <c r="Y276" s="406">
        <f>S276/1000</f>
        <v>15000</v>
      </c>
      <c r="Z276" s="1098">
        <f>S276*V276</f>
        <v>15000000</v>
      </c>
      <c r="AA276" s="401"/>
      <c r="AB276" s="1091"/>
      <c r="AC276" s="1095"/>
      <c r="AD276" s="2553"/>
    </row>
    <row r="277" spans="1:30" s="2558" customFormat="1" ht="23.85" customHeight="1">
      <c r="A277" s="436"/>
      <c r="B277" s="402"/>
      <c r="C277" s="465"/>
      <c r="D277" s="1449"/>
      <c r="E277" s="389"/>
      <c r="F277" s="403"/>
      <c r="G277" s="403"/>
      <c r="H277" s="404"/>
      <c r="I277" s="409"/>
      <c r="J277" s="2763" t="s">
        <v>4815</v>
      </c>
      <c r="K277" s="2624"/>
      <c r="L277" s="2624"/>
      <c r="M277" s="2624"/>
      <c r="N277" s="2624"/>
      <c r="O277" s="2624"/>
      <c r="P277" s="1671">
        <v>2</v>
      </c>
      <c r="Q277" s="1671" t="s">
        <v>4073</v>
      </c>
      <c r="R277" s="405"/>
      <c r="S277" s="1672">
        <v>200000</v>
      </c>
      <c r="T277" s="2644" t="s">
        <v>3727</v>
      </c>
      <c r="U277" s="2644"/>
      <c r="V277" s="2644">
        <v>10</v>
      </c>
      <c r="W277" s="2644" t="s">
        <v>3440</v>
      </c>
      <c r="X277" s="1140" t="s">
        <v>3441</v>
      </c>
      <c r="Y277" s="406">
        <f>Z277/1000</f>
        <v>4000</v>
      </c>
      <c r="Z277" s="1098">
        <f>P277*S277*V277</f>
        <v>4000000</v>
      </c>
      <c r="AA277" s="401"/>
      <c r="AB277" s="1091"/>
      <c r="AC277" s="1095"/>
      <c r="AD277" s="2553"/>
    </row>
    <row r="278" spans="1:30" s="2558" customFormat="1" ht="23.85" customHeight="1">
      <c r="A278" s="436"/>
      <c r="B278" s="402"/>
      <c r="C278" s="465"/>
      <c r="D278" s="1449"/>
      <c r="E278" s="389" t="s">
        <v>4028</v>
      </c>
      <c r="F278" s="403">
        <f>Y278</f>
        <v>4000</v>
      </c>
      <c r="G278" s="403">
        <v>4000</v>
      </c>
      <c r="H278" s="700"/>
      <c r="I278" s="409"/>
      <c r="J278" s="1627" t="s">
        <v>4086</v>
      </c>
      <c r="K278" s="2619"/>
      <c r="L278" s="2619"/>
      <c r="M278" s="2619"/>
      <c r="N278" s="2619"/>
      <c r="O278" s="2619"/>
      <c r="P278" s="371"/>
      <c r="Q278" s="371"/>
      <c r="R278" s="1325"/>
      <c r="S278" s="458">
        <v>100000</v>
      </c>
      <c r="T278" s="459" t="s">
        <v>3727</v>
      </c>
      <c r="U278" s="459"/>
      <c r="V278" s="459">
        <v>40</v>
      </c>
      <c r="W278" s="459" t="s">
        <v>3732</v>
      </c>
      <c r="X278" s="460" t="s">
        <v>3441</v>
      </c>
      <c r="Y278" s="549">
        <f t="shared" ref="Y278" si="89">Z278/1000</f>
        <v>4000</v>
      </c>
      <c r="Z278" s="1452">
        <f>S278*V278</f>
        <v>4000000</v>
      </c>
      <c r="AA278" s="401"/>
      <c r="AB278" s="1091"/>
      <c r="AC278" s="1095"/>
      <c r="AD278" s="2553"/>
    </row>
    <row r="279" spans="1:30" s="2558" customFormat="1" ht="23.85" customHeight="1">
      <c r="A279" s="436"/>
      <c r="B279" s="402"/>
      <c r="C279" s="465"/>
      <c r="D279" s="3539" t="s">
        <v>4087</v>
      </c>
      <c r="E279" s="3539"/>
      <c r="F279" s="599">
        <f>SUM(F280:F292)</f>
        <v>150000</v>
      </c>
      <c r="G279" s="599">
        <f>SUM(G280:G292)</f>
        <v>150000</v>
      </c>
      <c r="H279" s="468">
        <f>F279-G279</f>
        <v>0</v>
      </c>
      <c r="I279" s="409"/>
      <c r="J279" s="1135"/>
      <c r="K279" s="2598"/>
      <c r="L279" s="2598"/>
      <c r="M279" s="2598"/>
      <c r="N279" s="2598"/>
      <c r="O279" s="2598"/>
      <c r="P279" s="2598"/>
      <c r="Q279" s="836"/>
      <c r="R279" s="395"/>
      <c r="S279" s="399"/>
      <c r="T279" s="1136"/>
      <c r="U279" s="1136"/>
      <c r="V279" s="1136"/>
      <c r="W279" s="1136"/>
      <c r="X279" s="1138"/>
      <c r="Y279" s="431"/>
      <c r="Z279" s="463"/>
      <c r="AA279" s="401"/>
      <c r="AB279" s="1091"/>
      <c r="AC279" s="1095"/>
      <c r="AD279" s="2553"/>
    </row>
    <row r="280" spans="1:30" s="2558" customFormat="1" ht="23.85" customHeight="1">
      <c r="A280" s="436"/>
      <c r="B280" s="402"/>
      <c r="C280" s="465"/>
      <c r="D280" s="1131"/>
      <c r="E280" s="2594" t="s">
        <v>4088</v>
      </c>
      <c r="F280" s="873">
        <f>Y280</f>
        <v>40000</v>
      </c>
      <c r="G280" s="873">
        <v>40000</v>
      </c>
      <c r="H280" s="703"/>
      <c r="I280" s="1333"/>
      <c r="J280" s="2643" t="s">
        <v>4089</v>
      </c>
      <c r="K280" s="2624" t="s">
        <v>4091</v>
      </c>
      <c r="L280" s="2624"/>
      <c r="M280" s="2624"/>
      <c r="N280" s="2624"/>
      <c r="O280" s="2624"/>
      <c r="P280" s="1671"/>
      <c r="Q280" s="1671"/>
      <c r="R280" s="405"/>
      <c r="S280" s="1672"/>
      <c r="T280" s="2644"/>
      <c r="U280" s="2644"/>
      <c r="V280" s="2644"/>
      <c r="W280" s="2644"/>
      <c r="X280" s="1140"/>
      <c r="Y280" s="406">
        <f t="shared" ref="Y280:Y292" si="90">Z280/1000</f>
        <v>40000</v>
      </c>
      <c r="Z280" s="407">
        <f>SUM(Z281:Z282)</f>
        <v>40000000</v>
      </c>
      <c r="AA280" s="401"/>
      <c r="AB280" s="1091"/>
      <c r="AC280" s="1095"/>
      <c r="AD280" s="2553"/>
    </row>
    <row r="281" spans="1:30" s="2558" customFormat="1" ht="23.85" customHeight="1">
      <c r="A281" s="436"/>
      <c r="B281" s="402"/>
      <c r="C281" s="465"/>
      <c r="D281" s="1131"/>
      <c r="E281" s="2595"/>
      <c r="F281" s="873"/>
      <c r="G281" s="873"/>
      <c r="H281" s="700"/>
      <c r="I281" s="1333"/>
      <c r="J281" s="2643">
        <v>1</v>
      </c>
      <c r="K281" s="2624" t="s">
        <v>4092</v>
      </c>
      <c r="L281" s="2624"/>
      <c r="M281" s="2624"/>
      <c r="N281" s="2624"/>
      <c r="O281" s="2624"/>
      <c r="P281" s="1671"/>
      <c r="Q281" s="1671"/>
      <c r="R281" s="405"/>
      <c r="S281" s="1672">
        <v>10000000</v>
      </c>
      <c r="T281" s="2644" t="s">
        <v>3727</v>
      </c>
      <c r="U281" s="2644"/>
      <c r="V281" s="2644">
        <v>1</v>
      </c>
      <c r="W281" s="2644" t="s">
        <v>3440</v>
      </c>
      <c r="X281" s="1140"/>
      <c r="Y281" s="406">
        <f t="shared" si="90"/>
        <v>10000</v>
      </c>
      <c r="Z281" s="407">
        <f>S281*V281</f>
        <v>10000000</v>
      </c>
      <c r="AA281" s="401"/>
      <c r="AB281" s="1091"/>
      <c r="AC281" s="1095"/>
      <c r="AD281" s="2553"/>
    </row>
    <row r="282" spans="1:30" s="2558" customFormat="1" ht="23.85" customHeight="1">
      <c r="A282" s="436"/>
      <c r="B282" s="402"/>
      <c r="C282" s="465"/>
      <c r="D282" s="1131"/>
      <c r="E282" s="2595"/>
      <c r="F282" s="873"/>
      <c r="G282" s="873"/>
      <c r="H282" s="700"/>
      <c r="I282" s="1333"/>
      <c r="J282" s="2643">
        <v>2</v>
      </c>
      <c r="K282" s="2624" t="s">
        <v>4093</v>
      </c>
      <c r="L282" s="2624"/>
      <c r="M282" s="2624"/>
      <c r="N282" s="2624"/>
      <c r="O282" s="2624"/>
      <c r="P282" s="1671"/>
      <c r="Q282" s="1671"/>
      <c r="R282" s="405"/>
      <c r="S282" s="1672">
        <v>30000000</v>
      </c>
      <c r="T282" s="2644" t="s">
        <v>3727</v>
      </c>
      <c r="U282" s="2644"/>
      <c r="V282" s="2644">
        <v>1</v>
      </c>
      <c r="W282" s="2644" t="s">
        <v>3440</v>
      </c>
      <c r="X282" s="1140"/>
      <c r="Y282" s="406">
        <f t="shared" si="90"/>
        <v>30000</v>
      </c>
      <c r="Z282" s="407">
        <f>S282*V282</f>
        <v>30000000</v>
      </c>
      <c r="AA282" s="401"/>
      <c r="AB282" s="1091"/>
      <c r="AC282" s="1095"/>
      <c r="AD282" s="2553"/>
    </row>
    <row r="283" spans="1:30" s="2558" customFormat="1" ht="23.85" customHeight="1">
      <c r="A283" s="436"/>
      <c r="B283" s="402"/>
      <c r="C283" s="465"/>
      <c r="D283" s="1131"/>
      <c r="E283" s="1134" t="s">
        <v>4041</v>
      </c>
      <c r="F283" s="873">
        <f>Y283</f>
        <v>10000</v>
      </c>
      <c r="G283" s="873">
        <v>10000</v>
      </c>
      <c r="H283" s="700"/>
      <c r="I283" s="1333"/>
      <c r="J283" s="2643" t="s">
        <v>4094</v>
      </c>
      <c r="K283" s="2624" t="s">
        <v>4095</v>
      </c>
      <c r="L283" s="2624"/>
      <c r="M283" s="2624"/>
      <c r="N283" s="2624"/>
      <c r="O283" s="2624"/>
      <c r="P283" s="1671"/>
      <c r="Q283" s="1671"/>
      <c r="R283" s="405"/>
      <c r="S283" s="1672">
        <v>10000000</v>
      </c>
      <c r="T283" s="2644" t="s">
        <v>3727</v>
      </c>
      <c r="U283" s="2644"/>
      <c r="V283" s="2644">
        <v>1</v>
      </c>
      <c r="W283" s="2644" t="s">
        <v>3440</v>
      </c>
      <c r="X283" s="1140" t="s">
        <v>3441</v>
      </c>
      <c r="Y283" s="406">
        <f t="shared" si="90"/>
        <v>10000</v>
      </c>
      <c r="Z283" s="407">
        <f>S283*V283</f>
        <v>10000000</v>
      </c>
      <c r="AA283" s="401"/>
      <c r="AB283" s="1091"/>
      <c r="AC283" s="1095"/>
      <c r="AD283" s="2553"/>
    </row>
    <row r="284" spans="1:30" s="2558" customFormat="1" ht="23.85" customHeight="1">
      <c r="A284" s="436"/>
      <c r="B284" s="402"/>
      <c r="C284" s="465"/>
      <c r="D284" s="1131"/>
      <c r="E284" s="389" t="s">
        <v>4013</v>
      </c>
      <c r="F284" s="873">
        <f t="shared" ref="F284:F286" si="91">Y284</f>
        <v>10000</v>
      </c>
      <c r="G284" s="873">
        <v>10000</v>
      </c>
      <c r="H284" s="700"/>
      <c r="I284" s="1333"/>
      <c r="J284" s="2643" t="s">
        <v>4096</v>
      </c>
      <c r="K284" s="2624" t="s">
        <v>4097</v>
      </c>
      <c r="L284" s="2624"/>
      <c r="M284" s="2624"/>
      <c r="N284" s="2624"/>
      <c r="O284" s="2624"/>
      <c r="P284" s="1671"/>
      <c r="Q284" s="1671"/>
      <c r="R284" s="405"/>
      <c r="S284" s="1672">
        <v>1000000</v>
      </c>
      <c r="T284" s="2644" t="s">
        <v>3727</v>
      </c>
      <c r="U284" s="2644"/>
      <c r="V284" s="2644">
        <v>10</v>
      </c>
      <c r="W284" s="2644" t="s">
        <v>3743</v>
      </c>
      <c r="X284" s="1140" t="s">
        <v>3441</v>
      </c>
      <c r="Y284" s="406">
        <f t="shared" si="90"/>
        <v>10000</v>
      </c>
      <c r="Z284" s="407">
        <f>S284*V284</f>
        <v>10000000</v>
      </c>
      <c r="AA284" s="401"/>
      <c r="AB284" s="1091"/>
      <c r="AC284" s="1095"/>
      <c r="AD284" s="2553"/>
    </row>
    <row r="285" spans="1:30" s="2558" customFormat="1" ht="23.85" customHeight="1">
      <c r="A285" s="436"/>
      <c r="B285" s="402"/>
      <c r="C285" s="465"/>
      <c r="D285" s="1131"/>
      <c r="E285" s="389" t="s">
        <v>3735</v>
      </c>
      <c r="F285" s="873">
        <f t="shared" si="91"/>
        <v>15000</v>
      </c>
      <c r="G285" s="873">
        <v>15000</v>
      </c>
      <c r="H285" s="700"/>
      <c r="I285" s="1333"/>
      <c r="J285" s="2643" t="s">
        <v>4098</v>
      </c>
      <c r="K285" s="2624" t="s">
        <v>4099</v>
      </c>
      <c r="L285" s="2624"/>
      <c r="M285" s="2624"/>
      <c r="N285" s="2624"/>
      <c r="O285" s="2624"/>
      <c r="P285" s="1671"/>
      <c r="Q285" s="2644"/>
      <c r="R285" s="2628"/>
      <c r="S285" s="2644">
        <v>15000000</v>
      </c>
      <c r="T285" s="2644" t="s">
        <v>3727</v>
      </c>
      <c r="U285" s="2644"/>
      <c r="V285" s="2644">
        <v>1</v>
      </c>
      <c r="W285" s="2644" t="s">
        <v>4100</v>
      </c>
      <c r="X285" s="1140" t="s">
        <v>4101</v>
      </c>
      <c r="Y285" s="406">
        <f t="shared" si="90"/>
        <v>15000</v>
      </c>
      <c r="Z285" s="407">
        <f>S285*V285</f>
        <v>15000000</v>
      </c>
      <c r="AA285" s="401"/>
      <c r="AB285" s="1091"/>
      <c r="AC285" s="1095"/>
      <c r="AD285" s="2553"/>
    </row>
    <row r="286" spans="1:30" s="2558" customFormat="1" ht="23.85" customHeight="1">
      <c r="A286" s="396"/>
      <c r="B286" s="402"/>
      <c r="C286" s="465"/>
      <c r="D286" s="1131"/>
      <c r="E286" s="389" t="s">
        <v>4022</v>
      </c>
      <c r="F286" s="873">
        <f t="shared" si="91"/>
        <v>67000</v>
      </c>
      <c r="G286" s="873">
        <v>67000</v>
      </c>
      <c r="H286" s="700"/>
      <c r="I286" s="1333"/>
      <c r="J286" s="2643" t="s">
        <v>3447</v>
      </c>
      <c r="K286" s="2624"/>
      <c r="L286" s="2624"/>
      <c r="M286" s="2624"/>
      <c r="N286" s="2624"/>
      <c r="O286" s="2624"/>
      <c r="P286" s="1671"/>
      <c r="Q286" s="1671" t="s">
        <v>4084</v>
      </c>
      <c r="R286" s="405" t="s">
        <v>4084</v>
      </c>
      <c r="S286" s="1672"/>
      <c r="T286" s="2644"/>
      <c r="U286" s="2644"/>
      <c r="V286" s="2644"/>
      <c r="W286" s="2644"/>
      <c r="X286" s="1140"/>
      <c r="Y286" s="406">
        <f t="shared" si="90"/>
        <v>67000</v>
      </c>
      <c r="Z286" s="407">
        <f>SUM(Z287:Z289)</f>
        <v>67000000</v>
      </c>
      <c r="AA286" s="401"/>
      <c r="AB286" s="1091"/>
      <c r="AC286" s="1095"/>
      <c r="AD286" s="2553"/>
    </row>
    <row r="287" spans="1:30" s="2558" customFormat="1" ht="23.85" customHeight="1">
      <c r="A287" s="396"/>
      <c r="B287" s="402"/>
      <c r="C287" s="465"/>
      <c r="D287" s="1131"/>
      <c r="E287" s="389"/>
      <c r="F287" s="873"/>
      <c r="G287" s="873"/>
      <c r="H287" s="700"/>
      <c r="I287" s="1333"/>
      <c r="J287" s="2643">
        <v>1</v>
      </c>
      <c r="K287" s="2624" t="s">
        <v>4102</v>
      </c>
      <c r="L287" s="2624"/>
      <c r="M287" s="2624"/>
      <c r="N287" s="2624"/>
      <c r="O287" s="2624"/>
      <c r="P287" s="1671"/>
      <c r="Q287" s="1671"/>
      <c r="R287" s="405"/>
      <c r="S287" s="1672">
        <v>60000000</v>
      </c>
      <c r="T287" s="2644" t="s">
        <v>4</v>
      </c>
      <c r="U287" s="2644"/>
      <c r="V287" s="2644">
        <v>1</v>
      </c>
      <c r="W287" s="2644" t="s">
        <v>196</v>
      </c>
      <c r="X287" s="1140"/>
      <c r="Y287" s="406">
        <f t="shared" si="90"/>
        <v>60000</v>
      </c>
      <c r="Z287" s="407">
        <f t="shared" ref="Z287:Z292" si="92">S287*V287</f>
        <v>60000000</v>
      </c>
      <c r="AA287" s="401"/>
      <c r="AB287" s="1091"/>
      <c r="AC287" s="1095"/>
      <c r="AD287" s="2553"/>
    </row>
    <row r="288" spans="1:30" s="2558" customFormat="1" ht="23.85" customHeight="1">
      <c r="A288" s="396"/>
      <c r="B288" s="402"/>
      <c r="C288" s="465"/>
      <c r="D288" s="1131"/>
      <c r="E288" s="389"/>
      <c r="F288" s="873"/>
      <c r="G288" s="873"/>
      <c r="H288" s="700"/>
      <c r="I288" s="1333"/>
      <c r="J288" s="2643">
        <v>2</v>
      </c>
      <c r="K288" s="2624" t="s">
        <v>4103</v>
      </c>
      <c r="L288" s="2624"/>
      <c r="M288" s="2624"/>
      <c r="N288" s="2624"/>
      <c r="O288" s="2624"/>
      <c r="P288" s="1671"/>
      <c r="Q288" s="1671"/>
      <c r="R288" s="405"/>
      <c r="S288" s="1672">
        <v>200000</v>
      </c>
      <c r="T288" s="2644" t="s">
        <v>4104</v>
      </c>
      <c r="U288" s="2644"/>
      <c r="V288" s="2644">
        <v>10</v>
      </c>
      <c r="W288" s="2644" t="s">
        <v>4105</v>
      </c>
      <c r="X288" s="1140"/>
      <c r="Y288" s="406">
        <f t="shared" si="90"/>
        <v>2000</v>
      </c>
      <c r="Z288" s="407">
        <f t="shared" si="92"/>
        <v>2000000</v>
      </c>
      <c r="AA288" s="401"/>
      <c r="AB288" s="1091"/>
      <c r="AC288" s="1095"/>
      <c r="AD288" s="2553"/>
    </row>
    <row r="289" spans="1:30" s="2558" customFormat="1" ht="23.85" customHeight="1">
      <c r="A289" s="436"/>
      <c r="B289" s="402"/>
      <c r="C289" s="465"/>
      <c r="D289" s="1131"/>
      <c r="E289" s="1134"/>
      <c r="F289" s="873"/>
      <c r="G289" s="873"/>
      <c r="H289" s="700"/>
      <c r="I289" s="1333"/>
      <c r="J289" s="2643">
        <v>3</v>
      </c>
      <c r="K289" s="2624" t="s">
        <v>4106</v>
      </c>
      <c r="L289" s="2624"/>
      <c r="M289" s="2624"/>
      <c r="N289" s="2624"/>
      <c r="O289" s="2624"/>
      <c r="P289" s="1671"/>
      <c r="Q289" s="2644"/>
      <c r="R289" s="2628"/>
      <c r="S289" s="2644">
        <v>5000000</v>
      </c>
      <c r="T289" s="2644" t="s">
        <v>4104</v>
      </c>
      <c r="U289" s="2644"/>
      <c r="V289" s="2644">
        <v>1</v>
      </c>
      <c r="W289" s="2644" t="s">
        <v>4107</v>
      </c>
      <c r="X289" s="1140" t="s">
        <v>4108</v>
      </c>
      <c r="Y289" s="406">
        <f t="shared" si="90"/>
        <v>5000</v>
      </c>
      <c r="Z289" s="1098">
        <f t="shared" si="92"/>
        <v>5000000</v>
      </c>
      <c r="AA289" s="401"/>
      <c r="AB289" s="1091"/>
      <c r="AC289" s="1095"/>
      <c r="AD289" s="2553"/>
    </row>
    <row r="290" spans="1:30" s="2558" customFormat="1" ht="23.85" customHeight="1">
      <c r="A290" s="436"/>
      <c r="B290" s="402"/>
      <c r="C290" s="465"/>
      <c r="D290" s="1131"/>
      <c r="E290" s="389" t="s">
        <v>4109</v>
      </c>
      <c r="F290" s="873">
        <f t="shared" ref="F290:F297" si="93">Y290</f>
        <v>1000</v>
      </c>
      <c r="G290" s="873">
        <v>1000</v>
      </c>
      <c r="H290" s="700"/>
      <c r="I290" s="1333"/>
      <c r="J290" s="2643" t="s">
        <v>4110</v>
      </c>
      <c r="K290" s="2624"/>
      <c r="L290" s="2624"/>
      <c r="M290" s="2624"/>
      <c r="N290" s="2624"/>
      <c r="O290" s="2624"/>
      <c r="P290" s="1671"/>
      <c r="Q290" s="2644"/>
      <c r="R290" s="2628"/>
      <c r="S290" s="2644">
        <v>1000000</v>
      </c>
      <c r="T290" s="2644" t="s">
        <v>4104</v>
      </c>
      <c r="U290" s="2644"/>
      <c r="V290" s="2644">
        <v>1</v>
      </c>
      <c r="W290" s="2644" t="s">
        <v>4111</v>
      </c>
      <c r="X290" s="1140" t="s">
        <v>4108</v>
      </c>
      <c r="Y290" s="406">
        <f t="shared" si="90"/>
        <v>1000</v>
      </c>
      <c r="Z290" s="1098">
        <f t="shared" si="92"/>
        <v>1000000</v>
      </c>
      <c r="AA290" s="401"/>
      <c r="AB290" s="1091"/>
      <c r="AC290" s="1095"/>
      <c r="AD290" s="2553"/>
    </row>
    <row r="291" spans="1:30" s="2558" customFormat="1" ht="23.85" customHeight="1">
      <c r="A291" s="436"/>
      <c r="B291" s="402"/>
      <c r="C291" s="465"/>
      <c r="D291" s="1131"/>
      <c r="E291" s="389" t="s">
        <v>4112</v>
      </c>
      <c r="F291" s="873">
        <f t="shared" si="93"/>
        <v>5000</v>
      </c>
      <c r="G291" s="873">
        <v>5000</v>
      </c>
      <c r="H291" s="700"/>
      <c r="I291" s="1333"/>
      <c r="J291" s="2643" t="s">
        <v>4113</v>
      </c>
      <c r="K291" s="2624" t="s">
        <v>4114</v>
      </c>
      <c r="L291" s="2624"/>
      <c r="M291" s="2624"/>
      <c r="N291" s="2624"/>
      <c r="O291" s="2624"/>
      <c r="P291" s="1671"/>
      <c r="Q291" s="2644"/>
      <c r="R291" s="2628"/>
      <c r="S291" s="2644">
        <v>5000000</v>
      </c>
      <c r="T291" s="2644" t="s">
        <v>4104</v>
      </c>
      <c r="U291" s="2644"/>
      <c r="V291" s="2644">
        <v>1</v>
      </c>
      <c r="W291" s="2644" t="s">
        <v>4111</v>
      </c>
      <c r="X291" s="1140" t="s">
        <v>4108</v>
      </c>
      <c r="Y291" s="406">
        <f t="shared" si="90"/>
        <v>5000</v>
      </c>
      <c r="Z291" s="1098">
        <f t="shared" si="92"/>
        <v>5000000</v>
      </c>
      <c r="AA291" s="401"/>
      <c r="AB291" s="1091"/>
      <c r="AC291" s="1095"/>
      <c r="AD291" s="2553"/>
    </row>
    <row r="292" spans="1:30" s="2558" customFormat="1" ht="23.85" customHeight="1">
      <c r="A292" s="436"/>
      <c r="B292" s="402"/>
      <c r="C292" s="465"/>
      <c r="D292" s="1131"/>
      <c r="E292" s="855" t="s">
        <v>4115</v>
      </c>
      <c r="F292" s="873">
        <f t="shared" si="93"/>
        <v>2000</v>
      </c>
      <c r="G292" s="873">
        <v>2000</v>
      </c>
      <c r="H292" s="700"/>
      <c r="I292" s="1333"/>
      <c r="J292" s="2643" t="s">
        <v>4116</v>
      </c>
      <c r="K292" s="2619"/>
      <c r="L292" s="2619"/>
      <c r="M292" s="2619"/>
      <c r="N292" s="2619"/>
      <c r="O292" s="2624"/>
      <c r="P292" s="371"/>
      <c r="Q292" s="1671"/>
      <c r="R292" s="405"/>
      <c r="S292" s="458">
        <v>100000</v>
      </c>
      <c r="T292" s="459" t="s">
        <v>4104</v>
      </c>
      <c r="U292" s="2644"/>
      <c r="V292" s="2644">
        <v>20</v>
      </c>
      <c r="W292" s="2644" t="s">
        <v>4117</v>
      </c>
      <c r="X292" s="1140" t="s">
        <v>4118</v>
      </c>
      <c r="Y292" s="406">
        <f t="shared" si="90"/>
        <v>2000</v>
      </c>
      <c r="Z292" s="400">
        <f t="shared" si="92"/>
        <v>2000000</v>
      </c>
      <c r="AA292" s="401"/>
      <c r="AB292" s="1091"/>
      <c r="AC292" s="1095"/>
      <c r="AD292" s="2553"/>
    </row>
    <row r="293" spans="1:30" s="2558" customFormat="1" ht="23.85" customHeight="1">
      <c r="A293" s="436"/>
      <c r="B293" s="402"/>
      <c r="C293" s="465"/>
      <c r="D293" s="3539" t="s">
        <v>4119</v>
      </c>
      <c r="E293" s="3539"/>
      <c r="F293" s="599">
        <f>SUM(F294:F309)</f>
        <v>150000</v>
      </c>
      <c r="G293" s="599">
        <f>SUM(G294:G309)</f>
        <v>150000</v>
      </c>
      <c r="H293" s="468">
        <f>F293-G293</f>
        <v>0</v>
      </c>
      <c r="I293" s="409"/>
      <c r="J293" s="1135"/>
      <c r="K293" s="2598"/>
      <c r="L293" s="2598"/>
      <c r="M293" s="2598"/>
      <c r="N293" s="2598"/>
      <c r="O293" s="2598"/>
      <c r="P293" s="2598"/>
      <c r="Q293" s="836"/>
      <c r="R293" s="395"/>
      <c r="S293" s="399"/>
      <c r="T293" s="1136"/>
      <c r="U293" s="1136"/>
      <c r="V293" s="1136"/>
      <c r="W293" s="1136"/>
      <c r="X293" s="1138"/>
      <c r="Y293" s="431"/>
      <c r="Z293" s="463"/>
      <c r="AA293" s="401"/>
      <c r="AB293" s="1091"/>
      <c r="AC293" s="1095"/>
      <c r="AD293" s="2553"/>
    </row>
    <row r="294" spans="1:30" s="2558" customFormat="1" ht="23.85" customHeight="1">
      <c r="A294" s="436"/>
      <c r="B294" s="402"/>
      <c r="C294" s="465"/>
      <c r="D294" s="1131"/>
      <c r="E294" s="389" t="s">
        <v>4120</v>
      </c>
      <c r="F294" s="873">
        <f t="shared" si="93"/>
        <v>11000</v>
      </c>
      <c r="G294" s="403">
        <v>11000</v>
      </c>
      <c r="H294" s="700"/>
      <c r="I294" s="409"/>
      <c r="J294" s="2643" t="s">
        <v>4121</v>
      </c>
      <c r="K294" s="2624"/>
      <c r="L294" s="2624"/>
      <c r="M294" s="2624"/>
      <c r="N294" s="2624"/>
      <c r="O294" s="2624"/>
      <c r="P294" s="1671"/>
      <c r="Q294" s="1671"/>
      <c r="R294" s="405"/>
      <c r="S294" s="1672">
        <v>11000000</v>
      </c>
      <c r="T294" s="2644" t="s">
        <v>4104</v>
      </c>
      <c r="U294" s="2644"/>
      <c r="V294" s="2644">
        <v>1</v>
      </c>
      <c r="W294" s="2644" t="s">
        <v>4122</v>
      </c>
      <c r="X294" s="1140" t="s">
        <v>4118</v>
      </c>
      <c r="Y294" s="406">
        <f t="shared" ref="Y294:Y309" si="94">Z294/1000</f>
        <v>11000</v>
      </c>
      <c r="Z294" s="407">
        <f>S294*V294</f>
        <v>11000000</v>
      </c>
      <c r="AA294" s="401"/>
      <c r="AB294" s="1091"/>
      <c r="AC294" s="1095"/>
      <c r="AD294" s="2553"/>
    </row>
    <row r="295" spans="1:30" s="2558" customFormat="1" ht="23.85" customHeight="1">
      <c r="A295" s="436"/>
      <c r="B295" s="402"/>
      <c r="C295" s="465"/>
      <c r="D295" s="1131"/>
      <c r="E295" s="389" t="s">
        <v>4123</v>
      </c>
      <c r="F295" s="873">
        <f t="shared" si="93"/>
        <v>1500</v>
      </c>
      <c r="G295" s="403">
        <v>1500</v>
      </c>
      <c r="H295" s="700"/>
      <c r="I295" s="409"/>
      <c r="J295" s="2643" t="s">
        <v>4124</v>
      </c>
      <c r="K295" s="2624"/>
      <c r="L295" s="2624"/>
      <c r="M295" s="2624"/>
      <c r="N295" s="2624"/>
      <c r="O295" s="2624"/>
      <c r="P295" s="1671"/>
      <c r="Q295" s="1671"/>
      <c r="R295" s="405"/>
      <c r="S295" s="1672">
        <v>1500000</v>
      </c>
      <c r="T295" s="2644" t="s">
        <v>4104</v>
      </c>
      <c r="U295" s="2644"/>
      <c r="V295" s="2644">
        <v>1</v>
      </c>
      <c r="W295" s="2644" t="s">
        <v>4122</v>
      </c>
      <c r="X295" s="1140" t="s">
        <v>4118</v>
      </c>
      <c r="Y295" s="406">
        <f t="shared" si="94"/>
        <v>1500</v>
      </c>
      <c r="Z295" s="407">
        <f>S295*V295</f>
        <v>1500000</v>
      </c>
      <c r="AA295" s="401"/>
      <c r="AB295" s="1091"/>
      <c r="AC295" s="1095"/>
      <c r="AD295" s="2553"/>
    </row>
    <row r="296" spans="1:30" s="2558" customFormat="1" ht="23.85" customHeight="1">
      <c r="A296" s="436"/>
      <c r="B296" s="402"/>
      <c r="C296" s="465"/>
      <c r="D296" s="1131"/>
      <c r="E296" s="389" t="s">
        <v>4125</v>
      </c>
      <c r="F296" s="873">
        <f t="shared" si="93"/>
        <v>1000</v>
      </c>
      <c r="G296" s="403">
        <v>1000</v>
      </c>
      <c r="H296" s="700"/>
      <c r="I296" s="409"/>
      <c r="J296" s="2643" t="s">
        <v>4126</v>
      </c>
      <c r="K296" s="2624"/>
      <c r="L296" s="2624"/>
      <c r="M296" s="2624"/>
      <c r="N296" s="2624"/>
      <c r="O296" s="2624"/>
      <c r="P296" s="1671"/>
      <c r="Q296" s="1671"/>
      <c r="R296" s="405"/>
      <c r="S296" s="1672">
        <v>1000000</v>
      </c>
      <c r="T296" s="2644" t="s">
        <v>4104</v>
      </c>
      <c r="U296" s="2644"/>
      <c r="V296" s="2644">
        <v>1</v>
      </c>
      <c r="W296" s="2644" t="s">
        <v>4122</v>
      </c>
      <c r="X296" s="1140" t="s">
        <v>4118</v>
      </c>
      <c r="Y296" s="406">
        <f t="shared" si="94"/>
        <v>1000</v>
      </c>
      <c r="Z296" s="407">
        <f>S296*V296</f>
        <v>1000000</v>
      </c>
      <c r="AA296" s="401"/>
      <c r="AB296" s="1091"/>
      <c r="AC296" s="1095"/>
      <c r="AD296" s="2553"/>
    </row>
    <row r="297" spans="1:30" s="2558" customFormat="1" ht="24.6" customHeight="1">
      <c r="A297" s="436"/>
      <c r="B297" s="402"/>
      <c r="C297" s="465"/>
      <c r="D297" s="1131"/>
      <c r="E297" s="389" t="s">
        <v>4127</v>
      </c>
      <c r="F297" s="873">
        <f t="shared" si="93"/>
        <v>92000</v>
      </c>
      <c r="G297" s="403">
        <v>92000</v>
      </c>
      <c r="H297" s="700"/>
      <c r="I297" s="409"/>
      <c r="J297" s="2643" t="s">
        <v>4128</v>
      </c>
      <c r="K297" s="2624"/>
      <c r="L297" s="2624"/>
      <c r="M297" s="2624"/>
      <c r="N297" s="2624"/>
      <c r="O297" s="2624"/>
      <c r="P297" s="1671"/>
      <c r="Q297" s="1671" t="s">
        <v>4129</v>
      </c>
      <c r="R297" s="405" t="s">
        <v>4129</v>
      </c>
      <c r="S297" s="1672"/>
      <c r="T297" s="2644"/>
      <c r="U297" s="2644"/>
      <c r="V297" s="2644"/>
      <c r="W297" s="2644"/>
      <c r="X297" s="1140"/>
      <c r="Y297" s="406">
        <f t="shared" si="94"/>
        <v>92000</v>
      </c>
      <c r="Z297" s="407">
        <f>SUM(Z298:Z302)</f>
        <v>92000000</v>
      </c>
      <c r="AA297" s="401"/>
      <c r="AB297" s="1091"/>
      <c r="AC297" s="1095"/>
      <c r="AD297" s="2553"/>
    </row>
    <row r="298" spans="1:30" s="2558" customFormat="1" ht="24.6" customHeight="1">
      <c r="A298" s="436"/>
      <c r="B298" s="402"/>
      <c r="C298" s="465"/>
      <c r="D298" s="1131"/>
      <c r="E298" s="1134"/>
      <c r="F298" s="403"/>
      <c r="G298" s="403"/>
      <c r="H298" s="404"/>
      <c r="I298" s="409"/>
      <c r="J298" s="2939" t="s">
        <v>5943</v>
      </c>
      <c r="K298" s="2624"/>
      <c r="L298" s="2624"/>
      <c r="M298" s="2624"/>
      <c r="N298" s="2624"/>
      <c r="O298" s="2624"/>
      <c r="P298" s="1671"/>
      <c r="Q298" s="2644"/>
      <c r="R298" s="2628"/>
      <c r="S298" s="2644">
        <v>2500000</v>
      </c>
      <c r="T298" s="2644" t="s">
        <v>4104</v>
      </c>
      <c r="U298" s="2644"/>
      <c r="V298" s="2644">
        <v>10</v>
      </c>
      <c r="W298" s="2644" t="s">
        <v>4130</v>
      </c>
      <c r="X298" s="1140" t="s">
        <v>4108</v>
      </c>
      <c r="Y298" s="406">
        <f t="shared" si="94"/>
        <v>25000</v>
      </c>
      <c r="Z298" s="1098">
        <f>S298*V298</f>
        <v>25000000</v>
      </c>
      <c r="AA298" s="401"/>
      <c r="AB298" s="1091"/>
      <c r="AC298" s="1095"/>
      <c r="AD298" s="2553"/>
    </row>
    <row r="299" spans="1:30" s="2558" customFormat="1" ht="24.6" customHeight="1">
      <c r="A299" s="436"/>
      <c r="B299" s="402"/>
      <c r="C299" s="465"/>
      <c r="D299" s="1131"/>
      <c r="E299" s="389"/>
      <c r="F299" s="403"/>
      <c r="G299" s="403"/>
      <c r="H299" s="404"/>
      <c r="I299" s="409"/>
      <c r="J299" s="2939" t="s">
        <v>5944</v>
      </c>
      <c r="K299" s="2624"/>
      <c r="L299" s="2624"/>
      <c r="M299" s="2624"/>
      <c r="N299" s="2624"/>
      <c r="O299" s="2624"/>
      <c r="P299" s="1671"/>
      <c r="Q299" s="2644">
        <v>5</v>
      </c>
      <c r="R299" s="2628" t="s">
        <v>4131</v>
      </c>
      <c r="S299" s="2644">
        <v>150000</v>
      </c>
      <c r="T299" s="2644" t="s">
        <v>4104</v>
      </c>
      <c r="U299" s="2644"/>
      <c r="V299" s="2644">
        <v>50</v>
      </c>
      <c r="W299" s="2644" t="s">
        <v>4107</v>
      </c>
      <c r="X299" s="1140" t="s">
        <v>4108</v>
      </c>
      <c r="Y299" s="406">
        <f t="shared" si="94"/>
        <v>37500</v>
      </c>
      <c r="Z299" s="1098">
        <f>Q299*S299*V299</f>
        <v>37500000</v>
      </c>
      <c r="AA299" s="401"/>
      <c r="AB299" s="1091"/>
      <c r="AC299" s="1095"/>
      <c r="AD299" s="2553"/>
    </row>
    <row r="300" spans="1:30" s="2558" customFormat="1" ht="24.6" customHeight="1">
      <c r="A300" s="436"/>
      <c r="B300" s="402"/>
      <c r="C300" s="465"/>
      <c r="D300" s="1131"/>
      <c r="E300" s="389"/>
      <c r="F300" s="403"/>
      <c r="G300" s="403"/>
      <c r="H300" s="404"/>
      <c r="I300" s="409"/>
      <c r="J300" s="2939" t="s">
        <v>5945</v>
      </c>
      <c r="K300" s="2624"/>
      <c r="L300" s="2624"/>
      <c r="M300" s="2624"/>
      <c r="N300" s="2624"/>
      <c r="O300" s="2624"/>
      <c r="P300" s="1671"/>
      <c r="Q300" s="1671"/>
      <c r="R300" s="405"/>
      <c r="S300" s="1672">
        <v>300000</v>
      </c>
      <c r="T300" s="2644" t="s">
        <v>4104</v>
      </c>
      <c r="U300" s="2644"/>
      <c r="V300" s="2644">
        <v>57</v>
      </c>
      <c r="W300" s="2644" t="s">
        <v>4117</v>
      </c>
      <c r="X300" s="1140" t="s">
        <v>4118</v>
      </c>
      <c r="Y300" s="406">
        <f t="shared" si="94"/>
        <v>17100</v>
      </c>
      <c r="Z300" s="1098">
        <f t="shared" ref="Z300:Z305" si="95">S300*V300</f>
        <v>17100000</v>
      </c>
      <c r="AA300" s="401"/>
      <c r="AB300" s="1091"/>
      <c r="AC300" s="1095"/>
      <c r="AD300" s="2553"/>
    </row>
    <row r="301" spans="1:30" s="2558" customFormat="1" ht="24.6" customHeight="1">
      <c r="A301" s="436"/>
      <c r="B301" s="402"/>
      <c r="C301" s="465"/>
      <c r="D301" s="1131"/>
      <c r="E301" s="389"/>
      <c r="F301" s="403"/>
      <c r="G301" s="403"/>
      <c r="H301" s="404"/>
      <c r="I301" s="409"/>
      <c r="J301" s="2939" t="s">
        <v>5946</v>
      </c>
      <c r="K301" s="2624"/>
      <c r="L301" s="2624"/>
      <c r="M301" s="2624"/>
      <c r="N301" s="2624"/>
      <c r="O301" s="2624"/>
      <c r="P301" s="1671"/>
      <c r="Q301" s="1671"/>
      <c r="R301" s="405"/>
      <c r="S301" s="1672">
        <v>300000</v>
      </c>
      <c r="T301" s="2644" t="s">
        <v>4104</v>
      </c>
      <c r="U301" s="2644"/>
      <c r="V301" s="2644">
        <v>18</v>
      </c>
      <c r="W301" s="2644" t="s">
        <v>4117</v>
      </c>
      <c r="X301" s="1140" t="s">
        <v>4118</v>
      </c>
      <c r="Y301" s="406">
        <f t="shared" si="94"/>
        <v>5400</v>
      </c>
      <c r="Z301" s="1098">
        <f t="shared" si="95"/>
        <v>5400000</v>
      </c>
      <c r="AA301" s="401"/>
      <c r="AB301" s="1091"/>
      <c r="AC301" s="1095"/>
      <c r="AD301" s="2553"/>
    </row>
    <row r="302" spans="1:30" s="2558" customFormat="1" ht="24.6" customHeight="1">
      <c r="A302" s="436"/>
      <c r="B302" s="402"/>
      <c r="C302" s="465"/>
      <c r="D302" s="1131"/>
      <c r="E302" s="389"/>
      <c r="F302" s="403"/>
      <c r="G302" s="403"/>
      <c r="H302" s="404"/>
      <c r="I302" s="409"/>
      <c r="J302" s="2939" t="s">
        <v>5947</v>
      </c>
      <c r="K302" s="2624"/>
      <c r="L302" s="2624"/>
      <c r="M302" s="2624"/>
      <c r="N302" s="2624"/>
      <c r="O302" s="2624"/>
      <c r="P302" s="1671"/>
      <c r="Q302" s="1671"/>
      <c r="R302" s="405"/>
      <c r="S302" s="1672">
        <v>7000000</v>
      </c>
      <c r="T302" s="2644" t="s">
        <v>4104</v>
      </c>
      <c r="U302" s="2644"/>
      <c r="V302" s="2644">
        <v>1</v>
      </c>
      <c r="W302" s="2644" t="s">
        <v>4122</v>
      </c>
      <c r="X302" s="1140" t="s">
        <v>4118</v>
      </c>
      <c r="Y302" s="406">
        <f t="shared" si="94"/>
        <v>7000</v>
      </c>
      <c r="Z302" s="1098">
        <f t="shared" si="95"/>
        <v>7000000</v>
      </c>
      <c r="AA302" s="401"/>
      <c r="AB302" s="1091"/>
      <c r="AC302" s="1095"/>
      <c r="AD302" s="2553"/>
    </row>
    <row r="303" spans="1:30" s="2558" customFormat="1" ht="24.6" customHeight="1">
      <c r="A303" s="436"/>
      <c r="B303" s="402"/>
      <c r="C303" s="465"/>
      <c r="D303" s="1131"/>
      <c r="E303" s="389" t="s">
        <v>4132</v>
      </c>
      <c r="F303" s="873">
        <f t="shared" ref="F303:F306" si="96">Y303</f>
        <v>1000</v>
      </c>
      <c r="G303" s="403">
        <v>1000</v>
      </c>
      <c r="H303" s="700"/>
      <c r="I303" s="409"/>
      <c r="J303" s="2643" t="s">
        <v>4133</v>
      </c>
      <c r="K303" s="2624"/>
      <c r="L303" s="2624"/>
      <c r="M303" s="2624"/>
      <c r="N303" s="2624"/>
      <c r="O303" s="2624"/>
      <c r="P303" s="1671"/>
      <c r="Q303" s="2644"/>
      <c r="R303" s="2628"/>
      <c r="S303" s="2644">
        <v>1000000</v>
      </c>
      <c r="T303" s="2644" t="s">
        <v>4104</v>
      </c>
      <c r="U303" s="2644"/>
      <c r="V303" s="2644">
        <v>1</v>
      </c>
      <c r="W303" s="2644" t="s">
        <v>4111</v>
      </c>
      <c r="X303" s="1140" t="s">
        <v>4108</v>
      </c>
      <c r="Y303" s="406">
        <f t="shared" si="94"/>
        <v>1000</v>
      </c>
      <c r="Z303" s="1098">
        <f t="shared" si="95"/>
        <v>1000000</v>
      </c>
      <c r="AA303" s="401"/>
      <c r="AB303" s="1091"/>
      <c r="AC303" s="1095"/>
      <c r="AD303" s="2553"/>
    </row>
    <row r="304" spans="1:30" s="2558" customFormat="1" ht="24.6" customHeight="1">
      <c r="A304" s="436"/>
      <c r="B304" s="402"/>
      <c r="C304" s="465"/>
      <c r="D304" s="1131"/>
      <c r="E304" s="389" t="s">
        <v>4134</v>
      </c>
      <c r="F304" s="873">
        <f t="shared" si="96"/>
        <v>28000</v>
      </c>
      <c r="G304" s="403">
        <v>28000</v>
      </c>
      <c r="H304" s="700"/>
      <c r="I304" s="409"/>
      <c r="J304" s="2643" t="s">
        <v>4135</v>
      </c>
      <c r="K304" s="2624"/>
      <c r="L304" s="2624"/>
      <c r="M304" s="2624"/>
      <c r="N304" s="2624"/>
      <c r="O304" s="2624"/>
      <c r="P304" s="1671"/>
      <c r="Q304" s="1671"/>
      <c r="R304" s="405"/>
      <c r="S304" s="1672">
        <v>28000000</v>
      </c>
      <c r="T304" s="2644" t="s">
        <v>4104</v>
      </c>
      <c r="U304" s="2644"/>
      <c r="V304" s="2644">
        <v>1</v>
      </c>
      <c r="W304" s="2644" t="s">
        <v>4122</v>
      </c>
      <c r="X304" s="1140" t="s">
        <v>4118</v>
      </c>
      <c r="Y304" s="406">
        <f t="shared" si="94"/>
        <v>28000</v>
      </c>
      <c r="Z304" s="1098">
        <f t="shared" si="95"/>
        <v>28000000</v>
      </c>
      <c r="AA304" s="401"/>
      <c r="AB304" s="1091"/>
      <c r="AC304" s="1095"/>
      <c r="AD304" s="2553"/>
    </row>
    <row r="305" spans="1:30" s="2558" customFormat="1" ht="24.6" customHeight="1">
      <c r="A305" s="436"/>
      <c r="B305" s="402"/>
      <c r="C305" s="465"/>
      <c r="D305" s="1131"/>
      <c r="E305" s="389" t="s">
        <v>4109</v>
      </c>
      <c r="F305" s="873">
        <f t="shared" si="96"/>
        <v>500</v>
      </c>
      <c r="G305" s="403">
        <v>500</v>
      </c>
      <c r="H305" s="700"/>
      <c r="I305" s="409"/>
      <c r="J305" s="2643" t="s">
        <v>4136</v>
      </c>
      <c r="K305" s="2624"/>
      <c r="L305" s="2624"/>
      <c r="M305" s="2624"/>
      <c r="N305" s="2624"/>
      <c r="O305" s="2624"/>
      <c r="P305" s="1671"/>
      <c r="Q305" s="1671"/>
      <c r="R305" s="405"/>
      <c r="S305" s="1672">
        <v>500000</v>
      </c>
      <c r="T305" s="2644" t="s">
        <v>4104</v>
      </c>
      <c r="U305" s="2644"/>
      <c r="V305" s="2644">
        <v>1</v>
      </c>
      <c r="W305" s="2644" t="s">
        <v>4122</v>
      </c>
      <c r="X305" s="1140" t="s">
        <v>4118</v>
      </c>
      <c r="Y305" s="406">
        <f t="shared" si="94"/>
        <v>500</v>
      </c>
      <c r="Z305" s="407">
        <f t="shared" si="95"/>
        <v>500000</v>
      </c>
      <c r="AA305" s="401"/>
      <c r="AB305" s="1091"/>
      <c r="AC305" s="1095"/>
      <c r="AD305" s="2553"/>
    </row>
    <row r="306" spans="1:30" s="2558" customFormat="1" ht="24.6" customHeight="1">
      <c r="A306" s="436"/>
      <c r="B306" s="402"/>
      <c r="C306" s="465"/>
      <c r="D306" s="1131"/>
      <c r="E306" s="389" t="s">
        <v>4112</v>
      </c>
      <c r="F306" s="873">
        <f t="shared" si="96"/>
        <v>12300</v>
      </c>
      <c r="G306" s="403">
        <v>12300</v>
      </c>
      <c r="H306" s="700"/>
      <c r="I306" s="409"/>
      <c r="J306" s="2643" t="s">
        <v>4128</v>
      </c>
      <c r="K306" s="2624"/>
      <c r="L306" s="2624"/>
      <c r="M306" s="2624"/>
      <c r="N306" s="2624"/>
      <c r="O306" s="2624"/>
      <c r="P306" s="1671"/>
      <c r="Q306" s="1671" t="s">
        <v>4129</v>
      </c>
      <c r="R306" s="405" t="s">
        <v>4129</v>
      </c>
      <c r="S306" s="1672"/>
      <c r="T306" s="2644"/>
      <c r="U306" s="2644"/>
      <c r="V306" s="2644"/>
      <c r="W306" s="2644"/>
      <c r="X306" s="1140"/>
      <c r="Y306" s="406">
        <f>Z306/1000</f>
        <v>12300</v>
      </c>
      <c r="Z306" s="1098">
        <f>SUM(Z307:Z308)</f>
        <v>12300000</v>
      </c>
      <c r="AA306" s="401"/>
      <c r="AB306" s="1091"/>
      <c r="AC306" s="1095"/>
      <c r="AD306" s="2553"/>
    </row>
    <row r="307" spans="1:30" s="2558" customFormat="1" ht="24.6" customHeight="1">
      <c r="A307" s="436"/>
      <c r="B307" s="402"/>
      <c r="C307" s="465"/>
      <c r="D307" s="1131"/>
      <c r="E307" s="389"/>
      <c r="F307" s="403"/>
      <c r="G307" s="403"/>
      <c r="H307" s="404"/>
      <c r="I307" s="409"/>
      <c r="J307" s="2939" t="s">
        <v>5948</v>
      </c>
      <c r="K307" s="2624"/>
      <c r="L307" s="2624"/>
      <c r="M307" s="2624"/>
      <c r="N307" s="2624"/>
      <c r="O307" s="2624"/>
      <c r="P307" s="1671"/>
      <c r="Q307" s="1671"/>
      <c r="R307" s="405"/>
      <c r="S307" s="1672">
        <v>10300000</v>
      </c>
      <c r="T307" s="2644" t="s">
        <v>4104</v>
      </c>
      <c r="U307" s="2644"/>
      <c r="V307" s="2644">
        <v>1</v>
      </c>
      <c r="W307" s="2644" t="s">
        <v>4122</v>
      </c>
      <c r="X307" s="1140" t="s">
        <v>4118</v>
      </c>
      <c r="Y307" s="406">
        <f t="shared" ref="Y307:Y308" si="97">Z307/1000</f>
        <v>10300</v>
      </c>
      <c r="Z307" s="1098">
        <f>S307*V307</f>
        <v>10300000</v>
      </c>
      <c r="AA307" s="401"/>
      <c r="AB307" s="1091"/>
      <c r="AC307" s="1095"/>
      <c r="AD307" s="2553"/>
    </row>
    <row r="308" spans="1:30" s="2558" customFormat="1" ht="24.6" customHeight="1">
      <c r="A308" s="436"/>
      <c r="B308" s="402"/>
      <c r="C308" s="465"/>
      <c r="D308" s="1131"/>
      <c r="E308" s="389"/>
      <c r="F308" s="403"/>
      <c r="G308" s="403"/>
      <c r="H308" s="404"/>
      <c r="I308" s="409"/>
      <c r="J308" s="2939" t="s">
        <v>5949</v>
      </c>
      <c r="K308" s="2624"/>
      <c r="L308" s="2624"/>
      <c r="M308" s="2624"/>
      <c r="N308" s="2624"/>
      <c r="O308" s="2624"/>
      <c r="P308" s="1671"/>
      <c r="Q308" s="1671"/>
      <c r="R308" s="405"/>
      <c r="S308" s="1672">
        <v>2000000</v>
      </c>
      <c r="T308" s="2644" t="s">
        <v>4104</v>
      </c>
      <c r="U308" s="2644"/>
      <c r="V308" s="2644">
        <v>1</v>
      </c>
      <c r="W308" s="2644" t="s">
        <v>4122</v>
      </c>
      <c r="X308" s="1140" t="s">
        <v>4118</v>
      </c>
      <c r="Y308" s="406">
        <f t="shared" si="97"/>
        <v>2000</v>
      </c>
      <c r="Z308" s="1098">
        <f>S308*V308</f>
        <v>2000000</v>
      </c>
      <c r="AA308" s="401"/>
      <c r="AB308" s="1091"/>
      <c r="AC308" s="1095"/>
      <c r="AD308" s="2553"/>
    </row>
    <row r="309" spans="1:30" s="2558" customFormat="1" ht="24.6" customHeight="1">
      <c r="A309" s="436"/>
      <c r="B309" s="402"/>
      <c r="C309" s="465"/>
      <c r="D309" s="1131"/>
      <c r="E309" s="389" t="s">
        <v>4115</v>
      </c>
      <c r="F309" s="873">
        <f t="shared" ref="F309" si="98">Y309</f>
        <v>2700</v>
      </c>
      <c r="G309" s="403">
        <v>2700</v>
      </c>
      <c r="H309" s="700"/>
      <c r="I309" s="409"/>
      <c r="J309" s="1627" t="s">
        <v>4116</v>
      </c>
      <c r="K309" s="2619"/>
      <c r="L309" s="2619"/>
      <c r="M309" s="2619"/>
      <c r="N309" s="2619"/>
      <c r="O309" s="2619"/>
      <c r="P309" s="371"/>
      <c r="Q309" s="371"/>
      <c r="R309" s="1325"/>
      <c r="S309" s="458">
        <v>100000</v>
      </c>
      <c r="T309" s="459" t="s">
        <v>4104</v>
      </c>
      <c r="U309" s="459"/>
      <c r="V309" s="459">
        <v>27</v>
      </c>
      <c r="W309" s="459" t="s">
        <v>4117</v>
      </c>
      <c r="X309" s="460" t="s">
        <v>4118</v>
      </c>
      <c r="Y309" s="549">
        <f t="shared" si="94"/>
        <v>2700</v>
      </c>
      <c r="Z309" s="400">
        <f t="shared" ref="Z309" si="99">S309*V309</f>
        <v>2700000</v>
      </c>
      <c r="AA309" s="401"/>
      <c r="AB309" s="1091"/>
      <c r="AC309" s="1095"/>
      <c r="AD309" s="2553"/>
    </row>
    <row r="310" spans="1:30" s="2558" customFormat="1" ht="24.6" customHeight="1">
      <c r="A310" s="436"/>
      <c r="B310" s="402"/>
      <c r="C310" s="465"/>
      <c r="D310" s="3539" t="s">
        <v>4137</v>
      </c>
      <c r="E310" s="3539"/>
      <c r="F310" s="599">
        <f>SUM(F311:F333)</f>
        <v>110000</v>
      </c>
      <c r="G310" s="599">
        <f>SUM(G311:G333)</f>
        <v>110000</v>
      </c>
      <c r="H310" s="468">
        <f>F310-G310</f>
        <v>0</v>
      </c>
      <c r="I310" s="409"/>
      <c r="J310" s="1135"/>
      <c r="K310" s="2598"/>
      <c r="L310" s="2598"/>
      <c r="M310" s="2598"/>
      <c r="N310" s="2598"/>
      <c r="O310" s="2598"/>
      <c r="P310" s="2598"/>
      <c r="Q310" s="836"/>
      <c r="R310" s="395"/>
      <c r="S310" s="399"/>
      <c r="T310" s="1136"/>
      <c r="U310" s="1136"/>
      <c r="V310" s="1136"/>
      <c r="W310" s="1136"/>
      <c r="X310" s="1138"/>
      <c r="Y310" s="431"/>
      <c r="Z310" s="463"/>
      <c r="AA310" s="401"/>
      <c r="AB310" s="1091"/>
      <c r="AC310" s="1095"/>
      <c r="AD310" s="2553"/>
    </row>
    <row r="311" spans="1:30" s="2558" customFormat="1" ht="24.6" customHeight="1">
      <c r="A311" s="436"/>
      <c r="B311" s="402"/>
      <c r="C311" s="465"/>
      <c r="D311" s="495"/>
      <c r="E311" s="465" t="s">
        <v>369</v>
      </c>
      <c r="F311" s="403">
        <f t="shared" ref="F311" si="100">Y311</f>
        <v>2900</v>
      </c>
      <c r="G311" s="403">
        <v>2900</v>
      </c>
      <c r="H311" s="700"/>
      <c r="I311" s="409"/>
      <c r="J311" s="2900" t="s">
        <v>4817</v>
      </c>
      <c r="K311" s="2889" t="s">
        <v>4140</v>
      </c>
      <c r="L311" s="2889"/>
      <c r="M311" s="2889"/>
      <c r="N311" s="1671"/>
      <c r="O311" s="1671"/>
      <c r="P311" s="1671"/>
      <c r="Q311" s="1671"/>
      <c r="R311" s="1671"/>
      <c r="S311" s="1671">
        <v>2900000</v>
      </c>
      <c r="T311" s="1671" t="s">
        <v>4</v>
      </c>
      <c r="U311" s="1671"/>
      <c r="V311" s="1671">
        <v>1</v>
      </c>
      <c r="W311" s="1671" t="s">
        <v>196</v>
      </c>
      <c r="X311" s="397" t="s">
        <v>5</v>
      </c>
      <c r="Y311" s="2770">
        <f t="shared" ref="Y311" si="101">Z311/1000</f>
        <v>2900</v>
      </c>
      <c r="Z311" s="355">
        <f t="shared" ref="Z311" si="102">S311*V311</f>
        <v>2900000</v>
      </c>
      <c r="AA311" s="401"/>
      <c r="AB311" s="1091"/>
      <c r="AC311" s="1095"/>
      <c r="AD311" s="2553"/>
    </row>
    <row r="312" spans="1:30" s="2558" customFormat="1" ht="24.6" customHeight="1">
      <c r="A312" s="436"/>
      <c r="B312" s="402"/>
      <c r="C312" s="465"/>
      <c r="D312" s="495"/>
      <c r="E312" s="389" t="s">
        <v>4120</v>
      </c>
      <c r="F312" s="403">
        <f>Y312</f>
        <v>11000</v>
      </c>
      <c r="G312" s="403">
        <v>11000</v>
      </c>
      <c r="H312" s="700"/>
      <c r="I312" s="409"/>
      <c r="J312" s="2763" t="s">
        <v>4128</v>
      </c>
      <c r="K312" s="2762"/>
      <c r="L312" s="2762"/>
      <c r="M312" s="2762"/>
      <c r="N312" s="2762"/>
      <c r="O312" s="2762"/>
      <c r="P312" s="1671"/>
      <c r="Q312" s="1671"/>
      <c r="R312" s="405"/>
      <c r="S312" s="1323"/>
      <c r="T312" s="2764"/>
      <c r="U312" s="2764"/>
      <c r="V312" s="2764"/>
      <c r="W312" s="2764"/>
      <c r="X312" s="1140"/>
      <c r="Y312" s="2769">
        <f>SUM(Y313:Y314)</f>
        <v>11000</v>
      </c>
      <c r="Z312" s="407">
        <f>SUM(Z313:Z314)</f>
        <v>11000000</v>
      </c>
      <c r="AA312" s="401"/>
      <c r="AB312" s="1091"/>
      <c r="AC312" s="1095"/>
      <c r="AD312" s="2553"/>
    </row>
    <row r="313" spans="1:30" s="2558" customFormat="1" ht="24.6" customHeight="1">
      <c r="A313" s="436"/>
      <c r="B313" s="402"/>
      <c r="C313" s="465"/>
      <c r="D313" s="495"/>
      <c r="E313" s="413"/>
      <c r="F313" s="403"/>
      <c r="G313" s="403"/>
      <c r="H313" s="404"/>
      <c r="I313" s="409"/>
      <c r="J313" s="2939" t="s">
        <v>5950</v>
      </c>
      <c r="K313" s="2938"/>
      <c r="L313" s="2938"/>
      <c r="M313" s="2938"/>
      <c r="N313" s="1671"/>
      <c r="O313" s="1671"/>
      <c r="P313" s="1671"/>
      <c r="Q313" s="1671"/>
      <c r="R313" s="1671"/>
      <c r="S313" s="1671">
        <v>6000000</v>
      </c>
      <c r="T313" s="1671" t="s">
        <v>4</v>
      </c>
      <c r="U313" s="1671"/>
      <c r="V313" s="1671">
        <v>1</v>
      </c>
      <c r="W313" s="1671" t="s">
        <v>196</v>
      </c>
      <c r="X313" s="397" t="s">
        <v>5</v>
      </c>
      <c r="Y313" s="2770">
        <f>Z313/1000</f>
        <v>6000</v>
      </c>
      <c r="Z313" s="355">
        <f>S313*V313</f>
        <v>6000000</v>
      </c>
      <c r="AA313" s="401"/>
      <c r="AB313" s="1091"/>
      <c r="AC313" s="1095"/>
      <c r="AD313" s="2553"/>
    </row>
    <row r="314" spans="1:30" s="2558" customFormat="1" ht="24.6" customHeight="1">
      <c r="A314" s="436"/>
      <c r="B314" s="402"/>
      <c r="C314" s="465"/>
      <c r="D314" s="495"/>
      <c r="E314" s="413"/>
      <c r="F314" s="403"/>
      <c r="G314" s="403"/>
      <c r="H314" s="404"/>
      <c r="I314" s="409"/>
      <c r="J314" s="2939" t="s">
        <v>5951</v>
      </c>
      <c r="K314" s="2938"/>
      <c r="L314" s="2938"/>
      <c r="M314" s="2938"/>
      <c r="N314" s="1671"/>
      <c r="O314" s="1671"/>
      <c r="P314" s="1671"/>
      <c r="Q314" s="1671"/>
      <c r="R314" s="1671"/>
      <c r="S314" s="1671">
        <v>5000000</v>
      </c>
      <c r="T314" s="1671" t="s">
        <v>4</v>
      </c>
      <c r="U314" s="1671"/>
      <c r="V314" s="1671">
        <v>1</v>
      </c>
      <c r="W314" s="1671" t="s">
        <v>196</v>
      </c>
      <c r="X314" s="397" t="s">
        <v>5</v>
      </c>
      <c r="Y314" s="2770">
        <f t="shared" ref="Y314:Y333" si="103">Z314/1000</f>
        <v>5000</v>
      </c>
      <c r="Z314" s="355">
        <f t="shared" ref="Z314:Z333" si="104">S314*V314</f>
        <v>5000000</v>
      </c>
      <c r="AA314" s="401"/>
      <c r="AB314" s="1091"/>
      <c r="AC314" s="1095"/>
      <c r="AD314" s="2553"/>
    </row>
    <row r="315" spans="1:30" s="2558" customFormat="1" ht="24.6" customHeight="1">
      <c r="A315" s="436"/>
      <c r="B315" s="402"/>
      <c r="C315" s="465"/>
      <c r="D315" s="495"/>
      <c r="E315" s="389" t="s">
        <v>224</v>
      </c>
      <c r="F315" s="403">
        <f>Y315</f>
        <v>500</v>
      </c>
      <c r="G315" s="403">
        <v>500</v>
      </c>
      <c r="H315" s="700"/>
      <c r="I315" s="409"/>
      <c r="J315" s="2763" t="s">
        <v>4138</v>
      </c>
      <c r="K315" s="2762"/>
      <c r="L315" s="2762"/>
      <c r="M315" s="2762"/>
      <c r="N315" s="2762"/>
      <c r="O315" s="2762"/>
      <c r="P315" s="1671"/>
      <c r="Q315" s="1671"/>
      <c r="R315" s="405"/>
      <c r="S315" s="1672">
        <v>500000</v>
      </c>
      <c r="T315" s="2764" t="s">
        <v>4</v>
      </c>
      <c r="U315" s="2764"/>
      <c r="V315" s="2764">
        <v>1</v>
      </c>
      <c r="W315" s="2764" t="s">
        <v>196</v>
      </c>
      <c r="X315" s="1140" t="s">
        <v>5</v>
      </c>
      <c r="Y315" s="2770">
        <f t="shared" si="103"/>
        <v>500</v>
      </c>
      <c r="Z315" s="355">
        <f t="shared" si="104"/>
        <v>500000</v>
      </c>
      <c r="AA315" s="401"/>
      <c r="AB315" s="1091"/>
      <c r="AC315" s="1095"/>
      <c r="AD315" s="2553"/>
    </row>
    <row r="316" spans="1:30" s="2558" customFormat="1" ht="24.6" customHeight="1">
      <c r="A316" s="436"/>
      <c r="B316" s="402"/>
      <c r="C316" s="465"/>
      <c r="D316" s="495"/>
      <c r="E316" s="389" t="s">
        <v>195</v>
      </c>
      <c r="F316" s="403">
        <f>Y316</f>
        <v>13500</v>
      </c>
      <c r="G316" s="403">
        <v>13500</v>
      </c>
      <c r="H316" s="700"/>
      <c r="I316" s="409"/>
      <c r="J316" s="2763" t="s">
        <v>194</v>
      </c>
      <c r="K316" s="2762"/>
      <c r="L316" s="2762"/>
      <c r="M316" s="2762"/>
      <c r="N316" s="2762"/>
      <c r="O316" s="2762"/>
      <c r="P316" s="1671"/>
      <c r="Q316" s="1671"/>
      <c r="R316" s="405"/>
      <c r="S316" s="1672"/>
      <c r="T316" s="2764"/>
      <c r="U316" s="2764"/>
      <c r="V316" s="2764"/>
      <c r="W316" s="2764"/>
      <c r="X316" s="1140"/>
      <c r="Y316" s="2770">
        <f t="shared" si="103"/>
        <v>13500</v>
      </c>
      <c r="Z316" s="407">
        <f>SUM(Z317:Z319)</f>
        <v>13500000</v>
      </c>
      <c r="AA316" s="401"/>
      <c r="AB316" s="1091"/>
      <c r="AC316" s="1095"/>
      <c r="AD316" s="2553"/>
    </row>
    <row r="317" spans="1:30" s="2558" customFormat="1" ht="24.6" customHeight="1">
      <c r="A317" s="436"/>
      <c r="B317" s="402"/>
      <c r="C317" s="465"/>
      <c r="D317" s="495"/>
      <c r="E317" s="413"/>
      <c r="F317" s="403"/>
      <c r="G317" s="403"/>
      <c r="H317" s="404"/>
      <c r="I317" s="409"/>
      <c r="J317" s="3092" t="s">
        <v>5749</v>
      </c>
      <c r="K317" s="3090"/>
      <c r="L317" s="3090"/>
      <c r="M317" s="3090"/>
      <c r="N317" s="1671"/>
      <c r="O317" s="1671"/>
      <c r="P317" s="1671"/>
      <c r="Q317" s="1671"/>
      <c r="R317" s="1671"/>
      <c r="S317" s="1671">
        <v>1500000</v>
      </c>
      <c r="T317" s="1671" t="s">
        <v>4</v>
      </c>
      <c r="U317" s="1671"/>
      <c r="V317" s="2764">
        <v>2</v>
      </c>
      <c r="W317" s="2764" t="s">
        <v>35</v>
      </c>
      <c r="X317" s="397"/>
      <c r="Y317" s="2770">
        <f t="shared" si="103"/>
        <v>3000</v>
      </c>
      <c r="Z317" s="355">
        <f t="shared" si="104"/>
        <v>3000000</v>
      </c>
      <c r="AA317" s="401"/>
      <c r="AB317" s="1091"/>
      <c r="AC317" s="1095"/>
      <c r="AD317" s="2553"/>
    </row>
    <row r="318" spans="1:30" s="2558" customFormat="1" ht="24.6" customHeight="1">
      <c r="A318" s="436"/>
      <c r="B318" s="402"/>
      <c r="C318" s="465"/>
      <c r="D318" s="495"/>
      <c r="E318" s="413"/>
      <c r="F318" s="403"/>
      <c r="G318" s="403"/>
      <c r="H318" s="404"/>
      <c r="I318" s="409"/>
      <c r="J318" s="3092" t="s">
        <v>6110</v>
      </c>
      <c r="K318" s="3090"/>
      <c r="L318" s="3090"/>
      <c r="M318" s="1671"/>
      <c r="N318" s="1671"/>
      <c r="O318" s="1671"/>
      <c r="P318" s="1671"/>
      <c r="Q318" s="1671"/>
      <c r="R318" s="1671"/>
      <c r="S318" s="1671">
        <v>3000000</v>
      </c>
      <c r="T318" s="1671" t="s">
        <v>4</v>
      </c>
      <c r="U318" s="1671"/>
      <c r="V318" s="1671">
        <v>3</v>
      </c>
      <c r="W318" s="1671" t="s">
        <v>2802</v>
      </c>
      <c r="X318" s="397"/>
      <c r="Y318" s="2770">
        <f t="shared" si="103"/>
        <v>9000</v>
      </c>
      <c r="Z318" s="355">
        <f t="shared" si="104"/>
        <v>9000000</v>
      </c>
      <c r="AA318" s="401"/>
      <c r="AB318" s="1091"/>
      <c r="AC318" s="1095"/>
      <c r="AD318" s="2553"/>
    </row>
    <row r="319" spans="1:30" s="2558" customFormat="1" ht="24.6" customHeight="1">
      <c r="A319" s="436"/>
      <c r="B319" s="402"/>
      <c r="C319" s="465"/>
      <c r="D319" s="495"/>
      <c r="E319" s="413"/>
      <c r="F319" s="403"/>
      <c r="G319" s="403"/>
      <c r="H319" s="404"/>
      <c r="I319" s="409"/>
      <c r="J319" s="3092" t="s">
        <v>6111</v>
      </c>
      <c r="K319" s="3090"/>
      <c r="L319" s="3090"/>
      <c r="M319" s="1671"/>
      <c r="N319" s="1671"/>
      <c r="O319" s="1671"/>
      <c r="P319" s="1671"/>
      <c r="Q319" s="1671"/>
      <c r="R319" s="1671"/>
      <c r="S319" s="1671">
        <v>100000</v>
      </c>
      <c r="T319" s="1671" t="s">
        <v>4</v>
      </c>
      <c r="U319" s="1671"/>
      <c r="V319" s="1671">
        <v>15</v>
      </c>
      <c r="W319" s="1671" t="s">
        <v>35</v>
      </c>
      <c r="X319" s="397"/>
      <c r="Y319" s="2770">
        <f t="shared" si="103"/>
        <v>1500</v>
      </c>
      <c r="Z319" s="355">
        <f t="shared" si="104"/>
        <v>1500000</v>
      </c>
      <c r="AA319" s="401"/>
      <c r="AB319" s="1091"/>
      <c r="AC319" s="1095"/>
      <c r="AD319" s="2553"/>
    </row>
    <row r="320" spans="1:30" s="2558" customFormat="1" ht="24.6" customHeight="1">
      <c r="A320" s="436"/>
      <c r="B320" s="402"/>
      <c r="C320" s="465"/>
      <c r="D320" s="495"/>
      <c r="E320" s="389" t="s">
        <v>15</v>
      </c>
      <c r="F320" s="403">
        <f>Y320</f>
        <v>9300</v>
      </c>
      <c r="G320" s="403">
        <v>9300</v>
      </c>
      <c r="H320" s="700"/>
      <c r="I320" s="409"/>
      <c r="J320" s="2763" t="s">
        <v>194</v>
      </c>
      <c r="K320" s="2762"/>
      <c r="L320" s="2762"/>
      <c r="M320" s="2762"/>
      <c r="N320" s="2762"/>
      <c r="O320" s="2762"/>
      <c r="P320" s="1671"/>
      <c r="Q320" s="1671" t="s">
        <v>344</v>
      </c>
      <c r="R320" s="405" t="s">
        <v>344</v>
      </c>
      <c r="S320" s="1672"/>
      <c r="T320" s="2764"/>
      <c r="U320" s="2764"/>
      <c r="V320" s="2764"/>
      <c r="W320" s="2764"/>
      <c r="X320" s="1140"/>
      <c r="Y320" s="2770">
        <f t="shared" si="103"/>
        <v>9300</v>
      </c>
      <c r="Z320" s="355">
        <f>SUM(Z321:Z323)</f>
        <v>9300000</v>
      </c>
      <c r="AA320" s="401"/>
      <c r="AB320" s="1091"/>
      <c r="AC320" s="1095"/>
      <c r="AD320" s="2553"/>
    </row>
    <row r="321" spans="1:30" s="2558" customFormat="1" ht="24.6" customHeight="1">
      <c r="A321" s="436"/>
      <c r="B321" s="402"/>
      <c r="C321" s="465"/>
      <c r="D321" s="495"/>
      <c r="E321" s="389"/>
      <c r="F321" s="403"/>
      <c r="G321" s="403"/>
      <c r="H321" s="404"/>
      <c r="I321" s="409"/>
      <c r="J321" s="3092" t="s">
        <v>6112</v>
      </c>
      <c r="K321" s="3090"/>
      <c r="L321" s="3090"/>
      <c r="M321" s="3090"/>
      <c r="N321" s="2762"/>
      <c r="O321" s="2762"/>
      <c r="P321" s="1671"/>
      <c r="Q321" s="2764"/>
      <c r="R321" s="2759"/>
      <c r="S321" s="2764">
        <v>6000000</v>
      </c>
      <c r="T321" s="2764" t="s">
        <v>4</v>
      </c>
      <c r="U321" s="2764"/>
      <c r="V321" s="2764">
        <v>1</v>
      </c>
      <c r="W321" s="2764" t="s">
        <v>196</v>
      </c>
      <c r="X321" s="1140" t="s">
        <v>291</v>
      </c>
      <c r="Y321" s="2770">
        <f t="shared" si="103"/>
        <v>6000</v>
      </c>
      <c r="Z321" s="355">
        <f t="shared" si="104"/>
        <v>6000000</v>
      </c>
      <c r="AA321" s="401"/>
      <c r="AB321" s="1091"/>
      <c r="AC321" s="1095"/>
      <c r="AD321" s="2553"/>
    </row>
    <row r="322" spans="1:30" s="2558" customFormat="1" ht="24.6" customHeight="1">
      <c r="A322" s="436"/>
      <c r="B322" s="402"/>
      <c r="C322" s="465"/>
      <c r="D322" s="495"/>
      <c r="E322" s="413"/>
      <c r="F322" s="403"/>
      <c r="G322" s="403"/>
      <c r="H322" s="404"/>
      <c r="I322" s="409"/>
      <c r="J322" s="3092" t="s">
        <v>6113</v>
      </c>
      <c r="K322" s="3090"/>
      <c r="L322" s="3090"/>
      <c r="M322" s="3090"/>
      <c r="N322" s="2762"/>
      <c r="O322" s="2762"/>
      <c r="P322" s="1671"/>
      <c r="Q322" s="2764"/>
      <c r="R322" s="2759"/>
      <c r="S322" s="2764">
        <v>800000</v>
      </c>
      <c r="T322" s="2764" t="s">
        <v>4</v>
      </c>
      <c r="U322" s="2764"/>
      <c r="V322" s="2764">
        <v>3</v>
      </c>
      <c r="W322" s="2764" t="s">
        <v>2969</v>
      </c>
      <c r="X322" s="1140" t="s">
        <v>291</v>
      </c>
      <c r="Y322" s="2770">
        <f t="shared" si="103"/>
        <v>2400</v>
      </c>
      <c r="Z322" s="355">
        <f t="shared" si="104"/>
        <v>2400000</v>
      </c>
      <c r="AA322" s="401"/>
      <c r="AB322" s="1091"/>
      <c r="AC322" s="1095"/>
      <c r="AD322" s="2553"/>
    </row>
    <row r="323" spans="1:30" s="2558" customFormat="1" ht="24.6" customHeight="1">
      <c r="A323" s="436"/>
      <c r="B323" s="402"/>
      <c r="C323" s="465"/>
      <c r="D323" s="495"/>
      <c r="E323" s="413"/>
      <c r="F323" s="403"/>
      <c r="G323" s="403"/>
      <c r="H323" s="404"/>
      <c r="I323" s="409"/>
      <c r="J323" s="3092" t="s">
        <v>6114</v>
      </c>
      <c r="K323" s="3090"/>
      <c r="L323" s="3090"/>
      <c r="M323" s="3090"/>
      <c r="N323" s="2762"/>
      <c r="O323" s="2762"/>
      <c r="P323" s="1671"/>
      <c r="Q323" s="1671"/>
      <c r="R323" s="405"/>
      <c r="S323" s="1672">
        <v>300000</v>
      </c>
      <c r="T323" s="2764" t="s">
        <v>4</v>
      </c>
      <c r="U323" s="2764"/>
      <c r="V323" s="2764">
        <v>3</v>
      </c>
      <c r="W323" s="2764" t="s">
        <v>35</v>
      </c>
      <c r="X323" s="1140" t="s">
        <v>5</v>
      </c>
      <c r="Y323" s="2770">
        <f t="shared" si="103"/>
        <v>900</v>
      </c>
      <c r="Z323" s="355">
        <f t="shared" si="104"/>
        <v>900000</v>
      </c>
      <c r="AA323" s="401"/>
      <c r="AB323" s="1091"/>
      <c r="AC323" s="1095"/>
      <c r="AD323" s="2553"/>
    </row>
    <row r="324" spans="1:30" s="2558" customFormat="1" ht="24.6" customHeight="1">
      <c r="A324" s="436"/>
      <c r="B324" s="402"/>
      <c r="C324" s="465"/>
      <c r="D324" s="495"/>
      <c r="E324" s="413" t="s">
        <v>16</v>
      </c>
      <c r="F324" s="403">
        <f>Y324</f>
        <v>10000</v>
      </c>
      <c r="G324" s="403">
        <v>10000</v>
      </c>
      <c r="H324" s="700"/>
      <c r="I324" s="409"/>
      <c r="J324" s="2763" t="s">
        <v>4139</v>
      </c>
      <c r="K324" s="1671" t="s">
        <v>4090</v>
      </c>
      <c r="L324" s="1671"/>
      <c r="M324" s="1671"/>
      <c r="N324" s="1671"/>
      <c r="O324" s="1671"/>
      <c r="P324" s="1671"/>
      <c r="Q324" s="1671"/>
      <c r="R324" s="1671"/>
      <c r="S324" s="1671"/>
      <c r="T324" s="1671"/>
      <c r="U324" s="1671"/>
      <c r="V324" s="1671"/>
      <c r="W324" s="1671"/>
      <c r="X324" s="397"/>
      <c r="Y324" s="2770">
        <f t="shared" si="103"/>
        <v>10000</v>
      </c>
      <c r="Z324" s="355">
        <f>SUM(Z325:Z326)</f>
        <v>10000000</v>
      </c>
      <c r="AA324" s="401"/>
      <c r="AB324" s="1091"/>
      <c r="AC324" s="1095"/>
      <c r="AD324" s="2553"/>
    </row>
    <row r="325" spans="1:30" s="2558" customFormat="1" ht="24.6" customHeight="1">
      <c r="A325" s="436"/>
      <c r="B325" s="402"/>
      <c r="C325" s="465"/>
      <c r="D325" s="495"/>
      <c r="E325" s="465"/>
      <c r="F325" s="403"/>
      <c r="G325" s="403"/>
      <c r="H325" s="404"/>
      <c r="I325" s="409"/>
      <c r="J325" s="2939" t="s">
        <v>5972</v>
      </c>
      <c r="K325" s="2938"/>
      <c r="L325" s="2938"/>
      <c r="M325" s="2938"/>
      <c r="N325" s="1671"/>
      <c r="O325" s="1671"/>
      <c r="P325" s="1671"/>
      <c r="Q325" s="1671"/>
      <c r="R325" s="1671"/>
      <c r="S325" s="1671">
        <v>5000000</v>
      </c>
      <c r="T325" s="1671" t="s">
        <v>4</v>
      </c>
      <c r="U325" s="1671"/>
      <c r="V325" s="1671">
        <v>1</v>
      </c>
      <c r="W325" s="1671" t="s">
        <v>196</v>
      </c>
      <c r="X325" s="397" t="s">
        <v>5</v>
      </c>
      <c r="Y325" s="2770">
        <f t="shared" si="103"/>
        <v>5000</v>
      </c>
      <c r="Z325" s="355">
        <f t="shared" si="104"/>
        <v>5000000</v>
      </c>
      <c r="AA325" s="401"/>
      <c r="AB325" s="1091"/>
      <c r="AC325" s="1095"/>
      <c r="AD325" s="2553"/>
    </row>
    <row r="326" spans="1:30" s="2558" customFormat="1" ht="24.6" customHeight="1">
      <c r="A326" s="436"/>
      <c r="B326" s="402"/>
      <c r="C326" s="465"/>
      <c r="D326" s="495"/>
      <c r="E326" s="465"/>
      <c r="F326" s="403"/>
      <c r="G326" s="403"/>
      <c r="H326" s="404"/>
      <c r="I326" s="409"/>
      <c r="J326" s="2939" t="s">
        <v>5973</v>
      </c>
      <c r="K326" s="2938"/>
      <c r="L326" s="2938"/>
      <c r="M326" s="2938"/>
      <c r="N326" s="1671"/>
      <c r="O326" s="1671"/>
      <c r="P326" s="1671"/>
      <c r="Q326" s="1671"/>
      <c r="R326" s="1671"/>
      <c r="S326" s="1671">
        <v>5000000</v>
      </c>
      <c r="T326" s="1671" t="s">
        <v>4</v>
      </c>
      <c r="U326" s="1671"/>
      <c r="V326" s="1671">
        <v>1</v>
      </c>
      <c r="W326" s="1671" t="s">
        <v>196</v>
      </c>
      <c r="X326" s="397" t="s">
        <v>5</v>
      </c>
      <c r="Y326" s="2770">
        <f t="shared" si="103"/>
        <v>5000</v>
      </c>
      <c r="Z326" s="355">
        <f t="shared" si="104"/>
        <v>5000000</v>
      </c>
      <c r="AA326" s="401"/>
      <c r="AB326" s="1091"/>
      <c r="AC326" s="1095"/>
      <c r="AD326" s="2553"/>
    </row>
    <row r="327" spans="1:30" s="2558" customFormat="1" ht="24.6" customHeight="1">
      <c r="A327" s="436"/>
      <c r="B327" s="402"/>
      <c r="C327" s="465"/>
      <c r="D327" s="495"/>
      <c r="E327" s="1134" t="s">
        <v>223</v>
      </c>
      <c r="F327" s="403">
        <f t="shared" ref="F327:F331" si="105">Y327</f>
        <v>3000</v>
      </c>
      <c r="G327" s="403">
        <v>3000</v>
      </c>
      <c r="H327" s="700"/>
      <c r="I327" s="409"/>
      <c r="J327" s="2764" t="s">
        <v>4139</v>
      </c>
      <c r="K327" s="2762" t="s">
        <v>4140</v>
      </c>
      <c r="L327" s="2762"/>
      <c r="M327" s="2762"/>
      <c r="N327" s="2762"/>
      <c r="O327" s="2762"/>
      <c r="P327" s="1671"/>
      <c r="Q327" s="2764"/>
      <c r="R327" s="2759"/>
      <c r="S327" s="2764">
        <v>3000000</v>
      </c>
      <c r="T327" s="2764" t="s">
        <v>4</v>
      </c>
      <c r="U327" s="2764"/>
      <c r="V327" s="2764">
        <v>1</v>
      </c>
      <c r="W327" s="2764" t="s">
        <v>2826</v>
      </c>
      <c r="X327" s="1140" t="s">
        <v>291</v>
      </c>
      <c r="Y327" s="2770">
        <f t="shared" si="103"/>
        <v>3000</v>
      </c>
      <c r="Z327" s="355">
        <f t="shared" si="104"/>
        <v>3000000</v>
      </c>
      <c r="AA327" s="401"/>
      <c r="AB327" s="1091"/>
      <c r="AC327" s="1095"/>
      <c r="AD327" s="2553"/>
    </row>
    <row r="328" spans="1:30" s="2558" customFormat="1" ht="24.6" customHeight="1">
      <c r="A328" s="436"/>
      <c r="B328" s="402"/>
      <c r="C328" s="465"/>
      <c r="D328" s="495"/>
      <c r="E328" s="389" t="s">
        <v>222</v>
      </c>
      <c r="F328" s="403">
        <f t="shared" si="105"/>
        <v>50000</v>
      </c>
      <c r="G328" s="403">
        <v>50000</v>
      </c>
      <c r="H328" s="700"/>
      <c r="I328" s="409"/>
      <c r="J328" s="2763" t="s">
        <v>194</v>
      </c>
      <c r="K328" s="2762" t="s">
        <v>4141</v>
      </c>
      <c r="L328" s="2762"/>
      <c r="M328" s="2762"/>
      <c r="N328" s="2762"/>
      <c r="O328" s="2762"/>
      <c r="P328" s="1671"/>
      <c r="Q328" s="1671" t="s">
        <v>344</v>
      </c>
      <c r="R328" s="405" t="s">
        <v>344</v>
      </c>
      <c r="S328" s="1672">
        <v>50000000</v>
      </c>
      <c r="T328" s="2764" t="s">
        <v>4</v>
      </c>
      <c r="U328" s="2764"/>
      <c r="V328" s="1671">
        <v>1</v>
      </c>
      <c r="W328" s="1671" t="s">
        <v>196</v>
      </c>
      <c r="X328" s="397" t="s">
        <v>5</v>
      </c>
      <c r="Y328" s="2770">
        <f t="shared" si="103"/>
        <v>50000</v>
      </c>
      <c r="Z328" s="355">
        <f t="shared" si="104"/>
        <v>50000000</v>
      </c>
      <c r="AA328" s="401"/>
      <c r="AB328" s="1091"/>
      <c r="AC328" s="1095"/>
      <c r="AD328" s="2553"/>
    </row>
    <row r="329" spans="1:30" s="2558" customFormat="1" ht="24.6" customHeight="1">
      <c r="A329" s="436"/>
      <c r="B329" s="402"/>
      <c r="C329" s="465"/>
      <c r="D329" s="495"/>
      <c r="E329" s="389" t="s">
        <v>17</v>
      </c>
      <c r="F329" s="403">
        <f t="shared" si="105"/>
        <v>1000</v>
      </c>
      <c r="G329" s="403">
        <v>1000</v>
      </c>
      <c r="H329" s="700"/>
      <c r="I329" s="409"/>
      <c r="J329" s="2763" t="s">
        <v>4142</v>
      </c>
      <c r="K329" s="2762"/>
      <c r="L329" s="2762"/>
      <c r="M329" s="2762"/>
      <c r="N329" s="2762"/>
      <c r="O329" s="2762"/>
      <c r="P329" s="1671"/>
      <c r="Q329" s="1671"/>
      <c r="R329" s="405"/>
      <c r="S329" s="1672">
        <v>1000000</v>
      </c>
      <c r="T329" s="2764" t="s">
        <v>4</v>
      </c>
      <c r="U329" s="2764"/>
      <c r="V329" s="2764">
        <v>1</v>
      </c>
      <c r="W329" s="2764" t="s">
        <v>196</v>
      </c>
      <c r="X329" s="1140" t="s">
        <v>5</v>
      </c>
      <c r="Y329" s="2770">
        <f t="shared" si="103"/>
        <v>1000</v>
      </c>
      <c r="Z329" s="355">
        <f t="shared" si="104"/>
        <v>1000000</v>
      </c>
      <c r="AA329" s="401"/>
      <c r="AB329" s="1091"/>
      <c r="AC329" s="1095"/>
      <c r="AD329" s="2553"/>
    </row>
    <row r="330" spans="1:30" s="2558" customFormat="1" ht="24.6" customHeight="1">
      <c r="A330" s="436"/>
      <c r="B330" s="402"/>
      <c r="C330" s="465"/>
      <c r="D330" s="495"/>
      <c r="E330" s="389" t="s">
        <v>67</v>
      </c>
      <c r="F330" s="403">
        <f t="shared" si="105"/>
        <v>5000</v>
      </c>
      <c r="G330" s="403">
        <v>5000</v>
      </c>
      <c r="H330" s="700"/>
      <c r="I330" s="409"/>
      <c r="J330" s="2763" t="s">
        <v>2168</v>
      </c>
      <c r="K330" s="2762" t="s">
        <v>3339</v>
      </c>
      <c r="L330" s="2762"/>
      <c r="M330" s="2762"/>
      <c r="N330" s="2762"/>
      <c r="O330" s="2762"/>
      <c r="P330" s="1671"/>
      <c r="Q330" s="1671" t="s">
        <v>344</v>
      </c>
      <c r="R330" s="405" t="s">
        <v>344</v>
      </c>
      <c r="S330" s="1672">
        <v>5000000</v>
      </c>
      <c r="T330" s="2764" t="s">
        <v>4</v>
      </c>
      <c r="U330" s="2764"/>
      <c r="V330" s="2764">
        <v>1</v>
      </c>
      <c r="W330" s="2764" t="s">
        <v>196</v>
      </c>
      <c r="X330" s="1140" t="s">
        <v>5</v>
      </c>
      <c r="Y330" s="2770">
        <f t="shared" si="103"/>
        <v>5000</v>
      </c>
      <c r="Z330" s="355">
        <f t="shared" si="104"/>
        <v>5000000</v>
      </c>
      <c r="AA330" s="401"/>
      <c r="AB330" s="1091"/>
      <c r="AC330" s="1095"/>
      <c r="AD330" s="2553"/>
    </row>
    <row r="331" spans="1:30" s="2558" customFormat="1" ht="24.6" customHeight="1">
      <c r="A331" s="436"/>
      <c r="B331" s="402"/>
      <c r="C331" s="465"/>
      <c r="D331" s="495"/>
      <c r="E331" s="389" t="s">
        <v>14</v>
      </c>
      <c r="F331" s="403">
        <f t="shared" si="105"/>
        <v>3800</v>
      </c>
      <c r="G331" s="403">
        <v>3800</v>
      </c>
      <c r="H331" s="700"/>
      <c r="I331" s="409"/>
      <c r="J331" s="2763" t="s">
        <v>2168</v>
      </c>
      <c r="K331" s="2762" t="s">
        <v>3340</v>
      </c>
      <c r="L331" s="2762"/>
      <c r="M331" s="2762"/>
      <c r="N331" s="2762"/>
      <c r="O331" s="2762"/>
      <c r="P331" s="1671"/>
      <c r="Q331" s="1671"/>
      <c r="R331" s="405"/>
      <c r="S331" s="1672"/>
      <c r="T331" s="2764"/>
      <c r="U331" s="2764"/>
      <c r="V331" s="2764"/>
      <c r="W331" s="2764"/>
      <c r="X331" s="1140"/>
      <c r="Y331" s="2770">
        <f t="shared" si="103"/>
        <v>3800</v>
      </c>
      <c r="Z331" s="355">
        <f>SUM(Z332:Z333)</f>
        <v>3800000</v>
      </c>
      <c r="AA331" s="401"/>
      <c r="AB331" s="1091"/>
      <c r="AC331" s="1095"/>
      <c r="AD331" s="2553"/>
    </row>
    <row r="332" spans="1:30" s="2558" customFormat="1" ht="24.6" customHeight="1">
      <c r="A332" s="436"/>
      <c r="B332" s="402"/>
      <c r="C332" s="465"/>
      <c r="D332" s="495"/>
      <c r="E332" s="413"/>
      <c r="F332" s="403"/>
      <c r="G332" s="403"/>
      <c r="H332" s="404"/>
      <c r="I332" s="409"/>
      <c r="J332" s="2939" t="s">
        <v>5970</v>
      </c>
      <c r="K332" s="2938"/>
      <c r="L332" s="2938"/>
      <c r="M332" s="2938"/>
      <c r="N332" s="1671"/>
      <c r="O332" s="1671"/>
      <c r="P332" s="1671"/>
      <c r="Q332" s="1671"/>
      <c r="R332" s="1671"/>
      <c r="S332" s="1671">
        <v>1800000</v>
      </c>
      <c r="T332" s="2764" t="s">
        <v>4</v>
      </c>
      <c r="U332" s="1671"/>
      <c r="V332" s="1671">
        <v>1</v>
      </c>
      <c r="W332" s="1671" t="s">
        <v>196</v>
      </c>
      <c r="X332" s="397" t="s">
        <v>5</v>
      </c>
      <c r="Y332" s="2770">
        <f t="shared" si="103"/>
        <v>1800</v>
      </c>
      <c r="Z332" s="355">
        <f t="shared" si="104"/>
        <v>1800000</v>
      </c>
      <c r="AA332" s="401"/>
      <c r="AB332" s="1091"/>
      <c r="AC332" s="1095"/>
      <c r="AD332" s="2553"/>
    </row>
    <row r="333" spans="1:30" s="2558" customFormat="1" ht="24.6" customHeight="1">
      <c r="A333" s="436"/>
      <c r="B333" s="402"/>
      <c r="C333" s="465"/>
      <c r="D333" s="495"/>
      <c r="E333" s="413"/>
      <c r="F333" s="403"/>
      <c r="G333" s="403"/>
      <c r="H333" s="404"/>
      <c r="I333" s="409"/>
      <c r="J333" s="2939" t="s">
        <v>5971</v>
      </c>
      <c r="K333" s="2938"/>
      <c r="L333" s="2938"/>
      <c r="M333" s="2938"/>
      <c r="N333" s="371"/>
      <c r="O333" s="371"/>
      <c r="P333" s="371"/>
      <c r="Q333" s="371"/>
      <c r="R333" s="371"/>
      <c r="S333" s="371">
        <v>2000000</v>
      </c>
      <c r="T333" s="459" t="s">
        <v>4</v>
      </c>
      <c r="U333" s="371"/>
      <c r="V333" s="371">
        <v>1</v>
      </c>
      <c r="W333" s="371" t="s">
        <v>196</v>
      </c>
      <c r="X333" s="426" t="s">
        <v>5</v>
      </c>
      <c r="Y333" s="2770">
        <f t="shared" si="103"/>
        <v>2000</v>
      </c>
      <c r="Z333" s="355">
        <f t="shared" si="104"/>
        <v>2000000</v>
      </c>
      <c r="AA333" s="401"/>
      <c r="AB333" s="1091"/>
      <c r="AC333" s="1095"/>
      <c r="AD333" s="2553"/>
    </row>
    <row r="334" spans="1:30" s="2558" customFormat="1" ht="24.6" customHeight="1">
      <c r="A334" s="436"/>
      <c r="B334" s="465"/>
      <c r="C334" s="465"/>
      <c r="D334" s="3539" t="s">
        <v>4143</v>
      </c>
      <c r="E334" s="3539"/>
      <c r="F334" s="385">
        <f>SUM(F335:F351)</f>
        <v>100000</v>
      </c>
      <c r="G334" s="385">
        <f>SUM(G335:G351)</f>
        <v>100000</v>
      </c>
      <c r="H334" s="468">
        <f t="shared" ref="H334" si="106">F334-G334</f>
        <v>0</v>
      </c>
      <c r="I334" s="409"/>
      <c r="J334" s="1135"/>
      <c r="K334" s="2753"/>
      <c r="L334" s="2753"/>
      <c r="M334" s="2753"/>
      <c r="N334" s="2753"/>
      <c r="O334" s="2753"/>
      <c r="P334" s="2753"/>
      <c r="Q334" s="836"/>
      <c r="R334" s="395"/>
      <c r="S334" s="399"/>
      <c r="T334" s="1136"/>
      <c r="U334" s="1136"/>
      <c r="V334" s="1136"/>
      <c r="W334" s="1136"/>
      <c r="X334" s="1138"/>
      <c r="Y334" s="377"/>
      <c r="Z334" s="463"/>
      <c r="AA334" s="401"/>
      <c r="AB334" s="1091"/>
      <c r="AC334" s="1095"/>
      <c r="AD334" s="2553"/>
    </row>
    <row r="335" spans="1:30" s="2558" customFormat="1" ht="24.6" customHeight="1">
      <c r="A335" s="436"/>
      <c r="B335" s="402"/>
      <c r="C335" s="465"/>
      <c r="D335" s="1131"/>
      <c r="E335" s="389" t="s">
        <v>2240</v>
      </c>
      <c r="F335" s="1185">
        <f>Y335</f>
        <v>3000</v>
      </c>
      <c r="G335" s="1761">
        <v>3000</v>
      </c>
      <c r="H335" s="700"/>
      <c r="I335" s="1333"/>
      <c r="J335" s="2763" t="s">
        <v>4144</v>
      </c>
      <c r="K335" s="2762"/>
      <c r="L335" s="2762"/>
      <c r="M335" s="2762"/>
      <c r="N335" s="2762"/>
      <c r="O335" s="2762"/>
      <c r="P335" s="2762"/>
      <c r="Q335" s="1673"/>
      <c r="R335" s="405"/>
      <c r="S335" s="1672">
        <v>3000000</v>
      </c>
      <c r="T335" s="2764" t="s">
        <v>4</v>
      </c>
      <c r="U335" s="2764"/>
      <c r="V335" s="2764">
        <v>1</v>
      </c>
      <c r="W335" s="2764" t="s">
        <v>196</v>
      </c>
      <c r="X335" s="1140" t="s">
        <v>5</v>
      </c>
      <c r="Y335" s="406">
        <f t="shared" ref="Y335:Y351" si="107">Z335/1000</f>
        <v>3000</v>
      </c>
      <c r="Z335" s="407">
        <f>S335*V335</f>
        <v>3000000</v>
      </c>
      <c r="AA335" s="401"/>
      <c r="AB335" s="1091"/>
      <c r="AC335" s="1095"/>
      <c r="AD335" s="2553"/>
    </row>
    <row r="336" spans="1:30" s="2558" customFormat="1" ht="22.5" customHeight="1">
      <c r="A336" s="436"/>
      <c r="B336" s="465"/>
      <c r="C336" s="465"/>
      <c r="D336" s="1131"/>
      <c r="E336" s="389" t="s">
        <v>15</v>
      </c>
      <c r="F336" s="1185">
        <f>Y336</f>
        <v>36500</v>
      </c>
      <c r="G336" s="1761">
        <v>36500</v>
      </c>
      <c r="H336" s="700"/>
      <c r="I336" s="1333"/>
      <c r="J336" s="2763" t="s">
        <v>194</v>
      </c>
      <c r="K336" s="2762"/>
      <c r="L336" s="2762"/>
      <c r="M336" s="2762"/>
      <c r="N336" s="2762"/>
      <c r="O336" s="2762"/>
      <c r="P336" s="2762"/>
      <c r="Q336" s="1673" t="s">
        <v>344</v>
      </c>
      <c r="R336" s="405" t="s">
        <v>344</v>
      </c>
      <c r="S336" s="1672"/>
      <c r="T336" s="2764"/>
      <c r="U336" s="2764"/>
      <c r="V336" s="2764"/>
      <c r="W336" s="2764"/>
      <c r="X336" s="1140"/>
      <c r="Y336" s="406">
        <f t="shared" si="107"/>
        <v>36500</v>
      </c>
      <c r="Z336" s="407">
        <f>SUM(Z337:Z341)</f>
        <v>36500000</v>
      </c>
      <c r="AA336" s="401"/>
      <c r="AB336" s="1091"/>
      <c r="AC336" s="1095"/>
      <c r="AD336" s="2553"/>
    </row>
    <row r="337" spans="1:30" s="2558" customFormat="1" ht="22.5" customHeight="1">
      <c r="A337" s="436"/>
      <c r="B337" s="465"/>
      <c r="C337" s="465"/>
      <c r="D337" s="1131"/>
      <c r="E337" s="1134"/>
      <c r="F337" s="1185"/>
      <c r="G337" s="1761"/>
      <c r="H337" s="700"/>
      <c r="I337" s="1333"/>
      <c r="J337" s="2939" t="s">
        <v>5952</v>
      </c>
      <c r="K337" s="2762"/>
      <c r="L337" s="2762"/>
      <c r="M337" s="2762"/>
      <c r="N337" s="2762"/>
      <c r="O337" s="2762"/>
      <c r="P337" s="2762"/>
      <c r="Q337" s="408">
        <v>2</v>
      </c>
      <c r="R337" s="2759" t="s">
        <v>33</v>
      </c>
      <c r="S337" s="2764">
        <v>1250000</v>
      </c>
      <c r="T337" s="2764" t="s">
        <v>4</v>
      </c>
      <c r="U337" s="2764"/>
      <c r="V337" s="2764">
        <v>1</v>
      </c>
      <c r="W337" s="2764" t="s">
        <v>2969</v>
      </c>
      <c r="X337" s="1140" t="s">
        <v>291</v>
      </c>
      <c r="Y337" s="406">
        <f t="shared" si="107"/>
        <v>2500</v>
      </c>
      <c r="Z337" s="1098">
        <f>Q337*S337*V337</f>
        <v>2500000</v>
      </c>
      <c r="AA337" s="401"/>
      <c r="AB337" s="1091"/>
      <c r="AC337" s="1095"/>
      <c r="AD337" s="2553"/>
    </row>
    <row r="338" spans="1:30" s="2558" customFormat="1" ht="22.5" customHeight="1">
      <c r="A338" s="436"/>
      <c r="B338" s="465"/>
      <c r="C338" s="465"/>
      <c r="D338" s="1131"/>
      <c r="E338" s="389"/>
      <c r="F338" s="1185"/>
      <c r="G338" s="1761"/>
      <c r="H338" s="700"/>
      <c r="I338" s="1333"/>
      <c r="J338" s="2939" t="s">
        <v>5953</v>
      </c>
      <c r="K338" s="2762"/>
      <c r="L338" s="2762"/>
      <c r="M338" s="2762"/>
      <c r="N338" s="2762"/>
      <c r="O338" s="2762"/>
      <c r="P338" s="2762"/>
      <c r="Q338" s="1673">
        <v>20</v>
      </c>
      <c r="R338" s="405" t="s">
        <v>33</v>
      </c>
      <c r="S338" s="1672">
        <v>100000</v>
      </c>
      <c r="T338" s="2764" t="s">
        <v>4</v>
      </c>
      <c r="U338" s="2764"/>
      <c r="V338" s="2764">
        <v>1</v>
      </c>
      <c r="W338" s="2764" t="s">
        <v>35</v>
      </c>
      <c r="X338" s="1140" t="s">
        <v>5</v>
      </c>
      <c r="Y338" s="406">
        <f t="shared" si="107"/>
        <v>2000</v>
      </c>
      <c r="Z338" s="1098">
        <f>Q338*S338*V338</f>
        <v>2000000</v>
      </c>
      <c r="AA338" s="401"/>
      <c r="AB338" s="1091"/>
      <c r="AC338" s="1095"/>
      <c r="AD338" s="2553"/>
    </row>
    <row r="339" spans="1:30" s="2558" customFormat="1" ht="22.5" customHeight="1">
      <c r="A339" s="436"/>
      <c r="B339" s="465"/>
      <c r="C339" s="465"/>
      <c r="D339" s="1131"/>
      <c r="E339" s="389"/>
      <c r="F339" s="1185"/>
      <c r="G339" s="1761"/>
      <c r="H339" s="700"/>
      <c r="I339" s="1333"/>
      <c r="J339" s="2939" t="s">
        <v>5954</v>
      </c>
      <c r="K339" s="2762"/>
      <c r="L339" s="2762"/>
      <c r="M339" s="2762"/>
      <c r="N339" s="2762"/>
      <c r="O339" s="2762"/>
      <c r="P339" s="2762"/>
      <c r="Q339" s="1673">
        <v>30</v>
      </c>
      <c r="R339" s="405" t="s">
        <v>33</v>
      </c>
      <c r="S339" s="1672">
        <v>200000</v>
      </c>
      <c r="T339" s="2764" t="s">
        <v>4</v>
      </c>
      <c r="U339" s="2764"/>
      <c r="V339" s="2764">
        <v>1</v>
      </c>
      <c r="W339" s="2764" t="s">
        <v>35</v>
      </c>
      <c r="X339" s="1140" t="s">
        <v>5</v>
      </c>
      <c r="Y339" s="406">
        <f t="shared" si="107"/>
        <v>6000</v>
      </c>
      <c r="Z339" s="1098">
        <f>Q339*S339*V339</f>
        <v>6000000</v>
      </c>
      <c r="AA339" s="401"/>
      <c r="AB339" s="1091"/>
      <c r="AC339" s="1095"/>
      <c r="AD339" s="2553"/>
    </row>
    <row r="340" spans="1:30" s="2558" customFormat="1" ht="22.5" customHeight="1">
      <c r="A340" s="436"/>
      <c r="B340" s="465"/>
      <c r="C340" s="465"/>
      <c r="D340" s="1131"/>
      <c r="E340" s="389"/>
      <c r="F340" s="1185"/>
      <c r="G340" s="1761"/>
      <c r="H340" s="700"/>
      <c r="I340" s="1333"/>
      <c r="J340" s="2939" t="s">
        <v>5955</v>
      </c>
      <c r="K340" s="2762"/>
      <c r="L340" s="2762"/>
      <c r="M340" s="2762"/>
      <c r="N340" s="2762"/>
      <c r="O340" s="2762"/>
      <c r="P340" s="2762"/>
      <c r="Q340" s="1673">
        <v>3</v>
      </c>
      <c r="R340" s="405" t="s">
        <v>1225</v>
      </c>
      <c r="S340" s="1672">
        <v>8000000</v>
      </c>
      <c r="T340" s="2764" t="s">
        <v>4</v>
      </c>
      <c r="U340" s="2764"/>
      <c r="V340" s="2764">
        <v>1</v>
      </c>
      <c r="W340" s="2764" t="s">
        <v>35</v>
      </c>
      <c r="X340" s="1140" t="s">
        <v>5</v>
      </c>
      <c r="Y340" s="406">
        <f t="shared" si="107"/>
        <v>24000</v>
      </c>
      <c r="Z340" s="1098">
        <f t="shared" ref="Z340:Z341" si="108">Q340*S340*V340</f>
        <v>24000000</v>
      </c>
      <c r="AA340" s="401"/>
      <c r="AB340" s="1091"/>
      <c r="AC340" s="1095"/>
      <c r="AD340" s="2553"/>
    </row>
    <row r="341" spans="1:30" s="2558" customFormat="1" ht="22.5" customHeight="1">
      <c r="A341" s="436"/>
      <c r="B341" s="465"/>
      <c r="C341" s="465"/>
      <c r="D341" s="1131"/>
      <c r="E341" s="389"/>
      <c r="F341" s="1185"/>
      <c r="G341" s="1761"/>
      <c r="H341" s="700"/>
      <c r="I341" s="1333"/>
      <c r="J341" s="2939" t="s">
        <v>5956</v>
      </c>
      <c r="K341" s="2762"/>
      <c r="L341" s="2762"/>
      <c r="M341" s="2762"/>
      <c r="N341" s="2762"/>
      <c r="O341" s="2762"/>
      <c r="P341" s="2762"/>
      <c r="Q341" s="1673">
        <v>2</v>
      </c>
      <c r="R341" s="405" t="s">
        <v>33</v>
      </c>
      <c r="S341" s="1672">
        <v>1000000</v>
      </c>
      <c r="T341" s="2764" t="s">
        <v>4</v>
      </c>
      <c r="U341" s="2764"/>
      <c r="V341" s="2764">
        <v>1</v>
      </c>
      <c r="W341" s="2764" t="s">
        <v>35</v>
      </c>
      <c r="X341" s="1140" t="s">
        <v>5</v>
      </c>
      <c r="Y341" s="406">
        <f t="shared" si="107"/>
        <v>2000</v>
      </c>
      <c r="Z341" s="1098">
        <f t="shared" si="108"/>
        <v>2000000</v>
      </c>
      <c r="AA341" s="401"/>
      <c r="AB341" s="1091"/>
      <c r="AC341" s="1095"/>
      <c r="AD341" s="2553"/>
    </row>
    <row r="342" spans="1:30" s="2558" customFormat="1" ht="22.5" customHeight="1">
      <c r="A342" s="436"/>
      <c r="B342" s="465"/>
      <c r="C342" s="465"/>
      <c r="D342" s="1131"/>
      <c r="E342" s="389" t="s">
        <v>16</v>
      </c>
      <c r="F342" s="1185">
        <f>Y342</f>
        <v>15000</v>
      </c>
      <c r="G342" s="1761">
        <v>15000</v>
      </c>
      <c r="H342" s="700"/>
      <c r="I342" s="1333"/>
      <c r="J342" s="2899" t="s">
        <v>4146</v>
      </c>
      <c r="K342" s="2889"/>
      <c r="L342" s="2889"/>
      <c r="M342" s="2889"/>
      <c r="N342" s="2889"/>
      <c r="O342" s="2889"/>
      <c r="P342" s="2889"/>
      <c r="Q342" s="408"/>
      <c r="R342" s="2893"/>
      <c r="S342" s="2900"/>
      <c r="T342" s="2900"/>
      <c r="U342" s="2900"/>
      <c r="V342" s="2900"/>
      <c r="W342" s="2900"/>
      <c r="X342" s="1140"/>
      <c r="Y342" s="406">
        <f>Y343+Y344</f>
        <v>15000</v>
      </c>
      <c r="Z342" s="407">
        <f>Z343+Z344</f>
        <v>15000000</v>
      </c>
      <c r="AA342" s="401"/>
      <c r="AB342" s="1091"/>
      <c r="AC342" s="1095"/>
      <c r="AD342" s="2553"/>
    </row>
    <row r="343" spans="1:30" s="2558" customFormat="1" ht="22.5" customHeight="1">
      <c r="A343" s="436"/>
      <c r="B343" s="402"/>
      <c r="C343" s="465"/>
      <c r="D343" s="1449"/>
      <c r="E343" s="389"/>
      <c r="F343" s="873"/>
      <c r="G343" s="1761"/>
      <c r="H343" s="700"/>
      <c r="I343" s="1333"/>
      <c r="J343" s="2939" t="s">
        <v>5957</v>
      </c>
      <c r="K343" s="2889"/>
      <c r="L343" s="2889"/>
      <c r="M343" s="2889"/>
      <c r="N343" s="2889"/>
      <c r="O343" s="2889"/>
      <c r="P343" s="2889"/>
      <c r="Q343" s="408"/>
      <c r="R343" s="2893"/>
      <c r="S343" s="2900">
        <v>10000000</v>
      </c>
      <c r="T343" s="2900" t="s">
        <v>4</v>
      </c>
      <c r="U343" s="2900"/>
      <c r="V343" s="2900">
        <v>1</v>
      </c>
      <c r="W343" s="2900" t="s">
        <v>196</v>
      </c>
      <c r="X343" s="1140" t="s">
        <v>5</v>
      </c>
      <c r="Y343" s="406">
        <f t="shared" ref="Y343:Y344" si="109">Z343/1000</f>
        <v>10000</v>
      </c>
      <c r="Z343" s="407">
        <f t="shared" ref="Z343:Z344" si="110">S343*V343</f>
        <v>10000000</v>
      </c>
      <c r="AA343" s="401"/>
      <c r="AB343" s="1091"/>
      <c r="AC343" s="1095"/>
      <c r="AD343" s="2553"/>
    </row>
    <row r="344" spans="1:30" s="2558" customFormat="1" ht="22.5" customHeight="1">
      <c r="A344" s="436"/>
      <c r="B344" s="402"/>
      <c r="C344" s="465"/>
      <c r="D344" s="1449"/>
      <c r="E344" s="389"/>
      <c r="F344" s="873"/>
      <c r="G344" s="1761"/>
      <c r="H344" s="700"/>
      <c r="I344" s="1333"/>
      <c r="J344" s="2939" t="s">
        <v>5958</v>
      </c>
      <c r="K344" s="2889"/>
      <c r="L344" s="2889"/>
      <c r="M344" s="2889"/>
      <c r="N344" s="2889"/>
      <c r="O344" s="2889"/>
      <c r="P344" s="2889"/>
      <c r="Q344" s="408"/>
      <c r="R344" s="2893"/>
      <c r="S344" s="2900">
        <v>5000000</v>
      </c>
      <c r="T344" s="2900" t="s">
        <v>4</v>
      </c>
      <c r="U344" s="2900"/>
      <c r="V344" s="2900">
        <v>1</v>
      </c>
      <c r="W344" s="2900" t="s">
        <v>196</v>
      </c>
      <c r="X344" s="1140" t="s">
        <v>5</v>
      </c>
      <c r="Y344" s="406">
        <f t="shared" si="109"/>
        <v>5000</v>
      </c>
      <c r="Z344" s="407">
        <f t="shared" si="110"/>
        <v>5000000</v>
      </c>
      <c r="AA344" s="401"/>
      <c r="AB344" s="1091"/>
      <c r="AC344" s="1095"/>
      <c r="AD344" s="2553"/>
    </row>
    <row r="345" spans="1:30" s="2558" customFormat="1" ht="22.5" customHeight="1">
      <c r="A345" s="436"/>
      <c r="B345" s="465"/>
      <c r="C345" s="465"/>
      <c r="D345" s="1131"/>
      <c r="E345" s="389" t="s">
        <v>223</v>
      </c>
      <c r="F345" s="1185">
        <f t="shared" ref="F345:F347" si="111">Y345</f>
        <v>3000</v>
      </c>
      <c r="G345" s="1761">
        <v>3000</v>
      </c>
      <c r="H345" s="700"/>
      <c r="I345" s="1333"/>
      <c r="J345" s="2763" t="s">
        <v>4147</v>
      </c>
      <c r="K345" s="2762"/>
      <c r="L345" s="2762"/>
      <c r="M345" s="2762"/>
      <c r="N345" s="2762"/>
      <c r="O345" s="2762"/>
      <c r="P345" s="2762"/>
      <c r="Q345" s="1673"/>
      <c r="R345" s="405"/>
      <c r="S345" s="1672">
        <v>3000000</v>
      </c>
      <c r="T345" s="2764" t="s">
        <v>4</v>
      </c>
      <c r="U345" s="2764"/>
      <c r="V345" s="2764">
        <v>1</v>
      </c>
      <c r="W345" s="2764" t="s">
        <v>196</v>
      </c>
      <c r="X345" s="1140" t="s">
        <v>5</v>
      </c>
      <c r="Y345" s="406">
        <f t="shared" si="107"/>
        <v>3000</v>
      </c>
      <c r="Z345" s="1098">
        <f>S345*V345</f>
        <v>3000000</v>
      </c>
      <c r="AA345" s="401"/>
      <c r="AB345" s="1091"/>
      <c r="AC345" s="1095"/>
      <c r="AD345" s="2553"/>
    </row>
    <row r="346" spans="1:30" s="2558" customFormat="1" ht="22.5" customHeight="1">
      <c r="A346" s="436"/>
      <c r="B346" s="465"/>
      <c r="C346" s="465"/>
      <c r="D346" s="1131"/>
      <c r="E346" s="389" t="s">
        <v>222</v>
      </c>
      <c r="F346" s="1185">
        <f>Y346</f>
        <v>35000</v>
      </c>
      <c r="G346" s="1761">
        <v>35000</v>
      </c>
      <c r="H346" s="700"/>
      <c r="I346" s="1333"/>
      <c r="J346" s="2899" t="s">
        <v>4145</v>
      </c>
      <c r="K346" s="2889"/>
      <c r="L346" s="2889"/>
      <c r="M346" s="2889"/>
      <c r="N346" s="2889"/>
      <c r="O346" s="2889"/>
      <c r="P346" s="2889"/>
      <c r="Q346" s="1673"/>
      <c r="R346" s="405"/>
      <c r="S346" s="1672">
        <v>5000000</v>
      </c>
      <c r="T346" s="2900" t="s">
        <v>4</v>
      </c>
      <c r="U346" s="2900"/>
      <c r="V346" s="2900">
        <v>7</v>
      </c>
      <c r="W346" s="2900" t="s">
        <v>2858</v>
      </c>
      <c r="X346" s="1140" t="s">
        <v>5</v>
      </c>
      <c r="Y346" s="406">
        <f t="shared" ref="Y346" si="112">Z346/1000</f>
        <v>35000</v>
      </c>
      <c r="Z346" s="407">
        <f>S346*V346</f>
        <v>35000000</v>
      </c>
      <c r="AA346" s="401"/>
      <c r="AB346" s="1091"/>
      <c r="AC346" s="1095"/>
      <c r="AD346" s="2553"/>
    </row>
    <row r="347" spans="1:30" s="2558" customFormat="1" ht="22.5" customHeight="1">
      <c r="A347" s="436"/>
      <c r="B347" s="465"/>
      <c r="C347" s="465"/>
      <c r="D347" s="1131"/>
      <c r="E347" s="389" t="s">
        <v>67</v>
      </c>
      <c r="F347" s="1185">
        <f t="shared" si="111"/>
        <v>6500</v>
      </c>
      <c r="G347" s="1761">
        <v>6500</v>
      </c>
      <c r="H347" s="700"/>
      <c r="I347" s="1333"/>
      <c r="J347" s="2763" t="s">
        <v>194</v>
      </c>
      <c r="K347" s="2762"/>
      <c r="L347" s="2762"/>
      <c r="M347" s="2762"/>
      <c r="N347" s="2762"/>
      <c r="O347" s="2762"/>
      <c r="P347" s="2762"/>
      <c r="Q347" s="408"/>
      <c r="R347" s="2759"/>
      <c r="S347" s="2764"/>
      <c r="T347" s="2764"/>
      <c r="U347" s="2764"/>
      <c r="V347" s="2764"/>
      <c r="W347" s="2764"/>
      <c r="X347" s="1140"/>
      <c r="Y347" s="406">
        <f t="shared" si="107"/>
        <v>6500</v>
      </c>
      <c r="Z347" s="1098">
        <f>SUM(Z348:Z350)</f>
        <v>6500000</v>
      </c>
      <c r="AA347" s="401"/>
      <c r="AB347" s="1091"/>
      <c r="AC347" s="1095"/>
      <c r="AD347" s="2553"/>
    </row>
    <row r="348" spans="1:30" s="2558" customFormat="1" ht="22.5" customHeight="1">
      <c r="A348" s="436"/>
      <c r="B348" s="465"/>
      <c r="C348" s="465"/>
      <c r="D348" s="1131"/>
      <c r="E348" s="389"/>
      <c r="F348" s="873"/>
      <c r="G348" s="1761"/>
      <c r="H348" s="700"/>
      <c r="I348" s="1333"/>
      <c r="J348" s="2939" t="s">
        <v>5959</v>
      </c>
      <c r="K348" s="2762"/>
      <c r="L348" s="2762"/>
      <c r="M348" s="2762"/>
      <c r="N348" s="2762"/>
      <c r="O348" s="2762"/>
      <c r="P348" s="2762"/>
      <c r="Q348" s="408"/>
      <c r="R348" s="2759"/>
      <c r="S348" s="2764">
        <v>1500000</v>
      </c>
      <c r="T348" s="2764" t="s">
        <v>4</v>
      </c>
      <c r="U348" s="2764"/>
      <c r="V348" s="2764">
        <v>1</v>
      </c>
      <c r="W348" s="2764" t="s">
        <v>35</v>
      </c>
      <c r="X348" s="1140" t="s">
        <v>5</v>
      </c>
      <c r="Y348" s="406">
        <f t="shared" si="107"/>
        <v>1500</v>
      </c>
      <c r="Z348" s="1098">
        <f t="shared" ref="Z348:Z351" si="113">S348*V348</f>
        <v>1500000</v>
      </c>
      <c r="AA348" s="401"/>
      <c r="AB348" s="1091"/>
      <c r="AC348" s="1095"/>
      <c r="AD348" s="2553"/>
    </row>
    <row r="349" spans="1:30" s="2558" customFormat="1" ht="22.5" customHeight="1">
      <c r="A349" s="436"/>
      <c r="B349" s="465"/>
      <c r="C349" s="465"/>
      <c r="D349" s="1131"/>
      <c r="E349" s="389"/>
      <c r="F349" s="1185"/>
      <c r="G349" s="1761"/>
      <c r="H349" s="700"/>
      <c r="I349" s="1333"/>
      <c r="J349" s="2939" t="s">
        <v>5961</v>
      </c>
      <c r="K349" s="2762"/>
      <c r="L349" s="2762"/>
      <c r="M349" s="2762"/>
      <c r="N349" s="2762"/>
      <c r="O349" s="2762"/>
      <c r="P349" s="2762"/>
      <c r="Q349" s="408"/>
      <c r="R349" s="2759"/>
      <c r="S349" s="2764">
        <v>3000000</v>
      </c>
      <c r="T349" s="2764" t="s">
        <v>4</v>
      </c>
      <c r="U349" s="2764"/>
      <c r="V349" s="2764">
        <v>1</v>
      </c>
      <c r="W349" s="2764" t="s">
        <v>196</v>
      </c>
      <c r="X349" s="1140" t="s">
        <v>5</v>
      </c>
      <c r="Y349" s="406">
        <f t="shared" si="107"/>
        <v>3000</v>
      </c>
      <c r="Z349" s="1098">
        <f t="shared" si="113"/>
        <v>3000000</v>
      </c>
      <c r="AA349" s="401"/>
      <c r="AB349" s="1091"/>
      <c r="AC349" s="1095"/>
      <c r="AD349" s="2553"/>
    </row>
    <row r="350" spans="1:30" s="2558" customFormat="1" ht="22.5" customHeight="1">
      <c r="A350" s="436"/>
      <c r="B350" s="465"/>
      <c r="C350" s="465"/>
      <c r="D350" s="1131"/>
      <c r="E350" s="389"/>
      <c r="F350" s="1185"/>
      <c r="G350" s="1761"/>
      <c r="H350" s="700"/>
      <c r="I350" s="1333"/>
      <c r="J350" s="2939" t="s">
        <v>5960</v>
      </c>
      <c r="K350" s="2762"/>
      <c r="L350" s="2762"/>
      <c r="M350" s="2762"/>
      <c r="N350" s="2762"/>
      <c r="O350" s="2762"/>
      <c r="P350" s="2762"/>
      <c r="Q350" s="408"/>
      <c r="R350" s="2759"/>
      <c r="S350" s="2764">
        <v>2000000</v>
      </c>
      <c r="T350" s="2764" t="s">
        <v>4</v>
      </c>
      <c r="U350" s="2764"/>
      <c r="V350" s="2764">
        <v>1</v>
      </c>
      <c r="W350" s="2764" t="s">
        <v>4148</v>
      </c>
      <c r="X350" s="1140" t="s">
        <v>5</v>
      </c>
      <c r="Y350" s="406">
        <f t="shared" si="107"/>
        <v>2000</v>
      </c>
      <c r="Z350" s="1098">
        <f t="shared" si="113"/>
        <v>2000000</v>
      </c>
      <c r="AA350" s="401"/>
      <c r="AB350" s="1091"/>
      <c r="AC350" s="1095"/>
      <c r="AD350" s="2553"/>
    </row>
    <row r="351" spans="1:30" s="2558" customFormat="1" ht="22.5" customHeight="1">
      <c r="A351" s="436"/>
      <c r="B351" s="465"/>
      <c r="C351" s="465"/>
      <c r="D351" s="1131"/>
      <c r="E351" s="389" t="s">
        <v>14</v>
      </c>
      <c r="F351" s="1185">
        <f>Y351</f>
        <v>1000</v>
      </c>
      <c r="G351" s="1761">
        <v>1000</v>
      </c>
      <c r="H351" s="700"/>
      <c r="I351" s="1333"/>
      <c r="J351" s="1627" t="s">
        <v>4149</v>
      </c>
      <c r="K351" s="2757"/>
      <c r="L351" s="2757"/>
      <c r="M351" s="2757"/>
      <c r="N351" s="2757"/>
      <c r="O351" s="2757"/>
      <c r="P351" s="2757"/>
      <c r="Q351" s="368"/>
      <c r="R351" s="1325"/>
      <c r="S351" s="458">
        <v>100000</v>
      </c>
      <c r="T351" s="459" t="s">
        <v>4</v>
      </c>
      <c r="U351" s="459"/>
      <c r="V351" s="459">
        <v>10</v>
      </c>
      <c r="W351" s="459" t="s">
        <v>35</v>
      </c>
      <c r="X351" s="460" t="s">
        <v>5</v>
      </c>
      <c r="Y351" s="406">
        <f t="shared" si="107"/>
        <v>1000</v>
      </c>
      <c r="Z351" s="1098">
        <f t="shared" si="113"/>
        <v>1000000</v>
      </c>
      <c r="AA351" s="401"/>
      <c r="AB351" s="1091"/>
      <c r="AC351" s="1095"/>
      <c r="AD351" s="2553"/>
    </row>
    <row r="352" spans="1:30" s="2558" customFormat="1" ht="22.5" customHeight="1">
      <c r="A352" s="436"/>
      <c r="B352" s="402"/>
      <c r="C352" s="465"/>
      <c r="D352" s="3539" t="s">
        <v>4150</v>
      </c>
      <c r="E352" s="3539"/>
      <c r="F352" s="599">
        <f>SUM(F353:F361)</f>
        <v>120000</v>
      </c>
      <c r="G352" s="599">
        <f>SUM(G353:G361)</f>
        <v>120000</v>
      </c>
      <c r="H352" s="468">
        <f>F352-G352</f>
        <v>0</v>
      </c>
      <c r="I352" s="409"/>
      <c r="J352" s="1135"/>
      <c r="K352" s="2876"/>
      <c r="L352" s="2876"/>
      <c r="M352" s="2876"/>
      <c r="N352" s="2876"/>
      <c r="O352" s="2876"/>
      <c r="P352" s="2876"/>
      <c r="Q352" s="836"/>
      <c r="R352" s="395"/>
      <c r="S352" s="399"/>
      <c r="T352" s="1136"/>
      <c r="U352" s="1136"/>
      <c r="V352" s="1136"/>
      <c r="W352" s="1136"/>
      <c r="X352" s="1138"/>
      <c r="Y352" s="431"/>
      <c r="Z352" s="463"/>
      <c r="AA352" s="401"/>
      <c r="AB352" s="1091"/>
      <c r="AC352" s="1095"/>
      <c r="AD352" s="2553"/>
    </row>
    <row r="353" spans="1:30" s="2558" customFormat="1" ht="22.5" customHeight="1">
      <c r="A353" s="436"/>
      <c r="B353" s="402"/>
      <c r="C353" s="465"/>
      <c r="D353" s="1131"/>
      <c r="E353" s="389" t="s">
        <v>224</v>
      </c>
      <c r="F353" s="403">
        <f t="shared" ref="F353" si="114">Y353</f>
        <v>0</v>
      </c>
      <c r="G353" s="873">
        <v>1800</v>
      </c>
      <c r="H353" s="700">
        <f t="shared" ref="H353" si="115">F353-G353</f>
        <v>-1800</v>
      </c>
      <c r="I353" s="1333"/>
      <c r="J353" s="2899" t="s">
        <v>5124</v>
      </c>
      <c r="K353" s="2889"/>
      <c r="L353" s="2889"/>
      <c r="M353" s="2889"/>
      <c r="N353" s="2889"/>
      <c r="O353" s="2889"/>
      <c r="P353" s="1671"/>
      <c r="Q353" s="1671"/>
      <c r="R353" s="405"/>
      <c r="S353" s="1672"/>
      <c r="T353" s="2900"/>
      <c r="U353" s="2900"/>
      <c r="V353" s="2900"/>
      <c r="W353" s="2900"/>
      <c r="X353" s="1140"/>
      <c r="Y353" s="406"/>
      <c r="Z353" s="1098">
        <f>S353*V353</f>
        <v>0</v>
      </c>
      <c r="AA353" s="401"/>
      <c r="AB353" s="1091"/>
      <c r="AC353" s="1095"/>
      <c r="AD353" s="2553"/>
    </row>
    <row r="354" spans="1:30" s="2558" customFormat="1" ht="22.5" customHeight="1">
      <c r="A354" s="436"/>
      <c r="B354" s="465"/>
      <c r="C354" s="465"/>
      <c r="D354" s="1131"/>
      <c r="E354" s="389" t="s">
        <v>195</v>
      </c>
      <c r="F354" s="403">
        <f t="shared" ref="F354" si="116">Y354</f>
        <v>1000</v>
      </c>
      <c r="G354" s="1185">
        <v>1000</v>
      </c>
      <c r="H354" s="700"/>
      <c r="I354" s="1333"/>
      <c r="J354" s="2899" t="s">
        <v>5725</v>
      </c>
      <c r="K354" s="2889"/>
      <c r="L354" s="2889"/>
      <c r="M354" s="2889"/>
      <c r="N354" s="2889"/>
      <c r="O354" s="2889"/>
      <c r="P354" s="1671"/>
      <c r="Q354" s="1671" t="s">
        <v>5720</v>
      </c>
      <c r="R354" s="405" t="s">
        <v>5720</v>
      </c>
      <c r="S354" s="1672">
        <v>25000</v>
      </c>
      <c r="T354" s="2900" t="s">
        <v>5454</v>
      </c>
      <c r="U354" s="2900"/>
      <c r="V354" s="2900">
        <v>40</v>
      </c>
      <c r="W354" s="2900" t="s">
        <v>5463</v>
      </c>
      <c r="X354" s="1140" t="s">
        <v>5456</v>
      </c>
      <c r="Y354" s="406">
        <f t="shared" ref="Y354:Y355" si="117">Z354/1000</f>
        <v>1000</v>
      </c>
      <c r="Z354" s="407">
        <f>S354*V354</f>
        <v>1000000</v>
      </c>
      <c r="AA354" s="401"/>
      <c r="AB354" s="1091"/>
      <c r="AC354" s="1095"/>
      <c r="AD354" s="2553"/>
    </row>
    <row r="355" spans="1:30" s="2558" customFormat="1" ht="22.5" customHeight="1">
      <c r="A355" s="436"/>
      <c r="B355" s="402"/>
      <c r="C355" s="465"/>
      <c r="D355" s="495"/>
      <c r="E355" s="389" t="s">
        <v>269</v>
      </c>
      <c r="F355" s="403">
        <f>Y355</f>
        <v>8000</v>
      </c>
      <c r="G355" s="403">
        <v>11000</v>
      </c>
      <c r="H355" s="700">
        <f t="shared" ref="H355" si="118">F355-G355</f>
        <v>-3000</v>
      </c>
      <c r="I355" s="409"/>
      <c r="J355" s="2899" t="s">
        <v>5453</v>
      </c>
      <c r="K355" s="2889"/>
      <c r="L355" s="2889"/>
      <c r="M355" s="2889"/>
      <c r="N355" s="2889"/>
      <c r="O355" s="2889"/>
      <c r="P355" s="1671"/>
      <c r="Q355" s="1671" t="s">
        <v>5720</v>
      </c>
      <c r="R355" s="405" t="s">
        <v>5720</v>
      </c>
      <c r="S355" s="1672"/>
      <c r="T355" s="2900"/>
      <c r="U355" s="2900"/>
      <c r="V355" s="2900"/>
      <c r="W355" s="2900"/>
      <c r="X355" s="1140"/>
      <c r="Y355" s="406">
        <f t="shared" si="117"/>
        <v>8000</v>
      </c>
      <c r="Z355" s="407">
        <f>Z356+Z357</f>
        <v>8000000</v>
      </c>
      <c r="AA355" s="401"/>
      <c r="AB355" s="1091"/>
      <c r="AC355" s="1095"/>
      <c r="AD355" s="2553"/>
    </row>
    <row r="356" spans="1:30" s="2558" customFormat="1" ht="22.5" customHeight="1">
      <c r="A356" s="436"/>
      <c r="B356" s="402"/>
      <c r="C356" s="465"/>
      <c r="D356" s="495"/>
      <c r="E356" s="1134"/>
      <c r="F356" s="403"/>
      <c r="G356" s="403"/>
      <c r="H356" s="700"/>
      <c r="I356" s="409"/>
      <c r="J356" s="2939" t="s">
        <v>5962</v>
      </c>
      <c r="K356" s="2938"/>
      <c r="L356" s="2938"/>
      <c r="M356" s="2938"/>
      <c r="N356" s="2889"/>
      <c r="O356" s="2889"/>
      <c r="P356" s="1671"/>
      <c r="Q356" s="1671"/>
      <c r="R356" s="2893"/>
      <c r="S356" s="2900">
        <v>500000</v>
      </c>
      <c r="T356" s="2900" t="s">
        <v>5454</v>
      </c>
      <c r="U356" s="2900"/>
      <c r="V356" s="2900">
        <v>6</v>
      </c>
      <c r="W356" s="2900" t="s">
        <v>5490</v>
      </c>
      <c r="X356" s="1140" t="s">
        <v>5521</v>
      </c>
      <c r="Y356" s="406">
        <v>3000</v>
      </c>
      <c r="Z356" s="1098">
        <f t="shared" ref="Z356:Z361" si="119">S356*V356</f>
        <v>3000000</v>
      </c>
      <c r="AA356" s="401"/>
      <c r="AB356" s="1091"/>
      <c r="AC356" s="1095"/>
      <c r="AD356" s="2553"/>
    </row>
    <row r="357" spans="1:30" s="2558" customFormat="1" ht="22.5" customHeight="1">
      <c r="A357" s="436"/>
      <c r="B357" s="402"/>
      <c r="C357" s="465"/>
      <c r="D357" s="495"/>
      <c r="E357" s="1134"/>
      <c r="F357" s="403"/>
      <c r="G357" s="403"/>
      <c r="H357" s="700"/>
      <c r="I357" s="409"/>
      <c r="J357" s="2939" t="s">
        <v>5963</v>
      </c>
      <c r="K357" s="2938"/>
      <c r="L357" s="2938"/>
      <c r="M357" s="2938"/>
      <c r="N357" s="2889"/>
      <c r="O357" s="2889"/>
      <c r="P357" s="1671"/>
      <c r="Q357" s="2900"/>
      <c r="R357" s="2893"/>
      <c r="S357" s="2900">
        <v>1000000</v>
      </c>
      <c r="T357" s="2900" t="s">
        <v>5454</v>
      </c>
      <c r="U357" s="2900"/>
      <c r="V357" s="2900">
        <v>5</v>
      </c>
      <c r="W357" s="2900" t="s">
        <v>5458</v>
      </c>
      <c r="X357" s="1140" t="s">
        <v>5521</v>
      </c>
      <c r="Y357" s="406">
        <f t="shared" ref="Y357" si="120">Z357/1000</f>
        <v>5000</v>
      </c>
      <c r="Z357" s="1098">
        <f t="shared" si="119"/>
        <v>5000000</v>
      </c>
      <c r="AA357" s="401"/>
      <c r="AB357" s="1091"/>
      <c r="AC357" s="1095"/>
      <c r="AD357" s="2553"/>
    </row>
    <row r="358" spans="1:30" s="2558" customFormat="1" ht="22.5" customHeight="1">
      <c r="A358" s="436"/>
      <c r="B358" s="402"/>
      <c r="C358" s="465"/>
      <c r="D358" s="495"/>
      <c r="E358" s="389" t="s">
        <v>287</v>
      </c>
      <c r="F358" s="403">
        <f>Y358</f>
        <v>15000</v>
      </c>
      <c r="G358" s="403">
        <v>80000</v>
      </c>
      <c r="H358" s="700">
        <f t="shared" ref="H358" si="121">F358-G358</f>
        <v>-65000</v>
      </c>
      <c r="I358" s="409"/>
      <c r="J358" s="2899" t="s">
        <v>5718</v>
      </c>
      <c r="K358" s="2889" t="s">
        <v>5719</v>
      </c>
      <c r="L358" s="2889"/>
      <c r="M358" s="2889"/>
      <c r="N358" s="2889"/>
      <c r="O358" s="2889"/>
      <c r="P358" s="1671"/>
      <c r="Q358" s="1671" t="s">
        <v>5720</v>
      </c>
      <c r="R358" s="405" t="s">
        <v>5720</v>
      </c>
      <c r="S358" s="1672">
        <v>2500000</v>
      </c>
      <c r="T358" s="2900" t="s">
        <v>5454</v>
      </c>
      <c r="U358" s="2900"/>
      <c r="V358" s="2900">
        <v>6</v>
      </c>
      <c r="W358" s="2900" t="s">
        <v>5463</v>
      </c>
      <c r="X358" s="1140" t="s">
        <v>5456</v>
      </c>
      <c r="Y358" s="406">
        <f t="shared" ref="Y358:Y361" si="122">Z358/1000</f>
        <v>15000</v>
      </c>
      <c r="Z358" s="1098">
        <f t="shared" si="119"/>
        <v>15000000</v>
      </c>
      <c r="AA358" s="401"/>
      <c r="AB358" s="1091"/>
      <c r="AC358" s="1095"/>
      <c r="AD358" s="2553"/>
    </row>
    <row r="359" spans="1:30" s="2558" customFormat="1" ht="22.5" customHeight="1">
      <c r="A359" s="436"/>
      <c r="B359" s="402"/>
      <c r="C359" s="465"/>
      <c r="D359" s="495"/>
      <c r="E359" s="389" t="s">
        <v>222</v>
      </c>
      <c r="F359" s="403">
        <f>Y359</f>
        <v>85000</v>
      </c>
      <c r="G359" s="403">
        <v>10000</v>
      </c>
      <c r="H359" s="700">
        <f>F359-G359</f>
        <v>75000</v>
      </c>
      <c r="I359" s="409"/>
      <c r="J359" s="2899" t="s">
        <v>5721</v>
      </c>
      <c r="K359" s="2889" t="s">
        <v>5722</v>
      </c>
      <c r="L359" s="2889"/>
      <c r="M359" s="2889"/>
      <c r="N359" s="2889"/>
      <c r="O359" s="2889"/>
      <c r="P359" s="1671"/>
      <c r="Q359" s="1671" t="s">
        <v>5720</v>
      </c>
      <c r="R359" s="405" t="s">
        <v>5720</v>
      </c>
      <c r="S359" s="1672">
        <v>42500000</v>
      </c>
      <c r="T359" s="2900" t="s">
        <v>5454</v>
      </c>
      <c r="U359" s="2900"/>
      <c r="V359" s="2900">
        <v>2</v>
      </c>
      <c r="W359" s="2900" t="s">
        <v>5457</v>
      </c>
      <c r="X359" s="1140" t="s">
        <v>5456</v>
      </c>
      <c r="Y359" s="406">
        <f t="shared" si="122"/>
        <v>85000</v>
      </c>
      <c r="Z359" s="1098">
        <f t="shared" si="119"/>
        <v>85000000</v>
      </c>
      <c r="AA359" s="401"/>
      <c r="AB359" s="1091"/>
      <c r="AC359" s="1095"/>
      <c r="AD359" s="2553"/>
    </row>
    <row r="360" spans="1:30" s="2558" customFormat="1" ht="22.5" customHeight="1">
      <c r="A360" s="436"/>
      <c r="B360" s="402"/>
      <c r="C360" s="465"/>
      <c r="D360" s="495"/>
      <c r="E360" s="389" t="s">
        <v>602</v>
      </c>
      <c r="F360" s="403">
        <f t="shared" ref="F360:F361" si="123">Y360</f>
        <v>10000</v>
      </c>
      <c r="G360" s="403">
        <v>15000</v>
      </c>
      <c r="H360" s="700">
        <f t="shared" ref="H360:H361" si="124">F360-G360</f>
        <v>-5000</v>
      </c>
      <c r="I360" s="409"/>
      <c r="J360" s="2899" t="s">
        <v>5453</v>
      </c>
      <c r="K360" s="2889" t="s">
        <v>5503</v>
      </c>
      <c r="L360" s="2889"/>
      <c r="M360" s="2889"/>
      <c r="N360" s="2889"/>
      <c r="O360" s="2889"/>
      <c r="P360" s="1671"/>
      <c r="Q360" s="1671" t="s">
        <v>5720</v>
      </c>
      <c r="R360" s="405" t="s">
        <v>5720</v>
      </c>
      <c r="S360" s="2900">
        <v>2000000</v>
      </c>
      <c r="T360" s="2900" t="s">
        <v>5454</v>
      </c>
      <c r="U360" s="2900"/>
      <c r="V360" s="2900">
        <v>5</v>
      </c>
      <c r="W360" s="2900" t="s">
        <v>5458</v>
      </c>
      <c r="X360" s="1140" t="s">
        <v>5521</v>
      </c>
      <c r="Y360" s="406">
        <f t="shared" si="122"/>
        <v>10000</v>
      </c>
      <c r="Z360" s="407">
        <f t="shared" si="119"/>
        <v>10000000</v>
      </c>
      <c r="AA360" s="401"/>
      <c r="AB360" s="1091"/>
      <c r="AC360" s="1095"/>
      <c r="AD360" s="2553"/>
    </row>
    <row r="361" spans="1:30" s="2558" customFormat="1" ht="22.5" customHeight="1">
      <c r="A361" s="436"/>
      <c r="B361" s="402"/>
      <c r="C361" s="465"/>
      <c r="D361" s="495"/>
      <c r="E361" s="389" t="s">
        <v>271</v>
      </c>
      <c r="F361" s="403">
        <f t="shared" si="123"/>
        <v>1000</v>
      </c>
      <c r="G361" s="403">
        <v>1200</v>
      </c>
      <c r="H361" s="700">
        <f t="shared" si="124"/>
        <v>-200</v>
      </c>
      <c r="I361" s="409"/>
      <c r="J361" s="2899" t="s">
        <v>5723</v>
      </c>
      <c r="K361" s="2889" t="s">
        <v>5724</v>
      </c>
      <c r="L361" s="2889"/>
      <c r="M361" s="2889"/>
      <c r="N361" s="2889"/>
      <c r="O361" s="2889"/>
      <c r="P361" s="1671"/>
      <c r="Q361" s="1671" t="s">
        <v>5720</v>
      </c>
      <c r="R361" s="405" t="s">
        <v>5720</v>
      </c>
      <c r="S361" s="1672">
        <v>100000</v>
      </c>
      <c r="T361" s="2900" t="s">
        <v>5454</v>
      </c>
      <c r="U361" s="2900"/>
      <c r="V361" s="2900">
        <v>10</v>
      </c>
      <c r="W361" s="2900" t="s">
        <v>5463</v>
      </c>
      <c r="X361" s="1140" t="s">
        <v>5456</v>
      </c>
      <c r="Y361" s="406">
        <f t="shared" si="122"/>
        <v>1000</v>
      </c>
      <c r="Z361" s="407">
        <f t="shared" si="119"/>
        <v>1000000</v>
      </c>
      <c r="AA361" s="401"/>
      <c r="AB361" s="1091"/>
      <c r="AC361" s="1095"/>
      <c r="AD361" s="2553"/>
    </row>
    <row r="362" spans="1:30" s="2558" customFormat="1" ht="22.5" customHeight="1">
      <c r="A362" s="436"/>
      <c r="B362" s="402"/>
      <c r="C362" s="465"/>
      <c r="D362" s="3539" t="s">
        <v>4152</v>
      </c>
      <c r="E362" s="3539"/>
      <c r="F362" s="599">
        <f>SUM(F363:F378)</f>
        <v>450000</v>
      </c>
      <c r="G362" s="599">
        <f>SUM(G363:G378)</f>
        <v>450000</v>
      </c>
      <c r="H362" s="468">
        <f>F362-G362</f>
        <v>0</v>
      </c>
      <c r="I362" s="409"/>
      <c r="J362" s="1135"/>
      <c r="K362" s="2753"/>
      <c r="L362" s="2753"/>
      <c r="M362" s="2753"/>
      <c r="N362" s="2753"/>
      <c r="O362" s="2753"/>
      <c r="P362" s="2753"/>
      <c r="Q362" s="836"/>
      <c r="R362" s="395"/>
      <c r="S362" s="399"/>
      <c r="T362" s="1136"/>
      <c r="U362" s="1136"/>
      <c r="V362" s="1136"/>
      <c r="W362" s="1136"/>
      <c r="X362" s="1138"/>
      <c r="Y362" s="431"/>
      <c r="Z362" s="463"/>
      <c r="AA362" s="401"/>
      <c r="AB362" s="1091"/>
      <c r="AC362" s="1095"/>
      <c r="AD362" s="2553"/>
    </row>
    <row r="363" spans="1:30" s="2558" customFormat="1" ht="22.5" customHeight="1">
      <c r="A363" s="436"/>
      <c r="B363" s="402"/>
      <c r="C363" s="465"/>
      <c r="D363" s="495"/>
      <c r="E363" s="888" t="s">
        <v>369</v>
      </c>
      <c r="F363" s="403">
        <f t="shared" ref="F363:F371" si="125">Y363</f>
        <v>10000</v>
      </c>
      <c r="G363" s="403">
        <v>10000</v>
      </c>
      <c r="H363" s="700"/>
      <c r="I363" s="409"/>
      <c r="J363" s="514" t="s">
        <v>4153</v>
      </c>
      <c r="K363" s="2754"/>
      <c r="L363" s="2754"/>
      <c r="M363" s="2754"/>
      <c r="N363" s="2754"/>
      <c r="O363" s="2754"/>
      <c r="P363" s="2754"/>
      <c r="Q363" s="635"/>
      <c r="R363" s="1187"/>
      <c r="S363" s="1686">
        <v>10000000</v>
      </c>
      <c r="T363" s="516" t="s">
        <v>4</v>
      </c>
      <c r="U363" s="516"/>
      <c r="V363" s="516">
        <v>1</v>
      </c>
      <c r="W363" s="516" t="s">
        <v>196</v>
      </c>
      <c r="X363" s="517" t="s">
        <v>5</v>
      </c>
      <c r="Y363" s="724">
        <f>S363/1000</f>
        <v>10000</v>
      </c>
      <c r="Z363" s="1265">
        <f t="shared" ref="Z363" si="126">S363*V363</f>
        <v>10000000</v>
      </c>
      <c r="AA363" s="401"/>
      <c r="AB363" s="1091"/>
      <c r="AC363" s="1095"/>
      <c r="AD363" s="2553"/>
    </row>
    <row r="364" spans="1:30" s="2558" customFormat="1" ht="22.5" customHeight="1">
      <c r="A364" s="436"/>
      <c r="B364" s="402"/>
      <c r="C364" s="465"/>
      <c r="D364" s="495"/>
      <c r="E364" s="888" t="s">
        <v>2240</v>
      </c>
      <c r="F364" s="403">
        <f>Y364</f>
        <v>10000</v>
      </c>
      <c r="G364" s="403">
        <v>10000</v>
      </c>
      <c r="H364" s="700"/>
      <c r="I364" s="409"/>
      <c r="J364" s="514" t="s">
        <v>4154</v>
      </c>
      <c r="K364" s="2754"/>
      <c r="L364" s="2754"/>
      <c r="M364" s="2754"/>
      <c r="N364" s="2754"/>
      <c r="O364" s="2754"/>
      <c r="P364" s="2754"/>
      <c r="Q364" s="635"/>
      <c r="R364" s="1187"/>
      <c r="S364" s="1686">
        <v>10000000</v>
      </c>
      <c r="T364" s="516" t="s">
        <v>4</v>
      </c>
      <c r="U364" s="516"/>
      <c r="V364" s="516">
        <v>1</v>
      </c>
      <c r="W364" s="516" t="s">
        <v>196</v>
      </c>
      <c r="X364" s="517" t="s">
        <v>5</v>
      </c>
      <c r="Y364" s="724">
        <f>S364/1000</f>
        <v>10000</v>
      </c>
      <c r="Z364" s="1265">
        <f>S364*V364</f>
        <v>10000000</v>
      </c>
      <c r="AA364" s="401"/>
      <c r="AB364" s="1091"/>
      <c r="AC364" s="1095"/>
      <c r="AD364" s="2553"/>
    </row>
    <row r="365" spans="1:30" s="2558" customFormat="1" ht="22.5" customHeight="1">
      <c r="A365" s="436"/>
      <c r="B365" s="402"/>
      <c r="C365" s="465"/>
      <c r="D365" s="495"/>
      <c r="E365" s="888" t="s">
        <v>224</v>
      </c>
      <c r="F365" s="403">
        <f t="shared" si="125"/>
        <v>4000</v>
      </c>
      <c r="G365" s="403">
        <v>4000</v>
      </c>
      <c r="H365" s="700"/>
      <c r="I365" s="409"/>
      <c r="J365" s="514" t="s">
        <v>4138</v>
      </c>
      <c r="K365" s="2754"/>
      <c r="L365" s="2754"/>
      <c r="M365" s="2754"/>
      <c r="N365" s="2754"/>
      <c r="O365" s="2754"/>
      <c r="P365" s="2754"/>
      <c r="Q365" s="635"/>
      <c r="R365" s="1187"/>
      <c r="S365" s="1686">
        <v>4000000</v>
      </c>
      <c r="T365" s="516" t="s">
        <v>4</v>
      </c>
      <c r="U365" s="516"/>
      <c r="V365" s="516">
        <v>1</v>
      </c>
      <c r="W365" s="516" t="s">
        <v>196</v>
      </c>
      <c r="X365" s="517" t="s">
        <v>5</v>
      </c>
      <c r="Y365" s="724">
        <f>S365/1000</f>
        <v>4000</v>
      </c>
      <c r="Z365" s="1265">
        <f t="shared" ref="Z365:Z378" si="127">S365*V365</f>
        <v>4000000</v>
      </c>
      <c r="AA365" s="401"/>
      <c r="AB365" s="1091"/>
      <c r="AC365" s="1095"/>
      <c r="AD365" s="2553"/>
    </row>
    <row r="366" spans="1:30" s="2558" customFormat="1" ht="22.5" customHeight="1">
      <c r="A366" s="436"/>
      <c r="B366" s="402"/>
      <c r="C366" s="465"/>
      <c r="D366" s="495"/>
      <c r="E366" s="888" t="s">
        <v>195</v>
      </c>
      <c r="F366" s="403">
        <f t="shared" si="125"/>
        <v>2000</v>
      </c>
      <c r="G366" s="403">
        <v>2000</v>
      </c>
      <c r="H366" s="700"/>
      <c r="I366" s="409"/>
      <c r="J366" s="514" t="s">
        <v>532</v>
      </c>
      <c r="K366" s="2754"/>
      <c r="L366" s="2754"/>
      <c r="M366" s="2754"/>
      <c r="N366" s="2754"/>
      <c r="O366" s="2754"/>
      <c r="P366" s="2754"/>
      <c r="Q366" s="635" t="s">
        <v>344</v>
      </c>
      <c r="R366" s="1187" t="s">
        <v>344</v>
      </c>
      <c r="S366" s="1686">
        <v>50000</v>
      </c>
      <c r="T366" s="516" t="s">
        <v>4</v>
      </c>
      <c r="U366" s="516"/>
      <c r="V366" s="516">
        <v>40</v>
      </c>
      <c r="W366" s="516" t="s">
        <v>35</v>
      </c>
      <c r="X366" s="517" t="s">
        <v>5</v>
      </c>
      <c r="Y366" s="724">
        <f>S366*40/1000</f>
        <v>2000</v>
      </c>
      <c r="Z366" s="1265">
        <f t="shared" si="127"/>
        <v>2000000</v>
      </c>
      <c r="AA366" s="401"/>
      <c r="AB366" s="1091"/>
      <c r="AC366" s="1095"/>
      <c r="AD366" s="2553"/>
    </row>
    <row r="367" spans="1:30" s="2558" customFormat="1" ht="22.5" customHeight="1">
      <c r="A367" s="436"/>
      <c r="B367" s="402"/>
      <c r="C367" s="465"/>
      <c r="D367" s="495"/>
      <c r="E367" s="888" t="s">
        <v>298</v>
      </c>
      <c r="F367" s="403">
        <f t="shared" si="125"/>
        <v>50000</v>
      </c>
      <c r="G367" s="403">
        <v>50000</v>
      </c>
      <c r="H367" s="700"/>
      <c r="I367" s="409"/>
      <c r="J367" s="514" t="s">
        <v>4155</v>
      </c>
      <c r="K367" s="2754"/>
      <c r="L367" s="2754"/>
      <c r="M367" s="2754"/>
      <c r="N367" s="2754"/>
      <c r="O367" s="2754"/>
      <c r="P367" s="2754"/>
      <c r="Q367" s="635"/>
      <c r="R367" s="1187"/>
      <c r="S367" s="1686">
        <v>50000000</v>
      </c>
      <c r="T367" s="516" t="s">
        <v>4</v>
      </c>
      <c r="U367" s="516"/>
      <c r="V367" s="516">
        <v>1</v>
      </c>
      <c r="W367" s="516" t="s">
        <v>196</v>
      </c>
      <c r="X367" s="517" t="s">
        <v>5</v>
      </c>
      <c r="Y367" s="724">
        <f>S367/1000</f>
        <v>50000</v>
      </c>
      <c r="Z367" s="1265">
        <f t="shared" si="127"/>
        <v>50000000</v>
      </c>
      <c r="AA367" s="401"/>
      <c r="AB367" s="1091"/>
      <c r="AC367" s="1095"/>
      <c r="AD367" s="2553"/>
    </row>
    <row r="368" spans="1:30" s="2558" customFormat="1" ht="22.5" customHeight="1">
      <c r="A368" s="436"/>
      <c r="B368" s="402"/>
      <c r="C368" s="465"/>
      <c r="D368" s="495"/>
      <c r="E368" s="888" t="s">
        <v>15</v>
      </c>
      <c r="F368" s="403">
        <f t="shared" si="125"/>
        <v>39000</v>
      </c>
      <c r="G368" s="403">
        <v>39000</v>
      </c>
      <c r="H368" s="700"/>
      <c r="I368" s="409"/>
      <c r="J368" s="514" t="s">
        <v>194</v>
      </c>
      <c r="K368" s="2880"/>
      <c r="L368" s="2880"/>
      <c r="M368" s="2880"/>
      <c r="N368" s="2880"/>
      <c r="O368" s="2880"/>
      <c r="P368" s="2880"/>
      <c r="Q368" s="635"/>
      <c r="R368" s="1187"/>
      <c r="S368" s="1686"/>
      <c r="T368" s="516"/>
      <c r="U368" s="516"/>
      <c r="V368" s="516"/>
      <c r="W368" s="516"/>
      <c r="X368" s="517"/>
      <c r="Y368" s="724">
        <f>SUM(Y369:Y370)</f>
        <v>39000</v>
      </c>
      <c r="Z368" s="1265">
        <f>Q368*S368*V368</f>
        <v>0</v>
      </c>
      <c r="AA368" s="401"/>
      <c r="AB368" s="1091"/>
      <c r="AC368" s="1095"/>
      <c r="AD368" s="2553"/>
    </row>
    <row r="369" spans="1:30" s="2558" customFormat="1" ht="22.5" customHeight="1">
      <c r="A369" s="436"/>
      <c r="B369" s="402"/>
      <c r="C369" s="465"/>
      <c r="D369" s="495"/>
      <c r="E369" s="888"/>
      <c r="F369" s="403"/>
      <c r="G369" s="403"/>
      <c r="H369" s="404"/>
      <c r="I369" s="409"/>
      <c r="J369" s="514" t="s">
        <v>4159</v>
      </c>
      <c r="K369" s="2880"/>
      <c r="L369" s="2880"/>
      <c r="M369" s="2880"/>
      <c r="N369" s="2880"/>
      <c r="O369" s="2880"/>
      <c r="P369" s="635">
        <v>3</v>
      </c>
      <c r="Q369" s="2880" t="s">
        <v>1819</v>
      </c>
      <c r="R369" s="1187"/>
      <c r="S369" s="1686">
        <v>200000</v>
      </c>
      <c r="T369" s="516" t="s">
        <v>4</v>
      </c>
      <c r="U369" s="516"/>
      <c r="V369" s="516">
        <v>40</v>
      </c>
      <c r="W369" s="516" t="s">
        <v>35</v>
      </c>
      <c r="X369" s="517" t="s">
        <v>5</v>
      </c>
      <c r="Y369" s="724">
        <f>(S369*V369)*P369/1000</f>
        <v>24000</v>
      </c>
      <c r="Z369" s="1265">
        <f>V369*S369*P369</f>
        <v>24000000</v>
      </c>
      <c r="AA369" s="401"/>
      <c r="AB369" s="1091"/>
      <c r="AC369" s="1095"/>
      <c r="AD369" s="2553"/>
    </row>
    <row r="370" spans="1:30" s="2558" customFormat="1" ht="22.5" customHeight="1">
      <c r="A370" s="436"/>
      <c r="B370" s="402"/>
      <c r="C370" s="465"/>
      <c r="D370" s="495"/>
      <c r="E370" s="888"/>
      <c r="F370" s="403"/>
      <c r="G370" s="403"/>
      <c r="H370" s="404"/>
      <c r="I370" s="409"/>
      <c r="J370" s="514" t="s">
        <v>4160</v>
      </c>
      <c r="K370" s="2880"/>
      <c r="L370" s="2880"/>
      <c r="M370" s="2880"/>
      <c r="N370" s="2880"/>
      <c r="O370" s="2880"/>
      <c r="P370" s="635">
        <v>5</v>
      </c>
      <c r="Q370" s="2880" t="s">
        <v>1819</v>
      </c>
      <c r="R370" s="1187"/>
      <c r="S370" s="1686">
        <v>200000</v>
      </c>
      <c r="T370" s="516" t="s">
        <v>4</v>
      </c>
      <c r="U370" s="516"/>
      <c r="V370" s="516">
        <v>15</v>
      </c>
      <c r="W370" s="516" t="s">
        <v>35</v>
      </c>
      <c r="X370" s="517" t="s">
        <v>5</v>
      </c>
      <c r="Y370" s="724">
        <f>(S370*V370)*P370/1000</f>
        <v>15000</v>
      </c>
      <c r="Z370" s="1265">
        <f>P370*S370*V370</f>
        <v>15000000</v>
      </c>
      <c r="AA370" s="401"/>
      <c r="AB370" s="1091"/>
      <c r="AC370" s="1095"/>
      <c r="AD370" s="2553"/>
    </row>
    <row r="371" spans="1:30" s="2558" customFormat="1" ht="22.5" customHeight="1">
      <c r="A371" s="436"/>
      <c r="B371" s="402"/>
      <c r="C371" s="465"/>
      <c r="D371" s="495"/>
      <c r="E371" s="888" t="s">
        <v>16</v>
      </c>
      <c r="F371" s="403">
        <f t="shared" si="125"/>
        <v>270000</v>
      </c>
      <c r="G371" s="403">
        <v>270000</v>
      </c>
      <c r="H371" s="700"/>
      <c r="I371" s="409"/>
      <c r="J371" s="514" t="s">
        <v>194</v>
      </c>
      <c r="K371" s="2754"/>
      <c r="L371" s="2754"/>
      <c r="M371" s="2754"/>
      <c r="N371" s="2754"/>
      <c r="O371" s="2754"/>
      <c r="P371" s="2754"/>
      <c r="Q371" s="635"/>
      <c r="R371" s="1187"/>
      <c r="S371" s="1686"/>
      <c r="T371" s="516"/>
      <c r="U371" s="516"/>
      <c r="V371" s="516"/>
      <c r="W371" s="516"/>
      <c r="X371" s="517"/>
      <c r="Y371" s="724">
        <f>SUM(S372:S373:S374)/1000</f>
        <v>270000</v>
      </c>
      <c r="Z371" s="1265">
        <f>SUM(Z372:Z374)</f>
        <v>270000000</v>
      </c>
      <c r="AA371" s="401"/>
      <c r="AB371" s="1091"/>
      <c r="AC371" s="1095"/>
      <c r="AD371" s="2553"/>
    </row>
    <row r="372" spans="1:30" s="2558" customFormat="1" ht="22.5" customHeight="1">
      <c r="A372" s="436"/>
      <c r="B372" s="402"/>
      <c r="C372" s="465"/>
      <c r="D372" s="495"/>
      <c r="E372" s="888"/>
      <c r="F372" s="403"/>
      <c r="G372" s="403"/>
      <c r="H372" s="404"/>
      <c r="I372" s="409"/>
      <c r="J372" s="514" t="s">
        <v>4156</v>
      </c>
      <c r="K372" s="2754"/>
      <c r="L372" s="2754"/>
      <c r="M372" s="2754"/>
      <c r="N372" s="2754"/>
      <c r="O372" s="2754"/>
      <c r="P372" s="2754"/>
      <c r="Q372" s="635"/>
      <c r="R372" s="1187"/>
      <c r="S372" s="1686">
        <v>100000000</v>
      </c>
      <c r="T372" s="516" t="s">
        <v>4</v>
      </c>
      <c r="U372" s="516"/>
      <c r="V372" s="516">
        <v>1</v>
      </c>
      <c r="W372" s="516" t="s">
        <v>196</v>
      </c>
      <c r="X372" s="517" t="s">
        <v>5</v>
      </c>
      <c r="Y372" s="724">
        <v>100000</v>
      </c>
      <c r="Z372" s="1265">
        <v>100000000</v>
      </c>
      <c r="AA372" s="401"/>
      <c r="AB372" s="1091"/>
      <c r="AC372" s="1095"/>
      <c r="AD372" s="2553"/>
    </row>
    <row r="373" spans="1:30" s="2558" customFormat="1" ht="22.5" customHeight="1">
      <c r="A373" s="436"/>
      <c r="B373" s="402"/>
      <c r="C373" s="465"/>
      <c r="D373" s="495"/>
      <c r="E373" s="888"/>
      <c r="F373" s="403"/>
      <c r="G373" s="403"/>
      <c r="H373" s="404"/>
      <c r="I373" s="409"/>
      <c r="J373" s="3350" t="s">
        <v>4157</v>
      </c>
      <c r="K373" s="3351"/>
      <c r="L373" s="3351"/>
      <c r="M373" s="3351"/>
      <c r="N373" s="3351"/>
      <c r="O373" s="2754"/>
      <c r="P373" s="2754"/>
      <c r="Q373" s="635"/>
      <c r="R373" s="1187"/>
      <c r="S373" s="1686">
        <v>100000000</v>
      </c>
      <c r="T373" s="516" t="s">
        <v>4</v>
      </c>
      <c r="U373" s="516"/>
      <c r="V373" s="516">
        <v>1</v>
      </c>
      <c r="W373" s="516" t="s">
        <v>196</v>
      </c>
      <c r="X373" s="517" t="s">
        <v>5</v>
      </c>
      <c r="Y373" s="724">
        <f>S373/1000</f>
        <v>100000</v>
      </c>
      <c r="Z373" s="1265">
        <v>100000000</v>
      </c>
      <c r="AA373" s="401"/>
      <c r="AB373" s="1091"/>
      <c r="AC373" s="1095"/>
      <c r="AD373" s="2553"/>
    </row>
    <row r="374" spans="1:30" s="2558" customFormat="1" ht="22.5" customHeight="1">
      <c r="A374" s="436"/>
      <c r="B374" s="402"/>
      <c r="C374" s="465"/>
      <c r="D374" s="495"/>
      <c r="E374" s="888"/>
      <c r="F374" s="403"/>
      <c r="G374" s="403"/>
      <c r="H374" s="404"/>
      <c r="I374" s="409"/>
      <c r="J374" s="2755" t="s">
        <v>4158</v>
      </c>
      <c r="K374" s="2756"/>
      <c r="L374" s="2756"/>
      <c r="M374" s="2756"/>
      <c r="N374" s="2756"/>
      <c r="O374" s="2754"/>
      <c r="P374" s="2754"/>
      <c r="Q374" s="635"/>
      <c r="R374" s="1187"/>
      <c r="S374" s="1686">
        <v>70000000</v>
      </c>
      <c r="T374" s="516" t="s">
        <v>4</v>
      </c>
      <c r="U374" s="516"/>
      <c r="V374" s="516">
        <v>1</v>
      </c>
      <c r="W374" s="516" t="s">
        <v>576</v>
      </c>
      <c r="X374" s="517" t="s">
        <v>3701</v>
      </c>
      <c r="Y374" s="724">
        <f>S374/1000</f>
        <v>70000</v>
      </c>
      <c r="Z374" s="1265">
        <v>70000000</v>
      </c>
      <c r="AA374" s="401"/>
      <c r="AB374" s="1091"/>
      <c r="AC374" s="1095"/>
      <c r="AD374" s="2553"/>
    </row>
    <row r="375" spans="1:30" s="2558" customFormat="1" ht="22.5" customHeight="1">
      <c r="A375" s="436"/>
      <c r="B375" s="402"/>
      <c r="C375" s="465"/>
      <c r="D375" s="495"/>
      <c r="E375" s="888" t="s">
        <v>222</v>
      </c>
      <c r="F375" s="403">
        <f t="shared" ref="F375" si="128">Y375</f>
        <v>50000</v>
      </c>
      <c r="G375" s="403">
        <v>50000</v>
      </c>
      <c r="H375" s="700"/>
      <c r="I375" s="409"/>
      <c r="J375" s="514" t="s">
        <v>4819</v>
      </c>
      <c r="K375" s="2754"/>
      <c r="L375" s="2754"/>
      <c r="M375" s="2754"/>
      <c r="N375" s="2754"/>
      <c r="O375" s="2754"/>
      <c r="P375" s="2754"/>
      <c r="Q375" s="635"/>
      <c r="R375" s="1187"/>
      <c r="S375" s="1686">
        <v>50000000</v>
      </c>
      <c r="T375" s="516" t="s">
        <v>4</v>
      </c>
      <c r="U375" s="516"/>
      <c r="V375" s="516">
        <v>1</v>
      </c>
      <c r="W375" s="516" t="s">
        <v>196</v>
      </c>
      <c r="X375" s="517" t="s">
        <v>5</v>
      </c>
      <c r="Y375" s="724">
        <f>S375/1000</f>
        <v>50000</v>
      </c>
      <c r="Z375" s="1265">
        <f t="shared" ref="Z375" si="129">S375*V375</f>
        <v>50000000</v>
      </c>
      <c r="AA375" s="401"/>
      <c r="AB375" s="1091"/>
      <c r="AC375" s="1095"/>
      <c r="AD375" s="2553"/>
    </row>
    <row r="376" spans="1:30" s="2558" customFormat="1" ht="22.5" customHeight="1">
      <c r="A376" s="436"/>
      <c r="B376" s="402"/>
      <c r="C376" s="465"/>
      <c r="D376" s="495"/>
      <c r="E376" s="888" t="s">
        <v>17</v>
      </c>
      <c r="F376" s="403">
        <f t="shared" ref="F376:F377" si="130">Y376</f>
        <v>1000</v>
      </c>
      <c r="G376" s="403">
        <v>1000</v>
      </c>
      <c r="H376" s="700"/>
      <c r="I376" s="409"/>
      <c r="J376" s="514" t="s">
        <v>701</v>
      </c>
      <c r="K376" s="2754"/>
      <c r="L376" s="2754"/>
      <c r="M376" s="2754"/>
      <c r="N376" s="2754"/>
      <c r="O376" s="2754"/>
      <c r="P376" s="2754"/>
      <c r="Q376" s="635"/>
      <c r="R376" s="1187"/>
      <c r="S376" s="1686">
        <v>500000</v>
      </c>
      <c r="T376" s="516" t="s">
        <v>4</v>
      </c>
      <c r="U376" s="516"/>
      <c r="V376" s="516">
        <v>2</v>
      </c>
      <c r="W376" s="516" t="s">
        <v>35</v>
      </c>
      <c r="X376" s="517" t="s">
        <v>5</v>
      </c>
      <c r="Y376" s="724">
        <f>(S376*V376)/1000</f>
        <v>1000</v>
      </c>
      <c r="Z376" s="1265">
        <f t="shared" si="127"/>
        <v>1000000</v>
      </c>
      <c r="AA376" s="401"/>
      <c r="AB376" s="1091"/>
      <c r="AC376" s="1095"/>
      <c r="AD376" s="2553"/>
    </row>
    <row r="377" spans="1:30" s="2558" customFormat="1" ht="22.5" customHeight="1">
      <c r="A377" s="436"/>
      <c r="B377" s="402"/>
      <c r="C377" s="465"/>
      <c r="D377" s="1131"/>
      <c r="E377" s="888" t="s">
        <v>67</v>
      </c>
      <c r="F377" s="403">
        <f t="shared" si="130"/>
        <v>12500</v>
      </c>
      <c r="G377" s="403">
        <v>12500</v>
      </c>
      <c r="H377" s="700"/>
      <c r="I377" s="409"/>
      <c r="J377" s="514" t="s">
        <v>4818</v>
      </c>
      <c r="K377" s="2754"/>
      <c r="L377" s="2754"/>
      <c r="M377" s="2754"/>
      <c r="N377" s="2754"/>
      <c r="O377" s="2754"/>
      <c r="P377" s="2754"/>
      <c r="Q377" s="635"/>
      <c r="R377" s="1187"/>
      <c r="S377" s="1686">
        <v>2500000</v>
      </c>
      <c r="T377" s="516" t="s">
        <v>4</v>
      </c>
      <c r="U377" s="516"/>
      <c r="V377" s="516">
        <v>5</v>
      </c>
      <c r="W377" s="516" t="s">
        <v>35</v>
      </c>
      <c r="X377" s="517" t="s">
        <v>5</v>
      </c>
      <c r="Y377" s="724">
        <f>(S377*V377)/1000</f>
        <v>12500</v>
      </c>
      <c r="Z377" s="1265">
        <f t="shared" ref="Z377" si="131">S377*V377</f>
        <v>12500000</v>
      </c>
      <c r="AA377" s="401"/>
      <c r="AB377" s="1091"/>
      <c r="AC377" s="1095"/>
      <c r="AD377" s="2553"/>
    </row>
    <row r="378" spans="1:30" s="2558" customFormat="1" ht="22.5" customHeight="1">
      <c r="A378" s="436"/>
      <c r="B378" s="402"/>
      <c r="C378" s="465"/>
      <c r="D378" s="1131"/>
      <c r="E378" s="2771" t="s">
        <v>14</v>
      </c>
      <c r="F378" s="403">
        <f t="shared" ref="F378" si="132">Y378</f>
        <v>1500</v>
      </c>
      <c r="G378" s="403">
        <v>1500</v>
      </c>
      <c r="H378" s="700"/>
      <c r="I378" s="409"/>
      <c r="J378" s="1150" t="s">
        <v>4161</v>
      </c>
      <c r="K378" s="2410"/>
      <c r="L378" s="2410"/>
      <c r="M378" s="2410"/>
      <c r="N378" s="2410"/>
      <c r="O378" s="2410"/>
      <c r="P378" s="2410"/>
      <c r="Q378" s="722"/>
      <c r="R378" s="2772"/>
      <c r="S378" s="710">
        <v>100000</v>
      </c>
      <c r="T378" s="1151" t="s">
        <v>4</v>
      </c>
      <c r="U378" s="1151"/>
      <c r="V378" s="1151">
        <v>15</v>
      </c>
      <c r="W378" s="1151" t="s">
        <v>35</v>
      </c>
      <c r="X378" s="1152" t="s">
        <v>5</v>
      </c>
      <c r="Y378" s="2773">
        <f>(S378*V378)/1000</f>
        <v>1500</v>
      </c>
      <c r="Z378" s="1265">
        <f t="shared" si="127"/>
        <v>1500000</v>
      </c>
      <c r="AA378" s="401"/>
      <c r="AB378" s="1091"/>
      <c r="AC378" s="1095"/>
      <c r="AD378" s="2553"/>
    </row>
    <row r="379" spans="1:30" s="2558" customFormat="1" ht="22.5" customHeight="1">
      <c r="A379" s="436"/>
      <c r="B379" s="402"/>
      <c r="C379" s="465"/>
      <c r="D379" s="3539" t="s">
        <v>3904</v>
      </c>
      <c r="E379" s="3540"/>
      <c r="F379" s="599">
        <f>SUM(F380:F421)</f>
        <v>460000</v>
      </c>
      <c r="G379" s="599">
        <f>SUM(G380:G421)</f>
        <v>460000</v>
      </c>
      <c r="H379" s="468">
        <f>F379-G379</f>
        <v>0</v>
      </c>
      <c r="I379" s="409"/>
      <c r="J379" s="1135"/>
      <c r="K379" s="2753"/>
      <c r="L379" s="2753"/>
      <c r="M379" s="2753"/>
      <c r="N379" s="2753"/>
      <c r="O379" s="2753"/>
      <c r="P379" s="2753"/>
      <c r="Q379" s="1307"/>
      <c r="R379" s="1137"/>
      <c r="S379" s="399"/>
      <c r="T379" s="1136"/>
      <c r="U379" s="1136"/>
      <c r="V379" s="1136"/>
      <c r="W379" s="1136"/>
      <c r="X379" s="1138"/>
      <c r="Y379" s="431"/>
      <c r="Z379" s="1448"/>
      <c r="AA379" s="401"/>
      <c r="AB379" s="1091"/>
      <c r="AC379" s="1095"/>
      <c r="AD379" s="2553"/>
    </row>
    <row r="380" spans="1:30" s="2558" customFormat="1" ht="22.5" customHeight="1">
      <c r="A380" s="436"/>
      <c r="B380" s="402"/>
      <c r="C380" s="465"/>
      <c r="D380" s="1131"/>
      <c r="E380" s="888" t="s">
        <v>199</v>
      </c>
      <c r="F380" s="403">
        <f t="shared" ref="F380" si="133">Y380</f>
        <v>27000</v>
      </c>
      <c r="G380" s="1453">
        <v>27000</v>
      </c>
      <c r="H380" s="700"/>
      <c r="I380" s="409"/>
      <c r="J380" s="514" t="s">
        <v>194</v>
      </c>
      <c r="K380" s="2880"/>
      <c r="L380" s="2880"/>
      <c r="M380" s="2880"/>
      <c r="N380" s="2880"/>
      <c r="O380" s="2880"/>
      <c r="P380" s="1685"/>
      <c r="Q380" s="1685" t="s">
        <v>344</v>
      </c>
      <c r="R380" s="1187" t="s">
        <v>344</v>
      </c>
      <c r="S380" s="1686"/>
      <c r="T380" s="516"/>
      <c r="U380" s="516"/>
      <c r="V380" s="516"/>
      <c r="W380" s="516"/>
      <c r="X380" s="517"/>
      <c r="Y380" s="724">
        <f t="shared" ref="Y380:Y387" si="134">Z380/1000</f>
        <v>27000</v>
      </c>
      <c r="Z380" s="532">
        <f>SUM(Z381:Z382)</f>
        <v>27000000</v>
      </c>
      <c r="AA380" s="401"/>
      <c r="AB380" s="1091"/>
      <c r="AC380" s="1095"/>
      <c r="AD380" s="2553"/>
    </row>
    <row r="381" spans="1:30" s="2558" customFormat="1" ht="22.5" customHeight="1">
      <c r="A381" s="436"/>
      <c r="B381" s="402"/>
      <c r="C381" s="465"/>
      <c r="D381" s="1131"/>
      <c r="E381" s="510"/>
      <c r="F381" s="403"/>
      <c r="G381" s="1453"/>
      <c r="H381" s="404"/>
      <c r="I381" s="409"/>
      <c r="J381" s="514" t="s">
        <v>5968</v>
      </c>
      <c r="K381" s="2880"/>
      <c r="L381" s="2880"/>
      <c r="M381" s="2880"/>
      <c r="N381" s="2880"/>
      <c r="O381" s="2880"/>
      <c r="P381" s="1685"/>
      <c r="Q381" s="516"/>
      <c r="R381" s="2891"/>
      <c r="S381" s="516">
        <v>20000000</v>
      </c>
      <c r="T381" s="516" t="s">
        <v>264</v>
      </c>
      <c r="U381" s="516"/>
      <c r="V381" s="516">
        <v>1</v>
      </c>
      <c r="W381" s="516" t="s">
        <v>209</v>
      </c>
      <c r="X381" s="517" t="s">
        <v>20</v>
      </c>
      <c r="Y381" s="724">
        <f t="shared" si="134"/>
        <v>20000</v>
      </c>
      <c r="Z381" s="1265">
        <f>S381*V381</f>
        <v>20000000</v>
      </c>
      <c r="AA381" s="401"/>
      <c r="AB381" s="1091"/>
      <c r="AC381" s="1095"/>
      <c r="AD381" s="2553"/>
    </row>
    <row r="382" spans="1:30" s="2558" customFormat="1" ht="22.5" customHeight="1">
      <c r="A382" s="436"/>
      <c r="B382" s="402"/>
      <c r="C382" s="465"/>
      <c r="D382" s="1131"/>
      <c r="E382" s="510"/>
      <c r="F382" s="403"/>
      <c r="G382" s="1453"/>
      <c r="H382" s="404"/>
      <c r="I382" s="409"/>
      <c r="J382" s="514" t="s">
        <v>5969</v>
      </c>
      <c r="K382" s="2880"/>
      <c r="L382" s="2880"/>
      <c r="M382" s="2880"/>
      <c r="N382" s="2880"/>
      <c r="O382" s="2880"/>
      <c r="P382" s="1685"/>
      <c r="Q382" s="516"/>
      <c r="R382" s="2891"/>
      <c r="S382" s="516">
        <v>7000000</v>
      </c>
      <c r="T382" s="516" t="s">
        <v>264</v>
      </c>
      <c r="U382" s="516"/>
      <c r="V382" s="516">
        <v>1</v>
      </c>
      <c r="W382" s="516" t="s">
        <v>209</v>
      </c>
      <c r="X382" s="517" t="s">
        <v>20</v>
      </c>
      <c r="Y382" s="724">
        <f t="shared" si="134"/>
        <v>7000</v>
      </c>
      <c r="Z382" s="1265">
        <f>S382*V382</f>
        <v>7000000</v>
      </c>
      <c r="AA382" s="401"/>
      <c r="AB382" s="1091"/>
      <c r="AC382" s="1095"/>
      <c r="AD382" s="2553"/>
    </row>
    <row r="383" spans="1:30" s="2558" customFormat="1" ht="22.5" customHeight="1">
      <c r="A383" s="436"/>
      <c r="B383" s="402"/>
      <c r="C383" s="465"/>
      <c r="D383" s="1131"/>
      <c r="E383" s="888" t="s">
        <v>224</v>
      </c>
      <c r="F383" s="403">
        <f>Y383</f>
        <v>22800</v>
      </c>
      <c r="G383" s="1453">
        <v>22800</v>
      </c>
      <c r="H383" s="700"/>
      <c r="I383" s="409"/>
      <c r="J383" s="514" t="s">
        <v>4166</v>
      </c>
      <c r="K383" s="2880"/>
      <c r="L383" s="2880"/>
      <c r="M383" s="2880"/>
      <c r="N383" s="2880"/>
      <c r="O383" s="2880"/>
      <c r="P383" s="1685"/>
      <c r="Q383" s="1685"/>
      <c r="R383" s="1187"/>
      <c r="S383" s="1686"/>
      <c r="T383" s="516"/>
      <c r="U383" s="516"/>
      <c r="V383" s="516"/>
      <c r="W383" s="516"/>
      <c r="X383" s="517"/>
      <c r="Y383" s="724">
        <f t="shared" si="134"/>
        <v>22800</v>
      </c>
      <c r="Z383" s="532">
        <f>SUM(Z384:Z386)</f>
        <v>22800000</v>
      </c>
      <c r="AA383" s="401"/>
      <c r="AB383" s="1091"/>
      <c r="AC383" s="1095"/>
      <c r="AD383" s="2553"/>
    </row>
    <row r="384" spans="1:30" s="2558" customFormat="1" ht="22.5" customHeight="1">
      <c r="A384" s="436"/>
      <c r="B384" s="402"/>
      <c r="C384" s="465"/>
      <c r="D384" s="1131"/>
      <c r="E384" s="888"/>
      <c r="F384" s="403"/>
      <c r="G384" s="1453"/>
      <c r="H384" s="404"/>
      <c r="I384" s="409"/>
      <c r="J384" s="514" t="s">
        <v>5964</v>
      </c>
      <c r="K384" s="2880"/>
      <c r="L384" s="2880"/>
      <c r="M384" s="2880"/>
      <c r="N384" s="2880"/>
      <c r="O384" s="2880"/>
      <c r="P384" s="1685"/>
      <c r="Q384" s="1685" t="s">
        <v>344</v>
      </c>
      <c r="R384" s="1187" t="s">
        <v>344</v>
      </c>
      <c r="S384" s="1686">
        <v>1160000</v>
      </c>
      <c r="T384" s="516" t="s">
        <v>264</v>
      </c>
      <c r="U384" s="516"/>
      <c r="V384" s="516">
        <v>5</v>
      </c>
      <c r="W384" s="516" t="s">
        <v>196</v>
      </c>
      <c r="X384" s="517" t="s">
        <v>266</v>
      </c>
      <c r="Y384" s="724">
        <f t="shared" si="134"/>
        <v>5800</v>
      </c>
      <c r="Z384" s="1265">
        <f t="shared" ref="Z384" si="135">S384*V384</f>
        <v>5800000</v>
      </c>
      <c r="AA384" s="401"/>
      <c r="AB384" s="1091"/>
      <c r="AC384" s="1095"/>
      <c r="AD384" s="2553"/>
    </row>
    <row r="385" spans="1:30" s="2558" customFormat="1" ht="22.5" customHeight="1">
      <c r="A385" s="436"/>
      <c r="B385" s="402"/>
      <c r="C385" s="465"/>
      <c r="D385" s="1131"/>
      <c r="E385" s="888"/>
      <c r="F385" s="403"/>
      <c r="G385" s="1453"/>
      <c r="H385" s="404"/>
      <c r="I385" s="409"/>
      <c r="J385" s="514" t="s">
        <v>5965</v>
      </c>
      <c r="K385" s="2880"/>
      <c r="L385" s="2880"/>
      <c r="M385" s="2880"/>
      <c r="N385" s="2880"/>
      <c r="O385" s="2880"/>
      <c r="P385" s="1685"/>
      <c r="Q385" s="516"/>
      <c r="R385" s="2891"/>
      <c r="S385" s="516">
        <v>3000000</v>
      </c>
      <c r="T385" s="516" t="s">
        <v>264</v>
      </c>
      <c r="U385" s="516"/>
      <c r="V385" s="516">
        <v>4</v>
      </c>
      <c r="W385" s="516" t="s">
        <v>209</v>
      </c>
      <c r="X385" s="517" t="s">
        <v>20</v>
      </c>
      <c r="Y385" s="724">
        <f t="shared" si="134"/>
        <v>12000</v>
      </c>
      <c r="Z385" s="1265">
        <f>S385*V385</f>
        <v>12000000</v>
      </c>
      <c r="AA385" s="401"/>
      <c r="AB385" s="1091"/>
      <c r="AC385" s="1095"/>
      <c r="AD385" s="2553"/>
    </row>
    <row r="386" spans="1:30" s="2558" customFormat="1" ht="22.5" customHeight="1">
      <c r="A386" s="436"/>
      <c r="B386" s="402"/>
      <c r="C386" s="465"/>
      <c r="D386" s="1131"/>
      <c r="E386" s="888"/>
      <c r="F386" s="403"/>
      <c r="G386" s="1453"/>
      <c r="H386" s="404"/>
      <c r="I386" s="409"/>
      <c r="J386" s="514" t="s">
        <v>5966</v>
      </c>
      <c r="K386" s="2880"/>
      <c r="L386" s="2880"/>
      <c r="M386" s="2880"/>
      <c r="N386" s="2880"/>
      <c r="O386" s="2880"/>
      <c r="P386" s="1685"/>
      <c r="Q386" s="1685"/>
      <c r="R386" s="2891"/>
      <c r="S386" s="516">
        <v>5000000</v>
      </c>
      <c r="T386" s="516" t="s">
        <v>264</v>
      </c>
      <c r="U386" s="516"/>
      <c r="V386" s="516">
        <v>1</v>
      </c>
      <c r="W386" s="516" t="s">
        <v>209</v>
      </c>
      <c r="X386" s="517" t="s">
        <v>20</v>
      </c>
      <c r="Y386" s="724">
        <f t="shared" si="134"/>
        <v>5000</v>
      </c>
      <c r="Z386" s="1265">
        <f>S386*V386</f>
        <v>5000000</v>
      </c>
      <c r="AA386" s="401"/>
      <c r="AB386" s="1091"/>
      <c r="AC386" s="1095"/>
      <c r="AD386" s="2553"/>
    </row>
    <row r="387" spans="1:30" s="2558" customFormat="1" ht="22.5" customHeight="1">
      <c r="A387" s="436"/>
      <c r="B387" s="402"/>
      <c r="C387" s="465"/>
      <c r="D387" s="1131"/>
      <c r="E387" s="888" t="s">
        <v>195</v>
      </c>
      <c r="F387" s="403">
        <f t="shared" ref="F387" si="136">Y387</f>
        <v>18300</v>
      </c>
      <c r="G387" s="1453">
        <v>7500</v>
      </c>
      <c r="H387" s="700">
        <f>F387-G387</f>
        <v>10800</v>
      </c>
      <c r="I387" s="409"/>
      <c r="J387" s="514" t="s">
        <v>194</v>
      </c>
      <c r="K387" s="2880"/>
      <c r="L387" s="2880"/>
      <c r="M387" s="2880"/>
      <c r="N387" s="2880"/>
      <c r="O387" s="2880"/>
      <c r="P387" s="1685"/>
      <c r="Q387" s="1685" t="s">
        <v>344</v>
      </c>
      <c r="R387" s="1187" t="s">
        <v>344</v>
      </c>
      <c r="S387" s="1686"/>
      <c r="T387" s="516"/>
      <c r="U387" s="516"/>
      <c r="V387" s="516"/>
      <c r="W387" s="516"/>
      <c r="X387" s="517"/>
      <c r="Y387" s="724">
        <f t="shared" si="134"/>
        <v>18300</v>
      </c>
      <c r="Z387" s="1265">
        <f>Z388+Z389</f>
        <v>18300000</v>
      </c>
      <c r="AA387" s="401"/>
      <c r="AB387" s="1091"/>
      <c r="AC387" s="1095"/>
      <c r="AD387" s="2553"/>
    </row>
    <row r="388" spans="1:30" s="2558" customFormat="1" ht="22.5" customHeight="1">
      <c r="A388" s="436"/>
      <c r="B388" s="402"/>
      <c r="C388" s="465"/>
      <c r="D388" s="1131"/>
      <c r="E388" s="888"/>
      <c r="F388" s="403"/>
      <c r="G388" s="1453"/>
      <c r="H388" s="700"/>
      <c r="I388" s="409"/>
      <c r="J388" s="514" t="s">
        <v>5967</v>
      </c>
      <c r="K388" s="2880"/>
      <c r="L388" s="2880"/>
      <c r="M388" s="2880"/>
      <c r="N388" s="2880"/>
      <c r="O388" s="2880"/>
      <c r="P388" s="1685"/>
      <c r="Q388" s="1685"/>
      <c r="R388" s="1187"/>
      <c r="S388" s="1686">
        <v>25000</v>
      </c>
      <c r="T388" s="516" t="s">
        <v>264</v>
      </c>
      <c r="U388" s="516"/>
      <c r="V388" s="516">
        <v>300</v>
      </c>
      <c r="W388" s="516" t="s">
        <v>265</v>
      </c>
      <c r="X388" s="517" t="s">
        <v>266</v>
      </c>
      <c r="Y388" s="724">
        <f>Z388/1000</f>
        <v>7500</v>
      </c>
      <c r="Z388" s="637">
        <f>S388*V388</f>
        <v>7500000</v>
      </c>
      <c r="AA388" s="401"/>
      <c r="AB388" s="1091"/>
      <c r="AC388" s="1095"/>
      <c r="AD388" s="2553"/>
    </row>
    <row r="389" spans="1:30" s="2558" customFormat="1" ht="22.5" customHeight="1">
      <c r="A389" s="436"/>
      <c r="B389" s="402"/>
      <c r="C389" s="465"/>
      <c r="D389" s="1131"/>
      <c r="E389" s="888"/>
      <c r="F389" s="403"/>
      <c r="G389" s="1453"/>
      <c r="H389" s="700"/>
      <c r="I389" s="409"/>
      <c r="J389" s="514" t="s">
        <v>5839</v>
      </c>
      <c r="K389" s="2880"/>
      <c r="L389" s="2880"/>
      <c r="M389" s="2880"/>
      <c r="N389" s="2880"/>
      <c r="O389" s="2880"/>
      <c r="P389" s="1685"/>
      <c r="Q389" s="1685"/>
      <c r="R389" s="1187"/>
      <c r="S389" s="1685">
        <v>5400000</v>
      </c>
      <c r="T389" s="516" t="s">
        <v>264</v>
      </c>
      <c r="U389" s="1685"/>
      <c r="V389" s="1685">
        <v>2</v>
      </c>
      <c r="W389" s="1685" t="s">
        <v>367</v>
      </c>
      <c r="X389" s="517" t="s">
        <v>266</v>
      </c>
      <c r="Y389" s="1685">
        <f>Z389/1000</f>
        <v>10800</v>
      </c>
      <c r="Z389" s="637">
        <f>S389*V389</f>
        <v>10800000</v>
      </c>
      <c r="AA389" s="401"/>
      <c r="AB389" s="1091"/>
      <c r="AC389" s="1095"/>
      <c r="AD389" s="2553"/>
    </row>
    <row r="390" spans="1:30" s="2558" customFormat="1" ht="22.5" customHeight="1">
      <c r="A390" s="436"/>
      <c r="B390" s="402"/>
      <c r="C390" s="465"/>
      <c r="D390" s="1131"/>
      <c r="E390" s="888" t="s">
        <v>21</v>
      </c>
      <c r="F390" s="403">
        <f>Y390</f>
        <v>17000</v>
      </c>
      <c r="G390" s="1453">
        <v>17000</v>
      </c>
      <c r="H390" s="700"/>
      <c r="I390" s="409"/>
      <c r="J390" s="514" t="s">
        <v>4167</v>
      </c>
      <c r="K390" s="2880"/>
      <c r="L390" s="2880"/>
      <c r="M390" s="2880"/>
      <c r="N390" s="2880"/>
      <c r="O390" s="2880"/>
      <c r="P390" s="1685"/>
      <c r="Q390" s="1685" t="s">
        <v>344</v>
      </c>
      <c r="R390" s="1187" t="s">
        <v>344</v>
      </c>
      <c r="S390" s="1686">
        <v>17000000</v>
      </c>
      <c r="T390" s="516" t="s">
        <v>264</v>
      </c>
      <c r="U390" s="516"/>
      <c r="V390" s="516">
        <v>1</v>
      </c>
      <c r="W390" s="516" t="s">
        <v>196</v>
      </c>
      <c r="X390" s="517" t="s">
        <v>266</v>
      </c>
      <c r="Y390" s="724">
        <f t="shared" ref="Y390" si="137">Z390/1000</f>
        <v>17000</v>
      </c>
      <c r="Z390" s="1265">
        <f t="shared" ref="Z390" si="138">S390*V390</f>
        <v>17000000</v>
      </c>
      <c r="AA390" s="401"/>
      <c r="AB390" s="1091"/>
      <c r="AC390" s="1095"/>
      <c r="AD390" s="2553"/>
    </row>
    <row r="391" spans="1:30" s="2558" customFormat="1" ht="22.5" customHeight="1">
      <c r="A391" s="436"/>
      <c r="B391" s="402"/>
      <c r="C391" s="465"/>
      <c r="D391" s="1131"/>
      <c r="E391" s="888" t="s">
        <v>15</v>
      </c>
      <c r="F391" s="403">
        <f>Y391</f>
        <v>179000</v>
      </c>
      <c r="G391" s="1453">
        <v>189800</v>
      </c>
      <c r="H391" s="700">
        <f>F391-G391</f>
        <v>-10800</v>
      </c>
      <c r="I391" s="409"/>
      <c r="J391" s="514" t="s">
        <v>194</v>
      </c>
      <c r="K391" s="2765"/>
      <c r="L391" s="2765"/>
      <c r="M391" s="2765"/>
      <c r="N391" s="2765"/>
      <c r="O391" s="2765"/>
      <c r="P391" s="1685"/>
      <c r="Q391" s="1685" t="s">
        <v>344</v>
      </c>
      <c r="R391" s="1187" t="s">
        <v>344</v>
      </c>
      <c r="S391" s="1686"/>
      <c r="T391" s="516"/>
      <c r="U391" s="516"/>
      <c r="V391" s="516"/>
      <c r="W391" s="516"/>
      <c r="X391" s="517"/>
      <c r="Y391" s="724">
        <f t="shared" ref="Y391:Y421" si="139">Z391/1000</f>
        <v>179000</v>
      </c>
      <c r="Z391" s="532">
        <f>SUM(Z392:Z400)</f>
        <v>179000000</v>
      </c>
      <c r="AA391" s="401"/>
      <c r="AB391" s="1091"/>
      <c r="AC391" s="1095"/>
      <c r="AD391" s="2553"/>
    </row>
    <row r="392" spans="1:30" s="2558" customFormat="1" ht="22.5" customHeight="1">
      <c r="A392" s="436"/>
      <c r="B392" s="402"/>
      <c r="C392" s="465"/>
      <c r="D392" s="1131"/>
      <c r="E392" s="510"/>
      <c r="F392" s="403"/>
      <c r="G392" s="1453"/>
      <c r="H392" s="404"/>
      <c r="I392" s="409"/>
      <c r="J392" s="514" t="s">
        <v>5987</v>
      </c>
      <c r="K392" s="2765"/>
      <c r="L392" s="2765"/>
      <c r="M392" s="2765"/>
      <c r="N392" s="2765"/>
      <c r="O392" s="2765"/>
      <c r="P392" s="1685"/>
      <c r="Q392" s="516"/>
      <c r="R392" s="2767"/>
      <c r="S392" s="516">
        <v>250000</v>
      </c>
      <c r="T392" s="516" t="s">
        <v>3727</v>
      </c>
      <c r="U392" s="516"/>
      <c r="V392" s="516">
        <v>412</v>
      </c>
      <c r="W392" s="516" t="s">
        <v>4162</v>
      </c>
      <c r="X392" s="517" t="s">
        <v>4101</v>
      </c>
      <c r="Y392" s="724">
        <f t="shared" si="139"/>
        <v>103000</v>
      </c>
      <c r="Z392" s="1265">
        <f>S392*V392</f>
        <v>103000000</v>
      </c>
      <c r="AA392" s="401"/>
      <c r="AB392" s="1091"/>
      <c r="AC392" s="1095"/>
      <c r="AD392" s="2553"/>
    </row>
    <row r="393" spans="1:30" s="2558" customFormat="1" ht="22.5" customHeight="1">
      <c r="A393" s="436"/>
      <c r="B393" s="402"/>
      <c r="C393" s="465"/>
      <c r="D393" s="1131"/>
      <c r="E393" s="510"/>
      <c r="F393" s="403"/>
      <c r="G393" s="1453"/>
      <c r="H393" s="404"/>
      <c r="I393" s="409"/>
      <c r="J393" s="514" t="s">
        <v>5988</v>
      </c>
      <c r="K393" s="2765"/>
      <c r="L393" s="2765"/>
      <c r="M393" s="2765"/>
      <c r="N393" s="2765"/>
      <c r="O393" s="2765"/>
      <c r="P393" s="1685">
        <v>2</v>
      </c>
      <c r="Q393" s="1685" t="s">
        <v>4073</v>
      </c>
      <c r="R393" s="2767"/>
      <c r="S393" s="516">
        <v>300000</v>
      </c>
      <c r="T393" s="516" t="s">
        <v>3727</v>
      </c>
      <c r="U393" s="516"/>
      <c r="V393" s="516">
        <v>5</v>
      </c>
      <c r="W393" s="516" t="s">
        <v>4163</v>
      </c>
      <c r="X393" s="517" t="s">
        <v>4101</v>
      </c>
      <c r="Y393" s="724">
        <f t="shared" si="139"/>
        <v>3000</v>
      </c>
      <c r="Z393" s="1265">
        <f>S393*V393*P393</f>
        <v>3000000</v>
      </c>
      <c r="AA393" s="401"/>
      <c r="AB393" s="1091"/>
      <c r="AC393" s="1095"/>
      <c r="AD393" s="2553"/>
    </row>
    <row r="394" spans="1:30" s="2558" customFormat="1" ht="22.5" customHeight="1">
      <c r="A394" s="436"/>
      <c r="B394" s="402"/>
      <c r="C394" s="465"/>
      <c r="D394" s="1131"/>
      <c r="E394" s="510"/>
      <c r="F394" s="403"/>
      <c r="G394" s="1453"/>
      <c r="H394" s="404"/>
      <c r="I394" s="409"/>
      <c r="J394" s="514" t="s">
        <v>5989</v>
      </c>
      <c r="K394" s="2765"/>
      <c r="L394" s="2765"/>
      <c r="M394" s="2765"/>
      <c r="N394" s="2765"/>
      <c r="O394" s="2765"/>
      <c r="P394" s="1685"/>
      <c r="Q394" s="516"/>
      <c r="R394" s="2767"/>
      <c r="S394" s="516">
        <v>230000</v>
      </c>
      <c r="T394" s="516" t="s">
        <v>3727</v>
      </c>
      <c r="U394" s="516"/>
      <c r="V394" s="516">
        <v>200</v>
      </c>
      <c r="W394" s="516" t="s">
        <v>4162</v>
      </c>
      <c r="X394" s="517" t="s">
        <v>4101</v>
      </c>
      <c r="Y394" s="724">
        <f t="shared" si="139"/>
        <v>46000</v>
      </c>
      <c r="Z394" s="1265">
        <f>S394*V394</f>
        <v>46000000</v>
      </c>
      <c r="AA394" s="401"/>
      <c r="AB394" s="1091"/>
      <c r="AC394" s="1095"/>
      <c r="AD394" s="2553"/>
    </row>
    <row r="395" spans="1:30" s="2558" customFormat="1" ht="22.5" customHeight="1">
      <c r="A395" s="436"/>
      <c r="B395" s="402"/>
      <c r="C395" s="465"/>
      <c r="D395" s="1131"/>
      <c r="E395" s="510"/>
      <c r="F395" s="403"/>
      <c r="G395" s="1453"/>
      <c r="H395" s="404"/>
      <c r="I395" s="409"/>
      <c r="J395" s="514" t="s">
        <v>5990</v>
      </c>
      <c r="K395" s="2765"/>
      <c r="L395" s="2765"/>
      <c r="M395" s="2765"/>
      <c r="N395" s="2765"/>
      <c r="O395" s="2765"/>
      <c r="P395" s="1685"/>
      <c r="Q395" s="516"/>
      <c r="R395" s="2767"/>
      <c r="S395" s="516">
        <v>150000</v>
      </c>
      <c r="T395" s="516" t="s">
        <v>3727</v>
      </c>
      <c r="U395" s="516"/>
      <c r="V395" s="516">
        <v>20</v>
      </c>
      <c r="W395" s="516" t="s">
        <v>4162</v>
      </c>
      <c r="X395" s="517" t="s">
        <v>4101</v>
      </c>
      <c r="Y395" s="724">
        <f t="shared" si="139"/>
        <v>3000</v>
      </c>
      <c r="Z395" s="1265">
        <f>S395*V395</f>
        <v>3000000</v>
      </c>
      <c r="AA395" s="401"/>
      <c r="AB395" s="1091"/>
      <c r="AC395" s="1095"/>
      <c r="AD395" s="2553"/>
    </row>
    <row r="396" spans="1:30" s="2558" customFormat="1" ht="22.5" customHeight="1">
      <c r="A396" s="436"/>
      <c r="B396" s="402"/>
      <c r="C396" s="465"/>
      <c r="D396" s="1131"/>
      <c r="E396" s="510"/>
      <c r="F396" s="403"/>
      <c r="G396" s="1453"/>
      <c r="H396" s="404"/>
      <c r="I396" s="409"/>
      <c r="J396" s="514" t="s">
        <v>5991</v>
      </c>
      <c r="K396" s="2765"/>
      <c r="L396" s="2765"/>
      <c r="M396" s="2765"/>
      <c r="N396" s="2765"/>
      <c r="O396" s="2765"/>
      <c r="P396" s="1685"/>
      <c r="Q396" s="516"/>
      <c r="R396" s="2767"/>
      <c r="S396" s="516">
        <v>100000</v>
      </c>
      <c r="T396" s="516" t="s">
        <v>3727</v>
      </c>
      <c r="U396" s="516"/>
      <c r="V396" s="516">
        <v>15</v>
      </c>
      <c r="W396" s="516" t="s">
        <v>4162</v>
      </c>
      <c r="X396" s="517" t="s">
        <v>4101</v>
      </c>
      <c r="Y396" s="724">
        <f t="shared" si="139"/>
        <v>1500</v>
      </c>
      <c r="Z396" s="1265">
        <f>S396*V396</f>
        <v>1500000</v>
      </c>
      <c r="AA396" s="401"/>
      <c r="AB396" s="1091"/>
      <c r="AC396" s="1095"/>
      <c r="AD396" s="2553"/>
    </row>
    <row r="397" spans="1:30" s="2558" customFormat="1" ht="22.5" customHeight="1">
      <c r="A397" s="436"/>
      <c r="B397" s="402"/>
      <c r="C397" s="465"/>
      <c r="D397" s="1131"/>
      <c r="E397" s="510"/>
      <c r="F397" s="403"/>
      <c r="G397" s="1453"/>
      <c r="H397" s="404"/>
      <c r="I397" s="409"/>
      <c r="J397" s="514" t="s">
        <v>5992</v>
      </c>
      <c r="K397" s="2765"/>
      <c r="L397" s="2765"/>
      <c r="M397" s="2765"/>
      <c r="N397" s="2765"/>
      <c r="O397" s="2765"/>
      <c r="P397" s="1685"/>
      <c r="Q397" s="516"/>
      <c r="R397" s="2767"/>
      <c r="S397" s="516">
        <v>150000</v>
      </c>
      <c r="T397" s="516" t="s">
        <v>3727</v>
      </c>
      <c r="U397" s="516"/>
      <c r="V397" s="516">
        <v>20</v>
      </c>
      <c r="W397" s="516" t="s">
        <v>4162</v>
      </c>
      <c r="X397" s="517" t="s">
        <v>4101</v>
      </c>
      <c r="Y397" s="724">
        <f t="shared" si="139"/>
        <v>3000</v>
      </c>
      <c r="Z397" s="1265">
        <f>S397*V397</f>
        <v>3000000</v>
      </c>
      <c r="AA397" s="401"/>
      <c r="AB397" s="1091"/>
      <c r="AC397" s="1095"/>
      <c r="AD397" s="2553"/>
    </row>
    <row r="398" spans="1:30" s="2558" customFormat="1" ht="22.5" customHeight="1">
      <c r="A398" s="436"/>
      <c r="B398" s="402"/>
      <c r="C398" s="465"/>
      <c r="D398" s="1131"/>
      <c r="E398" s="510"/>
      <c r="F398" s="403"/>
      <c r="G398" s="1453"/>
      <c r="H398" s="404"/>
      <c r="I398" s="409"/>
      <c r="J398" s="514" t="s">
        <v>5993</v>
      </c>
      <c r="K398" s="2765"/>
      <c r="L398" s="2765"/>
      <c r="M398" s="2765"/>
      <c r="N398" s="2765"/>
      <c r="O398" s="2765"/>
      <c r="P398" s="1685"/>
      <c r="Q398" s="516"/>
      <c r="R398" s="2767"/>
      <c r="S398" s="516">
        <v>1000000</v>
      </c>
      <c r="T398" s="516" t="s">
        <v>3727</v>
      </c>
      <c r="U398" s="516"/>
      <c r="V398" s="516">
        <v>11</v>
      </c>
      <c r="W398" s="516" t="s">
        <v>4100</v>
      </c>
      <c r="X398" s="517" t="s">
        <v>4101</v>
      </c>
      <c r="Y398" s="724">
        <f t="shared" si="139"/>
        <v>11000</v>
      </c>
      <c r="Z398" s="1265">
        <f>S398*V398</f>
        <v>11000000</v>
      </c>
      <c r="AA398" s="401"/>
      <c r="AB398" s="1091"/>
      <c r="AC398" s="1095"/>
      <c r="AD398" s="2553"/>
    </row>
    <row r="399" spans="1:30" s="2558" customFormat="1" ht="22.5" customHeight="1">
      <c r="A399" s="436"/>
      <c r="B399" s="402"/>
      <c r="C399" s="465"/>
      <c r="D399" s="1131"/>
      <c r="E399" s="510"/>
      <c r="F399" s="403"/>
      <c r="G399" s="1453"/>
      <c r="H399" s="404"/>
      <c r="I399" s="409"/>
      <c r="J399" s="514" t="s">
        <v>5994</v>
      </c>
      <c r="K399" s="2765"/>
      <c r="L399" s="2765"/>
      <c r="M399" s="2765"/>
      <c r="N399" s="2765"/>
      <c r="O399" s="2765"/>
      <c r="P399" s="1685">
        <v>5</v>
      </c>
      <c r="Q399" s="1685" t="s">
        <v>4073</v>
      </c>
      <c r="R399" s="2767"/>
      <c r="S399" s="516">
        <v>300000</v>
      </c>
      <c r="T399" s="516" t="s">
        <v>3727</v>
      </c>
      <c r="U399" s="516"/>
      <c r="V399" s="516">
        <v>3</v>
      </c>
      <c r="W399" s="516" t="s">
        <v>4163</v>
      </c>
      <c r="X399" s="517" t="s">
        <v>4101</v>
      </c>
      <c r="Y399" s="724">
        <f t="shared" si="139"/>
        <v>4500</v>
      </c>
      <c r="Z399" s="1265">
        <f>S399*V399*P399</f>
        <v>4500000</v>
      </c>
      <c r="AA399" s="401"/>
      <c r="AB399" s="1091"/>
      <c r="AC399" s="1095"/>
      <c r="AD399" s="2553"/>
    </row>
    <row r="400" spans="1:30" s="2558" customFormat="1" ht="22.5" customHeight="1">
      <c r="A400" s="436"/>
      <c r="B400" s="402"/>
      <c r="C400" s="465"/>
      <c r="D400" s="1131"/>
      <c r="E400" s="510"/>
      <c r="F400" s="403"/>
      <c r="G400" s="1453"/>
      <c r="H400" s="404"/>
      <c r="I400" s="409"/>
      <c r="J400" s="514" t="s">
        <v>5995</v>
      </c>
      <c r="K400" s="2765"/>
      <c r="L400" s="2765"/>
      <c r="M400" s="2765"/>
      <c r="N400" s="2765"/>
      <c r="O400" s="2765"/>
      <c r="P400" s="1685"/>
      <c r="Q400" s="516"/>
      <c r="R400" s="2767"/>
      <c r="S400" s="516">
        <v>1000000</v>
      </c>
      <c r="T400" s="516" t="s">
        <v>3727</v>
      </c>
      <c r="U400" s="516"/>
      <c r="V400" s="516">
        <v>4</v>
      </c>
      <c r="W400" s="516" t="s">
        <v>4162</v>
      </c>
      <c r="X400" s="517" t="s">
        <v>4101</v>
      </c>
      <c r="Y400" s="724">
        <f t="shared" si="139"/>
        <v>4000</v>
      </c>
      <c r="Z400" s="1265">
        <f>S400*V400</f>
        <v>4000000</v>
      </c>
      <c r="AA400" s="401"/>
      <c r="AB400" s="1091"/>
      <c r="AC400" s="1095"/>
      <c r="AD400" s="2553"/>
    </row>
    <row r="401" spans="1:30" s="2558" customFormat="1" ht="22.5" customHeight="1">
      <c r="A401" s="436"/>
      <c r="B401" s="402"/>
      <c r="C401" s="465"/>
      <c r="D401" s="1131"/>
      <c r="E401" s="888" t="s">
        <v>3740</v>
      </c>
      <c r="F401" s="403">
        <f>Y401</f>
        <v>54000</v>
      </c>
      <c r="G401" s="1453">
        <v>54000</v>
      </c>
      <c r="H401" s="700"/>
      <c r="I401" s="409"/>
      <c r="J401" s="514" t="s">
        <v>3447</v>
      </c>
      <c r="K401" s="2765"/>
      <c r="L401" s="2765"/>
      <c r="M401" s="2765"/>
      <c r="N401" s="2765"/>
      <c r="O401" s="2765"/>
      <c r="P401" s="1685"/>
      <c r="Q401" s="1685" t="s">
        <v>4084</v>
      </c>
      <c r="R401" s="1187" t="s">
        <v>4084</v>
      </c>
      <c r="S401" s="1686"/>
      <c r="T401" s="516"/>
      <c r="U401" s="516"/>
      <c r="V401" s="516"/>
      <c r="W401" s="516"/>
      <c r="X401" s="517"/>
      <c r="Y401" s="724">
        <f t="shared" si="139"/>
        <v>54000</v>
      </c>
      <c r="Z401" s="532">
        <f>SUM(Z402:Z405)</f>
        <v>54000000</v>
      </c>
      <c r="AA401" s="401"/>
      <c r="AB401" s="1091"/>
      <c r="AC401" s="1095"/>
      <c r="AD401" s="2553"/>
    </row>
    <row r="402" spans="1:30" s="2558" customFormat="1" ht="22.5" customHeight="1">
      <c r="A402" s="436"/>
      <c r="B402" s="402"/>
      <c r="C402" s="465"/>
      <c r="D402" s="1131"/>
      <c r="E402" s="510"/>
      <c r="F402" s="403"/>
      <c r="G402" s="1453"/>
      <c r="H402" s="404"/>
      <c r="I402" s="409"/>
      <c r="J402" s="514" t="s">
        <v>5996</v>
      </c>
      <c r="K402" s="2765"/>
      <c r="L402" s="2765"/>
      <c r="M402" s="2765"/>
      <c r="N402" s="2765"/>
      <c r="O402" s="2765"/>
      <c r="P402" s="1685"/>
      <c r="Q402" s="516"/>
      <c r="R402" s="2767"/>
      <c r="S402" s="516">
        <v>2500000</v>
      </c>
      <c r="T402" s="516" t="s">
        <v>3727</v>
      </c>
      <c r="U402" s="516"/>
      <c r="V402" s="516">
        <v>2</v>
      </c>
      <c r="W402" s="516" t="s">
        <v>4100</v>
      </c>
      <c r="X402" s="517" t="s">
        <v>4101</v>
      </c>
      <c r="Y402" s="724">
        <f t="shared" si="139"/>
        <v>5000</v>
      </c>
      <c r="Z402" s="1265">
        <f>S402*V402</f>
        <v>5000000</v>
      </c>
      <c r="AA402" s="401"/>
      <c r="AB402" s="1091"/>
      <c r="AC402" s="1095"/>
      <c r="AD402" s="2553"/>
    </row>
    <row r="403" spans="1:30" s="2558" customFormat="1" ht="22.5" customHeight="1">
      <c r="A403" s="436"/>
      <c r="B403" s="402"/>
      <c r="C403" s="465"/>
      <c r="D403" s="1131"/>
      <c r="E403" s="510"/>
      <c r="F403" s="403"/>
      <c r="G403" s="1453"/>
      <c r="H403" s="404"/>
      <c r="I403" s="409"/>
      <c r="J403" s="514" t="s">
        <v>5997</v>
      </c>
      <c r="K403" s="2765"/>
      <c r="L403" s="2765"/>
      <c r="M403" s="2765"/>
      <c r="N403" s="2765"/>
      <c r="O403" s="2765"/>
      <c r="P403" s="1685"/>
      <c r="Q403" s="516"/>
      <c r="R403" s="2767"/>
      <c r="S403" s="516">
        <v>8000000</v>
      </c>
      <c r="T403" s="516" t="s">
        <v>3727</v>
      </c>
      <c r="U403" s="516"/>
      <c r="V403" s="516">
        <v>1</v>
      </c>
      <c r="W403" s="516" t="s">
        <v>4100</v>
      </c>
      <c r="X403" s="517" t="s">
        <v>4101</v>
      </c>
      <c r="Y403" s="724">
        <f t="shared" si="139"/>
        <v>8000</v>
      </c>
      <c r="Z403" s="1265">
        <f>S403*V403</f>
        <v>8000000</v>
      </c>
      <c r="AA403" s="401"/>
      <c r="AB403" s="1091"/>
      <c r="AC403" s="1095"/>
      <c r="AD403" s="2553"/>
    </row>
    <row r="404" spans="1:30" s="2558" customFormat="1" ht="22.5" customHeight="1">
      <c r="A404" s="436"/>
      <c r="B404" s="402"/>
      <c r="C404" s="465"/>
      <c r="D404" s="1131"/>
      <c r="E404" s="888"/>
      <c r="F404" s="403"/>
      <c r="G404" s="1453"/>
      <c r="H404" s="404"/>
      <c r="I404" s="409"/>
      <c r="J404" s="514" t="s">
        <v>5998</v>
      </c>
      <c r="K404" s="2765"/>
      <c r="L404" s="2765"/>
      <c r="M404" s="2765"/>
      <c r="N404" s="2765"/>
      <c r="O404" s="2765"/>
      <c r="P404" s="1685"/>
      <c r="Q404" s="516"/>
      <c r="R404" s="2767"/>
      <c r="S404" s="516">
        <v>25000000</v>
      </c>
      <c r="T404" s="516" t="s">
        <v>3727</v>
      </c>
      <c r="U404" s="516"/>
      <c r="V404" s="516">
        <v>1</v>
      </c>
      <c r="W404" s="516" t="s">
        <v>4100</v>
      </c>
      <c r="X404" s="517" t="s">
        <v>4101</v>
      </c>
      <c r="Y404" s="724">
        <f t="shared" si="139"/>
        <v>25000</v>
      </c>
      <c r="Z404" s="1265">
        <f>S404*V404</f>
        <v>25000000</v>
      </c>
      <c r="AA404" s="401"/>
      <c r="AB404" s="1091"/>
      <c r="AC404" s="1095"/>
      <c r="AD404" s="2553"/>
    </row>
    <row r="405" spans="1:30" s="2558" customFormat="1" ht="22.5" customHeight="1">
      <c r="A405" s="436"/>
      <c r="B405" s="402"/>
      <c r="C405" s="465"/>
      <c r="D405" s="1131"/>
      <c r="E405" s="888"/>
      <c r="F405" s="403"/>
      <c r="G405" s="403"/>
      <c r="H405" s="404"/>
      <c r="I405" s="409"/>
      <c r="J405" s="514" t="s">
        <v>5999</v>
      </c>
      <c r="K405" s="2765"/>
      <c r="L405" s="2765"/>
      <c r="M405" s="2765"/>
      <c r="N405" s="2765"/>
      <c r="O405" s="2765"/>
      <c r="P405" s="1685">
        <v>4</v>
      </c>
      <c r="Q405" s="1685" t="s">
        <v>4165</v>
      </c>
      <c r="R405" s="2767"/>
      <c r="S405" s="516">
        <v>500000</v>
      </c>
      <c r="T405" s="516" t="s">
        <v>3727</v>
      </c>
      <c r="U405" s="516"/>
      <c r="V405" s="516">
        <v>8</v>
      </c>
      <c r="W405" s="516" t="s">
        <v>4164</v>
      </c>
      <c r="X405" s="517" t="s">
        <v>4101</v>
      </c>
      <c r="Y405" s="724">
        <f t="shared" si="139"/>
        <v>16000</v>
      </c>
      <c r="Z405" s="1265">
        <f>S405*V405*P405</f>
        <v>16000000</v>
      </c>
      <c r="AA405" s="401"/>
      <c r="AB405" s="1091"/>
      <c r="AC405" s="1095"/>
      <c r="AD405" s="2553"/>
    </row>
    <row r="406" spans="1:30" s="2558" customFormat="1" ht="22.5" customHeight="1">
      <c r="A406" s="436"/>
      <c r="B406" s="402"/>
      <c r="C406" s="465"/>
      <c r="D406" s="1131"/>
      <c r="E406" s="888" t="s">
        <v>222</v>
      </c>
      <c r="F406" s="403">
        <f>Y406</f>
        <v>76000</v>
      </c>
      <c r="G406" s="1453">
        <v>76000</v>
      </c>
      <c r="H406" s="700"/>
      <c r="I406" s="409"/>
      <c r="J406" s="514" t="s">
        <v>194</v>
      </c>
      <c r="K406" s="2880"/>
      <c r="L406" s="2880"/>
      <c r="M406" s="2880"/>
      <c r="N406" s="2880"/>
      <c r="O406" s="2880"/>
      <c r="P406" s="1685"/>
      <c r="Q406" s="1685" t="s">
        <v>344</v>
      </c>
      <c r="R406" s="1187" t="s">
        <v>344</v>
      </c>
      <c r="S406" s="1686"/>
      <c r="T406" s="516"/>
      <c r="U406" s="516"/>
      <c r="V406" s="516"/>
      <c r="W406" s="516"/>
      <c r="X406" s="517"/>
      <c r="Y406" s="724">
        <f t="shared" ref="Y406:Y411" si="140">Z406/1000</f>
        <v>76000</v>
      </c>
      <c r="Z406" s="532">
        <f>SUM(Z407:Z411)</f>
        <v>76000000</v>
      </c>
      <c r="AA406" s="401"/>
      <c r="AB406" s="1091"/>
      <c r="AC406" s="1095"/>
      <c r="AD406" s="2553"/>
    </row>
    <row r="407" spans="1:30" s="2558" customFormat="1" ht="22.5" customHeight="1">
      <c r="A407" s="436"/>
      <c r="B407" s="402"/>
      <c r="C407" s="465"/>
      <c r="D407" s="1131"/>
      <c r="E407" s="510"/>
      <c r="F407" s="403"/>
      <c r="G407" s="1453"/>
      <c r="H407" s="404"/>
      <c r="I407" s="409"/>
      <c r="J407" s="514" t="s">
        <v>6000</v>
      </c>
      <c r="K407" s="2880"/>
      <c r="L407" s="2880"/>
      <c r="M407" s="2880"/>
      <c r="N407" s="2880"/>
      <c r="O407" s="2880"/>
      <c r="P407" s="1685"/>
      <c r="Q407" s="516"/>
      <c r="R407" s="2891"/>
      <c r="S407" s="516">
        <v>28000000</v>
      </c>
      <c r="T407" s="516" t="s">
        <v>264</v>
      </c>
      <c r="U407" s="516"/>
      <c r="V407" s="516">
        <v>1</v>
      </c>
      <c r="W407" s="516" t="s">
        <v>209</v>
      </c>
      <c r="X407" s="517" t="s">
        <v>20</v>
      </c>
      <c r="Y407" s="724">
        <f t="shared" si="140"/>
        <v>28000</v>
      </c>
      <c r="Z407" s="1265">
        <f t="shared" ref="Z407:Z408" si="141">S407*V407</f>
        <v>28000000</v>
      </c>
      <c r="AA407" s="401"/>
      <c r="AB407" s="1091"/>
      <c r="AC407" s="1095"/>
      <c r="AD407" s="2553"/>
    </row>
    <row r="408" spans="1:30" s="2558" customFormat="1" ht="22.5" customHeight="1">
      <c r="A408" s="436"/>
      <c r="B408" s="402"/>
      <c r="C408" s="465"/>
      <c r="D408" s="1131"/>
      <c r="E408" s="510"/>
      <c r="F408" s="403"/>
      <c r="G408" s="1453"/>
      <c r="H408" s="404"/>
      <c r="I408" s="409"/>
      <c r="J408" s="514" t="s">
        <v>6001</v>
      </c>
      <c r="K408" s="2880"/>
      <c r="L408" s="2880"/>
      <c r="M408" s="2880"/>
      <c r="N408" s="2880"/>
      <c r="O408" s="2880"/>
      <c r="P408" s="1685"/>
      <c r="Q408" s="516"/>
      <c r="R408" s="2891"/>
      <c r="S408" s="516">
        <v>1000000</v>
      </c>
      <c r="T408" s="516" t="s">
        <v>264</v>
      </c>
      <c r="U408" s="516"/>
      <c r="V408" s="516">
        <v>5</v>
      </c>
      <c r="W408" s="516" t="s">
        <v>209</v>
      </c>
      <c r="X408" s="517" t="s">
        <v>20</v>
      </c>
      <c r="Y408" s="724">
        <f t="shared" si="140"/>
        <v>5000</v>
      </c>
      <c r="Z408" s="1265">
        <f t="shared" si="141"/>
        <v>5000000</v>
      </c>
      <c r="AA408" s="401"/>
      <c r="AB408" s="1091"/>
      <c r="AC408" s="1095"/>
      <c r="AD408" s="2553"/>
    </row>
    <row r="409" spans="1:30" s="2558" customFormat="1" ht="22.5" customHeight="1">
      <c r="A409" s="436"/>
      <c r="B409" s="402"/>
      <c r="C409" s="465"/>
      <c r="D409" s="1131"/>
      <c r="E409" s="888"/>
      <c r="F409" s="403"/>
      <c r="G409" s="1453"/>
      <c r="H409" s="404"/>
      <c r="I409" s="409"/>
      <c r="J409" s="514" t="s">
        <v>6002</v>
      </c>
      <c r="K409" s="2880"/>
      <c r="L409" s="2880"/>
      <c r="M409" s="2880"/>
      <c r="N409" s="2880"/>
      <c r="O409" s="2880"/>
      <c r="P409" s="1685"/>
      <c r="Q409" s="516"/>
      <c r="R409" s="2891"/>
      <c r="S409" s="516">
        <v>2000000</v>
      </c>
      <c r="T409" s="516" t="s">
        <v>264</v>
      </c>
      <c r="U409" s="516"/>
      <c r="V409" s="516">
        <v>4</v>
      </c>
      <c r="W409" s="516" t="s">
        <v>209</v>
      </c>
      <c r="X409" s="517" t="s">
        <v>20</v>
      </c>
      <c r="Y409" s="724">
        <f t="shared" si="140"/>
        <v>8000</v>
      </c>
      <c r="Z409" s="1265">
        <f>S409*V409</f>
        <v>8000000</v>
      </c>
      <c r="AA409" s="401"/>
      <c r="AB409" s="1091"/>
      <c r="AC409" s="1095"/>
      <c r="AD409" s="2553"/>
    </row>
    <row r="410" spans="1:30" s="2558" customFormat="1" ht="22.5" customHeight="1">
      <c r="A410" s="436"/>
      <c r="B410" s="402"/>
      <c r="C410" s="465"/>
      <c r="D410" s="1131"/>
      <c r="E410" s="888"/>
      <c r="F410" s="403"/>
      <c r="G410" s="1453"/>
      <c r="H410" s="404"/>
      <c r="I410" s="409"/>
      <c r="J410" s="514" t="s">
        <v>6003</v>
      </c>
      <c r="K410" s="2880"/>
      <c r="L410" s="2880"/>
      <c r="M410" s="2880"/>
      <c r="N410" s="2880"/>
      <c r="O410" s="2880"/>
      <c r="P410" s="1685"/>
      <c r="Q410" s="516"/>
      <c r="R410" s="2891"/>
      <c r="S410" s="516">
        <v>15000000</v>
      </c>
      <c r="T410" s="516" t="s">
        <v>264</v>
      </c>
      <c r="U410" s="516"/>
      <c r="V410" s="516">
        <v>2</v>
      </c>
      <c r="W410" s="516" t="s">
        <v>209</v>
      </c>
      <c r="X410" s="517" t="s">
        <v>20</v>
      </c>
      <c r="Y410" s="724">
        <f t="shared" si="140"/>
        <v>30000</v>
      </c>
      <c r="Z410" s="1265">
        <f>S410*V410</f>
        <v>30000000</v>
      </c>
      <c r="AA410" s="401"/>
      <c r="AB410" s="1091"/>
      <c r="AC410" s="1095"/>
      <c r="AD410" s="2553"/>
    </row>
    <row r="411" spans="1:30" s="2558" customFormat="1" ht="22.5" customHeight="1">
      <c r="A411" s="436"/>
      <c r="B411" s="402"/>
      <c r="C411" s="465"/>
      <c r="D411" s="1131"/>
      <c r="E411" s="888"/>
      <c r="F411" s="403"/>
      <c r="G411" s="1453"/>
      <c r="H411" s="404"/>
      <c r="I411" s="409"/>
      <c r="J411" s="514" t="s">
        <v>6004</v>
      </c>
      <c r="K411" s="2880"/>
      <c r="L411" s="2880"/>
      <c r="M411" s="2880"/>
      <c r="N411" s="2880"/>
      <c r="O411" s="2880"/>
      <c r="P411" s="1685"/>
      <c r="Q411" s="516"/>
      <c r="R411" s="2891"/>
      <c r="S411" s="516">
        <v>500000</v>
      </c>
      <c r="T411" s="516" t="s">
        <v>264</v>
      </c>
      <c r="U411" s="516"/>
      <c r="V411" s="516">
        <v>10</v>
      </c>
      <c r="W411" s="516" t="s">
        <v>209</v>
      </c>
      <c r="X411" s="517" t="s">
        <v>20</v>
      </c>
      <c r="Y411" s="724">
        <f t="shared" si="140"/>
        <v>5000</v>
      </c>
      <c r="Z411" s="1265">
        <f>S411*V411</f>
        <v>5000000</v>
      </c>
      <c r="AA411" s="401"/>
      <c r="AB411" s="1091"/>
      <c r="AC411" s="1095"/>
      <c r="AD411" s="2553"/>
    </row>
    <row r="412" spans="1:30" s="2558" customFormat="1" ht="22.5" customHeight="1">
      <c r="A412" s="436"/>
      <c r="B412" s="402"/>
      <c r="C412" s="465"/>
      <c r="D412" s="1131"/>
      <c r="E412" s="888" t="s">
        <v>297</v>
      </c>
      <c r="F412" s="403">
        <f t="shared" ref="F412" si="142">Y412</f>
        <v>1000</v>
      </c>
      <c r="G412" s="1453">
        <v>1000</v>
      </c>
      <c r="H412" s="700"/>
      <c r="I412" s="409"/>
      <c r="J412" s="514" t="s">
        <v>4168</v>
      </c>
      <c r="K412" s="2880"/>
      <c r="L412" s="2880"/>
      <c r="M412" s="2880"/>
      <c r="N412" s="2880"/>
      <c r="O412" s="2880"/>
      <c r="P412" s="1685"/>
      <c r="Q412" s="1685" t="s">
        <v>344</v>
      </c>
      <c r="R412" s="1187" t="s">
        <v>344</v>
      </c>
      <c r="S412" s="1686">
        <v>5000</v>
      </c>
      <c r="T412" s="516" t="s">
        <v>264</v>
      </c>
      <c r="U412" s="516"/>
      <c r="V412" s="516">
        <v>200</v>
      </c>
      <c r="W412" s="516" t="s">
        <v>265</v>
      </c>
      <c r="X412" s="517" t="s">
        <v>266</v>
      </c>
      <c r="Y412" s="724">
        <f t="shared" ref="Y412" si="143">Z412/1000</f>
        <v>1000</v>
      </c>
      <c r="Z412" s="1265">
        <f>S412*V412</f>
        <v>1000000</v>
      </c>
      <c r="AA412" s="401"/>
      <c r="AB412" s="1091"/>
      <c r="AC412" s="1095"/>
      <c r="AD412" s="2553"/>
    </row>
    <row r="413" spans="1:30" s="2558" customFormat="1" ht="22.5" customHeight="1">
      <c r="A413" s="436"/>
      <c r="B413" s="402"/>
      <c r="C413" s="465"/>
      <c r="D413" s="1131"/>
      <c r="E413" s="888" t="s">
        <v>602</v>
      </c>
      <c r="F413" s="403">
        <f>Y413</f>
        <v>58500</v>
      </c>
      <c r="G413" s="1453">
        <v>58500</v>
      </c>
      <c r="H413" s="700"/>
      <c r="I413" s="409"/>
      <c r="J413" s="514" t="s">
        <v>194</v>
      </c>
      <c r="K413" s="2880"/>
      <c r="L413" s="2880"/>
      <c r="M413" s="2880"/>
      <c r="N413" s="2880"/>
      <c r="O413" s="2880"/>
      <c r="P413" s="1685"/>
      <c r="Q413" s="1685" t="s">
        <v>344</v>
      </c>
      <c r="R413" s="1187" t="s">
        <v>344</v>
      </c>
      <c r="S413" s="1686"/>
      <c r="T413" s="516"/>
      <c r="U413" s="516"/>
      <c r="V413" s="516"/>
      <c r="W413" s="516"/>
      <c r="X413" s="517"/>
      <c r="Y413" s="724">
        <f t="shared" ref="Y413:Y420" si="144">Z413/1000</f>
        <v>58500</v>
      </c>
      <c r="Z413" s="532">
        <f>SUM(Z414:Z420)</f>
        <v>58500000</v>
      </c>
      <c r="AA413" s="401"/>
      <c r="AB413" s="1091"/>
      <c r="AC413" s="1095"/>
      <c r="AD413" s="2553"/>
    </row>
    <row r="414" spans="1:30" s="2558" customFormat="1" ht="22.5" customHeight="1">
      <c r="A414" s="436"/>
      <c r="B414" s="402"/>
      <c r="C414" s="465"/>
      <c r="D414" s="1131"/>
      <c r="E414" s="510"/>
      <c r="F414" s="403"/>
      <c r="G414" s="1453"/>
      <c r="H414" s="404"/>
      <c r="I414" s="409"/>
      <c r="J414" s="514" t="s">
        <v>6005</v>
      </c>
      <c r="K414" s="2880"/>
      <c r="L414" s="2880"/>
      <c r="M414" s="2880"/>
      <c r="N414" s="2880"/>
      <c r="O414" s="2880"/>
      <c r="P414" s="1685"/>
      <c r="Q414" s="516"/>
      <c r="R414" s="2891"/>
      <c r="S414" s="516">
        <v>1000000</v>
      </c>
      <c r="T414" s="516" t="s">
        <v>264</v>
      </c>
      <c r="U414" s="516"/>
      <c r="V414" s="516">
        <v>5</v>
      </c>
      <c r="W414" s="516" t="s">
        <v>209</v>
      </c>
      <c r="X414" s="517" t="s">
        <v>20</v>
      </c>
      <c r="Y414" s="724">
        <f t="shared" si="144"/>
        <v>5000</v>
      </c>
      <c r="Z414" s="1265">
        <f>S414*V414</f>
        <v>5000000</v>
      </c>
      <c r="AA414" s="401"/>
      <c r="AB414" s="1091"/>
      <c r="AC414" s="1095"/>
      <c r="AD414" s="2553"/>
    </row>
    <row r="415" spans="1:30" s="2558" customFormat="1" ht="22.5" customHeight="1">
      <c r="A415" s="436"/>
      <c r="B415" s="402"/>
      <c r="C415" s="465"/>
      <c r="D415" s="1131"/>
      <c r="E415" s="510"/>
      <c r="F415" s="403"/>
      <c r="G415" s="1453"/>
      <c r="H415" s="404"/>
      <c r="I415" s="409"/>
      <c r="J415" s="514" t="s">
        <v>6006</v>
      </c>
      <c r="K415" s="2880"/>
      <c r="L415" s="2880"/>
      <c r="M415" s="2880"/>
      <c r="N415" s="2880"/>
      <c r="O415" s="2880"/>
      <c r="P415" s="1685"/>
      <c r="Q415" s="516"/>
      <c r="R415" s="2891"/>
      <c r="S415" s="516">
        <v>1000000</v>
      </c>
      <c r="T415" s="516" t="s">
        <v>264</v>
      </c>
      <c r="U415" s="516"/>
      <c r="V415" s="516">
        <v>2</v>
      </c>
      <c r="W415" s="516" t="s">
        <v>209</v>
      </c>
      <c r="X415" s="517" t="s">
        <v>20</v>
      </c>
      <c r="Y415" s="724">
        <f t="shared" si="144"/>
        <v>2000</v>
      </c>
      <c r="Z415" s="1265">
        <f>S415*V415</f>
        <v>2000000</v>
      </c>
      <c r="AA415" s="401"/>
      <c r="AB415" s="1091"/>
      <c r="AC415" s="1095"/>
      <c r="AD415" s="2553"/>
    </row>
    <row r="416" spans="1:30" s="2558" customFormat="1" ht="22.5" customHeight="1">
      <c r="A416" s="436"/>
      <c r="B416" s="402"/>
      <c r="C416" s="465"/>
      <c r="D416" s="1131"/>
      <c r="E416" s="510"/>
      <c r="F416" s="403"/>
      <c r="G416" s="1453"/>
      <c r="H416" s="404"/>
      <c r="I416" s="409"/>
      <c r="J416" s="514" t="s">
        <v>6007</v>
      </c>
      <c r="K416" s="2880"/>
      <c r="L416" s="2880"/>
      <c r="M416" s="2880"/>
      <c r="N416" s="2880"/>
      <c r="O416" s="2880"/>
      <c r="P416" s="1685"/>
      <c r="Q416" s="516"/>
      <c r="R416" s="2891"/>
      <c r="S416" s="516">
        <v>150000</v>
      </c>
      <c r="T416" s="516" t="s">
        <v>264</v>
      </c>
      <c r="U416" s="516"/>
      <c r="V416" s="516">
        <v>10</v>
      </c>
      <c r="W416" s="516" t="s">
        <v>2850</v>
      </c>
      <c r="X416" s="517" t="s">
        <v>20</v>
      </c>
      <c r="Y416" s="724">
        <f t="shared" si="144"/>
        <v>1500</v>
      </c>
      <c r="Z416" s="1265">
        <f>S416*V416</f>
        <v>1500000</v>
      </c>
      <c r="AA416" s="401"/>
      <c r="AB416" s="1091"/>
      <c r="AC416" s="1095"/>
      <c r="AD416" s="2553"/>
    </row>
    <row r="417" spans="1:30" s="2558" customFormat="1" ht="22.5" customHeight="1">
      <c r="A417" s="436"/>
      <c r="B417" s="402"/>
      <c r="C417" s="465"/>
      <c r="D417" s="1131"/>
      <c r="E417" s="510"/>
      <c r="F417" s="403"/>
      <c r="G417" s="1453"/>
      <c r="H417" s="404"/>
      <c r="I417" s="409"/>
      <c r="J417" s="514" t="s">
        <v>6008</v>
      </c>
      <c r="K417" s="2880"/>
      <c r="L417" s="2880"/>
      <c r="M417" s="2880"/>
      <c r="N417" s="2880"/>
      <c r="O417" s="2880"/>
      <c r="P417" s="1685"/>
      <c r="Q417" s="516"/>
      <c r="R417" s="2891"/>
      <c r="S417" s="516">
        <v>200000</v>
      </c>
      <c r="T417" s="516" t="s">
        <v>264</v>
      </c>
      <c r="U417" s="516"/>
      <c r="V417" s="516">
        <v>30</v>
      </c>
      <c r="W417" s="516" t="s">
        <v>209</v>
      </c>
      <c r="X417" s="517" t="s">
        <v>20</v>
      </c>
      <c r="Y417" s="724">
        <f t="shared" si="144"/>
        <v>6000</v>
      </c>
      <c r="Z417" s="1265">
        <f>S417*V417</f>
        <v>6000000</v>
      </c>
      <c r="AA417" s="401"/>
      <c r="AB417" s="1091"/>
      <c r="AC417" s="1095"/>
      <c r="AD417" s="2553"/>
    </row>
    <row r="418" spans="1:30" s="2558" customFormat="1" ht="22.5" customHeight="1">
      <c r="A418" s="436"/>
      <c r="B418" s="402"/>
      <c r="C418" s="465"/>
      <c r="D418" s="1131"/>
      <c r="E418" s="888"/>
      <c r="F418" s="403"/>
      <c r="G418" s="1453"/>
      <c r="H418" s="404"/>
      <c r="I418" s="409"/>
      <c r="J418" s="514" t="s">
        <v>6009</v>
      </c>
      <c r="K418" s="2880"/>
      <c r="L418" s="2880"/>
      <c r="M418" s="2880"/>
      <c r="N418" s="2880"/>
      <c r="O418" s="2880"/>
      <c r="P418" s="1685"/>
      <c r="Q418" s="516"/>
      <c r="R418" s="2891"/>
      <c r="S418" s="516">
        <v>40000000</v>
      </c>
      <c r="T418" s="516" t="s">
        <v>264</v>
      </c>
      <c r="U418" s="516"/>
      <c r="V418" s="516">
        <v>1</v>
      </c>
      <c r="W418" s="516" t="s">
        <v>209</v>
      </c>
      <c r="X418" s="517" t="s">
        <v>20</v>
      </c>
      <c r="Y418" s="724">
        <f t="shared" si="144"/>
        <v>40000</v>
      </c>
      <c r="Z418" s="1265">
        <f t="shared" ref="Z418:Z420" si="145">S418*V418</f>
        <v>40000000</v>
      </c>
      <c r="AA418" s="401"/>
      <c r="AB418" s="1091"/>
      <c r="AC418" s="1095"/>
      <c r="AD418" s="2553"/>
    </row>
    <row r="419" spans="1:30" s="2558" customFormat="1" ht="22.5" customHeight="1">
      <c r="A419" s="436"/>
      <c r="B419" s="402"/>
      <c r="C419" s="465"/>
      <c r="D419" s="509"/>
      <c r="E419" s="888"/>
      <c r="F419" s="873"/>
      <c r="G419" s="1761"/>
      <c r="H419" s="700"/>
      <c r="I419" s="1333"/>
      <c r="J419" s="514" t="s">
        <v>6010</v>
      </c>
      <c r="K419" s="2880"/>
      <c r="L419" s="2880"/>
      <c r="M419" s="2880"/>
      <c r="N419" s="2880"/>
      <c r="O419" s="2880"/>
      <c r="P419" s="1685"/>
      <c r="Q419" s="516"/>
      <c r="R419" s="2891"/>
      <c r="S419" s="516">
        <v>2000000</v>
      </c>
      <c r="T419" s="516" t="s">
        <v>264</v>
      </c>
      <c r="U419" s="516"/>
      <c r="V419" s="516">
        <v>1</v>
      </c>
      <c r="W419" s="516" t="s">
        <v>209</v>
      </c>
      <c r="X419" s="517" t="s">
        <v>20</v>
      </c>
      <c r="Y419" s="724">
        <f t="shared" si="144"/>
        <v>2000</v>
      </c>
      <c r="Z419" s="1265">
        <f t="shared" si="145"/>
        <v>2000000</v>
      </c>
      <c r="AA419" s="401"/>
      <c r="AB419" s="1091"/>
      <c r="AC419" s="1095"/>
      <c r="AD419" s="2553"/>
    </row>
    <row r="420" spans="1:30" s="2558" customFormat="1" ht="22.5" customHeight="1">
      <c r="A420" s="436"/>
      <c r="B420" s="402"/>
      <c r="C420" s="465"/>
      <c r="D420" s="509"/>
      <c r="E420" s="888"/>
      <c r="F420" s="873"/>
      <c r="G420" s="1761"/>
      <c r="H420" s="700"/>
      <c r="I420" s="1333"/>
      <c r="J420" s="514" t="s">
        <v>6011</v>
      </c>
      <c r="K420" s="2880"/>
      <c r="L420" s="2880"/>
      <c r="M420" s="2880"/>
      <c r="N420" s="2880"/>
      <c r="O420" s="2880"/>
      <c r="P420" s="1685"/>
      <c r="Q420" s="516"/>
      <c r="R420" s="2891"/>
      <c r="S420" s="516">
        <v>50000</v>
      </c>
      <c r="T420" s="516" t="s">
        <v>264</v>
      </c>
      <c r="U420" s="516"/>
      <c r="V420" s="516">
        <v>40</v>
      </c>
      <c r="W420" s="516" t="s">
        <v>217</v>
      </c>
      <c r="X420" s="517" t="s">
        <v>20</v>
      </c>
      <c r="Y420" s="724">
        <f t="shared" si="144"/>
        <v>2000</v>
      </c>
      <c r="Z420" s="1265">
        <f t="shared" si="145"/>
        <v>2000000</v>
      </c>
      <c r="AA420" s="401"/>
      <c r="AB420" s="1091"/>
      <c r="AC420" s="1095"/>
      <c r="AD420" s="2553"/>
    </row>
    <row r="421" spans="1:30" s="2558" customFormat="1" ht="22.5" customHeight="1">
      <c r="A421" s="436"/>
      <c r="B421" s="402"/>
      <c r="C421" s="465"/>
      <c r="D421" s="509"/>
      <c r="E421" s="888" t="s">
        <v>271</v>
      </c>
      <c r="F421" s="873">
        <f t="shared" ref="F421" si="146">Y421</f>
        <v>6400</v>
      </c>
      <c r="G421" s="1761">
        <v>6400</v>
      </c>
      <c r="H421" s="700"/>
      <c r="I421" s="1333"/>
      <c r="J421" s="514" t="s">
        <v>4151</v>
      </c>
      <c r="K421" s="2880"/>
      <c r="L421" s="2880"/>
      <c r="M421" s="2880"/>
      <c r="N421" s="2880"/>
      <c r="O421" s="2880"/>
      <c r="P421" s="1685"/>
      <c r="Q421" s="1685" t="s">
        <v>344</v>
      </c>
      <c r="R421" s="1187" t="s">
        <v>344</v>
      </c>
      <c r="S421" s="1686">
        <v>50000</v>
      </c>
      <c r="T421" s="516" t="s">
        <v>264</v>
      </c>
      <c r="U421" s="516"/>
      <c r="V421" s="516">
        <v>128</v>
      </c>
      <c r="W421" s="516" t="s">
        <v>265</v>
      </c>
      <c r="X421" s="517" t="s">
        <v>266</v>
      </c>
      <c r="Y421" s="724">
        <f t="shared" si="139"/>
        <v>6400</v>
      </c>
      <c r="Z421" s="1265">
        <f t="shared" ref="Z421" si="147">S421*V421</f>
        <v>6400000</v>
      </c>
      <c r="AA421" s="401"/>
      <c r="AB421" s="1091"/>
      <c r="AC421" s="1095"/>
      <c r="AD421" s="2553"/>
    </row>
    <row r="422" spans="1:30" s="2558" customFormat="1" ht="24.4" customHeight="1">
      <c r="A422" s="436"/>
      <c r="B422" s="402"/>
      <c r="C422" s="465"/>
      <c r="D422" s="3541" t="s">
        <v>4169</v>
      </c>
      <c r="E422" s="3541"/>
      <c r="F422" s="880">
        <f>SUM(F423:F483)</f>
        <v>1780000</v>
      </c>
      <c r="G422" s="880">
        <f>SUM(G423:G483)</f>
        <v>1780000</v>
      </c>
      <c r="H422" s="2478">
        <f>F422-G422</f>
        <v>0</v>
      </c>
      <c r="I422" s="1333"/>
      <c r="J422" s="889"/>
      <c r="K422" s="2912"/>
      <c r="L422" s="2912"/>
      <c r="M422" s="2912"/>
      <c r="N422" s="2912"/>
      <c r="O422" s="2912"/>
      <c r="P422" s="2912"/>
      <c r="Q422" s="1230"/>
      <c r="R422" s="1120"/>
      <c r="S422" s="718"/>
      <c r="T422" s="732"/>
      <c r="U422" s="732"/>
      <c r="V422" s="732"/>
      <c r="W422" s="732"/>
      <c r="X422" s="891"/>
      <c r="Y422" s="2996"/>
      <c r="Z422" s="3074"/>
      <c r="AA422" s="401"/>
      <c r="AB422" s="1091"/>
      <c r="AC422" s="1095"/>
      <c r="AD422" s="2553"/>
    </row>
    <row r="423" spans="1:30" s="2558" customFormat="1" ht="24.4" customHeight="1">
      <c r="A423" s="436"/>
      <c r="B423" s="402"/>
      <c r="C423" s="465"/>
      <c r="D423" s="2998"/>
      <c r="E423" s="726" t="s">
        <v>59</v>
      </c>
      <c r="F423" s="873">
        <f t="shared" ref="F423:F426" si="148">Y423</f>
        <v>450000</v>
      </c>
      <c r="G423" s="873">
        <v>450000</v>
      </c>
      <c r="H423" s="700"/>
      <c r="I423" s="1333"/>
      <c r="J423" s="514" t="s">
        <v>4185</v>
      </c>
      <c r="K423" s="2880"/>
      <c r="L423" s="2880"/>
      <c r="M423" s="2880"/>
      <c r="N423" s="2880"/>
      <c r="O423" s="2880"/>
      <c r="P423" s="2880"/>
      <c r="Q423" s="727">
        <v>15</v>
      </c>
      <c r="R423" s="2887" t="s">
        <v>33</v>
      </c>
      <c r="S423" s="1686">
        <v>2500000</v>
      </c>
      <c r="T423" s="516" t="s">
        <v>264</v>
      </c>
      <c r="U423" s="516"/>
      <c r="V423" s="516">
        <v>12</v>
      </c>
      <c r="W423" s="516" t="s">
        <v>200</v>
      </c>
      <c r="X423" s="517" t="s">
        <v>266</v>
      </c>
      <c r="Y423" s="724">
        <f>Z423/1000</f>
        <v>450000</v>
      </c>
      <c r="Z423" s="532">
        <f>Q423*S423*V423</f>
        <v>450000000</v>
      </c>
      <c r="AA423" s="401"/>
      <c r="AB423" s="1091"/>
      <c r="AC423" s="1095"/>
      <c r="AD423" s="2553"/>
    </row>
    <row r="424" spans="1:30" s="2558" customFormat="1" ht="24.4" customHeight="1">
      <c r="A424" s="436"/>
      <c r="B424" s="402"/>
      <c r="C424" s="465"/>
      <c r="D424" s="2998"/>
      <c r="E424" s="508" t="s">
        <v>5768</v>
      </c>
      <c r="F424" s="873">
        <f t="shared" si="148"/>
        <v>1000</v>
      </c>
      <c r="G424" s="873">
        <v>0</v>
      </c>
      <c r="H424" s="700"/>
      <c r="I424" s="1333"/>
      <c r="J424" s="514" t="s">
        <v>5776</v>
      </c>
      <c r="K424" s="2880"/>
      <c r="L424" s="2880"/>
      <c r="M424" s="2880"/>
      <c r="N424" s="2880"/>
      <c r="O424" s="2880"/>
      <c r="P424" s="2880"/>
      <c r="Q424" s="727"/>
      <c r="R424" s="2891"/>
      <c r="S424" s="516">
        <v>100000</v>
      </c>
      <c r="T424" s="516" t="s">
        <v>264</v>
      </c>
      <c r="U424" s="516"/>
      <c r="V424" s="516">
        <v>10</v>
      </c>
      <c r="W424" s="516" t="s">
        <v>265</v>
      </c>
      <c r="X424" s="517" t="s">
        <v>266</v>
      </c>
      <c r="Y424" s="724">
        <f>Z424/1000</f>
        <v>1000</v>
      </c>
      <c r="Z424" s="532">
        <f>S424*V424</f>
        <v>1000000</v>
      </c>
      <c r="AA424" s="401"/>
      <c r="AB424" s="1091"/>
      <c r="AC424" s="1095"/>
      <c r="AD424" s="2553"/>
    </row>
    <row r="425" spans="1:30" s="2558" customFormat="1" ht="24.4" customHeight="1">
      <c r="A425" s="436"/>
      <c r="B425" s="402"/>
      <c r="C425" s="465"/>
      <c r="D425" s="2998"/>
      <c r="E425" s="510" t="s">
        <v>369</v>
      </c>
      <c r="F425" s="873">
        <f t="shared" si="148"/>
        <v>1000</v>
      </c>
      <c r="G425" s="873">
        <v>1000</v>
      </c>
      <c r="H425" s="700"/>
      <c r="I425" s="1333"/>
      <c r="J425" s="514" t="s">
        <v>4170</v>
      </c>
      <c r="K425" s="2880"/>
      <c r="L425" s="2880"/>
      <c r="M425" s="2880"/>
      <c r="N425" s="2880"/>
      <c r="O425" s="2880"/>
      <c r="P425" s="2880"/>
      <c r="Q425" s="727"/>
      <c r="R425" s="2891"/>
      <c r="S425" s="516">
        <v>100000</v>
      </c>
      <c r="T425" s="516" t="s">
        <v>264</v>
      </c>
      <c r="U425" s="516"/>
      <c r="V425" s="516">
        <v>10</v>
      </c>
      <c r="W425" s="516" t="s">
        <v>265</v>
      </c>
      <c r="X425" s="517" t="s">
        <v>266</v>
      </c>
      <c r="Y425" s="724">
        <f>Z425/1000</f>
        <v>1000</v>
      </c>
      <c r="Z425" s="532">
        <f>SUM(S425*V425)</f>
        <v>1000000</v>
      </c>
      <c r="AA425" s="401"/>
      <c r="AB425" s="1091"/>
      <c r="AC425" s="1095"/>
      <c r="AD425" s="2553"/>
    </row>
    <row r="426" spans="1:30" s="2558" customFormat="1" ht="24.4" customHeight="1">
      <c r="A426" s="436"/>
      <c r="B426" s="402"/>
      <c r="C426" s="465"/>
      <c r="D426" s="2998"/>
      <c r="E426" s="888" t="s">
        <v>199</v>
      </c>
      <c r="F426" s="873">
        <f t="shared" si="148"/>
        <v>6000</v>
      </c>
      <c r="G426" s="873">
        <v>6000</v>
      </c>
      <c r="H426" s="700"/>
      <c r="I426" s="1333"/>
      <c r="J426" s="514" t="s">
        <v>194</v>
      </c>
      <c r="K426" s="2880"/>
      <c r="L426" s="2880"/>
      <c r="M426" s="2880"/>
      <c r="N426" s="2880"/>
      <c r="O426" s="2880"/>
      <c r="P426" s="2880"/>
      <c r="Q426" s="635" t="s">
        <v>344</v>
      </c>
      <c r="R426" s="1187" t="s">
        <v>344</v>
      </c>
      <c r="S426" s="1686"/>
      <c r="T426" s="516"/>
      <c r="U426" s="516"/>
      <c r="V426" s="516"/>
      <c r="W426" s="516"/>
      <c r="X426" s="517"/>
      <c r="Y426" s="724">
        <f t="shared" ref="Y426" si="149">Z426/1000</f>
        <v>6000</v>
      </c>
      <c r="Z426" s="532">
        <f>SUM(Z427:Z429)</f>
        <v>6000000</v>
      </c>
      <c r="AA426" s="401"/>
      <c r="AB426" s="1091"/>
      <c r="AC426" s="1095"/>
      <c r="AD426" s="2553"/>
    </row>
    <row r="427" spans="1:30" s="2558" customFormat="1" ht="24.4" customHeight="1">
      <c r="A427" s="436"/>
      <c r="B427" s="402"/>
      <c r="C427" s="465"/>
      <c r="D427" s="2998"/>
      <c r="E427" s="510"/>
      <c r="F427" s="873"/>
      <c r="G427" s="873"/>
      <c r="H427" s="700"/>
      <c r="I427" s="1333"/>
      <c r="J427" s="514" t="s">
        <v>5974</v>
      </c>
      <c r="K427" s="2880"/>
      <c r="L427" s="2880"/>
      <c r="M427" s="2880"/>
      <c r="N427" s="2880"/>
      <c r="O427" s="2880"/>
      <c r="P427" s="2880"/>
      <c r="Q427" s="727"/>
      <c r="R427" s="2891"/>
      <c r="S427" s="516">
        <v>1000000</v>
      </c>
      <c r="T427" s="516" t="s">
        <v>264</v>
      </c>
      <c r="U427" s="516"/>
      <c r="V427" s="516">
        <v>2</v>
      </c>
      <c r="W427" s="516" t="s">
        <v>1202</v>
      </c>
      <c r="X427" s="517" t="s">
        <v>20</v>
      </c>
      <c r="Y427" s="724">
        <f>Z427/1000</f>
        <v>2000</v>
      </c>
      <c r="Z427" s="1265">
        <f>S427*V427</f>
        <v>2000000</v>
      </c>
      <c r="AA427" s="401"/>
      <c r="AB427" s="1091"/>
      <c r="AC427" s="1095"/>
      <c r="AD427" s="2553"/>
    </row>
    <row r="428" spans="1:30" s="2558" customFormat="1" ht="24.4" customHeight="1">
      <c r="A428" s="436"/>
      <c r="B428" s="402"/>
      <c r="C428" s="465"/>
      <c r="D428" s="2998"/>
      <c r="E428" s="888"/>
      <c r="F428" s="873"/>
      <c r="G428" s="873"/>
      <c r="H428" s="700"/>
      <c r="I428" s="1333"/>
      <c r="J428" s="514" t="s">
        <v>5975</v>
      </c>
      <c r="K428" s="2880"/>
      <c r="L428" s="2880"/>
      <c r="M428" s="2880"/>
      <c r="N428" s="2880"/>
      <c r="O428" s="2880"/>
      <c r="P428" s="2880"/>
      <c r="Q428" s="727"/>
      <c r="R428" s="2891"/>
      <c r="S428" s="516">
        <v>1000000</v>
      </c>
      <c r="T428" s="516" t="s">
        <v>264</v>
      </c>
      <c r="U428" s="516"/>
      <c r="V428" s="516">
        <v>1</v>
      </c>
      <c r="W428" s="516" t="s">
        <v>212</v>
      </c>
      <c r="X428" s="517" t="s">
        <v>266</v>
      </c>
      <c r="Y428" s="724">
        <f>Z428/1000</f>
        <v>1000</v>
      </c>
      <c r="Z428" s="532">
        <f>S428*V428</f>
        <v>1000000</v>
      </c>
      <c r="AA428" s="401"/>
      <c r="AB428" s="1091"/>
      <c r="AC428" s="1095"/>
      <c r="AD428" s="2553"/>
    </row>
    <row r="429" spans="1:30" s="2558" customFormat="1" ht="24.4" customHeight="1">
      <c r="A429" s="436"/>
      <c r="B429" s="402"/>
      <c r="C429" s="465"/>
      <c r="D429" s="2998"/>
      <c r="E429" s="888"/>
      <c r="F429" s="873"/>
      <c r="G429" s="873"/>
      <c r="H429" s="700"/>
      <c r="I429" s="1333"/>
      <c r="J429" s="514" t="s">
        <v>5976</v>
      </c>
      <c r="K429" s="2880"/>
      <c r="L429" s="2880"/>
      <c r="M429" s="2880"/>
      <c r="N429" s="2880"/>
      <c r="O429" s="2880"/>
      <c r="P429" s="2880"/>
      <c r="Q429" s="635"/>
      <c r="R429" s="1187"/>
      <c r="S429" s="1686">
        <v>3000000</v>
      </c>
      <c r="T429" s="516" t="s">
        <v>264</v>
      </c>
      <c r="U429" s="516"/>
      <c r="V429" s="516">
        <v>1</v>
      </c>
      <c r="W429" s="516" t="s">
        <v>196</v>
      </c>
      <c r="X429" s="516" t="s">
        <v>266</v>
      </c>
      <c r="Y429" s="724">
        <f>Z429/1000</f>
        <v>3000</v>
      </c>
      <c r="Z429" s="532">
        <f>SUM(V429*S429)</f>
        <v>3000000</v>
      </c>
      <c r="AA429" s="401"/>
      <c r="AB429" s="1091"/>
      <c r="AC429" s="1095"/>
      <c r="AD429" s="2553"/>
    </row>
    <row r="430" spans="1:30" s="2558" customFormat="1" ht="24.4" customHeight="1">
      <c r="A430" s="436"/>
      <c r="B430" s="402"/>
      <c r="C430" s="465"/>
      <c r="D430" s="2998"/>
      <c r="E430" s="510" t="s">
        <v>590</v>
      </c>
      <c r="F430" s="873">
        <f>Y430</f>
        <v>16800</v>
      </c>
      <c r="G430" s="873">
        <v>16800</v>
      </c>
      <c r="H430" s="700"/>
      <c r="I430" s="1333"/>
      <c r="J430" s="514" t="s">
        <v>194</v>
      </c>
      <c r="K430" s="2880"/>
      <c r="L430" s="2880"/>
      <c r="M430" s="2880"/>
      <c r="N430" s="2880"/>
      <c r="O430" s="2880"/>
      <c r="P430" s="2880"/>
      <c r="Q430" s="635" t="s">
        <v>344</v>
      </c>
      <c r="R430" s="1187" t="s">
        <v>344</v>
      </c>
      <c r="S430" s="1686"/>
      <c r="T430" s="516"/>
      <c r="U430" s="516"/>
      <c r="V430" s="516"/>
      <c r="W430" s="516"/>
      <c r="X430" s="517"/>
      <c r="Y430" s="724">
        <f>Z430/1000</f>
        <v>16800</v>
      </c>
      <c r="Z430" s="532">
        <f>SUM(Z431:Z433)</f>
        <v>16800000</v>
      </c>
      <c r="AA430" s="401"/>
      <c r="AB430" s="1091"/>
      <c r="AC430" s="1095"/>
      <c r="AD430" s="2553"/>
    </row>
    <row r="431" spans="1:30" s="2558" customFormat="1" ht="24.4" customHeight="1">
      <c r="A431" s="436"/>
      <c r="B431" s="402"/>
      <c r="C431" s="465"/>
      <c r="D431" s="2998"/>
      <c r="E431" s="510"/>
      <c r="F431" s="873"/>
      <c r="G431" s="873"/>
      <c r="H431" s="700"/>
      <c r="I431" s="1333"/>
      <c r="J431" s="514" t="s">
        <v>5977</v>
      </c>
      <c r="K431" s="2880"/>
      <c r="L431" s="2880"/>
      <c r="M431" s="2880"/>
      <c r="N431" s="2880"/>
      <c r="O431" s="2880"/>
      <c r="P431" s="2880"/>
      <c r="Q431" s="635"/>
      <c r="R431" s="2891"/>
      <c r="S431" s="1686">
        <v>800000</v>
      </c>
      <c r="T431" s="516" t="s">
        <v>264</v>
      </c>
      <c r="U431" s="516"/>
      <c r="V431" s="516">
        <v>1</v>
      </c>
      <c r="W431" s="516" t="s">
        <v>196</v>
      </c>
      <c r="X431" s="517" t="s">
        <v>266</v>
      </c>
      <c r="Y431" s="724">
        <f t="shared" ref="Y431:Y433" si="150">Z431/1000</f>
        <v>800</v>
      </c>
      <c r="Z431" s="532">
        <f>V431*S431</f>
        <v>800000</v>
      </c>
      <c r="AA431" s="401"/>
      <c r="AB431" s="1091"/>
      <c r="AC431" s="1095"/>
      <c r="AD431" s="2553"/>
    </row>
    <row r="432" spans="1:30" s="2558" customFormat="1" ht="24.4" customHeight="1">
      <c r="A432" s="436"/>
      <c r="B432" s="402"/>
      <c r="C432" s="465"/>
      <c r="D432" s="2998"/>
      <c r="E432" s="510"/>
      <c r="F432" s="873"/>
      <c r="G432" s="873"/>
      <c r="H432" s="700"/>
      <c r="I432" s="1333"/>
      <c r="J432" s="514" t="s">
        <v>5978</v>
      </c>
      <c r="K432" s="2880"/>
      <c r="L432" s="2880"/>
      <c r="M432" s="2880"/>
      <c r="N432" s="2880"/>
      <c r="O432" s="2880"/>
      <c r="P432" s="2880"/>
      <c r="Q432" s="635"/>
      <c r="R432" s="1187"/>
      <c r="S432" s="1686">
        <v>4000000</v>
      </c>
      <c r="T432" s="516" t="s">
        <v>264</v>
      </c>
      <c r="U432" s="516"/>
      <c r="V432" s="516">
        <v>3</v>
      </c>
      <c r="W432" s="516" t="s">
        <v>196</v>
      </c>
      <c r="X432" s="517" t="s">
        <v>266</v>
      </c>
      <c r="Y432" s="724">
        <f t="shared" si="150"/>
        <v>12000</v>
      </c>
      <c r="Z432" s="532">
        <f t="shared" ref="Z432:Z433" si="151">S432*V432</f>
        <v>12000000</v>
      </c>
      <c r="AA432" s="401"/>
      <c r="AB432" s="1091"/>
      <c r="AC432" s="1095"/>
      <c r="AD432" s="2553"/>
    </row>
    <row r="433" spans="1:30" s="2558" customFormat="1" ht="24.4" customHeight="1">
      <c r="A433" s="436"/>
      <c r="B433" s="402"/>
      <c r="C433" s="465"/>
      <c r="D433" s="495"/>
      <c r="E433" s="1134"/>
      <c r="F433" s="403"/>
      <c r="G433" s="403"/>
      <c r="H433" s="404"/>
      <c r="I433" s="409"/>
      <c r="J433" s="2939" t="s">
        <v>5979</v>
      </c>
      <c r="K433" s="2889"/>
      <c r="L433" s="2889"/>
      <c r="M433" s="2889"/>
      <c r="N433" s="2889"/>
      <c r="O433" s="2889"/>
      <c r="P433" s="2889"/>
      <c r="Q433" s="1673"/>
      <c r="R433" s="405"/>
      <c r="S433" s="1672">
        <v>4000000</v>
      </c>
      <c r="T433" s="2900" t="s">
        <v>5454</v>
      </c>
      <c r="U433" s="2900"/>
      <c r="V433" s="2900">
        <v>1</v>
      </c>
      <c r="W433" s="2900" t="s">
        <v>5457</v>
      </c>
      <c r="X433" s="1140" t="s">
        <v>5456</v>
      </c>
      <c r="Y433" s="406">
        <f t="shared" si="150"/>
        <v>4000</v>
      </c>
      <c r="Z433" s="407">
        <f t="shared" si="151"/>
        <v>4000000</v>
      </c>
      <c r="AA433" s="401"/>
      <c r="AB433" s="1091"/>
      <c r="AC433" s="1095"/>
      <c r="AD433" s="2553"/>
    </row>
    <row r="434" spans="1:30" s="2558" customFormat="1" ht="24.4" customHeight="1">
      <c r="A434" s="436"/>
      <c r="B434" s="402"/>
      <c r="C434" s="465"/>
      <c r="D434" s="495"/>
      <c r="E434" s="1134" t="s">
        <v>5771</v>
      </c>
      <c r="F434" s="403">
        <f t="shared" ref="F434:F435" si="152">Y434</f>
        <v>3600</v>
      </c>
      <c r="G434" s="403">
        <v>3600</v>
      </c>
      <c r="H434" s="700"/>
      <c r="I434" s="409"/>
      <c r="J434" s="2899" t="s">
        <v>5453</v>
      </c>
      <c r="K434" s="2889" t="s">
        <v>5771</v>
      </c>
      <c r="L434" s="2889"/>
      <c r="M434" s="2889"/>
      <c r="N434" s="2889"/>
      <c r="O434" s="2889"/>
      <c r="P434" s="2889"/>
      <c r="Q434" s="1673" t="s">
        <v>5720</v>
      </c>
      <c r="R434" s="405" t="s">
        <v>5720</v>
      </c>
      <c r="S434" s="1672">
        <v>300000</v>
      </c>
      <c r="T434" s="2900" t="s">
        <v>5454</v>
      </c>
      <c r="U434" s="2900"/>
      <c r="V434" s="2900">
        <v>12</v>
      </c>
      <c r="W434" s="2900" t="s">
        <v>5618</v>
      </c>
      <c r="X434" s="1140" t="s">
        <v>5456</v>
      </c>
      <c r="Y434" s="406">
        <f>Z434/1000</f>
        <v>3600</v>
      </c>
      <c r="Z434" s="407">
        <f>S434*V434</f>
        <v>3600000</v>
      </c>
      <c r="AA434" s="401"/>
      <c r="AB434" s="1091"/>
      <c r="AC434" s="1095"/>
      <c r="AD434" s="2553"/>
    </row>
    <row r="435" spans="1:30" s="2558" customFormat="1" ht="24.4" customHeight="1">
      <c r="A435" s="436"/>
      <c r="B435" s="402"/>
      <c r="C435" s="465"/>
      <c r="D435" s="495"/>
      <c r="E435" s="1134" t="s">
        <v>5772</v>
      </c>
      <c r="F435" s="403">
        <f t="shared" si="152"/>
        <v>1600</v>
      </c>
      <c r="G435" s="403">
        <v>1600</v>
      </c>
      <c r="H435" s="700"/>
      <c r="I435" s="409"/>
      <c r="J435" s="2899" t="s">
        <v>5453</v>
      </c>
      <c r="K435" s="2889"/>
      <c r="L435" s="2889"/>
      <c r="M435" s="2889"/>
      <c r="N435" s="2889"/>
      <c r="O435" s="2889"/>
      <c r="P435" s="2889"/>
      <c r="Q435" s="1673" t="s">
        <v>5720</v>
      </c>
      <c r="R435" s="405" t="s">
        <v>5720</v>
      </c>
      <c r="S435" s="1672"/>
      <c r="T435" s="2900"/>
      <c r="U435" s="2900"/>
      <c r="V435" s="2900"/>
      <c r="W435" s="2900"/>
      <c r="X435" s="1140"/>
      <c r="Y435" s="406">
        <f>Z435/1000</f>
        <v>1600</v>
      </c>
      <c r="Z435" s="407">
        <f>SUM(Z436:Z438)</f>
        <v>1600000</v>
      </c>
      <c r="AA435" s="401"/>
      <c r="AB435" s="1091"/>
      <c r="AC435" s="1095"/>
      <c r="AD435" s="2553"/>
    </row>
    <row r="436" spans="1:30" s="2558" customFormat="1" ht="24.4" customHeight="1">
      <c r="A436" s="436"/>
      <c r="B436" s="402"/>
      <c r="C436" s="465"/>
      <c r="D436" s="495"/>
      <c r="E436" s="1134"/>
      <c r="F436" s="403"/>
      <c r="G436" s="403"/>
      <c r="H436" s="404"/>
      <c r="I436" s="409"/>
      <c r="J436" s="2939" t="s">
        <v>5980</v>
      </c>
      <c r="K436" s="2889"/>
      <c r="L436" s="2889"/>
      <c r="M436" s="2889"/>
      <c r="N436" s="2889"/>
      <c r="O436" s="2889"/>
      <c r="P436" s="2889"/>
      <c r="Q436" s="1673">
        <v>2</v>
      </c>
      <c r="R436" s="405" t="s">
        <v>5615</v>
      </c>
      <c r="S436" s="1672">
        <v>50000</v>
      </c>
      <c r="T436" s="2900" t="s">
        <v>5454</v>
      </c>
      <c r="U436" s="2900"/>
      <c r="V436" s="2900">
        <v>1</v>
      </c>
      <c r="W436" s="2900" t="s">
        <v>5463</v>
      </c>
      <c r="X436" s="1140" t="s">
        <v>5456</v>
      </c>
      <c r="Y436" s="406">
        <f t="shared" ref="Y436:Y438" si="153">Z436/1000</f>
        <v>100</v>
      </c>
      <c r="Z436" s="407">
        <f>Q436*S436*V436</f>
        <v>100000</v>
      </c>
      <c r="AA436" s="401"/>
      <c r="AB436" s="1091"/>
      <c r="AC436" s="1095"/>
      <c r="AD436" s="2553"/>
    </row>
    <row r="437" spans="1:30" s="2558" customFormat="1" ht="24.4" customHeight="1">
      <c r="A437" s="436"/>
      <c r="B437" s="402"/>
      <c r="C437" s="465"/>
      <c r="D437" s="495"/>
      <c r="E437" s="1134"/>
      <c r="F437" s="403"/>
      <c r="G437" s="403"/>
      <c r="H437" s="404"/>
      <c r="I437" s="409"/>
      <c r="J437" s="2939" t="s">
        <v>5982</v>
      </c>
      <c r="K437" s="2889"/>
      <c r="L437" s="2889"/>
      <c r="M437" s="2889"/>
      <c r="N437" s="2889"/>
      <c r="O437" s="2889"/>
      <c r="P437" s="2889"/>
      <c r="Q437" s="1673"/>
      <c r="R437" s="405"/>
      <c r="S437" s="1672">
        <v>500000</v>
      </c>
      <c r="T437" s="2900" t="s">
        <v>5454</v>
      </c>
      <c r="U437" s="2900"/>
      <c r="V437" s="2900">
        <v>2</v>
      </c>
      <c r="W437" s="2900" t="s">
        <v>5463</v>
      </c>
      <c r="X437" s="1140" t="s">
        <v>5456</v>
      </c>
      <c r="Y437" s="406">
        <f t="shared" si="153"/>
        <v>1000</v>
      </c>
      <c r="Z437" s="407">
        <f t="shared" ref="Z437:Z438" si="154">S437*V437</f>
        <v>1000000</v>
      </c>
      <c r="AA437" s="401"/>
      <c r="AB437" s="1091"/>
      <c r="AC437" s="1095"/>
      <c r="AD437" s="2553"/>
    </row>
    <row r="438" spans="1:30" s="2558" customFormat="1" ht="24.4" customHeight="1">
      <c r="A438" s="436"/>
      <c r="B438" s="402"/>
      <c r="C438" s="465"/>
      <c r="D438" s="495"/>
      <c r="E438" s="1134"/>
      <c r="F438" s="403"/>
      <c r="G438" s="403"/>
      <c r="H438" s="404"/>
      <c r="I438" s="409"/>
      <c r="J438" s="2939" t="s">
        <v>5981</v>
      </c>
      <c r="K438" s="2889"/>
      <c r="L438" s="2889"/>
      <c r="M438" s="2889"/>
      <c r="N438" s="2889"/>
      <c r="O438" s="2889"/>
      <c r="P438" s="2889"/>
      <c r="Q438" s="1673"/>
      <c r="R438" s="405"/>
      <c r="S438" s="1672">
        <v>250000</v>
      </c>
      <c r="T438" s="2900" t="s">
        <v>5454</v>
      </c>
      <c r="U438" s="2900"/>
      <c r="V438" s="2900">
        <v>2</v>
      </c>
      <c r="W438" s="2900" t="s">
        <v>5463</v>
      </c>
      <c r="X438" s="1140" t="s">
        <v>5456</v>
      </c>
      <c r="Y438" s="406">
        <f t="shared" si="153"/>
        <v>500</v>
      </c>
      <c r="Z438" s="407">
        <f t="shared" si="154"/>
        <v>500000</v>
      </c>
      <c r="AA438" s="401"/>
      <c r="AB438" s="1091"/>
      <c r="AC438" s="1095"/>
      <c r="AD438" s="2553"/>
    </row>
    <row r="439" spans="1:30" s="2558" customFormat="1" ht="24.4" customHeight="1">
      <c r="A439" s="436"/>
      <c r="B439" s="402"/>
      <c r="C439" s="465"/>
      <c r="D439" s="495"/>
      <c r="E439" s="1134" t="s">
        <v>5536</v>
      </c>
      <c r="F439" s="403">
        <f>Y439</f>
        <v>31320</v>
      </c>
      <c r="G439" s="403">
        <v>31320</v>
      </c>
      <c r="H439" s="700"/>
      <c r="I439" s="409"/>
      <c r="J439" s="2899" t="s">
        <v>5453</v>
      </c>
      <c r="K439" s="2889"/>
      <c r="L439" s="2889"/>
      <c r="M439" s="2889"/>
      <c r="N439" s="2889"/>
      <c r="O439" s="2889"/>
      <c r="P439" s="2889"/>
      <c r="Q439" s="1673" t="s">
        <v>5720</v>
      </c>
      <c r="R439" s="405" t="s">
        <v>5720</v>
      </c>
      <c r="S439" s="1672"/>
      <c r="T439" s="2900"/>
      <c r="U439" s="2900"/>
      <c r="V439" s="2900"/>
      <c r="W439" s="2900"/>
      <c r="X439" s="1140"/>
      <c r="Y439" s="406">
        <f>Z439/1000</f>
        <v>31320</v>
      </c>
      <c r="Z439" s="407">
        <f>SUM(Z440:Z443)</f>
        <v>31320000</v>
      </c>
      <c r="AA439" s="401"/>
      <c r="AB439" s="1091"/>
      <c r="AC439" s="1095"/>
      <c r="AD439" s="2553"/>
    </row>
    <row r="440" spans="1:30" s="2558" customFormat="1" ht="24.4" customHeight="1">
      <c r="A440" s="436"/>
      <c r="B440" s="402"/>
      <c r="C440" s="465"/>
      <c r="D440" s="495"/>
      <c r="E440" s="1134"/>
      <c r="F440" s="403"/>
      <c r="G440" s="403"/>
      <c r="H440" s="404"/>
      <c r="I440" s="409"/>
      <c r="J440" s="2939" t="s">
        <v>5983</v>
      </c>
      <c r="K440" s="2889"/>
      <c r="L440" s="2889"/>
      <c r="M440" s="2889"/>
      <c r="N440" s="2889"/>
      <c r="O440" s="2889"/>
      <c r="P440" s="2889"/>
      <c r="Q440" s="1673">
        <v>10</v>
      </c>
      <c r="R440" s="405" t="s">
        <v>5773</v>
      </c>
      <c r="S440" s="1672">
        <v>30000</v>
      </c>
      <c r="T440" s="2900" t="s">
        <v>5454</v>
      </c>
      <c r="U440" s="2900"/>
      <c r="V440" s="2900">
        <v>12</v>
      </c>
      <c r="W440" s="2900" t="s">
        <v>5618</v>
      </c>
      <c r="X440" s="1140" t="s">
        <v>5456</v>
      </c>
      <c r="Y440" s="406">
        <f t="shared" ref="Y440:Y444" si="155">Z440/1000</f>
        <v>3600</v>
      </c>
      <c r="Z440" s="407">
        <f>Q440*S440*V440</f>
        <v>3600000</v>
      </c>
      <c r="AA440" s="401"/>
      <c r="AB440" s="1091"/>
      <c r="AC440" s="1095"/>
      <c r="AD440" s="2553"/>
    </row>
    <row r="441" spans="1:30" s="2558" customFormat="1" ht="24.4" customHeight="1">
      <c r="A441" s="436"/>
      <c r="B441" s="402"/>
      <c r="C441" s="465"/>
      <c r="D441" s="495"/>
      <c r="E441" s="1134"/>
      <c r="F441" s="403"/>
      <c r="G441" s="403"/>
      <c r="H441" s="404"/>
      <c r="I441" s="409"/>
      <c r="J441" s="2939" t="s">
        <v>5984</v>
      </c>
      <c r="K441" s="2889"/>
      <c r="L441" s="2889"/>
      <c r="M441" s="2889"/>
      <c r="N441" s="2889"/>
      <c r="O441" s="2889"/>
      <c r="P441" s="2889"/>
      <c r="Q441" s="1673">
        <v>60</v>
      </c>
      <c r="R441" s="405" t="s">
        <v>5774</v>
      </c>
      <c r="S441" s="1672">
        <v>6000</v>
      </c>
      <c r="T441" s="2900" t="s">
        <v>5454</v>
      </c>
      <c r="U441" s="2900"/>
      <c r="V441" s="2900">
        <v>12</v>
      </c>
      <c r="W441" s="2900" t="s">
        <v>5618</v>
      </c>
      <c r="X441" s="1140" t="s">
        <v>5456</v>
      </c>
      <c r="Y441" s="406">
        <f t="shared" si="155"/>
        <v>4320</v>
      </c>
      <c r="Z441" s="407">
        <f t="shared" ref="Z441" si="156">Q441*S441*V441</f>
        <v>4320000</v>
      </c>
      <c r="AA441" s="401"/>
      <c r="AB441" s="1091"/>
      <c r="AC441" s="1095"/>
      <c r="AD441" s="2553"/>
    </row>
    <row r="442" spans="1:30" s="2558" customFormat="1" ht="24.4" customHeight="1">
      <c r="A442" s="436"/>
      <c r="B442" s="402"/>
      <c r="C442" s="465"/>
      <c r="D442" s="495"/>
      <c r="E442" s="1134"/>
      <c r="F442" s="403"/>
      <c r="G442" s="403"/>
      <c r="H442" s="404"/>
      <c r="I442" s="409"/>
      <c r="J442" s="2939" t="s">
        <v>5985</v>
      </c>
      <c r="K442" s="2889"/>
      <c r="L442" s="2889"/>
      <c r="M442" s="2889"/>
      <c r="N442" s="2889"/>
      <c r="O442" s="2889"/>
      <c r="P442" s="2889"/>
      <c r="Q442" s="1673"/>
      <c r="R442" s="405"/>
      <c r="S442" s="1672">
        <v>1500000</v>
      </c>
      <c r="T442" s="2900" t="s">
        <v>5454</v>
      </c>
      <c r="U442" s="2900"/>
      <c r="V442" s="2900">
        <v>6</v>
      </c>
      <c r="W442" s="2900" t="s">
        <v>5463</v>
      </c>
      <c r="X442" s="1140" t="s">
        <v>5456</v>
      </c>
      <c r="Y442" s="406">
        <f t="shared" si="155"/>
        <v>9000</v>
      </c>
      <c r="Z442" s="407">
        <f t="shared" ref="Z442:Z444" si="157">S442*V442</f>
        <v>9000000</v>
      </c>
      <c r="AA442" s="401"/>
      <c r="AB442" s="1091"/>
      <c r="AC442" s="1095"/>
      <c r="AD442" s="2553"/>
    </row>
    <row r="443" spans="1:30" s="2558" customFormat="1" ht="24.4" customHeight="1">
      <c r="A443" s="436"/>
      <c r="B443" s="402"/>
      <c r="C443" s="465"/>
      <c r="D443" s="495"/>
      <c r="E443" s="1134"/>
      <c r="F443" s="403"/>
      <c r="G443" s="403"/>
      <c r="H443" s="404"/>
      <c r="I443" s="409"/>
      <c r="J443" s="2939" t="s">
        <v>5986</v>
      </c>
      <c r="K443" s="2889"/>
      <c r="L443" s="2889"/>
      <c r="M443" s="2889"/>
      <c r="N443" s="2889"/>
      <c r="O443" s="2889"/>
      <c r="P443" s="2889"/>
      <c r="Q443" s="1673"/>
      <c r="R443" s="405"/>
      <c r="S443" s="1672">
        <v>1200000</v>
      </c>
      <c r="T443" s="2900" t="s">
        <v>5454</v>
      </c>
      <c r="U443" s="2900"/>
      <c r="V443" s="2900">
        <v>12</v>
      </c>
      <c r="W443" s="2900" t="s">
        <v>5618</v>
      </c>
      <c r="X443" s="1140" t="s">
        <v>5456</v>
      </c>
      <c r="Y443" s="406">
        <f t="shared" si="155"/>
        <v>14400</v>
      </c>
      <c r="Z443" s="407">
        <f t="shared" si="157"/>
        <v>14400000</v>
      </c>
      <c r="AA443" s="401"/>
      <c r="AB443" s="1091"/>
      <c r="AC443" s="1095"/>
      <c r="AD443" s="2553"/>
    </row>
    <row r="444" spans="1:30" s="2558" customFormat="1" ht="24.4" customHeight="1">
      <c r="A444" s="436"/>
      <c r="B444" s="402"/>
      <c r="C444" s="465"/>
      <c r="D444" s="495"/>
      <c r="E444" s="510" t="s">
        <v>295</v>
      </c>
      <c r="F444" s="873">
        <f>Y444</f>
        <v>120000</v>
      </c>
      <c r="G444" s="873">
        <v>120000</v>
      </c>
      <c r="H444" s="700"/>
      <c r="I444" s="1333"/>
      <c r="J444" s="514" t="s">
        <v>5890</v>
      </c>
      <c r="K444" s="2880"/>
      <c r="L444" s="2880"/>
      <c r="M444" s="2880"/>
      <c r="N444" s="2880"/>
      <c r="O444" s="2880"/>
      <c r="P444" s="2880"/>
      <c r="Q444" s="635" t="s">
        <v>344</v>
      </c>
      <c r="R444" s="1187" t="s">
        <v>344</v>
      </c>
      <c r="S444" s="1686">
        <v>10000000</v>
      </c>
      <c r="T444" s="516" t="s">
        <v>264</v>
      </c>
      <c r="U444" s="516"/>
      <c r="V444" s="516">
        <v>12</v>
      </c>
      <c r="W444" s="516" t="s">
        <v>200</v>
      </c>
      <c r="X444" s="517" t="s">
        <v>266</v>
      </c>
      <c r="Y444" s="724">
        <f t="shared" si="155"/>
        <v>120000</v>
      </c>
      <c r="Z444" s="532">
        <f t="shared" si="157"/>
        <v>120000000</v>
      </c>
      <c r="AA444" s="401"/>
      <c r="AB444" s="1091"/>
      <c r="AC444" s="1095"/>
      <c r="AD444" s="2553"/>
    </row>
    <row r="445" spans="1:30" s="2558" customFormat="1" ht="24.4" customHeight="1">
      <c r="A445" s="436"/>
      <c r="B445" s="402"/>
      <c r="C445" s="465"/>
      <c r="D445" s="495"/>
      <c r="E445" s="510" t="s">
        <v>195</v>
      </c>
      <c r="F445" s="873">
        <f t="shared" ref="F445:F446" si="158">Y445</f>
        <v>6000</v>
      </c>
      <c r="G445" s="873">
        <v>6000</v>
      </c>
      <c r="H445" s="700"/>
      <c r="I445" s="1333"/>
      <c r="J445" s="514" t="s">
        <v>4018</v>
      </c>
      <c r="K445" s="2880"/>
      <c r="L445" s="2880"/>
      <c r="M445" s="2880"/>
      <c r="N445" s="2880"/>
      <c r="O445" s="2880"/>
      <c r="P445" s="2880"/>
      <c r="Q445" s="635" t="s">
        <v>344</v>
      </c>
      <c r="R445" s="1187" t="s">
        <v>344</v>
      </c>
      <c r="S445" s="1686">
        <v>500000</v>
      </c>
      <c r="T445" s="516" t="s">
        <v>264</v>
      </c>
      <c r="U445" s="516"/>
      <c r="V445" s="516">
        <v>12</v>
      </c>
      <c r="W445" s="516" t="s">
        <v>200</v>
      </c>
      <c r="X445" s="517" t="s">
        <v>266</v>
      </c>
      <c r="Y445" s="724">
        <f>Z445/1000</f>
        <v>6000</v>
      </c>
      <c r="Z445" s="532">
        <f>S445*V445</f>
        <v>6000000</v>
      </c>
      <c r="AA445" s="401"/>
      <c r="AB445" s="1091"/>
      <c r="AC445" s="1095"/>
      <c r="AD445" s="2553"/>
    </row>
    <row r="446" spans="1:30" s="2558" customFormat="1" ht="24.4" customHeight="1">
      <c r="A446" s="436"/>
      <c r="B446" s="402"/>
      <c r="C446" s="465"/>
      <c r="D446" s="495"/>
      <c r="E446" s="510" t="s">
        <v>268</v>
      </c>
      <c r="F446" s="873">
        <f t="shared" si="158"/>
        <v>46400</v>
      </c>
      <c r="G446" s="873">
        <v>46400</v>
      </c>
      <c r="H446" s="700"/>
      <c r="I446" s="1333"/>
      <c r="J446" s="514" t="s">
        <v>194</v>
      </c>
      <c r="K446" s="2880"/>
      <c r="L446" s="2880"/>
      <c r="M446" s="2880"/>
      <c r="N446" s="2880"/>
      <c r="O446" s="2880"/>
      <c r="P446" s="2880"/>
      <c r="Q446" s="635" t="s">
        <v>344</v>
      </c>
      <c r="R446" s="1187" t="s">
        <v>344</v>
      </c>
      <c r="S446" s="1686"/>
      <c r="T446" s="516"/>
      <c r="U446" s="516"/>
      <c r="V446" s="516"/>
      <c r="W446" s="516"/>
      <c r="X446" s="517"/>
      <c r="Y446" s="724">
        <f>Z446/1000</f>
        <v>46400</v>
      </c>
      <c r="Z446" s="532">
        <f>Z447+Z448+Z449</f>
        <v>46400000</v>
      </c>
      <c r="AA446" s="401"/>
      <c r="AB446" s="1091"/>
      <c r="AC446" s="1095"/>
      <c r="AD446" s="2553"/>
    </row>
    <row r="447" spans="1:30" s="2558" customFormat="1" ht="24.4" customHeight="1">
      <c r="A447" s="436"/>
      <c r="B447" s="402"/>
      <c r="C447" s="465"/>
      <c r="D447" s="495"/>
      <c r="E447" s="510"/>
      <c r="F447" s="873"/>
      <c r="G447" s="873"/>
      <c r="H447" s="700"/>
      <c r="I447" s="1333"/>
      <c r="J447" s="514" t="s">
        <v>6024</v>
      </c>
      <c r="K447" s="2880"/>
      <c r="L447" s="2880"/>
      <c r="M447" s="2880"/>
      <c r="N447" s="2880"/>
      <c r="O447" s="2880"/>
      <c r="P447" s="2880"/>
      <c r="Q447" s="635"/>
      <c r="R447" s="1187"/>
      <c r="S447" s="1686">
        <v>3000000</v>
      </c>
      <c r="T447" s="516" t="s">
        <v>264</v>
      </c>
      <c r="U447" s="516"/>
      <c r="V447" s="516">
        <v>12</v>
      </c>
      <c r="W447" s="516" t="s">
        <v>200</v>
      </c>
      <c r="X447" s="517" t="s">
        <v>266</v>
      </c>
      <c r="Y447" s="724">
        <f t="shared" ref="Y447:Y448" si="159">Z447/1000</f>
        <v>36000</v>
      </c>
      <c r="Z447" s="532">
        <f t="shared" ref="Z447" si="160">S447*V447</f>
        <v>36000000</v>
      </c>
      <c r="AA447" s="401"/>
      <c r="AB447" s="1091"/>
      <c r="AC447" s="1095"/>
      <c r="AD447" s="2553"/>
    </row>
    <row r="448" spans="1:30" s="2558" customFormat="1" ht="24.4" customHeight="1">
      <c r="A448" s="436"/>
      <c r="B448" s="402"/>
      <c r="C448" s="465"/>
      <c r="D448" s="495"/>
      <c r="E448" s="510"/>
      <c r="F448" s="873"/>
      <c r="G448" s="873"/>
      <c r="H448" s="700"/>
      <c r="I448" s="1333"/>
      <c r="J448" s="514" t="s">
        <v>6025</v>
      </c>
      <c r="K448" s="2880"/>
      <c r="L448" s="2880"/>
      <c r="M448" s="2880"/>
      <c r="N448" s="2880"/>
      <c r="O448" s="2880"/>
      <c r="P448" s="2880"/>
      <c r="Q448" s="1685">
        <v>2</v>
      </c>
      <c r="R448" s="1187" t="s">
        <v>18</v>
      </c>
      <c r="S448" s="1686">
        <v>350000</v>
      </c>
      <c r="T448" s="516" t="s">
        <v>264</v>
      </c>
      <c r="U448" s="516"/>
      <c r="V448" s="516">
        <v>12</v>
      </c>
      <c r="W448" s="516" t="s">
        <v>200</v>
      </c>
      <c r="X448" s="517" t="s">
        <v>266</v>
      </c>
      <c r="Y448" s="724">
        <f t="shared" si="159"/>
        <v>8400</v>
      </c>
      <c r="Z448" s="532">
        <f>S448*V448*Q448</f>
        <v>8400000</v>
      </c>
      <c r="AA448" s="401"/>
      <c r="AB448" s="1091"/>
      <c r="AC448" s="1095"/>
      <c r="AD448" s="2553"/>
    </row>
    <row r="449" spans="1:30" s="2558" customFormat="1" ht="24.4" customHeight="1">
      <c r="A449" s="436"/>
      <c r="B449" s="402"/>
      <c r="C449" s="465"/>
      <c r="D449" s="495"/>
      <c r="E449" s="510"/>
      <c r="F449" s="873"/>
      <c r="G449" s="873"/>
      <c r="H449" s="700"/>
      <c r="I449" s="1333"/>
      <c r="J449" s="514" t="s">
        <v>6026</v>
      </c>
      <c r="K449" s="2880"/>
      <c r="L449" s="2880"/>
      <c r="M449" s="2880"/>
      <c r="N449" s="2880"/>
      <c r="O449" s="2880"/>
      <c r="P449" s="2880"/>
      <c r="Q449" s="1685"/>
      <c r="R449" s="1187"/>
      <c r="S449" s="1686">
        <v>1000000</v>
      </c>
      <c r="T449" s="516" t="s">
        <v>264</v>
      </c>
      <c r="U449" s="516"/>
      <c r="V449" s="516">
        <v>2</v>
      </c>
      <c r="W449" s="516" t="s">
        <v>265</v>
      </c>
      <c r="X449" s="517" t="s">
        <v>266</v>
      </c>
      <c r="Y449" s="724">
        <f>Z449/1000</f>
        <v>2000</v>
      </c>
      <c r="Z449" s="532">
        <f>S449*V449</f>
        <v>2000000</v>
      </c>
      <c r="AA449" s="401"/>
      <c r="AB449" s="1091"/>
      <c r="AC449" s="1095"/>
      <c r="AD449" s="2553"/>
    </row>
    <row r="450" spans="1:30" s="2558" customFormat="1" ht="24.4" customHeight="1">
      <c r="A450" s="436"/>
      <c r="B450" s="402"/>
      <c r="C450" s="465"/>
      <c r="D450" s="495"/>
      <c r="E450" s="510" t="s">
        <v>219</v>
      </c>
      <c r="F450" s="873">
        <f t="shared" ref="F450:F452" si="161">Y450</f>
        <v>500</v>
      </c>
      <c r="G450" s="873">
        <v>500</v>
      </c>
      <c r="H450" s="700"/>
      <c r="I450" s="1333"/>
      <c r="J450" s="514" t="s">
        <v>4173</v>
      </c>
      <c r="K450" s="2880"/>
      <c r="L450" s="2880"/>
      <c r="M450" s="2880"/>
      <c r="N450" s="2880"/>
      <c r="O450" s="2880"/>
      <c r="P450" s="2880"/>
      <c r="Q450" s="1685">
        <v>5</v>
      </c>
      <c r="R450" s="1187" t="s">
        <v>4174</v>
      </c>
      <c r="S450" s="1686">
        <v>50000</v>
      </c>
      <c r="T450" s="516" t="s">
        <v>264</v>
      </c>
      <c r="U450" s="516"/>
      <c r="V450" s="516">
        <v>2</v>
      </c>
      <c r="W450" s="516" t="s">
        <v>265</v>
      </c>
      <c r="X450" s="517" t="s">
        <v>266</v>
      </c>
      <c r="Y450" s="724">
        <f>Z450/1000</f>
        <v>500</v>
      </c>
      <c r="Z450" s="532">
        <f>Q450*S450*V450</f>
        <v>500000</v>
      </c>
      <c r="AA450" s="401"/>
      <c r="AB450" s="1091"/>
      <c r="AC450" s="1095"/>
      <c r="AD450" s="2553"/>
    </row>
    <row r="451" spans="1:30" s="2558" customFormat="1" ht="24.4" customHeight="1">
      <c r="A451" s="436"/>
      <c r="B451" s="402"/>
      <c r="C451" s="465"/>
      <c r="D451" s="495"/>
      <c r="E451" s="510" t="s">
        <v>21</v>
      </c>
      <c r="F451" s="873">
        <f t="shared" si="161"/>
        <v>25000</v>
      </c>
      <c r="G451" s="873">
        <v>15000</v>
      </c>
      <c r="H451" s="700"/>
      <c r="I451" s="1333"/>
      <c r="J451" s="514" t="s">
        <v>5769</v>
      </c>
      <c r="K451" s="2880"/>
      <c r="L451" s="2880"/>
      <c r="M451" s="2880"/>
      <c r="N451" s="2880"/>
      <c r="O451" s="2880"/>
      <c r="P451" s="2880"/>
      <c r="Q451" s="1685" t="s">
        <v>344</v>
      </c>
      <c r="R451" s="1187" t="s">
        <v>344</v>
      </c>
      <c r="S451" s="1686">
        <v>2500000</v>
      </c>
      <c r="T451" s="516" t="s">
        <v>264</v>
      </c>
      <c r="U451" s="516"/>
      <c r="V451" s="516">
        <v>10</v>
      </c>
      <c r="W451" s="516" t="s">
        <v>292</v>
      </c>
      <c r="X451" s="517" t="s">
        <v>266</v>
      </c>
      <c r="Y451" s="724">
        <f>Z451/1000</f>
        <v>25000</v>
      </c>
      <c r="Z451" s="532">
        <f>S451*V451</f>
        <v>25000000</v>
      </c>
      <c r="AA451" s="401"/>
      <c r="AB451" s="1091"/>
      <c r="AC451" s="1095"/>
      <c r="AD451" s="2553"/>
    </row>
    <row r="452" spans="1:30" s="2558" customFormat="1" ht="24.4" customHeight="1">
      <c r="A452" s="436"/>
      <c r="B452" s="402"/>
      <c r="C452" s="465"/>
      <c r="D452" s="495"/>
      <c r="E452" s="510" t="s">
        <v>269</v>
      </c>
      <c r="F452" s="873">
        <f t="shared" si="161"/>
        <v>140500</v>
      </c>
      <c r="G452" s="873">
        <v>140500</v>
      </c>
      <c r="H452" s="700"/>
      <c r="I452" s="1333"/>
      <c r="J452" s="514" t="s">
        <v>194</v>
      </c>
      <c r="K452" s="2880"/>
      <c r="L452" s="2880"/>
      <c r="M452" s="2880"/>
      <c r="N452" s="2880"/>
      <c r="O452" s="2880"/>
      <c r="P452" s="2880"/>
      <c r="Q452" s="1685" t="s">
        <v>344</v>
      </c>
      <c r="R452" s="1187" t="s">
        <v>344</v>
      </c>
      <c r="S452" s="1686"/>
      <c r="T452" s="516"/>
      <c r="U452" s="516"/>
      <c r="V452" s="516"/>
      <c r="W452" s="516"/>
      <c r="X452" s="517"/>
      <c r="Y452" s="724">
        <f t="shared" ref="Y452:Y459" si="162">Z452/1000</f>
        <v>140500</v>
      </c>
      <c r="Z452" s="532">
        <f>SUM(Z453:Z460)</f>
        <v>140500000</v>
      </c>
      <c r="AA452" s="401"/>
      <c r="AB452" s="1091"/>
      <c r="AC452" s="1095"/>
      <c r="AD452" s="2553"/>
    </row>
    <row r="453" spans="1:30" s="2558" customFormat="1" ht="24.4" customHeight="1">
      <c r="A453" s="436"/>
      <c r="B453" s="402"/>
      <c r="C453" s="465"/>
      <c r="D453" s="495"/>
      <c r="E453" s="510"/>
      <c r="F453" s="873"/>
      <c r="G453" s="873"/>
      <c r="H453" s="700"/>
      <c r="I453" s="1333"/>
      <c r="J453" s="514" t="s">
        <v>6027</v>
      </c>
      <c r="K453" s="2880"/>
      <c r="L453" s="2880"/>
      <c r="M453" s="2880"/>
      <c r="N453" s="2880"/>
      <c r="O453" s="2880"/>
      <c r="P453" s="635"/>
      <c r="Q453" s="1685"/>
      <c r="R453" s="1187"/>
      <c r="S453" s="1686">
        <v>500000</v>
      </c>
      <c r="T453" s="516" t="s">
        <v>264</v>
      </c>
      <c r="U453" s="516"/>
      <c r="V453" s="516">
        <v>6</v>
      </c>
      <c r="W453" s="516" t="s">
        <v>265</v>
      </c>
      <c r="X453" s="517" t="s">
        <v>266</v>
      </c>
      <c r="Y453" s="724">
        <f t="shared" si="162"/>
        <v>3000</v>
      </c>
      <c r="Z453" s="532">
        <f>S453*V453</f>
        <v>3000000</v>
      </c>
      <c r="AA453" s="401"/>
      <c r="AB453" s="1091"/>
      <c r="AC453" s="1095"/>
      <c r="AD453" s="2553"/>
    </row>
    <row r="454" spans="1:30" s="2558" customFormat="1" ht="24.4" customHeight="1">
      <c r="A454" s="436"/>
      <c r="B454" s="402"/>
      <c r="C454" s="465"/>
      <c r="D454" s="495"/>
      <c r="E454" s="510"/>
      <c r="F454" s="873"/>
      <c r="G454" s="873"/>
      <c r="H454" s="700"/>
      <c r="I454" s="1333"/>
      <c r="J454" s="514" t="s">
        <v>6028</v>
      </c>
      <c r="K454" s="2880"/>
      <c r="L454" s="2880"/>
      <c r="M454" s="2880"/>
      <c r="N454" s="2880"/>
      <c r="O454" s="2880"/>
      <c r="P454" s="635"/>
      <c r="Q454" s="1685">
        <v>2</v>
      </c>
      <c r="R454" s="1187" t="s">
        <v>202</v>
      </c>
      <c r="S454" s="1686">
        <v>50000</v>
      </c>
      <c r="T454" s="516" t="s">
        <v>264</v>
      </c>
      <c r="U454" s="516"/>
      <c r="V454" s="516">
        <v>5</v>
      </c>
      <c r="W454" s="516" t="s">
        <v>363</v>
      </c>
      <c r="X454" s="517" t="s">
        <v>266</v>
      </c>
      <c r="Y454" s="724">
        <f t="shared" si="162"/>
        <v>500</v>
      </c>
      <c r="Z454" s="532">
        <f>Q454*S454*V454</f>
        <v>500000</v>
      </c>
      <c r="AA454" s="401"/>
      <c r="AB454" s="1091"/>
      <c r="AC454" s="1095"/>
      <c r="AD454" s="2553"/>
    </row>
    <row r="455" spans="1:30" s="2558" customFormat="1" ht="24.4" customHeight="1">
      <c r="A455" s="436"/>
      <c r="B455" s="402"/>
      <c r="C455" s="465"/>
      <c r="D455" s="495"/>
      <c r="E455" s="510"/>
      <c r="F455" s="873"/>
      <c r="G455" s="873"/>
      <c r="H455" s="700"/>
      <c r="I455" s="1333"/>
      <c r="J455" s="514" t="s">
        <v>6029</v>
      </c>
      <c r="K455" s="2880"/>
      <c r="L455" s="2880"/>
      <c r="M455" s="2880"/>
      <c r="N455" s="2880"/>
      <c r="O455" s="2880"/>
      <c r="P455" s="635"/>
      <c r="Q455" s="1685"/>
      <c r="R455" s="1187"/>
      <c r="S455" s="1686">
        <v>3000000</v>
      </c>
      <c r="T455" s="516" t="s">
        <v>264</v>
      </c>
      <c r="U455" s="516"/>
      <c r="V455" s="516">
        <v>2</v>
      </c>
      <c r="W455" s="516" t="s">
        <v>265</v>
      </c>
      <c r="X455" s="517" t="s">
        <v>266</v>
      </c>
      <c r="Y455" s="724">
        <f t="shared" si="162"/>
        <v>6000</v>
      </c>
      <c r="Z455" s="532">
        <f>S455*V455</f>
        <v>6000000</v>
      </c>
      <c r="AA455" s="401"/>
      <c r="AB455" s="1091"/>
      <c r="AC455" s="1095"/>
      <c r="AD455" s="2553"/>
    </row>
    <row r="456" spans="1:30" s="2558" customFormat="1" ht="24.4" customHeight="1">
      <c r="A456" s="436"/>
      <c r="B456" s="402"/>
      <c r="C456" s="465"/>
      <c r="D456" s="495"/>
      <c r="E456" s="510"/>
      <c r="F456" s="873"/>
      <c r="G456" s="873"/>
      <c r="H456" s="700"/>
      <c r="I456" s="1333"/>
      <c r="J456" s="514" t="s">
        <v>6030</v>
      </c>
      <c r="K456" s="2880"/>
      <c r="L456" s="2880"/>
      <c r="M456" s="2880"/>
      <c r="N456" s="2880"/>
      <c r="O456" s="2880"/>
      <c r="P456" s="635"/>
      <c r="Q456" s="1685">
        <v>2</v>
      </c>
      <c r="R456" s="1187" t="s">
        <v>202</v>
      </c>
      <c r="S456" s="1686">
        <v>200000</v>
      </c>
      <c r="T456" s="516" t="s">
        <v>264</v>
      </c>
      <c r="U456" s="516"/>
      <c r="V456" s="516">
        <v>12</v>
      </c>
      <c r="W456" s="516" t="s">
        <v>220</v>
      </c>
      <c r="X456" s="517" t="s">
        <v>266</v>
      </c>
      <c r="Y456" s="724">
        <f t="shared" si="162"/>
        <v>4800</v>
      </c>
      <c r="Z456" s="532">
        <f>Q456*S456*V456</f>
        <v>4800000</v>
      </c>
      <c r="AA456" s="401"/>
      <c r="AB456" s="1091"/>
      <c r="AC456" s="1095"/>
      <c r="AD456" s="2553"/>
    </row>
    <row r="457" spans="1:30" s="2558" customFormat="1" ht="24.4" customHeight="1">
      <c r="A457" s="436"/>
      <c r="B457" s="402"/>
      <c r="C457" s="465"/>
      <c r="D457" s="495"/>
      <c r="E457" s="510"/>
      <c r="F457" s="873"/>
      <c r="G457" s="873"/>
      <c r="H457" s="700"/>
      <c r="I457" s="1333"/>
      <c r="J457" s="514" t="s">
        <v>6031</v>
      </c>
      <c r="K457" s="2880"/>
      <c r="L457" s="2880"/>
      <c r="M457" s="2880"/>
      <c r="N457" s="2880"/>
      <c r="O457" s="2880"/>
      <c r="P457" s="635"/>
      <c r="Q457" s="1685"/>
      <c r="R457" s="1187"/>
      <c r="S457" s="1686">
        <v>400000</v>
      </c>
      <c r="T457" s="516" t="s">
        <v>264</v>
      </c>
      <c r="U457" s="516"/>
      <c r="V457" s="516">
        <v>12</v>
      </c>
      <c r="W457" s="516" t="s">
        <v>265</v>
      </c>
      <c r="X457" s="517" t="s">
        <v>266</v>
      </c>
      <c r="Y457" s="724">
        <f t="shared" si="162"/>
        <v>4800</v>
      </c>
      <c r="Z457" s="532">
        <f>S457*V457</f>
        <v>4800000</v>
      </c>
      <c r="AA457" s="401"/>
      <c r="AB457" s="1091"/>
      <c r="AC457" s="1095"/>
      <c r="AD457" s="2553"/>
    </row>
    <row r="458" spans="1:30" s="2558" customFormat="1" ht="24.4" customHeight="1">
      <c r="A458" s="436"/>
      <c r="B458" s="402"/>
      <c r="C458" s="465"/>
      <c r="D458" s="495"/>
      <c r="E458" s="510"/>
      <c r="F458" s="873"/>
      <c r="G458" s="873"/>
      <c r="H458" s="700"/>
      <c r="I458" s="1333"/>
      <c r="J458" s="514" t="s">
        <v>6032</v>
      </c>
      <c r="K458" s="2880"/>
      <c r="L458" s="2880"/>
      <c r="M458" s="2880"/>
      <c r="N458" s="2880"/>
      <c r="O458" s="2880"/>
      <c r="P458" s="635"/>
      <c r="Q458" s="1685"/>
      <c r="R458" s="1187"/>
      <c r="S458" s="1686">
        <v>500000</v>
      </c>
      <c r="T458" s="516" t="s">
        <v>264</v>
      </c>
      <c r="U458" s="516"/>
      <c r="V458" s="516">
        <v>4</v>
      </c>
      <c r="W458" s="516" t="s">
        <v>265</v>
      </c>
      <c r="X458" s="517" t="s">
        <v>266</v>
      </c>
      <c r="Y458" s="724">
        <f t="shared" si="162"/>
        <v>2000</v>
      </c>
      <c r="Z458" s="532">
        <f>S458*V458</f>
        <v>2000000</v>
      </c>
      <c r="AA458" s="401"/>
      <c r="AB458" s="1091"/>
      <c r="AC458" s="1095"/>
      <c r="AD458" s="2553"/>
    </row>
    <row r="459" spans="1:30" s="2558" customFormat="1" ht="24.4" customHeight="1">
      <c r="A459" s="436"/>
      <c r="B459" s="402"/>
      <c r="C459" s="465"/>
      <c r="D459" s="495"/>
      <c r="E459" s="510"/>
      <c r="F459" s="873"/>
      <c r="G459" s="873"/>
      <c r="H459" s="700"/>
      <c r="I459" s="1333"/>
      <c r="J459" s="514" t="s">
        <v>6033</v>
      </c>
      <c r="K459" s="2880"/>
      <c r="L459" s="2880"/>
      <c r="M459" s="2880"/>
      <c r="N459" s="2880"/>
      <c r="O459" s="2880"/>
      <c r="P459" s="635"/>
      <c r="Q459" s="1685" t="s">
        <v>344</v>
      </c>
      <c r="R459" s="1187" t="s">
        <v>344</v>
      </c>
      <c r="S459" s="1686">
        <v>1000</v>
      </c>
      <c r="T459" s="516" t="s">
        <v>264</v>
      </c>
      <c r="U459" s="516"/>
      <c r="V459" s="516">
        <v>400</v>
      </c>
      <c r="W459" s="516" t="s">
        <v>265</v>
      </c>
      <c r="X459" s="517" t="s">
        <v>266</v>
      </c>
      <c r="Y459" s="724">
        <f t="shared" si="162"/>
        <v>400</v>
      </c>
      <c r="Z459" s="532">
        <f>S459*V459</f>
        <v>400000</v>
      </c>
      <c r="AA459" s="401"/>
      <c r="AB459" s="1091"/>
      <c r="AC459" s="1095"/>
      <c r="AD459" s="2553"/>
    </row>
    <row r="460" spans="1:30" s="2558" customFormat="1" ht="24.4" customHeight="1">
      <c r="A460" s="436"/>
      <c r="B460" s="402"/>
      <c r="C460" s="465"/>
      <c r="D460" s="495"/>
      <c r="E460" s="510"/>
      <c r="F460" s="873"/>
      <c r="G460" s="873"/>
      <c r="H460" s="700"/>
      <c r="I460" s="1333"/>
      <c r="J460" s="514" t="s">
        <v>6034</v>
      </c>
      <c r="K460" s="2880"/>
      <c r="L460" s="2880"/>
      <c r="M460" s="2880"/>
      <c r="N460" s="2880"/>
      <c r="O460" s="2880"/>
      <c r="P460" s="2880"/>
      <c r="Q460" s="635" t="s">
        <v>344</v>
      </c>
      <c r="R460" s="1187" t="s">
        <v>344</v>
      </c>
      <c r="S460" s="1686">
        <v>3400000000</v>
      </c>
      <c r="T460" s="516" t="s">
        <v>264</v>
      </c>
      <c r="U460" s="516"/>
      <c r="V460" s="3073">
        <v>3.5000000000000003E-2</v>
      </c>
      <c r="W460" s="516" t="s">
        <v>627</v>
      </c>
      <c r="X460" s="517" t="s">
        <v>266</v>
      </c>
      <c r="Y460" s="724">
        <f>Z460/1000</f>
        <v>119000.00000000001</v>
      </c>
      <c r="Z460" s="532">
        <f>S460*V460</f>
        <v>119000000.00000001</v>
      </c>
      <c r="AA460" s="401"/>
      <c r="AB460" s="1091"/>
      <c r="AC460" s="1095"/>
      <c r="AD460" s="2553"/>
    </row>
    <row r="461" spans="1:30" s="2558" customFormat="1" ht="23.85" customHeight="1">
      <c r="A461" s="436"/>
      <c r="B461" s="402"/>
      <c r="C461" s="465"/>
      <c r="D461" s="495"/>
      <c r="E461" s="510" t="s">
        <v>287</v>
      </c>
      <c r="F461" s="873">
        <f t="shared" ref="F461" si="163">Y461</f>
        <v>850400</v>
      </c>
      <c r="G461" s="873">
        <v>871400</v>
      </c>
      <c r="H461" s="700"/>
      <c r="I461" s="1333"/>
      <c r="J461" s="514" t="s">
        <v>194</v>
      </c>
      <c r="K461" s="2880"/>
      <c r="L461" s="2880"/>
      <c r="M461" s="2880"/>
      <c r="N461" s="2880"/>
      <c r="O461" s="2880"/>
      <c r="P461" s="2880"/>
      <c r="Q461" s="1685" t="s">
        <v>344</v>
      </c>
      <c r="R461" s="1187" t="s">
        <v>344</v>
      </c>
      <c r="S461" s="1686"/>
      <c r="T461" s="516"/>
      <c r="U461" s="516"/>
      <c r="V461" s="516"/>
      <c r="W461" s="516"/>
      <c r="X461" s="517"/>
      <c r="Y461" s="724">
        <f>Z461/1000</f>
        <v>850400</v>
      </c>
      <c r="Z461" s="1265">
        <f>SUM(Z462:Z472)</f>
        <v>850400000</v>
      </c>
      <c r="AA461" s="401"/>
      <c r="AB461" s="1091"/>
      <c r="AC461" s="1095"/>
      <c r="AD461" s="2553"/>
    </row>
    <row r="462" spans="1:30" s="2558" customFormat="1" ht="23.85" customHeight="1">
      <c r="A462" s="436"/>
      <c r="B462" s="402"/>
      <c r="C462" s="465"/>
      <c r="D462" s="495"/>
      <c r="E462" s="510"/>
      <c r="F462" s="873"/>
      <c r="G462" s="873"/>
      <c r="H462" s="700"/>
      <c r="I462" s="1333"/>
      <c r="J462" s="514" t="s">
        <v>6035</v>
      </c>
      <c r="K462" s="2880"/>
      <c r="L462" s="2880"/>
      <c r="M462" s="2880"/>
      <c r="N462" s="2880"/>
      <c r="O462" s="2880"/>
      <c r="P462" s="2880"/>
      <c r="Q462" s="1685"/>
      <c r="R462" s="1187"/>
      <c r="S462" s="1686">
        <v>577000000</v>
      </c>
      <c r="T462" s="516" t="s">
        <v>264</v>
      </c>
      <c r="U462" s="516"/>
      <c r="V462" s="516">
        <v>1</v>
      </c>
      <c r="W462" s="516" t="s">
        <v>1150</v>
      </c>
      <c r="X462" s="517" t="s">
        <v>266</v>
      </c>
      <c r="Y462" s="724">
        <f>Z462/1000</f>
        <v>577000</v>
      </c>
      <c r="Z462" s="532">
        <f t="shared" ref="Z462:Z466" si="164">S462*V462</f>
        <v>577000000</v>
      </c>
      <c r="AA462" s="401"/>
      <c r="AB462" s="1091"/>
      <c r="AC462" s="1095"/>
      <c r="AD462" s="2553"/>
    </row>
    <row r="463" spans="1:30" s="2558" customFormat="1" ht="23.85" customHeight="1">
      <c r="A463" s="436"/>
      <c r="B463" s="402"/>
      <c r="C463" s="465"/>
      <c r="D463" s="495"/>
      <c r="E463" s="510"/>
      <c r="F463" s="873"/>
      <c r="G463" s="873"/>
      <c r="H463" s="700"/>
      <c r="I463" s="1333"/>
      <c r="J463" s="514" t="s">
        <v>6036</v>
      </c>
      <c r="K463" s="2880"/>
      <c r="L463" s="2880"/>
      <c r="M463" s="2880"/>
      <c r="N463" s="2880"/>
      <c r="O463" s="2880"/>
      <c r="P463" s="2880"/>
      <c r="Q463" s="1685"/>
      <c r="R463" s="1187"/>
      <c r="S463" s="1686">
        <v>2400000</v>
      </c>
      <c r="T463" s="516" t="s">
        <v>264</v>
      </c>
      <c r="U463" s="516"/>
      <c r="V463" s="516">
        <v>12</v>
      </c>
      <c r="W463" s="516" t="s">
        <v>200</v>
      </c>
      <c r="X463" s="517" t="s">
        <v>266</v>
      </c>
      <c r="Y463" s="724">
        <f t="shared" ref="Y463:Y464" si="165">Z463/1000</f>
        <v>28800</v>
      </c>
      <c r="Z463" s="532">
        <f t="shared" si="164"/>
        <v>28800000</v>
      </c>
      <c r="AA463" s="401"/>
      <c r="AB463" s="1091"/>
      <c r="AC463" s="1095"/>
      <c r="AD463" s="2553"/>
    </row>
    <row r="464" spans="1:30" s="2558" customFormat="1" ht="23.85" customHeight="1">
      <c r="A464" s="436"/>
      <c r="B464" s="402"/>
      <c r="C464" s="465"/>
      <c r="D464" s="495"/>
      <c r="E464" s="510"/>
      <c r="F464" s="873"/>
      <c r="G464" s="873"/>
      <c r="H464" s="700"/>
      <c r="I464" s="1333"/>
      <c r="J464" s="514" t="s">
        <v>6037</v>
      </c>
      <c r="K464" s="2880"/>
      <c r="L464" s="2880"/>
      <c r="M464" s="2880"/>
      <c r="N464" s="2880"/>
      <c r="O464" s="2880"/>
      <c r="P464" s="2880"/>
      <c r="Q464" s="1685"/>
      <c r="R464" s="1187"/>
      <c r="S464" s="1686">
        <v>5000000</v>
      </c>
      <c r="T464" s="516" t="s">
        <v>264</v>
      </c>
      <c r="U464" s="516"/>
      <c r="V464" s="516">
        <v>1</v>
      </c>
      <c r="W464" s="516" t="s">
        <v>196</v>
      </c>
      <c r="X464" s="517" t="s">
        <v>266</v>
      </c>
      <c r="Y464" s="724">
        <f t="shared" si="165"/>
        <v>5000</v>
      </c>
      <c r="Z464" s="532">
        <f t="shared" si="164"/>
        <v>5000000</v>
      </c>
      <c r="AA464" s="401"/>
      <c r="AB464" s="1091"/>
      <c r="AC464" s="1095"/>
      <c r="AD464" s="2553"/>
    </row>
    <row r="465" spans="1:30" s="2558" customFormat="1" ht="23.85" customHeight="1">
      <c r="A465" s="436"/>
      <c r="B465" s="402"/>
      <c r="C465" s="465"/>
      <c r="D465" s="495"/>
      <c r="E465" s="510"/>
      <c r="F465" s="873"/>
      <c r="G465" s="873"/>
      <c r="H465" s="700"/>
      <c r="I465" s="1333"/>
      <c r="J465" s="514" t="s">
        <v>6038</v>
      </c>
      <c r="K465" s="2880"/>
      <c r="L465" s="2880"/>
      <c r="M465" s="2880"/>
      <c r="N465" s="2880"/>
      <c r="O465" s="2880"/>
      <c r="P465" s="2880"/>
      <c r="Q465" s="1685"/>
      <c r="R465" s="1187"/>
      <c r="S465" s="1686">
        <v>150000000</v>
      </c>
      <c r="T465" s="516" t="s">
        <v>264</v>
      </c>
      <c r="U465" s="516"/>
      <c r="V465" s="516">
        <v>1</v>
      </c>
      <c r="W465" s="516" t="s">
        <v>196</v>
      </c>
      <c r="X465" s="517" t="s">
        <v>266</v>
      </c>
      <c r="Y465" s="724">
        <f>Z465/1000</f>
        <v>150000</v>
      </c>
      <c r="Z465" s="532">
        <f t="shared" si="164"/>
        <v>150000000</v>
      </c>
      <c r="AA465" s="401"/>
      <c r="AB465" s="1091"/>
      <c r="AC465" s="1095"/>
      <c r="AD465" s="2553"/>
    </row>
    <row r="466" spans="1:30" s="2558" customFormat="1" ht="23.85" customHeight="1">
      <c r="A466" s="436"/>
      <c r="B466" s="402"/>
      <c r="C466" s="465"/>
      <c r="D466" s="495"/>
      <c r="E466" s="510"/>
      <c r="F466" s="873"/>
      <c r="G466" s="873"/>
      <c r="H466" s="700"/>
      <c r="I466" s="1333"/>
      <c r="J466" s="514" t="s">
        <v>6039</v>
      </c>
      <c r="K466" s="2880"/>
      <c r="L466" s="2880"/>
      <c r="M466" s="2880"/>
      <c r="N466" s="2880"/>
      <c r="O466" s="2880"/>
      <c r="P466" s="2880"/>
      <c r="Q466" s="1685"/>
      <c r="R466" s="1187"/>
      <c r="S466" s="1686">
        <v>12000000</v>
      </c>
      <c r="T466" s="516" t="s">
        <v>264</v>
      </c>
      <c r="U466" s="516"/>
      <c r="V466" s="516">
        <v>1</v>
      </c>
      <c r="W466" s="516" t="s">
        <v>265</v>
      </c>
      <c r="X466" s="517" t="s">
        <v>266</v>
      </c>
      <c r="Y466" s="724">
        <f>Z466/1000</f>
        <v>12000</v>
      </c>
      <c r="Z466" s="532">
        <f t="shared" si="164"/>
        <v>12000000</v>
      </c>
      <c r="AA466" s="401"/>
      <c r="AB466" s="1091"/>
      <c r="AC466" s="1095"/>
      <c r="AD466" s="2553"/>
    </row>
    <row r="467" spans="1:30" s="2558" customFormat="1" ht="23.85" customHeight="1">
      <c r="A467" s="436"/>
      <c r="B467" s="402"/>
      <c r="C467" s="465"/>
      <c r="D467" s="495"/>
      <c r="E467" s="888"/>
      <c r="F467" s="873"/>
      <c r="G467" s="873"/>
      <c r="H467" s="700"/>
      <c r="I467" s="1333"/>
      <c r="J467" s="514" t="s">
        <v>6040</v>
      </c>
      <c r="K467" s="2880"/>
      <c r="L467" s="2880"/>
      <c r="M467" s="2880"/>
      <c r="N467" s="2880"/>
      <c r="O467" s="2880"/>
      <c r="P467" s="2880"/>
      <c r="Q467" s="516"/>
      <c r="R467" s="2891"/>
      <c r="S467" s="516">
        <v>550000</v>
      </c>
      <c r="T467" s="516" t="s">
        <v>264</v>
      </c>
      <c r="U467" s="516"/>
      <c r="V467" s="516">
        <v>12</v>
      </c>
      <c r="W467" s="516" t="s">
        <v>200</v>
      </c>
      <c r="X467" s="517" t="s">
        <v>20</v>
      </c>
      <c r="Y467" s="724">
        <f t="shared" ref="Y467:Y472" si="166">Z467/1000</f>
        <v>6600</v>
      </c>
      <c r="Z467" s="1265">
        <f>S467*V467</f>
        <v>6600000</v>
      </c>
      <c r="AA467" s="401"/>
      <c r="AB467" s="1091"/>
      <c r="AC467" s="1095"/>
      <c r="AD467" s="2553"/>
    </row>
    <row r="468" spans="1:30" s="2558" customFormat="1" ht="23.85" customHeight="1">
      <c r="A468" s="436"/>
      <c r="B468" s="402"/>
      <c r="C468" s="465"/>
      <c r="D468" s="495"/>
      <c r="E468" s="888"/>
      <c r="F468" s="873"/>
      <c r="G468" s="873"/>
      <c r="H468" s="700"/>
      <c r="I468" s="1333"/>
      <c r="J468" s="514" t="s">
        <v>6041</v>
      </c>
      <c r="K468" s="2880"/>
      <c r="L468" s="2880"/>
      <c r="M468" s="2880"/>
      <c r="N468" s="2880"/>
      <c r="O468" s="2880"/>
      <c r="P468" s="2880"/>
      <c r="Q468" s="516"/>
      <c r="R468" s="2891"/>
      <c r="S468" s="516">
        <v>2500000</v>
      </c>
      <c r="T468" s="516" t="s">
        <v>264</v>
      </c>
      <c r="U468" s="516"/>
      <c r="V468" s="516">
        <v>2</v>
      </c>
      <c r="W468" s="516" t="s">
        <v>265</v>
      </c>
      <c r="X468" s="517" t="s">
        <v>266</v>
      </c>
      <c r="Y468" s="724">
        <f t="shared" si="166"/>
        <v>5000</v>
      </c>
      <c r="Z468" s="532">
        <f>S468*V468</f>
        <v>5000000</v>
      </c>
      <c r="AA468" s="401"/>
      <c r="AB468" s="1091"/>
      <c r="AC468" s="1095"/>
      <c r="AD468" s="2553"/>
    </row>
    <row r="469" spans="1:30" s="2558" customFormat="1" ht="23.85" customHeight="1">
      <c r="A469" s="436"/>
      <c r="B469" s="402"/>
      <c r="C469" s="465"/>
      <c r="D469" s="495"/>
      <c r="E469" s="888"/>
      <c r="F469" s="873"/>
      <c r="G469" s="873"/>
      <c r="H469" s="700"/>
      <c r="I469" s="1333"/>
      <c r="J469" s="514" t="s">
        <v>6042</v>
      </c>
      <c r="K469" s="2880"/>
      <c r="L469" s="2880"/>
      <c r="M469" s="2880"/>
      <c r="N469" s="2880"/>
      <c r="O469" s="2880"/>
      <c r="P469" s="2880"/>
      <c r="Q469" s="635"/>
      <c r="R469" s="1187"/>
      <c r="S469" s="1686">
        <v>30000000</v>
      </c>
      <c r="T469" s="516" t="s">
        <v>264</v>
      </c>
      <c r="U469" s="516"/>
      <c r="V469" s="516">
        <v>1</v>
      </c>
      <c r="W469" s="516" t="s">
        <v>196</v>
      </c>
      <c r="X469" s="516" t="s">
        <v>266</v>
      </c>
      <c r="Y469" s="724">
        <f t="shared" si="166"/>
        <v>30000</v>
      </c>
      <c r="Z469" s="532">
        <f t="shared" ref="Z469:Z472" si="167">S469*V469</f>
        <v>30000000</v>
      </c>
      <c r="AA469" s="401"/>
      <c r="AB469" s="1091"/>
      <c r="AC469" s="1095"/>
      <c r="AD469" s="2553"/>
    </row>
    <row r="470" spans="1:30" s="2558" customFormat="1" ht="23.85" customHeight="1">
      <c r="A470" s="436"/>
      <c r="B470" s="402"/>
      <c r="C470" s="465"/>
      <c r="D470" s="495"/>
      <c r="E470" s="888"/>
      <c r="F470" s="873"/>
      <c r="G470" s="873"/>
      <c r="H470" s="700"/>
      <c r="I470" s="1333"/>
      <c r="J470" s="514" t="s">
        <v>6043</v>
      </c>
      <c r="K470" s="2880"/>
      <c r="L470" s="2880"/>
      <c r="M470" s="2880"/>
      <c r="N470" s="2880"/>
      <c r="O470" s="2880"/>
      <c r="P470" s="2880"/>
      <c r="Q470" s="635"/>
      <c r="R470" s="1187"/>
      <c r="S470" s="1686">
        <v>20000000</v>
      </c>
      <c r="T470" s="516" t="s">
        <v>264</v>
      </c>
      <c r="U470" s="516"/>
      <c r="V470" s="516">
        <v>1</v>
      </c>
      <c r="W470" s="516" t="s">
        <v>196</v>
      </c>
      <c r="X470" s="516" t="s">
        <v>266</v>
      </c>
      <c r="Y470" s="724">
        <f t="shared" si="166"/>
        <v>20000</v>
      </c>
      <c r="Z470" s="532">
        <f t="shared" si="167"/>
        <v>20000000</v>
      </c>
      <c r="AA470" s="401"/>
      <c r="AB470" s="1091"/>
      <c r="AC470" s="1095"/>
      <c r="AD470" s="2553"/>
    </row>
    <row r="471" spans="1:30" s="2558" customFormat="1" ht="23.85" customHeight="1">
      <c r="A471" s="436"/>
      <c r="B471" s="402"/>
      <c r="C471" s="465"/>
      <c r="D471" s="495"/>
      <c r="E471" s="888"/>
      <c r="F471" s="873"/>
      <c r="G471" s="873"/>
      <c r="H471" s="700"/>
      <c r="I471" s="1333"/>
      <c r="J471" s="514" t="s">
        <v>6044</v>
      </c>
      <c r="K471" s="2880"/>
      <c r="L471" s="2880"/>
      <c r="M471" s="2880"/>
      <c r="N471" s="2880"/>
      <c r="O471" s="2880"/>
      <c r="P471" s="2880"/>
      <c r="Q471" s="635"/>
      <c r="R471" s="1187"/>
      <c r="S471" s="1686">
        <v>7000000</v>
      </c>
      <c r="T471" s="516" t="s">
        <v>264</v>
      </c>
      <c r="U471" s="516"/>
      <c r="V471" s="516">
        <v>2</v>
      </c>
      <c r="W471" s="516" t="s">
        <v>265</v>
      </c>
      <c r="X471" s="516" t="s">
        <v>266</v>
      </c>
      <c r="Y471" s="724">
        <f t="shared" si="166"/>
        <v>14000</v>
      </c>
      <c r="Z471" s="532">
        <f t="shared" si="167"/>
        <v>14000000</v>
      </c>
      <c r="AA471" s="401"/>
      <c r="AB471" s="1091"/>
      <c r="AC471" s="1095"/>
      <c r="AD471" s="2553"/>
    </row>
    <row r="472" spans="1:30" s="2558" customFormat="1" ht="23.85" customHeight="1">
      <c r="A472" s="436"/>
      <c r="B472" s="402"/>
      <c r="C472" s="465"/>
      <c r="D472" s="495"/>
      <c r="E472" s="888"/>
      <c r="F472" s="873"/>
      <c r="G472" s="873"/>
      <c r="H472" s="700"/>
      <c r="I472" s="1333"/>
      <c r="J472" s="514" t="s">
        <v>6045</v>
      </c>
      <c r="K472" s="2880"/>
      <c r="L472" s="2880"/>
      <c r="M472" s="2880"/>
      <c r="N472" s="2880"/>
      <c r="O472" s="2880"/>
      <c r="P472" s="2880"/>
      <c r="Q472" s="635"/>
      <c r="R472" s="1187"/>
      <c r="S472" s="1686">
        <v>10000</v>
      </c>
      <c r="T472" s="516" t="s">
        <v>264</v>
      </c>
      <c r="U472" s="516"/>
      <c r="V472" s="516">
        <v>200</v>
      </c>
      <c r="W472" s="516" t="s">
        <v>288</v>
      </c>
      <c r="X472" s="516" t="s">
        <v>266</v>
      </c>
      <c r="Y472" s="724">
        <f t="shared" si="166"/>
        <v>2000</v>
      </c>
      <c r="Z472" s="532">
        <f t="shared" si="167"/>
        <v>2000000</v>
      </c>
      <c r="AA472" s="401"/>
      <c r="AB472" s="1091"/>
      <c r="AC472" s="1095"/>
      <c r="AD472" s="2553"/>
    </row>
    <row r="473" spans="1:30" s="2558" customFormat="1" ht="23.85" customHeight="1">
      <c r="A473" s="436"/>
      <c r="B473" s="402"/>
      <c r="C473" s="465"/>
      <c r="D473" s="495"/>
      <c r="E473" s="510" t="s">
        <v>223</v>
      </c>
      <c r="F473" s="873">
        <f>Y473</f>
        <v>37580</v>
      </c>
      <c r="G473" s="873">
        <v>37580</v>
      </c>
      <c r="H473" s="700"/>
      <c r="I473" s="1333"/>
      <c r="J473" s="514" t="s">
        <v>194</v>
      </c>
      <c r="K473" s="2880" t="s">
        <v>4090</v>
      </c>
      <c r="L473" s="2880"/>
      <c r="M473" s="2880"/>
      <c r="N473" s="2880"/>
      <c r="O473" s="2880"/>
      <c r="P473" s="635"/>
      <c r="Q473" s="1685"/>
      <c r="R473" s="1187"/>
      <c r="S473" s="1686"/>
      <c r="T473" s="516"/>
      <c r="U473" s="516"/>
      <c r="V473" s="516"/>
      <c r="W473" s="516"/>
      <c r="X473" s="517"/>
      <c r="Y473" s="724">
        <f t="shared" ref="Y473:Y475" si="168">Z473/1000</f>
        <v>37580</v>
      </c>
      <c r="Z473" s="532">
        <f>SUM(Z474:Z478)</f>
        <v>37580000</v>
      </c>
      <c r="AA473" s="401"/>
      <c r="AB473" s="1091"/>
      <c r="AC473" s="1095"/>
      <c r="AD473" s="2553"/>
    </row>
    <row r="474" spans="1:30" s="2558" customFormat="1" ht="23.85" customHeight="1">
      <c r="A474" s="436"/>
      <c r="B474" s="402"/>
      <c r="C474" s="465"/>
      <c r="D474" s="495"/>
      <c r="E474" s="510"/>
      <c r="F474" s="873"/>
      <c r="G474" s="873"/>
      <c r="H474" s="700"/>
      <c r="I474" s="1333"/>
      <c r="J474" s="514" t="s">
        <v>6052</v>
      </c>
      <c r="K474" s="2880"/>
      <c r="L474" s="2880"/>
      <c r="M474" s="2880"/>
      <c r="N474" s="2880"/>
      <c r="O474" s="2880"/>
      <c r="P474" s="635"/>
      <c r="Q474" s="1685"/>
      <c r="R474" s="1187"/>
      <c r="S474" s="1686">
        <v>850000</v>
      </c>
      <c r="T474" s="516" t="s">
        <v>264</v>
      </c>
      <c r="U474" s="516">
        <v>12</v>
      </c>
      <c r="V474" s="516" t="s">
        <v>200</v>
      </c>
      <c r="W474" s="516"/>
      <c r="X474" s="517" t="s">
        <v>266</v>
      </c>
      <c r="Y474" s="724">
        <f t="shared" si="168"/>
        <v>10200</v>
      </c>
      <c r="Z474" s="532">
        <f>S474*U474</f>
        <v>10200000</v>
      </c>
      <c r="AA474" s="401"/>
      <c r="AB474" s="1091"/>
      <c r="AC474" s="1095"/>
      <c r="AD474" s="2553"/>
    </row>
    <row r="475" spans="1:30" s="2558" customFormat="1" ht="23.85" customHeight="1">
      <c r="A475" s="436"/>
      <c r="B475" s="402"/>
      <c r="C475" s="465"/>
      <c r="D475" s="495"/>
      <c r="E475" s="510"/>
      <c r="F475" s="873"/>
      <c r="G475" s="873"/>
      <c r="H475" s="700"/>
      <c r="I475" s="1333"/>
      <c r="J475" s="514" t="s">
        <v>6046</v>
      </c>
      <c r="K475" s="2880"/>
      <c r="L475" s="2880"/>
      <c r="M475" s="2880"/>
      <c r="N475" s="2880"/>
      <c r="O475" s="2880"/>
      <c r="P475" s="635"/>
      <c r="Q475" s="1685">
        <v>9</v>
      </c>
      <c r="R475" s="1187" t="s">
        <v>18</v>
      </c>
      <c r="S475" s="1686">
        <v>14000</v>
      </c>
      <c r="T475" s="516" t="s">
        <v>264</v>
      </c>
      <c r="U475" s="516">
        <v>12</v>
      </c>
      <c r="V475" s="516" t="s">
        <v>200</v>
      </c>
      <c r="W475" s="516"/>
      <c r="X475" s="517"/>
      <c r="Y475" s="724">
        <f t="shared" si="168"/>
        <v>1512</v>
      </c>
      <c r="Z475" s="532">
        <f>Q475*S475*U475</f>
        <v>1512000</v>
      </c>
      <c r="AA475" s="401"/>
      <c r="AB475" s="1091"/>
      <c r="AC475" s="1095"/>
      <c r="AD475" s="2553"/>
    </row>
    <row r="476" spans="1:30" s="2558" customFormat="1" ht="23.85" customHeight="1">
      <c r="A476" s="436"/>
      <c r="B476" s="402"/>
      <c r="C476" s="465"/>
      <c r="D476" s="495"/>
      <c r="E476" s="510"/>
      <c r="F476" s="873"/>
      <c r="G476" s="873"/>
      <c r="H476" s="700"/>
      <c r="I476" s="1333"/>
      <c r="J476" s="514" t="s">
        <v>6047</v>
      </c>
      <c r="K476" s="2880"/>
      <c r="L476" s="2880"/>
      <c r="M476" s="2880"/>
      <c r="N476" s="2880"/>
      <c r="O476" s="2880"/>
      <c r="P476" s="635"/>
      <c r="Q476" s="1685">
        <v>2</v>
      </c>
      <c r="R476" s="1187" t="s">
        <v>202</v>
      </c>
      <c r="S476" s="1686">
        <v>7000000</v>
      </c>
      <c r="T476" s="516" t="s">
        <v>264</v>
      </c>
      <c r="U476" s="516">
        <v>1</v>
      </c>
      <c r="V476" s="516" t="s">
        <v>196</v>
      </c>
      <c r="W476" s="516"/>
      <c r="X476" s="517"/>
      <c r="Y476" s="724">
        <f>Z476/1000</f>
        <v>14000</v>
      </c>
      <c r="Z476" s="532">
        <f>Q476*S476*U476</f>
        <v>14000000</v>
      </c>
      <c r="AA476" s="401"/>
      <c r="AB476" s="1091"/>
      <c r="AC476" s="1095"/>
      <c r="AD476" s="2553"/>
    </row>
    <row r="477" spans="1:30" s="2558" customFormat="1" ht="23.85" customHeight="1">
      <c r="A477" s="436"/>
      <c r="B477" s="402"/>
      <c r="C477" s="465"/>
      <c r="D477" s="495"/>
      <c r="E477" s="510"/>
      <c r="F477" s="873"/>
      <c r="G477" s="873"/>
      <c r="H477" s="700"/>
      <c r="I477" s="1333"/>
      <c r="J477" s="514" t="s">
        <v>6048</v>
      </c>
      <c r="K477" s="2880"/>
      <c r="L477" s="2880"/>
      <c r="M477" s="2880"/>
      <c r="N477" s="2880"/>
      <c r="O477" s="2880"/>
      <c r="P477" s="635"/>
      <c r="Q477" s="1685"/>
      <c r="R477" s="1187"/>
      <c r="S477" s="1686">
        <v>2268000</v>
      </c>
      <c r="T477" s="516" t="s">
        <v>264</v>
      </c>
      <c r="U477" s="516">
        <v>1</v>
      </c>
      <c r="V477" s="516" t="s">
        <v>196</v>
      </c>
      <c r="W477" s="516"/>
      <c r="X477" s="517"/>
      <c r="Y477" s="724">
        <f>Z477/1000</f>
        <v>2268</v>
      </c>
      <c r="Z477" s="532">
        <f>S477*U477</f>
        <v>2268000</v>
      </c>
      <c r="AA477" s="401"/>
      <c r="AB477" s="1091"/>
      <c r="AC477" s="1095"/>
      <c r="AD477" s="2553"/>
    </row>
    <row r="478" spans="1:30" s="2558" customFormat="1" ht="23.85" customHeight="1">
      <c r="A478" s="436"/>
      <c r="B478" s="402"/>
      <c r="C478" s="465"/>
      <c r="D478" s="495"/>
      <c r="E478" s="510"/>
      <c r="F478" s="873"/>
      <c r="G478" s="873"/>
      <c r="H478" s="700"/>
      <c r="I478" s="1333"/>
      <c r="J478" s="514" t="s">
        <v>6049</v>
      </c>
      <c r="K478" s="2880"/>
      <c r="L478" s="2880"/>
      <c r="M478" s="2880"/>
      <c r="N478" s="2880"/>
      <c r="O478" s="2880"/>
      <c r="P478" s="2880"/>
      <c r="Q478" s="1685">
        <v>1</v>
      </c>
      <c r="R478" s="1187" t="s">
        <v>18</v>
      </c>
      <c r="S478" s="1686">
        <v>800000</v>
      </c>
      <c r="T478" s="516" t="s">
        <v>264</v>
      </c>
      <c r="U478" s="516"/>
      <c r="V478" s="516">
        <v>12</v>
      </c>
      <c r="W478" s="516" t="s">
        <v>200</v>
      </c>
      <c r="X478" s="517" t="s">
        <v>266</v>
      </c>
      <c r="Y478" s="724">
        <f t="shared" ref="Y478" si="169">Z478/1000</f>
        <v>9600</v>
      </c>
      <c r="Z478" s="532">
        <f>Q478*S478*V478</f>
        <v>9600000</v>
      </c>
      <c r="AA478" s="401"/>
      <c r="AB478" s="1091"/>
      <c r="AC478" s="1095"/>
      <c r="AD478" s="2553"/>
    </row>
    <row r="479" spans="1:30" s="2558" customFormat="1" ht="23.85" customHeight="1">
      <c r="A479" s="436"/>
      <c r="B479" s="402"/>
      <c r="C479" s="465"/>
      <c r="D479" s="495"/>
      <c r="E479" s="510" t="s">
        <v>297</v>
      </c>
      <c r="F479" s="873">
        <f>Y479</f>
        <v>25700</v>
      </c>
      <c r="G479" s="873">
        <v>25700</v>
      </c>
      <c r="H479" s="700"/>
      <c r="I479" s="1333"/>
      <c r="J479" s="514" t="s">
        <v>194</v>
      </c>
      <c r="K479" s="2880"/>
      <c r="L479" s="2880"/>
      <c r="M479" s="2880"/>
      <c r="N479" s="2880"/>
      <c r="O479" s="2880"/>
      <c r="P479" s="2880"/>
      <c r="Q479" s="1685" t="s">
        <v>344</v>
      </c>
      <c r="R479" s="1187" t="s">
        <v>344</v>
      </c>
      <c r="S479" s="1686"/>
      <c r="T479" s="516"/>
      <c r="U479" s="516"/>
      <c r="V479" s="516"/>
      <c r="W479" s="516"/>
      <c r="X479" s="517"/>
      <c r="Y479" s="724">
        <f>Z479/1000</f>
        <v>25700</v>
      </c>
      <c r="Z479" s="532">
        <f>SUM(Z480:Z481)</f>
        <v>25700000</v>
      </c>
      <c r="AA479" s="401"/>
      <c r="AB479" s="1091"/>
      <c r="AC479" s="1095"/>
      <c r="AD479" s="2553"/>
    </row>
    <row r="480" spans="1:30" s="2558" customFormat="1" ht="23.85" customHeight="1">
      <c r="A480" s="436"/>
      <c r="B480" s="402"/>
      <c r="C480" s="465"/>
      <c r="D480" s="495"/>
      <c r="E480" s="510"/>
      <c r="F480" s="873"/>
      <c r="G480" s="873"/>
      <c r="H480" s="700"/>
      <c r="I480" s="1333"/>
      <c r="J480" s="514" t="s">
        <v>6050</v>
      </c>
      <c r="K480" s="2880"/>
      <c r="L480" s="2880"/>
      <c r="M480" s="2880"/>
      <c r="N480" s="2880"/>
      <c r="O480" s="2880"/>
      <c r="P480" s="2880"/>
      <c r="Q480" s="1685"/>
      <c r="R480" s="1187"/>
      <c r="S480" s="1686">
        <v>2000000</v>
      </c>
      <c r="T480" s="516" t="s">
        <v>264</v>
      </c>
      <c r="U480" s="516"/>
      <c r="V480" s="516">
        <v>12</v>
      </c>
      <c r="W480" s="516" t="s">
        <v>200</v>
      </c>
      <c r="X480" s="517" t="s">
        <v>266</v>
      </c>
      <c r="Y480" s="724">
        <f t="shared" ref="Y480:Y483" si="170">Z480/1000</f>
        <v>24000</v>
      </c>
      <c r="Z480" s="532">
        <f t="shared" ref="Z480:Z481" si="171">S480*V480</f>
        <v>24000000</v>
      </c>
      <c r="AA480" s="401"/>
      <c r="AB480" s="1091"/>
      <c r="AC480" s="1095"/>
      <c r="AD480" s="2553"/>
    </row>
    <row r="481" spans="1:30" s="2558" customFormat="1" ht="23.85" customHeight="1">
      <c r="A481" s="436"/>
      <c r="B481" s="402"/>
      <c r="C481" s="465"/>
      <c r="D481" s="495"/>
      <c r="E481" s="510"/>
      <c r="F481" s="873"/>
      <c r="G481" s="873"/>
      <c r="H481" s="700"/>
      <c r="I481" s="1333"/>
      <c r="J481" s="514" t="s">
        <v>6051</v>
      </c>
      <c r="K481" s="2880"/>
      <c r="L481" s="2880"/>
      <c r="M481" s="2880"/>
      <c r="N481" s="2880"/>
      <c r="O481" s="2880"/>
      <c r="P481" s="2880"/>
      <c r="Q481" s="1685"/>
      <c r="R481" s="1187"/>
      <c r="S481" s="1686">
        <v>212500</v>
      </c>
      <c r="T481" s="516" t="s">
        <v>264</v>
      </c>
      <c r="U481" s="516"/>
      <c r="V481" s="516">
        <v>8</v>
      </c>
      <c r="W481" s="516" t="s">
        <v>200</v>
      </c>
      <c r="X481" s="517" t="s">
        <v>266</v>
      </c>
      <c r="Y481" s="724">
        <f t="shared" si="170"/>
        <v>1700</v>
      </c>
      <c r="Z481" s="532">
        <f t="shared" si="171"/>
        <v>1700000</v>
      </c>
      <c r="AA481" s="401"/>
      <c r="AB481" s="1091"/>
      <c r="AC481" s="1095"/>
      <c r="AD481" s="2553"/>
    </row>
    <row r="482" spans="1:30" s="2558" customFormat="1" ht="23.85" customHeight="1">
      <c r="A482" s="436"/>
      <c r="B482" s="402"/>
      <c r="C482" s="465"/>
      <c r="D482" s="495"/>
      <c r="E482" s="888" t="s">
        <v>602</v>
      </c>
      <c r="F482" s="873">
        <f>Y482</f>
        <v>10600</v>
      </c>
      <c r="G482" s="873">
        <v>600</v>
      </c>
      <c r="H482" s="700"/>
      <c r="I482" s="1333"/>
      <c r="J482" s="514" t="s">
        <v>5770</v>
      </c>
      <c r="K482" s="2880"/>
      <c r="L482" s="2880"/>
      <c r="M482" s="2880"/>
      <c r="N482" s="2880"/>
      <c r="O482" s="2880"/>
      <c r="P482" s="2880"/>
      <c r="Q482" s="635"/>
      <c r="R482" s="1187"/>
      <c r="S482" s="1686">
        <v>2650000</v>
      </c>
      <c r="T482" s="516" t="s">
        <v>264</v>
      </c>
      <c r="U482" s="516"/>
      <c r="V482" s="516">
        <v>4</v>
      </c>
      <c r="W482" s="516" t="s">
        <v>265</v>
      </c>
      <c r="X482" s="516" t="s">
        <v>266</v>
      </c>
      <c r="Y482" s="724">
        <f t="shared" si="170"/>
        <v>10600</v>
      </c>
      <c r="Z482" s="532">
        <f>S482*V482</f>
        <v>10600000</v>
      </c>
      <c r="AA482" s="401"/>
      <c r="AB482" s="1091"/>
      <c r="AC482" s="1095"/>
      <c r="AD482" s="2553"/>
    </row>
    <row r="483" spans="1:30" s="2558" customFormat="1" ht="23.85" customHeight="1">
      <c r="A483" s="436"/>
      <c r="B483" s="402"/>
      <c r="C483" s="465"/>
      <c r="D483" s="495"/>
      <c r="E483" s="2825" t="s">
        <v>271</v>
      </c>
      <c r="F483" s="1392">
        <f t="shared" ref="F483" si="172">Y483</f>
        <v>6000</v>
      </c>
      <c r="G483" s="1392">
        <v>6000</v>
      </c>
      <c r="H483" s="700"/>
      <c r="I483" s="1333"/>
      <c r="J483" s="1150" t="s">
        <v>4175</v>
      </c>
      <c r="K483" s="1151"/>
      <c r="L483" s="2410"/>
      <c r="M483" s="2410"/>
      <c r="N483" s="2410"/>
      <c r="O483" s="2410"/>
      <c r="P483" s="2410"/>
      <c r="Q483" s="1151"/>
      <c r="R483" s="2386"/>
      <c r="S483" s="710">
        <v>100000</v>
      </c>
      <c r="T483" s="1151" t="s">
        <v>264</v>
      </c>
      <c r="U483" s="1151"/>
      <c r="V483" s="1151">
        <v>60</v>
      </c>
      <c r="W483" s="1151" t="s">
        <v>265</v>
      </c>
      <c r="X483" s="1151" t="s">
        <v>266</v>
      </c>
      <c r="Y483" s="2773">
        <f t="shared" si="170"/>
        <v>6000</v>
      </c>
      <c r="Z483" s="735">
        <f>S483*V483</f>
        <v>6000000</v>
      </c>
      <c r="AA483" s="401"/>
      <c r="AB483" s="1091"/>
      <c r="AC483" s="1095"/>
      <c r="AD483" s="2553"/>
    </row>
    <row r="484" spans="1:30" s="2558" customFormat="1" ht="23.85" customHeight="1">
      <c r="A484" s="436"/>
      <c r="B484" s="465"/>
      <c r="C484" s="3386" t="s">
        <v>4176</v>
      </c>
      <c r="D484" s="3386"/>
      <c r="E484" s="3542"/>
      <c r="F484" s="600">
        <f>F485+F495</f>
        <v>3800000</v>
      </c>
      <c r="G484" s="600">
        <f>G485+G495</f>
        <v>3800000</v>
      </c>
      <c r="H484" s="468">
        <f>F484-G484</f>
        <v>0</v>
      </c>
      <c r="I484" s="409"/>
      <c r="J484" s="1627"/>
      <c r="K484" s="2619"/>
      <c r="L484" s="2619"/>
      <c r="M484" s="2619"/>
      <c r="N484" s="2619"/>
      <c r="O484" s="2619"/>
      <c r="P484" s="2619"/>
      <c r="Q484" s="459"/>
      <c r="R484" s="459"/>
      <c r="S484" s="459"/>
      <c r="T484" s="459"/>
      <c r="U484" s="459"/>
      <c r="V484" s="459"/>
      <c r="W484" s="459"/>
      <c r="X484" s="460"/>
      <c r="Y484" s="549"/>
      <c r="Z484" s="400"/>
      <c r="AA484" s="401"/>
      <c r="AB484" s="1091">
        <f>F484</f>
        <v>3800000</v>
      </c>
      <c r="AC484" s="1095"/>
      <c r="AD484" s="2553"/>
    </row>
    <row r="485" spans="1:30" s="2558" customFormat="1" ht="23.85" customHeight="1">
      <c r="A485" s="436"/>
      <c r="B485" s="412"/>
      <c r="C485" s="809"/>
      <c r="D485" s="3543" t="s">
        <v>4177</v>
      </c>
      <c r="E485" s="3543"/>
      <c r="F485" s="1683">
        <f>SUM(F486:F494)</f>
        <v>3400000</v>
      </c>
      <c r="G485" s="1683">
        <f>SUM(G486:G494)</f>
        <v>3400000</v>
      </c>
      <c r="H485" s="468">
        <f>F485-G485</f>
        <v>0</v>
      </c>
      <c r="I485" s="409"/>
      <c r="J485" s="1135"/>
      <c r="K485" s="2598"/>
      <c r="L485" s="2598"/>
      <c r="M485" s="2598"/>
      <c r="N485" s="2598"/>
      <c r="O485" s="2598"/>
      <c r="P485" s="2598"/>
      <c r="Q485" s="2598"/>
      <c r="R485" s="395"/>
      <c r="S485" s="1136"/>
      <c r="T485" s="1136"/>
      <c r="U485" s="1136"/>
      <c r="V485" s="1136"/>
      <c r="W485" s="1136"/>
      <c r="X485" s="1138"/>
      <c r="Y485" s="431"/>
      <c r="Z485" s="463"/>
      <c r="AA485" s="401"/>
      <c r="AB485" s="1091"/>
      <c r="AC485" s="1095"/>
      <c r="AD485" s="2553"/>
    </row>
    <row r="486" spans="1:30" s="2558" customFormat="1" ht="23.85" customHeight="1">
      <c r="A486" s="436"/>
      <c r="B486" s="412"/>
      <c r="C486" s="1454"/>
      <c r="D486" s="1454"/>
      <c r="E486" s="1134" t="s">
        <v>269</v>
      </c>
      <c r="F486" s="403">
        <f>Y486</f>
        <v>52000</v>
      </c>
      <c r="G486" s="403">
        <v>52000</v>
      </c>
      <c r="H486" s="700">
        <f>F486-G486</f>
        <v>0</v>
      </c>
      <c r="I486" s="409"/>
      <c r="J486" s="2899" t="s">
        <v>194</v>
      </c>
      <c r="K486" s="2889"/>
      <c r="L486" s="2889"/>
      <c r="M486" s="2889"/>
      <c r="N486" s="2889"/>
      <c r="O486" s="2889"/>
      <c r="P486" s="1671"/>
      <c r="Q486" s="1671" t="s">
        <v>344</v>
      </c>
      <c r="R486" s="405" t="s">
        <v>344</v>
      </c>
      <c r="S486" s="1672"/>
      <c r="T486" s="2900"/>
      <c r="U486" s="2900"/>
      <c r="V486" s="2900"/>
      <c r="W486" s="2900"/>
      <c r="X486" s="1140"/>
      <c r="Y486" s="406">
        <f t="shared" ref="Y486:Y488" si="173">Z486/1000</f>
        <v>52000</v>
      </c>
      <c r="Z486" s="1098">
        <f>SUM(Z487:Z488)</f>
        <v>52000000</v>
      </c>
      <c r="AA486" s="401"/>
      <c r="AB486" s="1091"/>
      <c r="AC486" s="1095"/>
      <c r="AD486" s="2553"/>
    </row>
    <row r="487" spans="1:30" s="2558" customFormat="1" ht="23.85" customHeight="1">
      <c r="A487" s="436"/>
      <c r="B487" s="412"/>
      <c r="C487" s="465"/>
      <c r="D487" s="465"/>
      <c r="E487" s="389"/>
      <c r="F487" s="403"/>
      <c r="G487" s="403"/>
      <c r="H487" s="404"/>
      <c r="I487" s="409"/>
      <c r="J487" s="2899" t="s">
        <v>5760</v>
      </c>
      <c r="K487" s="2889"/>
      <c r="L487" s="2889"/>
      <c r="M487" s="2889"/>
      <c r="N487" s="2889"/>
      <c r="O487" s="2889"/>
      <c r="P487" s="1671"/>
      <c r="Q487" s="1671"/>
      <c r="R487" s="405"/>
      <c r="S487" s="1672">
        <v>5000000</v>
      </c>
      <c r="T487" s="2900" t="s">
        <v>264</v>
      </c>
      <c r="U487" s="2900"/>
      <c r="V487" s="2900">
        <v>10</v>
      </c>
      <c r="W487" s="2900" t="s">
        <v>49</v>
      </c>
      <c r="X487" s="1140" t="s">
        <v>266</v>
      </c>
      <c r="Y487" s="406">
        <f t="shared" si="173"/>
        <v>50000</v>
      </c>
      <c r="Z487" s="1098">
        <f>S487*V487</f>
        <v>50000000</v>
      </c>
      <c r="AA487" s="401"/>
      <c r="AB487" s="1091"/>
      <c r="AC487" s="1095"/>
      <c r="AD487" s="2553"/>
    </row>
    <row r="488" spans="1:30" s="2558" customFormat="1" ht="23.85" customHeight="1">
      <c r="A488" s="436"/>
      <c r="B488" s="412"/>
      <c r="C488" s="465"/>
      <c r="D488" s="465"/>
      <c r="E488" s="389"/>
      <c r="F488" s="403"/>
      <c r="G488" s="403"/>
      <c r="H488" s="404"/>
      <c r="I488" s="409"/>
      <c r="J488" s="2899" t="s">
        <v>5761</v>
      </c>
      <c r="K488" s="2889"/>
      <c r="L488" s="2889"/>
      <c r="M488" s="2889"/>
      <c r="N488" s="2889"/>
      <c r="O488" s="2889"/>
      <c r="P488" s="1671"/>
      <c r="Q488" s="1671"/>
      <c r="R488" s="405"/>
      <c r="S488" s="1672">
        <v>200000</v>
      </c>
      <c r="T488" s="2900" t="s">
        <v>264</v>
      </c>
      <c r="U488" s="2900"/>
      <c r="V488" s="2900">
        <v>10</v>
      </c>
      <c r="W488" s="2900" t="s">
        <v>265</v>
      </c>
      <c r="X488" s="1140" t="s">
        <v>266</v>
      </c>
      <c r="Y488" s="406">
        <f t="shared" si="173"/>
        <v>2000</v>
      </c>
      <c r="Z488" s="1098">
        <f>S488*V488</f>
        <v>2000000</v>
      </c>
      <c r="AA488" s="401"/>
      <c r="AB488" s="1091"/>
      <c r="AC488" s="1095"/>
      <c r="AD488" s="2553"/>
    </row>
    <row r="489" spans="1:30" s="2558" customFormat="1" ht="23.85" customHeight="1">
      <c r="A489" s="436"/>
      <c r="B489" s="412"/>
      <c r="C489" s="465"/>
      <c r="D489" s="542"/>
      <c r="E489" s="389" t="s">
        <v>3740</v>
      </c>
      <c r="F489" s="598">
        <f>Y489</f>
        <v>3348000</v>
      </c>
      <c r="G489" s="598">
        <v>3348000</v>
      </c>
      <c r="H489" s="700"/>
      <c r="I489" s="409"/>
      <c r="J489" s="2643" t="s">
        <v>3447</v>
      </c>
      <c r="K489" s="2624"/>
      <c r="L489" s="2624"/>
      <c r="M489" s="2624"/>
      <c r="N489" s="2624"/>
      <c r="O489" s="2624"/>
      <c r="P489" s="2624"/>
      <c r="Q489" s="2644"/>
      <c r="R489" s="2644"/>
      <c r="S489" s="2644"/>
      <c r="T489" s="2644"/>
      <c r="U489" s="2644"/>
      <c r="V489" s="2644"/>
      <c r="W489" s="2644"/>
      <c r="X489" s="1140"/>
      <c r="Y489" s="406">
        <f>+Z489/1000</f>
        <v>3348000</v>
      </c>
      <c r="Z489" s="407">
        <f>SUM(Z490:Z494)</f>
        <v>3348000000</v>
      </c>
      <c r="AA489" s="401"/>
      <c r="AB489" s="1091"/>
      <c r="AC489" s="1095"/>
      <c r="AD489" s="2553"/>
    </row>
    <row r="490" spans="1:30" s="2558" customFormat="1" ht="23.85" customHeight="1">
      <c r="A490" s="436"/>
      <c r="B490" s="412"/>
      <c r="C490" s="465"/>
      <c r="D490" s="542"/>
      <c r="E490" s="389"/>
      <c r="F490" s="598"/>
      <c r="G490" s="598"/>
      <c r="H490" s="404"/>
      <c r="I490" s="409"/>
      <c r="J490" s="1670" t="s">
        <v>4178</v>
      </c>
      <c r="K490" s="2624"/>
      <c r="L490" s="2624"/>
      <c r="M490" s="2624"/>
      <c r="N490" s="2624"/>
      <c r="O490" s="2624"/>
      <c r="P490" s="2624"/>
      <c r="Q490" s="2644"/>
      <c r="R490" s="2644"/>
      <c r="S490" s="2644">
        <v>2848000000</v>
      </c>
      <c r="T490" s="2644" t="s">
        <v>3727</v>
      </c>
      <c r="U490" s="2644"/>
      <c r="V490" s="2644">
        <v>1</v>
      </c>
      <c r="W490" s="2644" t="s">
        <v>3440</v>
      </c>
      <c r="X490" s="1140" t="s">
        <v>3441</v>
      </c>
      <c r="Y490" s="406">
        <f t="shared" ref="Y490:Y494" si="174">Z490/1000</f>
        <v>2848000</v>
      </c>
      <c r="Z490" s="407">
        <f>S490*V490</f>
        <v>2848000000</v>
      </c>
      <c r="AA490" s="401"/>
      <c r="AB490" s="1091"/>
      <c r="AC490" s="1095"/>
      <c r="AD490" s="2553"/>
    </row>
    <row r="491" spans="1:30" s="2558" customFormat="1" ht="23.85" customHeight="1">
      <c r="A491" s="436"/>
      <c r="B491" s="412"/>
      <c r="C491" s="465"/>
      <c r="D491" s="542"/>
      <c r="E491" s="389"/>
      <c r="F491" s="598"/>
      <c r="G491" s="598"/>
      <c r="H491" s="404"/>
      <c r="I491" s="409"/>
      <c r="J491" s="1670" t="s">
        <v>4179</v>
      </c>
      <c r="K491" s="2624"/>
      <c r="L491" s="2624"/>
      <c r="M491" s="2624"/>
      <c r="N491" s="2624"/>
      <c r="O491" s="2624"/>
      <c r="P491" s="2624"/>
      <c r="Q491" s="2644"/>
      <c r="R491" s="2644"/>
      <c r="S491" s="2644">
        <v>145000000</v>
      </c>
      <c r="T491" s="2644" t="s">
        <v>3727</v>
      </c>
      <c r="U491" s="2644"/>
      <c r="V491" s="2644">
        <v>1</v>
      </c>
      <c r="W491" s="2644" t="s">
        <v>3440</v>
      </c>
      <c r="X491" s="1140" t="s">
        <v>3441</v>
      </c>
      <c r="Y491" s="406">
        <f t="shared" si="174"/>
        <v>145000</v>
      </c>
      <c r="Z491" s="407">
        <f>S491*V491</f>
        <v>145000000</v>
      </c>
      <c r="AA491" s="401"/>
      <c r="AB491" s="1091"/>
      <c r="AC491" s="1095"/>
      <c r="AD491" s="2553"/>
    </row>
    <row r="492" spans="1:30" s="2558" customFormat="1" ht="23.85" customHeight="1">
      <c r="A492" s="436"/>
      <c r="B492" s="412"/>
      <c r="C492" s="465"/>
      <c r="D492" s="542"/>
      <c r="E492" s="389"/>
      <c r="F492" s="598"/>
      <c r="G492" s="598"/>
      <c r="H492" s="404"/>
      <c r="I492" s="409"/>
      <c r="J492" s="1670" t="s">
        <v>4180</v>
      </c>
      <c r="K492" s="2624"/>
      <c r="L492" s="2624"/>
      <c r="M492" s="2624"/>
      <c r="N492" s="2624"/>
      <c r="O492" s="2624"/>
      <c r="P492" s="2624"/>
      <c r="Q492" s="2644"/>
      <c r="R492" s="2644"/>
      <c r="S492" s="2644">
        <v>50000000</v>
      </c>
      <c r="T492" s="2644" t="s">
        <v>3727</v>
      </c>
      <c r="U492" s="2644"/>
      <c r="V492" s="2644">
        <v>1</v>
      </c>
      <c r="W492" s="2644" t="s">
        <v>3440</v>
      </c>
      <c r="X492" s="1140" t="s">
        <v>3441</v>
      </c>
      <c r="Y492" s="406">
        <f t="shared" si="174"/>
        <v>50000</v>
      </c>
      <c r="Z492" s="407">
        <f>S492*V492</f>
        <v>50000000</v>
      </c>
      <c r="AA492" s="401"/>
      <c r="AB492" s="1091"/>
      <c r="AC492" s="1095"/>
      <c r="AD492" s="2553"/>
    </row>
    <row r="493" spans="1:30" s="2558" customFormat="1" ht="23.85" customHeight="1">
      <c r="A493" s="436"/>
      <c r="B493" s="412"/>
      <c r="C493" s="465"/>
      <c r="D493" s="542"/>
      <c r="E493" s="389"/>
      <c r="F493" s="598"/>
      <c r="G493" s="598"/>
      <c r="H493" s="404"/>
      <c r="I493" s="409"/>
      <c r="J493" s="1670" t="s">
        <v>4181</v>
      </c>
      <c r="K493" s="2624"/>
      <c r="L493" s="2624"/>
      <c r="M493" s="2624"/>
      <c r="N493" s="2624"/>
      <c r="O493" s="2624"/>
      <c r="P493" s="2624"/>
      <c r="Q493" s="2644"/>
      <c r="R493" s="2644"/>
      <c r="S493" s="2644">
        <v>35000000</v>
      </c>
      <c r="T493" s="2644" t="s">
        <v>3727</v>
      </c>
      <c r="U493" s="2644"/>
      <c r="V493" s="2644">
        <v>1</v>
      </c>
      <c r="W493" s="2644" t="s">
        <v>3440</v>
      </c>
      <c r="X493" s="1140" t="s">
        <v>3441</v>
      </c>
      <c r="Y493" s="406">
        <f t="shared" si="174"/>
        <v>35000</v>
      </c>
      <c r="Z493" s="407">
        <f>S493*V493</f>
        <v>35000000</v>
      </c>
      <c r="AA493" s="401"/>
      <c r="AB493" s="1091"/>
      <c r="AC493" s="1095"/>
      <c r="AD493" s="2553"/>
    </row>
    <row r="494" spans="1:30" s="2558" customFormat="1" ht="23.85" customHeight="1">
      <c r="A494" s="436"/>
      <c r="B494" s="412"/>
      <c r="C494" s="465"/>
      <c r="D494" s="542"/>
      <c r="E494" s="389"/>
      <c r="F494" s="598"/>
      <c r="G494" s="598"/>
      <c r="H494" s="404"/>
      <c r="I494" s="409"/>
      <c r="J494" s="1670" t="s">
        <v>4182</v>
      </c>
      <c r="K494" s="2624"/>
      <c r="L494" s="2624"/>
      <c r="M494" s="2624"/>
      <c r="N494" s="2624"/>
      <c r="O494" s="2624"/>
      <c r="P494" s="2624"/>
      <c r="Q494" s="2644"/>
      <c r="R494" s="2644"/>
      <c r="S494" s="2644">
        <v>270000000</v>
      </c>
      <c r="T494" s="2644" t="s">
        <v>3727</v>
      </c>
      <c r="U494" s="2644"/>
      <c r="V494" s="2644">
        <v>1</v>
      </c>
      <c r="W494" s="2644" t="s">
        <v>3440</v>
      </c>
      <c r="X494" s="1140" t="s">
        <v>3441</v>
      </c>
      <c r="Y494" s="406">
        <f t="shared" si="174"/>
        <v>270000</v>
      </c>
      <c r="Z494" s="407">
        <f>S494*V494</f>
        <v>270000000</v>
      </c>
      <c r="AA494" s="401"/>
      <c r="AB494" s="1091"/>
      <c r="AC494" s="1095"/>
      <c r="AD494" s="2553"/>
    </row>
    <row r="495" spans="1:30" s="2558" customFormat="1" ht="23.85" customHeight="1">
      <c r="A495" s="436"/>
      <c r="B495" s="465"/>
      <c r="C495" s="465"/>
      <c r="D495" s="3539" t="s">
        <v>4183</v>
      </c>
      <c r="E495" s="3539"/>
      <c r="F495" s="385">
        <f>SUM(F496:F509)</f>
        <v>400000</v>
      </c>
      <c r="G495" s="385">
        <f>SUM(G496:G509)</f>
        <v>400000</v>
      </c>
      <c r="H495" s="468">
        <f>F495-G495</f>
        <v>0</v>
      </c>
      <c r="I495" s="409"/>
      <c r="J495" s="1135"/>
      <c r="K495" s="2598"/>
      <c r="L495" s="2598"/>
      <c r="M495" s="2598"/>
      <c r="N495" s="2598"/>
      <c r="O495" s="2598"/>
      <c r="P495" s="2598"/>
      <c r="Q495" s="836"/>
      <c r="R495" s="395"/>
      <c r="S495" s="399"/>
      <c r="T495" s="1136"/>
      <c r="U495" s="1136"/>
      <c r="V495" s="1136"/>
      <c r="W495" s="1136"/>
      <c r="X495" s="1138"/>
      <c r="Y495" s="377"/>
      <c r="Z495" s="463"/>
      <c r="AA495" s="401"/>
      <c r="AB495" s="1091"/>
      <c r="AC495" s="1095"/>
      <c r="AD495" s="2553"/>
    </row>
    <row r="496" spans="1:30" s="2558" customFormat="1" ht="23.85" customHeight="1">
      <c r="A496" s="436"/>
      <c r="B496" s="465"/>
      <c r="C496" s="465"/>
      <c r="D496" s="1131"/>
      <c r="E496" s="350" t="s">
        <v>59</v>
      </c>
      <c r="F496" s="383">
        <f t="shared" ref="F496" si="175">Y496</f>
        <v>82500</v>
      </c>
      <c r="G496" s="383">
        <v>82500</v>
      </c>
      <c r="H496" s="404"/>
      <c r="I496" s="409"/>
      <c r="J496" s="2899" t="s">
        <v>4185</v>
      </c>
      <c r="K496" s="2889"/>
      <c r="L496" s="2889"/>
      <c r="M496" s="2889"/>
      <c r="N496" s="2889"/>
      <c r="O496" s="2889"/>
      <c r="P496" s="2889"/>
      <c r="Q496" s="408">
        <v>3</v>
      </c>
      <c r="R496" s="2895" t="s">
        <v>33</v>
      </c>
      <c r="S496" s="1672">
        <v>2500000</v>
      </c>
      <c r="T496" s="2900" t="s">
        <v>264</v>
      </c>
      <c r="U496" s="2900"/>
      <c r="V496" s="2900">
        <v>11</v>
      </c>
      <c r="W496" s="2900" t="s">
        <v>200</v>
      </c>
      <c r="X496" s="1140" t="s">
        <v>266</v>
      </c>
      <c r="Y496" s="406">
        <f t="shared" ref="Y496" si="176">Z496/1000</f>
        <v>82500</v>
      </c>
      <c r="Z496" s="407">
        <f>Q496*S496*V496</f>
        <v>82500000</v>
      </c>
      <c r="AA496" s="401"/>
      <c r="AB496" s="1091"/>
      <c r="AC496" s="1095"/>
      <c r="AD496" s="2553"/>
    </row>
    <row r="497" spans="1:30" s="2558" customFormat="1" ht="23.85" customHeight="1">
      <c r="A497" s="436"/>
      <c r="B497" s="465"/>
      <c r="C497" s="465"/>
      <c r="D497" s="1131"/>
      <c r="E497" s="1126" t="s">
        <v>4013</v>
      </c>
      <c r="F497" s="383">
        <f t="shared" ref="F497:F498" si="177">Y497</f>
        <v>1000</v>
      </c>
      <c r="G497" s="383">
        <v>1000</v>
      </c>
      <c r="H497" s="404"/>
      <c r="I497" s="409"/>
      <c r="J497" s="2643" t="s">
        <v>4184</v>
      </c>
      <c r="K497" s="2624"/>
      <c r="L497" s="2624"/>
      <c r="M497" s="2624"/>
      <c r="N497" s="2624"/>
      <c r="O497" s="2624"/>
      <c r="P497" s="2624"/>
      <c r="Q497" s="408"/>
      <c r="R497" s="2630"/>
      <c r="S497" s="1672">
        <v>1000000</v>
      </c>
      <c r="T497" s="2644" t="s">
        <v>3727</v>
      </c>
      <c r="U497" s="2644"/>
      <c r="V497" s="2644">
        <v>1</v>
      </c>
      <c r="W497" s="2644" t="s">
        <v>3440</v>
      </c>
      <c r="X497" s="1140" t="s">
        <v>3441</v>
      </c>
      <c r="Y497" s="406">
        <f t="shared" ref="Y497:Y503" si="178">Z497/1000</f>
        <v>1000</v>
      </c>
      <c r="Z497" s="407">
        <f>S497*V497</f>
        <v>1000000</v>
      </c>
      <c r="AA497" s="401"/>
      <c r="AB497" s="1091"/>
      <c r="AC497" s="1095"/>
      <c r="AD497" s="2553"/>
    </row>
    <row r="498" spans="1:30" s="2558" customFormat="1" ht="23.85" customHeight="1">
      <c r="A498" s="436"/>
      <c r="B498" s="465"/>
      <c r="C498" s="465"/>
      <c r="D498" s="1131"/>
      <c r="E498" s="1126" t="s">
        <v>4017</v>
      </c>
      <c r="F498" s="383">
        <f t="shared" si="177"/>
        <v>15600</v>
      </c>
      <c r="G498" s="383">
        <v>15600</v>
      </c>
      <c r="H498" s="404"/>
      <c r="I498" s="409"/>
      <c r="J498" s="2643" t="s">
        <v>3447</v>
      </c>
      <c r="K498" s="2624"/>
      <c r="L498" s="2624"/>
      <c r="M498" s="2624"/>
      <c r="N498" s="2624"/>
      <c r="O498" s="2624"/>
      <c r="P498" s="1671"/>
      <c r="Q498" s="1671" t="s">
        <v>4084</v>
      </c>
      <c r="R498" s="405" t="s">
        <v>4084</v>
      </c>
      <c r="S498" s="1672"/>
      <c r="T498" s="2644"/>
      <c r="U498" s="2644"/>
      <c r="V498" s="2644"/>
      <c r="W498" s="2644"/>
      <c r="X498" s="1140"/>
      <c r="Y498" s="406">
        <f t="shared" si="178"/>
        <v>15600</v>
      </c>
      <c r="Z498" s="1098">
        <f>SUM(Z499:Z500)</f>
        <v>15600000</v>
      </c>
      <c r="AA498" s="401"/>
      <c r="AB498" s="1091"/>
      <c r="AC498" s="1095"/>
      <c r="AD498" s="2553"/>
    </row>
    <row r="499" spans="1:30" s="2558" customFormat="1" ht="23.85" customHeight="1">
      <c r="A499" s="436"/>
      <c r="B499" s="465"/>
      <c r="C499" s="465"/>
      <c r="D499" s="1131"/>
      <c r="E499" s="389"/>
      <c r="F499" s="383"/>
      <c r="G499" s="383"/>
      <c r="H499" s="404"/>
      <c r="I499" s="409"/>
      <c r="J499" s="2939" t="s">
        <v>6053</v>
      </c>
      <c r="K499" s="2624"/>
      <c r="L499" s="2624"/>
      <c r="M499" s="2624"/>
      <c r="N499" s="2624"/>
      <c r="O499" s="2624"/>
      <c r="P499" s="2624"/>
      <c r="Q499" s="408">
        <v>3</v>
      </c>
      <c r="R499" s="2630" t="s">
        <v>4003</v>
      </c>
      <c r="S499" s="1672">
        <v>3000000</v>
      </c>
      <c r="T499" s="2644" t="s">
        <v>3727</v>
      </c>
      <c r="U499" s="2644"/>
      <c r="V499" s="2644">
        <v>1</v>
      </c>
      <c r="W499" s="2644" t="s">
        <v>3732</v>
      </c>
      <c r="X499" s="1140" t="s">
        <v>3441</v>
      </c>
      <c r="Y499" s="406">
        <f t="shared" si="178"/>
        <v>9000</v>
      </c>
      <c r="Z499" s="407">
        <f>Q499*S499*V499</f>
        <v>9000000</v>
      </c>
      <c r="AA499" s="401"/>
      <c r="AB499" s="1091"/>
      <c r="AC499" s="1095"/>
      <c r="AD499" s="2553"/>
    </row>
    <row r="500" spans="1:30" s="2558" customFormat="1" ht="24.6" customHeight="1">
      <c r="A500" s="436"/>
      <c r="B500" s="402"/>
      <c r="C500" s="465"/>
      <c r="D500" s="1131"/>
      <c r="E500" s="389"/>
      <c r="F500" s="403"/>
      <c r="G500" s="403"/>
      <c r="H500" s="404"/>
      <c r="I500" s="409"/>
      <c r="J500" s="2939" t="s">
        <v>5750</v>
      </c>
      <c r="K500" s="2624"/>
      <c r="L500" s="2624"/>
      <c r="M500" s="2624"/>
      <c r="N500" s="2624"/>
      <c r="O500" s="2624"/>
      <c r="P500" s="1671"/>
      <c r="Q500" s="408">
        <v>3</v>
      </c>
      <c r="R500" s="2630" t="s">
        <v>4003</v>
      </c>
      <c r="S500" s="1672">
        <v>200000</v>
      </c>
      <c r="T500" s="2644" t="s">
        <v>3727</v>
      </c>
      <c r="U500" s="2644"/>
      <c r="V500" s="2644">
        <v>11</v>
      </c>
      <c r="W500" s="2644" t="s">
        <v>3743</v>
      </c>
      <c r="X500" s="1140" t="s">
        <v>3441</v>
      </c>
      <c r="Y500" s="406">
        <f t="shared" si="178"/>
        <v>6600</v>
      </c>
      <c r="Z500" s="407">
        <f>Q500*S500*V500</f>
        <v>6600000</v>
      </c>
      <c r="AA500" s="401"/>
      <c r="AB500" s="1091"/>
      <c r="AC500" s="1095"/>
      <c r="AD500" s="2553"/>
    </row>
    <row r="501" spans="1:30" s="2558" customFormat="1" ht="21.6" customHeight="1">
      <c r="A501" s="436"/>
      <c r="B501" s="465"/>
      <c r="C501" s="465"/>
      <c r="D501" s="1131"/>
      <c r="E501" s="1134" t="s">
        <v>4022</v>
      </c>
      <c r="F501" s="383">
        <f t="shared" ref="F501" si="179">Y501</f>
        <v>129800</v>
      </c>
      <c r="G501" s="383">
        <v>129800</v>
      </c>
      <c r="H501" s="404"/>
      <c r="I501" s="409"/>
      <c r="J501" s="2643" t="s">
        <v>3447</v>
      </c>
      <c r="K501" s="2624"/>
      <c r="L501" s="2624"/>
      <c r="M501" s="2624"/>
      <c r="N501" s="2624"/>
      <c r="O501" s="2624"/>
      <c r="P501" s="1671"/>
      <c r="Q501" s="1671" t="s">
        <v>4084</v>
      </c>
      <c r="R501" s="405" t="s">
        <v>4084</v>
      </c>
      <c r="S501" s="1672"/>
      <c r="T501" s="2644"/>
      <c r="U501" s="2644"/>
      <c r="V501" s="2644"/>
      <c r="W501" s="2644"/>
      <c r="X501" s="1140"/>
      <c r="Y501" s="406">
        <f t="shared" si="178"/>
        <v>129800</v>
      </c>
      <c r="Z501" s="1098">
        <f>SUM(Z502:Z503)</f>
        <v>129800000</v>
      </c>
      <c r="AA501" s="401"/>
      <c r="AB501" s="1091"/>
      <c r="AC501" s="1095"/>
      <c r="AD501" s="2553"/>
    </row>
    <row r="502" spans="1:30" s="2558" customFormat="1" ht="21.6" customHeight="1">
      <c r="A502" s="436"/>
      <c r="B502" s="465"/>
      <c r="C502" s="465"/>
      <c r="D502" s="465"/>
      <c r="E502" s="389"/>
      <c r="F502" s="383"/>
      <c r="G502" s="383"/>
      <c r="H502" s="404"/>
      <c r="I502" s="409"/>
      <c r="J502" s="2939" t="s">
        <v>6054</v>
      </c>
      <c r="K502" s="2624"/>
      <c r="L502" s="2624"/>
      <c r="M502" s="2624"/>
      <c r="N502" s="2624"/>
      <c r="O502" s="2624"/>
      <c r="P502" s="2624"/>
      <c r="Q502" s="408">
        <v>3</v>
      </c>
      <c r="R502" s="2630" t="s">
        <v>4003</v>
      </c>
      <c r="S502" s="1672">
        <v>300000</v>
      </c>
      <c r="T502" s="2644" t="s">
        <v>3727</v>
      </c>
      <c r="U502" s="2644"/>
      <c r="V502" s="2644">
        <v>7</v>
      </c>
      <c r="W502" s="2644" t="s">
        <v>3732</v>
      </c>
      <c r="X502" s="1140" t="s">
        <v>3441</v>
      </c>
      <c r="Y502" s="406">
        <f t="shared" si="178"/>
        <v>6300</v>
      </c>
      <c r="Z502" s="407">
        <f>Q502*S502*V502</f>
        <v>6300000</v>
      </c>
      <c r="AA502" s="401"/>
      <c r="AB502" s="1091"/>
      <c r="AC502" s="1095"/>
      <c r="AD502" s="2553"/>
    </row>
    <row r="503" spans="1:30" s="2558" customFormat="1" ht="21.6" customHeight="1">
      <c r="A503" s="436"/>
      <c r="B503" s="465"/>
      <c r="C503" s="465"/>
      <c r="D503" s="1131"/>
      <c r="E503" s="389"/>
      <c r="F503" s="383"/>
      <c r="G503" s="383"/>
      <c r="H503" s="404"/>
      <c r="I503" s="409"/>
      <c r="J503" s="2939" t="s">
        <v>4565</v>
      </c>
      <c r="K503" s="2624"/>
      <c r="L503" s="2624"/>
      <c r="M503" s="2624"/>
      <c r="N503" s="2624"/>
      <c r="O503" s="2624"/>
      <c r="P503" s="1671"/>
      <c r="Q503" s="1671"/>
      <c r="R503" s="405"/>
      <c r="S503" s="1672">
        <v>3800000000</v>
      </c>
      <c r="T503" s="2644" t="s">
        <v>3727</v>
      </c>
      <c r="U503" s="2644"/>
      <c r="V503" s="856">
        <v>3.25</v>
      </c>
      <c r="W503" s="2644" t="s">
        <v>4007</v>
      </c>
      <c r="X503" s="1140" t="s">
        <v>3441</v>
      </c>
      <c r="Y503" s="406">
        <f t="shared" si="178"/>
        <v>123500</v>
      </c>
      <c r="Z503" s="1098">
        <f>S503*V503%</f>
        <v>123500000</v>
      </c>
      <c r="AA503" s="401"/>
      <c r="AB503" s="1091"/>
      <c r="AC503" s="1095"/>
      <c r="AD503" s="2553"/>
    </row>
    <row r="504" spans="1:30" s="2558" customFormat="1" ht="21.6" customHeight="1">
      <c r="A504" s="436"/>
      <c r="B504" s="465"/>
      <c r="C504" s="465"/>
      <c r="D504" s="1131"/>
      <c r="E504" s="1134" t="s">
        <v>3740</v>
      </c>
      <c r="F504" s="383">
        <f>Y504</f>
        <v>42000</v>
      </c>
      <c r="G504" s="383">
        <v>42000</v>
      </c>
      <c r="H504" s="404"/>
      <c r="I504" s="409"/>
      <c r="J504" s="2643" t="s">
        <v>3447</v>
      </c>
      <c r="K504" s="2624"/>
      <c r="L504" s="2624"/>
      <c r="M504" s="2624"/>
      <c r="N504" s="2624"/>
      <c r="O504" s="2624"/>
      <c r="P504" s="1671"/>
      <c r="Q504" s="1671" t="s">
        <v>4084</v>
      </c>
      <c r="R504" s="405" t="s">
        <v>4084</v>
      </c>
      <c r="S504" s="1672"/>
      <c r="T504" s="2644"/>
      <c r="U504" s="2644"/>
      <c r="V504" s="2644"/>
      <c r="W504" s="2644"/>
      <c r="X504" s="1140"/>
      <c r="Y504" s="406">
        <f>Z504/1000</f>
        <v>42000</v>
      </c>
      <c r="Z504" s="1098">
        <f>SUM(Z505:Z506)</f>
        <v>42000000</v>
      </c>
      <c r="AA504" s="401"/>
      <c r="AB504" s="1091"/>
      <c r="AC504" s="1095"/>
      <c r="AD504" s="2553"/>
    </row>
    <row r="505" spans="1:30" s="2558" customFormat="1" ht="21.6" customHeight="1">
      <c r="A505" s="436"/>
      <c r="B505" s="465"/>
      <c r="C505" s="465"/>
      <c r="D505" s="1131"/>
      <c r="E505" s="389"/>
      <c r="F505" s="383"/>
      <c r="G505" s="383"/>
      <c r="H505" s="404"/>
      <c r="I505" s="409"/>
      <c r="J505" s="2939" t="s">
        <v>6055</v>
      </c>
      <c r="K505" s="2624"/>
      <c r="L505" s="2624"/>
      <c r="M505" s="2624"/>
      <c r="N505" s="2624"/>
      <c r="O505" s="2624"/>
      <c r="P505" s="2624"/>
      <c r="Q505" s="1673" t="s">
        <v>4084</v>
      </c>
      <c r="R505" s="405" t="s">
        <v>4084</v>
      </c>
      <c r="S505" s="1672">
        <v>22000000</v>
      </c>
      <c r="T505" s="2644" t="s">
        <v>3727</v>
      </c>
      <c r="U505" s="2644"/>
      <c r="V505" s="2644">
        <v>1</v>
      </c>
      <c r="W505" s="2644" t="s">
        <v>3440</v>
      </c>
      <c r="X505" s="1140" t="s">
        <v>3441</v>
      </c>
      <c r="Y505" s="406">
        <f>Z505/1000</f>
        <v>22000</v>
      </c>
      <c r="Z505" s="407">
        <f>S505*V505</f>
        <v>22000000</v>
      </c>
      <c r="AA505" s="401"/>
      <c r="AB505" s="1091"/>
      <c r="AC505" s="1095"/>
      <c r="AD505" s="2553"/>
    </row>
    <row r="506" spans="1:30" s="2558" customFormat="1" ht="21.6" customHeight="1">
      <c r="A506" s="436"/>
      <c r="B506" s="402"/>
      <c r="C506" s="465"/>
      <c r="D506" s="1131"/>
      <c r="E506" s="389"/>
      <c r="F506" s="403"/>
      <c r="G506" s="403"/>
      <c r="H506" s="404"/>
      <c r="I506" s="409"/>
      <c r="J506" s="2939" t="s">
        <v>6056</v>
      </c>
      <c r="K506" s="2624"/>
      <c r="L506" s="2624"/>
      <c r="M506" s="2624"/>
      <c r="N506" s="2624"/>
      <c r="O506" s="2624"/>
      <c r="P506" s="1671"/>
      <c r="Q506" s="1671"/>
      <c r="R506" s="405"/>
      <c r="S506" s="1672">
        <v>20000000</v>
      </c>
      <c r="T506" s="2644" t="s">
        <v>3727</v>
      </c>
      <c r="U506" s="2644"/>
      <c r="V506" s="2644">
        <v>1</v>
      </c>
      <c r="W506" s="2644" t="s">
        <v>3440</v>
      </c>
      <c r="X506" s="1140" t="s">
        <v>3441</v>
      </c>
      <c r="Y506" s="406">
        <f t="shared" ref="Y506" si="180">Z506/1000</f>
        <v>20000</v>
      </c>
      <c r="Z506" s="1098">
        <f>S506*V506</f>
        <v>20000000</v>
      </c>
      <c r="AA506" s="401"/>
      <c r="AB506" s="1091"/>
      <c r="AC506" s="1095"/>
      <c r="AD506" s="2553"/>
    </row>
    <row r="507" spans="1:30" s="2558" customFormat="1" ht="21.6" customHeight="1">
      <c r="A507" s="436"/>
      <c r="B507" s="402"/>
      <c r="C507" s="465"/>
      <c r="D507" s="1131"/>
      <c r="E507" s="1134" t="s">
        <v>4023</v>
      </c>
      <c r="F507" s="383">
        <f t="shared" ref="F507" si="181">Y507</f>
        <v>120000</v>
      </c>
      <c r="G507" s="403">
        <v>120000</v>
      </c>
      <c r="H507" s="404"/>
      <c r="I507" s="409"/>
      <c r="J507" s="2643" t="s">
        <v>4186</v>
      </c>
      <c r="K507" s="2624"/>
      <c r="L507" s="2624"/>
      <c r="M507" s="2624"/>
      <c r="N507" s="2624"/>
      <c r="O507" s="2624"/>
      <c r="P507" s="2624"/>
      <c r="Q507" s="1673" t="s">
        <v>4084</v>
      </c>
      <c r="R507" s="405" t="s">
        <v>4084</v>
      </c>
      <c r="S507" s="1672">
        <v>15000000</v>
      </c>
      <c r="T507" s="2644" t="s">
        <v>3727</v>
      </c>
      <c r="U507" s="2644"/>
      <c r="V507" s="2644">
        <v>8</v>
      </c>
      <c r="W507" s="2644" t="s">
        <v>4074</v>
      </c>
      <c r="X507" s="1140" t="s">
        <v>3441</v>
      </c>
      <c r="Y507" s="406">
        <f>Z507/1000</f>
        <v>120000</v>
      </c>
      <c r="Z507" s="407">
        <f>S507*V507</f>
        <v>120000000</v>
      </c>
      <c r="AA507" s="401"/>
      <c r="AB507" s="1091"/>
      <c r="AC507" s="1095"/>
      <c r="AD507" s="2553"/>
    </row>
    <row r="508" spans="1:30" s="2558" customFormat="1" ht="21.6" customHeight="1">
      <c r="A508" s="436"/>
      <c r="B508" s="465"/>
      <c r="C508" s="465"/>
      <c r="D508" s="1131"/>
      <c r="E508" s="1134" t="s">
        <v>4026</v>
      </c>
      <c r="F508" s="383">
        <f>Y508</f>
        <v>5100</v>
      </c>
      <c r="G508" s="383">
        <v>5100</v>
      </c>
      <c r="H508" s="404"/>
      <c r="I508" s="409"/>
      <c r="J508" s="2643" t="s">
        <v>4187</v>
      </c>
      <c r="K508" s="2624"/>
      <c r="L508" s="2624"/>
      <c r="M508" s="2624"/>
      <c r="N508" s="2624"/>
      <c r="O508" s="2624"/>
      <c r="P508" s="1671"/>
      <c r="Q508" s="1671"/>
      <c r="R508" s="405"/>
      <c r="S508" s="1672">
        <v>5100000</v>
      </c>
      <c r="T508" s="2644" t="s">
        <v>3727</v>
      </c>
      <c r="U508" s="2644"/>
      <c r="V508" s="2644">
        <v>1</v>
      </c>
      <c r="W508" s="2644" t="s">
        <v>3440</v>
      </c>
      <c r="X508" s="1140" t="s">
        <v>3441</v>
      </c>
      <c r="Y508" s="406">
        <f>Z508/1000</f>
        <v>5100</v>
      </c>
      <c r="Z508" s="407">
        <f>S508*V508</f>
        <v>5100000</v>
      </c>
      <c r="AA508" s="401"/>
      <c r="AB508" s="1091"/>
      <c r="AC508" s="1095"/>
      <c r="AD508" s="2553"/>
    </row>
    <row r="509" spans="1:30" s="2558" customFormat="1" ht="21.6" customHeight="1">
      <c r="A509" s="436"/>
      <c r="B509" s="465"/>
      <c r="C509" s="465"/>
      <c r="D509" s="1131"/>
      <c r="E509" s="1832" t="s">
        <v>4028</v>
      </c>
      <c r="F509" s="383">
        <f t="shared" ref="F509" si="182">Y509</f>
        <v>4000</v>
      </c>
      <c r="G509" s="383">
        <v>4000</v>
      </c>
      <c r="H509" s="404"/>
      <c r="I509" s="409"/>
      <c r="J509" s="1678" t="s">
        <v>4188</v>
      </c>
      <c r="K509" s="569"/>
      <c r="Q509" s="569"/>
      <c r="R509" s="1806"/>
      <c r="S509" s="1666">
        <v>200000</v>
      </c>
      <c r="T509" s="569" t="s">
        <v>3727</v>
      </c>
      <c r="U509" s="569"/>
      <c r="V509" s="569">
        <v>20</v>
      </c>
      <c r="W509" s="569" t="s">
        <v>3732</v>
      </c>
      <c r="X509" s="1807" t="s">
        <v>3441</v>
      </c>
      <c r="Y509" s="406">
        <f t="shared" ref="Y509" si="183">(Z509)/1000</f>
        <v>4000</v>
      </c>
      <c r="Z509" s="114">
        <f>S509*V509</f>
        <v>4000000</v>
      </c>
      <c r="AA509" s="401"/>
      <c r="AB509" s="1091"/>
      <c r="AC509" s="1095"/>
      <c r="AD509" s="2553"/>
    </row>
    <row r="510" spans="1:30" s="2558" customFormat="1" ht="21.6" customHeight="1">
      <c r="A510" s="436"/>
      <c r="B510" s="465"/>
      <c r="C510" s="3386" t="s">
        <v>5360</v>
      </c>
      <c r="D510" s="3386"/>
      <c r="E510" s="3386"/>
      <c r="F510" s="599">
        <f>F511</f>
        <v>55000</v>
      </c>
      <c r="G510" s="599">
        <f>G511</f>
        <v>0</v>
      </c>
      <c r="H510" s="468">
        <f>F510-G510</f>
        <v>55000</v>
      </c>
      <c r="I510" s="2568"/>
      <c r="J510" s="1135"/>
      <c r="K510" s="2860"/>
      <c r="L510" s="2860"/>
      <c r="M510" s="2860"/>
      <c r="N510" s="2860"/>
      <c r="O510" s="2860"/>
      <c r="P510" s="2860"/>
      <c r="Q510" s="1136"/>
      <c r="R510" s="1136"/>
      <c r="S510" s="1136"/>
      <c r="T510" s="1136"/>
      <c r="U510" s="1136"/>
      <c r="V510" s="1136"/>
      <c r="W510" s="1136"/>
      <c r="X510" s="1138"/>
      <c r="Y510" s="431"/>
      <c r="Z510" s="463"/>
      <c r="AA510" s="401"/>
      <c r="AB510" s="1091">
        <f>F510</f>
        <v>55000</v>
      </c>
      <c r="AC510" s="1095"/>
      <c r="AD510" s="2553"/>
    </row>
    <row r="511" spans="1:30" s="2558" customFormat="1" ht="21.6" customHeight="1">
      <c r="A511" s="436"/>
      <c r="B511" s="465"/>
      <c r="C511" s="465"/>
      <c r="D511" s="3539" t="s">
        <v>5359</v>
      </c>
      <c r="E511" s="3539"/>
      <c r="F511" s="385">
        <f>SUM(F512:F521)</f>
        <v>55000</v>
      </c>
      <c r="G511" s="385">
        <f>SUM(G512:G521)</f>
        <v>0</v>
      </c>
      <c r="H511" s="468">
        <f>F511-G511</f>
        <v>55000</v>
      </c>
      <c r="I511" s="1724"/>
      <c r="J511" s="1135"/>
      <c r="K511" s="2860"/>
      <c r="L511" s="2860"/>
      <c r="M511" s="2860"/>
      <c r="N511" s="2860"/>
      <c r="O511" s="2860"/>
      <c r="P511" s="2860"/>
      <c r="Q511" s="836"/>
      <c r="R511" s="395"/>
      <c r="S511" s="399"/>
      <c r="T511" s="1136"/>
      <c r="U511" s="1136"/>
      <c r="V511" s="1136"/>
      <c r="W511" s="1136"/>
      <c r="X511" s="1138"/>
      <c r="Y511" s="377"/>
      <c r="Z511" s="463"/>
      <c r="AA511" s="401"/>
      <c r="AB511" s="1091"/>
      <c r="AC511" s="1095"/>
      <c r="AD511" s="2553"/>
    </row>
    <row r="512" spans="1:30" s="2558" customFormat="1" ht="21.6" customHeight="1">
      <c r="A512" s="436"/>
      <c r="B512" s="465"/>
      <c r="C512" s="465"/>
      <c r="D512" s="1131"/>
      <c r="E512" s="389" t="s">
        <v>269</v>
      </c>
      <c r="F512" s="383">
        <f>Y512</f>
        <v>2100</v>
      </c>
      <c r="G512" s="383"/>
      <c r="H512" s="404"/>
      <c r="I512" s="409"/>
      <c r="J512" s="2871" t="s">
        <v>5361</v>
      </c>
      <c r="K512" s="2870"/>
      <c r="L512" s="2870"/>
      <c r="M512" s="2870"/>
      <c r="N512" s="2870"/>
      <c r="O512" s="2870"/>
      <c r="P512" s="1671"/>
      <c r="Q512" s="1671"/>
      <c r="R512" s="405"/>
      <c r="S512" s="1672">
        <v>300000</v>
      </c>
      <c r="T512" s="2872" t="s">
        <v>5216</v>
      </c>
      <c r="U512" s="2872"/>
      <c r="V512" s="2872">
        <v>7</v>
      </c>
      <c r="W512" s="2872" t="s">
        <v>367</v>
      </c>
      <c r="X512" s="1140" t="s">
        <v>5218</v>
      </c>
      <c r="Y512" s="406">
        <f t="shared" ref="Y512" si="184">Z512/1000</f>
        <v>2100</v>
      </c>
      <c r="Z512" s="407">
        <f>S512*V512</f>
        <v>2100000</v>
      </c>
      <c r="AA512" s="401"/>
      <c r="AB512" s="1091"/>
      <c r="AC512" s="1095"/>
      <c r="AD512" s="2553"/>
    </row>
    <row r="513" spans="1:30" s="2558" customFormat="1" ht="21.6" customHeight="1">
      <c r="A513" s="436"/>
      <c r="B513" s="465"/>
      <c r="C513" s="465"/>
      <c r="D513" s="1131"/>
      <c r="E513" s="389" t="s">
        <v>287</v>
      </c>
      <c r="F513" s="383">
        <f t="shared" ref="F513:F521" si="185">Y513</f>
        <v>4105</v>
      </c>
      <c r="G513" s="383"/>
      <c r="H513" s="404"/>
      <c r="I513" s="409"/>
      <c r="J513" s="2871" t="s">
        <v>5219</v>
      </c>
      <c r="K513" s="2870"/>
      <c r="L513" s="2870"/>
      <c r="M513" s="2870"/>
      <c r="N513" s="2870"/>
      <c r="O513" s="2870"/>
      <c r="P513" s="1671"/>
      <c r="Q513" s="1671" t="s">
        <v>5328</v>
      </c>
      <c r="R513" s="405" t="s">
        <v>5328</v>
      </c>
      <c r="S513" s="1672"/>
      <c r="T513" s="2872"/>
      <c r="U513" s="2872"/>
      <c r="V513" s="2872"/>
      <c r="W513" s="2872"/>
      <c r="X513" s="1140"/>
      <c r="Y513" s="406">
        <f>Z513/1000</f>
        <v>4105</v>
      </c>
      <c r="Z513" s="1098">
        <f>SUM(Z514:Z515)</f>
        <v>4105000</v>
      </c>
      <c r="AA513" s="401"/>
      <c r="AB513" s="1091"/>
      <c r="AC513" s="1095"/>
      <c r="AD513" s="2553"/>
    </row>
    <row r="514" spans="1:30" s="2558" customFormat="1" ht="21.6" customHeight="1">
      <c r="A514" s="436"/>
      <c r="B514" s="465"/>
      <c r="C514" s="465"/>
      <c r="D514" s="1131"/>
      <c r="E514" s="389"/>
      <c r="F514" s="383"/>
      <c r="G514" s="383"/>
      <c r="H514" s="404"/>
      <c r="I514" s="409"/>
      <c r="J514" s="2871" t="s">
        <v>5362</v>
      </c>
      <c r="K514" s="2870"/>
      <c r="L514" s="2870"/>
      <c r="M514" s="2870"/>
      <c r="N514" s="2870"/>
      <c r="O514" s="2870"/>
      <c r="P514" s="1671"/>
      <c r="Q514" s="1671"/>
      <c r="R514" s="405"/>
      <c r="S514" s="1672">
        <v>505000</v>
      </c>
      <c r="T514" s="2872" t="s">
        <v>264</v>
      </c>
      <c r="U514" s="2872"/>
      <c r="V514" s="2872">
        <v>1</v>
      </c>
      <c r="W514" s="2872" t="s">
        <v>196</v>
      </c>
      <c r="X514" s="1140" t="s">
        <v>266</v>
      </c>
      <c r="Y514" s="406">
        <f t="shared" ref="Y514" si="186">Z514/1000</f>
        <v>505</v>
      </c>
      <c r="Z514" s="1098">
        <f>S514*V514</f>
        <v>505000</v>
      </c>
      <c r="AA514" s="401"/>
      <c r="AB514" s="1091"/>
      <c r="AC514" s="1095"/>
      <c r="AD514" s="2553"/>
    </row>
    <row r="515" spans="1:30" s="2558" customFormat="1" ht="21.6" customHeight="1">
      <c r="A515" s="436"/>
      <c r="B515" s="402"/>
      <c r="C515" s="465"/>
      <c r="D515" s="1131"/>
      <c r="E515" s="389"/>
      <c r="F515" s="383"/>
      <c r="G515" s="403"/>
      <c r="H515" s="404"/>
      <c r="I515" s="409"/>
      <c r="J515" s="2871" t="s">
        <v>5363</v>
      </c>
      <c r="K515" s="2870"/>
      <c r="L515" s="2870"/>
      <c r="M515" s="2870"/>
      <c r="N515" s="2870"/>
      <c r="O515" s="2870"/>
      <c r="P515" s="1671"/>
      <c r="Q515" s="1671"/>
      <c r="R515" s="405"/>
      <c r="S515" s="1672">
        <v>1800000</v>
      </c>
      <c r="T515" s="2872" t="s">
        <v>5216</v>
      </c>
      <c r="U515" s="2872"/>
      <c r="V515" s="2872">
        <v>2</v>
      </c>
      <c r="W515" s="2872" t="s">
        <v>196</v>
      </c>
      <c r="X515" s="1140" t="s">
        <v>5218</v>
      </c>
      <c r="Y515" s="406">
        <f>Z515/1000</f>
        <v>3600</v>
      </c>
      <c r="Z515" s="1098">
        <f>S515*V515</f>
        <v>3600000</v>
      </c>
      <c r="AA515" s="401"/>
      <c r="AB515" s="1091"/>
      <c r="AC515" s="1095"/>
      <c r="AD515" s="2553"/>
    </row>
    <row r="516" spans="1:30" s="2558" customFormat="1" ht="21.6" customHeight="1">
      <c r="A516" s="436"/>
      <c r="B516" s="465"/>
      <c r="C516" s="465"/>
      <c r="D516" s="465"/>
      <c r="E516" s="389" t="s">
        <v>223</v>
      </c>
      <c r="F516" s="383">
        <f t="shared" si="185"/>
        <v>1800</v>
      </c>
      <c r="G516" s="383"/>
      <c r="H516" s="404"/>
      <c r="I516" s="409"/>
      <c r="J516" s="2871" t="s">
        <v>5364</v>
      </c>
      <c r="K516" s="2870"/>
      <c r="L516" s="2870"/>
      <c r="M516" s="2870"/>
      <c r="N516" s="2870"/>
      <c r="O516" s="2870"/>
      <c r="P516" s="2870"/>
      <c r="Q516" s="1673"/>
      <c r="R516" s="405"/>
      <c r="S516" s="1672">
        <v>900000</v>
      </c>
      <c r="T516" s="2872" t="s">
        <v>5216</v>
      </c>
      <c r="U516" s="2872"/>
      <c r="V516" s="2872">
        <v>2</v>
      </c>
      <c r="W516" s="2872" t="s">
        <v>196</v>
      </c>
      <c r="X516" s="1140" t="s">
        <v>5218</v>
      </c>
      <c r="Y516" s="406">
        <f t="shared" ref="Y516" si="187">Z516/1000</f>
        <v>1800</v>
      </c>
      <c r="Z516" s="407">
        <f>S516*V516</f>
        <v>1800000</v>
      </c>
      <c r="AA516" s="401"/>
      <c r="AB516" s="1091"/>
      <c r="AC516" s="1095"/>
      <c r="AD516" s="2553"/>
    </row>
    <row r="517" spans="1:30" s="2558" customFormat="1" ht="21.6" customHeight="1">
      <c r="A517" s="436"/>
      <c r="B517" s="465"/>
      <c r="C517" s="465"/>
      <c r="D517" s="1131"/>
      <c r="E517" s="389" t="s">
        <v>222</v>
      </c>
      <c r="F517" s="383">
        <f t="shared" si="185"/>
        <v>46000</v>
      </c>
      <c r="G517" s="383"/>
      <c r="H517" s="404"/>
      <c r="I517" s="409"/>
      <c r="J517" s="2871" t="s">
        <v>5219</v>
      </c>
      <c r="K517" s="2870"/>
      <c r="L517" s="2870"/>
      <c r="M517" s="2870"/>
      <c r="N517" s="2870"/>
      <c r="O517" s="2870"/>
      <c r="P517" s="1671"/>
      <c r="Q517" s="1671" t="s">
        <v>5328</v>
      </c>
      <c r="R517" s="405" t="s">
        <v>5328</v>
      </c>
      <c r="S517" s="1672"/>
      <c r="T517" s="2872"/>
      <c r="U517" s="2872"/>
      <c r="V517" s="2872"/>
      <c r="W517" s="2872"/>
      <c r="X517" s="1140"/>
      <c r="Y517" s="406">
        <f>Z517/1000</f>
        <v>46000</v>
      </c>
      <c r="Z517" s="1098">
        <f>SUM(Z518:Z520)</f>
        <v>46000000</v>
      </c>
      <c r="AA517" s="401"/>
      <c r="AB517" s="1091"/>
      <c r="AC517" s="1095"/>
      <c r="AD517" s="2553"/>
    </row>
    <row r="518" spans="1:30" s="2558" customFormat="1" ht="21.6" customHeight="1">
      <c r="A518" s="436"/>
      <c r="B518" s="465"/>
      <c r="C518" s="465"/>
      <c r="D518" s="1131"/>
      <c r="E518" s="389"/>
      <c r="F518" s="383"/>
      <c r="G518" s="383"/>
      <c r="H518" s="404"/>
      <c r="I518" s="409"/>
      <c r="J518" s="2871" t="s">
        <v>5367</v>
      </c>
      <c r="K518" s="2870"/>
      <c r="L518" s="2870"/>
      <c r="M518" s="2870"/>
      <c r="N518" s="2870"/>
      <c r="O518" s="2870"/>
      <c r="P518" s="1671"/>
      <c r="Q518" s="1671"/>
      <c r="R518" s="405"/>
      <c r="S518" s="1672">
        <v>15000000</v>
      </c>
      <c r="T518" s="2872" t="s">
        <v>264</v>
      </c>
      <c r="U518" s="2872"/>
      <c r="V518" s="2872">
        <v>1</v>
      </c>
      <c r="W518" s="2872" t="s">
        <v>196</v>
      </c>
      <c r="X518" s="1140" t="s">
        <v>266</v>
      </c>
      <c r="Y518" s="406">
        <f t="shared" ref="Y518" si="188">Z518/1000</f>
        <v>15000</v>
      </c>
      <c r="Z518" s="1098">
        <f>S518*V518</f>
        <v>15000000</v>
      </c>
      <c r="AA518" s="401"/>
      <c r="AB518" s="1091"/>
      <c r="AC518" s="1095"/>
      <c r="AD518" s="2553"/>
    </row>
    <row r="519" spans="1:30" s="2558" customFormat="1" ht="21.6" customHeight="1">
      <c r="A519" s="436"/>
      <c r="B519" s="465"/>
      <c r="C519" s="465"/>
      <c r="D519" s="1131"/>
      <c r="E519" s="389"/>
      <c r="F519" s="383"/>
      <c r="G519" s="383"/>
      <c r="H519" s="404"/>
      <c r="I519" s="409"/>
      <c r="J519" s="2871" t="s">
        <v>5366</v>
      </c>
      <c r="K519" s="2870"/>
      <c r="L519" s="2870"/>
      <c r="M519" s="2870"/>
      <c r="N519" s="2870"/>
      <c r="O519" s="2870"/>
      <c r="P519" s="1671"/>
      <c r="Q519" s="1671"/>
      <c r="R519" s="405"/>
      <c r="S519" s="1672">
        <v>16000000</v>
      </c>
      <c r="T519" s="2872" t="s">
        <v>5216</v>
      </c>
      <c r="U519" s="2872"/>
      <c r="V519" s="2872">
        <v>1</v>
      </c>
      <c r="W519" s="2872" t="s">
        <v>196</v>
      </c>
      <c r="X519" s="1140" t="s">
        <v>5218</v>
      </c>
      <c r="Y519" s="406">
        <f>Z519/1000</f>
        <v>16000</v>
      </c>
      <c r="Z519" s="1098">
        <f>S519*V519</f>
        <v>16000000</v>
      </c>
      <c r="AA519" s="401"/>
      <c r="AB519" s="1091"/>
      <c r="AC519" s="1095"/>
      <c r="AD519" s="2553"/>
    </row>
    <row r="520" spans="1:30" s="2558" customFormat="1" ht="21.6" customHeight="1">
      <c r="A520" s="436"/>
      <c r="B520" s="465"/>
      <c r="C520" s="465"/>
      <c r="D520" s="1131"/>
      <c r="E520" s="389"/>
      <c r="F520" s="383"/>
      <c r="G520" s="383"/>
      <c r="H520" s="404"/>
      <c r="I520" s="409"/>
      <c r="J520" s="2871" t="s">
        <v>5365</v>
      </c>
      <c r="K520" s="2870"/>
      <c r="L520" s="2870"/>
      <c r="M520" s="2870"/>
      <c r="N520" s="2870"/>
      <c r="O520" s="2870"/>
      <c r="P520" s="1671"/>
      <c r="Q520" s="1671"/>
      <c r="R520" s="405"/>
      <c r="S520" s="1672">
        <v>15000000</v>
      </c>
      <c r="T520" s="2872" t="s">
        <v>5216</v>
      </c>
      <c r="U520" s="2872"/>
      <c r="V520" s="2872">
        <v>1</v>
      </c>
      <c r="W520" s="2872" t="s">
        <v>196</v>
      </c>
      <c r="X520" s="1140" t="s">
        <v>5218</v>
      </c>
      <c r="Y520" s="406">
        <f>Z520/1000</f>
        <v>15000</v>
      </c>
      <c r="Z520" s="1098">
        <f>S520*V520</f>
        <v>15000000</v>
      </c>
      <c r="AA520" s="401"/>
      <c r="AB520" s="1091"/>
      <c r="AC520" s="1095"/>
      <c r="AD520" s="2553"/>
    </row>
    <row r="521" spans="1:30" s="2558" customFormat="1" ht="21.6" customHeight="1">
      <c r="A521" s="436"/>
      <c r="B521" s="465"/>
      <c r="C521" s="465"/>
      <c r="D521" s="1131"/>
      <c r="E521" s="389" t="s">
        <v>602</v>
      </c>
      <c r="F521" s="383">
        <f t="shared" si="185"/>
        <v>995</v>
      </c>
      <c r="G521" s="383"/>
      <c r="H521" s="404"/>
      <c r="I521" s="409"/>
      <c r="J521" s="2871" t="s">
        <v>5368</v>
      </c>
      <c r="K521" s="2870"/>
      <c r="L521" s="2870"/>
      <c r="M521" s="2870"/>
      <c r="N521" s="2870"/>
      <c r="O521" s="2870"/>
      <c r="P521" s="1671"/>
      <c r="Q521" s="1671" t="s">
        <v>5328</v>
      </c>
      <c r="R521" s="405" t="s">
        <v>5328</v>
      </c>
      <c r="S521" s="1672">
        <v>995000</v>
      </c>
      <c r="T521" s="2872" t="s">
        <v>5216</v>
      </c>
      <c r="U521" s="2872"/>
      <c r="V521" s="2872">
        <v>1</v>
      </c>
      <c r="W521" s="2872" t="s">
        <v>196</v>
      </c>
      <c r="X521" s="1140" t="s">
        <v>5218</v>
      </c>
      <c r="Y521" s="406">
        <f>Z521/1000</f>
        <v>995</v>
      </c>
      <c r="Z521" s="407">
        <f t="shared" ref="Z521" si="189">S521*V521</f>
        <v>995000</v>
      </c>
      <c r="AA521" s="401"/>
      <c r="AB521" s="1091"/>
      <c r="AC521" s="1095"/>
      <c r="AD521" s="2553"/>
    </row>
    <row r="522" spans="1:30" s="2558" customFormat="1" ht="21.6" customHeight="1">
      <c r="A522" s="436"/>
      <c r="B522" s="465"/>
      <c r="C522" s="3386" t="s">
        <v>4995</v>
      </c>
      <c r="D522" s="3386"/>
      <c r="E522" s="3386"/>
      <c r="F522" s="599">
        <f>F523</f>
        <v>120000</v>
      </c>
      <c r="G522" s="599">
        <f>G523</f>
        <v>0</v>
      </c>
      <c r="H522" s="468">
        <f>F522-G522</f>
        <v>120000</v>
      </c>
      <c r="I522" s="2568"/>
      <c r="J522" s="1135"/>
      <c r="K522" s="2876"/>
      <c r="L522" s="2876"/>
      <c r="M522" s="2876"/>
      <c r="N522" s="2876"/>
      <c r="O522" s="2876"/>
      <c r="P522" s="2876"/>
      <c r="Q522" s="1136"/>
      <c r="R522" s="1136"/>
      <c r="S522" s="1136"/>
      <c r="T522" s="1136"/>
      <c r="U522" s="1136"/>
      <c r="V522" s="1136"/>
      <c r="W522" s="1136"/>
      <c r="X522" s="1138"/>
      <c r="Y522" s="431"/>
      <c r="Z522" s="463"/>
      <c r="AA522" s="401"/>
      <c r="AB522" s="1091">
        <f>F522</f>
        <v>120000</v>
      </c>
      <c r="AC522" s="1095"/>
      <c r="AD522" s="2553"/>
    </row>
    <row r="523" spans="1:30" s="2558" customFormat="1" ht="21.6" customHeight="1">
      <c r="A523" s="436"/>
      <c r="B523" s="465"/>
      <c r="C523" s="465"/>
      <c r="D523" s="3539" t="s">
        <v>5327</v>
      </c>
      <c r="E523" s="3539"/>
      <c r="F523" s="385">
        <f>SUM(F524:F533)</f>
        <v>120000</v>
      </c>
      <c r="G523" s="385">
        <f>SUM(G524:G533)</f>
        <v>0</v>
      </c>
      <c r="H523" s="468">
        <f>F523-G523</f>
        <v>120000</v>
      </c>
      <c r="I523" s="1724"/>
      <c r="J523" s="1135"/>
      <c r="K523" s="2876"/>
      <c r="L523" s="2876"/>
      <c r="M523" s="2876"/>
      <c r="N523" s="2876"/>
      <c r="O523" s="2876"/>
      <c r="P523" s="2876"/>
      <c r="Q523" s="836"/>
      <c r="R523" s="395"/>
      <c r="S523" s="399"/>
      <c r="T523" s="1136"/>
      <c r="U523" s="1136"/>
      <c r="V523" s="1136"/>
      <c r="W523" s="1136"/>
      <c r="X523" s="1138"/>
      <c r="Y523" s="377"/>
      <c r="Z523" s="463"/>
      <c r="AA523" s="401"/>
      <c r="AB523" s="1091"/>
      <c r="AC523" s="1095"/>
      <c r="AD523" s="2553"/>
    </row>
    <row r="524" spans="1:30" s="2558" customFormat="1" ht="21.6" customHeight="1">
      <c r="A524" s="436"/>
      <c r="B524" s="465"/>
      <c r="C524" s="465"/>
      <c r="D524" s="1131"/>
      <c r="E524" s="389" t="s">
        <v>195</v>
      </c>
      <c r="F524" s="383">
        <f>Y524</f>
        <v>600</v>
      </c>
      <c r="G524" s="383"/>
      <c r="H524" s="404"/>
      <c r="I524" s="409"/>
      <c r="J524" s="2899" t="s">
        <v>532</v>
      </c>
      <c r="K524" s="2889"/>
      <c r="L524" s="2889"/>
      <c r="M524" s="2889"/>
      <c r="N524" s="2889"/>
      <c r="O524" s="2889"/>
      <c r="P524" s="1671"/>
      <c r="Q524" s="1671">
        <v>1</v>
      </c>
      <c r="R524" s="405" t="s">
        <v>33</v>
      </c>
      <c r="S524" s="1672">
        <v>75000</v>
      </c>
      <c r="T524" s="2900" t="s">
        <v>264</v>
      </c>
      <c r="U524" s="2900"/>
      <c r="V524" s="2900">
        <v>8</v>
      </c>
      <c r="W524" s="2900" t="s">
        <v>200</v>
      </c>
      <c r="X524" s="1140" t="s">
        <v>266</v>
      </c>
      <c r="Y524" s="406">
        <f t="shared" ref="Y524" si="190">Z524/1000</f>
        <v>600</v>
      </c>
      <c r="Z524" s="1192">
        <f>S524*V524</f>
        <v>600000</v>
      </c>
      <c r="AA524" s="401"/>
      <c r="AB524" s="1091"/>
      <c r="AC524" s="1095"/>
      <c r="AD524" s="2553"/>
    </row>
    <row r="525" spans="1:30" s="2558" customFormat="1" ht="21.6" customHeight="1">
      <c r="A525" s="436"/>
      <c r="B525" s="465"/>
      <c r="C525" s="465"/>
      <c r="D525" s="1131"/>
      <c r="E525" s="389" t="s">
        <v>269</v>
      </c>
      <c r="F525" s="383">
        <f t="shared" ref="F525" si="191">Y525</f>
        <v>9300</v>
      </c>
      <c r="G525" s="383"/>
      <c r="H525" s="404"/>
      <c r="I525" s="409"/>
      <c r="J525" s="2899" t="s">
        <v>194</v>
      </c>
      <c r="K525" s="2889"/>
      <c r="L525" s="2889"/>
      <c r="M525" s="2889"/>
      <c r="N525" s="2889"/>
      <c r="O525" s="2889"/>
      <c r="P525" s="1671"/>
      <c r="Q525" s="1671" t="s">
        <v>344</v>
      </c>
      <c r="R525" s="405" t="s">
        <v>344</v>
      </c>
      <c r="S525" s="1672"/>
      <c r="T525" s="2900"/>
      <c r="U525" s="2900"/>
      <c r="V525" s="2900"/>
      <c r="W525" s="2900"/>
      <c r="X525" s="1140"/>
      <c r="Y525" s="406">
        <f>Z525/1000</f>
        <v>9300</v>
      </c>
      <c r="Z525" s="1098">
        <f>SUM(Z526:Z529)</f>
        <v>9300000</v>
      </c>
      <c r="AA525" s="401"/>
      <c r="AB525" s="1091"/>
      <c r="AC525" s="1095"/>
      <c r="AD525" s="2553"/>
    </row>
    <row r="526" spans="1:30" s="2558" customFormat="1" ht="21.6" customHeight="1">
      <c r="A526" s="436"/>
      <c r="B526" s="465"/>
      <c r="C526" s="465"/>
      <c r="D526" s="1131"/>
      <c r="E526" s="389"/>
      <c r="F526" s="383"/>
      <c r="G526" s="383"/>
      <c r="H526" s="404"/>
      <c r="I526" s="409"/>
      <c r="J526" s="2899" t="s">
        <v>5329</v>
      </c>
      <c r="K526" s="2889"/>
      <c r="L526" s="2889"/>
      <c r="M526" s="2889"/>
      <c r="N526" s="2889"/>
      <c r="O526" s="2889"/>
      <c r="P526" s="1671"/>
      <c r="Q526" s="1671"/>
      <c r="R526" s="405"/>
      <c r="S526" s="1672">
        <v>120000000</v>
      </c>
      <c r="T526" s="2900" t="s">
        <v>264</v>
      </c>
      <c r="U526" s="2900"/>
      <c r="V526" s="856">
        <v>5</v>
      </c>
      <c r="W526" s="2900" t="s">
        <v>627</v>
      </c>
      <c r="X526" s="1140" t="s">
        <v>266</v>
      </c>
      <c r="Y526" s="406">
        <f t="shared" ref="Y526" si="192">Z526/1000</f>
        <v>6000</v>
      </c>
      <c r="Z526" s="1098">
        <f>S526*V526%</f>
        <v>6000000</v>
      </c>
      <c r="AA526" s="401"/>
      <c r="AB526" s="1091"/>
      <c r="AC526" s="1095"/>
      <c r="AD526" s="2553"/>
    </row>
    <row r="527" spans="1:30" s="2558" customFormat="1" ht="21.6" customHeight="1">
      <c r="A527" s="436"/>
      <c r="B527" s="402"/>
      <c r="C527" s="465"/>
      <c r="D527" s="1131"/>
      <c r="E527" s="389"/>
      <c r="F527" s="403"/>
      <c r="G527" s="403"/>
      <c r="H527" s="404"/>
      <c r="I527" s="409"/>
      <c r="J527" s="2899" t="s">
        <v>5330</v>
      </c>
      <c r="K527" s="2889"/>
      <c r="L527" s="2889"/>
      <c r="M527" s="2889"/>
      <c r="N527" s="2889"/>
      <c r="O527" s="2889"/>
      <c r="P527" s="1671"/>
      <c r="Q527" s="1671">
        <v>1</v>
      </c>
      <c r="R527" s="405" t="s">
        <v>33</v>
      </c>
      <c r="S527" s="1672">
        <v>300000</v>
      </c>
      <c r="T527" s="2900" t="s">
        <v>264</v>
      </c>
      <c r="U527" s="2900"/>
      <c r="V527" s="2900">
        <v>1</v>
      </c>
      <c r="W527" s="2900" t="s">
        <v>265</v>
      </c>
      <c r="X527" s="1140" t="s">
        <v>266</v>
      </c>
      <c r="Y527" s="406">
        <f>Z527/1000</f>
        <v>300</v>
      </c>
      <c r="Z527" s="1192">
        <f>Q527*S527*V527</f>
        <v>300000</v>
      </c>
      <c r="AA527" s="401"/>
      <c r="AB527" s="1091"/>
      <c r="AC527" s="1095"/>
      <c r="AD527" s="2553"/>
    </row>
    <row r="528" spans="1:30" s="2558" customFormat="1" ht="21.6" customHeight="1">
      <c r="A528" s="436"/>
      <c r="B528" s="465"/>
      <c r="C528" s="465"/>
      <c r="D528" s="1131"/>
      <c r="E528" s="389"/>
      <c r="F528" s="383"/>
      <c r="G528" s="383"/>
      <c r="H528" s="404"/>
      <c r="I528" s="409"/>
      <c r="J528" s="2899" t="s">
        <v>5331</v>
      </c>
      <c r="K528" s="2889"/>
      <c r="L528" s="2889"/>
      <c r="M528" s="2889"/>
      <c r="N528" s="2889"/>
      <c r="O528" s="2889"/>
      <c r="P528" s="1671"/>
      <c r="Q528" s="1671">
        <v>3</v>
      </c>
      <c r="R528" s="405" t="s">
        <v>33</v>
      </c>
      <c r="S528" s="1672">
        <v>200000</v>
      </c>
      <c r="T528" s="2900" t="s">
        <v>264</v>
      </c>
      <c r="U528" s="2900"/>
      <c r="V528" s="2900">
        <v>4</v>
      </c>
      <c r="W528" s="2900" t="s">
        <v>265</v>
      </c>
      <c r="X528" s="1140" t="s">
        <v>266</v>
      </c>
      <c r="Y528" s="406">
        <f>Z528/1000</f>
        <v>2400</v>
      </c>
      <c r="Z528" s="1192">
        <f>Q528*S528*V528</f>
        <v>2400000</v>
      </c>
      <c r="AA528" s="401"/>
      <c r="AB528" s="1091"/>
      <c r="AC528" s="1095"/>
      <c r="AD528" s="2553"/>
    </row>
    <row r="529" spans="1:30" s="2558" customFormat="1" ht="21.6" customHeight="1">
      <c r="A529" s="436"/>
      <c r="B529" s="465"/>
      <c r="C529" s="465"/>
      <c r="D529" s="1131"/>
      <c r="E529" s="389"/>
      <c r="F529" s="383"/>
      <c r="G529" s="383"/>
      <c r="H529" s="404"/>
      <c r="I529" s="409"/>
      <c r="J529" s="2899" t="s">
        <v>5332</v>
      </c>
      <c r="K529" s="2889"/>
      <c r="L529" s="2889"/>
      <c r="M529" s="2889"/>
      <c r="N529" s="2889"/>
      <c r="O529" s="2889"/>
      <c r="P529" s="1671"/>
      <c r="Q529" s="1671">
        <v>1</v>
      </c>
      <c r="R529" s="405" t="s">
        <v>33</v>
      </c>
      <c r="S529" s="1672">
        <v>300000</v>
      </c>
      <c r="T529" s="2900" t="s">
        <v>264</v>
      </c>
      <c r="U529" s="2900"/>
      <c r="V529" s="2900">
        <v>2</v>
      </c>
      <c r="W529" s="2900" t="s">
        <v>265</v>
      </c>
      <c r="X529" s="1140" t="s">
        <v>266</v>
      </c>
      <c r="Y529" s="406">
        <f t="shared" ref="Y529:Y531" si="193">Z529/1000</f>
        <v>600</v>
      </c>
      <c r="Z529" s="1098">
        <f>Q529*S529*V529</f>
        <v>600000</v>
      </c>
      <c r="AA529" s="401"/>
      <c r="AB529" s="1091"/>
      <c r="AC529" s="1095"/>
      <c r="AD529" s="2553"/>
    </row>
    <row r="530" spans="1:30" s="2558" customFormat="1" ht="21.6" customHeight="1">
      <c r="A530" s="436"/>
      <c r="B530" s="465"/>
      <c r="C530" s="465"/>
      <c r="D530" s="465"/>
      <c r="E530" s="389" t="s">
        <v>222</v>
      </c>
      <c r="F530" s="383">
        <f t="shared" ref="F530:F533" si="194">Y530</f>
        <v>108000</v>
      </c>
      <c r="G530" s="383"/>
      <c r="H530" s="404"/>
      <c r="I530" s="409"/>
      <c r="J530" s="2899" t="s">
        <v>5333</v>
      </c>
      <c r="K530" s="2889"/>
      <c r="L530" s="2889"/>
      <c r="M530" s="2889"/>
      <c r="N530" s="2889"/>
      <c r="O530" s="2889"/>
      <c r="P530" s="2889"/>
      <c r="Q530" s="1673"/>
      <c r="R530" s="405"/>
      <c r="S530" s="1672">
        <v>9000000</v>
      </c>
      <c r="T530" s="2900" t="s">
        <v>264</v>
      </c>
      <c r="U530" s="2900"/>
      <c r="V530" s="2900">
        <v>12</v>
      </c>
      <c r="W530" s="2900" t="s">
        <v>330</v>
      </c>
      <c r="X530" s="1140" t="s">
        <v>266</v>
      </c>
      <c r="Y530" s="406">
        <f t="shared" si="193"/>
        <v>108000</v>
      </c>
      <c r="Z530" s="1192">
        <f>S530*V530</f>
        <v>108000000</v>
      </c>
      <c r="AA530" s="401"/>
      <c r="AB530" s="1091"/>
      <c r="AC530" s="1095"/>
      <c r="AD530" s="2553"/>
    </row>
    <row r="531" spans="1:30" s="2558" customFormat="1" ht="21.6" customHeight="1">
      <c r="A531" s="436"/>
      <c r="B531" s="465"/>
      <c r="C531" s="465"/>
      <c r="D531" s="1131"/>
      <c r="E531" s="389" t="s">
        <v>297</v>
      </c>
      <c r="F531" s="383">
        <f t="shared" si="194"/>
        <v>100</v>
      </c>
      <c r="G531" s="383"/>
      <c r="H531" s="404"/>
      <c r="I531" s="409"/>
      <c r="J531" s="2899" t="s">
        <v>2773</v>
      </c>
      <c r="K531" s="2889"/>
      <c r="L531" s="2889"/>
      <c r="M531" s="2889"/>
      <c r="N531" s="2889"/>
      <c r="O531" s="2889"/>
      <c r="P531" s="2889"/>
      <c r="Q531" s="1671"/>
      <c r="R531" s="405"/>
      <c r="S531" s="1672">
        <v>5000</v>
      </c>
      <c r="T531" s="2900" t="s">
        <v>264</v>
      </c>
      <c r="U531" s="2900"/>
      <c r="V531" s="2900">
        <v>20</v>
      </c>
      <c r="W531" s="2900" t="s">
        <v>265</v>
      </c>
      <c r="X531" s="1140" t="s">
        <v>266</v>
      </c>
      <c r="Y531" s="406">
        <f t="shared" si="193"/>
        <v>100</v>
      </c>
      <c r="Z531" s="1192">
        <f t="shared" ref="Z531:Z533" si="195">S531*V531</f>
        <v>100000</v>
      </c>
      <c r="AA531" s="401"/>
      <c r="AB531" s="1091"/>
      <c r="AC531" s="1095"/>
      <c r="AD531" s="2553"/>
    </row>
    <row r="532" spans="1:30" s="2558" customFormat="1" ht="21.6" customHeight="1">
      <c r="A532" s="436"/>
      <c r="B532" s="465"/>
      <c r="C532" s="465"/>
      <c r="D532" s="1131"/>
      <c r="E532" s="389" t="s">
        <v>602</v>
      </c>
      <c r="F532" s="383">
        <f t="shared" si="194"/>
        <v>1200</v>
      </c>
      <c r="G532" s="383"/>
      <c r="H532" s="404"/>
      <c r="I532" s="409"/>
      <c r="J532" s="2899" t="s">
        <v>5334</v>
      </c>
      <c r="K532" s="2889"/>
      <c r="L532" s="2889"/>
      <c r="M532" s="2889"/>
      <c r="N532" s="2889"/>
      <c r="O532" s="2889"/>
      <c r="P532" s="1671"/>
      <c r="Q532" s="1671" t="s">
        <v>344</v>
      </c>
      <c r="R532" s="405" t="s">
        <v>344</v>
      </c>
      <c r="S532" s="1672">
        <v>400000</v>
      </c>
      <c r="T532" s="2900" t="s">
        <v>264</v>
      </c>
      <c r="U532" s="2900"/>
      <c r="V532" s="2900">
        <v>3</v>
      </c>
      <c r="W532" s="2900" t="s">
        <v>265</v>
      </c>
      <c r="X532" s="1140" t="s">
        <v>266</v>
      </c>
      <c r="Y532" s="406">
        <f>Z532/1000</f>
        <v>1200</v>
      </c>
      <c r="Z532" s="1192">
        <f t="shared" si="195"/>
        <v>1200000</v>
      </c>
      <c r="AA532" s="401"/>
      <c r="AB532" s="1091"/>
      <c r="AC532" s="1095"/>
      <c r="AD532" s="2553"/>
    </row>
    <row r="533" spans="1:30" s="2558" customFormat="1" ht="21.6" customHeight="1">
      <c r="A533" s="436"/>
      <c r="B533" s="465"/>
      <c r="C533" s="465"/>
      <c r="D533" s="1131"/>
      <c r="E533" s="389" t="s">
        <v>271</v>
      </c>
      <c r="F533" s="383">
        <f t="shared" si="194"/>
        <v>800</v>
      </c>
      <c r="G533" s="383"/>
      <c r="H533" s="404"/>
      <c r="I533" s="409"/>
      <c r="J533" s="1627" t="s">
        <v>637</v>
      </c>
      <c r="K533" s="2883"/>
      <c r="L533" s="2883"/>
      <c r="M533" s="2883"/>
      <c r="N533" s="2883"/>
      <c r="O533" s="2883"/>
      <c r="P533" s="371"/>
      <c r="Q533" s="371"/>
      <c r="R533" s="1325"/>
      <c r="S533" s="458">
        <v>100000</v>
      </c>
      <c r="T533" s="459" t="s">
        <v>264</v>
      </c>
      <c r="U533" s="459"/>
      <c r="V533" s="459">
        <v>8</v>
      </c>
      <c r="W533" s="459" t="s">
        <v>265</v>
      </c>
      <c r="X533" s="460" t="s">
        <v>266</v>
      </c>
      <c r="Y533" s="549">
        <f t="shared" ref="Y533" si="196">Z533/1000</f>
        <v>800</v>
      </c>
      <c r="Z533" s="1192">
        <f t="shared" si="195"/>
        <v>800000</v>
      </c>
      <c r="AA533" s="401"/>
      <c r="AB533" s="1091"/>
      <c r="AC533" s="1095"/>
      <c r="AD533" s="2553"/>
    </row>
    <row r="534" spans="1:30" s="2558" customFormat="1" ht="21.6" customHeight="1">
      <c r="A534" s="436"/>
      <c r="B534" s="465"/>
      <c r="C534" s="3386" t="s">
        <v>4996</v>
      </c>
      <c r="D534" s="3386"/>
      <c r="E534" s="3386"/>
      <c r="F534" s="599">
        <f>F535</f>
        <v>200000</v>
      </c>
      <c r="G534" s="599">
        <f>G535</f>
        <v>0</v>
      </c>
      <c r="H534" s="468">
        <f>F534-G534</f>
        <v>200000</v>
      </c>
      <c r="I534" s="2568"/>
      <c r="J534" s="1135"/>
      <c r="K534" s="2921"/>
      <c r="L534" s="2921"/>
      <c r="M534" s="2921"/>
      <c r="N534" s="2921"/>
      <c r="O534" s="2921"/>
      <c r="P534" s="2921"/>
      <c r="Q534" s="1136"/>
      <c r="R534" s="1136"/>
      <c r="S534" s="1136"/>
      <c r="T534" s="1136"/>
      <c r="U534" s="1136"/>
      <c r="V534" s="1136"/>
      <c r="W534" s="1136"/>
      <c r="X534" s="1138"/>
      <c r="Y534" s="431"/>
      <c r="Z534" s="463"/>
      <c r="AA534" s="401"/>
      <c r="AB534" s="1091">
        <f>F534</f>
        <v>200000</v>
      </c>
      <c r="AC534" s="1095"/>
      <c r="AD534" s="2553"/>
    </row>
    <row r="535" spans="1:30" s="2558" customFormat="1" ht="21.6" customHeight="1">
      <c r="A535" s="436"/>
      <c r="B535" s="465"/>
      <c r="C535" s="465"/>
      <c r="D535" s="3539" t="s">
        <v>5840</v>
      </c>
      <c r="E535" s="3539"/>
      <c r="F535" s="385">
        <f>SUM(F536:F537)</f>
        <v>200000</v>
      </c>
      <c r="G535" s="385">
        <f>SUM(G536:G537)</f>
        <v>0</v>
      </c>
      <c r="H535" s="468">
        <f>F535-G535</f>
        <v>200000</v>
      </c>
      <c r="I535" s="1724"/>
      <c r="J535" s="1135"/>
      <c r="K535" s="2921"/>
      <c r="L535" s="2921"/>
      <c r="M535" s="2921"/>
      <c r="N535" s="2921"/>
      <c r="O535" s="2921"/>
      <c r="P535" s="2921"/>
      <c r="Q535" s="836"/>
      <c r="R535" s="395"/>
      <c r="S535" s="399"/>
      <c r="T535" s="1136"/>
      <c r="U535" s="1136"/>
      <c r="V535" s="1136"/>
      <c r="W535" s="1136"/>
      <c r="X535" s="1138"/>
      <c r="Y535" s="377"/>
      <c r="Z535" s="463"/>
      <c r="AA535" s="401"/>
      <c r="AB535" s="1091"/>
      <c r="AC535" s="1095"/>
      <c r="AD535" s="2553"/>
    </row>
    <row r="536" spans="1:30" s="2558" customFormat="1" ht="21.6" customHeight="1">
      <c r="A536" s="436"/>
      <c r="B536" s="465"/>
      <c r="C536" s="465"/>
      <c r="D536" s="1131"/>
      <c r="E536" s="389" t="s">
        <v>269</v>
      </c>
      <c r="F536" s="383">
        <f t="shared" ref="F536" si="197">Y536</f>
        <v>10000</v>
      </c>
      <c r="G536" s="383"/>
      <c r="H536" s="404"/>
      <c r="I536" s="409"/>
      <c r="J536" s="2939" t="s">
        <v>5841</v>
      </c>
      <c r="K536" s="2938"/>
      <c r="L536" s="2938"/>
      <c r="M536" s="2938"/>
      <c r="N536" s="2938"/>
      <c r="O536" s="2938"/>
      <c r="P536" s="1671"/>
      <c r="Q536" s="1671" t="s">
        <v>344</v>
      </c>
      <c r="R536" s="2982" t="s">
        <v>344</v>
      </c>
      <c r="S536" s="1672">
        <v>200000000</v>
      </c>
      <c r="T536" s="2940" t="s">
        <v>264</v>
      </c>
      <c r="U536" s="2940"/>
      <c r="V536" s="856">
        <v>5</v>
      </c>
      <c r="W536" s="2940" t="s">
        <v>627</v>
      </c>
      <c r="X536" s="1140" t="s">
        <v>266</v>
      </c>
      <c r="Y536" s="406">
        <f t="shared" ref="Y536" si="198">Z536/1000</f>
        <v>10000</v>
      </c>
      <c r="Z536" s="1098">
        <f>S536*V536%</f>
        <v>10000000</v>
      </c>
      <c r="AA536" s="401"/>
      <c r="AB536" s="1091"/>
      <c r="AC536" s="1095"/>
      <c r="AD536" s="2553"/>
    </row>
    <row r="537" spans="1:30" s="2558" customFormat="1" ht="21.6" customHeight="1">
      <c r="A537" s="436"/>
      <c r="B537" s="465"/>
      <c r="C537" s="465"/>
      <c r="D537" s="465"/>
      <c r="E537" s="389" t="s">
        <v>222</v>
      </c>
      <c r="F537" s="383">
        <f t="shared" ref="F537" si="199">Y537</f>
        <v>190000</v>
      </c>
      <c r="G537" s="383"/>
      <c r="H537" s="404"/>
      <c r="I537" s="409"/>
      <c r="J537" s="2939" t="s">
        <v>5842</v>
      </c>
      <c r="K537" s="2938"/>
      <c r="L537" s="2938"/>
      <c r="M537" s="2938"/>
      <c r="N537" s="2938"/>
      <c r="O537" s="2938"/>
      <c r="P537" s="2938"/>
      <c r="Q537" s="1673"/>
      <c r="R537" s="2982"/>
      <c r="S537" s="1672">
        <v>190000000</v>
      </c>
      <c r="T537" s="2940" t="s">
        <v>264</v>
      </c>
      <c r="U537" s="2940"/>
      <c r="V537" s="2940">
        <v>1</v>
      </c>
      <c r="W537" s="2940" t="s">
        <v>196</v>
      </c>
      <c r="X537" s="1140" t="s">
        <v>266</v>
      </c>
      <c r="Y537" s="406">
        <f t="shared" ref="Y537" si="200">Z537/1000</f>
        <v>190000</v>
      </c>
      <c r="Z537" s="407">
        <f>S537*V537</f>
        <v>190000000</v>
      </c>
      <c r="AA537" s="401"/>
      <c r="AB537" s="1091"/>
      <c r="AC537" s="1095"/>
      <c r="AD537" s="2553"/>
    </row>
    <row r="538" spans="1:30" s="2558" customFormat="1" ht="21.6" customHeight="1">
      <c r="A538" s="436"/>
      <c r="B538" s="465"/>
      <c r="C538" s="3386" t="s">
        <v>5843</v>
      </c>
      <c r="D538" s="3386"/>
      <c r="E538" s="3386"/>
      <c r="F538" s="599">
        <f>F539</f>
        <v>400000</v>
      </c>
      <c r="G538" s="599">
        <f>G539</f>
        <v>0</v>
      </c>
      <c r="H538" s="468">
        <f>F538-G538</f>
        <v>400000</v>
      </c>
      <c r="I538" s="2568"/>
      <c r="J538" s="1135"/>
      <c r="K538" s="2921"/>
      <c r="L538" s="2921"/>
      <c r="M538" s="2921"/>
      <c r="N538" s="2921"/>
      <c r="O538" s="2921"/>
      <c r="P538" s="2921"/>
      <c r="Q538" s="1136"/>
      <c r="R538" s="1136"/>
      <c r="S538" s="1136"/>
      <c r="T538" s="1136"/>
      <c r="U538" s="1136"/>
      <c r="V538" s="1136"/>
      <c r="W538" s="1136"/>
      <c r="X538" s="1138"/>
      <c r="Y538" s="431"/>
      <c r="Z538" s="463"/>
      <c r="AA538" s="401"/>
      <c r="AB538" s="1091">
        <f>F538</f>
        <v>400000</v>
      </c>
      <c r="AC538" s="1095"/>
      <c r="AD538" s="2553"/>
    </row>
    <row r="539" spans="1:30" s="2558" customFormat="1" ht="21.6" customHeight="1">
      <c r="A539" s="436"/>
      <c r="B539" s="465"/>
      <c r="C539" s="465"/>
      <c r="D539" s="3539" t="s">
        <v>5844</v>
      </c>
      <c r="E539" s="3539"/>
      <c r="F539" s="385">
        <f>SUM(F540:F556)</f>
        <v>400000</v>
      </c>
      <c r="G539" s="385">
        <f>SUM(G540:G556)</f>
        <v>0</v>
      </c>
      <c r="H539" s="468">
        <f>F539-G539</f>
        <v>400000</v>
      </c>
      <c r="I539" s="1724"/>
      <c r="J539" s="1135"/>
      <c r="K539" s="2921"/>
      <c r="L539" s="2921"/>
      <c r="M539" s="2921"/>
      <c r="N539" s="2921"/>
      <c r="O539" s="2921"/>
      <c r="P539" s="2921"/>
      <c r="Q539" s="836"/>
      <c r="R539" s="395"/>
      <c r="S539" s="399"/>
      <c r="T539" s="1136"/>
      <c r="U539" s="1136"/>
      <c r="V539" s="1136"/>
      <c r="W539" s="1136"/>
      <c r="X539" s="1138"/>
      <c r="Y539" s="377"/>
      <c r="Z539" s="463"/>
      <c r="AA539" s="401"/>
      <c r="AB539" s="1091"/>
      <c r="AC539" s="1095"/>
      <c r="AD539" s="2553"/>
    </row>
    <row r="540" spans="1:30" s="2558" customFormat="1" ht="24.6" customHeight="1">
      <c r="A540" s="436"/>
      <c r="B540" s="465"/>
      <c r="C540" s="465"/>
      <c r="D540" s="1131"/>
      <c r="E540" s="389" t="s">
        <v>59</v>
      </c>
      <c r="F540" s="383">
        <f>Y540</f>
        <v>20000</v>
      </c>
      <c r="G540" s="383"/>
      <c r="H540" s="404"/>
      <c r="I540" s="409"/>
      <c r="J540" s="1780" t="s">
        <v>2330</v>
      </c>
      <c r="K540" s="1685"/>
      <c r="L540" s="1685"/>
      <c r="M540" s="1685"/>
      <c r="N540" s="1686"/>
      <c r="O540" s="1686"/>
      <c r="P540" s="1685"/>
      <c r="Q540" s="1685">
        <v>1</v>
      </c>
      <c r="R540" s="1685" t="s">
        <v>33</v>
      </c>
      <c r="S540" s="1685">
        <v>2500000</v>
      </c>
      <c r="T540" s="1685" t="s">
        <v>0</v>
      </c>
      <c r="U540" s="1685"/>
      <c r="V540" s="1685">
        <v>8</v>
      </c>
      <c r="W540" s="1685" t="s">
        <v>200</v>
      </c>
      <c r="X540" s="1685" t="s">
        <v>1</v>
      </c>
      <c r="Y540" s="406">
        <f t="shared" ref="Y540" si="201">+Z540/1000</f>
        <v>20000</v>
      </c>
      <c r="Z540" s="637">
        <f>Q540*S540*V540</f>
        <v>20000000</v>
      </c>
      <c r="AA540" s="401"/>
      <c r="AB540" s="1091"/>
      <c r="AC540" s="1095"/>
      <c r="AD540" s="2553"/>
    </row>
    <row r="541" spans="1:30" s="2558" customFormat="1" ht="24.6" customHeight="1">
      <c r="A541" s="436"/>
      <c r="B541" s="465"/>
      <c r="C541" s="465"/>
      <c r="D541" s="1131"/>
      <c r="E541" s="389" t="s">
        <v>199</v>
      </c>
      <c r="F541" s="383">
        <f t="shared" ref="F541:F542" si="202">Y541</f>
        <v>9000</v>
      </c>
      <c r="G541" s="383"/>
      <c r="H541" s="404"/>
      <c r="I541" s="409"/>
      <c r="J541" s="2939" t="s">
        <v>5848</v>
      </c>
      <c r="K541" s="2938"/>
      <c r="L541" s="2938"/>
      <c r="M541" s="2938"/>
      <c r="N541" s="2938"/>
      <c r="O541" s="2938"/>
      <c r="P541" s="1671"/>
      <c r="Q541" s="1685"/>
      <c r="R541" s="1685"/>
      <c r="S541" s="1685">
        <v>9000000</v>
      </c>
      <c r="T541" s="1685" t="s">
        <v>0</v>
      </c>
      <c r="U541" s="1685"/>
      <c r="V541" s="1685">
        <v>1</v>
      </c>
      <c r="W541" s="1685" t="s">
        <v>196</v>
      </c>
      <c r="X541" s="1685" t="s">
        <v>1</v>
      </c>
      <c r="Y541" s="406">
        <f t="shared" ref="Y541" si="203">+Z541/1000</f>
        <v>9000</v>
      </c>
      <c r="Z541" s="637">
        <f>S541*V541</f>
        <v>9000000</v>
      </c>
      <c r="AA541" s="401"/>
      <c r="AB541" s="1091"/>
      <c r="AC541" s="1095"/>
      <c r="AD541" s="2553"/>
    </row>
    <row r="542" spans="1:30" s="2558" customFormat="1" ht="24.6" customHeight="1">
      <c r="A542" s="436"/>
      <c r="B542" s="465"/>
      <c r="C542" s="465"/>
      <c r="D542" s="1131"/>
      <c r="E542" s="389" t="s">
        <v>5845</v>
      </c>
      <c r="F542" s="383">
        <f t="shared" si="202"/>
        <v>6000</v>
      </c>
      <c r="G542" s="383"/>
      <c r="H542" s="404"/>
      <c r="I542" s="409"/>
      <c r="J542" s="2939" t="s">
        <v>194</v>
      </c>
      <c r="K542" s="2938"/>
      <c r="L542" s="2938"/>
      <c r="M542" s="2938"/>
      <c r="N542" s="2938"/>
      <c r="O542" s="2938"/>
      <c r="P542" s="1671"/>
      <c r="Q542" s="1671" t="s">
        <v>344</v>
      </c>
      <c r="R542" s="2982" t="s">
        <v>344</v>
      </c>
      <c r="S542" s="1672"/>
      <c r="T542" s="2940"/>
      <c r="U542" s="2940"/>
      <c r="V542" s="2940"/>
      <c r="W542" s="2940"/>
      <c r="X542" s="1140"/>
      <c r="Y542" s="406">
        <f>Z542/1000</f>
        <v>6000</v>
      </c>
      <c r="Z542" s="1098">
        <f>Z543+Z544</f>
        <v>6000000</v>
      </c>
      <c r="AA542" s="401"/>
      <c r="AB542" s="1091"/>
      <c r="AC542" s="1095"/>
      <c r="AD542" s="2553"/>
    </row>
    <row r="543" spans="1:30" s="2558" customFormat="1" ht="24.6" customHeight="1">
      <c r="A543" s="436"/>
      <c r="B543" s="402"/>
      <c r="C543" s="465"/>
      <c r="D543" s="1131"/>
      <c r="E543" s="389"/>
      <c r="F543" s="383"/>
      <c r="G543" s="383"/>
      <c r="H543" s="404"/>
      <c r="I543" s="409"/>
      <c r="J543" s="2939" t="s">
        <v>5849</v>
      </c>
      <c r="K543" s="2938"/>
      <c r="L543" s="2938"/>
      <c r="M543" s="2938"/>
      <c r="N543" s="2938"/>
      <c r="O543" s="2938"/>
      <c r="P543" s="1671"/>
      <c r="Q543" s="1671"/>
      <c r="R543" s="2982"/>
      <c r="S543" s="1672">
        <v>250000</v>
      </c>
      <c r="T543" s="2940" t="s">
        <v>264</v>
      </c>
      <c r="U543" s="2940"/>
      <c r="V543" s="2940">
        <v>4</v>
      </c>
      <c r="W543" s="2940" t="s">
        <v>196</v>
      </c>
      <c r="X543" s="1140" t="s">
        <v>266</v>
      </c>
      <c r="Y543" s="406">
        <f t="shared" ref="Y543" si="204">Z543/1000</f>
        <v>1000</v>
      </c>
      <c r="Z543" s="1098">
        <f>S543*V543</f>
        <v>1000000</v>
      </c>
      <c r="AA543" s="401"/>
      <c r="AB543" s="1091"/>
      <c r="AC543" s="1095"/>
      <c r="AD543" s="2553"/>
    </row>
    <row r="544" spans="1:30" s="2558" customFormat="1" ht="24.6" customHeight="1">
      <c r="A544" s="436"/>
      <c r="B544" s="402"/>
      <c r="C544" s="465"/>
      <c r="D544" s="1131"/>
      <c r="E544" s="389"/>
      <c r="F544" s="383"/>
      <c r="G544" s="383"/>
      <c r="H544" s="404"/>
      <c r="I544" s="409"/>
      <c r="J544" s="2939" t="s">
        <v>5850</v>
      </c>
      <c r="K544" s="2938"/>
      <c r="L544" s="2938"/>
      <c r="M544" s="2938"/>
      <c r="N544" s="2938"/>
      <c r="O544" s="2938"/>
      <c r="P544" s="1671"/>
      <c r="Q544" s="1671"/>
      <c r="R544" s="2982"/>
      <c r="S544" s="1672">
        <v>2500000</v>
      </c>
      <c r="T544" s="2940" t="s">
        <v>264</v>
      </c>
      <c r="U544" s="2940"/>
      <c r="V544" s="2940">
        <v>2</v>
      </c>
      <c r="W544" s="2940" t="s">
        <v>196</v>
      </c>
      <c r="X544" s="1140" t="s">
        <v>266</v>
      </c>
      <c r="Y544" s="406">
        <f>Z544/1000</f>
        <v>5000</v>
      </c>
      <c r="Z544" s="1098">
        <f>S544*V544</f>
        <v>5000000</v>
      </c>
      <c r="AA544" s="401"/>
      <c r="AB544" s="1091"/>
      <c r="AC544" s="1095"/>
      <c r="AD544" s="2553"/>
    </row>
    <row r="545" spans="1:30" s="2558" customFormat="1" ht="24.6" customHeight="1">
      <c r="A545" s="436"/>
      <c r="B545" s="465"/>
      <c r="C545" s="465"/>
      <c r="D545" s="1131"/>
      <c r="E545" s="389" t="s">
        <v>5846</v>
      </c>
      <c r="F545" s="383">
        <f t="shared" ref="F545" si="205">Y545</f>
        <v>4000</v>
      </c>
      <c r="G545" s="383"/>
      <c r="H545" s="404"/>
      <c r="I545" s="409"/>
      <c r="J545" s="2939" t="s">
        <v>194</v>
      </c>
      <c r="K545" s="2938"/>
      <c r="L545" s="2938"/>
      <c r="M545" s="2938"/>
      <c r="N545" s="2938"/>
      <c r="O545" s="2938"/>
      <c r="P545" s="1671"/>
      <c r="Q545" s="1671" t="s">
        <v>344</v>
      </c>
      <c r="R545" s="2982" t="s">
        <v>344</v>
      </c>
      <c r="S545" s="1672"/>
      <c r="T545" s="2940"/>
      <c r="U545" s="2940"/>
      <c r="V545" s="2940"/>
      <c r="W545" s="2940"/>
      <c r="X545" s="1140"/>
      <c r="Y545" s="406">
        <f>Z545/1000</f>
        <v>4000</v>
      </c>
      <c r="Z545" s="1098">
        <f>Z546+Z547</f>
        <v>4000000</v>
      </c>
      <c r="AA545" s="401"/>
      <c r="AB545" s="1091"/>
      <c r="AC545" s="1095"/>
      <c r="AD545" s="2553"/>
    </row>
    <row r="546" spans="1:30" s="2558" customFormat="1" ht="24.6" customHeight="1">
      <c r="A546" s="436"/>
      <c r="B546" s="465"/>
      <c r="C546" s="465"/>
      <c r="D546" s="1131"/>
      <c r="E546" s="389"/>
      <c r="F546" s="383"/>
      <c r="G546" s="383"/>
      <c r="H546" s="404"/>
      <c r="I546" s="409"/>
      <c r="J546" s="2939" t="s">
        <v>5851</v>
      </c>
      <c r="K546" s="2938"/>
      <c r="L546" s="2938"/>
      <c r="M546" s="2938"/>
      <c r="N546" s="2938"/>
      <c r="O546" s="2938"/>
      <c r="P546" s="1671"/>
      <c r="Q546" s="1685">
        <v>2</v>
      </c>
      <c r="R546" s="1685" t="s">
        <v>33</v>
      </c>
      <c r="S546" s="1672">
        <v>25000</v>
      </c>
      <c r="T546" s="2940" t="s">
        <v>264</v>
      </c>
      <c r="U546" s="2940"/>
      <c r="V546" s="2940">
        <v>20</v>
      </c>
      <c r="W546" s="2940" t="s">
        <v>265</v>
      </c>
      <c r="X546" s="1140" t="s">
        <v>266</v>
      </c>
      <c r="Y546" s="406">
        <f t="shared" ref="Y546" si="206">Z546/1000</f>
        <v>1000</v>
      </c>
      <c r="Z546" s="1098">
        <f>Q546*S546*V546</f>
        <v>1000000</v>
      </c>
      <c r="AA546" s="401"/>
      <c r="AB546" s="1091"/>
      <c r="AC546" s="1095"/>
      <c r="AD546" s="2553"/>
    </row>
    <row r="547" spans="1:30" s="2558" customFormat="1" ht="24.6" customHeight="1">
      <c r="A547" s="436"/>
      <c r="B547" s="465"/>
      <c r="C547" s="465"/>
      <c r="D547" s="1131"/>
      <c r="E547" s="389"/>
      <c r="F547" s="383"/>
      <c r="G547" s="383"/>
      <c r="H547" s="404"/>
      <c r="I547" s="409"/>
      <c r="J547" s="2939" t="s">
        <v>5657</v>
      </c>
      <c r="K547" s="2938"/>
      <c r="L547" s="2938"/>
      <c r="M547" s="2938"/>
      <c r="N547" s="2938"/>
      <c r="O547" s="2938"/>
      <c r="P547" s="1671"/>
      <c r="Q547" s="1685">
        <v>2</v>
      </c>
      <c r="R547" s="1685" t="s">
        <v>33</v>
      </c>
      <c r="S547" s="1672">
        <v>1500000</v>
      </c>
      <c r="T547" s="2940" t="s">
        <v>264</v>
      </c>
      <c r="U547" s="2940"/>
      <c r="V547" s="2940">
        <v>1</v>
      </c>
      <c r="W547" s="2940" t="s">
        <v>265</v>
      </c>
      <c r="X547" s="1140" t="s">
        <v>266</v>
      </c>
      <c r="Y547" s="406">
        <f>Z547/1000</f>
        <v>3000</v>
      </c>
      <c r="Z547" s="1098">
        <f>Q547*S547*V547</f>
        <v>3000000</v>
      </c>
      <c r="AA547" s="401"/>
      <c r="AB547" s="1091"/>
      <c r="AC547" s="1095"/>
      <c r="AD547" s="2553"/>
    </row>
    <row r="548" spans="1:30" s="2558" customFormat="1" ht="24.6" customHeight="1">
      <c r="A548" s="436"/>
      <c r="B548" s="465"/>
      <c r="C548" s="465"/>
      <c r="D548" s="465"/>
      <c r="E548" s="389" t="s">
        <v>5852</v>
      </c>
      <c r="F548" s="383">
        <f t="shared" ref="F548" si="207">Y548</f>
        <v>17000</v>
      </c>
      <c r="G548" s="383"/>
      <c r="H548" s="404"/>
      <c r="I548" s="409"/>
      <c r="J548" s="2939" t="s">
        <v>194</v>
      </c>
      <c r="K548" s="2938"/>
      <c r="L548" s="2938"/>
      <c r="M548" s="2938"/>
      <c r="N548" s="2938"/>
      <c r="O548" s="2938"/>
      <c r="P548" s="1671"/>
      <c r="Q548" s="1671" t="s">
        <v>344</v>
      </c>
      <c r="R548" s="2982" t="s">
        <v>344</v>
      </c>
      <c r="S548" s="1672"/>
      <c r="T548" s="2940"/>
      <c r="U548" s="2940"/>
      <c r="V548" s="2940"/>
      <c r="W548" s="2940"/>
      <c r="X548" s="1140"/>
      <c r="Y548" s="406">
        <f>Z548/1000</f>
        <v>17000</v>
      </c>
      <c r="Z548" s="1098">
        <f>Z549+Z550</f>
        <v>17000000</v>
      </c>
      <c r="AA548" s="401"/>
      <c r="AB548" s="1091"/>
      <c r="AC548" s="1095"/>
      <c r="AD548" s="2553"/>
    </row>
    <row r="549" spans="1:30" s="2558" customFormat="1" ht="24.6" customHeight="1">
      <c r="A549" s="436"/>
      <c r="B549" s="465"/>
      <c r="C549" s="465"/>
      <c r="D549" s="1131"/>
      <c r="E549" s="389"/>
      <c r="F549" s="383"/>
      <c r="G549" s="383"/>
      <c r="H549" s="404"/>
      <c r="I549" s="409"/>
      <c r="J549" s="2939" t="s">
        <v>5853</v>
      </c>
      <c r="K549" s="2938"/>
      <c r="L549" s="2938"/>
      <c r="M549" s="2938"/>
      <c r="N549" s="2938"/>
      <c r="O549" s="2938"/>
      <c r="P549" s="1671"/>
      <c r="Q549" s="1685">
        <v>6</v>
      </c>
      <c r="R549" s="1685" t="s">
        <v>33</v>
      </c>
      <c r="S549" s="1672">
        <v>300000</v>
      </c>
      <c r="T549" s="2940" t="s">
        <v>264</v>
      </c>
      <c r="U549" s="2940"/>
      <c r="V549" s="2940">
        <v>5</v>
      </c>
      <c r="W549" s="2940" t="s">
        <v>265</v>
      </c>
      <c r="X549" s="1140" t="s">
        <v>266</v>
      </c>
      <c r="Y549" s="406">
        <f t="shared" ref="Y549:Y552" si="208">Z549/1000</f>
        <v>9000</v>
      </c>
      <c r="Z549" s="1098">
        <f>Q549*S549*V549</f>
        <v>9000000</v>
      </c>
      <c r="AA549" s="401"/>
      <c r="AB549" s="1091"/>
      <c r="AC549" s="1095"/>
      <c r="AD549" s="2553"/>
    </row>
    <row r="550" spans="1:30" s="2558" customFormat="1" ht="24.6" customHeight="1">
      <c r="A550" s="436"/>
      <c r="B550" s="465"/>
      <c r="C550" s="465"/>
      <c r="D550" s="1131"/>
      <c r="E550" s="389"/>
      <c r="F550" s="383"/>
      <c r="G550" s="383"/>
      <c r="H550" s="404"/>
      <c r="I550" s="409"/>
      <c r="J550" s="2939" t="s">
        <v>5854</v>
      </c>
      <c r="K550" s="2938"/>
      <c r="L550" s="2938"/>
      <c r="M550" s="2938"/>
      <c r="N550" s="2938"/>
      <c r="O550" s="2938"/>
      <c r="P550" s="1671"/>
      <c r="Q550" s="1685"/>
      <c r="R550" s="2982" t="s">
        <v>344</v>
      </c>
      <c r="S550" s="1672">
        <v>400000000</v>
      </c>
      <c r="T550" s="2940" t="s">
        <v>264</v>
      </c>
      <c r="U550" s="2940"/>
      <c r="V550" s="856">
        <v>2</v>
      </c>
      <c r="W550" s="2940" t="s">
        <v>627</v>
      </c>
      <c r="X550" s="1140" t="s">
        <v>266</v>
      </c>
      <c r="Y550" s="406">
        <f t="shared" si="208"/>
        <v>8000</v>
      </c>
      <c r="Z550" s="1098">
        <f>S550*V550%</f>
        <v>8000000</v>
      </c>
      <c r="AA550" s="401"/>
      <c r="AB550" s="1091"/>
      <c r="AC550" s="1095"/>
      <c r="AD550" s="2553"/>
    </row>
    <row r="551" spans="1:30" s="2558" customFormat="1" ht="24.6" customHeight="1">
      <c r="A551" s="436"/>
      <c r="B551" s="465"/>
      <c r="C551" s="465"/>
      <c r="D551" s="1131"/>
      <c r="E551" s="389" t="s">
        <v>5847</v>
      </c>
      <c r="F551" s="383">
        <f t="shared" ref="F551" si="209">Y551</f>
        <v>100000</v>
      </c>
      <c r="G551" s="383"/>
      <c r="H551" s="404"/>
      <c r="I551" s="409"/>
      <c r="J551" s="2939" t="s">
        <v>5860</v>
      </c>
      <c r="K551" s="2938"/>
      <c r="L551" s="2938"/>
      <c r="M551" s="2938"/>
      <c r="N551" s="2938"/>
      <c r="O551" s="2938"/>
      <c r="P551" s="1671"/>
      <c r="Q551" s="1685"/>
      <c r="R551" s="1685"/>
      <c r="S551" s="1685">
        <v>100000000</v>
      </c>
      <c r="T551" s="1685" t="s">
        <v>0</v>
      </c>
      <c r="U551" s="1685"/>
      <c r="V551" s="1685">
        <v>1</v>
      </c>
      <c r="W551" s="1685" t="s">
        <v>196</v>
      </c>
      <c r="X551" s="1685" t="s">
        <v>1</v>
      </c>
      <c r="Y551" s="406">
        <f t="shared" ref="Y551" si="210">+Z551/1000</f>
        <v>100000</v>
      </c>
      <c r="Z551" s="637">
        <f>S551*V551</f>
        <v>100000000</v>
      </c>
      <c r="AA551" s="401"/>
      <c r="AB551" s="1091"/>
      <c r="AC551" s="1095"/>
      <c r="AD551" s="2553"/>
    </row>
    <row r="552" spans="1:30" s="2558" customFormat="1" ht="24.6" customHeight="1">
      <c r="A552" s="436"/>
      <c r="B552" s="465"/>
      <c r="C552" s="465"/>
      <c r="D552" s="1131"/>
      <c r="E552" s="389" t="s">
        <v>5855</v>
      </c>
      <c r="F552" s="383">
        <f t="shared" ref="F552:F553" si="211">Y552</f>
        <v>235000</v>
      </c>
      <c r="G552" s="383"/>
      <c r="H552" s="404"/>
      <c r="I552" s="409"/>
      <c r="J552" s="2939" t="s">
        <v>5856</v>
      </c>
      <c r="K552" s="2938"/>
      <c r="L552" s="2938"/>
      <c r="M552" s="2938"/>
      <c r="N552" s="2938"/>
      <c r="O552" s="2938"/>
      <c r="P552" s="1671"/>
      <c r="Q552" s="1671"/>
      <c r="R552" s="2982"/>
      <c r="S552" s="1672">
        <v>47000000</v>
      </c>
      <c r="T552" s="2940" t="s">
        <v>264</v>
      </c>
      <c r="U552" s="2940"/>
      <c r="V552" s="2940">
        <v>5</v>
      </c>
      <c r="W552" s="2940" t="s">
        <v>196</v>
      </c>
      <c r="X552" s="1140" t="s">
        <v>266</v>
      </c>
      <c r="Y552" s="406">
        <f t="shared" si="208"/>
        <v>235000</v>
      </c>
      <c r="Z552" s="407">
        <f>S552*V552</f>
        <v>235000000</v>
      </c>
      <c r="AA552" s="401"/>
      <c r="AB552" s="1091"/>
      <c r="AC552" s="1095"/>
      <c r="AD552" s="2553"/>
    </row>
    <row r="553" spans="1:30" s="2558" customFormat="1" ht="24.6" customHeight="1">
      <c r="A553" s="436"/>
      <c r="B553" s="465"/>
      <c r="C553" s="465"/>
      <c r="D553" s="1131"/>
      <c r="E553" s="389" t="s">
        <v>602</v>
      </c>
      <c r="F553" s="383">
        <f t="shared" si="211"/>
        <v>8000</v>
      </c>
      <c r="G553" s="383"/>
      <c r="H553" s="404"/>
      <c r="I553" s="409"/>
      <c r="J553" s="2939" t="s">
        <v>194</v>
      </c>
      <c r="K553" s="2938"/>
      <c r="L553" s="2938"/>
      <c r="M553" s="2938"/>
      <c r="N553" s="2938"/>
      <c r="O553" s="2938"/>
      <c r="P553" s="1671"/>
      <c r="Q553" s="1671" t="s">
        <v>344</v>
      </c>
      <c r="R553" s="2982" t="s">
        <v>344</v>
      </c>
      <c r="S553" s="1672"/>
      <c r="T553" s="2940"/>
      <c r="U553" s="2940"/>
      <c r="V553" s="2940"/>
      <c r="W553" s="2940"/>
      <c r="X553" s="1140"/>
      <c r="Y553" s="406">
        <f>Z553/1000</f>
        <v>8000</v>
      </c>
      <c r="Z553" s="1098">
        <f>Z554+Z555</f>
        <v>8000000</v>
      </c>
      <c r="AA553" s="401"/>
      <c r="AB553" s="1091"/>
      <c r="AC553" s="1095"/>
      <c r="AD553" s="2553"/>
    </row>
    <row r="554" spans="1:30" s="2558" customFormat="1" ht="24.6" customHeight="1">
      <c r="A554" s="436"/>
      <c r="B554" s="465"/>
      <c r="C554" s="465"/>
      <c r="D554" s="1131"/>
      <c r="E554" s="389"/>
      <c r="F554" s="383"/>
      <c r="G554" s="383"/>
      <c r="H554" s="404"/>
      <c r="I554" s="409"/>
      <c r="J554" s="2939" t="s">
        <v>5857</v>
      </c>
      <c r="K554" s="2938"/>
      <c r="L554" s="2938"/>
      <c r="M554" s="2938"/>
      <c r="N554" s="2938"/>
      <c r="O554" s="2938"/>
      <c r="P554" s="1671"/>
      <c r="Q554" s="1685"/>
      <c r="R554" s="1685"/>
      <c r="S554" s="1672">
        <v>1500000</v>
      </c>
      <c r="T554" s="2940" t="s">
        <v>264</v>
      </c>
      <c r="U554" s="2940"/>
      <c r="V554" s="2940">
        <v>2</v>
      </c>
      <c r="W554" s="2940" t="s">
        <v>265</v>
      </c>
      <c r="X554" s="1140" t="s">
        <v>266</v>
      </c>
      <c r="Y554" s="406">
        <f t="shared" ref="Y554:Y555" si="212">Z554/1000</f>
        <v>3000</v>
      </c>
      <c r="Z554" s="1098">
        <f>S554*V554</f>
        <v>3000000</v>
      </c>
      <c r="AA554" s="401"/>
      <c r="AB554" s="1091"/>
      <c r="AC554" s="1095"/>
      <c r="AD554" s="2553"/>
    </row>
    <row r="555" spans="1:30" s="2558" customFormat="1" ht="24.6" customHeight="1">
      <c r="A555" s="436"/>
      <c r="B555" s="465"/>
      <c r="C555" s="465"/>
      <c r="D555" s="1131"/>
      <c r="E555" s="389"/>
      <c r="F555" s="383"/>
      <c r="G555" s="383"/>
      <c r="H555" s="404"/>
      <c r="I555" s="409"/>
      <c r="J555" s="2939" t="s">
        <v>5858</v>
      </c>
      <c r="K555" s="2938"/>
      <c r="L555" s="2938"/>
      <c r="M555" s="2938"/>
      <c r="N555" s="2938"/>
      <c r="O555" s="2938"/>
      <c r="P555" s="1671"/>
      <c r="Q555" s="1685"/>
      <c r="R555" s="2982" t="s">
        <v>344</v>
      </c>
      <c r="S555" s="1672">
        <v>5000000</v>
      </c>
      <c r="T555" s="2940" t="s">
        <v>264</v>
      </c>
      <c r="U555" s="2940"/>
      <c r="V555" s="2940">
        <v>1</v>
      </c>
      <c r="W555" s="2940" t="s">
        <v>265</v>
      </c>
      <c r="X555" s="1140" t="s">
        <v>266</v>
      </c>
      <c r="Y555" s="406">
        <f t="shared" si="212"/>
        <v>5000</v>
      </c>
      <c r="Z555" s="1098">
        <f>S555*V555</f>
        <v>5000000</v>
      </c>
      <c r="AA555" s="401"/>
      <c r="AB555" s="1091"/>
      <c r="AC555" s="1095"/>
      <c r="AD555" s="2553"/>
    </row>
    <row r="556" spans="1:30" s="2558" customFormat="1" ht="24.6" customHeight="1" thickBot="1">
      <c r="A556" s="436"/>
      <c r="B556" s="465"/>
      <c r="C556" s="465"/>
      <c r="D556" s="1131"/>
      <c r="E556" s="389" t="s">
        <v>271</v>
      </c>
      <c r="F556" s="383">
        <f t="shared" ref="F556" si="213">Y556</f>
        <v>1000</v>
      </c>
      <c r="G556" s="383"/>
      <c r="H556" s="404"/>
      <c r="I556" s="409"/>
      <c r="J556" s="1627" t="s">
        <v>5859</v>
      </c>
      <c r="K556" s="2925"/>
      <c r="L556" s="2925"/>
      <c r="M556" s="2925"/>
      <c r="N556" s="2925"/>
      <c r="O556" s="2925"/>
      <c r="P556" s="371"/>
      <c r="Q556" s="371"/>
      <c r="R556" s="1325"/>
      <c r="S556" s="458">
        <v>200000</v>
      </c>
      <c r="T556" s="459" t="s">
        <v>264</v>
      </c>
      <c r="U556" s="459"/>
      <c r="V556" s="459">
        <v>5</v>
      </c>
      <c r="W556" s="459" t="s">
        <v>265</v>
      </c>
      <c r="X556" s="460" t="s">
        <v>266</v>
      </c>
      <c r="Y556" s="549">
        <f t="shared" ref="Y556" si="214">Z556/1000</f>
        <v>1000</v>
      </c>
      <c r="Z556" s="407">
        <f>S556*V556</f>
        <v>1000000</v>
      </c>
      <c r="AA556" s="401"/>
      <c r="AB556" s="1091"/>
      <c r="AC556" s="1095"/>
      <c r="AD556" s="2553"/>
    </row>
    <row r="557" spans="1:30" s="591" customFormat="1" ht="24.6" customHeight="1" thickBot="1">
      <c r="A557" s="1112"/>
      <c r="B557" s="3538" t="s">
        <v>4189</v>
      </c>
      <c r="C557" s="3538"/>
      <c r="D557" s="3538"/>
      <c r="E557" s="3538"/>
      <c r="F557" s="615">
        <f>+F558</f>
        <v>0</v>
      </c>
      <c r="G557" s="615">
        <f>+G558</f>
        <v>0</v>
      </c>
      <c r="H557" s="421">
        <f t="shared" ref="H557:H559" si="215">F557-G557</f>
        <v>0</v>
      </c>
      <c r="I557" s="1428"/>
      <c r="J557" s="1441"/>
      <c r="K557" s="423"/>
      <c r="L557" s="423"/>
      <c r="M557" s="423"/>
      <c r="N557" s="423"/>
      <c r="O557" s="423"/>
      <c r="P557" s="423"/>
      <c r="Q557" s="1442"/>
      <c r="R557" s="1442"/>
      <c r="S557" s="1442"/>
      <c r="T557" s="1442"/>
      <c r="U557" s="1442"/>
      <c r="V557" s="1442"/>
      <c r="W557" s="1442"/>
      <c r="X557" s="1443"/>
      <c r="Y557" s="1444"/>
      <c r="Z557" s="1445"/>
      <c r="AA557" s="401"/>
      <c r="AB557" s="1091"/>
      <c r="AC557" s="1423"/>
      <c r="AD557" s="607"/>
    </row>
    <row r="558" spans="1:30" s="2558" customFormat="1" ht="24" hidden="1" customHeight="1">
      <c r="A558" s="436"/>
      <c r="B558" s="465"/>
      <c r="C558" s="3386" t="s">
        <v>4190</v>
      </c>
      <c r="D558" s="3386"/>
      <c r="E558" s="3386"/>
      <c r="F558" s="599">
        <f>+F559</f>
        <v>0</v>
      </c>
      <c r="G558" s="599">
        <f>+G559</f>
        <v>0</v>
      </c>
      <c r="H558" s="468">
        <f t="shared" si="215"/>
        <v>0</v>
      </c>
      <c r="I558" s="409"/>
      <c r="J558" s="1135"/>
      <c r="K558" s="2598"/>
      <c r="L558" s="2598"/>
      <c r="M558" s="2598"/>
      <c r="N558" s="2598"/>
      <c r="O558" s="2598"/>
      <c r="P558" s="2598"/>
      <c r="Q558" s="1136"/>
      <c r="R558" s="1136"/>
      <c r="S558" s="1136"/>
      <c r="T558" s="1136"/>
      <c r="U558" s="1136"/>
      <c r="V558" s="1136"/>
      <c r="W558" s="1136"/>
      <c r="X558" s="1138"/>
      <c r="Y558" s="431"/>
      <c r="Z558" s="463"/>
      <c r="AA558" s="401"/>
      <c r="AB558" s="1091">
        <f>F558</f>
        <v>0</v>
      </c>
      <c r="AC558" s="1095"/>
      <c r="AD558" s="2553"/>
    </row>
    <row r="559" spans="1:30" s="2558" customFormat="1" ht="24" hidden="1" customHeight="1">
      <c r="A559" s="436"/>
      <c r="B559" s="412"/>
      <c r="C559" s="809"/>
      <c r="D559" s="3543" t="s">
        <v>4191</v>
      </c>
      <c r="E559" s="3543"/>
      <c r="F559" s="1683">
        <f>SUM(F560:F598)</f>
        <v>0</v>
      </c>
      <c r="G559" s="1683">
        <f>SUM(G560:G598)</f>
        <v>0</v>
      </c>
      <c r="H559" s="468">
        <f t="shared" si="215"/>
        <v>0</v>
      </c>
      <c r="I559" s="409"/>
      <c r="J559" s="1135"/>
      <c r="K559" s="2598"/>
      <c r="L559" s="2598"/>
      <c r="M559" s="2598"/>
      <c r="N559" s="2598"/>
      <c r="O559" s="2598"/>
      <c r="P559" s="2598"/>
      <c r="Q559" s="2598"/>
      <c r="R559" s="395"/>
      <c r="S559" s="1136"/>
      <c r="T559" s="1136"/>
      <c r="U559" s="1136"/>
      <c r="V559" s="1136"/>
      <c r="W559" s="1136"/>
      <c r="X559" s="1138"/>
      <c r="Y559" s="431"/>
      <c r="Z559" s="463"/>
      <c r="AA559" s="401"/>
      <c r="AB559" s="1091"/>
      <c r="AC559" s="1095"/>
      <c r="AD559" s="2553"/>
    </row>
    <row r="560" spans="1:30" s="2558" customFormat="1" ht="24" hidden="1" customHeight="1">
      <c r="A560" s="436"/>
      <c r="B560" s="402"/>
      <c r="C560" s="465"/>
      <c r="D560" s="1131"/>
      <c r="E560" s="444" t="s">
        <v>4039</v>
      </c>
      <c r="F560" s="1085"/>
      <c r="G560" s="1085"/>
      <c r="H560" s="810"/>
      <c r="I560" s="409"/>
      <c r="J560" s="2643"/>
      <c r="K560" s="2624"/>
      <c r="L560" s="2624"/>
      <c r="M560" s="2624"/>
      <c r="N560" s="2624"/>
      <c r="O560" s="2624"/>
      <c r="P560" s="2624"/>
      <c r="Q560" s="408"/>
      <c r="R560" s="2628"/>
      <c r="S560" s="2644"/>
      <c r="T560" s="2644"/>
      <c r="U560" s="2644"/>
      <c r="V560" s="2644"/>
      <c r="W560" s="2644"/>
      <c r="X560" s="1140"/>
      <c r="Y560" s="1674"/>
      <c r="Z560" s="1098"/>
      <c r="AA560" s="401"/>
      <c r="AB560" s="1091"/>
      <c r="AC560" s="1095"/>
      <c r="AD560" s="2553"/>
    </row>
    <row r="561" spans="1:30" s="2558" customFormat="1" ht="24" hidden="1" customHeight="1">
      <c r="A561" s="436"/>
      <c r="B561" s="465"/>
      <c r="C561" s="465"/>
      <c r="D561" s="1131"/>
      <c r="E561" s="1134" t="s">
        <v>4041</v>
      </c>
      <c r="F561" s="383"/>
      <c r="G561" s="383"/>
      <c r="H561" s="404"/>
      <c r="I561" s="409"/>
      <c r="J561" s="2643"/>
      <c r="K561" s="2624"/>
      <c r="L561" s="2624"/>
      <c r="M561" s="2624"/>
      <c r="N561" s="2624"/>
      <c r="O561" s="2624"/>
      <c r="P561" s="2624"/>
      <c r="Q561" s="2624"/>
      <c r="R561" s="405"/>
      <c r="S561" s="2644"/>
      <c r="T561" s="2644"/>
      <c r="U561" s="2644"/>
      <c r="V561" s="2644"/>
      <c r="W561" s="2644"/>
      <c r="X561" s="1140"/>
      <c r="Y561" s="1674"/>
      <c r="Z561" s="1098"/>
      <c r="AA561" s="401"/>
      <c r="AB561" s="1091"/>
      <c r="AC561" s="1095"/>
      <c r="AD561" s="2553"/>
    </row>
    <row r="562" spans="1:30" s="2558" customFormat="1" ht="24" hidden="1" customHeight="1">
      <c r="A562" s="436"/>
      <c r="B562" s="465"/>
      <c r="C562" s="465"/>
      <c r="D562" s="1131"/>
      <c r="E562" s="1134"/>
      <c r="F562" s="383"/>
      <c r="G562" s="383"/>
      <c r="H562" s="404"/>
      <c r="I562" s="409"/>
      <c r="J562" s="2643"/>
      <c r="K562" s="2624"/>
      <c r="L562" s="2624"/>
      <c r="M562" s="2624"/>
      <c r="N562" s="2624"/>
      <c r="O562" s="2624"/>
      <c r="P562" s="2624"/>
      <c r="Q562" s="2624"/>
      <c r="R562" s="405"/>
      <c r="S562" s="2644"/>
      <c r="T562" s="2644"/>
      <c r="U562" s="2644"/>
      <c r="V562" s="2644"/>
      <c r="W562" s="2644"/>
      <c r="X562" s="1140"/>
      <c r="Y562" s="1674"/>
      <c r="Z562" s="1098"/>
      <c r="AA562" s="401"/>
      <c r="AB562" s="1091"/>
      <c r="AC562" s="1095"/>
      <c r="AD562" s="2553"/>
    </row>
    <row r="563" spans="1:30" s="2558" customFormat="1" ht="24" hidden="1" customHeight="1">
      <c r="A563" s="436"/>
      <c r="B563" s="465"/>
      <c r="C563" s="465"/>
      <c r="D563" s="1131"/>
      <c r="E563" s="1134"/>
      <c r="F563" s="383"/>
      <c r="G563" s="383"/>
      <c r="H563" s="404"/>
      <c r="I563" s="409"/>
      <c r="J563" s="2643"/>
      <c r="K563" s="2624"/>
      <c r="L563" s="2624"/>
      <c r="M563" s="2624"/>
      <c r="N563" s="2624"/>
      <c r="O563" s="2624"/>
      <c r="P563" s="2624"/>
      <c r="Q563" s="2624"/>
      <c r="R563" s="405"/>
      <c r="S563" s="2644"/>
      <c r="T563" s="2644"/>
      <c r="U563" s="2644"/>
      <c r="V563" s="2644"/>
      <c r="W563" s="2644"/>
      <c r="X563" s="1140"/>
      <c r="Y563" s="1674"/>
      <c r="Z563" s="1098"/>
      <c r="AA563" s="401"/>
      <c r="AB563" s="1091"/>
      <c r="AC563" s="1095"/>
      <c r="AD563" s="2553"/>
    </row>
    <row r="564" spans="1:30" s="2558" customFormat="1" ht="24" hidden="1" customHeight="1">
      <c r="A564" s="436"/>
      <c r="B564" s="465"/>
      <c r="C564" s="465"/>
      <c r="D564" s="1131"/>
      <c r="E564" s="1134"/>
      <c r="F564" s="383"/>
      <c r="G564" s="383"/>
      <c r="H564" s="404"/>
      <c r="I564" s="409"/>
      <c r="J564" s="2643"/>
      <c r="K564" s="2624"/>
      <c r="L564" s="2624"/>
      <c r="M564" s="2624"/>
      <c r="N564" s="2624"/>
      <c r="O564" s="2624"/>
      <c r="P564" s="2624"/>
      <c r="Q564" s="2624"/>
      <c r="R564" s="405"/>
      <c r="S564" s="2644"/>
      <c r="T564" s="2644"/>
      <c r="U564" s="2644"/>
      <c r="V564" s="2644"/>
      <c r="W564" s="2644"/>
      <c r="X564" s="1140"/>
      <c r="Y564" s="1674"/>
      <c r="Z564" s="1098"/>
      <c r="AA564" s="401"/>
      <c r="AB564" s="1091"/>
      <c r="AC564" s="1095"/>
      <c r="AD564" s="2553"/>
    </row>
    <row r="565" spans="1:30" s="2558" customFormat="1" ht="24" hidden="1" customHeight="1">
      <c r="A565" s="436"/>
      <c r="B565" s="402"/>
      <c r="C565" s="465"/>
      <c r="D565" s="1131"/>
      <c r="E565" s="1087" t="s">
        <v>4013</v>
      </c>
      <c r="F565" s="1088"/>
      <c r="G565" s="1088"/>
      <c r="H565" s="404"/>
      <c r="I565" s="409"/>
      <c r="J565" s="2643"/>
      <c r="K565" s="2624"/>
      <c r="L565" s="2624"/>
      <c r="M565" s="2624"/>
      <c r="N565" s="2624"/>
      <c r="O565" s="2624"/>
      <c r="P565" s="2624"/>
      <c r="Q565" s="2624"/>
      <c r="R565" s="405"/>
      <c r="S565" s="2644"/>
      <c r="T565" s="2644"/>
      <c r="U565" s="2644"/>
      <c r="V565" s="2644"/>
      <c r="W565" s="2644"/>
      <c r="X565" s="1140"/>
      <c r="Y565" s="1674"/>
      <c r="Z565" s="1098"/>
      <c r="AA565" s="401"/>
      <c r="AB565" s="1091"/>
      <c r="AC565" s="1095"/>
      <c r="AD565" s="2553"/>
    </row>
    <row r="566" spans="1:30" s="2558" customFormat="1" ht="24" hidden="1" customHeight="1">
      <c r="A566" s="436"/>
      <c r="B566" s="465"/>
      <c r="C566" s="465"/>
      <c r="D566" s="1131"/>
      <c r="E566" s="1134"/>
      <c r="F566" s="383"/>
      <c r="G566" s="383"/>
      <c r="H566" s="404"/>
      <c r="I566" s="409"/>
      <c r="J566" s="2643"/>
      <c r="K566" s="2624"/>
      <c r="L566" s="2624"/>
      <c r="M566" s="2624"/>
      <c r="N566" s="2624"/>
      <c r="O566" s="2624"/>
      <c r="P566" s="2624"/>
      <c r="Q566" s="2624"/>
      <c r="R566" s="405"/>
      <c r="S566" s="2644"/>
      <c r="T566" s="2644"/>
      <c r="U566" s="2644"/>
      <c r="V566" s="2644"/>
      <c r="W566" s="2644"/>
      <c r="X566" s="1140"/>
      <c r="Y566" s="1674"/>
      <c r="Z566" s="1098"/>
      <c r="AA566" s="401"/>
      <c r="AB566" s="1091"/>
      <c r="AC566" s="1095"/>
      <c r="AD566" s="2553"/>
    </row>
    <row r="567" spans="1:30" s="2558" customFormat="1" ht="24" hidden="1" customHeight="1">
      <c r="A567" s="436"/>
      <c r="B567" s="465"/>
      <c r="C567" s="465"/>
      <c r="D567" s="1131"/>
      <c r="E567" s="1134"/>
      <c r="F567" s="383"/>
      <c r="G567" s="383"/>
      <c r="H567" s="404"/>
      <c r="I567" s="409"/>
      <c r="J567" s="2643"/>
      <c r="K567" s="2624"/>
      <c r="L567" s="2624"/>
      <c r="M567" s="2624"/>
      <c r="N567" s="2624"/>
      <c r="O567" s="2624"/>
      <c r="P567" s="2624"/>
      <c r="Q567" s="2624"/>
      <c r="R567" s="405"/>
      <c r="S567" s="2644"/>
      <c r="T567" s="2644"/>
      <c r="U567" s="2644"/>
      <c r="V567" s="2644"/>
      <c r="W567" s="2644"/>
      <c r="X567" s="1140"/>
      <c r="Y567" s="1674"/>
      <c r="Z567" s="1098"/>
      <c r="AA567" s="401"/>
      <c r="AB567" s="1091"/>
      <c r="AC567" s="1095"/>
      <c r="AD567" s="2553"/>
    </row>
    <row r="568" spans="1:30" s="2558" customFormat="1" ht="24" hidden="1" customHeight="1">
      <c r="A568" s="436"/>
      <c r="B568" s="465"/>
      <c r="C568" s="465"/>
      <c r="D568" s="1131"/>
      <c r="E568" s="1134"/>
      <c r="F568" s="383"/>
      <c r="G568" s="383"/>
      <c r="H568" s="404"/>
      <c r="I568" s="409"/>
      <c r="J568" s="2643"/>
      <c r="K568" s="2624"/>
      <c r="L568" s="2624"/>
      <c r="M568" s="2624"/>
      <c r="N568" s="2624"/>
      <c r="O568" s="2624"/>
      <c r="P568" s="2624"/>
      <c r="Q568" s="2644"/>
      <c r="R568" s="2644"/>
      <c r="S568" s="2644"/>
      <c r="T568" s="2644"/>
      <c r="U568" s="2644"/>
      <c r="V568" s="2644"/>
      <c r="W568" s="2644"/>
      <c r="X568" s="1140"/>
      <c r="Y568" s="1674"/>
      <c r="Z568" s="1098"/>
      <c r="AA568" s="401"/>
      <c r="AB568" s="1091"/>
      <c r="AC568" s="1095"/>
      <c r="AD568" s="2553"/>
    </row>
    <row r="569" spans="1:30" s="2558" customFormat="1" ht="24" hidden="1" customHeight="1">
      <c r="A569" s="436"/>
      <c r="B569" s="402"/>
      <c r="C569" s="465"/>
      <c r="D569" s="1131"/>
      <c r="E569" s="1134" t="s">
        <v>4017</v>
      </c>
      <c r="F569" s="403"/>
      <c r="G569" s="403"/>
      <c r="H569" s="404"/>
      <c r="I569" s="409"/>
      <c r="J569" s="2643"/>
      <c r="K569" s="2624"/>
      <c r="L569" s="2624"/>
      <c r="M569" s="2624"/>
      <c r="N569" s="2624"/>
      <c r="O569" s="2624"/>
      <c r="P569" s="2624"/>
      <c r="Q569" s="2624"/>
      <c r="R569" s="405"/>
      <c r="S569" s="2644"/>
      <c r="T569" s="2644"/>
      <c r="U569" s="2644"/>
      <c r="V569" s="2644"/>
      <c r="W569" s="2644"/>
      <c r="X569" s="1140"/>
      <c r="Y569" s="1674"/>
      <c r="Z569" s="1098"/>
      <c r="AA569" s="401"/>
      <c r="AB569" s="1091"/>
      <c r="AC569" s="1095"/>
      <c r="AD569" s="2553"/>
    </row>
    <row r="570" spans="1:30" s="2558" customFormat="1" ht="24" hidden="1" customHeight="1">
      <c r="A570" s="436"/>
      <c r="B570" s="402"/>
      <c r="C570" s="465"/>
      <c r="D570" s="1131"/>
      <c r="E570" s="1134"/>
      <c r="F570" s="403"/>
      <c r="G570" s="403"/>
      <c r="H570" s="404"/>
      <c r="I570" s="409"/>
      <c r="J570" s="2643"/>
      <c r="K570" s="2624"/>
      <c r="L570" s="2624"/>
      <c r="M570" s="2624"/>
      <c r="N570" s="2624"/>
      <c r="O570" s="2624"/>
      <c r="P570" s="2624"/>
      <c r="Q570" s="2624"/>
      <c r="R570" s="405"/>
      <c r="S570" s="2644"/>
      <c r="T570" s="2644"/>
      <c r="U570" s="2644"/>
      <c r="V570" s="2644"/>
      <c r="W570" s="2644"/>
      <c r="X570" s="1140"/>
      <c r="Y570" s="1674"/>
      <c r="Z570" s="1098"/>
      <c r="AA570" s="401"/>
      <c r="AB570" s="1091"/>
      <c r="AC570" s="1095"/>
      <c r="AD570" s="2553"/>
    </row>
    <row r="571" spans="1:30" s="2558" customFormat="1" ht="24" hidden="1" customHeight="1">
      <c r="A571" s="436"/>
      <c r="B571" s="402"/>
      <c r="C571" s="465"/>
      <c r="D571" s="1131"/>
      <c r="E571" s="1134"/>
      <c r="F571" s="403"/>
      <c r="G571" s="403"/>
      <c r="H571" s="404"/>
      <c r="I571" s="409"/>
      <c r="J571" s="2643"/>
      <c r="K571" s="2624"/>
      <c r="L571" s="2624"/>
      <c r="M571" s="2624"/>
      <c r="N571" s="2624"/>
      <c r="O571" s="2624"/>
      <c r="P571" s="2624"/>
      <c r="Q571" s="2644"/>
      <c r="R571" s="2644"/>
      <c r="S571" s="2644"/>
      <c r="T571" s="2644"/>
      <c r="U571" s="2644"/>
      <c r="V571" s="2644"/>
      <c r="W571" s="2644"/>
      <c r="X571" s="1140"/>
      <c r="Y571" s="1674"/>
      <c r="Z571" s="407"/>
      <c r="AA571" s="401"/>
      <c r="AB571" s="1091"/>
      <c r="AC571" s="1095"/>
      <c r="AD571" s="2553"/>
    </row>
    <row r="572" spans="1:30" s="2558" customFormat="1" ht="24" hidden="1" customHeight="1">
      <c r="A572" s="436"/>
      <c r="B572" s="402"/>
      <c r="C572" s="465"/>
      <c r="D572" s="1131"/>
      <c r="E572" s="1134" t="s">
        <v>3729</v>
      </c>
      <c r="F572" s="403"/>
      <c r="G572" s="1453"/>
      <c r="H572" s="404"/>
      <c r="I572" s="409"/>
      <c r="J572" s="2643"/>
      <c r="K572" s="2624"/>
      <c r="L572" s="2624"/>
      <c r="M572" s="2624"/>
      <c r="N572" s="2624"/>
      <c r="O572" s="2624"/>
      <c r="P572" s="2624"/>
      <c r="Q572" s="1673"/>
      <c r="R572" s="405"/>
      <c r="S572" s="1672"/>
      <c r="T572" s="2644"/>
      <c r="U572" s="2644"/>
      <c r="V572" s="2644"/>
      <c r="W572" s="2644"/>
      <c r="X572" s="1140"/>
      <c r="Y572" s="1674"/>
      <c r="Z572" s="407"/>
      <c r="AA572" s="401"/>
      <c r="AB572" s="1091"/>
      <c r="AC572" s="1095"/>
      <c r="AD572" s="2553"/>
    </row>
    <row r="573" spans="1:30" s="2558" customFormat="1" ht="24" hidden="1" customHeight="1">
      <c r="A573" s="436"/>
      <c r="B573" s="465"/>
      <c r="C573" s="465"/>
      <c r="D573" s="1131"/>
      <c r="E573" s="1144" t="s">
        <v>4022</v>
      </c>
      <c r="F573" s="1455"/>
      <c r="G573" s="1455"/>
      <c r="H573" s="404"/>
      <c r="I573" s="409"/>
      <c r="J573" s="2643"/>
      <c r="K573" s="2624"/>
      <c r="L573" s="2624"/>
      <c r="M573" s="2624"/>
      <c r="N573" s="2624"/>
      <c r="O573" s="2624"/>
      <c r="P573" s="2624"/>
      <c r="Q573" s="2624"/>
      <c r="R573" s="405"/>
      <c r="S573" s="1672"/>
      <c r="T573" s="2644"/>
      <c r="U573" s="2644"/>
      <c r="V573" s="2644"/>
      <c r="W573" s="2644"/>
      <c r="X573" s="1140"/>
      <c r="Y573" s="1674"/>
      <c r="Z573" s="407"/>
      <c r="AA573" s="401"/>
      <c r="AB573" s="1091"/>
      <c r="AC573" s="1095"/>
      <c r="AD573" s="2553"/>
    </row>
    <row r="574" spans="1:30" s="2558" customFormat="1" ht="24" hidden="1" customHeight="1">
      <c r="A574" s="436"/>
      <c r="B574" s="465"/>
      <c r="C574" s="465"/>
      <c r="D574" s="1131"/>
      <c r="E574" s="1144"/>
      <c r="F574" s="1455"/>
      <c r="G574" s="1455"/>
      <c r="H574" s="467"/>
      <c r="I574" s="409"/>
      <c r="J574" s="2643"/>
      <c r="K574" s="2624"/>
      <c r="L574" s="2624"/>
      <c r="M574" s="2624"/>
      <c r="N574" s="2624"/>
      <c r="O574" s="2624"/>
      <c r="P574" s="2624"/>
      <c r="Q574" s="2644"/>
      <c r="R574" s="2644"/>
      <c r="S574" s="2644"/>
      <c r="T574" s="2644"/>
      <c r="U574" s="2644"/>
      <c r="V574" s="2644"/>
      <c r="W574" s="2644"/>
      <c r="X574" s="1140"/>
      <c r="Y574" s="1674"/>
      <c r="Z574" s="407"/>
      <c r="AA574" s="401"/>
      <c r="AB574" s="1091"/>
      <c r="AC574" s="1095"/>
      <c r="AD574" s="2553"/>
    </row>
    <row r="575" spans="1:30" s="2558" customFormat="1" ht="24" hidden="1" customHeight="1">
      <c r="A575" s="436"/>
      <c r="B575" s="465"/>
      <c r="C575" s="465"/>
      <c r="D575" s="1131"/>
      <c r="E575" s="1144"/>
      <c r="F575" s="1455"/>
      <c r="G575" s="1455"/>
      <c r="H575" s="467"/>
      <c r="I575" s="409"/>
      <c r="J575" s="2643"/>
      <c r="K575" s="2624"/>
      <c r="L575" s="2624"/>
      <c r="M575" s="2624"/>
      <c r="N575" s="2624"/>
      <c r="O575" s="2624"/>
      <c r="P575" s="2624"/>
      <c r="Q575" s="2644"/>
      <c r="R575" s="2644"/>
      <c r="S575" s="2644"/>
      <c r="T575" s="2644"/>
      <c r="U575" s="2644"/>
      <c r="V575" s="2644"/>
      <c r="W575" s="2644"/>
      <c r="X575" s="1140"/>
      <c r="Y575" s="1674"/>
      <c r="Z575" s="407"/>
      <c r="AA575" s="401"/>
      <c r="AB575" s="1091"/>
      <c r="AC575" s="1095"/>
      <c r="AD575" s="2553"/>
    </row>
    <row r="576" spans="1:30" s="2558" customFormat="1" ht="24" hidden="1" customHeight="1">
      <c r="A576" s="436"/>
      <c r="B576" s="465"/>
      <c r="C576" s="465"/>
      <c r="D576" s="1131"/>
      <c r="E576" s="1144"/>
      <c r="F576" s="1455"/>
      <c r="G576" s="1455"/>
      <c r="H576" s="467"/>
      <c r="I576" s="409"/>
      <c r="J576" s="2643"/>
      <c r="K576" s="2624"/>
      <c r="L576" s="2624"/>
      <c r="M576" s="2624"/>
      <c r="N576" s="2624"/>
      <c r="O576" s="2624"/>
      <c r="P576" s="2624"/>
      <c r="Q576" s="2644"/>
      <c r="R576" s="2644"/>
      <c r="S576" s="2644"/>
      <c r="T576" s="2644"/>
      <c r="U576" s="2644"/>
      <c r="V576" s="2644"/>
      <c r="W576" s="2644"/>
      <c r="X576" s="1140"/>
      <c r="Y576" s="1674"/>
      <c r="Z576" s="407"/>
      <c r="AA576" s="401"/>
      <c r="AB576" s="1091"/>
      <c r="AC576" s="1095"/>
      <c r="AD576" s="2553"/>
    </row>
    <row r="577" spans="1:30" s="2558" customFormat="1" ht="24" hidden="1" customHeight="1">
      <c r="A577" s="436"/>
      <c r="B577" s="465"/>
      <c r="C577" s="465"/>
      <c r="D577" s="465"/>
      <c r="E577" s="1087"/>
      <c r="F577" s="1455"/>
      <c r="G577" s="1455"/>
      <c r="H577" s="467"/>
      <c r="I577" s="409"/>
      <c r="J577" s="2643"/>
      <c r="K577" s="2624"/>
      <c r="L577" s="2624"/>
      <c r="M577" s="2624"/>
      <c r="N577" s="2624"/>
      <c r="O577" s="2624"/>
      <c r="P577" s="2624"/>
      <c r="Q577" s="2644"/>
      <c r="R577" s="2644"/>
      <c r="S577" s="2644"/>
      <c r="T577" s="2644"/>
      <c r="U577" s="2644"/>
      <c r="V577" s="2644"/>
      <c r="W577" s="2644"/>
      <c r="X577" s="1140"/>
      <c r="Y577" s="1674"/>
      <c r="Z577" s="407"/>
      <c r="AA577" s="401"/>
      <c r="AB577" s="1091"/>
      <c r="AC577" s="1095"/>
      <c r="AD577" s="2553"/>
    </row>
    <row r="578" spans="1:30" s="2558" customFormat="1" ht="24" hidden="1" customHeight="1">
      <c r="A578" s="436"/>
      <c r="B578" s="465"/>
      <c r="C578" s="465"/>
      <c r="D578" s="1131"/>
      <c r="E578" s="1144"/>
      <c r="F578" s="1455"/>
      <c r="G578" s="1455"/>
      <c r="H578" s="467"/>
      <c r="I578" s="409"/>
      <c r="J578" s="2643"/>
      <c r="K578" s="2624"/>
      <c r="L578" s="2624"/>
      <c r="M578" s="2624"/>
      <c r="N578" s="2624"/>
      <c r="O578" s="2624"/>
      <c r="P578" s="2624"/>
      <c r="Q578" s="2644"/>
      <c r="R578" s="2644"/>
      <c r="S578" s="2644"/>
      <c r="T578" s="2644"/>
      <c r="U578" s="2644"/>
      <c r="V578" s="2644"/>
      <c r="W578" s="2644"/>
      <c r="X578" s="1140"/>
      <c r="Y578" s="1674"/>
      <c r="Z578" s="407"/>
      <c r="AA578" s="401"/>
      <c r="AB578" s="1091"/>
      <c r="AC578" s="1095"/>
      <c r="AD578" s="2553"/>
    </row>
    <row r="579" spans="1:30" s="2558" customFormat="1" ht="24" hidden="1" customHeight="1">
      <c r="A579" s="436"/>
      <c r="B579" s="465"/>
      <c r="C579" s="465"/>
      <c r="D579" s="465"/>
      <c r="E579" s="1087"/>
      <c r="F579" s="1455"/>
      <c r="G579" s="1455"/>
      <c r="H579" s="467"/>
      <c r="I579" s="409"/>
      <c r="J579" s="2643"/>
      <c r="K579" s="2624"/>
      <c r="L579" s="2624"/>
      <c r="M579" s="2624"/>
      <c r="N579" s="2624"/>
      <c r="O579" s="2624"/>
      <c r="P579" s="2624"/>
      <c r="Q579" s="2644"/>
      <c r="R579" s="2644"/>
      <c r="S579" s="2644"/>
      <c r="T579" s="2644"/>
      <c r="U579" s="2644"/>
      <c r="V579" s="2644"/>
      <c r="W579" s="2644"/>
      <c r="X579" s="1140"/>
      <c r="Y579" s="1674"/>
      <c r="Z579" s="407"/>
      <c r="AA579" s="401"/>
      <c r="AB579" s="1091"/>
      <c r="AC579" s="1095"/>
      <c r="AD579" s="2553"/>
    </row>
    <row r="580" spans="1:30" s="2558" customFormat="1" ht="24" hidden="1" customHeight="1">
      <c r="A580" s="436"/>
      <c r="B580" s="465"/>
      <c r="C580" s="465"/>
      <c r="D580" s="1131"/>
      <c r="E580" s="1144" t="s">
        <v>3740</v>
      </c>
      <c r="F580" s="1455"/>
      <c r="G580" s="1455"/>
      <c r="H580" s="404"/>
      <c r="I580" s="409"/>
      <c r="J580" s="2643"/>
      <c r="K580" s="2624"/>
      <c r="L580" s="2624"/>
      <c r="M580" s="2624"/>
      <c r="N580" s="2624"/>
      <c r="O580" s="2624"/>
      <c r="P580" s="2624"/>
      <c r="Q580" s="2624"/>
      <c r="R580" s="405"/>
      <c r="S580" s="1672"/>
      <c r="T580" s="2644"/>
      <c r="U580" s="2644"/>
      <c r="V580" s="2644"/>
      <c r="W580" s="2644"/>
      <c r="X580" s="1140"/>
      <c r="Y580" s="1674"/>
      <c r="Z580" s="407"/>
      <c r="AA580" s="401"/>
      <c r="AB580" s="1091"/>
      <c r="AC580" s="1095"/>
      <c r="AD580" s="2553"/>
    </row>
    <row r="581" spans="1:30" s="2558" customFormat="1" ht="24" hidden="1" customHeight="1">
      <c r="A581" s="436"/>
      <c r="B581" s="465"/>
      <c r="C581" s="465"/>
      <c r="D581" s="1131"/>
      <c r="E581" s="1144"/>
      <c r="F581" s="1455"/>
      <c r="G581" s="1455"/>
      <c r="H581" s="467"/>
      <c r="I581" s="409"/>
      <c r="J581" s="2643"/>
      <c r="K581" s="2624"/>
      <c r="L581" s="2624"/>
      <c r="M581" s="2624"/>
      <c r="N581" s="2624"/>
      <c r="O581" s="2624"/>
      <c r="P581" s="2624"/>
      <c r="Q581" s="2644"/>
      <c r="R581" s="2644"/>
      <c r="S581" s="2644"/>
      <c r="T581" s="2644"/>
      <c r="U581" s="2644"/>
      <c r="V581" s="2644"/>
      <c r="W581" s="2644"/>
      <c r="X581" s="1140"/>
      <c r="Y581" s="1674"/>
      <c r="Z581" s="407"/>
      <c r="AA581" s="401"/>
      <c r="AB581" s="1091"/>
      <c r="AC581" s="1095"/>
      <c r="AD581" s="2553"/>
    </row>
    <row r="582" spans="1:30" s="2558" customFormat="1" ht="24" hidden="1" customHeight="1">
      <c r="A582" s="436"/>
      <c r="B582" s="465"/>
      <c r="C582" s="465"/>
      <c r="D582" s="1131"/>
      <c r="E582" s="1144"/>
      <c r="F582" s="1455"/>
      <c r="G582" s="1455"/>
      <c r="H582" s="467"/>
      <c r="I582" s="409"/>
      <c r="J582" s="2643"/>
      <c r="K582" s="2624"/>
      <c r="L582" s="2624"/>
      <c r="M582" s="2624"/>
      <c r="N582" s="2624"/>
      <c r="O582" s="2624"/>
      <c r="P582" s="2624"/>
      <c r="Q582" s="2644"/>
      <c r="R582" s="2644"/>
      <c r="S582" s="2644"/>
      <c r="T582" s="2644"/>
      <c r="U582" s="2644"/>
      <c r="V582" s="2644"/>
      <c r="W582" s="2644"/>
      <c r="X582" s="1140"/>
      <c r="Y582" s="1674"/>
      <c r="Z582" s="407"/>
      <c r="AA582" s="401"/>
      <c r="AB582" s="1091"/>
      <c r="AC582" s="1095"/>
      <c r="AD582" s="2553"/>
    </row>
    <row r="583" spans="1:30" s="2558" customFormat="1" ht="24" hidden="1" customHeight="1">
      <c r="A583" s="436"/>
      <c r="B583" s="465"/>
      <c r="C583" s="465"/>
      <c r="D583" s="1131"/>
      <c r="E583" s="1144" t="s">
        <v>4032</v>
      </c>
      <c r="F583" s="1455"/>
      <c r="G583" s="1455"/>
      <c r="H583" s="404"/>
      <c r="I583" s="409"/>
      <c r="J583" s="2643"/>
      <c r="K583" s="2624"/>
      <c r="L583" s="2624"/>
      <c r="M583" s="2624"/>
      <c r="N583" s="2624"/>
      <c r="O583" s="2624"/>
      <c r="P583" s="2624"/>
      <c r="Q583" s="2624"/>
      <c r="R583" s="405"/>
      <c r="S583" s="1672"/>
      <c r="T583" s="2644"/>
      <c r="U583" s="2644"/>
      <c r="V583" s="2644"/>
      <c r="W583" s="2644"/>
      <c r="X583" s="1140"/>
      <c r="Y583" s="1674"/>
      <c r="Z583" s="407"/>
      <c r="AA583" s="401"/>
      <c r="AB583" s="1091"/>
      <c r="AC583" s="1095"/>
      <c r="AD583" s="2553"/>
    </row>
    <row r="584" spans="1:30" s="2558" customFormat="1" ht="24" hidden="1" customHeight="1">
      <c r="A584" s="436"/>
      <c r="B584" s="465"/>
      <c r="C584" s="465"/>
      <c r="D584" s="1131"/>
      <c r="E584" s="1144"/>
      <c r="F584" s="1455"/>
      <c r="G584" s="1455"/>
      <c r="H584" s="467"/>
      <c r="I584" s="409"/>
      <c r="J584" s="2643"/>
      <c r="K584" s="2624"/>
      <c r="L584" s="2624"/>
      <c r="M584" s="2624"/>
      <c r="N584" s="2624"/>
      <c r="O584" s="2624"/>
      <c r="P584" s="2624"/>
      <c r="Q584" s="2644"/>
      <c r="R584" s="2644"/>
      <c r="S584" s="2644"/>
      <c r="T584" s="2644"/>
      <c r="U584" s="2644"/>
      <c r="V584" s="2644"/>
      <c r="W584" s="2644"/>
      <c r="X584" s="1140"/>
      <c r="Y584" s="1674"/>
      <c r="Z584" s="407"/>
      <c r="AA584" s="401"/>
      <c r="AB584" s="1091"/>
      <c r="AC584" s="1095"/>
      <c r="AD584" s="2553"/>
    </row>
    <row r="585" spans="1:30" s="2558" customFormat="1" ht="24" hidden="1" customHeight="1">
      <c r="A585" s="436"/>
      <c r="B585" s="465"/>
      <c r="C585" s="465"/>
      <c r="D585" s="1131"/>
      <c r="E585" s="1144"/>
      <c r="F585" s="1455"/>
      <c r="G585" s="1455"/>
      <c r="H585" s="467"/>
      <c r="I585" s="409"/>
      <c r="J585" s="2643"/>
      <c r="K585" s="2624"/>
      <c r="L585" s="2624"/>
      <c r="M585" s="2624"/>
      <c r="N585" s="2624"/>
      <c r="O585" s="2624"/>
      <c r="P585" s="2624"/>
      <c r="Q585" s="2644"/>
      <c r="R585" s="2644"/>
      <c r="S585" s="2644"/>
      <c r="T585" s="2644"/>
      <c r="U585" s="2644"/>
      <c r="V585" s="2644"/>
      <c r="W585" s="2644"/>
      <c r="X585" s="1140"/>
      <c r="Y585" s="1674"/>
      <c r="Z585" s="407"/>
      <c r="AA585" s="401"/>
      <c r="AB585" s="1091"/>
      <c r="AC585" s="1095"/>
      <c r="AD585" s="2553"/>
    </row>
    <row r="586" spans="1:30" s="2558" customFormat="1" ht="24" hidden="1" customHeight="1">
      <c r="A586" s="436"/>
      <c r="B586" s="402"/>
      <c r="C586" s="465"/>
      <c r="D586" s="1131"/>
      <c r="E586" s="1134" t="s">
        <v>3456</v>
      </c>
      <c r="F586" s="403"/>
      <c r="G586" s="403"/>
      <c r="H586" s="404"/>
      <c r="I586" s="409"/>
      <c r="J586" s="2643"/>
      <c r="K586" s="2624"/>
      <c r="L586" s="2624"/>
      <c r="M586" s="2624"/>
      <c r="N586" s="2624"/>
      <c r="O586" s="2624"/>
      <c r="P586" s="2624"/>
      <c r="Q586" s="1673"/>
      <c r="R586" s="405"/>
      <c r="S586" s="1672"/>
      <c r="T586" s="2644"/>
      <c r="U586" s="2644"/>
      <c r="V586" s="2644"/>
      <c r="W586" s="2644"/>
      <c r="X586" s="1140"/>
      <c r="Y586" s="1674"/>
      <c r="Z586" s="407"/>
      <c r="AA586" s="401"/>
      <c r="AB586" s="1091"/>
      <c r="AC586" s="1095"/>
      <c r="AD586" s="2553"/>
    </row>
    <row r="587" spans="1:30" s="2558" customFormat="1" ht="24" hidden="1" customHeight="1">
      <c r="A587" s="436"/>
      <c r="B587" s="402"/>
      <c r="C587" s="465"/>
      <c r="D587" s="1131"/>
      <c r="E587" s="1134" t="s">
        <v>4026</v>
      </c>
      <c r="F587" s="403"/>
      <c r="G587" s="403"/>
      <c r="H587" s="404"/>
      <c r="I587" s="409"/>
      <c r="J587" s="2643"/>
      <c r="K587" s="2624"/>
      <c r="L587" s="2624"/>
      <c r="M587" s="2624"/>
      <c r="N587" s="2624"/>
      <c r="O587" s="2624"/>
      <c r="P587" s="2624"/>
      <c r="Q587" s="2624"/>
      <c r="R587" s="405"/>
      <c r="S587" s="1672"/>
      <c r="T587" s="2644"/>
      <c r="U587" s="2644"/>
      <c r="V587" s="2644"/>
      <c r="W587" s="2644"/>
      <c r="X587" s="1140"/>
      <c r="Y587" s="1674"/>
      <c r="Z587" s="407"/>
      <c r="AA587" s="401"/>
      <c r="AB587" s="1091"/>
      <c r="AC587" s="1095"/>
      <c r="AD587" s="2553"/>
    </row>
    <row r="588" spans="1:30" s="2558" customFormat="1" ht="24" hidden="1" customHeight="1">
      <c r="A588" s="436"/>
      <c r="B588" s="402"/>
      <c r="C588" s="465"/>
      <c r="D588" s="1131"/>
      <c r="E588" s="1134"/>
      <c r="F588" s="403"/>
      <c r="G588" s="403"/>
      <c r="H588" s="404"/>
      <c r="I588" s="409"/>
      <c r="J588" s="2643"/>
      <c r="K588" s="2624"/>
      <c r="L588" s="2624"/>
      <c r="M588" s="2624"/>
      <c r="N588" s="2624"/>
      <c r="O588" s="2644"/>
      <c r="P588" s="2644"/>
      <c r="Q588" s="2644"/>
      <c r="R588" s="2644"/>
      <c r="S588" s="2644"/>
      <c r="T588" s="2644"/>
      <c r="U588" s="2644"/>
      <c r="V588" s="2644"/>
      <c r="W588" s="2644"/>
      <c r="X588" s="1140"/>
      <c r="Y588" s="1674"/>
      <c r="Z588" s="407"/>
      <c r="AA588" s="401"/>
      <c r="AB588" s="1091"/>
      <c r="AC588" s="1095"/>
      <c r="AD588" s="2553"/>
    </row>
    <row r="589" spans="1:30" s="2558" customFormat="1" ht="24" hidden="1" customHeight="1">
      <c r="A589" s="436"/>
      <c r="B589" s="402"/>
      <c r="C589" s="465"/>
      <c r="D589" s="1131"/>
      <c r="E589" s="1134"/>
      <c r="F589" s="403"/>
      <c r="G589" s="403"/>
      <c r="H589" s="404"/>
      <c r="I589" s="409"/>
      <c r="J589" s="2643"/>
      <c r="K589" s="2624"/>
      <c r="L589" s="2624"/>
      <c r="M589" s="2624"/>
      <c r="N589" s="2624"/>
      <c r="O589" s="2624"/>
      <c r="P589" s="2624"/>
      <c r="Q589" s="2644"/>
      <c r="R589" s="2644"/>
      <c r="S589" s="2644"/>
      <c r="T589" s="2644"/>
      <c r="U589" s="2644"/>
      <c r="V589" s="2644"/>
      <c r="W589" s="2644"/>
      <c r="X589" s="1140"/>
      <c r="Y589" s="1674"/>
      <c r="Z589" s="407"/>
      <c r="AA589" s="401"/>
      <c r="AB589" s="1091"/>
      <c r="AC589" s="1095"/>
      <c r="AD589" s="2553"/>
    </row>
    <row r="590" spans="1:30" s="2558" customFormat="1" ht="24" hidden="1" customHeight="1">
      <c r="A590" s="436"/>
      <c r="B590" s="402"/>
      <c r="C590" s="465"/>
      <c r="D590" s="1131"/>
      <c r="E590" s="1134"/>
      <c r="F590" s="403"/>
      <c r="G590" s="403"/>
      <c r="H590" s="404"/>
      <c r="I590" s="409"/>
      <c r="J590" s="2643"/>
      <c r="K590" s="2624"/>
      <c r="L590" s="2624"/>
      <c r="M590" s="2624"/>
      <c r="N590" s="2624"/>
      <c r="O590" s="2624"/>
      <c r="P590" s="2624"/>
      <c r="Q590" s="2644"/>
      <c r="R590" s="2644"/>
      <c r="S590" s="2644"/>
      <c r="T590" s="2644"/>
      <c r="U590" s="2644"/>
      <c r="V590" s="2644"/>
      <c r="W590" s="2644"/>
      <c r="X590" s="1140"/>
      <c r="Y590" s="1674"/>
      <c r="Z590" s="407"/>
      <c r="AA590" s="401"/>
      <c r="AB590" s="1091"/>
      <c r="AC590" s="1095"/>
      <c r="AD590" s="2553"/>
    </row>
    <row r="591" spans="1:30" s="2558" customFormat="1" ht="24" hidden="1" customHeight="1">
      <c r="A591" s="436"/>
      <c r="B591" s="402"/>
      <c r="C591" s="465"/>
      <c r="D591" s="1131"/>
      <c r="E591" s="1134"/>
      <c r="F591" s="403"/>
      <c r="G591" s="403"/>
      <c r="H591" s="404"/>
      <c r="I591" s="409"/>
      <c r="J591" s="2643"/>
      <c r="K591" s="2624"/>
      <c r="L591" s="2624"/>
      <c r="M591" s="2624"/>
      <c r="N591" s="2624"/>
      <c r="O591" s="2624"/>
      <c r="P591" s="2624"/>
      <c r="Q591" s="2644"/>
      <c r="R591" s="2644"/>
      <c r="S591" s="2644"/>
      <c r="T591" s="2644"/>
      <c r="U591" s="2644"/>
      <c r="V591" s="2644"/>
      <c r="W591" s="2644"/>
      <c r="X591" s="1140"/>
      <c r="Y591" s="1674"/>
      <c r="Z591" s="407"/>
      <c r="AA591" s="401"/>
      <c r="AB591" s="1091"/>
      <c r="AC591" s="1095"/>
      <c r="AD591" s="2553"/>
    </row>
    <row r="592" spans="1:30" s="2558" customFormat="1" ht="24" hidden="1" customHeight="1">
      <c r="A592" s="436"/>
      <c r="B592" s="402"/>
      <c r="C592" s="465"/>
      <c r="D592" s="1131"/>
      <c r="E592" s="1134"/>
      <c r="F592" s="403"/>
      <c r="G592" s="403"/>
      <c r="H592" s="404"/>
      <c r="I592" s="409"/>
      <c r="J592" s="2643"/>
      <c r="K592" s="2624"/>
      <c r="L592" s="2624"/>
      <c r="M592" s="2624"/>
      <c r="N592" s="2624"/>
      <c r="O592" s="2624"/>
      <c r="P592" s="2624"/>
      <c r="Q592" s="2644"/>
      <c r="R592" s="2644"/>
      <c r="S592" s="2644"/>
      <c r="T592" s="2644"/>
      <c r="U592" s="2644"/>
      <c r="V592" s="2644"/>
      <c r="W592" s="2644"/>
      <c r="X592" s="1140"/>
      <c r="Y592" s="1674"/>
      <c r="Z592" s="407"/>
      <c r="AA592" s="401"/>
      <c r="AB592" s="1091"/>
      <c r="AC592" s="1095"/>
      <c r="AD592" s="2553"/>
    </row>
    <row r="593" spans="1:30" s="2558" customFormat="1" ht="24" hidden="1" customHeight="1">
      <c r="A593" s="436"/>
      <c r="B593" s="402"/>
      <c r="C593" s="465"/>
      <c r="D593" s="1131"/>
      <c r="E593" s="1134"/>
      <c r="F593" s="403"/>
      <c r="G593" s="403"/>
      <c r="H593" s="404"/>
      <c r="I593" s="409"/>
      <c r="J593" s="2643"/>
      <c r="K593" s="2624"/>
      <c r="L593" s="2624"/>
      <c r="M593" s="2624"/>
      <c r="N593" s="2624"/>
      <c r="O593" s="2644"/>
      <c r="P593" s="2644"/>
      <c r="Q593" s="2644"/>
      <c r="R593" s="2644"/>
      <c r="S593" s="2644"/>
      <c r="T593" s="2644"/>
      <c r="U593" s="2644"/>
      <c r="V593" s="2644"/>
      <c r="W593" s="2644"/>
      <c r="X593" s="1140"/>
      <c r="Y593" s="1674"/>
      <c r="Z593" s="407"/>
      <c r="AA593" s="401"/>
      <c r="AB593" s="1091"/>
      <c r="AC593" s="1095"/>
      <c r="AD593" s="2553"/>
    </row>
    <row r="594" spans="1:30" s="2558" customFormat="1" ht="24" hidden="1" customHeight="1">
      <c r="A594" s="436"/>
      <c r="B594" s="402"/>
      <c r="C594" s="465"/>
      <c r="D594" s="1131"/>
      <c r="E594" s="1134"/>
      <c r="F594" s="403"/>
      <c r="G594" s="403"/>
      <c r="H594" s="404"/>
      <c r="I594" s="409"/>
      <c r="J594" s="2643"/>
      <c r="K594" s="2624"/>
      <c r="L594" s="2624"/>
      <c r="M594" s="2624"/>
      <c r="N594" s="2624"/>
      <c r="O594" s="2624"/>
      <c r="P594" s="2624"/>
      <c r="Q594" s="2644"/>
      <c r="R594" s="2644"/>
      <c r="S594" s="2644"/>
      <c r="T594" s="2644"/>
      <c r="U594" s="2644"/>
      <c r="V594" s="2644"/>
      <c r="W594" s="2644"/>
      <c r="X594" s="1140"/>
      <c r="Y594" s="1674"/>
      <c r="Z594" s="407"/>
      <c r="AA594" s="401"/>
      <c r="AB594" s="1091"/>
      <c r="AC594" s="1095"/>
      <c r="AD594" s="2553"/>
    </row>
    <row r="595" spans="1:30" s="2558" customFormat="1" ht="24" hidden="1" customHeight="1">
      <c r="A595" s="436"/>
      <c r="B595" s="402"/>
      <c r="C595" s="465"/>
      <c r="D595" s="1131"/>
      <c r="E595" s="1134"/>
      <c r="F595" s="403"/>
      <c r="G595" s="403"/>
      <c r="H595" s="404"/>
      <c r="I595" s="409"/>
      <c r="J595" s="2643"/>
      <c r="K595" s="2624"/>
      <c r="L595" s="2624"/>
      <c r="M595" s="2624"/>
      <c r="N595" s="2624"/>
      <c r="O595" s="2624"/>
      <c r="P595" s="2624"/>
      <c r="Q595" s="2644"/>
      <c r="R595" s="2644"/>
      <c r="S595" s="2644"/>
      <c r="T595" s="2644"/>
      <c r="U595" s="2644"/>
      <c r="V595" s="2644"/>
      <c r="W595" s="2644"/>
      <c r="X595" s="1140"/>
      <c r="Y595" s="1674"/>
      <c r="Z595" s="407"/>
      <c r="AA595" s="401"/>
      <c r="AB595" s="1091"/>
      <c r="AC595" s="1095"/>
      <c r="AD595" s="2553"/>
    </row>
    <row r="596" spans="1:30" s="2558" customFormat="1" ht="24" hidden="1" customHeight="1">
      <c r="A596" s="436"/>
      <c r="B596" s="402"/>
      <c r="C596" s="465"/>
      <c r="D596" s="1131"/>
      <c r="E596" s="1134" t="s">
        <v>4028</v>
      </c>
      <c r="F596" s="403"/>
      <c r="G596" s="403"/>
      <c r="H596" s="404"/>
      <c r="I596" s="409"/>
      <c r="J596" s="2643"/>
      <c r="K596" s="2624"/>
      <c r="L596" s="2624"/>
      <c r="M596" s="2624"/>
      <c r="N596" s="2624"/>
      <c r="O596" s="2624"/>
      <c r="P596" s="2624"/>
      <c r="Q596" s="2624"/>
      <c r="R596" s="405"/>
      <c r="S596" s="1672"/>
      <c r="T596" s="2644"/>
      <c r="U596" s="2644"/>
      <c r="V596" s="2644"/>
      <c r="W596" s="2644"/>
      <c r="X596" s="1140"/>
      <c r="Y596" s="1674"/>
      <c r="Z596" s="407"/>
      <c r="AA596" s="401"/>
      <c r="AB596" s="1091"/>
      <c r="AC596" s="1095"/>
      <c r="AD596" s="2553"/>
    </row>
    <row r="597" spans="1:30" s="2558" customFormat="1" ht="24" hidden="1" customHeight="1">
      <c r="A597" s="436"/>
      <c r="B597" s="402"/>
      <c r="C597" s="465"/>
      <c r="D597" s="1131"/>
      <c r="E597" s="1134"/>
      <c r="F597" s="403"/>
      <c r="G597" s="403"/>
      <c r="H597" s="404"/>
      <c r="I597" s="409"/>
      <c r="J597" s="2643"/>
      <c r="K597" s="2624"/>
      <c r="L597" s="2624"/>
      <c r="M597" s="2624"/>
      <c r="N597" s="2624"/>
      <c r="O597" s="2624"/>
      <c r="P597" s="2624"/>
      <c r="Q597" s="2644"/>
      <c r="R597" s="2644"/>
      <c r="S597" s="2644"/>
      <c r="T597" s="2644"/>
      <c r="U597" s="2644"/>
      <c r="V597" s="2644"/>
      <c r="W597" s="2644"/>
      <c r="X597" s="1140"/>
      <c r="Y597" s="1674"/>
      <c r="Z597" s="407"/>
      <c r="AA597" s="401"/>
      <c r="AB597" s="1091"/>
      <c r="AC597" s="1095"/>
      <c r="AD597" s="2553"/>
    </row>
    <row r="598" spans="1:30" s="2558" customFormat="1" ht="24" hidden="1" customHeight="1" thickBot="1">
      <c r="A598" s="436"/>
      <c r="B598" s="437"/>
      <c r="C598" s="465"/>
      <c r="D598" s="1131"/>
      <c r="E598" s="1134"/>
      <c r="F598" s="383"/>
      <c r="G598" s="383"/>
      <c r="H598" s="404"/>
      <c r="I598" s="409"/>
      <c r="J598" s="2643"/>
      <c r="K598" s="2624"/>
      <c r="L598" s="2624"/>
      <c r="M598" s="2624"/>
      <c r="N598" s="2624"/>
      <c r="O598" s="2624"/>
      <c r="P598" s="2624"/>
      <c r="Q598" s="2644"/>
      <c r="R598" s="2644"/>
      <c r="S598" s="2644"/>
      <c r="T598" s="2644"/>
      <c r="U598" s="2644"/>
      <c r="V598" s="2644"/>
      <c r="W598" s="2644"/>
      <c r="X598" s="1140"/>
      <c r="Y598" s="1674"/>
      <c r="Z598" s="407"/>
      <c r="AA598" s="401"/>
      <c r="AB598" s="1091"/>
      <c r="AC598" s="1095"/>
      <c r="AD598" s="2553"/>
    </row>
    <row r="599" spans="1:30" s="591" customFormat="1" ht="24.6" customHeight="1" thickBot="1">
      <c r="A599" s="1112"/>
      <c r="B599" s="3538" t="s">
        <v>4192</v>
      </c>
      <c r="C599" s="3538"/>
      <c r="D599" s="3538"/>
      <c r="E599" s="3538"/>
      <c r="F599" s="615">
        <f>F607+F625+F634+F600+F638</f>
        <v>2155000</v>
      </c>
      <c r="G599" s="615">
        <f>G607+G625+G634+G600+G638</f>
        <v>2080000</v>
      </c>
      <c r="H599" s="421">
        <f t="shared" ref="H599:I607" si="216">F599-G599</f>
        <v>75000</v>
      </c>
      <c r="I599" s="1428"/>
      <c r="J599" s="1441"/>
      <c r="K599" s="423"/>
      <c r="L599" s="423"/>
      <c r="M599" s="423"/>
      <c r="N599" s="423"/>
      <c r="O599" s="423"/>
      <c r="P599" s="423"/>
      <c r="Q599" s="1442"/>
      <c r="R599" s="1442"/>
      <c r="S599" s="1442"/>
      <c r="T599" s="1442"/>
      <c r="U599" s="1442"/>
      <c r="V599" s="1442"/>
      <c r="W599" s="1442"/>
      <c r="X599" s="1443"/>
      <c r="Y599" s="1444"/>
      <c r="Z599" s="1445"/>
      <c r="AA599" s="401"/>
      <c r="AB599" s="1091"/>
      <c r="AC599" s="1423"/>
      <c r="AD599" s="607"/>
    </row>
    <row r="600" spans="1:30" s="1066" customFormat="1" ht="24.6" customHeight="1">
      <c r="A600" s="348"/>
      <c r="B600" s="1126"/>
      <c r="C600" s="3277" t="s">
        <v>3334</v>
      </c>
      <c r="D600" s="3271"/>
      <c r="E600" s="3272"/>
      <c r="F600" s="384">
        <f>+F601</f>
        <v>50000</v>
      </c>
      <c r="G600" s="384">
        <f>+G601</f>
        <v>50000</v>
      </c>
      <c r="H600" s="468">
        <f t="shared" si="216"/>
        <v>0</v>
      </c>
      <c r="I600" s="2559"/>
      <c r="J600" s="1135"/>
      <c r="K600" s="2598"/>
      <c r="L600" s="2598"/>
      <c r="M600" s="2598"/>
      <c r="N600" s="2598"/>
      <c r="O600" s="2598"/>
      <c r="P600" s="2598"/>
      <c r="Q600" s="1307"/>
      <c r="R600" s="1137"/>
      <c r="S600" s="399"/>
      <c r="T600" s="1136"/>
      <c r="U600" s="1136"/>
      <c r="V600" s="1136"/>
      <c r="W600" s="1136"/>
      <c r="X600" s="1138"/>
      <c r="Y600" s="377"/>
      <c r="Z600" s="463"/>
      <c r="AA600" s="2357"/>
      <c r="AB600" s="2357"/>
      <c r="AC600" s="2357"/>
    </row>
    <row r="601" spans="1:30" s="1066" customFormat="1" ht="24.6" customHeight="1">
      <c r="A601" s="348"/>
      <c r="B601" s="1126"/>
      <c r="C601" s="2357"/>
      <c r="D601" s="2631" t="s">
        <v>4193</v>
      </c>
      <c r="E601" s="2632"/>
      <c r="F601" s="1327">
        <f>SUM(F602:F606)</f>
        <v>50000</v>
      </c>
      <c r="G601" s="1327">
        <v>50000</v>
      </c>
      <c r="H601" s="1132">
        <f>F601-G601</f>
        <v>0</v>
      </c>
      <c r="I601" s="473"/>
      <c r="J601" s="1362"/>
      <c r="K601" s="2618"/>
      <c r="L601" s="2618"/>
      <c r="M601" s="2618"/>
      <c r="N601" s="2618"/>
      <c r="O601" s="2618"/>
      <c r="P601" s="2618"/>
      <c r="Q601" s="1364"/>
      <c r="R601" s="485"/>
      <c r="S601" s="1365"/>
      <c r="T601" s="462"/>
      <c r="U601" s="2635"/>
      <c r="V601" s="1364"/>
      <c r="W601" s="1364"/>
      <c r="X601" s="430"/>
      <c r="Y601" s="377"/>
      <c r="Z601" s="378"/>
      <c r="AA601" s="2357"/>
      <c r="AB601" s="2357"/>
      <c r="AC601" s="2357"/>
    </row>
    <row r="602" spans="1:30" s="1066" customFormat="1" ht="24.6" customHeight="1">
      <c r="A602" s="348"/>
      <c r="B602" s="1126"/>
      <c r="C602" s="2357"/>
      <c r="D602" s="1154"/>
      <c r="E602" s="620" t="s">
        <v>4022</v>
      </c>
      <c r="F602" s="1311">
        <f>Y602</f>
        <v>9000</v>
      </c>
      <c r="G602" s="1311">
        <v>9000</v>
      </c>
      <c r="H602" s="404"/>
      <c r="I602" s="473"/>
      <c r="J602" s="1678" t="s">
        <v>3447</v>
      </c>
      <c r="K602" s="2558"/>
      <c r="L602" s="2558"/>
      <c r="M602" s="2558"/>
      <c r="N602" s="2558"/>
      <c r="O602" s="2558"/>
      <c r="P602" s="1667"/>
      <c r="Q602" s="1667" t="s">
        <v>4084</v>
      </c>
      <c r="R602" s="118" t="s">
        <v>4084</v>
      </c>
      <c r="S602" s="1666"/>
      <c r="T602" s="569"/>
      <c r="U602" s="569"/>
      <c r="V602" s="569"/>
      <c r="W602" s="569"/>
      <c r="X602" s="1807"/>
      <c r="Y602" s="325">
        <f>Z602/1000</f>
        <v>9000</v>
      </c>
      <c r="Z602" s="1823">
        <f>SUM(Z603:Z604)</f>
        <v>9000000</v>
      </c>
      <c r="AA602" s="2357"/>
      <c r="AB602" s="2357"/>
      <c r="AC602" s="2357"/>
    </row>
    <row r="603" spans="1:30" s="1066" customFormat="1" ht="24.6" customHeight="1">
      <c r="A603" s="348"/>
      <c r="B603" s="1126"/>
      <c r="C603" s="2357"/>
      <c r="D603" s="1154"/>
      <c r="E603" s="620"/>
      <c r="F603" s="1311"/>
      <c r="G603" s="1311"/>
      <c r="H603" s="404"/>
      <c r="I603" s="473"/>
      <c r="J603" s="1678" t="s">
        <v>6115</v>
      </c>
      <c r="K603" s="2558"/>
      <c r="L603" s="2558"/>
      <c r="M603" s="2558"/>
      <c r="N603" s="2558"/>
      <c r="O603" s="2558"/>
      <c r="P603" s="2558"/>
      <c r="Q603" s="1808">
        <v>4</v>
      </c>
      <c r="R603" s="1806" t="s">
        <v>4003</v>
      </c>
      <c r="S603" s="1666">
        <v>200000</v>
      </c>
      <c r="T603" s="569" t="s">
        <v>3727</v>
      </c>
      <c r="U603" s="569"/>
      <c r="V603" s="569">
        <v>5</v>
      </c>
      <c r="W603" s="569" t="s">
        <v>4074</v>
      </c>
      <c r="X603" s="1807" t="s">
        <v>3441</v>
      </c>
      <c r="Y603" s="325">
        <f>Z603/1000</f>
        <v>4000</v>
      </c>
      <c r="Z603" s="114">
        <f>Q603*S603*V603</f>
        <v>4000000</v>
      </c>
      <c r="AA603" s="2357"/>
      <c r="AB603" s="2357"/>
      <c r="AC603" s="2357"/>
    </row>
    <row r="604" spans="1:30" s="1066" customFormat="1" ht="24.6" customHeight="1">
      <c r="A604" s="348"/>
      <c r="B604" s="1126"/>
      <c r="C604" s="2357"/>
      <c r="D604" s="1154"/>
      <c r="E604" s="620"/>
      <c r="F604" s="1311"/>
      <c r="G604" s="1311"/>
      <c r="H604" s="404"/>
      <c r="I604" s="473"/>
      <c r="J604" s="1678" t="s">
        <v>4565</v>
      </c>
      <c r="K604" s="2558"/>
      <c r="L604" s="2558"/>
      <c r="M604" s="2558"/>
      <c r="N604" s="2558"/>
      <c r="O604" s="2558"/>
      <c r="P604" s="1667"/>
      <c r="Q604" s="1667"/>
      <c r="R604" s="118"/>
      <c r="S604" s="1666">
        <v>5000000</v>
      </c>
      <c r="T604" s="569" t="s">
        <v>3727</v>
      </c>
      <c r="U604" s="569"/>
      <c r="V604" s="569">
        <v>1</v>
      </c>
      <c r="W604" s="569" t="s">
        <v>3440</v>
      </c>
      <c r="X604" s="1807" t="s">
        <v>3441</v>
      </c>
      <c r="Y604" s="325">
        <f t="shared" ref="Y604:Y605" si="217">Z604/1000</f>
        <v>5000</v>
      </c>
      <c r="Z604" s="1823">
        <f>S604*V604</f>
        <v>5000000</v>
      </c>
      <c r="AA604" s="2357"/>
      <c r="AB604" s="2357"/>
      <c r="AC604" s="2357"/>
    </row>
    <row r="605" spans="1:30" s="1066" customFormat="1" ht="24.6" customHeight="1">
      <c r="A605" s="348"/>
      <c r="B605" s="1126"/>
      <c r="C605" s="2357"/>
      <c r="D605" s="1154"/>
      <c r="E605" s="620" t="s">
        <v>287</v>
      </c>
      <c r="F605" s="1311">
        <f t="shared" ref="F605" si="218">Y605</f>
        <v>40000</v>
      </c>
      <c r="G605" s="1311">
        <v>40000</v>
      </c>
      <c r="H605" s="404"/>
      <c r="I605" s="473"/>
      <c r="J605" s="1678" t="s">
        <v>4194</v>
      </c>
      <c r="K605" s="2558"/>
      <c r="L605" s="2558"/>
      <c r="M605" s="2558"/>
      <c r="N605" s="2558"/>
      <c r="O605" s="2558"/>
      <c r="P605" s="1667"/>
      <c r="Q605" s="1667" t="s">
        <v>344</v>
      </c>
      <c r="R605" s="118" t="s">
        <v>344</v>
      </c>
      <c r="S605" s="1666">
        <v>8000000</v>
      </c>
      <c r="T605" s="569" t="s">
        <v>264</v>
      </c>
      <c r="U605" s="569"/>
      <c r="V605" s="569">
        <v>5</v>
      </c>
      <c r="W605" s="569" t="s">
        <v>330</v>
      </c>
      <c r="X605" s="1807" t="s">
        <v>266</v>
      </c>
      <c r="Y605" s="325">
        <f t="shared" si="217"/>
        <v>40000</v>
      </c>
      <c r="Z605" s="1823">
        <f>S605*V605</f>
        <v>40000000</v>
      </c>
      <c r="AA605" s="2357"/>
      <c r="AB605" s="2357"/>
      <c r="AC605" s="2357"/>
    </row>
    <row r="606" spans="1:30" s="1066" customFormat="1" ht="24.6" customHeight="1">
      <c r="A606" s="348"/>
      <c r="B606" s="1126"/>
      <c r="C606" s="2357"/>
      <c r="D606" s="1154"/>
      <c r="E606" s="2592" t="s">
        <v>4028</v>
      </c>
      <c r="F606" s="1311">
        <f>Y606</f>
        <v>1000</v>
      </c>
      <c r="G606" s="1311">
        <v>1000</v>
      </c>
      <c r="H606" s="404"/>
      <c r="I606" s="473"/>
      <c r="J606" s="2593" t="s">
        <v>4175</v>
      </c>
      <c r="K606" s="300"/>
      <c r="L606" s="2654"/>
      <c r="M606" s="2654"/>
      <c r="N606" s="2654"/>
      <c r="O606" s="2654"/>
      <c r="P606" s="2654"/>
      <c r="Q606" s="300"/>
      <c r="R606" s="2697"/>
      <c r="S606" s="88">
        <v>100000</v>
      </c>
      <c r="T606" s="300" t="s">
        <v>3727</v>
      </c>
      <c r="U606" s="300"/>
      <c r="V606" s="300">
        <v>10</v>
      </c>
      <c r="W606" s="300" t="s">
        <v>3732</v>
      </c>
      <c r="X606" s="329" t="s">
        <v>3441</v>
      </c>
      <c r="Y606" s="549">
        <f t="shared" ref="Y606" si="219">(Z606)/1000</f>
        <v>1000</v>
      </c>
      <c r="Z606" s="2698">
        <f>S606*V606</f>
        <v>1000000</v>
      </c>
      <c r="AA606" s="2357"/>
      <c r="AB606" s="2357"/>
      <c r="AC606" s="2357"/>
    </row>
    <row r="607" spans="1:30" s="2558" customFormat="1" ht="24.6" customHeight="1">
      <c r="A607" s="396"/>
      <c r="B607" s="412"/>
      <c r="C607" s="3530" t="s">
        <v>3913</v>
      </c>
      <c r="D607" s="3531"/>
      <c r="E607" s="3532"/>
      <c r="F607" s="2956">
        <f>+F608</f>
        <v>1580000</v>
      </c>
      <c r="G607" s="2956">
        <f>G608</f>
        <v>1580000</v>
      </c>
      <c r="H607" s="2478">
        <f t="shared" si="216"/>
        <v>0</v>
      </c>
      <c r="I607" s="2479">
        <f t="shared" si="216"/>
        <v>1580000</v>
      </c>
      <c r="J607" s="756"/>
      <c r="K607" s="2410"/>
      <c r="L607" s="2410"/>
      <c r="M607" s="2410"/>
      <c r="N607" s="2410"/>
      <c r="O607" s="2410"/>
      <c r="P607" s="2410"/>
      <c r="Q607" s="2410"/>
      <c r="R607" s="2410"/>
      <c r="S607" s="2410"/>
      <c r="T607" s="2410"/>
      <c r="U607" s="2410"/>
      <c r="V607" s="2410"/>
      <c r="W607" s="2410"/>
      <c r="X607" s="725"/>
      <c r="Y607" s="2957"/>
      <c r="Z607" s="2958"/>
      <c r="AA607" s="401"/>
      <c r="AB607" s="2625"/>
      <c r="AC607" s="1091">
        <f>F607</f>
        <v>1580000</v>
      </c>
      <c r="AD607" s="2553"/>
    </row>
    <row r="608" spans="1:30" s="1066" customFormat="1" ht="24.6" customHeight="1">
      <c r="A608" s="348"/>
      <c r="B608" s="1126"/>
      <c r="C608" s="2894"/>
      <c r="D608" s="3280" t="s">
        <v>2981</v>
      </c>
      <c r="E608" s="3282"/>
      <c r="F608" s="1263">
        <f>SUM(F609:F624)</f>
        <v>1580000</v>
      </c>
      <c r="G608" s="1263">
        <f>SUM(G609:G624)</f>
        <v>1580000</v>
      </c>
      <c r="H608" s="2478">
        <f>F608-G608</f>
        <v>0</v>
      </c>
      <c r="I608" s="1118"/>
      <c r="J608" s="1119"/>
      <c r="K608" s="2912"/>
      <c r="L608" s="2912"/>
      <c r="M608" s="2912"/>
      <c r="N608" s="2912"/>
      <c r="O608" s="2912"/>
      <c r="P608" s="2912"/>
      <c r="Q608" s="2912"/>
      <c r="R608" s="1120"/>
      <c r="S608" s="2912"/>
      <c r="T608" s="2912"/>
      <c r="U608" s="2912"/>
      <c r="V608" s="2912"/>
      <c r="W608" s="2912"/>
      <c r="X608" s="869"/>
      <c r="Y608" s="2959"/>
      <c r="Z608" s="2910"/>
      <c r="AA608" s="2357"/>
      <c r="AB608" s="2357"/>
      <c r="AC608" s="2357"/>
    </row>
    <row r="609" spans="1:29" s="1066" customFormat="1" ht="24.6" customHeight="1">
      <c r="A609" s="348"/>
      <c r="B609" s="1126"/>
      <c r="C609" s="2894"/>
      <c r="D609" s="2960"/>
      <c r="E609" s="620" t="s">
        <v>59</v>
      </c>
      <c r="F609" s="1762">
        <f t="shared" ref="F609:F610" si="220">Y609</f>
        <v>90000</v>
      </c>
      <c r="G609" s="1186">
        <v>90000</v>
      </c>
      <c r="H609" s="700"/>
      <c r="I609" s="1118"/>
      <c r="J609" s="1780" t="s">
        <v>4202</v>
      </c>
      <c r="K609" s="1685"/>
      <c r="L609" s="1685"/>
      <c r="M609" s="1685"/>
      <c r="N609" s="1686"/>
      <c r="O609" s="1686"/>
      <c r="P609" s="1685"/>
      <c r="Q609" s="1685">
        <v>3</v>
      </c>
      <c r="R609" s="1685" t="s">
        <v>33</v>
      </c>
      <c r="S609" s="1685">
        <v>2500000</v>
      </c>
      <c r="T609" s="1685" t="s">
        <v>0</v>
      </c>
      <c r="U609" s="1685"/>
      <c r="V609" s="1685">
        <v>12</v>
      </c>
      <c r="W609" s="1685" t="s">
        <v>265</v>
      </c>
      <c r="X609" s="1685" t="s">
        <v>1</v>
      </c>
      <c r="Y609" s="636">
        <f t="shared" ref="Y609:Y610" si="221">+Z609/1000</f>
        <v>90000</v>
      </c>
      <c r="Z609" s="637">
        <f t="shared" ref="Z609:Z610" si="222">Q609*S609*V609</f>
        <v>90000000</v>
      </c>
      <c r="AA609" s="2357"/>
      <c r="AB609" s="2357"/>
      <c r="AC609" s="2357"/>
    </row>
    <row r="610" spans="1:29" s="1066" customFormat="1" ht="24.6" customHeight="1">
      <c r="A610" s="348"/>
      <c r="B610" s="1126"/>
      <c r="C610" s="2894"/>
      <c r="D610" s="2960"/>
      <c r="E610" s="620" t="s">
        <v>224</v>
      </c>
      <c r="F610" s="1762">
        <f t="shared" si="220"/>
        <v>5000</v>
      </c>
      <c r="G610" s="1186">
        <v>5000</v>
      </c>
      <c r="H610" s="700"/>
      <c r="I610" s="1118"/>
      <c r="J610" s="1780" t="s">
        <v>4635</v>
      </c>
      <c r="K610" s="1685"/>
      <c r="L610" s="1685"/>
      <c r="M610" s="1685"/>
      <c r="N610" s="1686"/>
      <c r="O610" s="1686"/>
      <c r="P610" s="1685"/>
      <c r="Q610" s="1685">
        <v>2</v>
      </c>
      <c r="R610" s="1685" t="s">
        <v>202</v>
      </c>
      <c r="S610" s="1685">
        <v>2500000</v>
      </c>
      <c r="T610" s="1685" t="s">
        <v>0</v>
      </c>
      <c r="U610" s="1685"/>
      <c r="V610" s="1685">
        <v>1</v>
      </c>
      <c r="W610" s="1685" t="s">
        <v>196</v>
      </c>
      <c r="X610" s="1685" t="s">
        <v>1</v>
      </c>
      <c r="Y610" s="636">
        <f t="shared" si="221"/>
        <v>5000</v>
      </c>
      <c r="Z610" s="637">
        <f t="shared" si="222"/>
        <v>5000000</v>
      </c>
      <c r="AA610" s="2357"/>
      <c r="AB610" s="2357"/>
      <c r="AC610" s="2357"/>
    </row>
    <row r="611" spans="1:29" s="1066" customFormat="1" ht="24.6" customHeight="1">
      <c r="A611" s="348"/>
      <c r="B611" s="1126"/>
      <c r="C611" s="2894"/>
      <c r="D611" s="2960"/>
      <c r="E611" s="620" t="s">
        <v>195</v>
      </c>
      <c r="F611" s="1762">
        <f>Y611</f>
        <v>18000</v>
      </c>
      <c r="G611" s="1186">
        <v>18000</v>
      </c>
      <c r="H611" s="700"/>
      <c r="I611" s="1118"/>
      <c r="J611" s="1780" t="s">
        <v>608</v>
      </c>
      <c r="K611" s="1685"/>
      <c r="L611" s="1685"/>
      <c r="M611" s="1685"/>
      <c r="N611" s="1686"/>
      <c r="O611" s="1686"/>
      <c r="P611" s="1685"/>
      <c r="Q611" s="635"/>
      <c r="R611" s="1685"/>
      <c r="S611" s="1686"/>
      <c r="T611" s="1685"/>
      <c r="U611" s="1685"/>
      <c r="V611" s="1685"/>
      <c r="W611" s="1685"/>
      <c r="X611" s="1685"/>
      <c r="Y611" s="636">
        <f t="shared" ref="Y611:Y624" si="223">+Z611/1000</f>
        <v>18000</v>
      </c>
      <c r="Z611" s="637">
        <f>Z612+Z613</f>
        <v>18000000</v>
      </c>
      <c r="AA611" s="2357"/>
      <c r="AB611" s="2357"/>
      <c r="AC611" s="2357"/>
    </row>
    <row r="612" spans="1:29" s="1066" customFormat="1" ht="24.6" customHeight="1">
      <c r="A612" s="348"/>
      <c r="B612" s="1126"/>
      <c r="C612" s="2894"/>
      <c r="D612" s="2960"/>
      <c r="E612" s="620"/>
      <c r="F612" s="1185"/>
      <c r="G612" s="1186"/>
      <c r="H612" s="700"/>
      <c r="I612" s="1118"/>
      <c r="J612" s="1780" t="s">
        <v>4631</v>
      </c>
      <c r="K612" s="1685"/>
      <c r="L612" s="1685"/>
      <c r="M612" s="1685"/>
      <c r="N612" s="1686"/>
      <c r="O612" s="1686"/>
      <c r="P612" s="1685"/>
      <c r="Q612" s="635">
        <v>5</v>
      </c>
      <c r="R612" s="1685" t="s">
        <v>33</v>
      </c>
      <c r="S612" s="1686">
        <v>2000000</v>
      </c>
      <c r="T612" s="1685" t="s">
        <v>0</v>
      </c>
      <c r="U612" s="1685"/>
      <c r="V612" s="1685">
        <v>1</v>
      </c>
      <c r="W612" s="1685" t="s">
        <v>49</v>
      </c>
      <c r="X612" s="1685" t="s">
        <v>1</v>
      </c>
      <c r="Y612" s="636">
        <f t="shared" si="223"/>
        <v>10000</v>
      </c>
      <c r="Z612" s="637">
        <f t="shared" ref="Z612:Z624" si="224">Q612*S612*V612</f>
        <v>10000000</v>
      </c>
      <c r="AA612" s="2357"/>
      <c r="AB612" s="2357"/>
      <c r="AC612" s="2357"/>
    </row>
    <row r="613" spans="1:29" s="1066" customFormat="1" ht="24.6" customHeight="1">
      <c r="A613" s="348"/>
      <c r="B613" s="1126"/>
      <c r="C613" s="2894"/>
      <c r="D613" s="2960"/>
      <c r="E613" s="620"/>
      <c r="F613" s="1185"/>
      <c r="G613" s="1186"/>
      <c r="H613" s="700"/>
      <c r="I613" s="1118"/>
      <c r="J613" s="1780" t="s">
        <v>4201</v>
      </c>
      <c r="K613" s="1685"/>
      <c r="L613" s="1685"/>
      <c r="M613" s="1685"/>
      <c r="N613" s="1686"/>
      <c r="O613" s="1686"/>
      <c r="P613" s="1685"/>
      <c r="Q613" s="635">
        <v>20</v>
      </c>
      <c r="R613" s="1685" t="s">
        <v>33</v>
      </c>
      <c r="S613" s="1686">
        <v>50000</v>
      </c>
      <c r="T613" s="1685" t="s">
        <v>0</v>
      </c>
      <c r="U613" s="1685"/>
      <c r="V613" s="1685">
        <v>8</v>
      </c>
      <c r="W613" s="1685" t="s">
        <v>265</v>
      </c>
      <c r="X613" s="1685" t="s">
        <v>1</v>
      </c>
      <c r="Y613" s="636">
        <f t="shared" si="223"/>
        <v>8000</v>
      </c>
      <c r="Z613" s="637">
        <f t="shared" si="224"/>
        <v>8000000</v>
      </c>
      <c r="AA613" s="2357"/>
      <c r="AB613" s="2357"/>
      <c r="AC613" s="2357"/>
    </row>
    <row r="614" spans="1:29" s="1066" customFormat="1" ht="24.6" customHeight="1">
      <c r="A614" s="348"/>
      <c r="B614" s="1126"/>
      <c r="C614" s="2894"/>
      <c r="D614" s="2960"/>
      <c r="E614" s="620" t="s">
        <v>269</v>
      </c>
      <c r="F614" s="1762">
        <f t="shared" ref="F614:F624" si="225">Y614</f>
        <v>6000</v>
      </c>
      <c r="G614" s="1699">
        <v>6000</v>
      </c>
      <c r="H614" s="700"/>
      <c r="I614" s="1118"/>
      <c r="J614" s="1780" t="s">
        <v>4634</v>
      </c>
      <c r="K614" s="1685"/>
      <c r="L614" s="1685"/>
      <c r="M614" s="1685"/>
      <c r="N614" s="1686"/>
      <c r="O614" s="1686"/>
      <c r="P614" s="1685"/>
      <c r="Q614" s="1685">
        <v>3</v>
      </c>
      <c r="R614" s="1685" t="s">
        <v>202</v>
      </c>
      <c r="S614" s="1685">
        <v>200000</v>
      </c>
      <c r="T614" s="1685" t="s">
        <v>0</v>
      </c>
      <c r="U614" s="1685"/>
      <c r="V614" s="1685">
        <v>10</v>
      </c>
      <c r="W614" s="1685" t="s">
        <v>220</v>
      </c>
      <c r="X614" s="1685" t="s">
        <v>1</v>
      </c>
      <c r="Y614" s="636">
        <f t="shared" si="223"/>
        <v>6000</v>
      </c>
      <c r="Z614" s="637">
        <f t="shared" si="224"/>
        <v>6000000</v>
      </c>
      <c r="AA614" s="2357"/>
      <c r="AB614" s="2357"/>
      <c r="AC614" s="2357"/>
    </row>
    <row r="615" spans="1:29" s="1066" customFormat="1" ht="24.6" customHeight="1">
      <c r="A615" s="348"/>
      <c r="B615" s="1126"/>
      <c r="C615" s="2894"/>
      <c r="D615" s="2960"/>
      <c r="E615" s="620" t="s">
        <v>287</v>
      </c>
      <c r="F615" s="1762">
        <f>Y615</f>
        <v>277500</v>
      </c>
      <c r="G615" s="1186">
        <v>130000</v>
      </c>
      <c r="H615" s="700">
        <f t="shared" ref="H615" si="226">F615-G615</f>
        <v>147500</v>
      </c>
      <c r="I615" s="1118"/>
      <c r="J615" s="1780" t="s">
        <v>608</v>
      </c>
      <c r="K615" s="1685"/>
      <c r="L615" s="1685"/>
      <c r="M615" s="1685"/>
      <c r="N615" s="1686"/>
      <c r="O615" s="1686"/>
      <c r="P615" s="1685"/>
      <c r="Q615" s="635"/>
      <c r="R615" s="1685"/>
      <c r="S615" s="1686"/>
      <c r="T615" s="1685"/>
      <c r="U615" s="1685"/>
      <c r="V615" s="1685"/>
      <c r="W615" s="1685"/>
      <c r="X615" s="1685"/>
      <c r="Y615" s="636">
        <f t="shared" ref="Y615:Y617" si="227">+Z615/1000</f>
        <v>277500</v>
      </c>
      <c r="Z615" s="637">
        <f>Z616+Z617+Z618</f>
        <v>277500000</v>
      </c>
      <c r="AA615" s="2357"/>
      <c r="AB615" s="2357"/>
      <c r="AC615" s="2357"/>
    </row>
    <row r="616" spans="1:29" s="1066" customFormat="1" ht="24.6" customHeight="1">
      <c r="A616" s="348"/>
      <c r="B616" s="1126"/>
      <c r="C616" s="2894"/>
      <c r="D616" s="2843"/>
      <c r="E616" s="620"/>
      <c r="F616" s="1762"/>
      <c r="G616" s="1186"/>
      <c r="H616" s="700"/>
      <c r="I616" s="1118"/>
      <c r="J616" s="1780" t="s">
        <v>4196</v>
      </c>
      <c r="K616" s="1685"/>
      <c r="L616" s="1685"/>
      <c r="M616" s="1685"/>
      <c r="N616" s="1686"/>
      <c r="O616" s="1686"/>
      <c r="P616" s="1685"/>
      <c r="Q616" s="635">
        <v>1</v>
      </c>
      <c r="R616" s="1685" t="s">
        <v>1317</v>
      </c>
      <c r="S616" s="1686">
        <v>30000000</v>
      </c>
      <c r="T616" s="1685" t="s">
        <v>0</v>
      </c>
      <c r="U616" s="1685"/>
      <c r="V616" s="1685">
        <v>1</v>
      </c>
      <c r="W616" s="1685" t="s">
        <v>265</v>
      </c>
      <c r="X616" s="1685" t="s">
        <v>1</v>
      </c>
      <c r="Y616" s="636">
        <f t="shared" si="227"/>
        <v>30000</v>
      </c>
      <c r="Z616" s="637">
        <f>Q616*S616*V616</f>
        <v>30000000</v>
      </c>
      <c r="AA616" s="2357"/>
      <c r="AB616" s="2357"/>
      <c r="AC616" s="2357"/>
    </row>
    <row r="617" spans="1:29" s="1066" customFormat="1" ht="24.6" customHeight="1">
      <c r="A617" s="348"/>
      <c r="B617" s="1126"/>
      <c r="C617" s="2894"/>
      <c r="D617" s="2843"/>
      <c r="E617" s="620"/>
      <c r="F617" s="1762"/>
      <c r="G617" s="1186"/>
      <c r="H617" s="700"/>
      <c r="I617" s="1118"/>
      <c r="J617" s="1780" t="s">
        <v>4198</v>
      </c>
      <c r="K617" s="1685"/>
      <c r="L617" s="1685"/>
      <c r="M617" s="1685"/>
      <c r="N617" s="1686"/>
      <c r="O617" s="1686"/>
      <c r="P617" s="1685"/>
      <c r="Q617" s="635">
        <v>1</v>
      </c>
      <c r="R617" s="1685" t="s">
        <v>1317</v>
      </c>
      <c r="S617" s="1686">
        <v>50000000</v>
      </c>
      <c r="T617" s="1685" t="s">
        <v>0</v>
      </c>
      <c r="U617" s="1685"/>
      <c r="V617" s="1685">
        <v>2</v>
      </c>
      <c r="W617" s="1685" t="s">
        <v>265</v>
      </c>
      <c r="X617" s="1685" t="s">
        <v>1</v>
      </c>
      <c r="Y617" s="636">
        <f t="shared" si="227"/>
        <v>100000</v>
      </c>
      <c r="Z617" s="637">
        <f t="shared" ref="Z617:Z619" si="228">Q617*S617*V617</f>
        <v>100000000</v>
      </c>
      <c r="AA617" s="2357"/>
      <c r="AB617" s="2357"/>
      <c r="AC617" s="2357"/>
    </row>
    <row r="618" spans="1:29" s="1066" customFormat="1" ht="24.6" customHeight="1">
      <c r="A618" s="348"/>
      <c r="B618" s="1126"/>
      <c r="C618" s="2894"/>
      <c r="D618" s="2843"/>
      <c r="E618" s="620"/>
      <c r="F618" s="1762"/>
      <c r="G618" s="1186"/>
      <c r="H618" s="700"/>
      <c r="I618" s="1118"/>
      <c r="J618" s="3036" t="s">
        <v>5726</v>
      </c>
      <c r="K618" s="1685"/>
      <c r="L618" s="1685"/>
      <c r="M618" s="1685"/>
      <c r="N618" s="1686"/>
      <c r="O618" s="1686"/>
      <c r="P618" s="1685"/>
      <c r="Q618" s="635">
        <v>1</v>
      </c>
      <c r="R618" s="1685" t="s">
        <v>1317</v>
      </c>
      <c r="S618" s="1686">
        <v>147500000</v>
      </c>
      <c r="T618" s="1685" t="s">
        <v>264</v>
      </c>
      <c r="U618" s="1685"/>
      <c r="V618" s="1685">
        <v>1</v>
      </c>
      <c r="W618" s="1685" t="s">
        <v>265</v>
      </c>
      <c r="X618" s="1685" t="s">
        <v>266</v>
      </c>
      <c r="Y618" s="636">
        <v>147500</v>
      </c>
      <c r="Z618" s="637">
        <f t="shared" si="228"/>
        <v>147500000</v>
      </c>
      <c r="AA618" s="2357"/>
      <c r="AB618" s="2357"/>
      <c r="AC618" s="2357"/>
    </row>
    <row r="619" spans="1:29" s="1066" customFormat="1" ht="24.6" customHeight="1">
      <c r="A619" s="348"/>
      <c r="B619" s="1126"/>
      <c r="C619" s="2894"/>
      <c r="D619" s="2960"/>
      <c r="E619" s="620" t="s">
        <v>223</v>
      </c>
      <c r="F619" s="1762">
        <f t="shared" ref="F619" si="229">Y619</f>
        <v>15000</v>
      </c>
      <c r="G619" s="1699">
        <v>15000</v>
      </c>
      <c r="H619" s="700"/>
      <c r="I619" s="1118"/>
      <c r="J619" s="1780" t="s">
        <v>4633</v>
      </c>
      <c r="K619" s="1685"/>
      <c r="L619" s="1685"/>
      <c r="M619" s="1685"/>
      <c r="N619" s="1686"/>
      <c r="O619" s="1686"/>
      <c r="P619" s="1685"/>
      <c r="Q619" s="1685">
        <v>3</v>
      </c>
      <c r="R619" s="1685" t="s">
        <v>202</v>
      </c>
      <c r="S619" s="1685">
        <v>5000000</v>
      </c>
      <c r="T619" s="1685" t="s">
        <v>0</v>
      </c>
      <c r="U619" s="1685"/>
      <c r="V619" s="1685">
        <v>1</v>
      </c>
      <c r="W619" s="1685" t="s">
        <v>196</v>
      </c>
      <c r="X619" s="1685" t="s">
        <v>1</v>
      </c>
      <c r="Y619" s="636">
        <f t="shared" ref="Y619:Y622" si="230">+Z619/1000</f>
        <v>15000</v>
      </c>
      <c r="Z619" s="637">
        <f t="shared" si="228"/>
        <v>15000000</v>
      </c>
      <c r="AA619" s="2357"/>
      <c r="AB619" s="2357"/>
      <c r="AC619" s="2357"/>
    </row>
    <row r="620" spans="1:29" s="1066" customFormat="1" ht="24.6" customHeight="1">
      <c r="A620" s="348"/>
      <c r="B620" s="1126"/>
      <c r="C620" s="2894"/>
      <c r="D620" s="2843"/>
      <c r="E620" s="620" t="s">
        <v>222</v>
      </c>
      <c r="F620" s="1762">
        <f>Y620</f>
        <v>1152500</v>
      </c>
      <c r="G620" s="1186">
        <v>1300000</v>
      </c>
      <c r="H620" s="700">
        <f>F620-G620</f>
        <v>-147500</v>
      </c>
      <c r="I620" s="1118"/>
      <c r="J620" s="1780" t="s">
        <v>608</v>
      </c>
      <c r="K620" s="1685"/>
      <c r="L620" s="1685"/>
      <c r="M620" s="1685"/>
      <c r="N620" s="1686"/>
      <c r="O620" s="1686"/>
      <c r="P620" s="1685"/>
      <c r="Q620" s="635"/>
      <c r="R620" s="1685"/>
      <c r="S620" s="1686"/>
      <c r="T620" s="1685"/>
      <c r="U620" s="1685"/>
      <c r="V620" s="1685"/>
      <c r="W620" s="1685"/>
      <c r="X620" s="1685"/>
      <c r="Y620" s="636">
        <f t="shared" si="230"/>
        <v>1152500</v>
      </c>
      <c r="Z620" s="637">
        <f>Z621+Z622</f>
        <v>1152500000</v>
      </c>
      <c r="AA620" s="2357"/>
      <c r="AB620" s="2357"/>
      <c r="AC620" s="2357"/>
    </row>
    <row r="621" spans="1:29" s="1066" customFormat="1" ht="24.6" customHeight="1">
      <c r="A621" s="348"/>
      <c r="B621" s="1126"/>
      <c r="C621" s="2894"/>
      <c r="D621" s="2843"/>
      <c r="E621" s="620"/>
      <c r="F621" s="1185"/>
      <c r="G621" s="1186"/>
      <c r="H621" s="700"/>
      <c r="I621" s="1118"/>
      <c r="J621" s="1780" t="s">
        <v>4199</v>
      </c>
      <c r="K621" s="1685"/>
      <c r="L621" s="1685"/>
      <c r="M621" s="1685"/>
      <c r="N621" s="1686"/>
      <c r="O621" s="1686"/>
      <c r="P621" s="1685"/>
      <c r="Q621" s="635"/>
      <c r="R621" s="1685"/>
      <c r="S621" s="1686">
        <v>263125000</v>
      </c>
      <c r="T621" s="1685" t="s">
        <v>0</v>
      </c>
      <c r="U621" s="1685"/>
      <c r="V621" s="1685">
        <v>4</v>
      </c>
      <c r="W621" s="1685" t="s">
        <v>330</v>
      </c>
      <c r="X621" s="1685" t="s">
        <v>1</v>
      </c>
      <c r="Y621" s="636">
        <f t="shared" si="230"/>
        <v>1052500</v>
      </c>
      <c r="Z621" s="637">
        <f>S621*V621</f>
        <v>1052500000</v>
      </c>
      <c r="AA621" s="2357"/>
      <c r="AB621" s="2357"/>
      <c r="AC621" s="2357"/>
    </row>
    <row r="622" spans="1:29" s="1066" customFormat="1" ht="24.6" customHeight="1">
      <c r="A622" s="348"/>
      <c r="B622" s="1126"/>
      <c r="C622" s="2894"/>
      <c r="D622" s="2843"/>
      <c r="E622" s="620"/>
      <c r="F622" s="1762"/>
      <c r="G622" s="1186"/>
      <c r="H622" s="700"/>
      <c r="I622" s="1118"/>
      <c r="J622" s="1780" t="s">
        <v>4200</v>
      </c>
      <c r="K622" s="1685"/>
      <c r="L622" s="1685"/>
      <c r="M622" s="1685"/>
      <c r="N622" s="1686"/>
      <c r="O622" s="1686"/>
      <c r="P622" s="1685"/>
      <c r="Q622" s="635"/>
      <c r="R622" s="1685"/>
      <c r="S622" s="1686">
        <v>50000000</v>
      </c>
      <c r="T622" s="1685" t="s">
        <v>0</v>
      </c>
      <c r="U622" s="1685"/>
      <c r="V622" s="1685">
        <v>2</v>
      </c>
      <c r="W622" s="1685" t="s">
        <v>330</v>
      </c>
      <c r="X622" s="1685" t="s">
        <v>1</v>
      </c>
      <c r="Y622" s="636">
        <f t="shared" si="230"/>
        <v>100000</v>
      </c>
      <c r="Z622" s="637">
        <f>S622*V622</f>
        <v>100000000</v>
      </c>
      <c r="AA622" s="2357"/>
      <c r="AB622" s="2357"/>
      <c r="AC622" s="2357"/>
    </row>
    <row r="623" spans="1:29" s="1066" customFormat="1" ht="24.6" customHeight="1">
      <c r="A623" s="348"/>
      <c r="B623" s="1126"/>
      <c r="C623" s="2894"/>
      <c r="D623" s="2960"/>
      <c r="E623" s="620" t="s">
        <v>602</v>
      </c>
      <c r="F623" s="1762">
        <f t="shared" ref="F623" si="231">Y623</f>
        <v>10000</v>
      </c>
      <c r="G623" s="1699">
        <v>10000</v>
      </c>
      <c r="H623" s="700"/>
      <c r="I623" s="1118"/>
      <c r="J623" s="1780" t="s">
        <v>4632</v>
      </c>
      <c r="K623" s="1685"/>
      <c r="L623" s="1685"/>
      <c r="M623" s="1685"/>
      <c r="N623" s="1686"/>
      <c r="O623" s="1686"/>
      <c r="P623" s="1685"/>
      <c r="Q623" s="1685">
        <v>4</v>
      </c>
      <c r="R623" s="1685" t="s">
        <v>202</v>
      </c>
      <c r="S623" s="1685">
        <v>2500000</v>
      </c>
      <c r="T623" s="1685" t="s">
        <v>0</v>
      </c>
      <c r="U623" s="1685"/>
      <c r="V623" s="1685">
        <v>1</v>
      </c>
      <c r="W623" s="1685" t="s">
        <v>196</v>
      </c>
      <c r="X623" s="1685" t="s">
        <v>1</v>
      </c>
      <c r="Y623" s="636">
        <f t="shared" ref="Y623" si="232">+Z623/1000</f>
        <v>10000</v>
      </c>
      <c r="Z623" s="637">
        <f t="shared" ref="Z623" si="233">Q623*S623*V623</f>
        <v>10000000</v>
      </c>
      <c r="AA623" s="2357"/>
      <c r="AB623" s="2357"/>
      <c r="AC623" s="2357"/>
    </row>
    <row r="624" spans="1:29" s="1066" customFormat="1" ht="24.6" customHeight="1">
      <c r="A624" s="348"/>
      <c r="B624" s="1126"/>
      <c r="C624" s="2894"/>
      <c r="D624" s="2960"/>
      <c r="E624" s="620" t="s">
        <v>271</v>
      </c>
      <c r="F624" s="1762">
        <f t="shared" si="225"/>
        <v>6000</v>
      </c>
      <c r="G624" s="1186">
        <v>6000</v>
      </c>
      <c r="H624" s="700"/>
      <c r="I624" s="1118"/>
      <c r="J624" s="1780" t="s">
        <v>4636</v>
      </c>
      <c r="K624" s="1685"/>
      <c r="L624" s="1685"/>
      <c r="M624" s="1685"/>
      <c r="N624" s="1686"/>
      <c r="O624" s="1686"/>
      <c r="P624" s="1685"/>
      <c r="Q624" s="1685">
        <v>10</v>
      </c>
      <c r="R624" s="1685" t="s">
        <v>33</v>
      </c>
      <c r="S624" s="1685">
        <v>10000</v>
      </c>
      <c r="T624" s="1685" t="s">
        <v>0</v>
      </c>
      <c r="U624" s="1685"/>
      <c r="V624" s="1685">
        <v>60</v>
      </c>
      <c r="W624" s="1685" t="s">
        <v>265</v>
      </c>
      <c r="X624" s="1685" t="s">
        <v>1</v>
      </c>
      <c r="Y624" s="711">
        <f t="shared" si="223"/>
        <v>6000</v>
      </c>
      <c r="Z624" s="637">
        <f t="shared" si="224"/>
        <v>6000000</v>
      </c>
      <c r="AA624" s="2357"/>
      <c r="AB624" s="2357"/>
      <c r="AC624" s="2357"/>
    </row>
    <row r="625" spans="1:29" s="1066" customFormat="1" ht="24.6" customHeight="1">
      <c r="A625" s="348"/>
      <c r="B625" s="1126"/>
      <c r="C625" s="3277" t="s">
        <v>4203</v>
      </c>
      <c r="D625" s="3271"/>
      <c r="E625" s="3272"/>
      <c r="F625" s="384">
        <f>+F626</f>
        <v>300000</v>
      </c>
      <c r="G625" s="384">
        <f>+G626</f>
        <v>300000</v>
      </c>
      <c r="H625" s="468">
        <f t="shared" ref="H625" si="234">F625-G625</f>
        <v>0</v>
      </c>
      <c r="I625" s="2559"/>
      <c r="J625" s="1135"/>
      <c r="K625" s="2598"/>
      <c r="L625" s="2598"/>
      <c r="M625" s="2598"/>
      <c r="N625" s="2598"/>
      <c r="O625" s="2598"/>
      <c r="P625" s="2598"/>
      <c r="Q625" s="1307"/>
      <c r="R625" s="1137"/>
      <c r="S625" s="399"/>
      <c r="T625" s="1136"/>
      <c r="U625" s="1136"/>
      <c r="V625" s="1136"/>
      <c r="W625" s="1136"/>
      <c r="X625" s="1138"/>
      <c r="Y625" s="377"/>
      <c r="Z625" s="463"/>
      <c r="AA625" s="2357"/>
      <c r="AB625" s="2357"/>
      <c r="AC625" s="2357"/>
    </row>
    <row r="626" spans="1:29" s="1066" customFormat="1" ht="24.6" customHeight="1">
      <c r="A626" s="348"/>
      <c r="B626" s="1126"/>
      <c r="C626" s="2357"/>
      <c r="D626" s="2631" t="s">
        <v>4203</v>
      </c>
      <c r="E626" s="2632"/>
      <c r="F626" s="1327">
        <f>SUM(F627:F633)</f>
        <v>300000</v>
      </c>
      <c r="G626" s="1327">
        <f>SUM(G627:G633)</f>
        <v>300000</v>
      </c>
      <c r="H626" s="1132">
        <f>F626-G626</f>
        <v>0</v>
      </c>
      <c r="I626" s="473"/>
      <c r="J626" s="1362"/>
      <c r="K626" s="2618"/>
      <c r="L626" s="2618"/>
      <c r="M626" s="2618"/>
      <c r="N626" s="2618"/>
      <c r="O626" s="2618"/>
      <c r="P626" s="2618"/>
      <c r="Q626" s="1364"/>
      <c r="R626" s="485"/>
      <c r="S626" s="1365"/>
      <c r="T626" s="462"/>
      <c r="U626" s="2635"/>
      <c r="V626" s="1364"/>
      <c r="W626" s="1364"/>
      <c r="X626" s="430"/>
      <c r="Y626" s="377"/>
      <c r="Z626" s="378"/>
      <c r="AA626" s="2357"/>
      <c r="AB626" s="2357"/>
      <c r="AC626" s="2357"/>
    </row>
    <row r="627" spans="1:29" s="1066" customFormat="1" ht="23.45" customHeight="1">
      <c r="A627" s="348"/>
      <c r="B627" s="1126"/>
      <c r="C627" s="2357"/>
      <c r="D627" s="1154"/>
      <c r="E627" s="620" t="s">
        <v>195</v>
      </c>
      <c r="F627" s="1311">
        <f>Y627</f>
        <v>1000</v>
      </c>
      <c r="G627" s="1311">
        <v>1000</v>
      </c>
      <c r="H627" s="404"/>
      <c r="I627" s="473"/>
      <c r="J627" s="1670" t="s">
        <v>4210</v>
      </c>
      <c r="K627" s="1671"/>
      <c r="L627" s="1671"/>
      <c r="M627" s="1671"/>
      <c r="N627" s="1672"/>
      <c r="O627" s="1672"/>
      <c r="P627" s="1671"/>
      <c r="Q627" s="1671">
        <v>10</v>
      </c>
      <c r="R627" s="1671" t="s">
        <v>33</v>
      </c>
      <c r="S627" s="1671">
        <v>20000</v>
      </c>
      <c r="T627" s="1671" t="s">
        <v>0</v>
      </c>
      <c r="U627" s="1671"/>
      <c r="V627" s="1671">
        <v>5</v>
      </c>
      <c r="W627" s="1671" t="s">
        <v>265</v>
      </c>
      <c r="X627" s="1671" t="s">
        <v>1</v>
      </c>
      <c r="Y627" s="1674">
        <f t="shared" ref="Y627" si="235">+Z627/1000</f>
        <v>1000</v>
      </c>
      <c r="Z627" s="407">
        <f>V627*S627*Q627</f>
        <v>1000000</v>
      </c>
      <c r="AA627" s="2357"/>
      <c r="AB627" s="2357"/>
      <c r="AC627" s="2357"/>
    </row>
    <row r="628" spans="1:29" s="1066" customFormat="1" ht="23.45" customHeight="1">
      <c r="A628" s="348"/>
      <c r="B628" s="1126"/>
      <c r="C628" s="2357"/>
      <c r="D628" s="1154"/>
      <c r="E628" s="620" t="s">
        <v>4022</v>
      </c>
      <c r="F628" s="1088">
        <f>Y628</f>
        <v>36000</v>
      </c>
      <c r="G628" s="1311">
        <v>36000</v>
      </c>
      <c r="H628" s="404"/>
      <c r="I628" s="473"/>
      <c r="J628" s="1670" t="s">
        <v>4205</v>
      </c>
      <c r="K628" s="1671"/>
      <c r="L628" s="1671"/>
      <c r="M628" s="1671"/>
      <c r="N628" s="1672"/>
      <c r="O628" s="1672"/>
      <c r="P628" s="1671"/>
      <c r="Q628" s="1673"/>
      <c r="R628" s="1671"/>
      <c r="S628" s="1672"/>
      <c r="T628" s="1671"/>
      <c r="U628" s="1671"/>
      <c r="V628" s="1671"/>
      <c r="W628" s="1671"/>
      <c r="X628" s="1671"/>
      <c r="Y628" s="1674">
        <f t="shared" ref="Y628:Y633" si="236">+Z628/1000</f>
        <v>36000</v>
      </c>
      <c r="Z628" s="355">
        <f>SUM(Z629:Z631)</f>
        <v>36000000</v>
      </c>
      <c r="AA628" s="2357"/>
      <c r="AB628" s="2357"/>
      <c r="AC628" s="2357"/>
    </row>
    <row r="629" spans="1:29" s="1066" customFormat="1" ht="23.45" customHeight="1">
      <c r="A629" s="348"/>
      <c r="B629" s="1126"/>
      <c r="C629" s="2357"/>
      <c r="D629" s="1154"/>
      <c r="E629" s="620"/>
      <c r="F629" s="1088"/>
      <c r="G629" s="1311"/>
      <c r="H629" s="404"/>
      <c r="I629" s="473"/>
      <c r="J629" s="1670" t="s">
        <v>4206</v>
      </c>
      <c r="K629" s="1671"/>
      <c r="L629" s="1671"/>
      <c r="M629" s="1671"/>
      <c r="N629" s="1672"/>
      <c r="O629" s="1672"/>
      <c r="P629" s="1671"/>
      <c r="Q629" s="1673">
        <v>1</v>
      </c>
      <c r="R629" s="1671" t="s">
        <v>3440</v>
      </c>
      <c r="S629" s="1672">
        <v>4000000</v>
      </c>
      <c r="T629" s="1671" t="s">
        <v>0</v>
      </c>
      <c r="U629" s="1671"/>
      <c r="V629" s="1671">
        <v>1</v>
      </c>
      <c r="W629" s="1671" t="s">
        <v>3732</v>
      </c>
      <c r="X629" s="1671" t="s">
        <v>1</v>
      </c>
      <c r="Y629" s="1674">
        <f t="shared" si="236"/>
        <v>4000</v>
      </c>
      <c r="Z629" s="407">
        <f>V629*S629*Q629</f>
        <v>4000000</v>
      </c>
      <c r="AA629" s="2357"/>
      <c r="AB629" s="2357"/>
      <c r="AC629" s="2357"/>
    </row>
    <row r="630" spans="1:29" s="1066" customFormat="1" ht="23.45" customHeight="1">
      <c r="A630" s="348"/>
      <c r="B630" s="1126"/>
      <c r="C630" s="2357"/>
      <c r="D630" s="1154"/>
      <c r="E630" s="620"/>
      <c r="F630" s="1311"/>
      <c r="G630" s="1311"/>
      <c r="H630" s="404"/>
      <c r="I630" s="473"/>
      <c r="J630" s="1670" t="s">
        <v>4207</v>
      </c>
      <c r="K630" s="1671"/>
      <c r="L630" s="1671"/>
      <c r="M630" s="1671"/>
      <c r="N630" s="1672"/>
      <c r="O630" s="1672"/>
      <c r="P630" s="1671"/>
      <c r="Q630" s="1673">
        <v>5</v>
      </c>
      <c r="R630" s="1671" t="s">
        <v>3440</v>
      </c>
      <c r="S630" s="1672">
        <v>100000</v>
      </c>
      <c r="T630" s="1671" t="s">
        <v>0</v>
      </c>
      <c r="U630" s="1671"/>
      <c r="V630" s="1671">
        <v>4</v>
      </c>
      <c r="W630" s="1671" t="s">
        <v>3732</v>
      </c>
      <c r="X630" s="1671" t="s">
        <v>1</v>
      </c>
      <c r="Y630" s="1674">
        <f t="shared" si="236"/>
        <v>2000</v>
      </c>
      <c r="Z630" s="407">
        <f t="shared" ref="Z630:Z633" si="237">V630*S630*Q630</f>
        <v>2000000</v>
      </c>
      <c r="AA630" s="2357"/>
      <c r="AB630" s="2357"/>
      <c r="AC630" s="2357"/>
    </row>
    <row r="631" spans="1:29" s="1066" customFormat="1" ht="23.45" customHeight="1">
      <c r="A631" s="348"/>
      <c r="B631" s="1126"/>
      <c r="C631" s="2357"/>
      <c r="D631" s="1154"/>
      <c r="E631" s="620"/>
      <c r="F631" s="1311"/>
      <c r="G631" s="1311"/>
      <c r="H631" s="404"/>
      <c r="I631" s="473"/>
      <c r="J631" s="1670" t="s">
        <v>4628</v>
      </c>
      <c r="K631" s="1671"/>
      <c r="L631" s="1671"/>
      <c r="M631" s="1671"/>
      <c r="N631" s="1672"/>
      <c r="O631" s="1672"/>
      <c r="P631" s="1671"/>
      <c r="Q631" s="1671">
        <v>1</v>
      </c>
      <c r="R631" s="1671" t="s">
        <v>3440</v>
      </c>
      <c r="S631" s="1671">
        <v>30000000</v>
      </c>
      <c r="T631" s="1671" t="s">
        <v>0</v>
      </c>
      <c r="U631" s="1671"/>
      <c r="V631" s="1671">
        <v>1</v>
      </c>
      <c r="W631" s="1671" t="s">
        <v>3732</v>
      </c>
      <c r="X631" s="1671" t="s">
        <v>1</v>
      </c>
      <c r="Y631" s="1674">
        <f t="shared" si="236"/>
        <v>30000</v>
      </c>
      <c r="Z631" s="407">
        <f t="shared" si="237"/>
        <v>30000000</v>
      </c>
      <c r="AA631" s="2357"/>
      <c r="AB631" s="2357"/>
      <c r="AC631" s="2357"/>
    </row>
    <row r="632" spans="1:29" s="1066" customFormat="1" ht="23.45" customHeight="1">
      <c r="A632" s="348"/>
      <c r="B632" s="1126"/>
      <c r="C632" s="2357"/>
      <c r="D632" s="1154"/>
      <c r="E632" s="620" t="s">
        <v>222</v>
      </c>
      <c r="F632" s="1088">
        <f>Y632</f>
        <v>262000</v>
      </c>
      <c r="G632" s="1311">
        <v>262000</v>
      </c>
      <c r="H632" s="404"/>
      <c r="I632" s="473"/>
      <c r="J632" s="1670" t="s">
        <v>4204</v>
      </c>
      <c r="K632" s="1671"/>
      <c r="L632" s="1671"/>
      <c r="M632" s="1671"/>
      <c r="N632" s="1672"/>
      <c r="O632" s="1672"/>
      <c r="P632" s="1671" t="s">
        <v>2927</v>
      </c>
      <c r="Q632" s="1671"/>
      <c r="R632" s="1671"/>
      <c r="S632" s="1671">
        <v>262000000</v>
      </c>
      <c r="T632" s="1671" t="s">
        <v>0</v>
      </c>
      <c r="U632" s="1671"/>
      <c r="V632" s="1671">
        <v>1</v>
      </c>
      <c r="W632" s="1671" t="s">
        <v>265</v>
      </c>
      <c r="X632" s="1671" t="s">
        <v>1</v>
      </c>
      <c r="Y632" s="1674">
        <f>+Z632/1000</f>
        <v>262000</v>
      </c>
      <c r="Z632" s="355">
        <f>S632*V632</f>
        <v>262000000</v>
      </c>
      <c r="AA632" s="2357"/>
      <c r="AB632" s="2357"/>
      <c r="AC632" s="2357"/>
    </row>
    <row r="633" spans="1:29" s="1066" customFormat="1" ht="23.45" customHeight="1">
      <c r="A633" s="348"/>
      <c r="B633" s="1126"/>
      <c r="C633" s="2357"/>
      <c r="D633" s="1154"/>
      <c r="E633" s="620" t="s">
        <v>4208</v>
      </c>
      <c r="F633" s="1311">
        <f>Y633</f>
        <v>1000</v>
      </c>
      <c r="G633" s="1311">
        <v>1000</v>
      </c>
      <c r="H633" s="404"/>
      <c r="I633" s="473"/>
      <c r="J633" s="1670" t="s">
        <v>4209</v>
      </c>
      <c r="K633" s="1671"/>
      <c r="L633" s="1671"/>
      <c r="M633" s="1671"/>
      <c r="N633" s="1672"/>
      <c r="O633" s="1672"/>
      <c r="P633" s="1671"/>
      <c r="Q633" s="1671">
        <v>5</v>
      </c>
      <c r="R633" s="1671" t="s">
        <v>4003</v>
      </c>
      <c r="S633" s="1671">
        <v>20000</v>
      </c>
      <c r="T633" s="1671" t="s">
        <v>0</v>
      </c>
      <c r="U633" s="1671"/>
      <c r="V633" s="1671">
        <v>10</v>
      </c>
      <c r="W633" s="1671" t="s">
        <v>3732</v>
      </c>
      <c r="X633" s="1671" t="s">
        <v>1</v>
      </c>
      <c r="Y633" s="1674">
        <f t="shared" si="236"/>
        <v>1000</v>
      </c>
      <c r="Z633" s="407">
        <f t="shared" si="237"/>
        <v>1000000</v>
      </c>
      <c r="AA633" s="2357"/>
      <c r="AB633" s="2357"/>
      <c r="AC633" s="2357"/>
    </row>
    <row r="634" spans="1:29" s="1066" customFormat="1" ht="23.45" customHeight="1">
      <c r="A634" s="348"/>
      <c r="B634" s="1126"/>
      <c r="C634" s="3277" t="s">
        <v>4211</v>
      </c>
      <c r="D634" s="3271"/>
      <c r="E634" s="3272"/>
      <c r="F634" s="599">
        <f>+F635</f>
        <v>150000</v>
      </c>
      <c r="G634" s="599">
        <f>+G635</f>
        <v>150000</v>
      </c>
      <c r="H634" s="1456">
        <f t="shared" ref="H634" si="238">+H635</f>
        <v>0</v>
      </c>
      <c r="I634" s="473"/>
      <c r="J634" s="1135"/>
      <c r="K634" s="462"/>
      <c r="L634" s="462"/>
      <c r="M634" s="462"/>
      <c r="N634" s="399"/>
      <c r="O634" s="399"/>
      <c r="P634" s="462"/>
      <c r="Q634" s="1307"/>
      <c r="R634" s="1137"/>
      <c r="S634" s="399"/>
      <c r="T634" s="462"/>
      <c r="U634" s="462"/>
      <c r="V634" s="462"/>
      <c r="W634" s="462"/>
      <c r="X634" s="430"/>
      <c r="Y634" s="377"/>
      <c r="Z634" s="1296"/>
      <c r="AA634" s="2357"/>
      <c r="AB634" s="2357"/>
      <c r="AC634" s="2357"/>
    </row>
    <row r="635" spans="1:29" s="1066" customFormat="1" ht="23.45" customHeight="1">
      <c r="A635" s="348"/>
      <c r="B635" s="1126"/>
      <c r="C635" s="2357"/>
      <c r="D635" s="2631" t="s">
        <v>4211</v>
      </c>
      <c r="E635" s="2632"/>
      <c r="F635" s="1327">
        <f>SUM(F636:F637)</f>
        <v>150000</v>
      </c>
      <c r="G635" s="1327">
        <f>SUM(G636:G637)</f>
        <v>150000</v>
      </c>
      <c r="H635" s="1132">
        <f>F635-G635</f>
        <v>0</v>
      </c>
      <c r="I635" s="473"/>
      <c r="J635" s="1362"/>
      <c r="K635" s="2618"/>
      <c r="L635" s="2618"/>
      <c r="M635" s="2618"/>
      <c r="N635" s="2618"/>
      <c r="O635" s="2618"/>
      <c r="P635" s="2618"/>
      <c r="Q635" s="1364"/>
      <c r="R635" s="485"/>
      <c r="S635" s="1365"/>
      <c r="T635" s="462"/>
      <c r="U635" s="2635"/>
      <c r="V635" s="1364"/>
      <c r="W635" s="1364"/>
      <c r="X635" s="430"/>
      <c r="Y635" s="377"/>
      <c r="Z635" s="378"/>
      <c r="AA635" s="2357"/>
      <c r="AB635" s="2357"/>
      <c r="AC635" s="2357"/>
    </row>
    <row r="636" spans="1:29" s="1066" customFormat="1" ht="23.45" customHeight="1">
      <c r="A636" s="348"/>
      <c r="B636" s="1126"/>
      <c r="C636" s="2357"/>
      <c r="D636" s="1154"/>
      <c r="E636" s="1134" t="s">
        <v>222</v>
      </c>
      <c r="F636" s="383">
        <f t="shared" ref="F636" si="239">Y636</f>
        <v>15000</v>
      </c>
      <c r="G636" s="1116">
        <v>15000</v>
      </c>
      <c r="H636" s="404"/>
      <c r="I636" s="2559"/>
      <c r="J636" s="1670" t="s">
        <v>4630</v>
      </c>
      <c r="K636" s="1671"/>
      <c r="L636" s="1671"/>
      <c r="M636" s="1671"/>
      <c r="N636" s="1672"/>
      <c r="O636" s="1672"/>
      <c r="P636" s="1671"/>
      <c r="Q636" s="1673"/>
      <c r="R636" s="1671"/>
      <c r="S636" s="1672">
        <v>15000000</v>
      </c>
      <c r="T636" s="1671" t="s">
        <v>0</v>
      </c>
      <c r="U636" s="1671"/>
      <c r="V636" s="1671">
        <v>1</v>
      </c>
      <c r="W636" s="1671" t="s">
        <v>196</v>
      </c>
      <c r="X636" s="1671" t="s">
        <v>1</v>
      </c>
      <c r="Y636" s="1674">
        <f t="shared" ref="Y636" si="240">+Z636/1000</f>
        <v>15000</v>
      </c>
      <c r="Z636" s="355">
        <f>+S636*V636</f>
        <v>15000000</v>
      </c>
      <c r="AA636" s="2357"/>
      <c r="AB636" s="2357"/>
      <c r="AC636" s="2357"/>
    </row>
    <row r="637" spans="1:29" s="1066" customFormat="1" ht="23.45" customHeight="1">
      <c r="A637" s="348"/>
      <c r="B637" s="1126"/>
      <c r="C637" s="2357"/>
      <c r="D637" s="1154"/>
      <c r="E637" s="1126" t="s">
        <v>4022</v>
      </c>
      <c r="F637" s="1088">
        <f>Y637</f>
        <v>135000</v>
      </c>
      <c r="G637" s="1311">
        <v>135000</v>
      </c>
      <c r="H637" s="404"/>
      <c r="I637" s="473"/>
      <c r="J637" s="1670" t="s">
        <v>4629</v>
      </c>
      <c r="K637" s="1671"/>
      <c r="L637" s="1671"/>
      <c r="M637" s="1671"/>
      <c r="N637" s="1672"/>
      <c r="O637" s="1672"/>
      <c r="P637" s="1671"/>
      <c r="Q637" s="1673"/>
      <c r="R637" s="1671"/>
      <c r="S637" s="1672">
        <v>135000000</v>
      </c>
      <c r="T637" s="1671" t="s">
        <v>0</v>
      </c>
      <c r="U637" s="1671"/>
      <c r="V637" s="1671">
        <v>1</v>
      </c>
      <c r="W637" s="1671" t="s">
        <v>3440</v>
      </c>
      <c r="X637" s="1671" t="s">
        <v>1</v>
      </c>
      <c r="Y637" s="1674">
        <f>+Z637/1000</f>
        <v>135000</v>
      </c>
      <c r="Z637" s="355">
        <f>S637*V637</f>
        <v>135000000</v>
      </c>
      <c r="AA637" s="2357"/>
      <c r="AB637" s="2357"/>
      <c r="AC637" s="2357"/>
    </row>
    <row r="638" spans="1:29" s="1066" customFormat="1" ht="23.45" customHeight="1">
      <c r="A638" s="348"/>
      <c r="B638" s="1126"/>
      <c r="C638" s="3277" t="s">
        <v>4997</v>
      </c>
      <c r="D638" s="3271"/>
      <c r="E638" s="3272"/>
      <c r="F638" s="384">
        <f>F639</f>
        <v>75000</v>
      </c>
      <c r="G638" s="384">
        <f>G639</f>
        <v>0</v>
      </c>
      <c r="H638" s="468">
        <f t="shared" ref="H638" si="241">F638-G638</f>
        <v>75000</v>
      </c>
      <c r="I638" s="2559"/>
      <c r="J638" s="1135"/>
      <c r="K638" s="2860"/>
      <c r="L638" s="2860"/>
      <c r="M638" s="2860"/>
      <c r="N638" s="2860"/>
      <c r="O638" s="2860"/>
      <c r="P638" s="2860"/>
      <c r="Q638" s="1307"/>
      <c r="R638" s="1137"/>
      <c r="S638" s="399"/>
      <c r="T638" s="1136"/>
      <c r="U638" s="1136"/>
      <c r="V638" s="1136"/>
      <c r="W638" s="1136"/>
      <c r="X638" s="1138"/>
      <c r="Y638" s="377"/>
      <c r="Z638" s="463"/>
      <c r="AA638" s="2357"/>
      <c r="AB638" s="2357"/>
      <c r="AC638" s="2357"/>
    </row>
    <row r="639" spans="1:29" s="1066" customFormat="1" ht="23.45" customHeight="1">
      <c r="A639" s="348"/>
      <c r="B639" s="1126"/>
      <c r="C639" s="2357"/>
      <c r="D639" s="2864" t="s">
        <v>4997</v>
      </c>
      <c r="E639" s="2866"/>
      <c r="F639" s="1327">
        <f>SUM(F640:F657)</f>
        <v>75000</v>
      </c>
      <c r="G639" s="1327">
        <f>SUM(G640:G657)</f>
        <v>0</v>
      </c>
      <c r="H639" s="1132">
        <f>F639-G639</f>
        <v>75000</v>
      </c>
      <c r="I639" s="473"/>
      <c r="J639" s="1362"/>
      <c r="K639" s="2862"/>
      <c r="L639" s="2862"/>
      <c r="M639" s="2862"/>
      <c r="N639" s="2862"/>
      <c r="O639" s="2862"/>
      <c r="P639" s="2862"/>
      <c r="Q639" s="1364"/>
      <c r="R639" s="485"/>
      <c r="S639" s="1365"/>
      <c r="T639" s="462"/>
      <c r="U639" s="2865"/>
      <c r="V639" s="1364"/>
      <c r="W639" s="1364"/>
      <c r="X639" s="430"/>
      <c r="Y639" s="377"/>
      <c r="Z639" s="378"/>
      <c r="AA639" s="2357"/>
      <c r="AB639" s="2357"/>
      <c r="AC639" s="2357"/>
    </row>
    <row r="640" spans="1:29" s="1066" customFormat="1" ht="23.45" customHeight="1">
      <c r="A640" s="348"/>
      <c r="B640" s="1126"/>
      <c r="C640" s="2357"/>
      <c r="D640" s="1154"/>
      <c r="E640" s="1126" t="s">
        <v>369</v>
      </c>
      <c r="F640" s="1088">
        <f>Y640</f>
        <v>4540</v>
      </c>
      <c r="G640" s="1311"/>
      <c r="H640" s="404"/>
      <c r="I640" s="473"/>
      <c r="J640" s="2871" t="s">
        <v>5335</v>
      </c>
      <c r="K640" s="2870" t="s">
        <v>5336</v>
      </c>
      <c r="L640" s="2870"/>
      <c r="M640" s="2870"/>
      <c r="N640" s="2870"/>
      <c r="O640" s="2870"/>
      <c r="P640" s="1675"/>
      <c r="Q640" s="2872"/>
      <c r="R640" s="2863"/>
      <c r="S640" s="2872"/>
      <c r="T640" s="1671"/>
      <c r="U640" s="1675"/>
      <c r="V640" s="1671"/>
      <c r="W640" s="2863"/>
      <c r="X640" s="397"/>
      <c r="Y640" s="1674">
        <f>Z640/1000</f>
        <v>4540</v>
      </c>
      <c r="Z640" s="355">
        <f>Z641+Z642</f>
        <v>4540000</v>
      </c>
      <c r="AA640" s="2357"/>
      <c r="AB640" s="2357"/>
      <c r="AC640" s="2357"/>
    </row>
    <row r="641" spans="1:29" s="1066" customFormat="1" ht="23.45" customHeight="1">
      <c r="A641" s="348"/>
      <c r="B641" s="1126"/>
      <c r="C641" s="2357"/>
      <c r="D641" s="1154"/>
      <c r="E641" s="1126"/>
      <c r="F641" s="1088"/>
      <c r="G641" s="1311"/>
      <c r="H641" s="404"/>
      <c r="I641" s="473"/>
      <c r="J641" s="1670" t="s">
        <v>5352</v>
      </c>
      <c r="K641" s="1671"/>
      <c r="L641" s="1671"/>
      <c r="M641" s="1671"/>
      <c r="N641" s="2870"/>
      <c r="O641" s="2870"/>
      <c r="P641" s="1675"/>
      <c r="Q641" s="2872"/>
      <c r="R641" s="2863"/>
      <c r="S641" s="2872">
        <v>1500000</v>
      </c>
      <c r="T641" s="1671" t="s">
        <v>5337</v>
      </c>
      <c r="U641" s="1675"/>
      <c r="V641" s="1671">
        <v>2</v>
      </c>
      <c r="W641" s="2863" t="s">
        <v>5338</v>
      </c>
      <c r="X641" s="397"/>
      <c r="Y641" s="1674">
        <v>3000</v>
      </c>
      <c r="Z641" s="355">
        <f>S641*V641</f>
        <v>3000000</v>
      </c>
      <c r="AA641" s="2357"/>
      <c r="AB641" s="2357"/>
      <c r="AC641" s="2357"/>
    </row>
    <row r="642" spans="1:29" s="1066" customFormat="1" ht="23.45" customHeight="1">
      <c r="A642" s="348"/>
      <c r="B642" s="1126"/>
      <c r="C642" s="2357"/>
      <c r="D642" s="1154"/>
      <c r="E642" s="1126"/>
      <c r="F642" s="1088"/>
      <c r="G642" s="1311"/>
      <c r="H642" s="404"/>
      <c r="I642" s="473"/>
      <c r="J642" s="1670" t="s">
        <v>5353</v>
      </c>
      <c r="K642" s="1671"/>
      <c r="L642" s="1671"/>
      <c r="M642" s="1671"/>
      <c r="N642" s="2870"/>
      <c r="O642" s="2870"/>
      <c r="P642" s="1675"/>
      <c r="Q642" s="2872"/>
      <c r="R642" s="2863"/>
      <c r="S642" s="2872">
        <v>770000</v>
      </c>
      <c r="T642" s="1671" t="s">
        <v>5337</v>
      </c>
      <c r="U642" s="1675"/>
      <c r="V642" s="1671">
        <v>2</v>
      </c>
      <c r="W642" s="2863" t="s">
        <v>5339</v>
      </c>
      <c r="X642" s="397"/>
      <c r="Y642" s="1674">
        <v>1540</v>
      </c>
      <c r="Z642" s="355">
        <f>S642*V642</f>
        <v>1540000</v>
      </c>
      <c r="AA642" s="2357"/>
      <c r="AB642" s="2357"/>
      <c r="AC642" s="2357"/>
    </row>
    <row r="643" spans="1:29" s="1066" customFormat="1" ht="23.45" customHeight="1">
      <c r="A643" s="348"/>
      <c r="B643" s="1126"/>
      <c r="C643" s="2357"/>
      <c r="D643" s="1154"/>
      <c r="E643" s="1134" t="s">
        <v>199</v>
      </c>
      <c r="F643" s="1088">
        <f t="shared" ref="F643:F657" si="242">Y643</f>
        <v>11000</v>
      </c>
      <c r="G643" s="1311"/>
      <c r="H643" s="404"/>
      <c r="I643" s="473"/>
      <c r="J643" s="2871" t="s">
        <v>5340</v>
      </c>
      <c r="K643" s="2870" t="s">
        <v>5341</v>
      </c>
      <c r="L643" s="2870"/>
      <c r="M643" s="2870"/>
      <c r="N643" s="2870"/>
      <c r="O643" s="2870"/>
      <c r="P643" s="2870"/>
      <c r="Q643" s="408"/>
      <c r="R643" s="2863"/>
      <c r="S643" s="1672">
        <v>11000000</v>
      </c>
      <c r="T643" s="2872" t="s">
        <v>0</v>
      </c>
      <c r="U643" s="2872"/>
      <c r="V643" s="2872">
        <v>1</v>
      </c>
      <c r="W643" s="2872" t="s">
        <v>5232</v>
      </c>
      <c r="X643" s="1140" t="s">
        <v>5218</v>
      </c>
      <c r="Y643" s="1674">
        <f>(Z643)/1000</f>
        <v>11000</v>
      </c>
      <c r="Z643" s="355">
        <f t="shared" ref="Z643:Z649" si="243">S643*V643</f>
        <v>11000000</v>
      </c>
      <c r="AA643" s="2357"/>
      <c r="AB643" s="2357"/>
      <c r="AC643" s="2357"/>
    </row>
    <row r="644" spans="1:29" s="1066" customFormat="1" ht="23.45" customHeight="1">
      <c r="A644" s="348"/>
      <c r="B644" s="1126"/>
      <c r="C644" s="2357"/>
      <c r="D644" s="1154"/>
      <c r="E644" s="1126" t="s">
        <v>224</v>
      </c>
      <c r="F644" s="1088">
        <f t="shared" si="242"/>
        <v>460</v>
      </c>
      <c r="G644" s="1311"/>
      <c r="H644" s="404"/>
      <c r="I644" s="473"/>
      <c r="J644" s="2871" t="s">
        <v>5342</v>
      </c>
      <c r="K644" s="1671"/>
      <c r="L644" s="1671"/>
      <c r="M644" s="1671"/>
      <c r="N644" s="1672"/>
      <c r="O644" s="1672"/>
      <c r="P644" s="1671"/>
      <c r="Q644" s="1673"/>
      <c r="R644" s="1671"/>
      <c r="S644" s="1671">
        <v>230000</v>
      </c>
      <c r="T644" s="1671" t="s">
        <v>0</v>
      </c>
      <c r="U644" s="1671"/>
      <c r="V644" s="1671">
        <v>2</v>
      </c>
      <c r="W644" s="1671" t="s">
        <v>5221</v>
      </c>
      <c r="X644" s="397" t="s">
        <v>1</v>
      </c>
      <c r="Y644" s="1674">
        <f>+Z644/1000</f>
        <v>460</v>
      </c>
      <c r="Z644" s="355">
        <f t="shared" si="243"/>
        <v>460000</v>
      </c>
      <c r="AA644" s="2357"/>
      <c r="AB644" s="2357"/>
      <c r="AC644" s="2357"/>
    </row>
    <row r="645" spans="1:29" s="1066" customFormat="1" ht="23.45" customHeight="1">
      <c r="A645" s="348"/>
      <c r="B645" s="1126"/>
      <c r="C645" s="2357"/>
      <c r="D645" s="1154"/>
      <c r="E645" s="1126" t="s">
        <v>195</v>
      </c>
      <c r="F645" s="1088">
        <f t="shared" si="242"/>
        <v>7000</v>
      </c>
      <c r="G645" s="1311"/>
      <c r="H645" s="404"/>
      <c r="I645" s="473"/>
      <c r="J645" s="2871" t="s">
        <v>5343</v>
      </c>
      <c r="K645" s="1671" t="s">
        <v>5336</v>
      </c>
      <c r="L645" s="1671"/>
      <c r="M645" s="1671"/>
      <c r="N645" s="1672"/>
      <c r="O645" s="1672"/>
      <c r="P645" s="1671"/>
      <c r="Q645" s="408"/>
      <c r="R645" s="2863"/>
      <c r="S645" s="1671"/>
      <c r="T645" s="1671"/>
      <c r="U645" s="1671"/>
      <c r="V645" s="1671"/>
      <c r="W645" s="1671"/>
      <c r="X645" s="1140"/>
      <c r="Y645" s="1674">
        <f>Z645/1000</f>
        <v>7000</v>
      </c>
      <c r="Z645" s="355">
        <f>Z646+Z647+Z648</f>
        <v>7000000</v>
      </c>
      <c r="AA645" s="2357"/>
      <c r="AB645" s="2357"/>
      <c r="AC645" s="2357"/>
    </row>
    <row r="646" spans="1:29" s="1066" customFormat="1" ht="23.45" customHeight="1">
      <c r="A646" s="348"/>
      <c r="B646" s="1126"/>
      <c r="C646" s="2357"/>
      <c r="D646" s="1154"/>
      <c r="E646" s="1126"/>
      <c r="F646" s="1088"/>
      <c r="G646" s="1311"/>
      <c r="H646" s="404"/>
      <c r="I646" s="473"/>
      <c r="J646" s="1670" t="s">
        <v>226</v>
      </c>
      <c r="K646" s="1671"/>
      <c r="L646" s="1671"/>
      <c r="M646" s="1671"/>
      <c r="N646" s="1672"/>
      <c r="O646" s="1672"/>
      <c r="P646" s="1671"/>
      <c r="Q646" s="408"/>
      <c r="R646" s="2863"/>
      <c r="S646" s="1671">
        <v>50000</v>
      </c>
      <c r="T646" s="1671" t="s">
        <v>5337</v>
      </c>
      <c r="U646" s="1671"/>
      <c r="V646" s="1671">
        <v>20</v>
      </c>
      <c r="W646" s="1671" t="s">
        <v>5339</v>
      </c>
      <c r="X646" s="397" t="s">
        <v>1</v>
      </c>
      <c r="Y646" s="1674">
        <v>1000</v>
      </c>
      <c r="Z646" s="355">
        <f t="shared" si="243"/>
        <v>1000000</v>
      </c>
      <c r="AA646" s="2357"/>
      <c r="AB646" s="2357"/>
      <c r="AC646" s="2357"/>
    </row>
    <row r="647" spans="1:29" s="1066" customFormat="1" ht="23.45" customHeight="1">
      <c r="A647" s="348"/>
      <c r="B647" s="1126"/>
      <c r="C647" s="2357"/>
      <c r="D647" s="1154"/>
      <c r="E647" s="1126"/>
      <c r="F647" s="1088"/>
      <c r="G647" s="1311"/>
      <c r="H647" s="404"/>
      <c r="I647" s="473"/>
      <c r="J647" s="1670" t="s">
        <v>5354</v>
      </c>
      <c r="K647" s="1671"/>
      <c r="L647" s="1671"/>
      <c r="M647" s="1671"/>
      <c r="N647" s="1672"/>
      <c r="O647" s="1672"/>
      <c r="P647" s="1671"/>
      <c r="Q647" s="408"/>
      <c r="R647" s="2863"/>
      <c r="S647" s="1671">
        <v>2000000</v>
      </c>
      <c r="T647" s="1671" t="s">
        <v>5337</v>
      </c>
      <c r="U647" s="1671"/>
      <c r="V647" s="1671">
        <v>2</v>
      </c>
      <c r="W647" s="1671" t="s">
        <v>5344</v>
      </c>
      <c r="X647" s="397" t="s">
        <v>1</v>
      </c>
      <c r="Y647" s="1674">
        <v>4000</v>
      </c>
      <c r="Z647" s="355">
        <f t="shared" si="243"/>
        <v>4000000</v>
      </c>
      <c r="AA647" s="2357"/>
      <c r="AB647" s="2357"/>
      <c r="AC647" s="2357"/>
    </row>
    <row r="648" spans="1:29" s="1066" customFormat="1" ht="23.45" customHeight="1">
      <c r="A648" s="348"/>
      <c r="B648" s="1126"/>
      <c r="C648" s="2357"/>
      <c r="D648" s="1154"/>
      <c r="E648" s="1126"/>
      <c r="F648" s="1088"/>
      <c r="G648" s="1311"/>
      <c r="H648" s="404"/>
      <c r="I648" s="473"/>
      <c r="J648" s="1670" t="s">
        <v>5355</v>
      </c>
      <c r="K648" s="1671"/>
      <c r="L648" s="1671"/>
      <c r="M648" s="1671"/>
      <c r="N648" s="1672"/>
      <c r="O648" s="1672"/>
      <c r="P648" s="1671"/>
      <c r="Q648" s="408"/>
      <c r="R648" s="2863"/>
      <c r="S648" s="1671">
        <v>200000</v>
      </c>
      <c r="T648" s="1671" t="s">
        <v>5337</v>
      </c>
      <c r="U648" s="1671"/>
      <c r="V648" s="1671">
        <v>10</v>
      </c>
      <c r="W648" s="1671" t="s">
        <v>5345</v>
      </c>
      <c r="X648" s="397" t="s">
        <v>1</v>
      </c>
      <c r="Y648" s="1674">
        <v>2000</v>
      </c>
      <c r="Z648" s="355">
        <f t="shared" si="243"/>
        <v>2000000</v>
      </c>
      <c r="AA648" s="2357"/>
      <c r="AB648" s="2357"/>
      <c r="AC648" s="2357"/>
    </row>
    <row r="649" spans="1:29" s="1066" customFormat="1" ht="23.45" customHeight="1">
      <c r="A649" s="348"/>
      <c r="B649" s="1126"/>
      <c r="C649" s="2357"/>
      <c r="D649" s="1154"/>
      <c r="E649" s="1126" t="s">
        <v>5358</v>
      </c>
      <c r="F649" s="1088">
        <f t="shared" ref="F649" si="244">Y649</f>
        <v>2000</v>
      </c>
      <c r="G649" s="1311"/>
      <c r="H649" s="404"/>
      <c r="I649" s="473"/>
      <c r="J649" s="2899" t="s">
        <v>5346</v>
      </c>
      <c r="K649" s="2889" t="s">
        <v>5349</v>
      </c>
      <c r="L649" s="2889"/>
      <c r="M649" s="2889"/>
      <c r="N649" s="2889"/>
      <c r="O649" s="2889"/>
      <c r="P649" s="1675"/>
      <c r="Q649" s="2900"/>
      <c r="R649" s="2895"/>
      <c r="S649" s="2900">
        <v>2000000</v>
      </c>
      <c r="T649" s="1671" t="s">
        <v>2937</v>
      </c>
      <c r="U649" s="1675"/>
      <c r="V649" s="1671">
        <v>1</v>
      </c>
      <c r="W649" s="2895" t="s">
        <v>5350</v>
      </c>
      <c r="X649" s="397" t="s">
        <v>1</v>
      </c>
      <c r="Y649" s="1674">
        <v>2000</v>
      </c>
      <c r="Z649" s="355">
        <f t="shared" si="243"/>
        <v>2000000</v>
      </c>
      <c r="AA649" s="2357"/>
      <c r="AB649" s="2357"/>
      <c r="AC649" s="2357"/>
    </row>
    <row r="650" spans="1:29" s="1066" customFormat="1" ht="23.45" customHeight="1">
      <c r="A650" s="348"/>
      <c r="B650" s="1126"/>
      <c r="C650" s="2357"/>
      <c r="D650" s="1154"/>
      <c r="E650" s="1126" t="s">
        <v>269</v>
      </c>
      <c r="F650" s="1088">
        <f t="shared" si="242"/>
        <v>19600</v>
      </c>
      <c r="G650" s="1311"/>
      <c r="H650" s="404"/>
      <c r="I650" s="473"/>
      <c r="J650" s="2871" t="s">
        <v>5219</v>
      </c>
      <c r="K650" s="2870"/>
      <c r="L650" s="2870"/>
      <c r="M650" s="2870"/>
      <c r="N650" s="2870"/>
      <c r="O650" s="2870"/>
      <c r="P650" s="2870"/>
      <c r="Q650" s="408"/>
      <c r="R650" s="2863"/>
      <c r="S650" s="1672"/>
      <c r="T650" s="2872"/>
      <c r="U650" s="2872"/>
      <c r="V650" s="2872"/>
      <c r="W650" s="2872"/>
      <c r="X650" s="1140"/>
      <c r="Y650" s="1674">
        <f>Z650/1000</f>
        <v>19600</v>
      </c>
      <c r="Z650" s="355">
        <f>Z651+Z652+Z653</f>
        <v>19600000</v>
      </c>
      <c r="AA650" s="2357"/>
      <c r="AB650" s="2357"/>
      <c r="AC650" s="2357"/>
    </row>
    <row r="651" spans="1:29" s="1066" customFormat="1" ht="23.45" customHeight="1">
      <c r="A651" s="348"/>
      <c r="B651" s="1126"/>
      <c r="C651" s="2357"/>
      <c r="D651" s="1154"/>
      <c r="E651" s="1126"/>
      <c r="F651" s="1088"/>
      <c r="G651" s="1311"/>
      <c r="H651" s="404"/>
      <c r="I651" s="473"/>
      <c r="J651" s="1670" t="s">
        <v>5357</v>
      </c>
      <c r="K651" s="1671"/>
      <c r="L651" s="1671"/>
      <c r="M651" s="1671"/>
      <c r="N651" s="1672"/>
      <c r="O651" s="1672"/>
      <c r="P651" s="1671"/>
      <c r="Q651" s="1673"/>
      <c r="R651" s="1671"/>
      <c r="S651" s="1671">
        <v>3500000</v>
      </c>
      <c r="T651" s="1671" t="s">
        <v>0</v>
      </c>
      <c r="U651" s="1671"/>
      <c r="V651" s="1671">
        <v>3</v>
      </c>
      <c r="W651" s="1671" t="s">
        <v>5241</v>
      </c>
      <c r="X651" s="397" t="s">
        <v>1</v>
      </c>
      <c r="Y651" s="1674">
        <f>+Z651/1000</f>
        <v>10500</v>
      </c>
      <c r="Z651" s="355">
        <f>S651*V651</f>
        <v>10500000</v>
      </c>
      <c r="AA651" s="2357"/>
      <c r="AB651" s="2357"/>
      <c r="AC651" s="2357"/>
    </row>
    <row r="652" spans="1:29" s="1066" customFormat="1" ht="23.45" customHeight="1">
      <c r="A652" s="348"/>
      <c r="B652" s="1126"/>
      <c r="C652" s="2357"/>
      <c r="D652" s="1154"/>
      <c r="E652" s="1126"/>
      <c r="F652" s="1088"/>
      <c r="G652" s="1311"/>
      <c r="H652" s="404"/>
      <c r="I652" s="473"/>
      <c r="J652" s="1670" t="s">
        <v>5356</v>
      </c>
      <c r="K652" s="1671"/>
      <c r="L652" s="1671"/>
      <c r="M652" s="1671"/>
      <c r="N652" s="1672"/>
      <c r="O652" s="1672"/>
      <c r="P652" s="1671"/>
      <c r="Q652" s="1673"/>
      <c r="R652" s="1671"/>
      <c r="S652" s="1672">
        <v>200000</v>
      </c>
      <c r="T652" s="1671" t="s">
        <v>0</v>
      </c>
      <c r="U652" s="1671"/>
      <c r="V652" s="1251">
        <v>8</v>
      </c>
      <c r="W652" s="1671" t="s">
        <v>5241</v>
      </c>
      <c r="X652" s="397" t="s">
        <v>1</v>
      </c>
      <c r="Y652" s="1674">
        <v>1600</v>
      </c>
      <c r="Z652" s="355">
        <f>S652*V652</f>
        <v>1600000</v>
      </c>
      <c r="AA652" s="2357"/>
      <c r="AB652" s="2357"/>
      <c r="AC652" s="2357"/>
    </row>
    <row r="653" spans="1:29" s="1066" customFormat="1" ht="23.45" customHeight="1">
      <c r="A653" s="348"/>
      <c r="B653" s="1126"/>
      <c r="C653" s="2357"/>
      <c r="D653" s="1154"/>
      <c r="E653" s="1126"/>
      <c r="F653" s="1088"/>
      <c r="G653" s="1311"/>
      <c r="H653" s="404"/>
      <c r="I653" s="473"/>
      <c r="J653" s="1670" t="s">
        <v>4628</v>
      </c>
      <c r="K653" s="1671"/>
      <c r="L653" s="1671"/>
      <c r="M653" s="1671"/>
      <c r="N653" s="1672"/>
      <c r="O653" s="1672"/>
      <c r="P653" s="1671"/>
      <c r="Q653" s="1673"/>
      <c r="R653" s="1671"/>
      <c r="S653" s="1666">
        <v>75000000</v>
      </c>
      <c r="T653" s="569" t="s">
        <v>264</v>
      </c>
      <c r="U653" s="569"/>
      <c r="V653" s="2596">
        <v>10</v>
      </c>
      <c r="W653" s="569" t="s">
        <v>627</v>
      </c>
      <c r="X653" s="1807" t="s">
        <v>266</v>
      </c>
      <c r="Y653" s="406">
        <f t="shared" ref="Y653" si="245">Z653/1000</f>
        <v>7500</v>
      </c>
      <c r="Z653" s="1823">
        <f>S653*V653%</f>
        <v>7500000</v>
      </c>
      <c r="AA653" s="2357"/>
      <c r="AB653" s="2357"/>
      <c r="AC653" s="2357"/>
    </row>
    <row r="654" spans="1:29" s="1066" customFormat="1" ht="23.45" customHeight="1">
      <c r="A654" s="348"/>
      <c r="B654" s="1126"/>
      <c r="C654" s="2357"/>
      <c r="D654" s="1154"/>
      <c r="E654" s="1126" t="s">
        <v>1478</v>
      </c>
      <c r="F654" s="1088">
        <f t="shared" ref="F654" si="246">Y654</f>
        <v>6500</v>
      </c>
      <c r="G654" s="1311"/>
      <c r="H654" s="404"/>
      <c r="I654" s="473"/>
      <c r="J654" s="2899" t="s">
        <v>5346</v>
      </c>
      <c r="K654" s="2889" t="s">
        <v>5347</v>
      </c>
      <c r="L654" s="2889"/>
      <c r="M654" s="2889"/>
      <c r="N654" s="2889"/>
      <c r="O654" s="2889"/>
      <c r="P654" s="1675"/>
      <c r="Q654" s="2900"/>
      <c r="R654" s="2895"/>
      <c r="S654" s="2900">
        <v>130000</v>
      </c>
      <c r="T654" s="1671" t="s">
        <v>2937</v>
      </c>
      <c r="U654" s="1675"/>
      <c r="V654" s="1671">
        <v>50</v>
      </c>
      <c r="W654" s="2895" t="s">
        <v>5348</v>
      </c>
      <c r="X654" s="397" t="s">
        <v>1</v>
      </c>
      <c r="Y654" s="1674">
        <v>6500</v>
      </c>
      <c r="Z654" s="355">
        <f t="shared" ref="Z654" si="247">S654*V654</f>
        <v>6500000</v>
      </c>
      <c r="AA654" s="2357"/>
      <c r="AB654" s="2357"/>
      <c r="AC654" s="2357"/>
    </row>
    <row r="655" spans="1:29" s="1066" customFormat="1" ht="23.45" customHeight="1">
      <c r="A655" s="348"/>
      <c r="B655" s="1126"/>
      <c r="C655" s="2357"/>
      <c r="D655" s="1154"/>
      <c r="E655" s="1126" t="s">
        <v>222</v>
      </c>
      <c r="F655" s="1088">
        <f t="shared" si="242"/>
        <v>22000</v>
      </c>
      <c r="G655" s="1311"/>
      <c r="H655" s="404"/>
      <c r="I655" s="473"/>
      <c r="J655" s="2871" t="s">
        <v>5346</v>
      </c>
      <c r="K655" s="2870"/>
      <c r="L655" s="2870"/>
      <c r="M655" s="2870"/>
      <c r="N655" s="2870"/>
      <c r="O655" s="2870"/>
      <c r="P655" s="1675"/>
      <c r="Q655" s="2872"/>
      <c r="R655" s="2863"/>
      <c r="S655" s="2872">
        <v>5500000</v>
      </c>
      <c r="T655" s="1671" t="s">
        <v>0</v>
      </c>
      <c r="U655" s="1675"/>
      <c r="V655" s="1671">
        <v>4</v>
      </c>
      <c r="W655" s="2863" t="s">
        <v>5241</v>
      </c>
      <c r="X655" s="397" t="s">
        <v>1</v>
      </c>
      <c r="Y655" s="1674">
        <f t="shared" ref="Y655" si="248">+Z655/1000</f>
        <v>22000</v>
      </c>
      <c r="Z655" s="355">
        <f t="shared" ref="Z655:Z657" si="249">S655*V655</f>
        <v>22000000</v>
      </c>
      <c r="AA655" s="2357"/>
      <c r="AB655" s="2357"/>
      <c r="AC655" s="2357"/>
    </row>
    <row r="656" spans="1:29" s="1066" customFormat="1" ht="23.45" customHeight="1">
      <c r="A656" s="348"/>
      <c r="B656" s="1126"/>
      <c r="C656" s="2357"/>
      <c r="D656" s="1154"/>
      <c r="E656" s="1126" t="s">
        <v>602</v>
      </c>
      <c r="F656" s="1088">
        <f t="shared" ref="F656" si="250">Y656</f>
        <v>1400</v>
      </c>
      <c r="G656" s="1311"/>
      <c r="H656" s="404"/>
      <c r="I656" s="473"/>
      <c r="J656" s="2899" t="s">
        <v>1076</v>
      </c>
      <c r="K656" s="1671"/>
      <c r="L656" s="1671"/>
      <c r="M656" s="1671"/>
      <c r="N656" s="1672"/>
      <c r="O656" s="1672"/>
      <c r="P656" s="1671"/>
      <c r="Q656" s="1673"/>
      <c r="R656" s="1671"/>
      <c r="S656" s="1671">
        <v>700000</v>
      </c>
      <c r="T656" s="1671" t="s">
        <v>0</v>
      </c>
      <c r="U656" s="1671"/>
      <c r="V656" s="1671">
        <v>2</v>
      </c>
      <c r="W656" s="1671" t="s">
        <v>265</v>
      </c>
      <c r="X656" s="397" t="s">
        <v>1</v>
      </c>
      <c r="Y656" s="1674">
        <f>+Z656/1000</f>
        <v>1400</v>
      </c>
      <c r="Z656" s="355">
        <f t="shared" ref="Z656" si="251">S656*V656</f>
        <v>1400000</v>
      </c>
      <c r="AA656" s="2357"/>
      <c r="AB656" s="2357"/>
      <c r="AC656" s="2357"/>
    </row>
    <row r="657" spans="1:30" s="1066" customFormat="1" ht="23.45" customHeight="1" thickBot="1">
      <c r="A657" s="348"/>
      <c r="B657" s="1126"/>
      <c r="C657" s="2357"/>
      <c r="D657" s="1154"/>
      <c r="E657" s="1126" t="s">
        <v>610</v>
      </c>
      <c r="F657" s="1088">
        <f t="shared" si="242"/>
        <v>500</v>
      </c>
      <c r="G657" s="1311"/>
      <c r="H657" s="404"/>
      <c r="I657" s="473"/>
      <c r="J657" s="2871" t="s">
        <v>5346</v>
      </c>
      <c r="K657" s="2870" t="s">
        <v>5351</v>
      </c>
      <c r="L657" s="2870"/>
      <c r="M657" s="2870"/>
      <c r="N657" s="2870"/>
      <c r="O657" s="2870"/>
      <c r="P657" s="1675"/>
      <c r="Q657" s="2872"/>
      <c r="R657" s="2863"/>
      <c r="S657" s="2872">
        <v>50000</v>
      </c>
      <c r="T657" s="1671" t="s">
        <v>5337</v>
      </c>
      <c r="U657" s="1675"/>
      <c r="V657" s="1671">
        <v>10</v>
      </c>
      <c r="W657" s="2863" t="s">
        <v>5339</v>
      </c>
      <c r="X657" s="397" t="s">
        <v>1</v>
      </c>
      <c r="Y657" s="1674">
        <v>500</v>
      </c>
      <c r="Z657" s="355">
        <f t="shared" si="249"/>
        <v>500000</v>
      </c>
      <c r="AA657" s="2357"/>
      <c r="AB657" s="2357"/>
      <c r="AC657" s="2357"/>
    </row>
    <row r="658" spans="1:30" s="2558" customFormat="1" ht="23.45" customHeight="1" thickBot="1">
      <c r="A658" s="422" t="s">
        <v>4212</v>
      </c>
      <c r="B658" s="1102"/>
      <c r="C658" s="1102"/>
      <c r="D658" s="1102"/>
      <c r="E658" s="1102"/>
      <c r="F658" s="595">
        <f t="shared" ref="F658:G658" si="252">+F659</f>
        <v>1077500</v>
      </c>
      <c r="G658" s="595">
        <f t="shared" si="252"/>
        <v>310000</v>
      </c>
      <c r="H658" s="1406">
        <f>F658-G658</f>
        <v>767500</v>
      </c>
      <c r="I658" s="409"/>
      <c r="J658" s="1301"/>
      <c r="K658" s="1302"/>
      <c r="L658" s="1302"/>
      <c r="M658" s="1302"/>
      <c r="N658" s="1302"/>
      <c r="O658" s="1302"/>
      <c r="P658" s="1302"/>
      <c r="Q658" s="1302"/>
      <c r="R658" s="1457"/>
      <c r="S658" s="1302"/>
      <c r="T658" s="1302"/>
      <c r="U658" s="1302"/>
      <c r="V658" s="1302"/>
      <c r="W658" s="1302"/>
      <c r="X658" s="1299"/>
      <c r="Y658" s="1458"/>
      <c r="Z658" s="1459"/>
      <c r="AA658" s="401"/>
      <c r="AB658" s="1091"/>
      <c r="AC658" s="1095"/>
      <c r="AD658" s="2553"/>
    </row>
    <row r="659" spans="1:30" s="591" customFormat="1" ht="23.25" customHeight="1" thickBot="1">
      <c r="A659" s="1112"/>
      <c r="B659" s="416" t="s">
        <v>4213</v>
      </c>
      <c r="C659" s="417"/>
      <c r="D659" s="418"/>
      <c r="E659" s="419"/>
      <c r="F659" s="596">
        <f>F660+F675+F706+F728+F756+F765+F782+F796</f>
        <v>1077500</v>
      </c>
      <c r="G659" s="596">
        <f>G660+G675+G706+G728+G756+G765+G782+G796</f>
        <v>310000</v>
      </c>
      <c r="H659" s="421">
        <f t="shared" ref="H659" si="253">F659-G659</f>
        <v>767500</v>
      </c>
      <c r="I659" s="1428"/>
      <c r="J659" s="1460"/>
      <c r="K659" s="1461"/>
      <c r="L659" s="1461"/>
      <c r="M659" s="1461"/>
      <c r="N659" s="1461"/>
      <c r="O659" s="1461"/>
      <c r="P659" s="1461"/>
      <c r="Q659" s="1461"/>
      <c r="R659" s="1461"/>
      <c r="S659" s="1461"/>
      <c r="T659" s="1461"/>
      <c r="U659" s="1461"/>
      <c r="V659" s="1461"/>
      <c r="W659" s="1461"/>
      <c r="X659" s="1462"/>
      <c r="Y659" s="1463"/>
      <c r="Z659" s="1410"/>
      <c r="AA659" s="401"/>
      <c r="AB659" s="1091"/>
      <c r="AC659" s="1423"/>
      <c r="AD659" s="607"/>
    </row>
    <row r="660" spans="1:30" s="85" customFormat="1" ht="23.1" customHeight="1">
      <c r="A660" s="2627"/>
      <c r="B660" s="1145"/>
      <c r="C660" s="864" t="s">
        <v>4214</v>
      </c>
      <c r="D660" s="2646"/>
      <c r="E660" s="763"/>
      <c r="F660" s="764">
        <f>F661</f>
        <v>90000</v>
      </c>
      <c r="G660" s="764">
        <f>G661</f>
        <v>90000</v>
      </c>
      <c r="H660" s="1132">
        <f>F660-G660</f>
        <v>0</v>
      </c>
      <c r="I660" s="409"/>
      <c r="J660" s="1135"/>
      <c r="K660" s="2598"/>
      <c r="L660" s="2598"/>
      <c r="M660" s="2598"/>
      <c r="N660" s="2598"/>
      <c r="O660" s="2598"/>
      <c r="P660" s="2635"/>
      <c r="Q660" s="1136"/>
      <c r="R660" s="1137"/>
      <c r="S660" s="1136"/>
      <c r="T660" s="1136"/>
      <c r="U660" s="2635"/>
      <c r="V660" s="1136"/>
      <c r="W660" s="1136"/>
      <c r="X660" s="1138"/>
      <c r="Y660" s="377"/>
      <c r="Z660" s="378"/>
      <c r="AA660" s="401"/>
      <c r="AB660" s="1091">
        <f>F660</f>
        <v>90000</v>
      </c>
      <c r="AC660" s="1464"/>
      <c r="AD660" s="981"/>
    </row>
    <row r="661" spans="1:30" s="986" customFormat="1" ht="23.1" customHeight="1">
      <c r="A661" s="2627"/>
      <c r="B661" s="1145"/>
      <c r="C661" s="2651"/>
      <c r="D661" s="864" t="s">
        <v>4214</v>
      </c>
      <c r="E661" s="2646"/>
      <c r="F661" s="483">
        <f>SUM(F662:F674)</f>
        <v>90000</v>
      </c>
      <c r="G661" s="483">
        <f>SUM(G662:G674)</f>
        <v>90000</v>
      </c>
      <c r="H661" s="468">
        <f>F661-G661</f>
        <v>0</v>
      </c>
      <c r="I661" s="1127"/>
      <c r="J661" s="394"/>
      <c r="K661" s="2635"/>
      <c r="L661" s="2635"/>
      <c r="M661" s="2635"/>
      <c r="N661" s="2635"/>
      <c r="O661" s="2635"/>
      <c r="P661" s="484"/>
      <c r="Q661" s="487"/>
      <c r="R661" s="486"/>
      <c r="S661" s="487"/>
      <c r="T661" s="486"/>
      <c r="U661" s="1146"/>
      <c r="V661" s="487"/>
      <c r="W661" s="2598"/>
      <c r="X661" s="430"/>
      <c r="Y661" s="439"/>
      <c r="Z661" s="1465"/>
      <c r="AA661" s="275"/>
      <c r="AB661" s="1675"/>
      <c r="AC661" s="1675"/>
    </row>
    <row r="662" spans="1:30" s="986" customFormat="1" ht="22.5" customHeight="1">
      <c r="A662" s="2627"/>
      <c r="B662" s="1145"/>
      <c r="C662" s="470"/>
      <c r="D662" s="489"/>
      <c r="E662" s="1126" t="s">
        <v>4215</v>
      </c>
      <c r="F662" s="403">
        <f t="shared" ref="F662:F666" si="254">Y662</f>
        <v>25000</v>
      </c>
      <c r="G662" s="491">
        <v>25000</v>
      </c>
      <c r="H662" s="404"/>
      <c r="I662" s="1127"/>
      <c r="J662" s="2643" t="s">
        <v>4216</v>
      </c>
      <c r="K662" s="2357"/>
      <c r="L662" s="2357"/>
      <c r="M662" s="2357"/>
      <c r="N662" s="2357"/>
      <c r="O662" s="2357"/>
      <c r="P662" s="1128"/>
      <c r="Q662" s="492"/>
      <c r="R662" s="493"/>
      <c r="S662" s="492">
        <v>2500000</v>
      </c>
      <c r="T662" s="344" t="s">
        <v>50</v>
      </c>
      <c r="U662" s="1675"/>
      <c r="V662" s="492">
        <v>10</v>
      </c>
      <c r="W662" s="2624" t="s">
        <v>4004</v>
      </c>
      <c r="X662" s="1140" t="s">
        <v>1</v>
      </c>
      <c r="Y662" s="1674">
        <f>Z662/1000</f>
        <v>25000</v>
      </c>
      <c r="Z662" s="407">
        <f>S662*V662</f>
        <v>25000000</v>
      </c>
      <c r="AA662" s="275"/>
      <c r="AB662" s="1675"/>
      <c r="AC662" s="1675"/>
    </row>
    <row r="663" spans="1:30" s="303" customFormat="1" ht="22.5" customHeight="1">
      <c r="A663" s="2627"/>
      <c r="B663" s="1145"/>
      <c r="C663" s="2651"/>
      <c r="D663" s="495"/>
      <c r="E663" s="498" t="s">
        <v>4041</v>
      </c>
      <c r="F663" s="403">
        <f t="shared" si="254"/>
        <v>31500</v>
      </c>
      <c r="G663" s="497">
        <v>31500</v>
      </c>
      <c r="H663" s="404"/>
      <c r="I663" s="1127"/>
      <c r="J663" s="2643" t="s">
        <v>4217</v>
      </c>
      <c r="K663" s="2357"/>
      <c r="L663" s="2357"/>
      <c r="M663" s="2357"/>
      <c r="N663" s="2357"/>
      <c r="O663" s="2357"/>
      <c r="P663" s="1128"/>
      <c r="Q663" s="372">
        <v>2</v>
      </c>
      <c r="R663" s="2624" t="s">
        <v>4218</v>
      </c>
      <c r="S663" s="492">
        <v>52500</v>
      </c>
      <c r="T663" s="344" t="s">
        <v>50</v>
      </c>
      <c r="U663" s="1675"/>
      <c r="V663" s="492">
        <v>300</v>
      </c>
      <c r="W663" s="2624" t="s">
        <v>4043</v>
      </c>
      <c r="X663" s="1140" t="s">
        <v>1</v>
      </c>
      <c r="Y663" s="1674">
        <f>Z663/1000</f>
        <v>31500</v>
      </c>
      <c r="Z663" s="407">
        <f>Q663*S663*V663</f>
        <v>31500000</v>
      </c>
      <c r="AA663" s="275"/>
      <c r="AB663" s="357"/>
      <c r="AC663" s="357"/>
    </row>
    <row r="664" spans="1:30" s="303" customFormat="1" ht="22.5" customHeight="1">
      <c r="A664" s="2627"/>
      <c r="B664" s="1145"/>
      <c r="C664" s="2651"/>
      <c r="D664" s="495"/>
      <c r="E664" s="498" t="s">
        <v>4013</v>
      </c>
      <c r="F664" s="403">
        <f t="shared" si="254"/>
        <v>1000</v>
      </c>
      <c r="G664" s="497">
        <v>1000</v>
      </c>
      <c r="H664" s="404"/>
      <c r="I664" s="1127"/>
      <c r="J664" s="2643" t="s">
        <v>4219</v>
      </c>
      <c r="K664" s="2357"/>
      <c r="L664" s="2357"/>
      <c r="M664" s="2357"/>
      <c r="N664" s="2357"/>
      <c r="O664" s="2357"/>
      <c r="P664" s="1128"/>
      <c r="Q664" s="372"/>
      <c r="R664" s="2624"/>
      <c r="S664" s="1314">
        <v>1000000</v>
      </c>
      <c r="T664" s="344" t="s">
        <v>50</v>
      </c>
      <c r="U664" s="1675"/>
      <c r="V664" s="372">
        <v>1</v>
      </c>
      <c r="W664" s="2624" t="s">
        <v>3440</v>
      </c>
      <c r="X664" s="1140" t="s">
        <v>1</v>
      </c>
      <c r="Y664" s="1674">
        <f>Z664/1000</f>
        <v>1000</v>
      </c>
      <c r="Z664" s="407">
        <f>S664*V664</f>
        <v>1000000</v>
      </c>
      <c r="AA664" s="275"/>
      <c r="AB664" s="357"/>
      <c r="AC664" s="357"/>
    </row>
    <row r="665" spans="1:30" s="303" customFormat="1" ht="22.5" customHeight="1">
      <c r="A665" s="2627"/>
      <c r="B665" s="1145"/>
      <c r="C665" s="2651"/>
      <c r="D665" s="495"/>
      <c r="E665" s="498" t="s">
        <v>4017</v>
      </c>
      <c r="F665" s="403">
        <f t="shared" si="254"/>
        <v>2000</v>
      </c>
      <c r="G665" s="497">
        <v>2000</v>
      </c>
      <c r="H665" s="404"/>
      <c r="I665" s="1127"/>
      <c r="J665" s="2643" t="s">
        <v>4220</v>
      </c>
      <c r="K665" s="2357"/>
      <c r="L665" s="2357"/>
      <c r="M665" s="2357"/>
      <c r="N665" s="2357"/>
      <c r="O665" s="2357"/>
      <c r="P665" s="1128"/>
      <c r="Q665" s="492">
        <v>10</v>
      </c>
      <c r="R665" s="493" t="s">
        <v>4221</v>
      </c>
      <c r="S665" s="492">
        <v>20000</v>
      </c>
      <c r="T665" s="344" t="s">
        <v>50</v>
      </c>
      <c r="U665" s="1675"/>
      <c r="V665" s="372">
        <v>10</v>
      </c>
      <c r="W665" s="2624" t="s">
        <v>4004</v>
      </c>
      <c r="X665" s="1140" t="s">
        <v>1</v>
      </c>
      <c r="Y665" s="1674">
        <f>Z665/1000</f>
        <v>2000</v>
      </c>
      <c r="Z665" s="407">
        <f>Q665*S665*V665</f>
        <v>2000000</v>
      </c>
      <c r="AA665" s="275"/>
      <c r="AB665" s="357"/>
      <c r="AC665" s="357"/>
    </row>
    <row r="666" spans="1:30" s="303" customFormat="1" ht="24" customHeight="1">
      <c r="A666" s="2627"/>
      <c r="B666" s="1145"/>
      <c r="C666" s="2651"/>
      <c r="D666" s="495"/>
      <c r="E666" s="1466" t="s">
        <v>4222</v>
      </c>
      <c r="F666" s="403">
        <f t="shared" si="254"/>
        <v>2700</v>
      </c>
      <c r="G666" s="497">
        <v>2700</v>
      </c>
      <c r="H666" s="404"/>
      <c r="I666" s="1127"/>
      <c r="J666" s="2643" t="s">
        <v>3447</v>
      </c>
      <c r="K666" s="2624"/>
      <c r="L666" s="2624"/>
      <c r="M666" s="2624"/>
      <c r="N666" s="2624"/>
      <c r="O666" s="2624"/>
      <c r="P666" s="2624"/>
      <c r="Q666" s="2624"/>
      <c r="R666" s="405"/>
      <c r="S666" s="2644"/>
      <c r="T666" s="2644"/>
      <c r="U666" s="2644"/>
      <c r="V666" s="2644"/>
      <c r="W666" s="2644"/>
      <c r="X666" s="1140"/>
      <c r="Y666" s="1674">
        <f>SUM(Y667:Y668)</f>
        <v>2700</v>
      </c>
      <c r="Z666" s="1098">
        <f>SUM(Z667:Z668)</f>
        <v>2700000</v>
      </c>
      <c r="AA666" s="275"/>
      <c r="AB666" s="357"/>
      <c r="AC666" s="357"/>
    </row>
    <row r="667" spans="1:30" s="303" customFormat="1" ht="24" customHeight="1">
      <c r="A667" s="2627"/>
      <c r="B667" s="1145"/>
      <c r="C667" s="2651"/>
      <c r="D667" s="495"/>
      <c r="E667" s="1466"/>
      <c r="F667" s="403"/>
      <c r="G667" s="497"/>
      <c r="H667" s="1147"/>
      <c r="I667" s="1127"/>
      <c r="J667" s="2643" t="s">
        <v>4223</v>
      </c>
      <c r="K667" s="2357"/>
      <c r="L667" s="2357"/>
      <c r="M667" s="2357"/>
      <c r="N667" s="2357"/>
      <c r="O667" s="2357"/>
      <c r="P667" s="1128"/>
      <c r="Q667" s="372"/>
      <c r="R667" s="2624"/>
      <c r="S667" s="492">
        <v>2000</v>
      </c>
      <c r="T667" s="344" t="s">
        <v>50</v>
      </c>
      <c r="U667" s="1675"/>
      <c r="V667" s="492">
        <v>1150</v>
      </c>
      <c r="W667" s="2624" t="s">
        <v>4060</v>
      </c>
      <c r="X667" s="1140" t="s">
        <v>1</v>
      </c>
      <c r="Y667" s="1674">
        <f t="shared" ref="Y667:Y674" si="255">Z667/1000</f>
        <v>2300</v>
      </c>
      <c r="Z667" s="407">
        <f>S667*V667</f>
        <v>2300000</v>
      </c>
      <c r="AA667" s="275"/>
      <c r="AB667" s="357"/>
      <c r="AC667" s="357"/>
    </row>
    <row r="668" spans="1:30" s="303" customFormat="1" ht="24" customHeight="1">
      <c r="A668" s="2627"/>
      <c r="B668" s="1145"/>
      <c r="C668" s="2651"/>
      <c r="D668" s="495"/>
      <c r="E668" s="1466"/>
      <c r="F668" s="403"/>
      <c r="G668" s="497"/>
      <c r="H668" s="1147"/>
      <c r="I668" s="1127"/>
      <c r="J668" s="2643" t="s">
        <v>4224</v>
      </c>
      <c r="K668" s="2357"/>
      <c r="L668" s="2357"/>
      <c r="M668" s="2357"/>
      <c r="N668" s="2357"/>
      <c r="O668" s="2357"/>
      <c r="P668" s="1128"/>
      <c r="Q668" s="372">
        <v>2</v>
      </c>
      <c r="R668" s="493" t="s">
        <v>4221</v>
      </c>
      <c r="S668" s="492">
        <v>200000</v>
      </c>
      <c r="T668" s="344" t="s">
        <v>50</v>
      </c>
      <c r="U668" s="1675"/>
      <c r="V668" s="492">
        <v>1</v>
      </c>
      <c r="W668" s="2624" t="s">
        <v>3732</v>
      </c>
      <c r="X668" s="1140" t="s">
        <v>1</v>
      </c>
      <c r="Y668" s="1674">
        <f>Z668/1000</f>
        <v>400</v>
      </c>
      <c r="Z668" s="407">
        <f>Q668*S668*V668</f>
        <v>400000</v>
      </c>
      <c r="AA668" s="275"/>
      <c r="AB668" s="357"/>
      <c r="AC668" s="357"/>
    </row>
    <row r="669" spans="1:30" s="303" customFormat="1" ht="24" customHeight="1">
      <c r="A669" s="2627"/>
      <c r="B669" s="1145"/>
      <c r="C669" s="2651"/>
      <c r="D669" s="495"/>
      <c r="E669" s="496" t="s">
        <v>3740</v>
      </c>
      <c r="F669" s="403">
        <f>Y669</f>
        <v>25000</v>
      </c>
      <c r="G669" s="497">
        <v>25000</v>
      </c>
      <c r="H669" s="404"/>
      <c r="I669" s="1127"/>
      <c r="J669" s="2643" t="s">
        <v>4225</v>
      </c>
      <c r="K669" s="2357" t="s">
        <v>4226</v>
      </c>
      <c r="L669" s="2357"/>
      <c r="M669" s="2357"/>
      <c r="N669" s="2357"/>
      <c r="O669" s="2357"/>
      <c r="P669" s="1128"/>
      <c r="Q669" s="372"/>
      <c r="R669" s="2624"/>
      <c r="S669" s="492"/>
      <c r="T669" s="344"/>
      <c r="U669" s="2624"/>
      <c r="V669" s="492"/>
      <c r="W669" s="2624"/>
      <c r="X669" s="1140"/>
      <c r="Y669" s="1674">
        <f>SUM(Y670:Y671)</f>
        <v>25000</v>
      </c>
      <c r="Z669" s="1674">
        <f>SUM(Z670:Z671)</f>
        <v>25000000</v>
      </c>
      <c r="AA669" s="275"/>
      <c r="AB669" s="357"/>
      <c r="AC669" s="357"/>
    </row>
    <row r="670" spans="1:30" s="303" customFormat="1" ht="24" customHeight="1">
      <c r="A670" s="2627"/>
      <c r="B670" s="1145"/>
      <c r="C670" s="2651"/>
      <c r="D670" s="495"/>
      <c r="E670" s="1466"/>
      <c r="F670" s="490"/>
      <c r="G670" s="497"/>
      <c r="H670" s="1147"/>
      <c r="I670" s="1127"/>
      <c r="J670" s="2643" t="s">
        <v>4227</v>
      </c>
      <c r="K670" s="2357"/>
      <c r="L670" s="2357"/>
      <c r="M670" s="2357"/>
      <c r="N670" s="2357"/>
      <c r="O670" s="2357"/>
      <c r="P670" s="1128"/>
      <c r="Q670" s="372"/>
      <c r="R670" s="2624"/>
      <c r="S670" s="492">
        <v>50000</v>
      </c>
      <c r="T670" s="344" t="s">
        <v>50</v>
      </c>
      <c r="U670" s="1675"/>
      <c r="V670" s="492">
        <v>200</v>
      </c>
      <c r="W670" s="2624" t="s">
        <v>4228</v>
      </c>
      <c r="X670" s="1140" t="s">
        <v>1</v>
      </c>
      <c r="Y670" s="1674">
        <f t="shared" ref="Y670:Y671" si="256">Z670/1000</f>
        <v>10000</v>
      </c>
      <c r="Z670" s="407">
        <f>S670*V670</f>
        <v>10000000</v>
      </c>
      <c r="AA670" s="275"/>
      <c r="AB670" s="357"/>
      <c r="AC670" s="357"/>
    </row>
    <row r="671" spans="1:30" s="303" customFormat="1" ht="24" customHeight="1">
      <c r="A671" s="2627"/>
      <c r="B671" s="1145"/>
      <c r="C671" s="2651"/>
      <c r="D671" s="495"/>
      <c r="E671" s="1466"/>
      <c r="F671" s="490"/>
      <c r="G671" s="497"/>
      <c r="H671" s="1147"/>
      <c r="I671" s="1127"/>
      <c r="J671" s="2643" t="s">
        <v>4229</v>
      </c>
      <c r="K671" s="2357"/>
      <c r="L671" s="2357"/>
      <c r="M671" s="2357"/>
      <c r="N671" s="2357"/>
      <c r="O671" s="2357"/>
      <c r="P671" s="1128"/>
      <c r="Q671" s="372"/>
      <c r="R671" s="2624"/>
      <c r="S671" s="492">
        <v>15000000</v>
      </c>
      <c r="T671" s="344" t="s">
        <v>50</v>
      </c>
      <c r="U671" s="1675"/>
      <c r="V671" s="492">
        <v>1</v>
      </c>
      <c r="W671" s="2624" t="s">
        <v>3440</v>
      </c>
      <c r="X671" s="1140" t="s">
        <v>1</v>
      </c>
      <c r="Y671" s="1674">
        <f t="shared" si="256"/>
        <v>15000</v>
      </c>
      <c r="Z671" s="407">
        <f>S671*V671</f>
        <v>15000000</v>
      </c>
      <c r="AA671" s="275"/>
      <c r="AB671" s="357"/>
      <c r="AC671" s="357"/>
    </row>
    <row r="672" spans="1:30" s="303" customFormat="1" ht="24" customHeight="1">
      <c r="A672" s="2627"/>
      <c r="B672" s="1145"/>
      <c r="C672" s="2651"/>
      <c r="D672" s="495"/>
      <c r="E672" s="496" t="s">
        <v>4032</v>
      </c>
      <c r="F672" s="403">
        <f t="shared" ref="F672:F674" si="257">Y672</f>
        <v>1300</v>
      </c>
      <c r="G672" s="497">
        <v>1300</v>
      </c>
      <c r="H672" s="404"/>
      <c r="I672" s="1127"/>
      <c r="J672" s="2643" t="s">
        <v>4230</v>
      </c>
      <c r="K672" s="2357"/>
      <c r="L672" s="2357"/>
      <c r="M672" s="2357"/>
      <c r="N672" s="2357"/>
      <c r="O672" s="2357"/>
      <c r="P672" s="1128"/>
      <c r="Q672" s="372"/>
      <c r="R672" s="2624"/>
      <c r="S672" s="1314">
        <v>130000</v>
      </c>
      <c r="T672" s="344" t="s">
        <v>50</v>
      </c>
      <c r="U672" s="1675"/>
      <c r="V672" s="372">
        <v>10</v>
      </c>
      <c r="W672" s="2624" t="s">
        <v>4004</v>
      </c>
      <c r="X672" s="1140" t="s">
        <v>1</v>
      </c>
      <c r="Y672" s="1674">
        <f t="shared" si="255"/>
        <v>1300</v>
      </c>
      <c r="Z672" s="407">
        <f>S672*V672</f>
        <v>1300000</v>
      </c>
      <c r="AA672" s="275"/>
      <c r="AB672" s="357"/>
      <c r="AC672" s="357"/>
    </row>
    <row r="673" spans="1:29" s="303" customFormat="1" ht="24" customHeight="1">
      <c r="A673" s="1342"/>
      <c r="B673" s="1145"/>
      <c r="C673" s="2904"/>
      <c r="D673" s="495"/>
      <c r="E673" s="496" t="s">
        <v>297</v>
      </c>
      <c r="F673" s="403">
        <f t="shared" ref="F673" si="258">Y673</f>
        <v>500</v>
      </c>
      <c r="G673" s="497">
        <v>500</v>
      </c>
      <c r="H673" s="404"/>
      <c r="I673" s="1127"/>
      <c r="J673" s="2899" t="s">
        <v>625</v>
      </c>
      <c r="K673" s="2357"/>
      <c r="L673" s="2357"/>
      <c r="M673" s="2357"/>
      <c r="N673" s="2357"/>
      <c r="O673" s="2357"/>
      <c r="P673" s="1128"/>
      <c r="Q673" s="372">
        <v>1</v>
      </c>
      <c r="R673" s="493" t="s">
        <v>4218</v>
      </c>
      <c r="S673" s="1314">
        <v>10000</v>
      </c>
      <c r="T673" s="344" t="s">
        <v>50</v>
      </c>
      <c r="U673" s="1675"/>
      <c r="V673" s="492">
        <v>50</v>
      </c>
      <c r="W673" s="2889" t="s">
        <v>265</v>
      </c>
      <c r="X673" s="1140" t="s">
        <v>1</v>
      </c>
      <c r="Y673" s="1674">
        <f t="shared" ref="Y673" si="259">Z673/1000</f>
        <v>500</v>
      </c>
      <c r="Z673" s="407">
        <f>Q673*S673*V673</f>
        <v>500000</v>
      </c>
      <c r="AA673" s="275"/>
      <c r="AB673" s="357"/>
      <c r="AC673" s="357"/>
    </row>
    <row r="674" spans="1:29" s="303" customFormat="1" ht="24" customHeight="1">
      <c r="A674" s="2627"/>
      <c r="B674" s="1145"/>
      <c r="C674" s="2651"/>
      <c r="D674" s="495"/>
      <c r="E674" s="496" t="s">
        <v>4028</v>
      </c>
      <c r="F674" s="403">
        <f t="shared" si="257"/>
        <v>1000</v>
      </c>
      <c r="G674" s="497">
        <v>1000</v>
      </c>
      <c r="H674" s="404"/>
      <c r="I674" s="1127"/>
      <c r="J674" s="2643" t="s">
        <v>4231</v>
      </c>
      <c r="K674" s="2357"/>
      <c r="L674" s="2357"/>
      <c r="M674" s="2357"/>
      <c r="N674" s="2357"/>
      <c r="O674" s="2357"/>
      <c r="P674" s="1128"/>
      <c r="Q674" s="372">
        <v>1</v>
      </c>
      <c r="R674" s="493" t="s">
        <v>4218</v>
      </c>
      <c r="S674" s="1314">
        <v>200000</v>
      </c>
      <c r="T674" s="344" t="s">
        <v>50</v>
      </c>
      <c r="U674" s="1675"/>
      <c r="V674" s="492">
        <v>5</v>
      </c>
      <c r="W674" s="2624" t="s">
        <v>3732</v>
      </c>
      <c r="X674" s="1140" t="s">
        <v>1</v>
      </c>
      <c r="Y674" s="1674">
        <f t="shared" si="255"/>
        <v>1000</v>
      </c>
      <c r="Z674" s="407">
        <f>Q674*S674*V674</f>
        <v>1000000</v>
      </c>
      <c r="AA674" s="275"/>
      <c r="AB674" s="357"/>
      <c r="AC674" s="357"/>
    </row>
    <row r="675" spans="1:29" s="1089" customFormat="1" ht="24" customHeight="1">
      <c r="A675" s="2633"/>
      <c r="B675" s="1684"/>
      <c r="C675" s="3395" t="s">
        <v>4232</v>
      </c>
      <c r="D675" s="3395"/>
      <c r="E675" s="3395"/>
      <c r="F675" s="1394">
        <f>F676</f>
        <v>100000</v>
      </c>
      <c r="G675" s="1394">
        <f>G676</f>
        <v>100000</v>
      </c>
      <c r="H675" s="1393">
        <f>F675-G675</f>
        <v>0</v>
      </c>
      <c r="I675" s="1467"/>
      <c r="J675" s="1119"/>
      <c r="K675" s="2640"/>
      <c r="L675" s="2640"/>
      <c r="M675" s="2640"/>
      <c r="N675" s="2640"/>
      <c r="O675" s="2640"/>
      <c r="P675" s="731"/>
      <c r="Q675" s="736"/>
      <c r="R675" s="1389"/>
      <c r="S675" s="1388"/>
      <c r="T675" s="1389"/>
      <c r="U675" s="2912"/>
      <c r="V675" s="1388"/>
      <c r="W675" s="2912"/>
      <c r="X675" s="869"/>
      <c r="Y675" s="1395"/>
      <c r="Z675" s="1395"/>
      <c r="AA675" s="515"/>
      <c r="AB675" s="705"/>
      <c r="AC675" s="705"/>
    </row>
    <row r="676" spans="1:29" s="303" customFormat="1" ht="24" customHeight="1">
      <c r="A676" s="2627"/>
      <c r="B676" s="1145"/>
      <c r="C676" s="2904"/>
      <c r="D676" s="3342" t="s">
        <v>4233</v>
      </c>
      <c r="E676" s="3343"/>
      <c r="F676" s="483">
        <f>SUM(F677:F705)</f>
        <v>100000</v>
      </c>
      <c r="G676" s="483">
        <f>SUM(G677:G705)</f>
        <v>100000</v>
      </c>
      <c r="H676" s="461">
        <f>F676-G676</f>
        <v>0</v>
      </c>
      <c r="I676" s="1342"/>
      <c r="J676" s="1135"/>
      <c r="K676" s="2896"/>
      <c r="L676" s="2896"/>
      <c r="M676" s="2896"/>
      <c r="N676" s="2896"/>
      <c r="O676" s="2896"/>
      <c r="P676" s="484"/>
      <c r="Q676" s="485"/>
      <c r="R676" s="486"/>
      <c r="S676" s="487"/>
      <c r="T676" s="1002"/>
      <c r="U676" s="1146"/>
      <c r="V676" s="487"/>
      <c r="W676" s="2876"/>
      <c r="X676" s="1138"/>
      <c r="Y676" s="545"/>
      <c r="Z676" s="1366"/>
      <c r="AA676" s="275"/>
      <c r="AB676" s="357"/>
      <c r="AC676" s="357"/>
    </row>
    <row r="677" spans="1:29" s="303" customFormat="1" ht="24" customHeight="1">
      <c r="A677" s="2627"/>
      <c r="B677" s="1145"/>
      <c r="C677" s="2904"/>
      <c r="D677" s="495"/>
      <c r="E677" s="498" t="s">
        <v>59</v>
      </c>
      <c r="F677" s="490">
        <f>Y677</f>
        <v>28750</v>
      </c>
      <c r="G677" s="490">
        <v>28750</v>
      </c>
      <c r="H677" s="404"/>
      <c r="I677" s="1127"/>
      <c r="J677" s="1780" t="s">
        <v>5658</v>
      </c>
      <c r="K677" s="1685"/>
      <c r="L677" s="1685"/>
      <c r="M677" s="1685"/>
      <c r="N677" s="1686"/>
      <c r="O677" s="1686"/>
      <c r="P677" s="1685"/>
      <c r="Q677" s="635"/>
      <c r="R677" s="1685"/>
      <c r="S677" s="1686"/>
      <c r="T677" s="1685"/>
      <c r="U677" s="1685"/>
      <c r="V677" s="1685"/>
      <c r="W677" s="1685"/>
      <c r="X677" s="1685"/>
      <c r="Y677" s="545">
        <f>+Z677/1000</f>
        <v>28750</v>
      </c>
      <c r="Z677" s="631">
        <f>+Z678+Z679</f>
        <v>28750000</v>
      </c>
      <c r="AA677" s="275"/>
      <c r="AB677" s="357"/>
      <c r="AC677" s="357"/>
    </row>
    <row r="678" spans="1:29" s="303" customFormat="1" ht="24" customHeight="1">
      <c r="A678" s="2627"/>
      <c r="B678" s="1145"/>
      <c r="C678" s="2904"/>
      <c r="D678" s="495"/>
      <c r="E678" s="498"/>
      <c r="F678" s="490"/>
      <c r="G678" s="490"/>
      <c r="H678" s="1147"/>
      <c r="I678" s="1127"/>
      <c r="J678" s="1780" t="s">
        <v>5659</v>
      </c>
      <c r="K678" s="1685"/>
      <c r="L678" s="1685"/>
      <c r="M678" s="1685"/>
      <c r="N678" s="1686"/>
      <c r="O678" s="1686"/>
      <c r="P678" s="1685"/>
      <c r="Q678" s="635">
        <v>1</v>
      </c>
      <c r="R678" s="1685" t="s">
        <v>5462</v>
      </c>
      <c r="S678" s="1686">
        <v>2500000</v>
      </c>
      <c r="T678" s="1685" t="s">
        <v>0</v>
      </c>
      <c r="U678" s="1685"/>
      <c r="V678" s="1685">
        <v>10</v>
      </c>
      <c r="W678" s="1685" t="s">
        <v>5553</v>
      </c>
      <c r="X678" s="1685" t="s">
        <v>1</v>
      </c>
      <c r="Y678" s="406">
        <f>+Z678/1000</f>
        <v>25000</v>
      </c>
      <c r="Z678" s="637">
        <f>Q678*S678*V678</f>
        <v>25000000</v>
      </c>
      <c r="AA678" s="275"/>
      <c r="AB678" s="357"/>
      <c r="AC678" s="357"/>
    </row>
    <row r="679" spans="1:29" s="303" customFormat="1" ht="24" customHeight="1">
      <c r="A679" s="2627"/>
      <c r="B679" s="1145"/>
      <c r="C679" s="2904"/>
      <c r="D679" s="495"/>
      <c r="E679" s="498"/>
      <c r="F679" s="490"/>
      <c r="G679" s="490"/>
      <c r="H679" s="1147"/>
      <c r="I679" s="1127"/>
      <c r="J679" s="1780" t="s">
        <v>5660</v>
      </c>
      <c r="K679" s="1685"/>
      <c r="L679" s="1685"/>
      <c r="M679" s="1685"/>
      <c r="N679" s="1686"/>
      <c r="O679" s="1686"/>
      <c r="P679" s="1685"/>
      <c r="Q679" s="635"/>
      <c r="R679" s="1685"/>
      <c r="S679" s="1672">
        <v>25000000</v>
      </c>
      <c r="T679" s="2900" t="s">
        <v>5454</v>
      </c>
      <c r="U679" s="2900"/>
      <c r="V679" s="856">
        <v>15</v>
      </c>
      <c r="W679" s="2900" t="s">
        <v>5661</v>
      </c>
      <c r="X679" s="1140" t="s">
        <v>5456</v>
      </c>
      <c r="Y679" s="406">
        <f>Z679/1000</f>
        <v>3750</v>
      </c>
      <c r="Z679" s="1098">
        <f>S679*V679%</f>
        <v>3750000</v>
      </c>
      <c r="AA679" s="275"/>
      <c r="AB679" s="357"/>
      <c r="AC679" s="357"/>
    </row>
    <row r="680" spans="1:29" s="303" customFormat="1" ht="24" customHeight="1">
      <c r="A680" s="2627"/>
      <c r="B680" s="1145"/>
      <c r="C680" s="2904"/>
      <c r="D680" s="495"/>
      <c r="E680" s="498" t="s">
        <v>199</v>
      </c>
      <c r="F680" s="490">
        <f>Y680</f>
        <v>2000</v>
      </c>
      <c r="G680" s="490">
        <v>2000</v>
      </c>
      <c r="H680" s="404"/>
      <c r="I680" s="1127"/>
      <c r="J680" s="1780" t="s">
        <v>5658</v>
      </c>
      <c r="K680" s="1685"/>
      <c r="L680" s="1685"/>
      <c r="M680" s="1685"/>
      <c r="N680" s="1686"/>
      <c r="O680" s="1686"/>
      <c r="P680" s="1685"/>
      <c r="Q680" s="1685"/>
      <c r="R680" s="1685"/>
      <c r="S680" s="1685">
        <v>20000</v>
      </c>
      <c r="T680" s="1685" t="s">
        <v>0</v>
      </c>
      <c r="U680" s="1685"/>
      <c r="V680" s="1685">
        <v>50</v>
      </c>
      <c r="W680" s="1685" t="s">
        <v>5455</v>
      </c>
      <c r="X680" s="1685" t="s">
        <v>1</v>
      </c>
      <c r="Y680" s="406">
        <f>+Z680/1000</f>
        <v>2000</v>
      </c>
      <c r="Z680" s="637">
        <f>SUM(Z681:Z682)</f>
        <v>2000000</v>
      </c>
      <c r="AA680" s="275"/>
      <c r="AB680" s="357"/>
      <c r="AC680" s="357"/>
    </row>
    <row r="681" spans="1:29" s="303" customFormat="1" ht="24" customHeight="1">
      <c r="A681" s="2627"/>
      <c r="B681" s="1145"/>
      <c r="C681" s="2904"/>
      <c r="D681" s="495"/>
      <c r="E681" s="498"/>
      <c r="F681" s="490"/>
      <c r="G681" s="490"/>
      <c r="H681" s="1147"/>
      <c r="I681" s="1127"/>
      <c r="J681" s="1780" t="s">
        <v>5662</v>
      </c>
      <c r="K681" s="1685"/>
      <c r="L681" s="1685"/>
      <c r="M681" s="1685"/>
      <c r="N681" s="1686"/>
      <c r="O681" s="1686"/>
      <c r="P681" s="1685"/>
      <c r="Q681" s="635"/>
      <c r="R681" s="1685"/>
      <c r="S681" s="1686">
        <v>20000</v>
      </c>
      <c r="T681" s="1685" t="s">
        <v>0</v>
      </c>
      <c r="U681" s="1685"/>
      <c r="V681" s="1685">
        <v>50</v>
      </c>
      <c r="W681" s="1685" t="s">
        <v>5455</v>
      </c>
      <c r="X681" s="1685" t="s">
        <v>1</v>
      </c>
      <c r="Y681" s="406">
        <f>+Z681/1000</f>
        <v>1000</v>
      </c>
      <c r="Z681" s="637">
        <f>S681*V681</f>
        <v>1000000</v>
      </c>
      <c r="AA681" s="275"/>
      <c r="AB681" s="357"/>
      <c r="AC681" s="357"/>
    </row>
    <row r="682" spans="1:29" s="303" customFormat="1" ht="24" customHeight="1">
      <c r="A682" s="2627"/>
      <c r="B682" s="1145"/>
      <c r="C682" s="2904"/>
      <c r="D682" s="495"/>
      <c r="E682" s="498"/>
      <c r="F682" s="490"/>
      <c r="G682" s="490"/>
      <c r="H682" s="1147"/>
      <c r="I682" s="1127"/>
      <c r="J682" s="1780" t="s">
        <v>5663</v>
      </c>
      <c r="K682" s="1685"/>
      <c r="L682" s="1685"/>
      <c r="M682" s="1685"/>
      <c r="N682" s="1686"/>
      <c r="O682" s="1686"/>
      <c r="P682" s="1685"/>
      <c r="Q682" s="635"/>
      <c r="R682" s="1685"/>
      <c r="S682" s="1672">
        <v>2000</v>
      </c>
      <c r="T682" s="2900" t="s">
        <v>5454</v>
      </c>
      <c r="U682" s="2900"/>
      <c r="V682" s="1685">
        <v>500</v>
      </c>
      <c r="W682" s="1685" t="s">
        <v>5455</v>
      </c>
      <c r="X682" s="1140" t="s">
        <v>5456</v>
      </c>
      <c r="Y682" s="406">
        <f>Z682/1000</f>
        <v>1000</v>
      </c>
      <c r="Z682" s="1098">
        <f>S682*V682</f>
        <v>1000000</v>
      </c>
      <c r="AA682" s="275"/>
      <c r="AB682" s="357"/>
      <c r="AC682" s="357"/>
    </row>
    <row r="683" spans="1:29" s="303" customFormat="1" ht="24" customHeight="1">
      <c r="A683" s="2627"/>
      <c r="B683" s="1145"/>
      <c r="C683" s="2904"/>
      <c r="D683" s="495"/>
      <c r="E683" s="498" t="s">
        <v>224</v>
      </c>
      <c r="F683" s="490">
        <f t="shared" ref="F683:F685" si="260">Y683</f>
        <v>850</v>
      </c>
      <c r="G683" s="490">
        <v>850</v>
      </c>
      <c r="H683" s="404"/>
      <c r="I683" s="1127"/>
      <c r="J683" s="1780" t="s">
        <v>5664</v>
      </c>
      <c r="K683" s="1685"/>
      <c r="L683" s="1685"/>
      <c r="M683" s="1685"/>
      <c r="N683" s="1686"/>
      <c r="O683" s="1686"/>
      <c r="P683" s="1685"/>
      <c r="Q683" s="1685"/>
      <c r="R683" s="1685"/>
      <c r="S683" s="1685">
        <v>850000</v>
      </c>
      <c r="T683" s="1685" t="s">
        <v>0</v>
      </c>
      <c r="U683" s="1685"/>
      <c r="V683" s="1685">
        <v>1</v>
      </c>
      <c r="W683" s="1685" t="s">
        <v>5457</v>
      </c>
      <c r="X683" s="1685" t="s">
        <v>1</v>
      </c>
      <c r="Y683" s="406">
        <f>+Z683/1000</f>
        <v>850</v>
      </c>
      <c r="Z683" s="637">
        <f>S683*V683</f>
        <v>850000</v>
      </c>
      <c r="AA683" s="275"/>
      <c r="AB683" s="357"/>
      <c r="AC683" s="357"/>
    </row>
    <row r="684" spans="1:29" s="303" customFormat="1" ht="24" customHeight="1">
      <c r="A684" s="1342"/>
      <c r="B684" s="1145"/>
      <c r="C684" s="2904"/>
      <c r="D684" s="495"/>
      <c r="E684" s="496" t="s">
        <v>195</v>
      </c>
      <c r="F684" s="490">
        <f t="shared" si="260"/>
        <v>2000</v>
      </c>
      <c r="G684" s="490">
        <v>2000</v>
      </c>
      <c r="H684" s="404"/>
      <c r="I684" s="1127"/>
      <c r="J684" s="1780" t="s">
        <v>5665</v>
      </c>
      <c r="K684" s="1685"/>
      <c r="L684" s="1685"/>
      <c r="M684" s="1685"/>
      <c r="N684" s="1686"/>
      <c r="O684" s="1686"/>
      <c r="P684" s="1685"/>
      <c r="Q684" s="1685">
        <v>2</v>
      </c>
      <c r="R684" s="1685" t="s">
        <v>5666</v>
      </c>
      <c r="S684" s="1685">
        <v>20000</v>
      </c>
      <c r="T684" s="1685" t="s">
        <v>0</v>
      </c>
      <c r="U684" s="1685"/>
      <c r="V684" s="1685">
        <v>50</v>
      </c>
      <c r="W684" s="1685" t="s">
        <v>5667</v>
      </c>
      <c r="X684" s="1685" t="s">
        <v>1</v>
      </c>
      <c r="Y684" s="406">
        <f>+Z684/1000</f>
        <v>2000</v>
      </c>
      <c r="Z684" s="637">
        <f>Q684*S684*V684</f>
        <v>2000000</v>
      </c>
      <c r="AA684" s="275"/>
      <c r="AB684" s="357"/>
      <c r="AC684" s="357"/>
    </row>
    <row r="685" spans="1:29" s="303" customFormat="1" ht="24" customHeight="1">
      <c r="A685" s="1342"/>
      <c r="B685" s="1145"/>
      <c r="C685" s="2904"/>
      <c r="D685" s="495"/>
      <c r="E685" s="496" t="s">
        <v>268</v>
      </c>
      <c r="F685" s="490">
        <f t="shared" si="260"/>
        <v>9000</v>
      </c>
      <c r="G685" s="490">
        <v>4000</v>
      </c>
      <c r="H685" s="404">
        <f>F685-G685</f>
        <v>5000</v>
      </c>
      <c r="I685" s="1127"/>
      <c r="J685" s="1780" t="s">
        <v>5668</v>
      </c>
      <c r="K685" s="1685"/>
      <c r="L685" s="1685"/>
      <c r="M685" s="1685"/>
      <c r="N685" s="1686"/>
      <c r="O685" s="1686"/>
      <c r="P685" s="1685"/>
      <c r="Q685" s="635"/>
      <c r="R685" s="1685"/>
      <c r="S685" s="1686"/>
      <c r="T685" s="1685"/>
      <c r="U685" s="1685"/>
      <c r="V685" s="1685"/>
      <c r="W685" s="1685"/>
      <c r="X685" s="1685"/>
      <c r="Y685" s="406">
        <f>+Z685/1000</f>
        <v>9000</v>
      </c>
      <c r="Z685" s="637">
        <f>Z686+Z687+Z688+Z689+Z690+Z691</f>
        <v>9000000</v>
      </c>
      <c r="AA685" s="275"/>
      <c r="AB685" s="357"/>
      <c r="AC685" s="357"/>
    </row>
    <row r="686" spans="1:29" s="303" customFormat="1" ht="24" customHeight="1">
      <c r="A686" s="1342"/>
      <c r="B686" s="1145"/>
      <c r="C686" s="2904"/>
      <c r="D686" s="495"/>
      <c r="E686" s="496"/>
      <c r="F686" s="490"/>
      <c r="G686" s="490"/>
      <c r="H686" s="1147"/>
      <c r="I686" s="1127"/>
      <c r="J686" s="1780" t="s">
        <v>5669</v>
      </c>
      <c r="K686" s="1685"/>
      <c r="L686" s="1685"/>
      <c r="M686" s="1685"/>
      <c r="N686" s="1686"/>
      <c r="O686" s="1686"/>
      <c r="P686" s="1685"/>
      <c r="Q686" s="635"/>
      <c r="R686" s="1685"/>
      <c r="S686" s="1686">
        <v>200000</v>
      </c>
      <c r="T686" s="1685" t="s">
        <v>0</v>
      </c>
      <c r="U686" s="1685"/>
      <c r="V686" s="1685">
        <v>10</v>
      </c>
      <c r="W686" s="1685" t="s">
        <v>5670</v>
      </c>
      <c r="X686" s="1685" t="s">
        <v>1</v>
      </c>
      <c r="Y686" s="406">
        <f>+Z686/1000</f>
        <v>2000</v>
      </c>
      <c r="Z686" s="637">
        <f t="shared" ref="Z686:Z690" si="261">S686*V686</f>
        <v>2000000</v>
      </c>
      <c r="AA686" s="275"/>
      <c r="AB686" s="357"/>
      <c r="AC686" s="357"/>
    </row>
    <row r="687" spans="1:29" s="303" customFormat="1" ht="24" customHeight="1">
      <c r="A687" s="2627"/>
      <c r="B687" s="1145"/>
      <c r="C687" s="2904"/>
      <c r="D687" s="495"/>
      <c r="E687" s="496"/>
      <c r="F687" s="490"/>
      <c r="G687" s="490"/>
      <c r="H687" s="1147"/>
      <c r="I687" s="1127"/>
      <c r="J687" s="1780" t="s">
        <v>5671</v>
      </c>
      <c r="K687" s="1685"/>
      <c r="L687" s="1685"/>
      <c r="M687" s="1685"/>
      <c r="N687" s="1686"/>
      <c r="O687" s="1686"/>
      <c r="P687" s="1685"/>
      <c r="Q687" s="635"/>
      <c r="R687" s="1685"/>
      <c r="S687" s="1686">
        <v>80000</v>
      </c>
      <c r="T687" s="1685" t="s">
        <v>0</v>
      </c>
      <c r="U687" s="1685"/>
      <c r="V687" s="1685">
        <v>10</v>
      </c>
      <c r="W687" s="1685" t="s">
        <v>5672</v>
      </c>
      <c r="X687" s="1685" t="s">
        <v>1</v>
      </c>
      <c r="Y687" s="406">
        <f>+Z687/1000</f>
        <v>800</v>
      </c>
      <c r="Z687" s="637">
        <f t="shared" si="261"/>
        <v>800000</v>
      </c>
      <c r="AA687" s="275"/>
      <c r="AB687" s="357"/>
      <c r="AC687" s="357"/>
    </row>
    <row r="688" spans="1:29" s="303" customFormat="1" ht="24" customHeight="1">
      <c r="A688" s="2627"/>
      <c r="B688" s="1145"/>
      <c r="C688" s="2904"/>
      <c r="D688" s="495"/>
      <c r="E688" s="496"/>
      <c r="F688" s="490"/>
      <c r="G688" s="490"/>
      <c r="H688" s="1147"/>
      <c r="I688" s="1127"/>
      <c r="J688" s="1780" t="s">
        <v>5673</v>
      </c>
      <c r="K688" s="1685"/>
      <c r="L688" s="1685"/>
      <c r="M688" s="1685"/>
      <c r="N688" s="1686"/>
      <c r="O688" s="1686"/>
      <c r="P688" s="1685"/>
      <c r="Q688" s="635"/>
      <c r="R688" s="1685"/>
      <c r="S688" s="1672">
        <v>500000</v>
      </c>
      <c r="T688" s="2900" t="s">
        <v>5674</v>
      </c>
      <c r="U688" s="2900"/>
      <c r="V688" s="1685">
        <v>1</v>
      </c>
      <c r="W688" s="1685" t="s">
        <v>5675</v>
      </c>
      <c r="X688" s="1140" t="s">
        <v>5676</v>
      </c>
      <c r="Y688" s="406">
        <f>Z688/1000</f>
        <v>500</v>
      </c>
      <c r="Z688" s="637">
        <f t="shared" si="261"/>
        <v>500000</v>
      </c>
      <c r="AA688" s="275"/>
      <c r="AB688" s="357"/>
      <c r="AC688" s="357"/>
    </row>
    <row r="689" spans="1:29" s="303" customFormat="1" ht="24" customHeight="1">
      <c r="A689" s="2627"/>
      <c r="B689" s="1145"/>
      <c r="C689" s="2904"/>
      <c r="D689" s="495"/>
      <c r="E689" s="496"/>
      <c r="F689" s="490"/>
      <c r="G689" s="490"/>
      <c r="H689" s="1147"/>
      <c r="I689" s="1127"/>
      <c r="J689" s="1780" t="s">
        <v>5677</v>
      </c>
      <c r="K689" s="1685"/>
      <c r="L689" s="1685"/>
      <c r="M689" s="1685"/>
      <c r="N689" s="1686"/>
      <c r="O689" s="1686"/>
      <c r="P689" s="1685"/>
      <c r="Q689" s="635"/>
      <c r="R689" s="1685"/>
      <c r="S689" s="1672">
        <v>50000</v>
      </c>
      <c r="T689" s="2900" t="s">
        <v>5678</v>
      </c>
      <c r="U689" s="2900"/>
      <c r="V689" s="1685">
        <v>10</v>
      </c>
      <c r="W689" s="1685" t="s">
        <v>5679</v>
      </c>
      <c r="X689" s="1140" t="s">
        <v>5676</v>
      </c>
      <c r="Y689" s="406">
        <f>Z689/1000</f>
        <v>500</v>
      </c>
      <c r="Z689" s="637">
        <f t="shared" si="261"/>
        <v>500000</v>
      </c>
      <c r="AA689" s="275"/>
      <c r="AB689" s="357"/>
      <c r="AC689" s="357"/>
    </row>
    <row r="690" spans="1:29" s="303" customFormat="1" ht="24" customHeight="1">
      <c r="A690" s="2627"/>
      <c r="B690" s="1145"/>
      <c r="C690" s="2904"/>
      <c r="D690" s="495"/>
      <c r="E690" s="496"/>
      <c r="F690" s="490"/>
      <c r="G690" s="490"/>
      <c r="H690" s="1147"/>
      <c r="I690" s="1127"/>
      <c r="J690" s="1780" t="s">
        <v>5680</v>
      </c>
      <c r="K690" s="1685"/>
      <c r="L690" s="1685"/>
      <c r="M690" s="1685"/>
      <c r="N690" s="1686"/>
      <c r="O690" s="1686"/>
      <c r="P690" s="1685"/>
      <c r="Q690" s="635"/>
      <c r="R690" s="1685"/>
      <c r="S690" s="1672">
        <v>200000</v>
      </c>
      <c r="T690" s="2900" t="s">
        <v>5678</v>
      </c>
      <c r="U690" s="2900"/>
      <c r="V690" s="1685">
        <v>1</v>
      </c>
      <c r="W690" s="1685" t="s">
        <v>5681</v>
      </c>
      <c r="X690" s="1140" t="s">
        <v>5682</v>
      </c>
      <c r="Y690" s="406">
        <f>Z690/1000</f>
        <v>200</v>
      </c>
      <c r="Z690" s="637">
        <f t="shared" si="261"/>
        <v>200000</v>
      </c>
      <c r="AA690" s="275"/>
      <c r="AB690" s="357"/>
      <c r="AC690" s="357"/>
    </row>
    <row r="691" spans="1:29" s="303" customFormat="1" ht="24" customHeight="1">
      <c r="A691" s="2627"/>
      <c r="B691" s="1145"/>
      <c r="C691" s="2904"/>
      <c r="D691" s="495"/>
      <c r="E691" s="496"/>
      <c r="F691" s="490"/>
      <c r="G691" s="490"/>
      <c r="H691" s="404"/>
      <c r="I691" s="1127"/>
      <c r="J691" s="1780" t="s">
        <v>5683</v>
      </c>
      <c r="K691" s="1685"/>
      <c r="L691" s="1685"/>
      <c r="M691" s="1685"/>
      <c r="N691" s="1686"/>
      <c r="O691" s="1686"/>
      <c r="P691" s="1685"/>
      <c r="Q691" s="635"/>
      <c r="R691" s="1685"/>
      <c r="S691" s="1672">
        <v>5000000</v>
      </c>
      <c r="T691" s="2900" t="s">
        <v>5684</v>
      </c>
      <c r="U691" s="2900"/>
      <c r="V691" s="1685">
        <v>1</v>
      </c>
      <c r="W691" s="1685" t="s">
        <v>5681</v>
      </c>
      <c r="X691" s="1140" t="s">
        <v>5682</v>
      </c>
      <c r="Y691" s="406">
        <f>Z691/1000</f>
        <v>5000</v>
      </c>
      <c r="Z691" s="637">
        <f>S691*V691</f>
        <v>5000000</v>
      </c>
      <c r="AA691" s="275"/>
      <c r="AB691" s="357"/>
      <c r="AC691" s="357"/>
    </row>
    <row r="692" spans="1:29" s="303" customFormat="1" ht="24" customHeight="1">
      <c r="A692" s="1342"/>
      <c r="B692" s="1145"/>
      <c r="C692" s="2904"/>
      <c r="D692" s="495"/>
      <c r="E692" s="496" t="s">
        <v>269</v>
      </c>
      <c r="F692" s="490">
        <f>Y692</f>
        <v>11800</v>
      </c>
      <c r="G692" s="490">
        <v>11800</v>
      </c>
      <c r="H692" s="1147"/>
      <c r="I692" s="1127"/>
      <c r="J692" s="1780" t="s">
        <v>5685</v>
      </c>
      <c r="K692" s="1685"/>
      <c r="L692" s="1685"/>
      <c r="M692" s="1685"/>
      <c r="N692" s="1686"/>
      <c r="O692" s="1686"/>
      <c r="P692" s="1685"/>
      <c r="Q692" s="635"/>
      <c r="R692" s="1685"/>
      <c r="S692" s="1672"/>
      <c r="T692" s="2900"/>
      <c r="U692" s="2900"/>
      <c r="V692" s="1685"/>
      <c r="W692" s="1685"/>
      <c r="X692" s="1140"/>
      <c r="Y692" s="406">
        <f>Z692/1000</f>
        <v>11800</v>
      </c>
      <c r="Z692" s="637">
        <f>Z693+Z694</f>
        <v>11800000</v>
      </c>
      <c r="AA692" s="275"/>
      <c r="AB692" s="357"/>
      <c r="AC692" s="357"/>
    </row>
    <row r="693" spans="1:29" s="303" customFormat="1" ht="24" customHeight="1">
      <c r="A693" s="1342"/>
      <c r="B693" s="1145"/>
      <c r="C693" s="2904"/>
      <c r="D693" s="495"/>
      <c r="E693" s="496"/>
      <c r="F693" s="490"/>
      <c r="G693" s="490"/>
      <c r="H693" s="1147"/>
      <c r="I693" s="1127"/>
      <c r="J693" s="1780" t="s">
        <v>5686</v>
      </c>
      <c r="K693" s="1685"/>
      <c r="L693" s="1685"/>
      <c r="M693" s="1685"/>
      <c r="N693" s="1686"/>
      <c r="O693" s="1686"/>
      <c r="P693" s="1685"/>
      <c r="Q693" s="1685">
        <v>3</v>
      </c>
      <c r="R693" s="1685" t="s">
        <v>5687</v>
      </c>
      <c r="S693" s="1686">
        <v>200000</v>
      </c>
      <c r="T693" s="1685" t="s">
        <v>0</v>
      </c>
      <c r="U693" s="1685"/>
      <c r="V693" s="1685">
        <v>3</v>
      </c>
      <c r="W693" s="1685" t="s">
        <v>5688</v>
      </c>
      <c r="X693" s="1685" t="s">
        <v>1</v>
      </c>
      <c r="Y693" s="406">
        <f>+Z693/1000</f>
        <v>1800</v>
      </c>
      <c r="Z693" s="1098">
        <f>Q693*S693*V693</f>
        <v>1800000</v>
      </c>
      <c r="AA693" s="275"/>
      <c r="AB693" s="357"/>
      <c r="AC693" s="357"/>
    </row>
    <row r="694" spans="1:29" s="303" customFormat="1" ht="24" customHeight="1">
      <c r="A694" s="2627"/>
      <c r="B694" s="1145"/>
      <c r="C694" s="2904"/>
      <c r="D694" s="495"/>
      <c r="E694" s="496"/>
      <c r="F694" s="490"/>
      <c r="G694" s="490"/>
      <c r="H694" s="404"/>
      <c r="I694" s="1127"/>
      <c r="J694" s="1780" t="s">
        <v>5689</v>
      </c>
      <c r="K694" s="1685"/>
      <c r="L694" s="1685"/>
      <c r="M694" s="1685"/>
      <c r="N694" s="1686"/>
      <c r="O694" s="1686"/>
      <c r="P694" s="1685"/>
      <c r="Q694" s="635"/>
      <c r="R694" s="1685"/>
      <c r="S694" s="1672">
        <v>100000000</v>
      </c>
      <c r="T694" s="2900" t="s">
        <v>5454</v>
      </c>
      <c r="U694" s="2900"/>
      <c r="V694" s="856">
        <v>10</v>
      </c>
      <c r="W694" s="2900" t="s">
        <v>5661</v>
      </c>
      <c r="X694" s="1140" t="s">
        <v>5456</v>
      </c>
      <c r="Y694" s="406">
        <f>Z694/1000</f>
        <v>10000</v>
      </c>
      <c r="Z694" s="1098">
        <f>S694*V694%</f>
        <v>10000000</v>
      </c>
      <c r="AA694" s="275"/>
      <c r="AB694" s="357"/>
      <c r="AC694" s="357"/>
    </row>
    <row r="695" spans="1:29" s="303" customFormat="1" ht="24" customHeight="1">
      <c r="A695" s="2892"/>
      <c r="B695" s="1145"/>
      <c r="C695" s="2904"/>
      <c r="D695" s="495"/>
      <c r="E695" s="498" t="s">
        <v>5704</v>
      </c>
      <c r="F695" s="490">
        <f t="shared" ref="F695:F696" si="262">Y695</f>
        <v>0</v>
      </c>
      <c r="G695" s="490">
        <v>5000</v>
      </c>
      <c r="H695" s="404">
        <f>F695-G695</f>
        <v>-5000</v>
      </c>
      <c r="I695" s="1127"/>
      <c r="J695" s="1780" t="s">
        <v>5705</v>
      </c>
      <c r="K695" s="1685"/>
      <c r="L695" s="1685"/>
      <c r="M695" s="1685"/>
      <c r="N695" s="1686"/>
      <c r="O695" s="1686"/>
      <c r="P695" s="1685"/>
      <c r="Q695" s="635"/>
      <c r="R695" s="1685"/>
      <c r="S695" s="1672"/>
      <c r="T695" s="2900"/>
      <c r="U695" s="2900"/>
      <c r="V695" s="856"/>
      <c r="W695" s="2900"/>
      <c r="X695" s="1140"/>
      <c r="Y695" s="406"/>
      <c r="Z695" s="637"/>
      <c r="AA695" s="275"/>
      <c r="AB695" s="357"/>
      <c r="AC695" s="357"/>
    </row>
    <row r="696" spans="1:29" s="303" customFormat="1" ht="24" customHeight="1">
      <c r="A696" s="2627"/>
      <c r="B696" s="1145"/>
      <c r="C696" s="2904"/>
      <c r="D696" s="495"/>
      <c r="E696" s="498" t="s">
        <v>223</v>
      </c>
      <c r="F696" s="490">
        <f t="shared" si="262"/>
        <v>6500</v>
      </c>
      <c r="G696" s="490">
        <v>6500</v>
      </c>
      <c r="H696" s="404"/>
      <c r="I696" s="1127"/>
      <c r="J696" s="2899" t="s">
        <v>5691</v>
      </c>
      <c r="K696" s="1685"/>
      <c r="L696" s="1685"/>
      <c r="M696" s="1685"/>
      <c r="N696" s="1686"/>
      <c r="O696" s="1686"/>
      <c r="P696" s="1685"/>
      <c r="Q696" s="635"/>
      <c r="R696" s="1685"/>
      <c r="S696" s="1672"/>
      <c r="T696" s="2900"/>
      <c r="U696" s="2900"/>
      <c r="V696" s="1685"/>
      <c r="W696" s="1685"/>
      <c r="X696" s="1140"/>
      <c r="Y696" s="406">
        <f>Z696/1000</f>
        <v>6500</v>
      </c>
      <c r="Z696" s="637">
        <f>SUM(Z697:Z698)</f>
        <v>6500000</v>
      </c>
      <c r="AA696" s="275"/>
      <c r="AB696" s="357"/>
      <c r="AC696" s="357"/>
    </row>
    <row r="697" spans="1:29" s="303" customFormat="1" ht="24" customHeight="1">
      <c r="A697" s="2627"/>
      <c r="B697" s="1145"/>
      <c r="C697" s="2904"/>
      <c r="D697" s="495"/>
      <c r="E697" s="498"/>
      <c r="F697" s="490"/>
      <c r="G697" s="490"/>
      <c r="H697" s="1147"/>
      <c r="I697" s="1127"/>
      <c r="J697" s="1780" t="s">
        <v>5692</v>
      </c>
      <c r="K697" s="1685"/>
      <c r="L697" s="1685"/>
      <c r="M697" s="1685"/>
      <c r="N697" s="1686"/>
      <c r="O697" s="1686"/>
      <c r="P697" s="1685"/>
      <c r="Q697" s="1685">
        <v>1</v>
      </c>
      <c r="R697" s="1685" t="s">
        <v>5693</v>
      </c>
      <c r="S697" s="1686">
        <v>500000</v>
      </c>
      <c r="T697" s="1685" t="s">
        <v>0</v>
      </c>
      <c r="U697" s="1685"/>
      <c r="V697" s="1685">
        <v>10</v>
      </c>
      <c r="W697" s="1685" t="s">
        <v>5694</v>
      </c>
      <c r="X697" s="1685" t="s">
        <v>1</v>
      </c>
      <c r="Y697" s="406">
        <f>+Z697/1000</f>
        <v>5000</v>
      </c>
      <c r="Z697" s="637">
        <f t="shared" ref="Z697" si="263">S697*V697</f>
        <v>5000000</v>
      </c>
      <c r="AA697" s="275"/>
      <c r="AB697" s="357"/>
      <c r="AC697" s="357"/>
    </row>
    <row r="698" spans="1:29" s="303" customFormat="1" ht="24" customHeight="1">
      <c r="A698" s="1342"/>
      <c r="B698" s="1145"/>
      <c r="C698" s="2904"/>
      <c r="D698" s="495"/>
      <c r="E698" s="496"/>
      <c r="F698" s="490"/>
      <c r="G698" s="490"/>
      <c r="H698" s="1147"/>
      <c r="I698" s="1127"/>
      <c r="J698" s="1780" t="s">
        <v>5695</v>
      </c>
      <c r="K698" s="1685"/>
      <c r="L698" s="1685"/>
      <c r="M698" s="1685"/>
      <c r="N698" s="1686"/>
      <c r="O698" s="1686"/>
      <c r="P698" s="1685"/>
      <c r="Q698" s="1685">
        <v>1</v>
      </c>
      <c r="R698" s="1685" t="s">
        <v>18</v>
      </c>
      <c r="S698" s="1672">
        <v>150000</v>
      </c>
      <c r="T698" s="2900" t="s">
        <v>5684</v>
      </c>
      <c r="U698" s="2900"/>
      <c r="V698" s="1685">
        <v>10</v>
      </c>
      <c r="W698" s="1685" t="s">
        <v>5670</v>
      </c>
      <c r="X698" s="1140" t="s">
        <v>5682</v>
      </c>
      <c r="Y698" s="406">
        <f>Z698/1000</f>
        <v>1500</v>
      </c>
      <c r="Z698" s="1098">
        <f>Q698*S698*V698</f>
        <v>1500000</v>
      </c>
      <c r="AA698" s="275"/>
      <c r="AB698" s="357"/>
      <c r="AC698" s="357"/>
    </row>
    <row r="699" spans="1:29" s="303" customFormat="1" ht="24" customHeight="1">
      <c r="A699" s="1342"/>
      <c r="B699" s="1145"/>
      <c r="C699" s="2904"/>
      <c r="D699" s="495"/>
      <c r="E699" s="496" t="s">
        <v>222</v>
      </c>
      <c r="F699" s="490">
        <f t="shared" ref="F699:F700" si="264">Y699</f>
        <v>5000</v>
      </c>
      <c r="G699" s="490">
        <v>5000</v>
      </c>
      <c r="H699" s="404"/>
      <c r="I699" s="1675"/>
      <c r="J699" s="2899" t="s">
        <v>5696</v>
      </c>
      <c r="K699" s="1685"/>
      <c r="L699" s="1685"/>
      <c r="M699" s="1685"/>
      <c r="N699" s="1686"/>
      <c r="O699" s="1686"/>
      <c r="P699" s="1685"/>
      <c r="Q699" s="635"/>
      <c r="R699" s="1685"/>
      <c r="S699" s="1672">
        <v>5000000</v>
      </c>
      <c r="T699" s="2900" t="s">
        <v>5690</v>
      </c>
      <c r="U699" s="2900"/>
      <c r="V699" s="1685">
        <v>1</v>
      </c>
      <c r="W699" s="1685" t="s">
        <v>5681</v>
      </c>
      <c r="X699" s="1140" t="s">
        <v>5682</v>
      </c>
      <c r="Y699" s="406">
        <f>Z699/1000</f>
        <v>5000</v>
      </c>
      <c r="Z699" s="637">
        <f t="shared" ref="Z699" si="265">S699*V699</f>
        <v>5000000</v>
      </c>
      <c r="AA699" s="275"/>
      <c r="AB699" s="357"/>
      <c r="AC699" s="357"/>
    </row>
    <row r="700" spans="1:29" s="303" customFormat="1" ht="24" customHeight="1">
      <c r="A700" s="1342"/>
      <c r="B700" s="1145"/>
      <c r="C700" s="437"/>
      <c r="D700" s="495"/>
      <c r="E700" s="496" t="s">
        <v>602</v>
      </c>
      <c r="F700" s="490">
        <f t="shared" si="264"/>
        <v>33600</v>
      </c>
      <c r="G700" s="490">
        <v>33600</v>
      </c>
      <c r="H700" s="404"/>
      <c r="I700" s="1675"/>
      <c r="J700" s="1780" t="s">
        <v>5668</v>
      </c>
      <c r="K700" s="1685"/>
      <c r="L700" s="1685"/>
      <c r="M700" s="1685"/>
      <c r="N700" s="1686"/>
      <c r="O700" s="1686"/>
      <c r="P700" s="1685"/>
      <c r="Q700" s="1685"/>
      <c r="R700" s="1685"/>
      <c r="S700" s="1685"/>
      <c r="T700" s="1685"/>
      <c r="U700" s="1685"/>
      <c r="V700" s="1685"/>
      <c r="W700" s="1685"/>
      <c r="X700" s="1685"/>
      <c r="Y700" s="406">
        <f>Z700/1000</f>
        <v>33600</v>
      </c>
      <c r="Z700" s="637">
        <f>SUM(Z701:Z704)</f>
        <v>33600000</v>
      </c>
      <c r="AA700" s="275"/>
      <c r="AB700" s="357"/>
      <c r="AC700" s="357"/>
    </row>
    <row r="701" spans="1:29" s="303" customFormat="1" ht="24" customHeight="1">
      <c r="A701" s="1342"/>
      <c r="B701" s="1145"/>
      <c r="C701" s="437"/>
      <c r="D701" s="495"/>
      <c r="E701" s="496"/>
      <c r="F701" s="490"/>
      <c r="G701" s="490"/>
      <c r="H701" s="1147"/>
      <c r="I701" s="1675"/>
      <c r="J701" s="1780" t="s">
        <v>5697</v>
      </c>
      <c r="K701" s="1685"/>
      <c r="L701" s="1685"/>
      <c r="M701" s="1685"/>
      <c r="N701" s="1686"/>
      <c r="O701" s="1686"/>
      <c r="P701" s="1685"/>
      <c r="Q701" s="1685"/>
      <c r="R701" s="1685"/>
      <c r="S701" s="1686">
        <v>1000000</v>
      </c>
      <c r="T701" s="1685" t="s">
        <v>0</v>
      </c>
      <c r="U701" s="1685"/>
      <c r="V701" s="1685">
        <v>8</v>
      </c>
      <c r="W701" s="1685" t="s">
        <v>5698</v>
      </c>
      <c r="X701" s="1685" t="s">
        <v>1</v>
      </c>
      <c r="Y701" s="406">
        <f>+Z701/1000</f>
        <v>8000</v>
      </c>
      <c r="Z701" s="637">
        <f>S701*V701</f>
        <v>8000000</v>
      </c>
      <c r="AA701" s="275"/>
      <c r="AB701" s="357"/>
      <c r="AC701" s="357"/>
    </row>
    <row r="702" spans="1:29" s="303" customFormat="1" ht="24" customHeight="1">
      <c r="A702" s="1342"/>
      <c r="B702" s="1145"/>
      <c r="C702" s="437"/>
      <c r="D702" s="495"/>
      <c r="E702" s="496"/>
      <c r="F702" s="490"/>
      <c r="G702" s="490"/>
      <c r="H702" s="1147"/>
      <c r="I702" s="1675"/>
      <c r="J702" s="1780" t="s">
        <v>5699</v>
      </c>
      <c r="K702" s="1685"/>
      <c r="L702" s="1685"/>
      <c r="M702" s="1685"/>
      <c r="N702" s="1686"/>
      <c r="O702" s="1686"/>
      <c r="P702" s="1685"/>
      <c r="Q702" s="1685"/>
      <c r="R702" s="1685"/>
      <c r="S702" s="1686">
        <v>3000000</v>
      </c>
      <c r="T702" s="1685" t="s">
        <v>0</v>
      </c>
      <c r="U702" s="1685"/>
      <c r="V702" s="1685">
        <v>6</v>
      </c>
      <c r="W702" s="1685" t="s">
        <v>5698</v>
      </c>
      <c r="X702" s="1685" t="s">
        <v>1</v>
      </c>
      <c r="Y702" s="406">
        <f>+Z702/1000</f>
        <v>18000</v>
      </c>
      <c r="Z702" s="637">
        <f t="shared" ref="Z702:Z704" si="266">S702*V702</f>
        <v>18000000</v>
      </c>
      <c r="AA702" s="275"/>
      <c r="AB702" s="357"/>
      <c r="AC702" s="357"/>
    </row>
    <row r="703" spans="1:29" s="303" customFormat="1" ht="24" customHeight="1">
      <c r="A703" s="2627"/>
      <c r="B703" s="1145"/>
      <c r="C703" s="2904"/>
      <c r="D703" s="495"/>
      <c r="E703" s="498"/>
      <c r="F703" s="490"/>
      <c r="G703" s="490"/>
      <c r="H703" s="1147"/>
      <c r="I703" s="1127"/>
      <c r="J703" s="1780" t="s">
        <v>5700</v>
      </c>
      <c r="K703" s="1685"/>
      <c r="L703" s="1685"/>
      <c r="M703" s="1685"/>
      <c r="N703" s="1686"/>
      <c r="O703" s="1686"/>
      <c r="P703" s="1685"/>
      <c r="Q703" s="1685"/>
      <c r="R703" s="1685"/>
      <c r="S703" s="1686">
        <v>3000000</v>
      </c>
      <c r="T703" s="1685" t="s">
        <v>0</v>
      </c>
      <c r="U703" s="1685"/>
      <c r="V703" s="1685">
        <v>2</v>
      </c>
      <c r="W703" s="1685" t="s">
        <v>5698</v>
      </c>
      <c r="X703" s="1685" t="s">
        <v>1</v>
      </c>
      <c r="Y703" s="406">
        <f>+Z703/1000</f>
        <v>6000</v>
      </c>
      <c r="Z703" s="637">
        <f t="shared" si="266"/>
        <v>6000000</v>
      </c>
      <c r="AA703" s="275"/>
      <c r="AB703" s="357"/>
      <c r="AC703" s="357"/>
    </row>
    <row r="704" spans="1:29" s="303" customFormat="1" ht="24" customHeight="1">
      <c r="A704" s="2627"/>
      <c r="B704" s="1145"/>
      <c r="C704" s="2904"/>
      <c r="D704" s="495"/>
      <c r="E704" s="498"/>
      <c r="F704" s="490"/>
      <c r="G704" s="490"/>
      <c r="H704" s="1147"/>
      <c r="I704" s="1127"/>
      <c r="J704" s="1780" t="s">
        <v>5701</v>
      </c>
      <c r="K704" s="1685"/>
      <c r="L704" s="1685"/>
      <c r="M704" s="1685"/>
      <c r="N704" s="1686"/>
      <c r="O704" s="1686"/>
      <c r="P704" s="1685"/>
      <c r="Q704" s="1685"/>
      <c r="R704" s="1685"/>
      <c r="S704" s="1686">
        <v>200000</v>
      </c>
      <c r="T704" s="1685" t="s">
        <v>0</v>
      </c>
      <c r="U704" s="1685"/>
      <c r="V704" s="1685">
        <v>8</v>
      </c>
      <c r="W704" s="1685" t="s">
        <v>5698</v>
      </c>
      <c r="X704" s="1685" t="s">
        <v>1</v>
      </c>
      <c r="Y704" s="406">
        <f>+Z704/1000</f>
        <v>1600</v>
      </c>
      <c r="Z704" s="637">
        <f t="shared" si="266"/>
        <v>1600000</v>
      </c>
      <c r="AA704" s="275"/>
      <c r="AB704" s="357"/>
      <c r="AC704" s="357"/>
    </row>
    <row r="705" spans="1:29" s="303" customFormat="1" ht="24" customHeight="1">
      <c r="A705" s="2627"/>
      <c r="B705" s="1145"/>
      <c r="C705" s="2904"/>
      <c r="D705" s="495"/>
      <c r="E705" s="498" t="s">
        <v>271</v>
      </c>
      <c r="F705" s="490">
        <f>Y705</f>
        <v>500</v>
      </c>
      <c r="G705" s="490">
        <v>500</v>
      </c>
      <c r="H705" s="404"/>
      <c r="I705" s="1127"/>
      <c r="J705" s="1780" t="s">
        <v>5702</v>
      </c>
      <c r="K705" s="1685"/>
      <c r="L705" s="1685"/>
      <c r="M705" s="1685"/>
      <c r="N705" s="1686"/>
      <c r="O705" s="1686"/>
      <c r="P705" s="1685"/>
      <c r="Q705" s="1685">
        <v>5</v>
      </c>
      <c r="R705" s="1685" t="s">
        <v>5703</v>
      </c>
      <c r="S705" s="1685">
        <v>20000</v>
      </c>
      <c r="T705" s="1685" t="s">
        <v>0</v>
      </c>
      <c r="U705" s="1685"/>
      <c r="V705" s="1685">
        <v>5</v>
      </c>
      <c r="W705" s="1685" t="s">
        <v>5698</v>
      </c>
      <c r="X705" s="1685" t="s">
        <v>1</v>
      </c>
      <c r="Y705" s="406">
        <f>+Z705/1000</f>
        <v>500</v>
      </c>
      <c r="Z705" s="637">
        <f>V705*S705*Q705</f>
        <v>500000</v>
      </c>
      <c r="AA705" s="275"/>
      <c r="AB705" s="357"/>
      <c r="AC705" s="357"/>
    </row>
    <row r="706" spans="1:29" s="1089" customFormat="1" ht="23.45" customHeight="1">
      <c r="A706" s="2633"/>
      <c r="B706" s="1684"/>
      <c r="C706" s="3395" t="s">
        <v>3335</v>
      </c>
      <c r="D706" s="3395"/>
      <c r="E706" s="3395"/>
      <c r="F706" s="1394">
        <f>F707</f>
        <v>120000</v>
      </c>
      <c r="G706" s="1394">
        <f>G707</f>
        <v>120000</v>
      </c>
      <c r="H706" s="1393">
        <f t="shared" ref="H706:H820" si="267">F706-G706</f>
        <v>0</v>
      </c>
      <c r="I706" s="1467"/>
      <c r="J706" s="1119"/>
      <c r="K706" s="2640"/>
      <c r="L706" s="2640"/>
      <c r="M706" s="2640"/>
      <c r="N706" s="2640"/>
      <c r="O706" s="2640"/>
      <c r="P706" s="731"/>
      <c r="Q706" s="736"/>
      <c r="R706" s="1389"/>
      <c r="S706" s="1388"/>
      <c r="T706" s="1389"/>
      <c r="U706" s="2607"/>
      <c r="V706" s="1388"/>
      <c r="W706" s="2607"/>
      <c r="X706" s="869"/>
      <c r="Y706" s="1395"/>
      <c r="Z706" s="1395"/>
      <c r="AA706" s="515"/>
      <c r="AB706" s="705"/>
      <c r="AC706" s="705"/>
    </row>
    <row r="707" spans="1:29" s="986" customFormat="1" ht="23.45" customHeight="1">
      <c r="A707" s="2627"/>
      <c r="B707" s="1145"/>
      <c r="C707" s="2651"/>
      <c r="D707" s="3387" t="s">
        <v>4236</v>
      </c>
      <c r="E707" s="3388"/>
      <c r="F707" s="1468">
        <f>SUM(F708:F727)</f>
        <v>120000</v>
      </c>
      <c r="G707" s="1468">
        <f>SUM(G708:G727)</f>
        <v>120000</v>
      </c>
      <c r="H707" s="1393">
        <f t="shared" si="267"/>
        <v>0</v>
      </c>
      <c r="I707" s="1127"/>
      <c r="J707" s="394"/>
      <c r="K707" s="2635"/>
      <c r="L707" s="2635"/>
      <c r="M707" s="2635"/>
      <c r="N707" s="2635"/>
      <c r="O707" s="2635"/>
      <c r="P707" s="484"/>
      <c r="Q707" s="487"/>
      <c r="R707" s="486"/>
      <c r="S707" s="487"/>
      <c r="T707" s="486"/>
      <c r="U707" s="1146"/>
      <c r="V707" s="487"/>
      <c r="W707" s="2598"/>
      <c r="X707" s="430"/>
      <c r="Y707" s="439"/>
      <c r="Z707" s="1469"/>
      <c r="AA707" s="275"/>
      <c r="AB707" s="1675"/>
      <c r="AC707" s="1675"/>
    </row>
    <row r="708" spans="1:29" s="986" customFormat="1" ht="23.45" customHeight="1">
      <c r="A708" s="2627"/>
      <c r="B708" s="1145"/>
      <c r="C708" s="470"/>
      <c r="D708" s="489"/>
      <c r="E708" s="350" t="s">
        <v>4039</v>
      </c>
      <c r="F708" s="353">
        <f>Y708</f>
        <v>27500</v>
      </c>
      <c r="G708" s="351">
        <v>27500</v>
      </c>
      <c r="H708" s="404"/>
      <c r="I708" s="1127"/>
      <c r="J708" s="1780" t="s">
        <v>1920</v>
      </c>
      <c r="K708" s="1685"/>
      <c r="L708" s="1685"/>
      <c r="M708" s="1685"/>
      <c r="N708" s="1686"/>
      <c r="O708" s="1686"/>
      <c r="P708" s="1685"/>
      <c r="Q708" s="635"/>
      <c r="R708" s="1685"/>
      <c r="S708" s="1686"/>
      <c r="T708" s="1685"/>
      <c r="U708" s="1685"/>
      <c r="V708" s="1685"/>
      <c r="W708" s="1685"/>
      <c r="X708" s="1685"/>
      <c r="Y708" s="406">
        <f t="shared" ref="Y708:Y727" si="268">+Z708/1000</f>
        <v>27500</v>
      </c>
      <c r="Z708" s="637">
        <f>+Z709+Z710</f>
        <v>27500000</v>
      </c>
      <c r="AA708" s="1472"/>
      <c r="AB708" s="1675"/>
      <c r="AC708" s="1675"/>
    </row>
    <row r="709" spans="1:29" s="986" customFormat="1" ht="23.45" customHeight="1">
      <c r="A709" s="2627"/>
      <c r="B709" s="1145"/>
      <c r="C709" s="470"/>
      <c r="D709" s="489"/>
      <c r="E709" s="1126"/>
      <c r="F709" s="1128"/>
      <c r="G709" s="337"/>
      <c r="H709" s="1147"/>
      <c r="I709" s="1127"/>
      <c r="J709" s="1780" t="s">
        <v>4237</v>
      </c>
      <c r="K709" s="1685"/>
      <c r="L709" s="1685"/>
      <c r="M709" s="1685"/>
      <c r="N709" s="1686"/>
      <c r="O709" s="1686"/>
      <c r="P709" s="1685"/>
      <c r="Q709" s="635">
        <v>1</v>
      </c>
      <c r="R709" s="1685" t="s">
        <v>4003</v>
      </c>
      <c r="S709" s="1686">
        <v>2500000</v>
      </c>
      <c r="T709" s="1685" t="s">
        <v>0</v>
      </c>
      <c r="U709" s="1685"/>
      <c r="V709" s="1685">
        <v>10</v>
      </c>
      <c r="W709" s="1685" t="s">
        <v>4004</v>
      </c>
      <c r="X709" s="1685" t="s">
        <v>1</v>
      </c>
      <c r="Y709" s="406">
        <f t="shared" si="268"/>
        <v>25000</v>
      </c>
      <c r="Z709" s="637">
        <f>Q709*S709*V709</f>
        <v>25000000</v>
      </c>
      <c r="AA709" s="1472"/>
      <c r="AB709" s="1675"/>
      <c r="AC709" s="1675"/>
    </row>
    <row r="710" spans="1:29" s="986" customFormat="1" ht="23.45" customHeight="1">
      <c r="A710" s="2627"/>
      <c r="B710" s="1145"/>
      <c r="C710" s="470"/>
      <c r="D710" s="489"/>
      <c r="E710" s="1126"/>
      <c r="F710" s="1128"/>
      <c r="G710" s="337"/>
      <c r="H710" s="1147"/>
      <c r="I710" s="1127"/>
      <c r="J710" s="1780" t="s">
        <v>4238</v>
      </c>
      <c r="K710" s="1685"/>
      <c r="L710" s="1685"/>
      <c r="M710" s="1685"/>
      <c r="N710" s="1686"/>
      <c r="O710" s="1686"/>
      <c r="P710" s="1685"/>
      <c r="Q710" s="635"/>
      <c r="R710" s="1685"/>
      <c r="S710" s="1666">
        <v>25000000</v>
      </c>
      <c r="T710" s="569" t="s">
        <v>3727</v>
      </c>
      <c r="U710" s="569"/>
      <c r="V710" s="2596">
        <v>10</v>
      </c>
      <c r="W710" s="569" t="s">
        <v>4007</v>
      </c>
      <c r="X710" s="1807" t="s">
        <v>3441</v>
      </c>
      <c r="Y710" s="406">
        <f t="shared" ref="Y710" si="269">Z710/1000</f>
        <v>2500</v>
      </c>
      <c r="Z710" s="1823">
        <f>S710*V710%</f>
        <v>2500000</v>
      </c>
      <c r="AA710" s="1472"/>
      <c r="AB710" s="1675"/>
      <c r="AC710" s="1675"/>
    </row>
    <row r="711" spans="1:29" s="986" customFormat="1" ht="23.45" customHeight="1">
      <c r="A711" s="2627"/>
      <c r="B711" s="1145"/>
      <c r="C711" s="470"/>
      <c r="D711" s="489"/>
      <c r="E711" s="1126" t="s">
        <v>4013</v>
      </c>
      <c r="F711" s="1128">
        <f>Y711</f>
        <v>330</v>
      </c>
      <c r="G711" s="337">
        <v>330</v>
      </c>
      <c r="H711" s="404"/>
      <c r="I711" s="1127"/>
      <c r="J711" s="1780" t="s">
        <v>5373</v>
      </c>
      <c r="K711" s="1685"/>
      <c r="L711" s="1685"/>
      <c r="M711" s="1685"/>
      <c r="N711" s="1686"/>
      <c r="O711" s="1686"/>
      <c r="P711" s="1685"/>
      <c r="Q711" s="1685"/>
      <c r="R711" s="1685"/>
      <c r="S711" s="1685">
        <v>330000</v>
      </c>
      <c r="T711" s="1685" t="s">
        <v>0</v>
      </c>
      <c r="U711" s="1685"/>
      <c r="V711" s="1685">
        <v>1</v>
      </c>
      <c r="W711" s="1685" t="s">
        <v>3440</v>
      </c>
      <c r="X711" s="1685" t="s">
        <v>1</v>
      </c>
      <c r="Y711" s="406">
        <f t="shared" ref="Y711" si="270">+Z711/1000</f>
        <v>330</v>
      </c>
      <c r="Z711" s="637">
        <f>S711*V711</f>
        <v>330000</v>
      </c>
      <c r="AA711" s="1472"/>
      <c r="AB711" s="1675"/>
      <c r="AC711" s="1675"/>
    </row>
    <row r="712" spans="1:29" s="986" customFormat="1" ht="23.45" customHeight="1">
      <c r="A712" s="2627"/>
      <c r="B712" s="1145"/>
      <c r="C712" s="470"/>
      <c r="D712" s="489"/>
      <c r="E712" s="1126" t="s">
        <v>4017</v>
      </c>
      <c r="F712" s="1128">
        <f t="shared" ref="F712:F717" si="271">Y712</f>
        <v>1000</v>
      </c>
      <c r="G712" s="337">
        <v>1000</v>
      </c>
      <c r="H712" s="404"/>
      <c r="I712" s="1127"/>
      <c r="J712" s="1780" t="s">
        <v>5374</v>
      </c>
      <c r="K712" s="1685"/>
      <c r="L712" s="1685"/>
      <c r="M712" s="1685"/>
      <c r="N712" s="1686"/>
      <c r="O712" s="1686"/>
      <c r="P712" s="1685"/>
      <c r="Q712" s="1685">
        <v>2</v>
      </c>
      <c r="R712" s="1685" t="s">
        <v>4003</v>
      </c>
      <c r="S712" s="1685">
        <v>50000</v>
      </c>
      <c r="T712" s="1685" t="s">
        <v>0</v>
      </c>
      <c r="U712" s="1685"/>
      <c r="V712" s="1685">
        <v>10</v>
      </c>
      <c r="W712" s="1685" t="s">
        <v>3732</v>
      </c>
      <c r="X712" s="1685" t="s">
        <v>1</v>
      </c>
      <c r="Y712" s="406">
        <f>+Z712/1000</f>
        <v>1000</v>
      </c>
      <c r="Z712" s="637">
        <f>Q712*S712*V712</f>
        <v>1000000</v>
      </c>
      <c r="AA712" s="1472"/>
      <c r="AB712" s="1675"/>
      <c r="AC712" s="1675"/>
    </row>
    <row r="713" spans="1:29" s="303" customFormat="1" ht="23.45" customHeight="1">
      <c r="A713" s="2892"/>
      <c r="B713" s="1145"/>
      <c r="C713" s="2904"/>
      <c r="D713" s="1312"/>
      <c r="E713" s="1313" t="s">
        <v>268</v>
      </c>
      <c r="F713" s="1128">
        <f t="shared" si="271"/>
        <v>2100</v>
      </c>
      <c r="G713" s="337">
        <v>2100</v>
      </c>
      <c r="H713" s="404"/>
      <c r="I713" s="1127"/>
      <c r="J713" s="1780" t="s">
        <v>1920</v>
      </c>
      <c r="K713" s="1685"/>
      <c r="L713" s="1685"/>
      <c r="M713" s="1685"/>
      <c r="N713" s="1686"/>
      <c r="O713" s="1686"/>
      <c r="P713" s="1685"/>
      <c r="Q713" s="1685"/>
      <c r="R713" s="1685"/>
      <c r="S713" s="1685"/>
      <c r="T713" s="1685"/>
      <c r="U713" s="1685"/>
      <c r="V713" s="1685"/>
      <c r="W713" s="1685"/>
      <c r="X713" s="1685"/>
      <c r="Y713" s="406">
        <f>Z713/1000</f>
        <v>2100</v>
      </c>
      <c r="Z713" s="637">
        <f>SUM(Z714:Z716)</f>
        <v>2100000</v>
      </c>
      <c r="AA713" s="275"/>
      <c r="AB713" s="357"/>
      <c r="AC713" s="357"/>
    </row>
    <row r="714" spans="1:29" s="986" customFormat="1" ht="23.45" customHeight="1">
      <c r="A714" s="2892"/>
      <c r="B714" s="1145"/>
      <c r="C714" s="470"/>
      <c r="D714" s="489"/>
      <c r="E714" s="1126"/>
      <c r="F714" s="1128"/>
      <c r="G714" s="337"/>
      <c r="H714" s="1147"/>
      <c r="I714" s="1127"/>
      <c r="J714" s="1780" t="s">
        <v>4245</v>
      </c>
      <c r="K714" s="1685"/>
      <c r="L714" s="1685"/>
      <c r="M714" s="1685"/>
      <c r="N714" s="1686"/>
      <c r="O714" s="1686"/>
      <c r="P714" s="1685"/>
      <c r="Q714" s="1685">
        <v>1</v>
      </c>
      <c r="R714" s="1685" t="s">
        <v>18</v>
      </c>
      <c r="S714" s="1686">
        <v>100000</v>
      </c>
      <c r="T714" s="1685" t="s">
        <v>0</v>
      </c>
      <c r="U714" s="1685"/>
      <c r="V714" s="1685">
        <v>10</v>
      </c>
      <c r="W714" s="1685" t="s">
        <v>49</v>
      </c>
      <c r="X714" s="1685" t="s">
        <v>1</v>
      </c>
      <c r="Y714" s="406">
        <f t="shared" ref="Y714:Y716" si="272">+Z714/1000</f>
        <v>1000</v>
      </c>
      <c r="Z714" s="637">
        <f t="shared" ref="Z714:Z716" si="273">+Q714*S714*V714</f>
        <v>1000000</v>
      </c>
      <c r="AA714" s="1472"/>
      <c r="AB714" s="1675"/>
      <c r="AC714" s="1675"/>
    </row>
    <row r="715" spans="1:29" s="986" customFormat="1" ht="23.45" customHeight="1">
      <c r="A715" s="2892"/>
      <c r="B715" s="1145"/>
      <c r="C715" s="470"/>
      <c r="D715" s="489"/>
      <c r="E715" s="1126"/>
      <c r="F715" s="1128"/>
      <c r="G715" s="337"/>
      <c r="H715" s="1147"/>
      <c r="I715" s="1127"/>
      <c r="J715" s="1780" t="s">
        <v>4246</v>
      </c>
      <c r="K715" s="1685"/>
      <c r="L715" s="1685"/>
      <c r="M715" s="1685"/>
      <c r="N715" s="1686"/>
      <c r="O715" s="1686"/>
      <c r="P715" s="1685"/>
      <c r="Q715" s="1685">
        <v>1</v>
      </c>
      <c r="R715" s="1685" t="s">
        <v>18</v>
      </c>
      <c r="S715" s="1686">
        <v>80000</v>
      </c>
      <c r="T715" s="1685" t="s">
        <v>0</v>
      </c>
      <c r="U715" s="1685"/>
      <c r="V715" s="1685">
        <v>10</v>
      </c>
      <c r="W715" s="1685" t="s">
        <v>49</v>
      </c>
      <c r="X715" s="1685" t="s">
        <v>1</v>
      </c>
      <c r="Y715" s="406">
        <f t="shared" si="272"/>
        <v>800</v>
      </c>
      <c r="Z715" s="637">
        <f t="shared" si="273"/>
        <v>800000</v>
      </c>
      <c r="AA715" s="275"/>
      <c r="AB715" s="1675"/>
      <c r="AC715" s="1675"/>
    </row>
    <row r="716" spans="1:29" s="986" customFormat="1" ht="23.45" customHeight="1">
      <c r="A716" s="2892"/>
      <c r="B716" s="1145"/>
      <c r="C716" s="470"/>
      <c r="D716" s="489"/>
      <c r="E716" s="1126"/>
      <c r="F716" s="1128"/>
      <c r="G716" s="337"/>
      <c r="H716" s="1147"/>
      <c r="I716" s="1127"/>
      <c r="J716" s="1780" t="s">
        <v>4247</v>
      </c>
      <c r="K716" s="1685"/>
      <c r="L716" s="1685"/>
      <c r="M716" s="1685"/>
      <c r="N716" s="1686"/>
      <c r="O716" s="1686"/>
      <c r="P716" s="1685"/>
      <c r="Q716" s="1685">
        <v>1</v>
      </c>
      <c r="R716" s="1685" t="s">
        <v>18</v>
      </c>
      <c r="S716" s="1686">
        <v>100000</v>
      </c>
      <c r="T716" s="1685" t="s">
        <v>0</v>
      </c>
      <c r="U716" s="1685"/>
      <c r="V716" s="1685">
        <v>3</v>
      </c>
      <c r="W716" s="1685" t="s">
        <v>265</v>
      </c>
      <c r="X716" s="1685" t="s">
        <v>1</v>
      </c>
      <c r="Y716" s="406">
        <f t="shared" si="272"/>
        <v>300</v>
      </c>
      <c r="Z716" s="637">
        <f t="shared" si="273"/>
        <v>300000</v>
      </c>
      <c r="AA716" s="275"/>
      <c r="AB716" s="1675"/>
      <c r="AC716" s="1675"/>
    </row>
    <row r="717" spans="1:29" s="986" customFormat="1" ht="23.45" customHeight="1">
      <c r="A717" s="2627"/>
      <c r="B717" s="1145"/>
      <c r="C717" s="470"/>
      <c r="D717" s="489"/>
      <c r="E717" s="1126" t="s">
        <v>4022</v>
      </c>
      <c r="F717" s="1128">
        <f t="shared" si="271"/>
        <v>3870</v>
      </c>
      <c r="G717" s="337">
        <v>3870</v>
      </c>
      <c r="H717" s="404"/>
      <c r="I717" s="1127"/>
      <c r="J717" s="1780" t="s">
        <v>1920</v>
      </c>
      <c r="K717" s="1685"/>
      <c r="L717" s="1685"/>
      <c r="M717" s="1685"/>
      <c r="N717" s="1686"/>
      <c r="O717" s="1686"/>
      <c r="P717" s="1685"/>
      <c r="Q717" s="635"/>
      <c r="R717" s="1685"/>
      <c r="S717" s="1686"/>
      <c r="T717" s="1685"/>
      <c r="U717" s="1685"/>
      <c r="V717" s="1685"/>
      <c r="W717" s="1685"/>
      <c r="X717" s="1685"/>
      <c r="Y717" s="406">
        <f t="shared" si="268"/>
        <v>3870</v>
      </c>
      <c r="Z717" s="637">
        <f>SUM(Z718:Z720)</f>
        <v>3870000</v>
      </c>
      <c r="AA717" s="1472"/>
      <c r="AB717" s="1675"/>
      <c r="AC717" s="1675"/>
    </row>
    <row r="718" spans="1:29" s="986" customFormat="1" ht="23.45" customHeight="1">
      <c r="A718" s="2627"/>
      <c r="B718" s="1145"/>
      <c r="C718" s="470"/>
      <c r="D718" s="489"/>
      <c r="E718" s="1126"/>
      <c r="F718" s="1128"/>
      <c r="G718" s="337"/>
      <c r="H718" s="1147"/>
      <c r="I718" s="1127"/>
      <c r="J718" s="1780" t="s">
        <v>4239</v>
      </c>
      <c r="K718" s="1685"/>
      <c r="L718" s="1685"/>
      <c r="M718" s="1685"/>
      <c r="N718" s="1686"/>
      <c r="O718" s="1686"/>
      <c r="P718" s="1685"/>
      <c r="Q718" s="635">
        <v>1</v>
      </c>
      <c r="R718" s="1685" t="s">
        <v>4003</v>
      </c>
      <c r="S718" s="1686">
        <v>15000</v>
      </c>
      <c r="T718" s="1685" t="s">
        <v>0</v>
      </c>
      <c r="U718" s="1685"/>
      <c r="V718" s="1685">
        <v>58</v>
      </c>
      <c r="W718" s="1685" t="s">
        <v>4074</v>
      </c>
      <c r="X718" s="1685" t="s">
        <v>1</v>
      </c>
      <c r="Y718" s="406">
        <f t="shared" si="268"/>
        <v>870</v>
      </c>
      <c r="Z718" s="637">
        <f>Q718*S718*V718</f>
        <v>870000</v>
      </c>
      <c r="AA718" s="1472"/>
      <c r="AB718" s="1675"/>
      <c r="AC718" s="1675"/>
    </row>
    <row r="719" spans="1:29" s="986" customFormat="1" ht="23.45" customHeight="1">
      <c r="A719" s="2627"/>
      <c r="B719" s="1145"/>
      <c r="C719" s="470"/>
      <c r="D719" s="489"/>
      <c r="E719" s="1126"/>
      <c r="F719" s="1128"/>
      <c r="G719" s="337"/>
      <c r="H719" s="1147"/>
      <c r="I719" s="1127"/>
      <c r="J719" s="1780" t="s">
        <v>4240</v>
      </c>
      <c r="K719" s="1685"/>
      <c r="L719" s="1685"/>
      <c r="M719" s="1685"/>
      <c r="N719" s="1686"/>
      <c r="O719" s="1686"/>
      <c r="P719" s="1685"/>
      <c r="Q719" s="635">
        <v>3</v>
      </c>
      <c r="R719" s="1685" t="s">
        <v>4003</v>
      </c>
      <c r="S719" s="1686">
        <v>200000</v>
      </c>
      <c r="T719" s="1685" t="s">
        <v>0</v>
      </c>
      <c r="U719" s="1685"/>
      <c r="V719" s="1685">
        <v>1</v>
      </c>
      <c r="W719" s="1685" t="s">
        <v>3732</v>
      </c>
      <c r="X719" s="1685" t="s">
        <v>1</v>
      </c>
      <c r="Y719" s="406">
        <f t="shared" si="268"/>
        <v>600</v>
      </c>
      <c r="Z719" s="637">
        <f>Q719*S719*V719</f>
        <v>600000</v>
      </c>
      <c r="AA719" s="1472"/>
      <c r="AB719" s="1675"/>
      <c r="AC719" s="1675"/>
    </row>
    <row r="720" spans="1:29" s="986" customFormat="1" ht="23.45" customHeight="1">
      <c r="A720" s="2627"/>
      <c r="B720" s="1145"/>
      <c r="C720" s="470"/>
      <c r="D720" s="489"/>
      <c r="E720" s="1126"/>
      <c r="F720" s="1128"/>
      <c r="G720" s="337"/>
      <c r="H720" s="1147"/>
      <c r="I720" s="1127"/>
      <c r="J720" s="1780" t="s">
        <v>4241</v>
      </c>
      <c r="K720" s="1685"/>
      <c r="L720" s="1685"/>
      <c r="M720" s="1685"/>
      <c r="N720" s="1686"/>
      <c r="O720" s="1686"/>
      <c r="P720" s="1685"/>
      <c r="Q720" s="635"/>
      <c r="R720" s="1685"/>
      <c r="S720" s="1666">
        <v>120000000</v>
      </c>
      <c r="T720" s="569" t="s">
        <v>3727</v>
      </c>
      <c r="U720" s="569"/>
      <c r="V720" s="2596">
        <v>2</v>
      </c>
      <c r="W720" s="569" t="s">
        <v>4007</v>
      </c>
      <c r="X720" s="1807" t="s">
        <v>3441</v>
      </c>
      <c r="Y720" s="406">
        <f t="shared" ref="Y720" si="274">Z720/1000</f>
        <v>2400</v>
      </c>
      <c r="Z720" s="1823">
        <f>S720*V720%</f>
        <v>2400000</v>
      </c>
      <c r="AA720" s="1472"/>
      <c r="AB720" s="1675"/>
      <c r="AC720" s="1675"/>
    </row>
    <row r="721" spans="1:29" s="986" customFormat="1" ht="23.45" customHeight="1">
      <c r="A721" s="2627"/>
      <c r="B721" s="1145"/>
      <c r="C721" s="470"/>
      <c r="D721" s="489"/>
      <c r="E721" s="1126" t="s">
        <v>3740</v>
      </c>
      <c r="F721" s="1128">
        <f>Y721</f>
        <v>78200</v>
      </c>
      <c r="G721" s="337">
        <v>78200</v>
      </c>
      <c r="H721" s="404"/>
      <c r="I721" s="1127"/>
      <c r="J721" s="2871" t="s">
        <v>194</v>
      </c>
      <c r="K721" s="1685"/>
      <c r="L721" s="1685"/>
      <c r="M721" s="1685"/>
      <c r="N721" s="1686"/>
      <c r="O721" s="1686"/>
      <c r="P721" s="1685"/>
      <c r="Q721" s="635"/>
      <c r="R721" s="1685"/>
      <c r="S721" s="1686"/>
      <c r="T721" s="1685"/>
      <c r="U721" s="1685"/>
      <c r="V721" s="1685"/>
      <c r="W721" s="1685"/>
      <c r="X721" s="1685"/>
      <c r="Y721" s="406">
        <f t="shared" si="268"/>
        <v>78200</v>
      </c>
      <c r="Z721" s="637">
        <f>SUM(Z722:Z724)</f>
        <v>78200000</v>
      </c>
      <c r="AA721" s="1472"/>
      <c r="AB721" s="1675"/>
      <c r="AC721" s="1675"/>
    </row>
    <row r="722" spans="1:29" s="986" customFormat="1" ht="23.45" customHeight="1">
      <c r="A722" s="2627"/>
      <c r="B722" s="1145"/>
      <c r="C722" s="470"/>
      <c r="D722" s="489"/>
      <c r="E722" s="1126"/>
      <c r="F722" s="1128"/>
      <c r="G722" s="337"/>
      <c r="H722" s="1147"/>
      <c r="I722" s="1127"/>
      <c r="J722" s="1780" t="s">
        <v>4242</v>
      </c>
      <c r="K722" s="1685"/>
      <c r="L722" s="1685"/>
      <c r="M722" s="1685"/>
      <c r="N722" s="1686"/>
      <c r="O722" s="1686"/>
      <c r="P722" s="1685"/>
      <c r="Q722" s="635"/>
      <c r="R722" s="1685"/>
      <c r="S722" s="1686">
        <v>10000000</v>
      </c>
      <c r="T722" s="1685" t="s">
        <v>0</v>
      </c>
      <c r="U722" s="1685"/>
      <c r="V722" s="1685">
        <v>1</v>
      </c>
      <c r="W722" s="1685" t="s">
        <v>3440</v>
      </c>
      <c r="X722" s="1685" t="s">
        <v>1</v>
      </c>
      <c r="Y722" s="406">
        <f t="shared" si="268"/>
        <v>10000</v>
      </c>
      <c r="Z722" s="637">
        <f t="shared" ref="Z722:Z723" si="275">S722*V722</f>
        <v>10000000</v>
      </c>
      <c r="AA722" s="1472"/>
      <c r="AB722" s="1675"/>
      <c r="AC722" s="1675"/>
    </row>
    <row r="723" spans="1:29" s="986" customFormat="1" ht="23.45" customHeight="1">
      <c r="A723" s="2627"/>
      <c r="B723" s="1145"/>
      <c r="C723" s="470"/>
      <c r="D723" s="489"/>
      <c r="E723" s="1126"/>
      <c r="F723" s="1128"/>
      <c r="G723" s="337"/>
      <c r="H723" s="1147"/>
      <c r="I723" s="1127"/>
      <c r="J723" s="1780" t="s">
        <v>4243</v>
      </c>
      <c r="K723" s="1685"/>
      <c r="L723" s="1685"/>
      <c r="M723" s="1685"/>
      <c r="N723" s="1686"/>
      <c r="O723" s="1686"/>
      <c r="P723" s="1685"/>
      <c r="Q723" s="635"/>
      <c r="R723" s="1685"/>
      <c r="S723" s="1686">
        <v>900000</v>
      </c>
      <c r="T723" s="1685" t="s">
        <v>0</v>
      </c>
      <c r="U723" s="1685"/>
      <c r="V723" s="1685">
        <v>58</v>
      </c>
      <c r="W723" s="1685" t="s">
        <v>3728</v>
      </c>
      <c r="X723" s="1685" t="s">
        <v>1</v>
      </c>
      <c r="Y723" s="406">
        <f t="shared" si="268"/>
        <v>52200</v>
      </c>
      <c r="Z723" s="637">
        <f t="shared" si="275"/>
        <v>52200000</v>
      </c>
      <c r="AA723" s="275"/>
      <c r="AB723" s="1675"/>
      <c r="AC723" s="1675"/>
    </row>
    <row r="724" spans="1:29" s="986" customFormat="1" ht="23.45" customHeight="1">
      <c r="A724" s="2627"/>
      <c r="B724" s="1145"/>
      <c r="C724" s="470"/>
      <c r="D724" s="489"/>
      <c r="E724" s="1126"/>
      <c r="F724" s="1128"/>
      <c r="G724" s="337"/>
      <c r="H724" s="1147"/>
      <c r="I724" s="1127"/>
      <c r="J724" s="1780" t="s">
        <v>4244</v>
      </c>
      <c r="K724" s="1685"/>
      <c r="L724" s="1685"/>
      <c r="M724" s="1685"/>
      <c r="N724" s="1686"/>
      <c r="O724" s="1686"/>
      <c r="P724" s="1685"/>
      <c r="Q724" s="635"/>
      <c r="R724" s="1685"/>
      <c r="S724" s="1686">
        <v>800000</v>
      </c>
      <c r="T724" s="1685" t="s">
        <v>0</v>
      </c>
      <c r="U724" s="1685"/>
      <c r="V724" s="1685">
        <v>20</v>
      </c>
      <c r="W724" s="1685" t="s">
        <v>3728</v>
      </c>
      <c r="X724" s="1685" t="s">
        <v>1</v>
      </c>
      <c r="Y724" s="406">
        <f t="shared" si="268"/>
        <v>16000</v>
      </c>
      <c r="Z724" s="637">
        <f>S724*V724</f>
        <v>16000000</v>
      </c>
      <c r="AA724" s="275"/>
      <c r="AB724" s="1675"/>
      <c r="AC724" s="1675"/>
    </row>
    <row r="725" spans="1:29" s="986" customFormat="1" ht="23.45" customHeight="1">
      <c r="A725" s="2627"/>
      <c r="B725" s="1145"/>
      <c r="C725" s="470"/>
      <c r="D725" s="489"/>
      <c r="E725" s="1126" t="s">
        <v>4032</v>
      </c>
      <c r="F725" s="1128">
        <f t="shared" ref="F725" si="276">Y725</f>
        <v>5000</v>
      </c>
      <c r="G725" s="337">
        <v>5000</v>
      </c>
      <c r="H725" s="404"/>
      <c r="I725" s="1127"/>
      <c r="J725" s="1780" t="s">
        <v>5375</v>
      </c>
      <c r="K725" s="1685"/>
      <c r="L725" s="1685"/>
      <c r="M725" s="1685"/>
      <c r="N725" s="1686"/>
      <c r="O725" s="1686"/>
      <c r="P725" s="1685"/>
      <c r="Q725" s="1685">
        <v>1</v>
      </c>
      <c r="R725" s="1685" t="s">
        <v>4172</v>
      </c>
      <c r="S725" s="1685">
        <v>500000</v>
      </c>
      <c r="T725" s="1685" t="s">
        <v>0</v>
      </c>
      <c r="U725" s="1685"/>
      <c r="V725" s="1685">
        <v>10</v>
      </c>
      <c r="W725" s="1685" t="s">
        <v>3732</v>
      </c>
      <c r="X725" s="1685" t="s">
        <v>1</v>
      </c>
      <c r="Y725" s="406">
        <f t="shared" si="268"/>
        <v>5000</v>
      </c>
      <c r="Z725" s="637">
        <f>Q725*S725*V725</f>
        <v>5000000</v>
      </c>
      <c r="AA725" s="1472"/>
      <c r="AB725" s="1675"/>
      <c r="AC725" s="1675"/>
    </row>
    <row r="726" spans="1:29" s="986" customFormat="1" ht="23.45" customHeight="1">
      <c r="A726" s="2627"/>
      <c r="B726" s="1145"/>
      <c r="C726" s="470"/>
      <c r="D726" s="489"/>
      <c r="E726" s="1126" t="s">
        <v>4026</v>
      </c>
      <c r="F726" s="1128">
        <f t="shared" ref="F726:F727" si="277">Y726</f>
        <v>1000</v>
      </c>
      <c r="G726" s="337">
        <v>1000</v>
      </c>
      <c r="H726" s="404"/>
      <c r="I726" s="1127"/>
      <c r="J726" s="1780" t="s">
        <v>5376</v>
      </c>
      <c r="K726" s="1685"/>
      <c r="L726" s="1685"/>
      <c r="M726" s="1685"/>
      <c r="N726" s="1686"/>
      <c r="O726" s="1686"/>
      <c r="P726" s="1685"/>
      <c r="Q726" s="1685">
        <v>5</v>
      </c>
      <c r="R726" s="1685" t="s">
        <v>4003</v>
      </c>
      <c r="S726" s="1685">
        <v>20000</v>
      </c>
      <c r="T726" s="1685" t="s">
        <v>0</v>
      </c>
      <c r="U726" s="1685"/>
      <c r="V726" s="1685">
        <v>10</v>
      </c>
      <c r="W726" s="1685" t="s">
        <v>3732</v>
      </c>
      <c r="X726" s="1685" t="s">
        <v>1</v>
      </c>
      <c r="Y726" s="406">
        <f t="shared" si="268"/>
        <v>1000</v>
      </c>
      <c r="Z726" s="637">
        <f>Q726*S726*V726</f>
        <v>1000000</v>
      </c>
      <c r="AA726" s="275"/>
      <c r="AB726" s="1675"/>
      <c r="AC726" s="1675"/>
    </row>
    <row r="727" spans="1:29" s="303" customFormat="1" ht="23.45" customHeight="1">
      <c r="A727" s="1342"/>
      <c r="B727" s="1145"/>
      <c r="C727" s="2651"/>
      <c r="D727" s="495"/>
      <c r="E727" s="496" t="s">
        <v>4028</v>
      </c>
      <c r="F727" s="1128">
        <f t="shared" si="277"/>
        <v>1000</v>
      </c>
      <c r="G727" s="490">
        <v>1000</v>
      </c>
      <c r="H727" s="404"/>
      <c r="I727" s="1127"/>
      <c r="J727" s="1780" t="s">
        <v>5377</v>
      </c>
      <c r="K727" s="1685"/>
      <c r="L727" s="1685"/>
      <c r="M727" s="1685"/>
      <c r="N727" s="1686"/>
      <c r="O727" s="1686"/>
      <c r="P727" s="1685"/>
      <c r="Q727" s="1685">
        <v>5</v>
      </c>
      <c r="R727" s="1685" t="s">
        <v>4003</v>
      </c>
      <c r="S727" s="1685">
        <v>20000</v>
      </c>
      <c r="T727" s="1685" t="s">
        <v>0</v>
      </c>
      <c r="U727" s="1685"/>
      <c r="V727" s="1685">
        <v>10</v>
      </c>
      <c r="W727" s="1685" t="s">
        <v>3732</v>
      </c>
      <c r="X727" s="1685" t="s">
        <v>1</v>
      </c>
      <c r="Y727" s="406">
        <f t="shared" si="268"/>
        <v>1000</v>
      </c>
      <c r="Z727" s="637">
        <f>Q727*S727*V727</f>
        <v>1000000</v>
      </c>
      <c r="AA727" s="275"/>
      <c r="AB727" s="357"/>
      <c r="AC727" s="357"/>
    </row>
    <row r="728" spans="1:29" s="1089" customFormat="1" ht="23.45" customHeight="1">
      <c r="A728" s="2867"/>
      <c r="B728" s="1684"/>
      <c r="C728" s="3530" t="s">
        <v>5369</v>
      </c>
      <c r="D728" s="3531"/>
      <c r="E728" s="3532"/>
      <c r="F728" s="1394">
        <f>F729+F733+F739</f>
        <v>200000</v>
      </c>
      <c r="G728" s="1394">
        <f>G729+G733+G739</f>
        <v>0</v>
      </c>
      <c r="H728" s="1393">
        <f t="shared" ref="H728:H729" si="278">F728-G728</f>
        <v>200000</v>
      </c>
      <c r="I728" s="1164"/>
      <c r="J728" s="1119"/>
      <c r="K728" s="2640"/>
      <c r="L728" s="2640"/>
      <c r="M728" s="2640"/>
      <c r="N728" s="2640"/>
      <c r="O728" s="2640"/>
      <c r="P728" s="731"/>
      <c r="Q728" s="736"/>
      <c r="R728" s="1389"/>
      <c r="S728" s="1388"/>
      <c r="T728" s="1389"/>
      <c r="U728" s="2607"/>
      <c r="V728" s="1388"/>
      <c r="W728" s="2607"/>
      <c r="X728" s="869"/>
      <c r="Y728" s="1395"/>
      <c r="Z728" s="1395"/>
      <c r="AA728" s="515"/>
      <c r="AB728" s="705"/>
      <c r="AC728" s="705"/>
    </row>
    <row r="729" spans="1:29" s="986" customFormat="1" ht="23.45" customHeight="1">
      <c r="A729" s="2868"/>
      <c r="B729" s="1145"/>
      <c r="C729" s="2873"/>
      <c r="D729" s="3387" t="s">
        <v>5762</v>
      </c>
      <c r="E729" s="3533"/>
      <c r="F729" s="1468">
        <f>SUM(F730:F732)</f>
        <v>47500</v>
      </c>
      <c r="G729" s="1468">
        <f>SUM(G730:G732)</f>
        <v>0</v>
      </c>
      <c r="H729" s="1393">
        <f t="shared" si="278"/>
        <v>47500</v>
      </c>
      <c r="I729" s="1127"/>
      <c r="J729" s="394"/>
      <c r="K729" s="2865"/>
      <c r="L729" s="2865"/>
      <c r="M729" s="2865"/>
      <c r="N729" s="2865"/>
      <c r="O729" s="2865"/>
      <c r="P729" s="484"/>
      <c r="Q729" s="487"/>
      <c r="R729" s="486"/>
      <c r="S729" s="487"/>
      <c r="T729" s="486"/>
      <c r="U729" s="1146"/>
      <c r="V729" s="487"/>
      <c r="W729" s="2860"/>
      <c r="X729" s="430"/>
      <c r="Y729" s="439"/>
      <c r="Z729" s="1469"/>
      <c r="AA729" s="275"/>
      <c r="AB729" s="1675"/>
      <c r="AC729" s="1675"/>
    </row>
    <row r="730" spans="1:29" s="986" customFormat="1" ht="23.45" customHeight="1">
      <c r="A730" s="2868"/>
      <c r="B730" s="1145"/>
      <c r="C730" s="470"/>
      <c r="D730" s="489"/>
      <c r="E730" s="350" t="s">
        <v>5380</v>
      </c>
      <c r="F730" s="978">
        <f>Y730</f>
        <v>5000</v>
      </c>
      <c r="G730" s="351"/>
      <c r="H730" s="1147"/>
      <c r="I730" s="1127"/>
      <c r="J730" s="1780" t="s">
        <v>5371</v>
      </c>
      <c r="K730" s="1685"/>
      <c r="L730" s="1685"/>
      <c r="M730" s="1685"/>
      <c r="N730" s="1686"/>
      <c r="O730" s="1686"/>
      <c r="P730" s="1685"/>
      <c r="Q730" s="635"/>
      <c r="R730" s="1685"/>
      <c r="S730" s="1685">
        <v>5000000</v>
      </c>
      <c r="T730" s="1685" t="s">
        <v>0</v>
      </c>
      <c r="U730" s="1685"/>
      <c r="V730" s="1685">
        <v>1</v>
      </c>
      <c r="W730" s="1685" t="s">
        <v>196</v>
      </c>
      <c r="X730" s="1685" t="s">
        <v>1</v>
      </c>
      <c r="Y730" s="406">
        <f t="shared" ref="Y730" si="279">+Z730/1000</f>
        <v>5000</v>
      </c>
      <c r="Z730" s="637">
        <f t="shared" ref="Z730" si="280">S730*V730</f>
        <v>5000000</v>
      </c>
      <c r="AA730" s="1472"/>
      <c r="AB730" s="1675"/>
      <c r="AC730" s="1675"/>
    </row>
    <row r="731" spans="1:29" s="986" customFormat="1" ht="23.45" customHeight="1">
      <c r="A731" s="2868"/>
      <c r="B731" s="1145"/>
      <c r="C731" s="470"/>
      <c r="D731" s="489"/>
      <c r="E731" s="1126" t="s">
        <v>5382</v>
      </c>
      <c r="F731" s="1141">
        <f t="shared" ref="F731:F732" si="281">Y731</f>
        <v>40000</v>
      </c>
      <c r="G731" s="337"/>
      <c r="H731" s="404"/>
      <c r="I731" s="1127"/>
      <c r="J731" s="1780" t="s">
        <v>5378</v>
      </c>
      <c r="K731" s="1685"/>
      <c r="L731" s="1685"/>
      <c r="M731" s="1685"/>
      <c r="N731" s="1686"/>
      <c r="O731" s="1686"/>
      <c r="P731" s="1685"/>
      <c r="Q731" s="635"/>
      <c r="R731" s="1685"/>
      <c r="S731" s="1685">
        <v>40000000</v>
      </c>
      <c r="T731" s="1685" t="s">
        <v>0</v>
      </c>
      <c r="U731" s="1685"/>
      <c r="V731" s="1685">
        <v>1</v>
      </c>
      <c r="W731" s="1685" t="s">
        <v>196</v>
      </c>
      <c r="X731" s="1685" t="s">
        <v>1</v>
      </c>
      <c r="Y731" s="406">
        <f t="shared" ref="Y731:Y732" si="282">+Z731/1000</f>
        <v>40000</v>
      </c>
      <c r="Z731" s="637">
        <f t="shared" ref="Z731" si="283">S731*V731</f>
        <v>40000000</v>
      </c>
      <c r="AA731" s="1472"/>
      <c r="AB731" s="1675"/>
      <c r="AC731" s="1675"/>
    </row>
    <row r="732" spans="1:29" s="986" customFormat="1" ht="23.45" customHeight="1">
      <c r="A732" s="2868"/>
      <c r="B732" s="1145"/>
      <c r="C732" s="470"/>
      <c r="D732" s="489"/>
      <c r="E732" s="1126" t="s">
        <v>5381</v>
      </c>
      <c r="F732" s="1128">
        <f t="shared" si="281"/>
        <v>2500</v>
      </c>
      <c r="G732" s="337"/>
      <c r="H732" s="1147"/>
      <c r="I732" s="1127"/>
      <c r="J732" s="1780" t="s">
        <v>5379</v>
      </c>
      <c r="K732" s="1685"/>
      <c r="L732" s="1685"/>
      <c r="M732" s="1685"/>
      <c r="N732" s="1686"/>
      <c r="O732" s="1686"/>
      <c r="P732" s="1685"/>
      <c r="Q732" s="635"/>
      <c r="R732" s="1685"/>
      <c r="S732" s="1685">
        <v>500000</v>
      </c>
      <c r="T732" s="1685" t="s">
        <v>0</v>
      </c>
      <c r="U732" s="1685"/>
      <c r="V732" s="1685">
        <v>5</v>
      </c>
      <c r="W732" s="1685" t="s">
        <v>265</v>
      </c>
      <c r="X732" s="1685" t="s">
        <v>1</v>
      </c>
      <c r="Y732" s="406">
        <f t="shared" si="282"/>
        <v>2500</v>
      </c>
      <c r="Z732" s="637">
        <f>S732*V732</f>
        <v>2500000</v>
      </c>
      <c r="AA732" s="1472"/>
      <c r="AB732" s="1675"/>
      <c r="AC732" s="1675"/>
    </row>
    <row r="733" spans="1:29" s="986" customFormat="1" ht="23.45" customHeight="1">
      <c r="A733" s="2868"/>
      <c r="B733" s="1145"/>
      <c r="C733" s="470"/>
      <c r="D733" s="3387" t="s">
        <v>5370</v>
      </c>
      <c r="E733" s="3388"/>
      <c r="F733" s="1468">
        <f>SUM(F734:F738)</f>
        <v>38000</v>
      </c>
      <c r="G733" s="1468">
        <f>SUM(G734:G738)</f>
        <v>0</v>
      </c>
      <c r="H733" s="1393">
        <f t="shared" ref="H733" si="284">F733-G733</f>
        <v>38000</v>
      </c>
      <c r="I733" s="1127"/>
      <c r="J733" s="757"/>
      <c r="K733" s="717"/>
      <c r="L733" s="717"/>
      <c r="M733" s="717"/>
      <c r="N733" s="718"/>
      <c r="O733" s="718"/>
      <c r="P733" s="717"/>
      <c r="Q733" s="717"/>
      <c r="R733" s="717"/>
      <c r="S733" s="717"/>
      <c r="T733" s="717"/>
      <c r="U733" s="717"/>
      <c r="V733" s="717"/>
      <c r="W733" s="717"/>
      <c r="X733" s="717"/>
      <c r="Y733" s="431"/>
      <c r="Z733" s="719">
        <f>S733*V733</f>
        <v>0</v>
      </c>
      <c r="AA733" s="1472"/>
      <c r="AB733" s="1675"/>
      <c r="AC733" s="1675"/>
    </row>
    <row r="734" spans="1:29" s="986" customFormat="1" ht="23.45" customHeight="1">
      <c r="A734" s="2868"/>
      <c r="B734" s="1145"/>
      <c r="C734" s="470"/>
      <c r="D734" s="489"/>
      <c r="E734" s="2913" t="s">
        <v>5382</v>
      </c>
      <c r="F734" s="978">
        <f t="shared" ref="F734" si="285">Y734</f>
        <v>17500</v>
      </c>
      <c r="G734" s="351"/>
      <c r="H734" s="1147"/>
      <c r="I734" s="1127"/>
      <c r="J734" s="1678" t="s">
        <v>5386</v>
      </c>
      <c r="K734" s="1066"/>
      <c r="L734" s="1066"/>
      <c r="M734" s="1066"/>
      <c r="N734" s="1066"/>
      <c r="O734" s="1686"/>
      <c r="P734" s="1685"/>
      <c r="Q734" s="635"/>
      <c r="R734" s="1685"/>
      <c r="S734" s="1685">
        <v>17500000</v>
      </c>
      <c r="T734" s="1685" t="s">
        <v>0</v>
      </c>
      <c r="U734" s="1685"/>
      <c r="V734" s="1685">
        <v>1</v>
      </c>
      <c r="W734" s="1685" t="s">
        <v>196</v>
      </c>
      <c r="X734" s="1685" t="s">
        <v>1</v>
      </c>
      <c r="Y734" s="406">
        <f t="shared" ref="Y734" si="286">+Z734/1000</f>
        <v>17500</v>
      </c>
      <c r="Z734" s="637">
        <f>S734*V734</f>
        <v>17500000</v>
      </c>
      <c r="AA734" s="1472"/>
      <c r="AB734" s="1675"/>
      <c r="AC734" s="1675"/>
    </row>
    <row r="735" spans="1:29" s="986" customFormat="1" ht="23.45" customHeight="1">
      <c r="A735" s="2868"/>
      <c r="B735" s="1145"/>
      <c r="C735" s="470"/>
      <c r="D735" s="489"/>
      <c r="E735" s="1466" t="s">
        <v>5384</v>
      </c>
      <c r="F735" s="1141">
        <f>Y735</f>
        <v>20000</v>
      </c>
      <c r="G735" s="337"/>
      <c r="H735" s="404"/>
      <c r="I735" s="1127"/>
      <c r="J735" s="1678" t="s">
        <v>5385</v>
      </c>
      <c r="K735" s="1066"/>
      <c r="L735" s="1066"/>
      <c r="M735" s="1066"/>
      <c r="N735" s="1066"/>
      <c r="O735" s="1686"/>
      <c r="P735" s="1685"/>
      <c r="Q735" s="1685"/>
      <c r="R735" s="1685"/>
      <c r="S735" s="1685"/>
      <c r="T735" s="1685"/>
      <c r="U735" s="1685"/>
      <c r="V735" s="1685"/>
      <c r="W735" s="1685"/>
      <c r="X735" s="1685"/>
      <c r="Y735" s="406">
        <f>Z735/1000</f>
        <v>20000</v>
      </c>
      <c r="Z735" s="637">
        <f>Z736+Z737</f>
        <v>20000000</v>
      </c>
      <c r="AA735" s="1472"/>
      <c r="AB735" s="1675"/>
      <c r="AC735" s="1675"/>
    </row>
    <row r="736" spans="1:29" s="986" customFormat="1" ht="23.45" customHeight="1">
      <c r="A736" s="2868"/>
      <c r="B736" s="1145"/>
      <c r="C736" s="470"/>
      <c r="D736" s="489"/>
      <c r="E736" s="1466"/>
      <c r="F736" s="1128"/>
      <c r="G736" s="337"/>
      <c r="H736" s="1147"/>
      <c r="I736" s="1127"/>
      <c r="J736" s="1678" t="s">
        <v>5743</v>
      </c>
      <c r="K736" s="1066"/>
      <c r="L736" s="1066"/>
      <c r="M736" s="1066"/>
      <c r="N736" s="1066"/>
      <c r="O736" s="1686"/>
      <c r="P736" s="1685"/>
      <c r="Q736" s="635"/>
      <c r="R736" s="1685"/>
      <c r="S736" s="1685">
        <v>10000000</v>
      </c>
      <c r="T736" s="1685" t="s">
        <v>0</v>
      </c>
      <c r="U736" s="1685"/>
      <c r="V736" s="1685">
        <v>1</v>
      </c>
      <c r="W736" s="1685" t="s">
        <v>196</v>
      </c>
      <c r="X736" s="1685" t="s">
        <v>1</v>
      </c>
      <c r="Y736" s="406">
        <f t="shared" ref="Y736:Y737" si="287">+Z736/1000</f>
        <v>10000</v>
      </c>
      <c r="Z736" s="637">
        <f t="shared" ref="Z736:Z737" si="288">S736*V736</f>
        <v>10000000</v>
      </c>
      <c r="AA736" s="1472"/>
      <c r="AB736" s="1675"/>
      <c r="AC736" s="1675"/>
    </row>
    <row r="737" spans="1:29" s="986" customFormat="1" ht="23.45" customHeight="1">
      <c r="A737" s="2868"/>
      <c r="B737" s="1145"/>
      <c r="C737" s="470"/>
      <c r="D737" s="489"/>
      <c r="E737" s="1466"/>
      <c r="F737" s="1141"/>
      <c r="G737" s="337"/>
      <c r="H737" s="1147"/>
      <c r="I737" s="1127"/>
      <c r="J737" s="1678" t="s">
        <v>5744</v>
      </c>
      <c r="K737" s="1066"/>
      <c r="L737" s="1066"/>
      <c r="M737" s="1066"/>
      <c r="N737" s="1066"/>
      <c r="O737" s="1686"/>
      <c r="P737" s="1685"/>
      <c r="Q737" s="635"/>
      <c r="R737" s="1685"/>
      <c r="S737" s="1685">
        <v>10000000</v>
      </c>
      <c r="T737" s="1685" t="s">
        <v>0</v>
      </c>
      <c r="U737" s="1685"/>
      <c r="V737" s="1685">
        <v>1</v>
      </c>
      <c r="W737" s="1685" t="s">
        <v>196</v>
      </c>
      <c r="X737" s="1685" t="s">
        <v>1</v>
      </c>
      <c r="Y737" s="406">
        <f t="shared" si="287"/>
        <v>10000</v>
      </c>
      <c r="Z737" s="637">
        <f t="shared" si="288"/>
        <v>10000000</v>
      </c>
      <c r="AA737" s="1472"/>
      <c r="AB737" s="1675"/>
      <c r="AC737" s="1675"/>
    </row>
    <row r="738" spans="1:29" s="986" customFormat="1" ht="23.45" customHeight="1">
      <c r="A738" s="2868"/>
      <c r="B738" s="1145"/>
      <c r="C738" s="470"/>
      <c r="D738" s="489"/>
      <c r="E738" s="1318" t="s">
        <v>5383</v>
      </c>
      <c r="F738" s="1128">
        <f t="shared" ref="F738" si="289">Y738</f>
        <v>500</v>
      </c>
      <c r="G738" s="337"/>
      <c r="H738" s="1147"/>
      <c r="I738" s="1127"/>
      <c r="J738" s="1678" t="s">
        <v>5387</v>
      </c>
      <c r="K738" s="1066"/>
      <c r="L738" s="1066"/>
      <c r="M738" s="1066"/>
      <c r="N738" s="1066"/>
      <c r="O738" s="1686"/>
      <c r="P738" s="1685"/>
      <c r="Q738" s="635"/>
      <c r="R738" s="1685"/>
      <c r="S738" s="1685">
        <v>500000</v>
      </c>
      <c r="T738" s="1685" t="s">
        <v>0</v>
      </c>
      <c r="U738" s="1685"/>
      <c r="V738" s="1685">
        <v>1</v>
      </c>
      <c r="W738" s="1685" t="s">
        <v>196</v>
      </c>
      <c r="X738" s="1685" t="s">
        <v>1</v>
      </c>
      <c r="Y738" s="406">
        <f t="shared" ref="Y738" si="290">+Z738/1000</f>
        <v>500</v>
      </c>
      <c r="Z738" s="637">
        <f>S738*V738</f>
        <v>500000</v>
      </c>
      <c r="AA738" s="1472"/>
      <c r="AB738" s="1675"/>
      <c r="AC738" s="1675"/>
    </row>
    <row r="739" spans="1:29" s="986" customFormat="1" ht="23.45" customHeight="1">
      <c r="A739" s="2868"/>
      <c r="B739" s="1145"/>
      <c r="C739" s="470"/>
      <c r="D739" s="3387" t="s">
        <v>5372</v>
      </c>
      <c r="E739" s="3388"/>
      <c r="F739" s="1468">
        <f>SUM(F740:F755)</f>
        <v>114500</v>
      </c>
      <c r="G739" s="1468">
        <f>SUM(G740:G755)</f>
        <v>0</v>
      </c>
      <c r="H739" s="1393">
        <f t="shared" ref="H739" si="291">F739-G739</f>
        <v>114500</v>
      </c>
      <c r="I739" s="1127"/>
      <c r="J739" s="1135"/>
      <c r="K739" s="717"/>
      <c r="L739" s="717"/>
      <c r="M739" s="717"/>
      <c r="N739" s="718"/>
      <c r="O739" s="718"/>
      <c r="P739" s="717"/>
      <c r="Q739" s="1230"/>
      <c r="R739" s="717"/>
      <c r="S739" s="718"/>
      <c r="T739" s="717"/>
      <c r="U739" s="717"/>
      <c r="V739" s="717"/>
      <c r="W739" s="717"/>
      <c r="X739" s="717"/>
      <c r="Y739" s="431"/>
      <c r="Z739" s="719">
        <f>SUM(Z740:Z748)</f>
        <v>154800000</v>
      </c>
      <c r="AA739" s="1472"/>
      <c r="AB739" s="1675"/>
      <c r="AC739" s="1675"/>
    </row>
    <row r="740" spans="1:29" s="986" customFormat="1" ht="23.45" customHeight="1">
      <c r="A740" s="2868"/>
      <c r="B740" s="1145"/>
      <c r="C740" s="470"/>
      <c r="D740" s="489"/>
      <c r="E740" s="350" t="s">
        <v>5246</v>
      </c>
      <c r="F740" s="978">
        <f>Y740</f>
        <v>22500</v>
      </c>
      <c r="G740" s="351"/>
      <c r="H740" s="404"/>
      <c r="I740" s="1127"/>
      <c r="J740" s="1678" t="s">
        <v>5389</v>
      </c>
      <c r="K740" s="1066"/>
      <c r="L740" s="1066"/>
      <c r="M740" s="1066"/>
      <c r="N740" s="1066"/>
      <c r="O740" s="1686"/>
      <c r="P740" s="1685"/>
      <c r="Q740" s="635"/>
      <c r="R740" s="1685"/>
      <c r="S740" s="1685">
        <v>2500000</v>
      </c>
      <c r="T740" s="1685" t="s">
        <v>0</v>
      </c>
      <c r="U740" s="1685"/>
      <c r="V740" s="1685">
        <v>9</v>
      </c>
      <c r="W740" s="1685" t="s">
        <v>200</v>
      </c>
      <c r="X740" s="1685" t="s">
        <v>1</v>
      </c>
      <c r="Y740" s="406">
        <f t="shared" ref="Y740:Y743" si="292">+Z740/1000</f>
        <v>22500</v>
      </c>
      <c r="Z740" s="637">
        <f>S740*V740</f>
        <v>22500000</v>
      </c>
      <c r="AA740" s="1472"/>
      <c r="AB740" s="1675"/>
      <c r="AC740" s="1675"/>
    </row>
    <row r="741" spans="1:29" s="303" customFormat="1" ht="23.45" customHeight="1">
      <c r="A741" s="2868"/>
      <c r="B741" s="1145"/>
      <c r="C741" s="2873"/>
      <c r="D741" s="1312"/>
      <c r="E741" s="1313" t="s">
        <v>5388</v>
      </c>
      <c r="F741" s="1141">
        <f t="shared" ref="F741" si="293">Y741</f>
        <v>8500</v>
      </c>
      <c r="G741" s="337"/>
      <c r="H741" s="404"/>
      <c r="I741" s="1127"/>
      <c r="J741" s="17" t="s">
        <v>5385</v>
      </c>
      <c r="O741" s="1686"/>
      <c r="P741" s="1685"/>
      <c r="Q741" s="1685"/>
      <c r="R741" s="1685"/>
      <c r="S741" s="1685"/>
      <c r="T741" s="1685"/>
      <c r="U741" s="1685"/>
      <c r="V741" s="1685"/>
      <c r="W741" s="1685"/>
      <c r="X741" s="1685"/>
      <c r="Y741" s="406">
        <f t="shared" si="292"/>
        <v>8500</v>
      </c>
      <c r="Z741" s="637">
        <f>Z742+Z743</f>
        <v>8500000</v>
      </c>
      <c r="AA741" s="275"/>
      <c r="AB741" s="357"/>
      <c r="AC741" s="357"/>
    </row>
    <row r="742" spans="1:29" s="303" customFormat="1" ht="23.45" customHeight="1">
      <c r="A742" s="2868"/>
      <c r="B742" s="1145"/>
      <c r="C742" s="2873"/>
      <c r="D742" s="1312"/>
      <c r="E742" s="1313"/>
      <c r="F742" s="1141"/>
      <c r="G742" s="337"/>
      <c r="H742" s="404"/>
      <c r="I742" s="1127"/>
      <c r="J742" s="1678" t="s">
        <v>5396</v>
      </c>
      <c r="K742" s="1066"/>
      <c r="L742" s="1066"/>
      <c r="M742" s="1066"/>
      <c r="N742" s="1066"/>
      <c r="O742" s="1686"/>
      <c r="P742" s="1685"/>
      <c r="Q742" s="1685"/>
      <c r="R742" s="1685"/>
      <c r="S742" s="1685">
        <v>11000</v>
      </c>
      <c r="T742" s="1685" t="s">
        <v>0</v>
      </c>
      <c r="U742" s="1685"/>
      <c r="V742" s="1685">
        <v>500</v>
      </c>
      <c r="W742" s="1685" t="s">
        <v>218</v>
      </c>
      <c r="X742" s="1685" t="s">
        <v>1</v>
      </c>
      <c r="Y742" s="406">
        <f t="shared" si="292"/>
        <v>5500</v>
      </c>
      <c r="Z742" s="637">
        <f>S742*V742</f>
        <v>5500000</v>
      </c>
      <c r="AA742" s="275"/>
      <c r="AB742" s="357"/>
      <c r="AC742" s="357"/>
    </row>
    <row r="743" spans="1:29" s="303" customFormat="1" ht="23.45" customHeight="1">
      <c r="A743" s="2868"/>
      <c r="B743" s="1145"/>
      <c r="C743" s="2873"/>
      <c r="D743" s="1312"/>
      <c r="E743" s="1313"/>
      <c r="F743" s="1141"/>
      <c r="G743" s="337"/>
      <c r="H743" s="404"/>
      <c r="I743" s="1127"/>
      <c r="J743" s="1678" t="s">
        <v>5397</v>
      </c>
      <c r="K743" s="1066"/>
      <c r="L743" s="1066"/>
      <c r="M743" s="1066"/>
      <c r="N743" s="1066"/>
      <c r="O743" s="1686"/>
      <c r="P743" s="1685"/>
      <c r="Q743" s="1685"/>
      <c r="R743" s="1685"/>
      <c r="S743" s="1685">
        <v>3000000</v>
      </c>
      <c r="T743" s="1685" t="s">
        <v>0</v>
      </c>
      <c r="U743" s="1685"/>
      <c r="V743" s="1685">
        <v>1</v>
      </c>
      <c r="W743" s="1685" t="s">
        <v>196</v>
      </c>
      <c r="X743" s="1685" t="s">
        <v>1</v>
      </c>
      <c r="Y743" s="406">
        <f t="shared" si="292"/>
        <v>3000</v>
      </c>
      <c r="Z743" s="637">
        <f t="shared" ref="Z743" si="294">S743*V743</f>
        <v>3000000</v>
      </c>
      <c r="AA743" s="275"/>
      <c r="AB743" s="357"/>
      <c r="AC743" s="357"/>
    </row>
    <row r="744" spans="1:29" s="986" customFormat="1" ht="23.45" customHeight="1">
      <c r="A744" s="2868"/>
      <c r="B744" s="1145"/>
      <c r="C744" s="470"/>
      <c r="D744" s="489"/>
      <c r="E744" s="1313" t="s">
        <v>5249</v>
      </c>
      <c r="F744" s="1141">
        <f t="shared" ref="F744" si="295">Y744</f>
        <v>40000</v>
      </c>
      <c r="G744" s="337"/>
      <c r="H744" s="1147"/>
      <c r="I744" s="1127"/>
      <c r="J744" s="1678" t="s">
        <v>5385</v>
      </c>
      <c r="K744" s="1066"/>
      <c r="L744" s="1066"/>
      <c r="M744" s="1066"/>
      <c r="N744" s="1066"/>
      <c r="O744" s="1686"/>
      <c r="P744" s="1685"/>
      <c r="Q744" s="1685"/>
      <c r="R744" s="1685"/>
      <c r="S744" s="1686"/>
      <c r="T744" s="1685"/>
      <c r="U744" s="1685"/>
      <c r="V744" s="1685"/>
      <c r="W744" s="1685"/>
      <c r="X744" s="1685"/>
      <c r="Y744" s="406">
        <f>Z744/1000</f>
        <v>40000</v>
      </c>
      <c r="Z744" s="637">
        <f>Z745+Z746</f>
        <v>40000000</v>
      </c>
      <c r="AA744" s="275"/>
      <c r="AB744" s="1675"/>
      <c r="AC744" s="1675"/>
    </row>
    <row r="745" spans="1:29" s="986" customFormat="1" ht="23.45" customHeight="1">
      <c r="A745" s="2868"/>
      <c r="B745" s="1145"/>
      <c r="C745" s="470"/>
      <c r="D745" s="489"/>
      <c r="E745" s="1313"/>
      <c r="F745" s="1141"/>
      <c r="G745" s="337"/>
      <c r="H745" s="404"/>
      <c r="I745" s="1127"/>
      <c r="J745" s="1678" t="s">
        <v>5400</v>
      </c>
      <c r="K745" s="1066"/>
      <c r="L745" s="1066"/>
      <c r="M745" s="1066"/>
      <c r="N745" s="1066"/>
      <c r="O745" s="1686"/>
      <c r="P745" s="1685"/>
      <c r="Q745" s="1685"/>
      <c r="R745" s="1685"/>
      <c r="S745" s="1685">
        <v>5000000</v>
      </c>
      <c r="T745" s="1685" t="s">
        <v>0</v>
      </c>
      <c r="U745" s="1685"/>
      <c r="V745" s="1685">
        <v>4</v>
      </c>
      <c r="W745" s="1685" t="s">
        <v>220</v>
      </c>
      <c r="X745" s="1685" t="s">
        <v>1</v>
      </c>
      <c r="Y745" s="406">
        <f t="shared" ref="Y745:Y746" si="296">+Z745/1000</f>
        <v>20000</v>
      </c>
      <c r="Z745" s="637">
        <f t="shared" ref="Z745" si="297">S745*V745</f>
        <v>20000000</v>
      </c>
      <c r="AA745" s="275"/>
      <c r="AB745" s="1675"/>
      <c r="AC745" s="1675"/>
    </row>
    <row r="746" spans="1:29" s="303" customFormat="1" ht="23.45" customHeight="1">
      <c r="A746" s="1342"/>
      <c r="B746" s="1145"/>
      <c r="C746" s="2873"/>
      <c r="D746" s="1312"/>
      <c r="E746" s="1313"/>
      <c r="F746" s="1141"/>
      <c r="G746" s="490"/>
      <c r="H746" s="404"/>
      <c r="I746" s="1127"/>
      <c r="J746" s="1678" t="s">
        <v>5401</v>
      </c>
      <c r="K746" s="1066"/>
      <c r="L746" s="1066"/>
      <c r="M746" s="1066"/>
      <c r="N746" s="1066"/>
      <c r="O746" s="1686"/>
      <c r="P746" s="1685"/>
      <c r="Q746" s="1685">
        <v>2</v>
      </c>
      <c r="R746" s="1685" t="s">
        <v>33</v>
      </c>
      <c r="S746" s="1685">
        <v>5000000</v>
      </c>
      <c r="T746" s="1685" t="s">
        <v>0</v>
      </c>
      <c r="U746" s="1685"/>
      <c r="V746" s="1685">
        <v>2</v>
      </c>
      <c r="W746" s="1685" t="s">
        <v>330</v>
      </c>
      <c r="X746" s="1685" t="s">
        <v>1</v>
      </c>
      <c r="Y746" s="406">
        <f t="shared" si="296"/>
        <v>20000</v>
      </c>
      <c r="Z746" s="637">
        <f>Q746*S746*V746</f>
        <v>20000000</v>
      </c>
      <c r="AA746" s="275"/>
      <c r="AB746" s="357"/>
      <c r="AC746" s="357"/>
    </row>
    <row r="747" spans="1:29" s="986" customFormat="1" ht="23.1" customHeight="1">
      <c r="A747" s="2868"/>
      <c r="B747" s="1145"/>
      <c r="C747" s="470"/>
      <c r="D747" s="489"/>
      <c r="E747" s="1313" t="s">
        <v>5251</v>
      </c>
      <c r="F747" s="1141">
        <f t="shared" ref="F747:F755" si="298">Y747</f>
        <v>25300</v>
      </c>
      <c r="G747" s="337"/>
      <c r="H747" s="1147"/>
      <c r="I747" s="1127"/>
      <c r="J747" s="1678" t="s">
        <v>5385</v>
      </c>
      <c r="K747" s="1066"/>
      <c r="L747" s="1066"/>
      <c r="M747" s="1066"/>
      <c r="N747" s="1066"/>
      <c r="O747" s="1686"/>
      <c r="P747" s="1685"/>
      <c r="Q747" s="635"/>
      <c r="R747" s="1685"/>
      <c r="S747" s="1686"/>
      <c r="T747" s="1685"/>
      <c r="U747" s="1685"/>
      <c r="V747" s="1685"/>
      <c r="W747" s="1685"/>
      <c r="X747" s="1685"/>
      <c r="Y747" s="406">
        <f>Z747/1000</f>
        <v>25300</v>
      </c>
      <c r="Z747" s="637">
        <f>Z748+Z749+Z750+Z751+Z752</f>
        <v>25300000</v>
      </c>
      <c r="AA747" s="275"/>
      <c r="AB747" s="1675"/>
      <c r="AC747" s="1675"/>
    </row>
    <row r="748" spans="1:29" s="986" customFormat="1" ht="23.1" customHeight="1">
      <c r="A748" s="2868"/>
      <c r="B748" s="1145"/>
      <c r="C748" s="470"/>
      <c r="D748" s="489"/>
      <c r="E748" s="1313"/>
      <c r="F748" s="1141"/>
      <c r="G748" s="337"/>
      <c r="H748" s="1147"/>
      <c r="I748" s="1127"/>
      <c r="J748" s="1678" t="s">
        <v>5390</v>
      </c>
      <c r="K748" s="1066"/>
      <c r="L748" s="1066"/>
      <c r="M748" s="1066"/>
      <c r="N748" s="1066"/>
      <c r="O748" s="1686"/>
      <c r="P748" s="1685"/>
      <c r="Q748" s="635"/>
      <c r="R748" s="1685"/>
      <c r="S748" s="1685">
        <v>1000000</v>
      </c>
      <c r="T748" s="1685" t="s">
        <v>0</v>
      </c>
      <c r="U748" s="1685"/>
      <c r="V748" s="1685">
        <v>10</v>
      </c>
      <c r="W748" s="1685" t="s">
        <v>220</v>
      </c>
      <c r="X748" s="1685" t="s">
        <v>1</v>
      </c>
      <c r="Y748" s="406">
        <f>+Z748/1000</f>
        <v>10000</v>
      </c>
      <c r="Z748" s="637">
        <f>S748*V748</f>
        <v>10000000</v>
      </c>
      <c r="AA748" s="275"/>
      <c r="AB748" s="1675"/>
      <c r="AC748" s="1675"/>
    </row>
    <row r="749" spans="1:29" s="986" customFormat="1" ht="23.1" customHeight="1">
      <c r="A749" s="2868"/>
      <c r="B749" s="1145"/>
      <c r="C749" s="470"/>
      <c r="D749" s="489"/>
      <c r="E749" s="1313"/>
      <c r="F749" s="1141"/>
      <c r="G749" s="337"/>
      <c r="H749" s="1147"/>
      <c r="I749" s="1127"/>
      <c r="J749" s="1678" t="s">
        <v>5391</v>
      </c>
      <c r="K749" s="1066"/>
      <c r="L749" s="1066"/>
      <c r="M749" s="1066"/>
      <c r="N749" s="1066"/>
      <c r="O749" s="1686"/>
      <c r="P749" s="1685"/>
      <c r="Q749" s="1685"/>
      <c r="R749" s="1685"/>
      <c r="S749" s="1685">
        <v>300000</v>
      </c>
      <c r="T749" s="1685" t="s">
        <v>0</v>
      </c>
      <c r="U749" s="1685"/>
      <c r="V749" s="1685">
        <v>11</v>
      </c>
      <c r="W749" s="1685" t="s">
        <v>220</v>
      </c>
      <c r="X749" s="1685" t="s">
        <v>1</v>
      </c>
      <c r="Y749" s="406">
        <f t="shared" ref="Y749:Y753" si="299">+Z749/1000</f>
        <v>3300</v>
      </c>
      <c r="Z749" s="637">
        <f t="shared" ref="Z749:Z753" si="300">S749*V749</f>
        <v>3300000</v>
      </c>
      <c r="AA749" s="1472"/>
      <c r="AB749" s="1675"/>
      <c r="AC749" s="1675"/>
    </row>
    <row r="750" spans="1:29" s="303" customFormat="1" ht="23.1" customHeight="1">
      <c r="A750" s="2868"/>
      <c r="B750" s="1145"/>
      <c r="C750" s="2873"/>
      <c r="D750" s="1312"/>
      <c r="E750" s="1313"/>
      <c r="F750" s="1141"/>
      <c r="G750" s="337"/>
      <c r="H750" s="404"/>
      <c r="I750" s="1127"/>
      <c r="J750" s="1678" t="s">
        <v>5392</v>
      </c>
      <c r="K750" s="1066"/>
      <c r="L750" s="1066"/>
      <c r="M750" s="1066"/>
      <c r="N750" s="1066"/>
      <c r="O750" s="1686"/>
      <c r="P750" s="1685"/>
      <c r="Q750" s="1685"/>
      <c r="R750" s="1685"/>
      <c r="S750" s="1685">
        <v>200000</v>
      </c>
      <c r="T750" s="1685" t="s">
        <v>0</v>
      </c>
      <c r="U750" s="1685"/>
      <c r="V750" s="1685">
        <v>10</v>
      </c>
      <c r="W750" s="1685" t="s">
        <v>330</v>
      </c>
      <c r="X750" s="1685" t="s">
        <v>1</v>
      </c>
      <c r="Y750" s="406">
        <f t="shared" si="299"/>
        <v>2000</v>
      </c>
      <c r="Z750" s="637">
        <f t="shared" si="300"/>
        <v>2000000</v>
      </c>
      <c r="AA750" s="275"/>
      <c r="AB750" s="357"/>
      <c r="AC750" s="357"/>
    </row>
    <row r="751" spans="1:29" s="303" customFormat="1" ht="23.1" customHeight="1">
      <c r="A751" s="2868"/>
      <c r="B751" s="1145"/>
      <c r="C751" s="2873"/>
      <c r="D751" s="1312"/>
      <c r="E751" s="1313"/>
      <c r="F751" s="1141"/>
      <c r="G751" s="337"/>
      <c r="H751" s="404"/>
      <c r="I751" s="1127"/>
      <c r="J751" s="1678" t="s">
        <v>5393</v>
      </c>
      <c r="K751" s="1066"/>
      <c r="L751" s="1066"/>
      <c r="M751" s="1066"/>
      <c r="N751" s="1066"/>
      <c r="O751" s="1686"/>
      <c r="P751" s="1685"/>
      <c r="Q751" s="1685"/>
      <c r="R751" s="1685"/>
      <c r="S751" s="1685">
        <v>5000000</v>
      </c>
      <c r="T751" s="1685" t="s">
        <v>0</v>
      </c>
      <c r="U751" s="1685"/>
      <c r="V751" s="1685">
        <v>1</v>
      </c>
      <c r="W751" s="1685" t="s">
        <v>196</v>
      </c>
      <c r="X751" s="1685" t="s">
        <v>1</v>
      </c>
      <c r="Y751" s="406">
        <f t="shared" si="299"/>
        <v>5000</v>
      </c>
      <c r="Z751" s="637">
        <f t="shared" si="300"/>
        <v>5000000</v>
      </c>
      <c r="AA751" s="275"/>
      <c r="AB751" s="357"/>
      <c r="AC751" s="357"/>
    </row>
    <row r="752" spans="1:29" s="303" customFormat="1" ht="23.1" customHeight="1">
      <c r="A752" s="2868"/>
      <c r="B752" s="1145"/>
      <c r="C752" s="2873"/>
      <c r="D752" s="1312"/>
      <c r="E752" s="1313"/>
      <c r="F752" s="1141"/>
      <c r="G752" s="337"/>
      <c r="H752" s="404"/>
      <c r="I752" s="1127"/>
      <c r="J752" s="1678" t="s">
        <v>5394</v>
      </c>
      <c r="K752" s="1066"/>
      <c r="L752" s="1066"/>
      <c r="M752" s="1066"/>
      <c r="N752" s="1066"/>
      <c r="O752" s="1686"/>
      <c r="P752" s="1685"/>
      <c r="Q752" s="1685"/>
      <c r="R752" s="1685"/>
      <c r="S752" s="1685">
        <v>5000000</v>
      </c>
      <c r="T752" s="1685" t="s">
        <v>0</v>
      </c>
      <c r="U752" s="1685"/>
      <c r="V752" s="1685">
        <v>1</v>
      </c>
      <c r="W752" s="1685" t="s">
        <v>196</v>
      </c>
      <c r="X752" s="1685" t="s">
        <v>1</v>
      </c>
      <c r="Y752" s="406">
        <f t="shared" si="299"/>
        <v>5000</v>
      </c>
      <c r="Z752" s="637">
        <f t="shared" si="300"/>
        <v>5000000</v>
      </c>
      <c r="AA752" s="275"/>
      <c r="AB752" s="357"/>
      <c r="AC752" s="357"/>
    </row>
    <row r="753" spans="1:29" s="303" customFormat="1" ht="23.1" customHeight="1">
      <c r="A753" s="2868"/>
      <c r="B753" s="1145"/>
      <c r="C753" s="2873"/>
      <c r="D753" s="1312"/>
      <c r="E753" s="1313" t="s">
        <v>5254</v>
      </c>
      <c r="F753" s="1141">
        <f t="shared" si="298"/>
        <v>2500</v>
      </c>
      <c r="G753" s="337"/>
      <c r="H753" s="404"/>
      <c r="I753" s="1127"/>
      <c r="J753" s="1678" t="s">
        <v>5395</v>
      </c>
      <c r="K753" s="1066"/>
      <c r="L753" s="1066"/>
      <c r="M753" s="1066"/>
      <c r="N753" s="1066"/>
      <c r="O753" s="1686"/>
      <c r="P753" s="1685"/>
      <c r="Q753" s="1685"/>
      <c r="R753" s="1685"/>
      <c r="S753" s="1685">
        <v>2500000</v>
      </c>
      <c r="T753" s="1685" t="s">
        <v>0</v>
      </c>
      <c r="U753" s="1685"/>
      <c r="V753" s="1685">
        <v>1</v>
      </c>
      <c r="W753" s="1685" t="s">
        <v>196</v>
      </c>
      <c r="X753" s="1685" t="s">
        <v>1</v>
      </c>
      <c r="Y753" s="406">
        <f t="shared" si="299"/>
        <v>2500</v>
      </c>
      <c r="Z753" s="637">
        <f t="shared" si="300"/>
        <v>2500000</v>
      </c>
      <c r="AA753" s="275"/>
      <c r="AB753" s="357"/>
      <c r="AC753" s="357"/>
    </row>
    <row r="754" spans="1:29" s="986" customFormat="1" ht="23.1" customHeight="1">
      <c r="A754" s="2868"/>
      <c r="B754" s="1145"/>
      <c r="C754" s="470"/>
      <c r="D754" s="489"/>
      <c r="E754" s="1313" t="s">
        <v>5252</v>
      </c>
      <c r="F754" s="1141">
        <f t="shared" si="298"/>
        <v>13700</v>
      </c>
      <c r="G754" s="337"/>
      <c r="H754" s="1147"/>
      <c r="I754" s="1127"/>
      <c r="J754" s="1678" t="s">
        <v>5398</v>
      </c>
      <c r="K754" s="1066"/>
      <c r="L754" s="1066"/>
      <c r="M754" s="1066"/>
      <c r="N754" s="1066"/>
      <c r="O754" s="1686"/>
      <c r="P754" s="1685"/>
      <c r="Q754" s="1685"/>
      <c r="R754" s="1685"/>
      <c r="S754" s="1685">
        <v>13700000</v>
      </c>
      <c r="T754" s="1685" t="s">
        <v>0</v>
      </c>
      <c r="U754" s="1685"/>
      <c r="V754" s="1685">
        <v>1</v>
      </c>
      <c r="W754" s="1685" t="s">
        <v>196</v>
      </c>
      <c r="X754" s="1685" t="s">
        <v>1</v>
      </c>
      <c r="Y754" s="406">
        <f t="shared" ref="Y754:Y755" si="301">+Z754/1000</f>
        <v>13700</v>
      </c>
      <c r="Z754" s="637">
        <f t="shared" ref="Z754:Z755" si="302">S754*V754</f>
        <v>13700000</v>
      </c>
      <c r="AA754" s="1472"/>
      <c r="AB754" s="1675"/>
      <c r="AC754" s="1675"/>
    </row>
    <row r="755" spans="1:29" s="986" customFormat="1" ht="23.1" customHeight="1">
      <c r="A755" s="2868"/>
      <c r="B755" s="1145"/>
      <c r="C755" s="470"/>
      <c r="D755" s="489"/>
      <c r="E755" s="1313" t="s">
        <v>5253</v>
      </c>
      <c r="F755" s="1141">
        <f t="shared" si="298"/>
        <v>2000</v>
      </c>
      <c r="G755" s="337"/>
      <c r="H755" s="1147"/>
      <c r="I755" s="1127"/>
      <c r="J755" s="1678" t="s">
        <v>5399</v>
      </c>
      <c r="K755" s="1066"/>
      <c r="L755" s="1066"/>
      <c r="M755" s="1066"/>
      <c r="N755" s="1066"/>
      <c r="O755" s="1686"/>
      <c r="P755" s="1685"/>
      <c r="Q755" s="1685"/>
      <c r="R755" s="1685"/>
      <c r="S755" s="1685">
        <v>500000</v>
      </c>
      <c r="T755" s="1685" t="s">
        <v>0</v>
      </c>
      <c r="U755" s="1685"/>
      <c r="V755" s="1685">
        <v>4</v>
      </c>
      <c r="W755" s="1685" t="s">
        <v>265</v>
      </c>
      <c r="X755" s="1685" t="s">
        <v>1</v>
      </c>
      <c r="Y755" s="406">
        <f t="shared" si="301"/>
        <v>2000</v>
      </c>
      <c r="Z755" s="637">
        <f t="shared" si="302"/>
        <v>2000000</v>
      </c>
      <c r="AA755" s="275"/>
      <c r="AB755" s="1675"/>
      <c r="AC755" s="1675"/>
    </row>
    <row r="756" spans="1:29" s="1089" customFormat="1" ht="23.1" customHeight="1">
      <c r="A756" s="2867"/>
      <c r="B756" s="1684"/>
      <c r="C756" s="3395" t="s">
        <v>5402</v>
      </c>
      <c r="D756" s="3395"/>
      <c r="E756" s="3395"/>
      <c r="F756" s="1394">
        <f>F757</f>
        <v>60000</v>
      </c>
      <c r="G756" s="1394">
        <f>G757</f>
        <v>0</v>
      </c>
      <c r="H756" s="1393">
        <f t="shared" ref="H756:H757" si="303">F756-G756</f>
        <v>60000</v>
      </c>
      <c r="I756" s="1467"/>
      <c r="J756" s="1119"/>
      <c r="K756" s="2640"/>
      <c r="L756" s="2640"/>
      <c r="M756" s="2640"/>
      <c r="N756" s="2640"/>
      <c r="O756" s="2640"/>
      <c r="P756" s="731"/>
      <c r="Q756" s="736"/>
      <c r="R756" s="1389"/>
      <c r="S756" s="1388"/>
      <c r="T756" s="1389"/>
      <c r="U756" s="2912"/>
      <c r="V756" s="1388"/>
      <c r="W756" s="2912"/>
      <c r="X756" s="869"/>
      <c r="Y756" s="1395"/>
      <c r="Z756" s="1395"/>
      <c r="AA756" s="515"/>
      <c r="AB756" s="705"/>
      <c r="AC756" s="705"/>
    </row>
    <row r="757" spans="1:29" s="986" customFormat="1" ht="23.1" customHeight="1">
      <c r="A757" s="2868"/>
      <c r="B757" s="1145"/>
      <c r="C757" s="2466"/>
      <c r="D757" s="3394" t="s">
        <v>5402</v>
      </c>
      <c r="E757" s="3393"/>
      <c r="F757" s="3037">
        <f>SUM(F758:F764)</f>
        <v>60000</v>
      </c>
      <c r="G757" s="3037">
        <f>SUM(G758:G764)</f>
        <v>0</v>
      </c>
      <c r="H757" s="1393">
        <f t="shared" si="303"/>
        <v>60000</v>
      </c>
      <c r="I757" s="1164"/>
      <c r="J757" s="1119"/>
      <c r="K757" s="2640"/>
      <c r="L757" s="2640"/>
      <c r="M757" s="2640"/>
      <c r="N757" s="2640"/>
      <c r="O757" s="2640"/>
      <c r="P757" s="731"/>
      <c r="Q757" s="1388"/>
      <c r="R757" s="1389"/>
      <c r="S757" s="1388"/>
      <c r="T757" s="1389"/>
      <c r="U757" s="2379"/>
      <c r="V757" s="1388"/>
      <c r="W757" s="2912"/>
      <c r="X757" s="869"/>
      <c r="Y757" s="2479"/>
      <c r="Z757" s="3038"/>
      <c r="AA757" s="275"/>
      <c r="AB757" s="1675"/>
      <c r="AC757" s="1675"/>
    </row>
    <row r="758" spans="1:29" s="986" customFormat="1" ht="23.1" customHeight="1">
      <c r="A758" s="2868"/>
      <c r="B758" s="1145"/>
      <c r="C758" s="2422"/>
      <c r="D758" s="2472"/>
      <c r="E758" s="726" t="s">
        <v>59</v>
      </c>
      <c r="F758" s="2968">
        <f>Y758</f>
        <v>20000</v>
      </c>
      <c r="G758" s="1689"/>
      <c r="H758" s="700"/>
      <c r="I758" s="1164"/>
      <c r="J758" s="514" t="s">
        <v>5389</v>
      </c>
      <c r="K758" s="2894"/>
      <c r="L758" s="2894"/>
      <c r="M758" s="2894"/>
      <c r="N758" s="2894"/>
      <c r="O758" s="2894"/>
      <c r="P758" s="535"/>
      <c r="Q758" s="1385">
        <v>1</v>
      </c>
      <c r="R758" s="1390" t="s">
        <v>605</v>
      </c>
      <c r="S758" s="1385">
        <v>2500000</v>
      </c>
      <c r="T758" s="985" t="s">
        <v>50</v>
      </c>
      <c r="U758" s="515"/>
      <c r="V758" s="1385">
        <v>8</v>
      </c>
      <c r="W758" s="2880" t="s">
        <v>5729</v>
      </c>
      <c r="X758" s="517" t="s">
        <v>1</v>
      </c>
      <c r="Y758" s="724">
        <f>Z758/1000</f>
        <v>20000</v>
      </c>
      <c r="Z758" s="637">
        <f>Q758*S758*V758</f>
        <v>20000000</v>
      </c>
      <c r="AA758" s="1472"/>
      <c r="AB758" s="1675"/>
      <c r="AC758" s="1675"/>
    </row>
    <row r="759" spans="1:29" s="986" customFormat="1" ht="23.1" customHeight="1">
      <c r="A759" s="2868"/>
      <c r="B759" s="1145"/>
      <c r="C759" s="2422"/>
      <c r="D759" s="2472"/>
      <c r="E759" s="508" t="s">
        <v>5730</v>
      </c>
      <c r="F759" s="511">
        <f t="shared" ref="F759:F761" si="304">Y759</f>
        <v>20000</v>
      </c>
      <c r="G759" s="767"/>
      <c r="H759" s="513"/>
      <c r="I759" s="1164"/>
      <c r="J759" s="514" t="s">
        <v>5731</v>
      </c>
      <c r="K759" s="2894"/>
      <c r="L759" s="2894"/>
      <c r="M759" s="2894"/>
      <c r="N759" s="2894"/>
      <c r="O759" s="2894"/>
      <c r="P759" s="535"/>
      <c r="Q759" s="534">
        <v>1</v>
      </c>
      <c r="R759" s="2880" t="s">
        <v>5732</v>
      </c>
      <c r="S759" s="1385">
        <v>20000000</v>
      </c>
      <c r="T759" s="985" t="s">
        <v>50</v>
      </c>
      <c r="U759" s="515"/>
      <c r="V759" s="1385">
        <v>1</v>
      </c>
      <c r="W759" s="2880" t="s">
        <v>5733</v>
      </c>
      <c r="X759" s="517" t="s">
        <v>1</v>
      </c>
      <c r="Y759" s="724">
        <f t="shared" ref="Y759" si="305">Z759/1000</f>
        <v>20000</v>
      </c>
      <c r="Z759" s="637">
        <f t="shared" ref="Z759:Z763" si="306">Q759*S759*V759</f>
        <v>20000000</v>
      </c>
      <c r="AA759" s="1472"/>
      <c r="AB759" s="1675"/>
      <c r="AC759" s="1675"/>
    </row>
    <row r="760" spans="1:29" s="986" customFormat="1" ht="23.1" customHeight="1">
      <c r="A760" s="2868"/>
      <c r="B760" s="1145"/>
      <c r="C760" s="2422"/>
      <c r="D760" s="2472"/>
      <c r="E760" s="2471" t="s">
        <v>5734</v>
      </c>
      <c r="F760" s="511">
        <f t="shared" si="304"/>
        <v>1000</v>
      </c>
      <c r="G760" s="767"/>
      <c r="H760" s="513"/>
      <c r="I760" s="1164"/>
      <c r="J760" s="514" t="s">
        <v>5735</v>
      </c>
      <c r="K760" s="2894"/>
      <c r="L760" s="2894"/>
      <c r="M760" s="2894"/>
      <c r="N760" s="2894"/>
      <c r="O760" s="2894"/>
      <c r="P760" s="535"/>
      <c r="Q760" s="534">
        <v>5</v>
      </c>
      <c r="R760" s="1390" t="s">
        <v>5736</v>
      </c>
      <c r="S760" s="1385">
        <v>200000</v>
      </c>
      <c r="T760" s="985" t="s">
        <v>5737</v>
      </c>
      <c r="U760" s="2880"/>
      <c r="V760" s="1385">
        <v>1</v>
      </c>
      <c r="W760" s="2880" t="s">
        <v>5733</v>
      </c>
      <c r="X760" s="517" t="s">
        <v>5738</v>
      </c>
      <c r="Y760" s="724">
        <f>1000</f>
        <v>1000</v>
      </c>
      <c r="Z760" s="637">
        <f t="shared" si="306"/>
        <v>1000000</v>
      </c>
      <c r="AA760" s="1472"/>
      <c r="AB760" s="1675"/>
      <c r="AC760" s="1675"/>
    </row>
    <row r="761" spans="1:29" s="986" customFormat="1" ht="23.1" customHeight="1">
      <c r="A761" s="2892"/>
      <c r="B761" s="1145"/>
      <c r="C761" s="2422"/>
      <c r="D761" s="2472"/>
      <c r="E761" s="508" t="s">
        <v>5741</v>
      </c>
      <c r="F761" s="511">
        <f t="shared" si="304"/>
        <v>17000</v>
      </c>
      <c r="G761" s="767"/>
      <c r="H761" s="513"/>
      <c r="I761" s="1164"/>
      <c r="J761" s="514" t="s">
        <v>5742</v>
      </c>
      <c r="K761" s="2894"/>
      <c r="L761" s="2894"/>
      <c r="M761" s="2894"/>
      <c r="N761" s="2894"/>
      <c r="O761" s="2894"/>
      <c r="P761" s="535"/>
      <c r="Q761" s="1385"/>
      <c r="R761" s="1390"/>
      <c r="S761" s="1385"/>
      <c r="T761" s="985"/>
      <c r="U761" s="515"/>
      <c r="V761" s="1385"/>
      <c r="W761" s="2880"/>
      <c r="X761" s="517"/>
      <c r="Y761" s="724">
        <v>17000</v>
      </c>
      <c r="Z761" s="532">
        <f>Z762+Z763</f>
        <v>17000000</v>
      </c>
      <c r="AA761" s="1472"/>
      <c r="AB761" s="1675"/>
      <c r="AC761" s="1675"/>
    </row>
    <row r="762" spans="1:29" s="986" customFormat="1" ht="23.1" customHeight="1">
      <c r="A762" s="2868"/>
      <c r="B762" s="1145"/>
      <c r="C762" s="2422"/>
      <c r="D762" s="2472"/>
      <c r="E762" s="2471"/>
      <c r="F762" s="535"/>
      <c r="G762" s="767"/>
      <c r="H762" s="700"/>
      <c r="I762" s="1164"/>
      <c r="J762" s="1678" t="s">
        <v>6012</v>
      </c>
      <c r="K762" s="1066"/>
      <c r="L762" s="1066"/>
      <c r="M762" s="1066"/>
      <c r="N762" s="2894"/>
      <c r="O762" s="2894"/>
      <c r="P762" s="535"/>
      <c r="Q762" s="534">
        <v>1</v>
      </c>
      <c r="R762" s="2880" t="s">
        <v>5732</v>
      </c>
      <c r="S762" s="3039">
        <v>12000000</v>
      </c>
      <c r="T762" s="985" t="s">
        <v>50</v>
      </c>
      <c r="U762" s="515"/>
      <c r="V762" s="534">
        <v>1</v>
      </c>
      <c r="W762" s="2880" t="s">
        <v>5733</v>
      </c>
      <c r="X762" s="517" t="s">
        <v>1</v>
      </c>
      <c r="Y762" s="724">
        <f t="shared" ref="Y762:Y763" si="307">Z762/1000</f>
        <v>12000</v>
      </c>
      <c r="Z762" s="637">
        <f t="shared" si="306"/>
        <v>12000000</v>
      </c>
      <c r="AA762" s="1472"/>
      <c r="AB762" s="1675"/>
      <c r="AC762" s="1675"/>
    </row>
    <row r="763" spans="1:29" s="986" customFormat="1" ht="23.1" customHeight="1">
      <c r="A763" s="2868"/>
      <c r="B763" s="1145"/>
      <c r="C763" s="2422"/>
      <c r="D763" s="2472"/>
      <c r="E763" s="508"/>
      <c r="F763" s="535"/>
      <c r="G763" s="767"/>
      <c r="H763" s="700"/>
      <c r="I763" s="1164"/>
      <c r="J763" s="1678" t="s">
        <v>6013</v>
      </c>
      <c r="K763" s="1066"/>
      <c r="L763" s="1066"/>
      <c r="M763" s="1066"/>
      <c r="N763" s="2894"/>
      <c r="O763" s="2894"/>
      <c r="P763" s="535"/>
      <c r="Q763" s="534">
        <v>1</v>
      </c>
      <c r="R763" s="2880" t="s">
        <v>5732</v>
      </c>
      <c r="S763" s="1385">
        <v>5000000</v>
      </c>
      <c r="T763" s="985" t="s">
        <v>50</v>
      </c>
      <c r="U763" s="515"/>
      <c r="V763" s="1385">
        <v>1</v>
      </c>
      <c r="W763" s="2880" t="s">
        <v>5733</v>
      </c>
      <c r="X763" s="517" t="s">
        <v>1</v>
      </c>
      <c r="Y763" s="724">
        <f t="shared" si="307"/>
        <v>5000</v>
      </c>
      <c r="Z763" s="637">
        <f t="shared" si="306"/>
        <v>5000000</v>
      </c>
      <c r="AA763" s="1472"/>
      <c r="AB763" s="1675"/>
      <c r="AC763" s="1675"/>
    </row>
    <row r="764" spans="1:29" s="986" customFormat="1" ht="23.1" customHeight="1">
      <c r="A764" s="2892"/>
      <c r="B764" s="1145"/>
      <c r="C764" s="2422"/>
      <c r="D764" s="2472"/>
      <c r="E764" s="2423" t="s">
        <v>5739</v>
      </c>
      <c r="F764" s="3040">
        <f t="shared" ref="F764" si="308">Y764</f>
        <v>2000</v>
      </c>
      <c r="G764" s="863"/>
      <c r="H764" s="3041"/>
      <c r="I764" s="3042"/>
      <c r="J764" s="1150" t="s">
        <v>5740</v>
      </c>
      <c r="K764" s="733" t="s">
        <v>5739</v>
      </c>
      <c r="L764" s="733"/>
      <c r="M764" s="733"/>
      <c r="N764" s="733"/>
      <c r="O764" s="733"/>
      <c r="P764" s="2389"/>
      <c r="Q764" s="2506">
        <v>10</v>
      </c>
      <c r="R764" s="3043" t="s">
        <v>5736</v>
      </c>
      <c r="S764" s="2911">
        <v>20000</v>
      </c>
      <c r="T764" s="2508" t="s">
        <v>5737</v>
      </c>
      <c r="U764" s="2410"/>
      <c r="V764" s="2911">
        <v>10</v>
      </c>
      <c r="W764" s="2410" t="s">
        <v>5733</v>
      </c>
      <c r="X764" s="1152" t="s">
        <v>5738</v>
      </c>
      <c r="Y764" s="2773">
        <v>2000</v>
      </c>
      <c r="Z764" s="712">
        <f t="shared" ref="Z764" si="309">Q764*S764*V764</f>
        <v>2000000</v>
      </c>
      <c r="AA764" s="1472"/>
      <c r="AB764" s="1675"/>
      <c r="AC764" s="1675"/>
    </row>
    <row r="765" spans="1:29" s="1089" customFormat="1" ht="23.1" customHeight="1">
      <c r="A765" s="2867"/>
      <c r="B765" s="1684"/>
      <c r="C765" s="3395" t="s">
        <v>5403</v>
      </c>
      <c r="D765" s="3395"/>
      <c r="E765" s="3395"/>
      <c r="F765" s="1394">
        <f>F766</f>
        <v>32500</v>
      </c>
      <c r="G765" s="1394">
        <f>G766</f>
        <v>0</v>
      </c>
      <c r="H765" s="1393">
        <f t="shared" ref="H765:H766" si="310">F765-G765</f>
        <v>32500</v>
      </c>
      <c r="I765" s="1467"/>
      <c r="J765" s="1119"/>
      <c r="K765" s="2640"/>
      <c r="L765" s="2640"/>
      <c r="M765" s="2640"/>
      <c r="N765" s="2640"/>
      <c r="O765" s="2640"/>
      <c r="P765" s="731"/>
      <c r="Q765" s="736"/>
      <c r="R765" s="1389"/>
      <c r="S765" s="1388"/>
      <c r="T765" s="1389"/>
      <c r="U765" s="2607"/>
      <c r="V765" s="1388"/>
      <c r="W765" s="2607"/>
      <c r="X765" s="869"/>
      <c r="Y765" s="1395"/>
      <c r="Z765" s="1395"/>
      <c r="AA765" s="515"/>
      <c r="AB765" s="705"/>
      <c r="AC765" s="705"/>
    </row>
    <row r="766" spans="1:29" s="986" customFormat="1" ht="23.1" customHeight="1">
      <c r="A766" s="2868"/>
      <c r="B766" s="1145"/>
      <c r="C766" s="2873"/>
      <c r="D766" s="3387" t="s">
        <v>5405</v>
      </c>
      <c r="E766" s="3533"/>
      <c r="F766" s="1468">
        <f>SUM(F767:F781)</f>
        <v>32500</v>
      </c>
      <c r="G766" s="1468">
        <f>SUM(G767:G781)</f>
        <v>0</v>
      </c>
      <c r="H766" s="3044">
        <f t="shared" si="310"/>
        <v>32500</v>
      </c>
      <c r="I766" s="1127"/>
      <c r="J766" s="394"/>
      <c r="K766" s="2865"/>
      <c r="L766" s="2865"/>
      <c r="M766" s="2865"/>
      <c r="N766" s="2865"/>
      <c r="O766" s="2865"/>
      <c r="P766" s="484"/>
      <c r="Q766" s="487"/>
      <c r="R766" s="486"/>
      <c r="S766" s="487"/>
      <c r="T766" s="486"/>
      <c r="U766" s="1146"/>
      <c r="V766" s="487"/>
      <c r="W766" s="2860"/>
      <c r="X766" s="430"/>
      <c r="Y766" s="439"/>
      <c r="Z766" s="1469"/>
      <c r="AA766" s="275"/>
      <c r="AB766" s="1675"/>
      <c r="AC766" s="1675"/>
    </row>
    <row r="767" spans="1:29" s="986" customFormat="1" ht="23.1" customHeight="1">
      <c r="A767" s="2868"/>
      <c r="B767" s="1145"/>
      <c r="C767" s="470"/>
      <c r="D767" s="489"/>
      <c r="E767" s="350" t="s">
        <v>322</v>
      </c>
      <c r="F767" s="978">
        <f>Y767</f>
        <v>3620</v>
      </c>
      <c r="G767" s="351"/>
      <c r="H767" s="851"/>
      <c r="I767" s="1127"/>
      <c r="J767" s="2871" t="s">
        <v>5385</v>
      </c>
      <c r="K767" s="2357"/>
      <c r="L767" s="2357"/>
      <c r="M767" s="2357"/>
      <c r="N767" s="2357"/>
      <c r="O767" s="2357"/>
      <c r="P767" s="1128"/>
      <c r="Q767" s="492"/>
      <c r="R767" s="493"/>
      <c r="S767" s="492"/>
      <c r="T767" s="344"/>
      <c r="U767" s="1675"/>
      <c r="V767" s="492"/>
      <c r="W767" s="2870"/>
      <c r="X767" s="1140"/>
      <c r="Y767" s="2377">
        <f>SUM(Y768,Y769)</f>
        <v>3620</v>
      </c>
      <c r="Z767" s="637">
        <f>Z768+Z769</f>
        <v>3620000</v>
      </c>
      <c r="AA767" s="1472"/>
      <c r="AB767" s="1675"/>
      <c r="AC767" s="1675"/>
    </row>
    <row r="768" spans="1:29" s="986" customFormat="1" ht="23.1" customHeight="1">
      <c r="A768" s="2868"/>
      <c r="B768" s="1145"/>
      <c r="C768" s="470"/>
      <c r="D768" s="489"/>
      <c r="E768" s="1126"/>
      <c r="F768" s="1141"/>
      <c r="G768" s="337"/>
      <c r="H768" s="1147"/>
      <c r="I768" s="1127"/>
      <c r="J768" s="1678" t="s">
        <v>6014</v>
      </c>
      <c r="K768" s="1066"/>
      <c r="L768" s="1066"/>
      <c r="M768" s="1066"/>
      <c r="N768" s="2357"/>
      <c r="O768" s="2357"/>
      <c r="P768" s="1128"/>
      <c r="Q768" s="372">
        <v>1</v>
      </c>
      <c r="R768" s="2870" t="s">
        <v>5266</v>
      </c>
      <c r="S768" s="492">
        <v>1000000</v>
      </c>
      <c r="T768" s="344" t="s">
        <v>50</v>
      </c>
      <c r="U768" s="1675"/>
      <c r="V768" s="492">
        <v>1</v>
      </c>
      <c r="W768" s="2870" t="s">
        <v>5221</v>
      </c>
      <c r="X768" s="1140" t="s">
        <v>1</v>
      </c>
      <c r="Y768" s="2377">
        <f t="shared" ref="Y768:Y772" si="311">Z768/1000</f>
        <v>1000</v>
      </c>
      <c r="Z768" s="637">
        <f t="shared" ref="Z768:Z781" si="312">Q768*S768*V768</f>
        <v>1000000</v>
      </c>
      <c r="AA768" s="1472"/>
      <c r="AB768" s="1675"/>
      <c r="AC768" s="1675"/>
    </row>
    <row r="769" spans="1:29" s="986" customFormat="1" ht="23.1" customHeight="1">
      <c r="A769" s="2868"/>
      <c r="B769" s="1145"/>
      <c r="C769" s="470"/>
      <c r="D769" s="489"/>
      <c r="E769" s="1126"/>
      <c r="F769" s="1141"/>
      <c r="G769" s="337"/>
      <c r="H769" s="1147"/>
      <c r="I769" s="1127"/>
      <c r="J769" s="1678" t="s">
        <v>6015</v>
      </c>
      <c r="K769" s="1066"/>
      <c r="L769" s="1066"/>
      <c r="M769" s="1066"/>
      <c r="N769" s="2357"/>
      <c r="O769" s="2357"/>
      <c r="P769" s="1128"/>
      <c r="Q769" s="372">
        <v>1</v>
      </c>
      <c r="R769" s="2870" t="s">
        <v>5266</v>
      </c>
      <c r="S769" s="492">
        <v>1310000</v>
      </c>
      <c r="T769" s="344" t="s">
        <v>50</v>
      </c>
      <c r="U769" s="1675"/>
      <c r="V769" s="492">
        <v>2</v>
      </c>
      <c r="W769" s="2870" t="s">
        <v>5221</v>
      </c>
      <c r="X769" s="1140" t="s">
        <v>1</v>
      </c>
      <c r="Y769" s="2377">
        <f t="shared" si="311"/>
        <v>2620</v>
      </c>
      <c r="Z769" s="637">
        <f t="shared" si="312"/>
        <v>2620000</v>
      </c>
      <c r="AA769" s="1472"/>
      <c r="AB769" s="1675"/>
      <c r="AC769" s="1675"/>
    </row>
    <row r="770" spans="1:29" s="986" customFormat="1" ht="23.1" customHeight="1">
      <c r="A770" s="2892"/>
      <c r="B770" s="1145"/>
      <c r="C770" s="470"/>
      <c r="D770" s="489"/>
      <c r="E770" s="1313" t="s">
        <v>590</v>
      </c>
      <c r="F770" s="1141">
        <f t="shared" ref="F770" si="313">Y770</f>
        <v>1000</v>
      </c>
      <c r="G770" s="337"/>
      <c r="H770" s="404"/>
      <c r="I770" s="1127"/>
      <c r="J770" s="2899" t="s">
        <v>5406</v>
      </c>
      <c r="K770" s="2357"/>
      <c r="L770" s="2357"/>
      <c r="M770" s="2357"/>
      <c r="N770" s="2357"/>
      <c r="O770" s="2357"/>
      <c r="P770" s="1128"/>
      <c r="Q770" s="372">
        <v>1</v>
      </c>
      <c r="R770" s="2889" t="s">
        <v>4218</v>
      </c>
      <c r="S770" s="1314">
        <v>50000</v>
      </c>
      <c r="T770" s="344" t="s">
        <v>50</v>
      </c>
      <c r="U770" s="1675"/>
      <c r="V770" s="372">
        <v>20</v>
      </c>
      <c r="W770" s="2889" t="s">
        <v>265</v>
      </c>
      <c r="X770" s="1140" t="s">
        <v>1</v>
      </c>
      <c r="Y770" s="2377">
        <f>Z770/1000</f>
        <v>1000</v>
      </c>
      <c r="Z770" s="637">
        <f>Q770*S770*V770</f>
        <v>1000000</v>
      </c>
      <c r="AA770" s="1472"/>
      <c r="AB770" s="1675"/>
      <c r="AC770" s="1675"/>
    </row>
    <row r="771" spans="1:29" s="986" customFormat="1" ht="23.1" customHeight="1">
      <c r="A771" s="2868"/>
      <c r="B771" s="1145"/>
      <c r="C771" s="470"/>
      <c r="D771" s="489"/>
      <c r="E771" s="1313" t="s">
        <v>224</v>
      </c>
      <c r="F771" s="1141">
        <f t="shared" ref="F771:F781" si="314">Y771</f>
        <v>800</v>
      </c>
      <c r="G771" s="337"/>
      <c r="H771" s="1147"/>
      <c r="I771" s="1127"/>
      <c r="J771" s="2871" t="s">
        <v>5407</v>
      </c>
      <c r="K771" s="2357"/>
      <c r="L771" s="2357"/>
      <c r="M771" s="2357"/>
      <c r="N771" s="2357"/>
      <c r="O771" s="2357"/>
      <c r="P771" s="1128"/>
      <c r="Q771" s="372">
        <v>1</v>
      </c>
      <c r="R771" s="2870" t="s">
        <v>5266</v>
      </c>
      <c r="S771" s="1314">
        <v>400000</v>
      </c>
      <c r="T771" s="344" t="s">
        <v>50</v>
      </c>
      <c r="U771" s="1675"/>
      <c r="V771" s="372">
        <v>2</v>
      </c>
      <c r="W771" s="2870" t="s">
        <v>5221</v>
      </c>
      <c r="X771" s="1140" t="s">
        <v>1</v>
      </c>
      <c r="Y771" s="2377">
        <f t="shared" si="311"/>
        <v>800</v>
      </c>
      <c r="Z771" s="637">
        <f t="shared" si="312"/>
        <v>800000</v>
      </c>
      <c r="AA771" s="1472"/>
      <c r="AB771" s="1675"/>
      <c r="AC771" s="1675"/>
    </row>
    <row r="772" spans="1:29" s="986" customFormat="1" ht="23.1" customHeight="1">
      <c r="A772" s="2868"/>
      <c r="B772" s="1145"/>
      <c r="C772" s="470"/>
      <c r="D772" s="489"/>
      <c r="E772" s="508" t="s">
        <v>195</v>
      </c>
      <c r="F772" s="1141">
        <f t="shared" si="314"/>
        <v>500</v>
      </c>
      <c r="G772" s="337"/>
      <c r="H772" s="1147"/>
      <c r="I772" s="1127"/>
      <c r="J772" s="2871" t="s">
        <v>5264</v>
      </c>
      <c r="K772" s="2357"/>
      <c r="L772" s="2357"/>
      <c r="M772" s="2357"/>
      <c r="N772" s="2357"/>
      <c r="O772" s="2357"/>
      <c r="P772" s="1128"/>
      <c r="Q772" s="372">
        <v>1</v>
      </c>
      <c r="R772" s="493" t="s">
        <v>5263</v>
      </c>
      <c r="S772" s="492">
        <v>25000</v>
      </c>
      <c r="T772" s="344" t="s">
        <v>50</v>
      </c>
      <c r="U772" s="1675"/>
      <c r="V772" s="492">
        <v>20</v>
      </c>
      <c r="W772" s="2870" t="s">
        <v>5221</v>
      </c>
      <c r="X772" s="1140" t="s">
        <v>1</v>
      </c>
      <c r="Y772" s="2377">
        <f t="shared" si="311"/>
        <v>500</v>
      </c>
      <c r="Z772" s="637">
        <f t="shared" si="312"/>
        <v>500000</v>
      </c>
      <c r="AA772" s="1472"/>
      <c r="AB772" s="1675"/>
      <c r="AC772" s="1675"/>
    </row>
    <row r="773" spans="1:29" s="986" customFormat="1" ht="23.1" customHeight="1">
      <c r="A773" s="2868"/>
      <c r="B773" s="1145"/>
      <c r="C773" s="470"/>
      <c r="D773" s="489"/>
      <c r="E773" s="1126" t="s">
        <v>269</v>
      </c>
      <c r="F773" s="1141">
        <f t="shared" si="314"/>
        <v>10250</v>
      </c>
      <c r="G773" s="337"/>
      <c r="H773" s="1147"/>
      <c r="I773" s="1127"/>
      <c r="J773" s="2871" t="s">
        <v>5385</v>
      </c>
      <c r="K773" s="2872"/>
      <c r="L773" s="2357"/>
      <c r="M773" s="2357"/>
      <c r="N773" s="2357"/>
      <c r="O773" s="2357"/>
      <c r="P773" s="1128"/>
      <c r="Q773" s="372"/>
      <c r="R773" s="2870"/>
      <c r="S773" s="492"/>
      <c r="T773" s="344"/>
      <c r="U773" s="1675"/>
      <c r="V773" s="492"/>
      <c r="W773" s="2870"/>
      <c r="X773" s="1140"/>
      <c r="Y773" s="1128">
        <f>SUM(Y774, Y775)</f>
        <v>10250</v>
      </c>
      <c r="Z773" s="407">
        <f>Z774+Z775</f>
        <v>10250000</v>
      </c>
      <c r="AA773" s="1472"/>
      <c r="AB773" s="1675"/>
      <c r="AC773" s="1675"/>
    </row>
    <row r="774" spans="1:29" s="986" customFormat="1" ht="23.1" customHeight="1">
      <c r="A774" s="2868"/>
      <c r="B774" s="1145"/>
      <c r="C774" s="470"/>
      <c r="D774" s="489"/>
      <c r="E774" s="1126"/>
      <c r="F774" s="1141"/>
      <c r="G774" s="337"/>
      <c r="H774" s="1147"/>
      <c r="I774" s="1127"/>
      <c r="J774" s="1678" t="s">
        <v>6016</v>
      </c>
      <c r="K774" s="1066"/>
      <c r="L774" s="1066"/>
      <c r="M774" s="2357"/>
      <c r="N774" s="2357"/>
      <c r="O774" s="2357"/>
      <c r="P774" s="1128"/>
      <c r="Q774" s="492">
        <v>1</v>
      </c>
      <c r="R774" s="493" t="s">
        <v>5263</v>
      </c>
      <c r="S774" s="492">
        <v>255000</v>
      </c>
      <c r="T774" s="344" t="s">
        <v>50</v>
      </c>
      <c r="U774" s="1675"/>
      <c r="V774" s="492">
        <v>20</v>
      </c>
      <c r="W774" s="2870" t="s">
        <v>5221</v>
      </c>
      <c r="X774" s="1140" t="s">
        <v>1</v>
      </c>
      <c r="Y774" s="2377">
        <f>Z774/1000</f>
        <v>5100</v>
      </c>
      <c r="Z774" s="637">
        <f t="shared" si="312"/>
        <v>5100000</v>
      </c>
      <c r="AA774" s="1472"/>
      <c r="AB774" s="1675"/>
      <c r="AC774" s="1675"/>
    </row>
    <row r="775" spans="1:29" s="986" customFormat="1" ht="23.1" customHeight="1">
      <c r="A775" s="2868"/>
      <c r="B775" s="1145"/>
      <c r="C775" s="470"/>
      <c r="D775" s="489"/>
      <c r="E775" s="1126"/>
      <c r="F775" s="1141"/>
      <c r="G775" s="337"/>
      <c r="H775" s="1147"/>
      <c r="I775" s="1127"/>
      <c r="J775" s="1678" t="s">
        <v>6017</v>
      </c>
      <c r="K775" s="1066"/>
      <c r="L775" s="1066"/>
      <c r="M775" s="2357"/>
      <c r="N775" s="2357"/>
      <c r="O775" s="2357"/>
      <c r="P775" s="1128"/>
      <c r="Q775" s="492">
        <v>5</v>
      </c>
      <c r="R775" s="493" t="s">
        <v>5263</v>
      </c>
      <c r="S775" s="492">
        <v>51500</v>
      </c>
      <c r="T775" s="344" t="s">
        <v>50</v>
      </c>
      <c r="U775" s="1675"/>
      <c r="V775" s="492">
        <v>20</v>
      </c>
      <c r="W775" s="2870" t="s">
        <v>5221</v>
      </c>
      <c r="X775" s="1140" t="s">
        <v>1</v>
      </c>
      <c r="Y775" s="2377">
        <f>Z775/1000</f>
        <v>5150</v>
      </c>
      <c r="Z775" s="637">
        <f t="shared" si="312"/>
        <v>5150000</v>
      </c>
      <c r="AA775" s="1472"/>
      <c r="AB775" s="1675"/>
      <c r="AC775" s="1675"/>
    </row>
    <row r="776" spans="1:29" s="986" customFormat="1" ht="23.1" customHeight="1">
      <c r="A776" s="2868"/>
      <c r="B776" s="1145"/>
      <c r="C776" s="470"/>
      <c r="D776" s="489"/>
      <c r="E776" s="1313" t="s">
        <v>287</v>
      </c>
      <c r="F776" s="1141">
        <f t="shared" si="314"/>
        <v>6000</v>
      </c>
      <c r="G776" s="337"/>
      <c r="H776" s="1147"/>
      <c r="I776" s="1127"/>
      <c r="J776" s="2871" t="s">
        <v>5408</v>
      </c>
      <c r="K776" s="2357"/>
      <c r="L776" s="2357"/>
      <c r="M776" s="2357"/>
      <c r="N776" s="2357"/>
      <c r="O776" s="2357"/>
      <c r="P776" s="1128"/>
      <c r="Q776" s="372">
        <v>1</v>
      </c>
      <c r="R776" s="2870" t="s">
        <v>5263</v>
      </c>
      <c r="S776" s="1314">
        <v>2000000</v>
      </c>
      <c r="T776" s="344" t="s">
        <v>50</v>
      </c>
      <c r="U776" s="1675"/>
      <c r="V776" s="372">
        <v>3</v>
      </c>
      <c r="W776" s="2870" t="s">
        <v>5265</v>
      </c>
      <c r="X776" s="1140" t="s">
        <v>1</v>
      </c>
      <c r="Y776" s="2377">
        <f t="shared" ref="Y776:Y777" si="315">Z776/1000</f>
        <v>6000</v>
      </c>
      <c r="Z776" s="637">
        <f t="shared" si="312"/>
        <v>6000000</v>
      </c>
      <c r="AA776" s="1472"/>
      <c r="AB776" s="1675"/>
      <c r="AC776" s="1675"/>
    </row>
    <row r="777" spans="1:29" s="986" customFormat="1" ht="23.1" customHeight="1">
      <c r="A777" s="2868"/>
      <c r="B777" s="1145"/>
      <c r="C777" s="470"/>
      <c r="D777" s="489"/>
      <c r="E777" s="1313" t="s">
        <v>223</v>
      </c>
      <c r="F777" s="1141">
        <f t="shared" si="314"/>
        <v>5000</v>
      </c>
      <c r="G777" s="337"/>
      <c r="H777" s="1147"/>
      <c r="I777" s="1127"/>
      <c r="J777" s="2871" t="s">
        <v>5409</v>
      </c>
      <c r="K777" s="2357"/>
      <c r="L777" s="2357"/>
      <c r="M777" s="2357"/>
      <c r="N777" s="2357"/>
      <c r="O777" s="2357"/>
      <c r="P777" s="1128"/>
      <c r="Q777" s="372">
        <v>1</v>
      </c>
      <c r="R777" s="2870" t="s">
        <v>5266</v>
      </c>
      <c r="S777" s="1314">
        <v>500000</v>
      </c>
      <c r="T777" s="344" t="s">
        <v>50</v>
      </c>
      <c r="U777" s="1675"/>
      <c r="V777" s="372">
        <v>10</v>
      </c>
      <c r="W777" s="2870" t="s">
        <v>5221</v>
      </c>
      <c r="X777" s="1140" t="s">
        <v>1</v>
      </c>
      <c r="Y777" s="2377">
        <f t="shared" si="315"/>
        <v>5000</v>
      </c>
      <c r="Z777" s="637">
        <f t="shared" si="312"/>
        <v>5000000</v>
      </c>
      <c r="AA777" s="1472"/>
      <c r="AB777" s="1675"/>
      <c r="AC777" s="1675"/>
    </row>
    <row r="778" spans="1:29" s="986" customFormat="1" ht="23.1" customHeight="1">
      <c r="A778" s="2868"/>
      <c r="B778" s="1145"/>
      <c r="C778" s="470"/>
      <c r="D778" s="489"/>
      <c r="E778" s="1466" t="s">
        <v>602</v>
      </c>
      <c r="F778" s="1141">
        <f t="shared" si="314"/>
        <v>5130</v>
      </c>
      <c r="G778" s="337"/>
      <c r="H778" s="1147"/>
      <c r="I778" s="1127"/>
      <c r="J778" s="2871" t="s">
        <v>5385</v>
      </c>
      <c r="K778" s="2357"/>
      <c r="L778" s="2357"/>
      <c r="M778" s="2357"/>
      <c r="N778" s="2357"/>
      <c r="O778" s="2357"/>
      <c r="P778" s="1128"/>
      <c r="Q778" s="372"/>
      <c r="R778" s="2870"/>
      <c r="S778" s="1314"/>
      <c r="T778" s="344"/>
      <c r="U778" s="1675"/>
      <c r="V778" s="372"/>
      <c r="W778" s="2870"/>
      <c r="X778" s="1140"/>
      <c r="Y778" s="1128">
        <f>SUM(Y779, Y780)</f>
        <v>5130</v>
      </c>
      <c r="Z778" s="407">
        <f>Z779+Z780</f>
        <v>5130000</v>
      </c>
      <c r="AA778" s="1472"/>
      <c r="AB778" s="1675"/>
      <c r="AC778" s="1675"/>
    </row>
    <row r="779" spans="1:29" s="986" customFormat="1" ht="23.1" customHeight="1">
      <c r="A779" s="2868"/>
      <c r="B779" s="1145"/>
      <c r="C779" s="470"/>
      <c r="D779" s="489"/>
      <c r="E779" s="1466"/>
      <c r="F779" s="1141"/>
      <c r="G779" s="337"/>
      <c r="H779" s="1147"/>
      <c r="I779" s="1127"/>
      <c r="J779" s="1678" t="s">
        <v>6018</v>
      </c>
      <c r="K779" s="1066"/>
      <c r="L779" s="1066"/>
      <c r="M779" s="2357"/>
      <c r="N779" s="2357"/>
      <c r="O779" s="2357"/>
      <c r="P779" s="1128"/>
      <c r="Q779" s="372">
        <v>1</v>
      </c>
      <c r="R779" s="2870" t="s">
        <v>5266</v>
      </c>
      <c r="S779" s="1314">
        <v>405000</v>
      </c>
      <c r="T779" s="344" t="s">
        <v>50</v>
      </c>
      <c r="U779" s="1675"/>
      <c r="V779" s="372">
        <v>6</v>
      </c>
      <c r="W779" s="2870" t="s">
        <v>5221</v>
      </c>
      <c r="X779" s="1140" t="s">
        <v>1</v>
      </c>
      <c r="Y779" s="2377">
        <f t="shared" ref="Y779:Y781" si="316">Z779/1000</f>
        <v>2430</v>
      </c>
      <c r="Z779" s="637">
        <f t="shared" si="312"/>
        <v>2430000</v>
      </c>
      <c r="AA779" s="1472"/>
      <c r="AB779" s="1675"/>
      <c r="AC779" s="1675"/>
    </row>
    <row r="780" spans="1:29" s="986" customFormat="1" ht="23.1" customHeight="1">
      <c r="A780" s="2868"/>
      <c r="B780" s="1145"/>
      <c r="C780" s="470"/>
      <c r="D780" s="489"/>
      <c r="E780" s="1466"/>
      <c r="F780" s="1141"/>
      <c r="G780" s="337"/>
      <c r="H780" s="404"/>
      <c r="I780" s="1127"/>
      <c r="J780" s="1678" t="s">
        <v>6019</v>
      </c>
      <c r="K780" s="1066"/>
      <c r="L780" s="1066"/>
      <c r="M780" s="2357"/>
      <c r="N780" s="2357"/>
      <c r="O780" s="2357"/>
      <c r="P780" s="1128"/>
      <c r="Q780" s="372">
        <v>1</v>
      </c>
      <c r="R780" s="2870" t="s">
        <v>5266</v>
      </c>
      <c r="S780" s="1314">
        <v>135000</v>
      </c>
      <c r="T780" s="344" t="s">
        <v>50</v>
      </c>
      <c r="U780" s="1675"/>
      <c r="V780" s="372">
        <v>20</v>
      </c>
      <c r="W780" s="2870" t="s">
        <v>5221</v>
      </c>
      <c r="X780" s="1140" t="s">
        <v>1</v>
      </c>
      <c r="Y780" s="2377">
        <f t="shared" si="316"/>
        <v>2700</v>
      </c>
      <c r="Z780" s="637">
        <f t="shared" si="312"/>
        <v>2700000</v>
      </c>
      <c r="AA780" s="1472"/>
      <c r="AB780" s="1675"/>
      <c r="AC780" s="1675"/>
    </row>
    <row r="781" spans="1:29" s="986" customFormat="1" ht="23.1" customHeight="1">
      <c r="A781" s="2868"/>
      <c r="B781" s="1145"/>
      <c r="C781" s="470"/>
      <c r="D781" s="489"/>
      <c r="E781" s="1313" t="s">
        <v>271</v>
      </c>
      <c r="F781" s="1141">
        <f t="shared" si="314"/>
        <v>200</v>
      </c>
      <c r="G781" s="337"/>
      <c r="H781" s="404"/>
      <c r="I781" s="1127"/>
      <c r="J781" s="2871" t="s">
        <v>5410</v>
      </c>
      <c r="K781" s="2357"/>
      <c r="L781" s="2357"/>
      <c r="M781" s="2357"/>
      <c r="N781" s="2357"/>
      <c r="O781" s="2357"/>
      <c r="P781" s="1128"/>
      <c r="Q781" s="372">
        <v>1</v>
      </c>
      <c r="R781" s="2870" t="s">
        <v>5266</v>
      </c>
      <c r="S781" s="1314">
        <v>50000</v>
      </c>
      <c r="T781" s="344" t="s">
        <v>50</v>
      </c>
      <c r="U781" s="1675"/>
      <c r="V781" s="372">
        <v>4</v>
      </c>
      <c r="W781" s="2870" t="s">
        <v>5221</v>
      </c>
      <c r="X781" s="1140" t="s">
        <v>1</v>
      </c>
      <c r="Y781" s="2377">
        <f t="shared" si="316"/>
        <v>200</v>
      </c>
      <c r="Z781" s="637">
        <f t="shared" si="312"/>
        <v>200000</v>
      </c>
      <c r="AA781" s="1472"/>
      <c r="AB781" s="1675"/>
      <c r="AC781" s="1675"/>
    </row>
    <row r="782" spans="1:29" s="1089" customFormat="1" ht="23.1" customHeight="1">
      <c r="A782" s="2867"/>
      <c r="B782" s="1684"/>
      <c r="C782" s="3395" t="s">
        <v>5404</v>
      </c>
      <c r="D782" s="3395"/>
      <c r="E782" s="3395"/>
      <c r="F782" s="1394">
        <f>F783</f>
        <v>25000</v>
      </c>
      <c r="G782" s="1394">
        <f>G783</f>
        <v>0</v>
      </c>
      <c r="H782" s="1393">
        <f t="shared" ref="H782:H783" si="317">F782-G782</f>
        <v>25000</v>
      </c>
      <c r="I782" s="1467"/>
      <c r="J782" s="1119"/>
      <c r="K782" s="2640"/>
      <c r="L782" s="2640"/>
      <c r="M782" s="2640"/>
      <c r="N782" s="2640"/>
      <c r="O782" s="2640"/>
      <c r="P782" s="731"/>
      <c r="Q782" s="736"/>
      <c r="R782" s="1389"/>
      <c r="S782" s="1388"/>
      <c r="T782" s="1389"/>
      <c r="U782" s="2607"/>
      <c r="V782" s="1388"/>
      <c r="W782" s="2607"/>
      <c r="X782" s="869"/>
      <c r="Y782" s="1395"/>
      <c r="Z782" s="1395"/>
      <c r="AA782" s="515"/>
      <c r="AB782" s="705"/>
      <c r="AC782" s="705"/>
    </row>
    <row r="783" spans="1:29" s="986" customFormat="1" ht="23.1" customHeight="1">
      <c r="A783" s="2868"/>
      <c r="B783" s="1145"/>
      <c r="C783" s="2873"/>
      <c r="D783" s="3387" t="s">
        <v>5411</v>
      </c>
      <c r="E783" s="3388"/>
      <c r="F783" s="1468">
        <f>SUM(F784:F795)</f>
        <v>25000</v>
      </c>
      <c r="G783" s="1468">
        <f>SUM(G784:G795)</f>
        <v>0</v>
      </c>
      <c r="H783" s="1393">
        <f t="shared" si="317"/>
        <v>25000</v>
      </c>
      <c r="I783" s="1127"/>
      <c r="J783" s="394"/>
      <c r="K783" s="2865"/>
      <c r="L783" s="2865"/>
      <c r="M783" s="2865"/>
      <c r="N783" s="2865"/>
      <c r="O783" s="2865"/>
      <c r="P783" s="484"/>
      <c r="Q783" s="487"/>
      <c r="R783" s="486"/>
      <c r="S783" s="487"/>
      <c r="T783" s="486"/>
      <c r="U783" s="1146"/>
      <c r="V783" s="487"/>
      <c r="W783" s="2860"/>
      <c r="X783" s="430"/>
      <c r="Y783" s="439"/>
      <c r="Z783" s="1469"/>
      <c r="AA783" s="275"/>
      <c r="AB783" s="1675"/>
      <c r="AC783" s="1675"/>
    </row>
    <row r="784" spans="1:29" s="986" customFormat="1" ht="23.1" customHeight="1">
      <c r="A784" s="2868"/>
      <c r="B784" s="1145"/>
      <c r="C784" s="470"/>
      <c r="D784" s="489"/>
      <c r="E784" s="1126" t="s">
        <v>5388</v>
      </c>
      <c r="F784" s="978">
        <f>Y784</f>
        <v>3380</v>
      </c>
      <c r="G784" s="351"/>
      <c r="H784" s="1147"/>
      <c r="I784" s="1127"/>
      <c r="J784" s="2871" t="s">
        <v>5385</v>
      </c>
      <c r="K784" s="2357"/>
      <c r="L784" s="2357"/>
      <c r="M784" s="2357"/>
      <c r="N784" s="2357"/>
      <c r="O784" s="2357"/>
      <c r="P784" s="1128"/>
      <c r="Q784" s="492"/>
      <c r="R784" s="493"/>
      <c r="S784" s="492"/>
      <c r="T784" s="344"/>
      <c r="U784" s="1675"/>
      <c r="V784" s="492"/>
      <c r="W784" s="2870"/>
      <c r="X784" s="1140"/>
      <c r="Y784" s="2377">
        <f>SUM(Y785,Y786)</f>
        <v>3380</v>
      </c>
      <c r="Z784" s="637">
        <f>Z785+Z786</f>
        <v>3380000</v>
      </c>
      <c r="AA784" s="1472"/>
      <c r="AB784" s="1675"/>
      <c r="AC784" s="1675"/>
    </row>
    <row r="785" spans="1:29" s="986" customFormat="1" ht="23.1" customHeight="1">
      <c r="A785" s="2868"/>
      <c r="B785" s="1145"/>
      <c r="C785" s="470"/>
      <c r="D785" s="489"/>
      <c r="E785" s="1126"/>
      <c r="F785" s="1470"/>
      <c r="G785" s="337"/>
      <c r="H785" s="1147"/>
      <c r="I785" s="1127"/>
      <c r="J785" s="1678" t="s">
        <v>6020</v>
      </c>
      <c r="K785" s="1066"/>
      <c r="L785" s="1066"/>
      <c r="M785" s="2992"/>
      <c r="N785" s="2357"/>
      <c r="O785" s="2357"/>
      <c r="P785" s="1128"/>
      <c r="Q785" s="372">
        <v>1</v>
      </c>
      <c r="R785" s="2870" t="s">
        <v>5266</v>
      </c>
      <c r="S785" s="492">
        <v>10000</v>
      </c>
      <c r="T785" s="344" t="s">
        <v>50</v>
      </c>
      <c r="U785" s="1675"/>
      <c r="V785" s="492">
        <v>320</v>
      </c>
      <c r="W785" s="2870" t="s">
        <v>5313</v>
      </c>
      <c r="X785" s="1140" t="s">
        <v>1</v>
      </c>
      <c r="Y785" s="2377">
        <f t="shared" ref="Y785:Y788" si="318">Z785/1000</f>
        <v>3200</v>
      </c>
      <c r="Z785" s="637">
        <f t="shared" ref="Z785:Z788" si="319">Q785*S785*V785</f>
        <v>3200000</v>
      </c>
      <c r="AA785" s="1472"/>
      <c r="AB785" s="1675"/>
      <c r="AC785" s="1675"/>
    </row>
    <row r="786" spans="1:29" s="986" customFormat="1" ht="23.1" customHeight="1">
      <c r="A786" s="2868"/>
      <c r="B786" s="1145"/>
      <c r="C786" s="470"/>
      <c r="D786" s="489"/>
      <c r="E786" s="1126"/>
      <c r="F786" s="1470"/>
      <c r="G786" s="337"/>
      <c r="H786" s="1147"/>
      <c r="I786" s="1127"/>
      <c r="J786" s="1678" t="s">
        <v>6021</v>
      </c>
      <c r="K786" s="1066"/>
      <c r="L786" s="1066"/>
      <c r="M786" s="2992"/>
      <c r="N786" s="2357"/>
      <c r="O786" s="2357"/>
      <c r="P786" s="1128"/>
      <c r="Q786" s="372">
        <v>1</v>
      </c>
      <c r="R786" s="2870" t="s">
        <v>5266</v>
      </c>
      <c r="S786" s="492">
        <v>18000</v>
      </c>
      <c r="T786" s="344" t="s">
        <v>50</v>
      </c>
      <c r="U786" s="1675"/>
      <c r="V786" s="492">
        <v>10</v>
      </c>
      <c r="W786" s="2870" t="s">
        <v>5313</v>
      </c>
      <c r="X786" s="1140" t="s">
        <v>1</v>
      </c>
      <c r="Y786" s="2377">
        <f t="shared" si="318"/>
        <v>180</v>
      </c>
      <c r="Z786" s="637">
        <f t="shared" si="319"/>
        <v>180000</v>
      </c>
      <c r="AA786" s="1472"/>
      <c r="AB786" s="1675"/>
      <c r="AC786" s="1675"/>
    </row>
    <row r="787" spans="1:29" s="986" customFormat="1" ht="23.1" customHeight="1">
      <c r="A787" s="2892"/>
      <c r="B787" s="1145"/>
      <c r="C787" s="470"/>
      <c r="D787" s="489"/>
      <c r="E787" s="1313" t="s">
        <v>590</v>
      </c>
      <c r="F787" s="1128">
        <f>Y787</f>
        <v>1200</v>
      </c>
      <c r="G787" s="337"/>
      <c r="H787" s="404"/>
      <c r="I787" s="1127"/>
      <c r="J787" s="2899" t="s">
        <v>5406</v>
      </c>
      <c r="K787" s="2357"/>
      <c r="L787" s="2357"/>
      <c r="M787" s="2357"/>
      <c r="N787" s="2357"/>
      <c r="O787" s="2357"/>
      <c r="P787" s="1128"/>
      <c r="Q787" s="372">
        <v>1</v>
      </c>
      <c r="R787" s="2889" t="s">
        <v>4218</v>
      </c>
      <c r="S787" s="1314">
        <v>100000</v>
      </c>
      <c r="T787" s="344" t="s">
        <v>50</v>
      </c>
      <c r="U787" s="1675"/>
      <c r="V787" s="372">
        <v>12</v>
      </c>
      <c r="W787" s="2889" t="s">
        <v>265</v>
      </c>
      <c r="X787" s="1140" t="s">
        <v>1</v>
      </c>
      <c r="Y787" s="2377">
        <f>Z787/1000</f>
        <v>1200</v>
      </c>
      <c r="Z787" s="637">
        <f>Q787*S787*V787</f>
        <v>1200000</v>
      </c>
      <c r="AA787" s="1472"/>
      <c r="AB787" s="1675"/>
      <c r="AC787" s="1675"/>
    </row>
    <row r="788" spans="1:29" s="986" customFormat="1" ht="23.85" customHeight="1">
      <c r="A788" s="2868"/>
      <c r="B788" s="1145"/>
      <c r="C788" s="470"/>
      <c r="D788" s="489"/>
      <c r="E788" s="1313" t="s">
        <v>5318</v>
      </c>
      <c r="F788" s="1141">
        <f t="shared" ref="F788:F789" si="320">Y788</f>
        <v>1200</v>
      </c>
      <c r="G788" s="337"/>
      <c r="H788" s="1147"/>
      <c r="I788" s="1127"/>
      <c r="J788" s="2871" t="s">
        <v>5407</v>
      </c>
      <c r="K788" s="2357"/>
      <c r="L788" s="2357"/>
      <c r="M788" s="2357"/>
      <c r="N788" s="2357"/>
      <c r="O788" s="2357"/>
      <c r="P788" s="1128"/>
      <c r="Q788" s="372">
        <v>1</v>
      </c>
      <c r="R788" s="2870" t="s">
        <v>5266</v>
      </c>
      <c r="S788" s="1314">
        <v>100000</v>
      </c>
      <c r="T788" s="344" t="s">
        <v>50</v>
      </c>
      <c r="U788" s="1675"/>
      <c r="V788" s="372">
        <v>12</v>
      </c>
      <c r="W788" s="2870" t="s">
        <v>5221</v>
      </c>
      <c r="X788" s="1140" t="s">
        <v>1</v>
      </c>
      <c r="Y788" s="2377">
        <f t="shared" si="318"/>
        <v>1200</v>
      </c>
      <c r="Z788" s="637">
        <f t="shared" si="319"/>
        <v>1200000</v>
      </c>
      <c r="AA788" s="1472"/>
      <c r="AB788" s="1675"/>
      <c r="AC788" s="1675"/>
    </row>
    <row r="789" spans="1:29" s="986" customFormat="1" ht="23.85" customHeight="1">
      <c r="A789" s="2868"/>
      <c r="B789" s="1145"/>
      <c r="C789" s="470"/>
      <c r="D789" s="489"/>
      <c r="E789" s="1126" t="s">
        <v>5251</v>
      </c>
      <c r="F789" s="1141">
        <f t="shared" si="320"/>
        <v>7560</v>
      </c>
      <c r="G789" s="337"/>
      <c r="H789" s="1147"/>
      <c r="I789" s="1127"/>
      <c r="J789" s="2871" t="s">
        <v>5385</v>
      </c>
      <c r="K789" s="2872"/>
      <c r="L789" s="2357"/>
      <c r="M789" s="2357"/>
      <c r="N789" s="2357"/>
      <c r="O789" s="2357"/>
      <c r="P789" s="1128"/>
      <c r="Q789" s="372"/>
      <c r="R789" s="2870"/>
      <c r="S789" s="492"/>
      <c r="T789" s="344"/>
      <c r="U789" s="1675"/>
      <c r="V789" s="492"/>
      <c r="W789" s="2870"/>
      <c r="X789" s="1140"/>
      <c r="Y789" s="1128">
        <f>SUM(Y790, Y791)</f>
        <v>7560</v>
      </c>
      <c r="Z789" s="1098">
        <f>Z790+Z791</f>
        <v>7560000</v>
      </c>
      <c r="AA789" s="1472"/>
      <c r="AB789" s="1675"/>
      <c r="AC789" s="1675"/>
    </row>
    <row r="790" spans="1:29" s="986" customFormat="1" ht="23.85" customHeight="1">
      <c r="A790" s="2868"/>
      <c r="B790" s="1145"/>
      <c r="C790" s="470"/>
      <c r="D790" s="489"/>
      <c r="E790" s="1126"/>
      <c r="F790" s="1128"/>
      <c r="G790" s="337"/>
      <c r="H790" s="1147"/>
      <c r="I790" s="1127"/>
      <c r="J790" s="1678" t="s">
        <v>6016</v>
      </c>
      <c r="K790" s="1066"/>
      <c r="L790" s="1066"/>
      <c r="M790" s="2992"/>
      <c r="N790" s="2357"/>
      <c r="O790" s="2357"/>
      <c r="P790" s="1128"/>
      <c r="Q790" s="492">
        <v>1</v>
      </c>
      <c r="R790" s="493" t="s">
        <v>5263</v>
      </c>
      <c r="S790" s="492">
        <v>310000</v>
      </c>
      <c r="T790" s="344" t="s">
        <v>50</v>
      </c>
      <c r="U790" s="1675"/>
      <c r="V790" s="492">
        <v>12</v>
      </c>
      <c r="W790" s="2870" t="s">
        <v>5221</v>
      </c>
      <c r="X790" s="1140" t="s">
        <v>1</v>
      </c>
      <c r="Y790" s="2377">
        <f>Z790/1000</f>
        <v>3720</v>
      </c>
      <c r="Z790" s="637">
        <f t="shared" ref="Z790:Z792" si="321">Q790*S790*V790</f>
        <v>3720000</v>
      </c>
      <c r="AA790" s="1472"/>
      <c r="AB790" s="1675"/>
      <c r="AC790" s="1675"/>
    </row>
    <row r="791" spans="1:29" s="986" customFormat="1" ht="23.85" customHeight="1">
      <c r="A791" s="2868"/>
      <c r="B791" s="1145"/>
      <c r="C791" s="470"/>
      <c r="D791" s="489"/>
      <c r="E791" s="1126"/>
      <c r="F791" s="1128"/>
      <c r="G791" s="337"/>
      <c r="H791" s="1147"/>
      <c r="I791" s="1127"/>
      <c r="J791" s="1678" t="s">
        <v>6017</v>
      </c>
      <c r="K791" s="1066"/>
      <c r="L791" s="1066"/>
      <c r="M791" s="2992"/>
      <c r="N791" s="2357"/>
      <c r="O791" s="2357"/>
      <c r="P791" s="1128"/>
      <c r="Q791" s="492">
        <v>4</v>
      </c>
      <c r="R791" s="493" t="s">
        <v>5263</v>
      </c>
      <c r="S791" s="492">
        <v>80000</v>
      </c>
      <c r="T791" s="344" t="s">
        <v>50</v>
      </c>
      <c r="U791" s="1675"/>
      <c r="V791" s="492">
        <v>12</v>
      </c>
      <c r="W791" s="2870" t="s">
        <v>5221</v>
      </c>
      <c r="X791" s="1140" t="s">
        <v>1</v>
      </c>
      <c r="Y791" s="2377">
        <f>Z791/1000</f>
        <v>3840</v>
      </c>
      <c r="Z791" s="637">
        <f t="shared" si="321"/>
        <v>3840000</v>
      </c>
      <c r="AA791" s="1472"/>
      <c r="AB791" s="1675"/>
      <c r="AC791" s="1675"/>
    </row>
    <row r="792" spans="1:29" s="986" customFormat="1" ht="23.85" customHeight="1">
      <c r="A792" s="2868"/>
      <c r="B792" s="1145"/>
      <c r="C792" s="470"/>
      <c r="D792" s="489"/>
      <c r="E792" s="1313" t="s">
        <v>5254</v>
      </c>
      <c r="F792" s="1141">
        <f t="shared" ref="F792:F793" si="322">Y792</f>
        <v>6000</v>
      </c>
      <c r="G792" s="337"/>
      <c r="H792" s="1147"/>
      <c r="I792" s="1127"/>
      <c r="J792" s="2871" t="s">
        <v>5409</v>
      </c>
      <c r="K792" s="2357"/>
      <c r="L792" s="2357"/>
      <c r="M792" s="2357"/>
      <c r="N792" s="2357"/>
      <c r="O792" s="2357"/>
      <c r="P792" s="1128"/>
      <c r="Q792" s="372">
        <v>1</v>
      </c>
      <c r="R792" s="2870" t="s">
        <v>5266</v>
      </c>
      <c r="S792" s="1314">
        <v>500000</v>
      </c>
      <c r="T792" s="344" t="s">
        <v>50</v>
      </c>
      <c r="U792" s="1675"/>
      <c r="V792" s="372">
        <v>12</v>
      </c>
      <c r="W792" s="2870" t="s">
        <v>5221</v>
      </c>
      <c r="X792" s="1140" t="s">
        <v>1</v>
      </c>
      <c r="Y792" s="2377">
        <f t="shared" ref="Y792" si="323">Z792/1000</f>
        <v>6000</v>
      </c>
      <c r="Z792" s="637">
        <f t="shared" si="321"/>
        <v>6000000</v>
      </c>
      <c r="AA792" s="1472"/>
      <c r="AB792" s="1675"/>
      <c r="AC792" s="1675"/>
    </row>
    <row r="793" spans="1:29" s="986" customFormat="1" ht="23.85" customHeight="1">
      <c r="A793" s="2868"/>
      <c r="B793" s="1145"/>
      <c r="C793" s="470"/>
      <c r="D793" s="489"/>
      <c r="E793" s="1466" t="s">
        <v>5252</v>
      </c>
      <c r="F793" s="1141">
        <f t="shared" si="322"/>
        <v>5660</v>
      </c>
      <c r="G793" s="337"/>
      <c r="H793" s="1147"/>
      <c r="I793" s="1127"/>
      <c r="J793" s="2871" t="s">
        <v>5385</v>
      </c>
      <c r="K793" s="2357"/>
      <c r="L793" s="2357"/>
      <c r="M793" s="2357"/>
      <c r="N793" s="2357"/>
      <c r="O793" s="2357"/>
      <c r="P793" s="1128"/>
      <c r="Q793" s="372"/>
      <c r="R793" s="2870"/>
      <c r="S793" s="1314"/>
      <c r="T793" s="344"/>
      <c r="U793" s="1675"/>
      <c r="V793" s="372"/>
      <c r="W793" s="2870"/>
      <c r="X793" s="1140"/>
      <c r="Y793" s="1128">
        <f>SUM(Y794, Y795)</f>
        <v>5660</v>
      </c>
      <c r="Z793" s="407">
        <f>Z794+Z795</f>
        <v>5660000</v>
      </c>
      <c r="AA793" s="1472"/>
      <c r="AB793" s="1675"/>
      <c r="AC793" s="1675"/>
    </row>
    <row r="794" spans="1:29" s="986" customFormat="1" ht="23.85" customHeight="1">
      <c r="A794" s="2868"/>
      <c r="B794" s="1145"/>
      <c r="C794" s="470"/>
      <c r="D794" s="489"/>
      <c r="E794" s="1466"/>
      <c r="F794" s="1128"/>
      <c r="G794" s="337"/>
      <c r="H794" s="404"/>
      <c r="I794" s="1127"/>
      <c r="J794" s="1678" t="s">
        <v>6018</v>
      </c>
      <c r="K794" s="1066"/>
      <c r="L794" s="1066"/>
      <c r="M794" s="2992"/>
      <c r="N794" s="2357"/>
      <c r="O794" s="2357"/>
      <c r="P794" s="1128"/>
      <c r="Q794" s="372">
        <v>1</v>
      </c>
      <c r="R794" s="2870" t="s">
        <v>5266</v>
      </c>
      <c r="S794" s="1314">
        <v>330000</v>
      </c>
      <c r="T794" s="344" t="s">
        <v>50</v>
      </c>
      <c r="U794" s="1675"/>
      <c r="V794" s="372">
        <v>12</v>
      </c>
      <c r="W794" s="2870" t="s">
        <v>5221</v>
      </c>
      <c r="X794" s="1140" t="s">
        <v>1</v>
      </c>
      <c r="Y794" s="2377">
        <f t="shared" ref="Y794:Y795" si="324">Z794/1000</f>
        <v>3960</v>
      </c>
      <c r="Z794" s="637">
        <f t="shared" ref="Z794:Z795" si="325">Q794*S794*V794</f>
        <v>3960000</v>
      </c>
      <c r="AA794" s="1472"/>
      <c r="AB794" s="1675"/>
      <c r="AC794" s="1675"/>
    </row>
    <row r="795" spans="1:29" s="986" customFormat="1" ht="23.85" customHeight="1">
      <c r="A795" s="2868"/>
      <c r="B795" s="1145"/>
      <c r="C795" s="470"/>
      <c r="D795" s="489"/>
      <c r="E795" s="1466"/>
      <c r="F795" s="1128"/>
      <c r="G795" s="337"/>
      <c r="H795" s="404"/>
      <c r="I795" s="1127"/>
      <c r="J795" s="1678" t="s">
        <v>6019</v>
      </c>
      <c r="K795" s="1066"/>
      <c r="L795" s="1066"/>
      <c r="M795" s="2992"/>
      <c r="N795" s="2357"/>
      <c r="O795" s="2357"/>
      <c r="P795" s="1128"/>
      <c r="Q795" s="372">
        <v>1</v>
      </c>
      <c r="R795" s="2870" t="s">
        <v>5266</v>
      </c>
      <c r="S795" s="1314">
        <v>50000</v>
      </c>
      <c r="T795" s="344" t="s">
        <v>50</v>
      </c>
      <c r="U795" s="1675"/>
      <c r="V795" s="372">
        <v>34</v>
      </c>
      <c r="W795" s="2870" t="s">
        <v>5259</v>
      </c>
      <c r="X795" s="1140" t="s">
        <v>1</v>
      </c>
      <c r="Y795" s="2377">
        <f t="shared" si="324"/>
        <v>1700</v>
      </c>
      <c r="Z795" s="637">
        <f t="shared" si="325"/>
        <v>1700000</v>
      </c>
      <c r="AA795" s="1472"/>
      <c r="AB795" s="1675"/>
      <c r="AC795" s="1675"/>
    </row>
    <row r="796" spans="1:29" s="1089" customFormat="1" ht="23.85" customHeight="1">
      <c r="A796" s="2867"/>
      <c r="B796" s="1684"/>
      <c r="C796" s="3395" t="s">
        <v>5412</v>
      </c>
      <c r="D796" s="3395"/>
      <c r="E796" s="3395"/>
      <c r="F796" s="1394">
        <f>F797+F811+F813+F815+F817</f>
        <v>450000</v>
      </c>
      <c r="G796" s="1394">
        <f>G797+G811+G813+G815+G817</f>
        <v>0</v>
      </c>
      <c r="H796" s="1393">
        <f>F796-G796</f>
        <v>450000</v>
      </c>
      <c r="I796" s="1467"/>
      <c r="J796" s="1119"/>
      <c r="K796" s="2640"/>
      <c r="L796" s="2640"/>
      <c r="M796" s="2640"/>
      <c r="N796" s="2640"/>
      <c r="O796" s="2640"/>
      <c r="P796" s="731"/>
      <c r="Q796" s="736"/>
      <c r="R796" s="1389"/>
      <c r="S796" s="1388"/>
      <c r="T796" s="1389"/>
      <c r="U796" s="2607"/>
      <c r="V796" s="1388"/>
      <c r="W796" s="2607"/>
      <c r="X796" s="869"/>
      <c r="Y796" s="1395"/>
      <c r="Z796" s="1395"/>
      <c r="AA796" s="515"/>
      <c r="AB796" s="705"/>
      <c r="AC796" s="705"/>
    </row>
    <row r="797" spans="1:29" s="986" customFormat="1" ht="23.85" customHeight="1">
      <c r="A797" s="2868"/>
      <c r="B797" s="1145"/>
      <c r="C797" s="2873"/>
      <c r="D797" s="3387" t="s">
        <v>5763</v>
      </c>
      <c r="E797" s="3388"/>
      <c r="F797" s="1468">
        <f>SUM(F798:F810)</f>
        <v>40000</v>
      </c>
      <c r="G797" s="1468">
        <f>SUM(G798:G810)</f>
        <v>0</v>
      </c>
      <c r="H797" s="1393">
        <f t="shared" ref="H797" si="326">F797-G797</f>
        <v>40000</v>
      </c>
      <c r="I797" s="1127"/>
      <c r="J797" s="394"/>
      <c r="K797" s="2865"/>
      <c r="L797" s="2865"/>
      <c r="M797" s="2865"/>
      <c r="N797" s="2865"/>
      <c r="O797" s="2865"/>
      <c r="P797" s="484"/>
      <c r="Q797" s="487"/>
      <c r="R797" s="486"/>
      <c r="S797" s="487"/>
      <c r="T797" s="486"/>
      <c r="U797" s="1146"/>
      <c r="V797" s="487"/>
      <c r="W797" s="2860"/>
      <c r="X797" s="430"/>
      <c r="Y797" s="439"/>
      <c r="Z797" s="1469"/>
      <c r="AA797" s="275"/>
      <c r="AB797" s="1675"/>
      <c r="AC797" s="1675"/>
    </row>
    <row r="798" spans="1:29" s="986" customFormat="1" ht="23.85" customHeight="1">
      <c r="A798" s="2868"/>
      <c r="B798" s="1145"/>
      <c r="C798" s="470"/>
      <c r="D798" s="489"/>
      <c r="E798" s="350" t="s">
        <v>59</v>
      </c>
      <c r="F798" s="353">
        <f>Y798</f>
        <v>20125</v>
      </c>
      <c r="G798" s="351"/>
      <c r="H798" s="404"/>
      <c r="I798" s="1127"/>
      <c r="J798" s="1780" t="s">
        <v>1920</v>
      </c>
      <c r="K798" s="1685"/>
      <c r="L798" s="1685"/>
      <c r="M798" s="1685"/>
      <c r="N798" s="1686"/>
      <c r="O798" s="1686"/>
      <c r="P798" s="1685"/>
      <c r="Q798" s="635"/>
      <c r="R798" s="1685"/>
      <c r="S798" s="1686"/>
      <c r="T798" s="1685"/>
      <c r="U798" s="1685"/>
      <c r="V798" s="1685"/>
      <c r="W798" s="1685"/>
      <c r="X798" s="1685"/>
      <c r="Y798" s="406">
        <f t="shared" ref="Y798:Y799" si="327">+Z798/1000</f>
        <v>20125</v>
      </c>
      <c r="Z798" s="637">
        <f>Z799+Z800</f>
        <v>20125000</v>
      </c>
      <c r="AA798" s="1472"/>
      <c r="AB798" s="1675"/>
      <c r="AC798" s="1675"/>
    </row>
    <row r="799" spans="1:29" s="986" customFormat="1" ht="23.85" customHeight="1">
      <c r="A799" s="2868"/>
      <c r="B799" s="1145"/>
      <c r="C799" s="470"/>
      <c r="D799" s="489"/>
      <c r="E799" s="1126"/>
      <c r="F799" s="1128"/>
      <c r="G799" s="337"/>
      <c r="H799" s="1147"/>
      <c r="I799" s="1127"/>
      <c r="J799" s="1780" t="s">
        <v>5418</v>
      </c>
      <c r="K799" s="1685"/>
      <c r="L799" s="1685"/>
      <c r="M799" s="1685"/>
      <c r="N799" s="1686"/>
      <c r="O799" s="1686"/>
      <c r="P799" s="1685"/>
      <c r="Q799" s="635">
        <v>1</v>
      </c>
      <c r="R799" s="1685" t="s">
        <v>33</v>
      </c>
      <c r="S799" s="1686">
        <v>2500000</v>
      </c>
      <c r="T799" s="1685" t="s">
        <v>0</v>
      </c>
      <c r="U799" s="1685"/>
      <c r="V799" s="1685">
        <v>7</v>
      </c>
      <c r="W799" s="1685" t="s">
        <v>49</v>
      </c>
      <c r="X799" s="1685" t="s">
        <v>1</v>
      </c>
      <c r="Y799" s="406">
        <f t="shared" si="327"/>
        <v>17500</v>
      </c>
      <c r="Z799" s="637">
        <f>Q799*S799*V799</f>
        <v>17500000</v>
      </c>
      <c r="AA799" s="1472"/>
      <c r="AB799" s="1675"/>
      <c r="AC799" s="1675"/>
    </row>
    <row r="800" spans="1:29" s="986" customFormat="1" ht="23.85" customHeight="1">
      <c r="A800" s="2868"/>
      <c r="B800" s="1145"/>
      <c r="C800" s="470"/>
      <c r="D800" s="489"/>
      <c r="E800" s="1126"/>
      <c r="F800" s="1128"/>
      <c r="G800" s="337"/>
      <c r="H800" s="1147"/>
      <c r="I800" s="1127"/>
      <c r="J800" s="1780" t="s">
        <v>4238</v>
      </c>
      <c r="K800" s="1685"/>
      <c r="L800" s="1685"/>
      <c r="M800" s="1685"/>
      <c r="N800" s="1686"/>
      <c r="O800" s="1686"/>
      <c r="P800" s="1685"/>
      <c r="Q800" s="635"/>
      <c r="R800" s="1685"/>
      <c r="S800" s="1672">
        <v>17500000</v>
      </c>
      <c r="T800" s="2872" t="s">
        <v>264</v>
      </c>
      <c r="U800" s="2872"/>
      <c r="V800" s="856">
        <v>15</v>
      </c>
      <c r="W800" s="2872" t="s">
        <v>627</v>
      </c>
      <c r="X800" s="1140" t="s">
        <v>266</v>
      </c>
      <c r="Y800" s="406">
        <f t="shared" ref="Y800" si="328">Z800/1000</f>
        <v>2625</v>
      </c>
      <c r="Z800" s="1098">
        <f>S800*V800%</f>
        <v>2625000</v>
      </c>
      <c r="AA800" s="1472"/>
      <c r="AB800" s="1675"/>
      <c r="AC800" s="1675"/>
    </row>
    <row r="801" spans="1:29" s="986" customFormat="1" ht="23.85" customHeight="1">
      <c r="A801" s="2868"/>
      <c r="B801" s="1145"/>
      <c r="C801" s="470"/>
      <c r="D801" s="489"/>
      <c r="E801" s="1126" t="s">
        <v>199</v>
      </c>
      <c r="F801" s="1128">
        <f>Y801</f>
        <v>3000</v>
      </c>
      <c r="G801" s="337"/>
      <c r="H801" s="404"/>
      <c r="I801" s="1127"/>
      <c r="J801" s="1780" t="s">
        <v>5419</v>
      </c>
      <c r="K801" s="1685"/>
      <c r="L801" s="1685"/>
      <c r="M801" s="1685"/>
      <c r="N801" s="1686"/>
      <c r="O801" s="1686"/>
      <c r="P801" s="1685"/>
      <c r="Q801" s="1685"/>
      <c r="R801" s="1685"/>
      <c r="S801" s="1685">
        <v>3000000</v>
      </c>
      <c r="T801" s="1685" t="s">
        <v>0</v>
      </c>
      <c r="U801" s="1685"/>
      <c r="V801" s="1685">
        <v>1</v>
      </c>
      <c r="W801" s="1685" t="s">
        <v>196</v>
      </c>
      <c r="X801" s="1685" t="s">
        <v>1</v>
      </c>
      <c r="Y801" s="406">
        <f t="shared" ref="Y801" si="329">+Z801/1000</f>
        <v>3000</v>
      </c>
      <c r="Z801" s="637">
        <f>S801*V801</f>
        <v>3000000</v>
      </c>
      <c r="AA801" s="1472"/>
      <c r="AB801" s="1675"/>
      <c r="AC801" s="1675"/>
    </row>
    <row r="802" spans="1:29" s="986" customFormat="1" ht="23.85" customHeight="1">
      <c r="A802" s="2868"/>
      <c r="B802" s="1145"/>
      <c r="C802" s="470"/>
      <c r="D802" s="489"/>
      <c r="E802" s="1126" t="s">
        <v>224</v>
      </c>
      <c r="F802" s="1128">
        <f t="shared" ref="F802:F805" si="330">Y802</f>
        <v>955</v>
      </c>
      <c r="G802" s="337"/>
      <c r="H802" s="404"/>
      <c r="I802" s="1127"/>
      <c r="J802" s="1780" t="s">
        <v>5420</v>
      </c>
      <c r="K802" s="1685"/>
      <c r="L802" s="1685"/>
      <c r="M802" s="1685"/>
      <c r="N802" s="1686"/>
      <c r="O802" s="1686"/>
      <c r="P802" s="1685"/>
      <c r="Q802" s="1685"/>
      <c r="R802" s="1685"/>
      <c r="S802" s="1685">
        <v>955000</v>
      </c>
      <c r="T802" s="1685" t="s">
        <v>0</v>
      </c>
      <c r="U802" s="1685"/>
      <c r="V802" s="1685">
        <v>1</v>
      </c>
      <c r="W802" s="1685" t="s">
        <v>196</v>
      </c>
      <c r="X802" s="1685" t="s">
        <v>1</v>
      </c>
      <c r="Y802" s="406">
        <f>+Z802/1000</f>
        <v>955</v>
      </c>
      <c r="Z802" s="637">
        <f>S802*V802</f>
        <v>955000</v>
      </c>
      <c r="AA802" s="1472"/>
      <c r="AB802" s="1675"/>
      <c r="AC802" s="1675"/>
    </row>
    <row r="803" spans="1:29" s="986" customFormat="1" ht="23.85" customHeight="1">
      <c r="A803" s="2868"/>
      <c r="B803" s="1145"/>
      <c r="C803" s="470"/>
      <c r="D803" s="489"/>
      <c r="E803" s="1126" t="s">
        <v>195</v>
      </c>
      <c r="F803" s="1128">
        <f t="shared" si="330"/>
        <v>2400</v>
      </c>
      <c r="G803" s="337"/>
      <c r="H803" s="404"/>
      <c r="I803" s="1127"/>
      <c r="J803" s="1780" t="s">
        <v>2918</v>
      </c>
      <c r="K803" s="1685"/>
      <c r="L803" s="1685"/>
      <c r="M803" s="1685"/>
      <c r="N803" s="1686"/>
      <c r="O803" s="1686"/>
      <c r="P803" s="1685"/>
      <c r="Q803" s="635">
        <v>2</v>
      </c>
      <c r="R803" s="1685" t="s">
        <v>33</v>
      </c>
      <c r="S803" s="1686">
        <v>200000</v>
      </c>
      <c r="T803" s="1685" t="s">
        <v>0</v>
      </c>
      <c r="U803" s="1685"/>
      <c r="V803" s="1685">
        <v>6</v>
      </c>
      <c r="W803" s="1685" t="s">
        <v>49</v>
      </c>
      <c r="X803" s="1685" t="s">
        <v>1</v>
      </c>
      <c r="Y803" s="406">
        <f t="shared" ref="Y803" si="331">+Z803/1000</f>
        <v>2400</v>
      </c>
      <c r="Z803" s="637">
        <f>Q803*S803*V803</f>
        <v>2400000</v>
      </c>
      <c r="AA803" s="1472"/>
      <c r="AB803" s="1675"/>
      <c r="AC803" s="1675"/>
    </row>
    <row r="804" spans="1:29" s="986" customFormat="1" ht="23.85" customHeight="1">
      <c r="A804" s="2868"/>
      <c r="B804" s="1145"/>
      <c r="C804" s="470"/>
      <c r="D804" s="489"/>
      <c r="E804" s="1126" t="s">
        <v>269</v>
      </c>
      <c r="F804" s="1128">
        <f t="shared" si="330"/>
        <v>7200</v>
      </c>
      <c r="G804" s="337"/>
      <c r="H804" s="404"/>
      <c r="I804" s="1127"/>
      <c r="J804" s="1780" t="s">
        <v>5421</v>
      </c>
      <c r="K804" s="1685"/>
      <c r="L804" s="1685"/>
      <c r="M804" s="1685"/>
      <c r="N804" s="1686"/>
      <c r="O804" s="1686"/>
      <c r="P804" s="1685"/>
      <c r="Q804" s="635">
        <v>12</v>
      </c>
      <c r="R804" s="1685" t="s">
        <v>33</v>
      </c>
      <c r="S804" s="1686">
        <v>300000</v>
      </c>
      <c r="T804" s="1685" t="s">
        <v>0</v>
      </c>
      <c r="U804" s="1685"/>
      <c r="V804" s="1685">
        <v>2</v>
      </c>
      <c r="W804" s="1685" t="s">
        <v>265</v>
      </c>
      <c r="X804" s="1685" t="s">
        <v>1</v>
      </c>
      <c r="Y804" s="406">
        <f t="shared" ref="Y804" si="332">+Z804/1000</f>
        <v>7200</v>
      </c>
      <c r="Z804" s="637">
        <f>Q804*S804*V804</f>
        <v>7200000</v>
      </c>
      <c r="AA804" s="1472"/>
      <c r="AB804" s="1675"/>
      <c r="AC804" s="1675"/>
    </row>
    <row r="805" spans="1:29" s="986" customFormat="1" ht="23.85" customHeight="1">
      <c r="A805" s="2868"/>
      <c r="B805" s="1145"/>
      <c r="C805" s="470"/>
      <c r="D805" s="489"/>
      <c r="E805" s="1126" t="s">
        <v>223</v>
      </c>
      <c r="F805" s="1128">
        <f t="shared" si="330"/>
        <v>3220</v>
      </c>
      <c r="G805" s="337"/>
      <c r="H805" s="404"/>
      <c r="I805" s="1127"/>
      <c r="J805" s="1780" t="s">
        <v>1920</v>
      </c>
      <c r="K805" s="1685"/>
      <c r="L805" s="1685"/>
      <c r="M805" s="1685"/>
      <c r="N805" s="1686"/>
      <c r="O805" s="1686"/>
      <c r="P805" s="1685"/>
      <c r="Q805" s="1685"/>
      <c r="R805" s="1685"/>
      <c r="S805" s="1685"/>
      <c r="T805" s="1685"/>
      <c r="U805" s="1685"/>
      <c r="V805" s="1685"/>
      <c r="W805" s="1685"/>
      <c r="X805" s="1685"/>
      <c r="Y805" s="406">
        <f>Z805/1000</f>
        <v>3220</v>
      </c>
      <c r="Z805" s="637">
        <f>Z806+Z807</f>
        <v>3220000</v>
      </c>
      <c r="AA805" s="1472"/>
      <c r="AB805" s="1675"/>
      <c r="AC805" s="1675"/>
    </row>
    <row r="806" spans="1:29" s="986" customFormat="1" ht="23.85" customHeight="1">
      <c r="A806" s="2868"/>
      <c r="B806" s="1145"/>
      <c r="C806" s="470"/>
      <c r="D806" s="489"/>
      <c r="E806" s="1126"/>
      <c r="F806" s="1128"/>
      <c r="G806" s="337"/>
      <c r="H806" s="404"/>
      <c r="I806" s="1127"/>
      <c r="J806" s="1780" t="s">
        <v>5422</v>
      </c>
      <c r="K806" s="1685"/>
      <c r="L806" s="1685"/>
      <c r="M806" s="1685"/>
      <c r="N806" s="1686"/>
      <c r="O806" s="1686"/>
      <c r="P806" s="1685"/>
      <c r="Q806" s="1685">
        <v>1</v>
      </c>
      <c r="R806" s="1685" t="s">
        <v>18</v>
      </c>
      <c r="S806" s="1686">
        <v>130000</v>
      </c>
      <c r="T806" s="1685" t="s">
        <v>0</v>
      </c>
      <c r="U806" s="1685"/>
      <c r="V806" s="1685">
        <v>7</v>
      </c>
      <c r="W806" s="1685" t="s">
        <v>49</v>
      </c>
      <c r="X806" s="1685" t="s">
        <v>1</v>
      </c>
      <c r="Y806" s="406">
        <f t="shared" ref="Y806:Y808" si="333">+Z806/1000</f>
        <v>910</v>
      </c>
      <c r="Z806" s="637">
        <f>+Q806*S806*V806</f>
        <v>910000</v>
      </c>
      <c r="AA806" s="1472"/>
      <c r="AB806" s="1675"/>
      <c r="AC806" s="1675"/>
    </row>
    <row r="807" spans="1:29" s="986" customFormat="1" ht="23.85" customHeight="1">
      <c r="A807" s="2868"/>
      <c r="B807" s="1145"/>
      <c r="C807" s="470"/>
      <c r="D807" s="489"/>
      <c r="E807" s="1126"/>
      <c r="F807" s="1128"/>
      <c r="G807" s="337"/>
      <c r="H807" s="404"/>
      <c r="I807" s="1127"/>
      <c r="J807" s="1780" t="s">
        <v>5423</v>
      </c>
      <c r="K807" s="1685"/>
      <c r="L807" s="1685"/>
      <c r="M807" s="1685"/>
      <c r="N807" s="1686"/>
      <c r="O807" s="1686"/>
      <c r="P807" s="1685"/>
      <c r="Q807" s="1685">
        <v>1</v>
      </c>
      <c r="R807" s="1685" t="s">
        <v>18</v>
      </c>
      <c r="S807" s="1686">
        <v>330000</v>
      </c>
      <c r="T807" s="1685" t="s">
        <v>0</v>
      </c>
      <c r="U807" s="1685"/>
      <c r="V807" s="1685">
        <v>7</v>
      </c>
      <c r="W807" s="1685" t="s">
        <v>49</v>
      </c>
      <c r="X807" s="1685" t="s">
        <v>1</v>
      </c>
      <c r="Y807" s="406">
        <f t="shared" si="333"/>
        <v>2310</v>
      </c>
      <c r="Z807" s="637">
        <f>+Q807*S807*V807</f>
        <v>2310000</v>
      </c>
      <c r="AA807" s="1472"/>
      <c r="AB807" s="1675"/>
      <c r="AC807" s="1675"/>
    </row>
    <row r="808" spans="1:29" s="303" customFormat="1" ht="23.85" customHeight="1">
      <c r="A808" s="2868"/>
      <c r="B808" s="1145"/>
      <c r="C808" s="2873"/>
      <c r="D808" s="1312"/>
      <c r="E808" s="1313" t="s">
        <v>297</v>
      </c>
      <c r="F808" s="1128">
        <f t="shared" ref="F808" si="334">Y808</f>
        <v>500</v>
      </c>
      <c r="G808" s="337"/>
      <c r="H808" s="404"/>
      <c r="I808" s="1127"/>
      <c r="J808" s="1780" t="s">
        <v>5424</v>
      </c>
      <c r="K808" s="1685"/>
      <c r="L808" s="1685"/>
      <c r="M808" s="1685"/>
      <c r="N808" s="1686"/>
      <c r="O808" s="1686"/>
      <c r="P808" s="1685"/>
      <c r="Q808" s="1685"/>
      <c r="R808" s="1685"/>
      <c r="S808" s="1686">
        <v>500000</v>
      </c>
      <c r="T808" s="1685" t="s">
        <v>0</v>
      </c>
      <c r="U808" s="1685"/>
      <c r="V808" s="1685">
        <v>1</v>
      </c>
      <c r="W808" s="1685" t="s">
        <v>196</v>
      </c>
      <c r="X808" s="1685" t="s">
        <v>1</v>
      </c>
      <c r="Y808" s="406">
        <f t="shared" si="333"/>
        <v>500</v>
      </c>
      <c r="Z808" s="637">
        <f>S808*V808</f>
        <v>500000</v>
      </c>
      <c r="AA808" s="275"/>
      <c r="AB808" s="357"/>
      <c r="AC808" s="357"/>
    </row>
    <row r="809" spans="1:29" s="986" customFormat="1" ht="23.85" customHeight="1">
      <c r="A809" s="2868"/>
      <c r="B809" s="1145"/>
      <c r="C809" s="470"/>
      <c r="D809" s="489"/>
      <c r="E809" s="1126" t="s">
        <v>602</v>
      </c>
      <c r="F809" s="1128">
        <f t="shared" ref="F809:F810" si="335">Y809</f>
        <v>1000</v>
      </c>
      <c r="G809" s="337"/>
      <c r="H809" s="404"/>
      <c r="I809" s="1127"/>
      <c r="J809" s="1780" t="s">
        <v>5425</v>
      </c>
      <c r="K809" s="1685"/>
      <c r="L809" s="1685"/>
      <c r="M809" s="1685"/>
      <c r="N809" s="1686"/>
      <c r="O809" s="1686"/>
      <c r="P809" s="1685"/>
      <c r="Q809" s="1685"/>
      <c r="R809" s="1685"/>
      <c r="S809" s="1685">
        <v>500000</v>
      </c>
      <c r="T809" s="1685" t="s">
        <v>0</v>
      </c>
      <c r="U809" s="1685"/>
      <c r="V809" s="1685">
        <v>2</v>
      </c>
      <c r="W809" s="1685" t="s">
        <v>265</v>
      </c>
      <c r="X809" s="1685" t="s">
        <v>1</v>
      </c>
      <c r="Y809" s="406">
        <f t="shared" ref="Y809:Y810" si="336">+Z809/1000</f>
        <v>1000</v>
      </c>
      <c r="Z809" s="637">
        <f>S809*V809</f>
        <v>1000000</v>
      </c>
      <c r="AA809" s="275"/>
      <c r="AB809" s="1675"/>
      <c r="AC809" s="1675"/>
    </row>
    <row r="810" spans="1:29" s="303" customFormat="1" ht="23.85" customHeight="1">
      <c r="A810" s="1342"/>
      <c r="B810" s="1145"/>
      <c r="C810" s="2873"/>
      <c r="D810" s="495"/>
      <c r="E810" s="496" t="s">
        <v>271</v>
      </c>
      <c r="F810" s="1128">
        <f t="shared" si="335"/>
        <v>1600</v>
      </c>
      <c r="G810" s="490"/>
      <c r="H810" s="404"/>
      <c r="I810" s="1127"/>
      <c r="J810" s="1780" t="s">
        <v>5426</v>
      </c>
      <c r="K810" s="1685"/>
      <c r="L810" s="1685"/>
      <c r="M810" s="1685"/>
      <c r="N810" s="1686"/>
      <c r="O810" s="1686"/>
      <c r="P810" s="1685"/>
      <c r="Q810" s="1685">
        <v>20</v>
      </c>
      <c r="R810" s="1685" t="s">
        <v>33</v>
      </c>
      <c r="S810" s="1685">
        <v>20000</v>
      </c>
      <c r="T810" s="1685" t="s">
        <v>0</v>
      </c>
      <c r="U810" s="1685"/>
      <c r="V810" s="1685">
        <v>4</v>
      </c>
      <c r="W810" s="1685" t="s">
        <v>196</v>
      </c>
      <c r="X810" s="1685" t="s">
        <v>1</v>
      </c>
      <c r="Y810" s="406">
        <f t="shared" si="336"/>
        <v>1600</v>
      </c>
      <c r="Z810" s="637">
        <f>Q810*S810*V810</f>
        <v>1600000</v>
      </c>
      <c r="AA810" s="275"/>
      <c r="AB810" s="357"/>
      <c r="AC810" s="357"/>
    </row>
    <row r="811" spans="1:29" s="986" customFormat="1" ht="23.85" customHeight="1">
      <c r="A811" s="2868"/>
      <c r="B811" s="1145"/>
      <c r="C811" s="2873"/>
      <c r="D811" s="3387" t="s">
        <v>4998</v>
      </c>
      <c r="E811" s="3388"/>
      <c r="F811" s="1468">
        <f>F812</f>
        <v>160000</v>
      </c>
      <c r="G811" s="1468">
        <f>G812</f>
        <v>0</v>
      </c>
      <c r="H811" s="1393">
        <f t="shared" ref="H811" si="337">F811-G811</f>
        <v>160000</v>
      </c>
      <c r="I811" s="1127"/>
      <c r="J811" s="394"/>
      <c r="K811" s="2865"/>
      <c r="L811" s="2865"/>
      <c r="M811" s="2865"/>
      <c r="N811" s="2865"/>
      <c r="O811" s="2865"/>
      <c r="P811" s="484"/>
      <c r="Q811" s="487"/>
      <c r="R811" s="486"/>
      <c r="S811" s="487"/>
      <c r="T811" s="486"/>
      <c r="U811" s="1146"/>
      <c r="V811" s="487"/>
      <c r="W811" s="2860"/>
      <c r="X811" s="430"/>
      <c r="Y811" s="439"/>
      <c r="Z811" s="1469"/>
      <c r="AA811" s="275"/>
      <c r="AB811" s="1675"/>
      <c r="AC811" s="1675"/>
    </row>
    <row r="812" spans="1:29" s="986" customFormat="1" ht="23.85" customHeight="1">
      <c r="A812" s="2868"/>
      <c r="B812" s="1145"/>
      <c r="C812" s="470"/>
      <c r="D812" s="489"/>
      <c r="E812" s="350" t="s">
        <v>222</v>
      </c>
      <c r="F812" s="353">
        <f>Y812</f>
        <v>160000</v>
      </c>
      <c r="G812" s="351"/>
      <c r="H812" s="404"/>
      <c r="I812" s="1127"/>
      <c r="J812" s="2871" t="s">
        <v>5414</v>
      </c>
      <c r="K812" s="2357"/>
      <c r="L812" s="2357"/>
      <c r="M812" s="2357"/>
      <c r="N812" s="2357"/>
      <c r="O812" s="2357"/>
      <c r="P812" s="1128"/>
      <c r="Q812" s="492"/>
      <c r="R812" s="493"/>
      <c r="S812" s="492">
        <v>20000000</v>
      </c>
      <c r="T812" s="344" t="s">
        <v>50</v>
      </c>
      <c r="U812" s="1675"/>
      <c r="V812" s="492">
        <v>8</v>
      </c>
      <c r="W812" s="2870" t="s">
        <v>3338</v>
      </c>
      <c r="X812" s="1140" t="s">
        <v>1</v>
      </c>
      <c r="Y812" s="406">
        <f>Z812/1000</f>
        <v>160000</v>
      </c>
      <c r="Z812" s="637">
        <f>S812*V812</f>
        <v>160000000</v>
      </c>
      <c r="AA812" s="1472"/>
      <c r="AB812" s="1675"/>
      <c r="AC812" s="1675"/>
    </row>
    <row r="813" spans="1:29" s="986" customFormat="1" ht="23.85" customHeight="1">
      <c r="A813" s="2868"/>
      <c r="B813" s="1145"/>
      <c r="C813" s="2873"/>
      <c r="D813" s="3387" t="s">
        <v>5413</v>
      </c>
      <c r="E813" s="3388"/>
      <c r="F813" s="1468">
        <f>F814</f>
        <v>100000</v>
      </c>
      <c r="G813" s="1468">
        <f>G814</f>
        <v>0</v>
      </c>
      <c r="H813" s="1393">
        <f t="shared" ref="H813" si="338">F813-G813</f>
        <v>100000</v>
      </c>
      <c r="I813" s="1127"/>
      <c r="J813" s="394"/>
      <c r="K813" s="2865"/>
      <c r="L813" s="2865"/>
      <c r="M813" s="2865"/>
      <c r="N813" s="2865"/>
      <c r="O813" s="2865"/>
      <c r="P813" s="484"/>
      <c r="Q813" s="487"/>
      <c r="R813" s="486"/>
      <c r="S813" s="487"/>
      <c r="T813" s="486"/>
      <c r="U813" s="1146"/>
      <c r="V813" s="487"/>
      <c r="W813" s="2860"/>
      <c r="X813" s="430"/>
      <c r="Y813" s="439"/>
      <c r="Z813" s="1469"/>
      <c r="AA813" s="275"/>
      <c r="AB813" s="1675"/>
      <c r="AC813" s="1675"/>
    </row>
    <row r="814" spans="1:29" s="986" customFormat="1" ht="23.85" customHeight="1">
      <c r="A814" s="2868"/>
      <c r="B814" s="1145"/>
      <c r="C814" s="470"/>
      <c r="D814" s="489"/>
      <c r="E814" s="350" t="s">
        <v>222</v>
      </c>
      <c r="F814" s="353">
        <f>Y814</f>
        <v>100000</v>
      </c>
      <c r="G814" s="351"/>
      <c r="H814" s="404"/>
      <c r="I814" s="1127"/>
      <c r="J814" s="2871" t="s">
        <v>5414</v>
      </c>
      <c r="K814" s="2357"/>
      <c r="L814" s="2357"/>
      <c r="M814" s="2357"/>
      <c r="N814" s="2357"/>
      <c r="O814" s="2357"/>
      <c r="P814" s="1128"/>
      <c r="Q814" s="492"/>
      <c r="R814" s="493"/>
      <c r="S814" s="492">
        <v>50000000</v>
      </c>
      <c r="T814" s="344" t="s">
        <v>50</v>
      </c>
      <c r="U814" s="1675"/>
      <c r="V814" s="492">
        <v>2</v>
      </c>
      <c r="W814" s="2870" t="s">
        <v>3338</v>
      </c>
      <c r="X814" s="1140" t="s">
        <v>1</v>
      </c>
      <c r="Y814" s="406">
        <f>Z814/1000</f>
        <v>100000</v>
      </c>
      <c r="Z814" s="637">
        <f>S814*V814</f>
        <v>100000000</v>
      </c>
      <c r="AA814" s="1472"/>
      <c r="AB814" s="1675"/>
      <c r="AC814" s="1675"/>
    </row>
    <row r="815" spans="1:29" s="986" customFormat="1" ht="23.85" customHeight="1">
      <c r="A815" s="2868"/>
      <c r="B815" s="1145"/>
      <c r="C815" s="2873"/>
      <c r="D815" s="3387" t="s">
        <v>5415</v>
      </c>
      <c r="E815" s="3388"/>
      <c r="F815" s="1468">
        <f>F816</f>
        <v>50000</v>
      </c>
      <c r="G815" s="1468">
        <f>G816</f>
        <v>0</v>
      </c>
      <c r="H815" s="1393">
        <f t="shared" ref="H815" si="339">F815-G815</f>
        <v>50000</v>
      </c>
      <c r="I815" s="1127"/>
      <c r="J815" s="394"/>
      <c r="K815" s="2865"/>
      <c r="L815" s="2865"/>
      <c r="M815" s="2865"/>
      <c r="N815" s="2865"/>
      <c r="O815" s="2865"/>
      <c r="P815" s="484"/>
      <c r="Q815" s="487"/>
      <c r="R815" s="486"/>
      <c r="S815" s="487"/>
      <c r="T815" s="486"/>
      <c r="U815" s="1146"/>
      <c r="V815" s="487"/>
      <c r="W815" s="2860"/>
      <c r="X815" s="430"/>
      <c r="Y815" s="439"/>
      <c r="Z815" s="1469"/>
      <c r="AA815" s="275"/>
      <c r="AB815" s="1675"/>
      <c r="AC815" s="1675"/>
    </row>
    <row r="816" spans="1:29" s="986" customFormat="1" ht="23.85" customHeight="1">
      <c r="A816" s="2868"/>
      <c r="B816" s="1145"/>
      <c r="C816" s="470"/>
      <c r="D816" s="489"/>
      <c r="E816" s="350" t="s">
        <v>287</v>
      </c>
      <c r="F816" s="353">
        <f>Y816</f>
        <v>50000</v>
      </c>
      <c r="G816" s="351"/>
      <c r="H816" s="404"/>
      <c r="I816" s="1127"/>
      <c r="J816" s="2871" t="s">
        <v>5417</v>
      </c>
      <c r="K816" s="2357"/>
      <c r="L816" s="2357"/>
      <c r="M816" s="2357"/>
      <c r="N816" s="2357"/>
      <c r="O816" s="2357"/>
      <c r="P816" s="1128"/>
      <c r="Q816" s="492"/>
      <c r="R816" s="493"/>
      <c r="S816" s="492">
        <v>50000000</v>
      </c>
      <c r="T816" s="344" t="s">
        <v>50</v>
      </c>
      <c r="U816" s="1675"/>
      <c r="V816" s="492">
        <v>1</v>
      </c>
      <c r="W816" s="2870" t="s">
        <v>3338</v>
      </c>
      <c r="X816" s="1140" t="s">
        <v>1</v>
      </c>
      <c r="Y816" s="406">
        <f>Z816/1000</f>
        <v>50000</v>
      </c>
      <c r="Z816" s="637">
        <f>S816*V816</f>
        <v>50000000</v>
      </c>
      <c r="AA816" s="1472"/>
      <c r="AB816" s="1675"/>
      <c r="AC816" s="1675"/>
    </row>
    <row r="817" spans="1:30" s="986" customFormat="1" ht="23.85" customHeight="1">
      <c r="A817" s="2868"/>
      <c r="B817" s="1145"/>
      <c r="C817" s="2873"/>
      <c r="D817" s="3387" t="s">
        <v>5416</v>
      </c>
      <c r="E817" s="3388"/>
      <c r="F817" s="1468">
        <f>F818</f>
        <v>100000</v>
      </c>
      <c r="G817" s="1468">
        <f>G818</f>
        <v>0</v>
      </c>
      <c r="H817" s="1393">
        <f t="shared" ref="H817" si="340">F817-G817</f>
        <v>100000</v>
      </c>
      <c r="I817" s="1127"/>
      <c r="J817" s="394"/>
      <c r="K817" s="2865"/>
      <c r="L817" s="2865"/>
      <c r="M817" s="2865"/>
      <c r="N817" s="2865"/>
      <c r="O817" s="2865"/>
      <c r="P817" s="484"/>
      <c r="Q817" s="487"/>
      <c r="R817" s="486"/>
      <c r="S817" s="487"/>
      <c r="T817" s="486"/>
      <c r="U817" s="1146"/>
      <c r="V817" s="487"/>
      <c r="W817" s="2860"/>
      <c r="X817" s="430"/>
      <c r="Y817" s="439"/>
      <c r="Z817" s="1469"/>
      <c r="AA817" s="275"/>
      <c r="AB817" s="1675"/>
      <c r="AC817" s="1675"/>
    </row>
    <row r="818" spans="1:30" s="986" customFormat="1" ht="23.85" customHeight="1" thickBot="1">
      <c r="A818" s="2868"/>
      <c r="B818" s="1145"/>
      <c r="C818" s="470"/>
      <c r="D818" s="489"/>
      <c r="E818" s="350" t="s">
        <v>222</v>
      </c>
      <c r="F818" s="353">
        <f>Y818</f>
        <v>100000</v>
      </c>
      <c r="G818" s="351"/>
      <c r="H818" s="404"/>
      <c r="I818" s="1127"/>
      <c r="J818" s="2871" t="s">
        <v>5414</v>
      </c>
      <c r="K818" s="2357"/>
      <c r="L818" s="2357"/>
      <c r="M818" s="2357"/>
      <c r="N818" s="2357"/>
      <c r="O818" s="2357"/>
      <c r="P818" s="1128"/>
      <c r="Q818" s="492"/>
      <c r="R818" s="493"/>
      <c r="S818" s="492">
        <v>50000000</v>
      </c>
      <c r="T818" s="344" t="s">
        <v>50</v>
      </c>
      <c r="U818" s="1675"/>
      <c r="V818" s="492">
        <v>2</v>
      </c>
      <c r="W818" s="2870" t="s">
        <v>3338</v>
      </c>
      <c r="X818" s="1140" t="s">
        <v>1</v>
      </c>
      <c r="Y818" s="406">
        <f>Z818/1000</f>
        <v>100000</v>
      </c>
      <c r="Z818" s="637">
        <f>S818*V818</f>
        <v>100000000</v>
      </c>
      <c r="AA818" s="1472"/>
      <c r="AB818" s="1675"/>
      <c r="AC818" s="1675"/>
    </row>
    <row r="819" spans="1:30" s="2558" customFormat="1" ht="23.85" customHeight="1" thickBot="1">
      <c r="A819" s="422" t="s">
        <v>4248</v>
      </c>
      <c r="B819" s="1102"/>
      <c r="C819" s="1102"/>
      <c r="D819" s="1102"/>
      <c r="E819" s="1102"/>
      <c r="F819" s="595">
        <f t="shared" ref="F819:G819" si="341">+F820</f>
        <v>15000</v>
      </c>
      <c r="G819" s="595">
        <f t="shared" si="341"/>
        <v>0</v>
      </c>
      <c r="H819" s="1406">
        <f t="shared" si="267"/>
        <v>15000</v>
      </c>
      <c r="I819" s="409"/>
      <c r="J819" s="1301"/>
      <c r="K819" s="1302"/>
      <c r="L819" s="1302"/>
      <c r="M819" s="1302"/>
      <c r="N819" s="1302"/>
      <c r="O819" s="1302"/>
      <c r="P819" s="1302"/>
      <c r="Q819" s="1302"/>
      <c r="R819" s="1457"/>
      <c r="S819" s="1302"/>
      <c r="T819" s="1302"/>
      <c r="U819" s="1302"/>
      <c r="V819" s="1302"/>
      <c r="W819" s="1302"/>
      <c r="X819" s="1299"/>
      <c r="Y819" s="1458"/>
      <c r="Z819" s="1769"/>
      <c r="AA819" s="401"/>
      <c r="AB819" s="1091"/>
      <c r="AC819" s="1095"/>
      <c r="AD819" s="2553"/>
    </row>
    <row r="820" spans="1:30" s="591" customFormat="1" ht="23.85" customHeight="1" thickBot="1">
      <c r="A820" s="1112"/>
      <c r="B820" s="416" t="s">
        <v>4249</v>
      </c>
      <c r="C820" s="417"/>
      <c r="D820" s="418"/>
      <c r="E820" s="419"/>
      <c r="F820" s="596">
        <f>F821</f>
        <v>15000</v>
      </c>
      <c r="G820" s="596">
        <f>G821</f>
        <v>0</v>
      </c>
      <c r="H820" s="421">
        <f t="shared" si="267"/>
        <v>15000</v>
      </c>
      <c r="I820" s="1428"/>
      <c r="J820" s="422"/>
      <c r="K820" s="423"/>
      <c r="L820" s="423"/>
      <c r="M820" s="423"/>
      <c r="N820" s="423"/>
      <c r="O820" s="423"/>
      <c r="P820" s="423"/>
      <c r="Q820" s="423"/>
      <c r="R820" s="423"/>
      <c r="S820" s="423"/>
      <c r="T820" s="423"/>
      <c r="U820" s="423"/>
      <c r="V820" s="423"/>
      <c r="W820" s="423"/>
      <c r="X820" s="2605"/>
      <c r="Y820" s="1409"/>
      <c r="Z820" s="1734"/>
      <c r="AA820" s="401"/>
      <c r="AB820" s="1091"/>
      <c r="AC820" s="1423"/>
      <c r="AD820" s="607"/>
    </row>
    <row r="821" spans="1:30" s="85" customFormat="1" ht="23.85" customHeight="1">
      <c r="A821" s="2627"/>
      <c r="B821" s="1145"/>
      <c r="C821" s="864" t="s">
        <v>5429</v>
      </c>
      <c r="D821" s="2646"/>
      <c r="E821" s="763"/>
      <c r="F821" s="764">
        <f>F822</f>
        <v>15000</v>
      </c>
      <c r="G821" s="764">
        <f>G822</f>
        <v>0</v>
      </c>
      <c r="H821" s="461">
        <f>F821-G821</f>
        <v>15000</v>
      </c>
      <c r="I821" s="409"/>
      <c r="J821" s="1135"/>
      <c r="K821" s="2598"/>
      <c r="L821" s="2598"/>
      <c r="M821" s="2598"/>
      <c r="N821" s="2598"/>
      <c r="O821" s="2598"/>
      <c r="P821" s="2635"/>
      <c r="Q821" s="1136"/>
      <c r="R821" s="1137"/>
      <c r="S821" s="1136"/>
      <c r="T821" s="1136"/>
      <c r="U821" s="2635"/>
      <c r="V821" s="1136"/>
      <c r="W821" s="1136"/>
      <c r="X821" s="1138"/>
      <c r="Y821" s="377"/>
      <c r="Z821" s="2918"/>
      <c r="AA821" s="401"/>
      <c r="AB821" s="1091">
        <f>F821</f>
        <v>15000</v>
      </c>
      <c r="AC821" s="1464"/>
      <c r="AD821" s="981"/>
    </row>
    <row r="822" spans="1:30" s="85" customFormat="1" ht="23.85" customHeight="1">
      <c r="A822" s="2627"/>
      <c r="B822" s="1145"/>
      <c r="C822" s="1126"/>
      <c r="D822" s="3273" t="s">
        <v>5428</v>
      </c>
      <c r="E822" s="3274"/>
      <c r="F822" s="1156">
        <f>SUM(F823:F827)</f>
        <v>15000</v>
      </c>
      <c r="G822" s="1156">
        <f>SUM(G823:G827)</f>
        <v>0</v>
      </c>
      <c r="H822" s="559">
        <f>F822-G822</f>
        <v>15000</v>
      </c>
      <c r="I822" s="409"/>
      <c r="J822" s="1129"/>
      <c r="K822" s="2639"/>
      <c r="L822" s="2639"/>
      <c r="M822" s="2639"/>
      <c r="N822" s="2639"/>
      <c r="O822" s="2639"/>
      <c r="P822" s="1130"/>
      <c r="Q822" s="2639"/>
      <c r="R822" s="1626"/>
      <c r="S822" s="1130"/>
      <c r="T822" s="2639"/>
      <c r="U822" s="2639"/>
      <c r="V822" s="1130"/>
      <c r="W822" s="2639"/>
      <c r="X822" s="1157"/>
      <c r="Y822" s="1158"/>
      <c r="Z822" s="378"/>
      <c r="AA822" s="401"/>
      <c r="AB822" s="1091"/>
      <c r="AC822" s="1464"/>
      <c r="AD822" s="981"/>
    </row>
    <row r="823" spans="1:30" s="85" customFormat="1" ht="23.85" customHeight="1">
      <c r="A823" s="2627"/>
      <c r="B823" s="1145"/>
      <c r="C823" s="1126"/>
      <c r="D823" s="1148"/>
      <c r="E823" s="1134" t="s">
        <v>5257</v>
      </c>
      <c r="F823" s="1141">
        <f>Y823</f>
        <v>1000</v>
      </c>
      <c r="G823" s="1139"/>
      <c r="H823" s="1147"/>
      <c r="I823" s="409"/>
      <c r="J823" s="1780" t="s">
        <v>5433</v>
      </c>
      <c r="K823" s="1685"/>
      <c r="L823" s="1685"/>
      <c r="M823" s="1685"/>
      <c r="N823" s="1686"/>
      <c r="O823" s="1686"/>
      <c r="P823" s="1685"/>
      <c r="Q823" s="1685"/>
      <c r="R823" s="1685"/>
      <c r="S823" s="1685">
        <v>500000</v>
      </c>
      <c r="T823" s="1685" t="s">
        <v>0</v>
      </c>
      <c r="U823" s="1685"/>
      <c r="V823" s="1685">
        <v>2</v>
      </c>
      <c r="W823" s="1685" t="s">
        <v>265</v>
      </c>
      <c r="X823" s="1685" t="s">
        <v>1</v>
      </c>
      <c r="Y823" s="406">
        <f t="shared" ref="Y823:Y824" si="342">+Z823/1000</f>
        <v>1000</v>
      </c>
      <c r="Z823" s="868">
        <f>S823*V823</f>
        <v>1000000</v>
      </c>
      <c r="AA823" s="401"/>
      <c r="AB823" s="1091"/>
      <c r="AC823" s="1464"/>
      <c r="AD823" s="981"/>
    </row>
    <row r="824" spans="1:30" s="85" customFormat="1" ht="23.85" customHeight="1">
      <c r="A824" s="2627"/>
      <c r="B824" s="1145"/>
      <c r="C824" s="1126"/>
      <c r="D824" s="1148"/>
      <c r="E824" s="1134" t="s">
        <v>5382</v>
      </c>
      <c r="F824" s="1141">
        <f>Y824</f>
        <v>13600</v>
      </c>
      <c r="G824" s="1139"/>
      <c r="H824" s="1147"/>
      <c r="I824" s="409"/>
      <c r="J824" s="1780" t="s">
        <v>1920</v>
      </c>
      <c r="K824" s="1685"/>
      <c r="L824" s="1685"/>
      <c r="M824" s="1685"/>
      <c r="N824" s="1686"/>
      <c r="O824" s="1686"/>
      <c r="P824" s="1685"/>
      <c r="Q824" s="635"/>
      <c r="R824" s="1685"/>
      <c r="S824" s="1686"/>
      <c r="T824" s="1685"/>
      <c r="U824" s="1685"/>
      <c r="V824" s="1685"/>
      <c r="W824" s="1685"/>
      <c r="X824" s="1685"/>
      <c r="Y824" s="406">
        <f t="shared" si="342"/>
        <v>13600</v>
      </c>
      <c r="Z824" s="637">
        <f>Z825+Z826</f>
        <v>13600000</v>
      </c>
      <c r="AA824" s="401"/>
      <c r="AB824" s="1091"/>
      <c r="AC824" s="1464"/>
      <c r="AD824" s="981"/>
    </row>
    <row r="825" spans="1:30" s="85" customFormat="1" ht="23.85" customHeight="1">
      <c r="A825" s="2627"/>
      <c r="B825" s="1145"/>
      <c r="C825" s="1145"/>
      <c r="D825" s="1148"/>
      <c r="E825" s="1134"/>
      <c r="F825" s="1141"/>
      <c r="G825" s="1139"/>
      <c r="H825" s="1147"/>
      <c r="I825" s="409"/>
      <c r="J825" s="1780" t="s">
        <v>5430</v>
      </c>
      <c r="K825" s="1685"/>
      <c r="L825" s="1685"/>
      <c r="M825" s="1685"/>
      <c r="N825" s="1686"/>
      <c r="O825" s="1686"/>
      <c r="P825" s="1685"/>
      <c r="Q825" s="635"/>
      <c r="R825" s="1685"/>
      <c r="S825" s="1666">
        <v>100000</v>
      </c>
      <c r="T825" s="569" t="s">
        <v>264</v>
      </c>
      <c r="U825" s="569"/>
      <c r="V825" s="1685">
        <v>80</v>
      </c>
      <c r="W825" s="1685" t="s">
        <v>265</v>
      </c>
      <c r="X825" s="1807" t="s">
        <v>266</v>
      </c>
      <c r="Y825" s="406">
        <f t="shared" ref="Y825" si="343">Z825/1000</f>
        <v>8000</v>
      </c>
      <c r="Z825" s="868">
        <f>S825*V825</f>
        <v>8000000</v>
      </c>
      <c r="AA825" s="401"/>
      <c r="AB825" s="1091"/>
      <c r="AC825" s="1464"/>
      <c r="AD825" s="981"/>
    </row>
    <row r="826" spans="1:30" s="85" customFormat="1" ht="23.85" customHeight="1">
      <c r="A826" s="2627"/>
      <c r="B826" s="1145"/>
      <c r="C826" s="1126"/>
      <c r="D826" s="1148"/>
      <c r="E826" s="1134"/>
      <c r="F826" s="1141"/>
      <c r="G826" s="1139"/>
      <c r="H826" s="1147"/>
      <c r="I826" s="409"/>
      <c r="J826" s="1780" t="s">
        <v>5431</v>
      </c>
      <c r="K826" s="1685"/>
      <c r="L826" s="1685"/>
      <c r="M826" s="1685"/>
      <c r="N826" s="1686"/>
      <c r="O826" s="1686"/>
      <c r="P826" s="1685"/>
      <c r="Q826" s="635"/>
      <c r="R826" s="1685"/>
      <c r="S826" s="1686">
        <v>70000</v>
      </c>
      <c r="T826" s="1685" t="s">
        <v>0</v>
      </c>
      <c r="U826" s="1685"/>
      <c r="V826" s="1685">
        <v>80</v>
      </c>
      <c r="W826" s="1685" t="s">
        <v>265</v>
      </c>
      <c r="X826" s="1685" t="s">
        <v>1</v>
      </c>
      <c r="Y826" s="406">
        <f t="shared" ref="Y826" si="344">+Z826/1000</f>
        <v>5600</v>
      </c>
      <c r="Z826" s="868">
        <f>S826*V826</f>
        <v>5600000</v>
      </c>
      <c r="AA826" s="401"/>
      <c r="AB826" s="1091"/>
      <c r="AC826" s="1464"/>
      <c r="AD826" s="981"/>
    </row>
    <row r="827" spans="1:30" s="85" customFormat="1" ht="23.85" customHeight="1" thickBot="1">
      <c r="A827" s="2627"/>
      <c r="B827" s="1145"/>
      <c r="C827" s="1126"/>
      <c r="D827" s="1148"/>
      <c r="E827" s="1134" t="s">
        <v>5381</v>
      </c>
      <c r="F827" s="1141">
        <f>Y827</f>
        <v>400</v>
      </c>
      <c r="G827" s="1139"/>
      <c r="H827" s="1147"/>
      <c r="I827" s="409"/>
      <c r="J827" s="1780" t="s">
        <v>5432</v>
      </c>
      <c r="K827" s="1685"/>
      <c r="L827" s="1685"/>
      <c r="M827" s="1685"/>
      <c r="N827" s="1686"/>
      <c r="O827" s="1686"/>
      <c r="P827" s="1685"/>
      <c r="Q827" s="635">
        <v>5</v>
      </c>
      <c r="R827" s="1685" t="s">
        <v>33</v>
      </c>
      <c r="S827" s="1685">
        <v>20000</v>
      </c>
      <c r="T827" s="1685" t="s">
        <v>0</v>
      </c>
      <c r="U827" s="1685"/>
      <c r="V827" s="1685">
        <v>4</v>
      </c>
      <c r="W827" s="1685" t="s">
        <v>265</v>
      </c>
      <c r="X827" s="1685" t="s">
        <v>1</v>
      </c>
      <c r="Y827" s="406">
        <f t="shared" ref="Y827" si="345">+Z827/1000</f>
        <v>400</v>
      </c>
      <c r="Z827" s="1207">
        <f>Q827*S827*V827</f>
        <v>400000</v>
      </c>
      <c r="AA827" s="401"/>
      <c r="AB827" s="1091"/>
      <c r="AC827" s="1464"/>
      <c r="AD827" s="981"/>
    </row>
    <row r="828" spans="1:30" s="2558" customFormat="1" ht="23.85" customHeight="1" thickBot="1">
      <c r="A828" s="422" t="s">
        <v>4251</v>
      </c>
      <c r="B828" s="1102"/>
      <c r="C828" s="1102"/>
      <c r="D828" s="1102"/>
      <c r="E828" s="1102"/>
      <c r="F828" s="595">
        <f>F829</f>
        <v>290000</v>
      </c>
      <c r="G828" s="595">
        <f>G829</f>
        <v>270000</v>
      </c>
      <c r="H828" s="1406">
        <f>F828-G828</f>
        <v>20000</v>
      </c>
      <c r="I828" s="409"/>
      <c r="J828" s="1301"/>
      <c r="K828" s="1302"/>
      <c r="L828" s="1302"/>
      <c r="M828" s="1302"/>
      <c r="N828" s="1302"/>
      <c r="O828" s="1302"/>
      <c r="P828" s="1302"/>
      <c r="Q828" s="1302"/>
      <c r="R828" s="1457"/>
      <c r="S828" s="1302"/>
      <c r="T828" s="1302"/>
      <c r="U828" s="1302"/>
      <c r="V828" s="1302"/>
      <c r="W828" s="1302"/>
      <c r="X828" s="1299"/>
      <c r="Y828" s="1458"/>
      <c r="Z828" s="1769"/>
      <c r="AA828" s="401"/>
      <c r="AB828" s="1091"/>
      <c r="AC828" s="1095"/>
      <c r="AD828" s="2553"/>
    </row>
    <row r="829" spans="1:30" s="591" customFormat="1" ht="23.85" customHeight="1" thickBot="1">
      <c r="A829" s="1112"/>
      <c r="B829" s="416" t="s">
        <v>4252</v>
      </c>
      <c r="C829" s="417"/>
      <c r="D829" s="418"/>
      <c r="E829" s="419"/>
      <c r="F829" s="596">
        <f>F830+F933+F973</f>
        <v>290000</v>
      </c>
      <c r="G829" s="596">
        <f>G830+G933+G973</f>
        <v>270000</v>
      </c>
      <c r="H829" s="421">
        <f t="shared" ref="H829" si="346">F829-G829</f>
        <v>20000</v>
      </c>
      <c r="I829" s="1428"/>
      <c r="J829" s="422"/>
      <c r="K829" s="423"/>
      <c r="L829" s="423"/>
      <c r="M829" s="423"/>
      <c r="N829" s="423"/>
      <c r="O829" s="423"/>
      <c r="P829" s="423"/>
      <c r="Q829" s="423"/>
      <c r="R829" s="423"/>
      <c r="S829" s="423"/>
      <c r="T829" s="423"/>
      <c r="U829" s="423"/>
      <c r="V829" s="423"/>
      <c r="W829" s="423"/>
      <c r="X829" s="2605"/>
      <c r="Y829" s="1409"/>
      <c r="Z829" s="1734"/>
      <c r="AA829" s="401"/>
      <c r="AB829" s="1091"/>
      <c r="AC829" s="1423"/>
      <c r="AD829" s="607"/>
    </row>
    <row r="830" spans="1:30" s="1094" customFormat="1" ht="23.85" customHeight="1">
      <c r="A830" s="411"/>
      <c r="B830" s="412"/>
      <c r="C830" s="3266" t="s">
        <v>4253</v>
      </c>
      <c r="D830" s="3347"/>
      <c r="E830" s="3267"/>
      <c r="F830" s="1683">
        <f>F831</f>
        <v>180000</v>
      </c>
      <c r="G830" s="1683">
        <f>G831</f>
        <v>180000</v>
      </c>
      <c r="H830" s="461">
        <f>F830-G830</f>
        <v>0</v>
      </c>
      <c r="I830" s="409"/>
      <c r="J830" s="1135"/>
      <c r="K830" s="2598"/>
      <c r="L830" s="2598"/>
      <c r="M830" s="2598"/>
      <c r="N830" s="2598"/>
      <c r="O830" s="2598"/>
      <c r="P830" s="2598"/>
      <c r="Q830" s="2598"/>
      <c r="R830" s="395"/>
      <c r="S830" s="1136"/>
      <c r="T830" s="1136"/>
      <c r="U830" s="1136"/>
      <c r="V830" s="1136"/>
      <c r="W830" s="1136"/>
      <c r="X830" s="1138"/>
      <c r="Y830" s="431"/>
      <c r="Z830" s="400"/>
      <c r="AA830" s="401"/>
      <c r="AB830" s="1091"/>
      <c r="AC830" s="1092"/>
      <c r="AD830" s="1093"/>
    </row>
    <row r="831" spans="1:30" s="1094" customFormat="1" ht="22.5" customHeight="1">
      <c r="A831" s="411"/>
      <c r="B831" s="1097"/>
      <c r="C831" s="433"/>
      <c r="D831" s="3266" t="s">
        <v>3336</v>
      </c>
      <c r="E831" s="3267"/>
      <c r="F831" s="1683">
        <f>SUM(F832:F848)</f>
        <v>180000</v>
      </c>
      <c r="G831" s="702">
        <v>180000</v>
      </c>
      <c r="H831" s="461">
        <f>F831-G831</f>
        <v>0</v>
      </c>
      <c r="I831" s="409"/>
      <c r="J831" s="1135"/>
      <c r="K831" s="2598"/>
      <c r="L831" s="2598"/>
      <c r="M831" s="2598"/>
      <c r="N831" s="2598"/>
      <c r="O831" s="2598"/>
      <c r="P831" s="2598"/>
      <c r="Q831" s="2598"/>
      <c r="R831" s="395"/>
      <c r="S831" s="1136"/>
      <c r="T831" s="1136"/>
      <c r="U831" s="1136"/>
      <c r="V831" s="1136"/>
      <c r="W831" s="1136"/>
      <c r="X831" s="1138"/>
      <c r="Y831" s="431"/>
      <c r="Z831" s="463"/>
      <c r="AA831" s="401"/>
      <c r="AB831" s="1091"/>
      <c r="AC831" s="1092"/>
      <c r="AD831" s="1093"/>
    </row>
    <row r="832" spans="1:30" s="1094" customFormat="1" ht="22.5" customHeight="1">
      <c r="A832" s="411"/>
      <c r="B832" s="1097"/>
      <c r="C832" s="433"/>
      <c r="D832" s="433"/>
      <c r="E832" s="510" t="s">
        <v>4041</v>
      </c>
      <c r="F832" s="873">
        <f>Y832</f>
        <v>5000</v>
      </c>
      <c r="G832" s="873">
        <v>5000</v>
      </c>
      <c r="H832" s="700"/>
      <c r="I832" s="1333"/>
      <c r="J832" s="1780" t="s">
        <v>4254</v>
      </c>
      <c r="K832" s="1685"/>
      <c r="L832" s="1685"/>
      <c r="M832" s="1685"/>
      <c r="N832" s="1686"/>
      <c r="O832" s="1686"/>
      <c r="P832" s="1685"/>
      <c r="Q832" s="1685"/>
      <c r="R832" s="1685"/>
      <c r="S832" s="1685">
        <v>10000</v>
      </c>
      <c r="T832" s="1685" t="s">
        <v>0</v>
      </c>
      <c r="U832" s="1685"/>
      <c r="V832" s="1685">
        <v>500</v>
      </c>
      <c r="W832" s="1685" t="s">
        <v>4043</v>
      </c>
      <c r="X832" s="1685" t="s">
        <v>1</v>
      </c>
      <c r="Y832" s="406">
        <f t="shared" ref="Y832:Y833" si="347">+Z832/1000</f>
        <v>5000</v>
      </c>
      <c r="Z832" s="637">
        <f>S832*V832</f>
        <v>5000000</v>
      </c>
      <c r="AA832" s="401"/>
      <c r="AB832" s="1091"/>
      <c r="AC832" s="1092"/>
      <c r="AD832" s="1093"/>
    </row>
    <row r="833" spans="1:30" s="2624" customFormat="1" ht="22.5" customHeight="1">
      <c r="A833" s="436"/>
      <c r="B833" s="402"/>
      <c r="C833" s="465"/>
      <c r="D833" s="1131"/>
      <c r="E833" s="510" t="s">
        <v>4013</v>
      </c>
      <c r="F833" s="873">
        <f>Y833</f>
        <v>1000</v>
      </c>
      <c r="G833" s="873">
        <v>1000</v>
      </c>
      <c r="H833" s="700"/>
      <c r="I833" s="1333"/>
      <c r="J833" s="1780" t="s">
        <v>4234</v>
      </c>
      <c r="K833" s="1685"/>
      <c r="L833" s="1685"/>
      <c r="M833" s="1685"/>
      <c r="N833" s="1686"/>
      <c r="O833" s="1686"/>
      <c r="P833" s="1685"/>
      <c r="Q833" s="1685"/>
      <c r="R833" s="1685"/>
      <c r="S833" s="1685">
        <v>250000</v>
      </c>
      <c r="T833" s="1685" t="s">
        <v>0</v>
      </c>
      <c r="U833" s="1685"/>
      <c r="V833" s="1685">
        <v>4</v>
      </c>
      <c r="W833" s="1685" t="s">
        <v>3440</v>
      </c>
      <c r="X833" s="1685" t="s">
        <v>1</v>
      </c>
      <c r="Y833" s="406">
        <f t="shared" si="347"/>
        <v>1000</v>
      </c>
      <c r="Z833" s="637">
        <f>S833*V833</f>
        <v>1000000</v>
      </c>
      <c r="AA833" s="401"/>
      <c r="AB833" s="1091"/>
      <c r="AC833" s="1095"/>
      <c r="AD833" s="397"/>
    </row>
    <row r="834" spans="1:30" s="2624" customFormat="1" ht="22.5" customHeight="1">
      <c r="A834" s="436"/>
      <c r="B834" s="402"/>
      <c r="C834" s="465"/>
      <c r="D834" s="1131"/>
      <c r="E834" s="510" t="s">
        <v>4017</v>
      </c>
      <c r="F834" s="873">
        <f t="shared" ref="F834:F835" si="348">Y834</f>
        <v>1500</v>
      </c>
      <c r="G834" s="873">
        <v>1500</v>
      </c>
      <c r="H834" s="1147"/>
      <c r="I834" s="1333"/>
      <c r="J834" s="1780" t="s">
        <v>4235</v>
      </c>
      <c r="K834" s="1685"/>
      <c r="L834" s="1685"/>
      <c r="M834" s="1685"/>
      <c r="N834" s="1686"/>
      <c r="O834" s="1686"/>
      <c r="P834" s="1685"/>
      <c r="Q834" s="635">
        <v>2</v>
      </c>
      <c r="R834" s="1685" t="s">
        <v>4003</v>
      </c>
      <c r="S834" s="1685">
        <v>37500</v>
      </c>
      <c r="T834" s="1685" t="s">
        <v>0</v>
      </c>
      <c r="U834" s="1685"/>
      <c r="V834" s="1685">
        <v>20</v>
      </c>
      <c r="W834" s="1685" t="s">
        <v>3732</v>
      </c>
      <c r="X834" s="1685" t="s">
        <v>1</v>
      </c>
      <c r="Y834" s="406">
        <f>+Z834/1000</f>
        <v>1500</v>
      </c>
      <c r="Z834" s="637">
        <f>Q834*S834*V834</f>
        <v>1500000</v>
      </c>
      <c r="AA834" s="401"/>
      <c r="AB834" s="1091"/>
      <c r="AC834" s="1095"/>
      <c r="AD834" s="397"/>
    </row>
    <row r="835" spans="1:30" s="2624" customFormat="1" ht="22.5" customHeight="1">
      <c r="A835" s="436"/>
      <c r="B835" s="402"/>
      <c r="C835" s="465"/>
      <c r="D835" s="1131"/>
      <c r="E835" s="510" t="s">
        <v>4022</v>
      </c>
      <c r="F835" s="873">
        <f t="shared" si="348"/>
        <v>13000</v>
      </c>
      <c r="G835" s="873">
        <v>13000</v>
      </c>
      <c r="H835" s="700"/>
      <c r="I835" s="1333"/>
      <c r="J835" s="1780" t="s">
        <v>4195</v>
      </c>
      <c r="K835" s="1685"/>
      <c r="L835" s="1685"/>
      <c r="M835" s="1685"/>
      <c r="N835" s="1686"/>
      <c r="O835" s="1686"/>
      <c r="P835" s="1685"/>
      <c r="Q835" s="635"/>
      <c r="R835" s="1685"/>
      <c r="S835" s="1686"/>
      <c r="T835" s="1685"/>
      <c r="U835" s="1685"/>
      <c r="V835" s="1685"/>
      <c r="W835" s="1685"/>
      <c r="X835" s="1685"/>
      <c r="Y835" s="406">
        <f t="shared" ref="Y835:Y848" si="349">+Z835/1000</f>
        <v>13000</v>
      </c>
      <c r="Z835" s="637">
        <f>SUM(Z836:Z838)</f>
        <v>13000000</v>
      </c>
      <c r="AA835" s="401"/>
      <c r="AB835" s="1091"/>
      <c r="AC835" s="1095"/>
      <c r="AD835" s="397"/>
    </row>
    <row r="836" spans="1:30" s="2624" customFormat="1" ht="22.5" customHeight="1">
      <c r="A836" s="436"/>
      <c r="B836" s="402"/>
      <c r="C836" s="465"/>
      <c r="D836" s="1131"/>
      <c r="E836" s="510"/>
      <c r="F836" s="873"/>
      <c r="G836" s="873"/>
      <c r="H836" s="700"/>
      <c r="I836" s="1333"/>
      <c r="J836" s="1780" t="s">
        <v>4255</v>
      </c>
      <c r="K836" s="1685"/>
      <c r="L836" s="1685"/>
      <c r="M836" s="1685"/>
      <c r="N836" s="1686"/>
      <c r="O836" s="1686"/>
      <c r="P836" s="1685"/>
      <c r="Q836" s="635"/>
      <c r="R836" s="1685"/>
      <c r="S836" s="1666">
        <v>200000</v>
      </c>
      <c r="T836" s="569" t="s">
        <v>3727</v>
      </c>
      <c r="U836" s="569"/>
      <c r="V836" s="1685">
        <v>5</v>
      </c>
      <c r="W836" s="1685" t="s">
        <v>4063</v>
      </c>
      <c r="X836" s="1807" t="s">
        <v>3441</v>
      </c>
      <c r="Y836" s="406">
        <f t="shared" ref="Y836" si="350">Z836/1000</f>
        <v>1000</v>
      </c>
      <c r="Z836" s="1823">
        <f>S836*V836</f>
        <v>1000000</v>
      </c>
      <c r="AA836" s="401"/>
      <c r="AB836" s="1091"/>
      <c r="AC836" s="1095"/>
      <c r="AD836" s="397"/>
    </row>
    <row r="837" spans="1:30" s="1094" customFormat="1" ht="22.5" customHeight="1">
      <c r="A837" s="2627"/>
      <c r="B837" s="1145"/>
      <c r="C837" s="1126"/>
      <c r="D837" s="1131"/>
      <c r="E837" s="510"/>
      <c r="F837" s="873"/>
      <c r="G837" s="511"/>
      <c r="H837" s="1147"/>
      <c r="I837" s="1333"/>
      <c r="J837" s="1780" t="s">
        <v>4256</v>
      </c>
      <c r="K837" s="1685"/>
      <c r="L837" s="1685"/>
      <c r="M837" s="1685"/>
      <c r="N837" s="1686"/>
      <c r="O837" s="1686"/>
      <c r="P837" s="1685"/>
      <c r="Q837" s="635"/>
      <c r="R837" s="1685"/>
      <c r="S837" s="1686">
        <v>1000000</v>
      </c>
      <c r="T837" s="1685" t="s">
        <v>0</v>
      </c>
      <c r="U837" s="1685"/>
      <c r="V837" s="1685">
        <v>1</v>
      </c>
      <c r="W837" s="1685" t="s">
        <v>3732</v>
      </c>
      <c r="X837" s="1685" t="s">
        <v>1</v>
      </c>
      <c r="Y837" s="406">
        <f t="shared" si="349"/>
        <v>1000</v>
      </c>
      <c r="Z837" s="637">
        <f>S837*V837</f>
        <v>1000000</v>
      </c>
      <c r="AA837" s="401"/>
      <c r="AB837" s="1091"/>
      <c r="AC837" s="1092"/>
      <c r="AD837" s="1093"/>
    </row>
    <row r="838" spans="1:30" s="1094" customFormat="1" ht="22.5" customHeight="1">
      <c r="A838" s="2627"/>
      <c r="B838" s="1145"/>
      <c r="C838" s="1126"/>
      <c r="D838" s="1131"/>
      <c r="E838" s="510"/>
      <c r="F838" s="511"/>
      <c r="G838" s="511"/>
      <c r="H838" s="513"/>
      <c r="I838" s="1333"/>
      <c r="J838" s="1780" t="s">
        <v>4257</v>
      </c>
      <c r="K838" s="1685"/>
      <c r="L838" s="1685"/>
      <c r="M838" s="1685"/>
      <c r="N838" s="1686"/>
      <c r="O838" s="1686"/>
      <c r="P838" s="1685"/>
      <c r="Q838" s="635"/>
      <c r="R838" s="1685"/>
      <c r="S838" s="1686">
        <v>11000000</v>
      </c>
      <c r="T838" s="1685" t="s">
        <v>0</v>
      </c>
      <c r="U838" s="1685"/>
      <c r="V838" s="1685">
        <v>1</v>
      </c>
      <c r="W838" s="1685" t="s">
        <v>3732</v>
      </c>
      <c r="X838" s="1685" t="s">
        <v>1</v>
      </c>
      <c r="Y838" s="406">
        <f t="shared" si="349"/>
        <v>11000</v>
      </c>
      <c r="Z838" s="637">
        <f t="shared" ref="Z838" si="351">S838*V838</f>
        <v>11000000</v>
      </c>
      <c r="AA838" s="401"/>
      <c r="AB838" s="1091"/>
      <c r="AC838" s="1092"/>
      <c r="AD838" s="1093"/>
    </row>
    <row r="839" spans="1:30" s="1094" customFormat="1" ht="22.5" customHeight="1">
      <c r="A839" s="2627"/>
      <c r="B839" s="1145"/>
      <c r="C839" s="1126"/>
      <c r="D839" s="1131"/>
      <c r="E839" s="510" t="s">
        <v>3740</v>
      </c>
      <c r="F839" s="873">
        <f>Y839</f>
        <v>158500</v>
      </c>
      <c r="G839" s="511">
        <v>158500</v>
      </c>
      <c r="H839" s="513"/>
      <c r="I839" s="1333"/>
      <c r="J839" s="2643" t="s">
        <v>3447</v>
      </c>
      <c r="K839" s="1685"/>
      <c r="L839" s="1685"/>
      <c r="M839" s="1685"/>
      <c r="N839" s="1686"/>
      <c r="O839" s="1686"/>
      <c r="P839" s="1685"/>
      <c r="Q839" s="635"/>
      <c r="R839" s="1685"/>
      <c r="S839" s="1686"/>
      <c r="T839" s="1685"/>
      <c r="U839" s="1685"/>
      <c r="V839" s="1685"/>
      <c r="W839" s="1685"/>
      <c r="X839" s="1685"/>
      <c r="Y839" s="406">
        <f t="shared" si="349"/>
        <v>158500</v>
      </c>
      <c r="Z839" s="637">
        <f>SUM(Z840:Z847)</f>
        <v>158500000</v>
      </c>
      <c r="AA839" s="401"/>
      <c r="AB839" s="1091"/>
      <c r="AC839" s="1092"/>
      <c r="AD839" s="1093"/>
    </row>
    <row r="840" spans="1:30" s="1094" customFormat="1" ht="22.5" customHeight="1">
      <c r="A840" s="2627"/>
      <c r="B840" s="1145"/>
      <c r="C840" s="1126"/>
      <c r="D840" s="1131"/>
      <c r="E840" s="510"/>
      <c r="F840" s="511"/>
      <c r="G840" s="511"/>
      <c r="H840" s="513"/>
      <c r="I840" s="1333"/>
      <c r="J840" s="1780" t="s">
        <v>4258</v>
      </c>
      <c r="K840" s="1685"/>
      <c r="L840" s="1685"/>
      <c r="M840" s="1685"/>
      <c r="N840" s="1686"/>
      <c r="O840" s="1686"/>
      <c r="P840" s="1685"/>
      <c r="Q840" s="635"/>
      <c r="R840" s="1685"/>
      <c r="S840" s="1686">
        <v>20000000</v>
      </c>
      <c r="T840" s="1685" t="s">
        <v>0</v>
      </c>
      <c r="U840" s="1685"/>
      <c r="V840" s="1685">
        <v>2</v>
      </c>
      <c r="W840" s="1685" t="s">
        <v>4063</v>
      </c>
      <c r="X840" s="1685" t="s">
        <v>1</v>
      </c>
      <c r="Y840" s="406">
        <f t="shared" si="349"/>
        <v>40000</v>
      </c>
      <c r="Z840" s="637">
        <f>S840*V840</f>
        <v>40000000</v>
      </c>
      <c r="AA840" s="401"/>
      <c r="AB840" s="1091"/>
      <c r="AC840" s="1092"/>
      <c r="AD840" s="1093"/>
    </row>
    <row r="841" spans="1:30" s="1094" customFormat="1" ht="22.5" customHeight="1">
      <c r="A841" s="2627"/>
      <c r="B841" s="1145"/>
      <c r="C841" s="1126"/>
      <c r="D841" s="1131"/>
      <c r="E841" s="510"/>
      <c r="F841" s="511"/>
      <c r="G841" s="511"/>
      <c r="H841" s="513"/>
      <c r="I841" s="1333"/>
      <c r="J841" s="1780" t="s">
        <v>4259</v>
      </c>
      <c r="K841" s="1685"/>
      <c r="L841" s="1685"/>
      <c r="M841" s="1685"/>
      <c r="N841" s="1686"/>
      <c r="O841" s="1686"/>
      <c r="P841" s="1685"/>
      <c r="Q841" s="635"/>
      <c r="R841" s="1685"/>
      <c r="S841" s="1686">
        <v>2500000</v>
      </c>
      <c r="T841" s="1685" t="s">
        <v>0</v>
      </c>
      <c r="U841" s="1685"/>
      <c r="V841" s="1685">
        <v>2</v>
      </c>
      <c r="W841" s="1685" t="s">
        <v>3440</v>
      </c>
      <c r="X841" s="1685" t="s">
        <v>1</v>
      </c>
      <c r="Y841" s="406">
        <f t="shared" si="349"/>
        <v>5000</v>
      </c>
      <c r="Z841" s="637">
        <f t="shared" ref="Z841:Z847" si="352">S841*V841</f>
        <v>5000000</v>
      </c>
      <c r="AA841" s="401"/>
      <c r="AB841" s="1091"/>
      <c r="AC841" s="1092"/>
      <c r="AD841" s="1093"/>
    </row>
    <row r="842" spans="1:30" s="1094" customFormat="1" ht="22.5" customHeight="1">
      <c r="A842" s="2627"/>
      <c r="B842" s="1145"/>
      <c r="C842" s="1126"/>
      <c r="D842" s="1131"/>
      <c r="E842" s="510"/>
      <c r="F842" s="511"/>
      <c r="G842" s="511"/>
      <c r="H842" s="513"/>
      <c r="I842" s="1333"/>
      <c r="J842" s="1780" t="s">
        <v>4260</v>
      </c>
      <c r="K842" s="1685"/>
      <c r="L842" s="1685"/>
      <c r="M842" s="1685"/>
      <c r="N842" s="1686"/>
      <c r="O842" s="1686"/>
      <c r="P842" s="1685"/>
      <c r="Q842" s="635"/>
      <c r="R842" s="1685"/>
      <c r="S842" s="1686">
        <v>40000000</v>
      </c>
      <c r="T842" s="1685" t="s">
        <v>0</v>
      </c>
      <c r="U842" s="1685"/>
      <c r="V842" s="1685">
        <v>2</v>
      </c>
      <c r="W842" s="1685" t="s">
        <v>3440</v>
      </c>
      <c r="X842" s="1685" t="s">
        <v>1</v>
      </c>
      <c r="Y842" s="406">
        <f t="shared" si="349"/>
        <v>80000</v>
      </c>
      <c r="Z842" s="637">
        <f t="shared" si="352"/>
        <v>80000000</v>
      </c>
      <c r="AA842" s="401"/>
      <c r="AB842" s="1091"/>
      <c r="AC842" s="1092"/>
      <c r="AD842" s="1093"/>
    </row>
    <row r="843" spans="1:30" s="1094" customFormat="1" ht="22.5" customHeight="1">
      <c r="A843" s="2627"/>
      <c r="B843" s="1145"/>
      <c r="C843" s="1126"/>
      <c r="D843" s="1131"/>
      <c r="E843" s="510"/>
      <c r="F843" s="511"/>
      <c r="G843" s="511"/>
      <c r="H843" s="513"/>
      <c r="I843" s="1333"/>
      <c r="J843" s="1780" t="s">
        <v>4261</v>
      </c>
      <c r="K843" s="1685"/>
      <c r="L843" s="1685"/>
      <c r="M843" s="1685"/>
      <c r="N843" s="1686"/>
      <c r="O843" s="1686"/>
      <c r="P843" s="1685"/>
      <c r="Q843" s="1685"/>
      <c r="R843" s="1685"/>
      <c r="S843" s="1686">
        <v>3000000</v>
      </c>
      <c r="T843" s="1685" t="s">
        <v>0</v>
      </c>
      <c r="U843" s="1685"/>
      <c r="V843" s="1685">
        <v>1</v>
      </c>
      <c r="W843" s="1685" t="s">
        <v>3440</v>
      </c>
      <c r="X843" s="1685" t="s">
        <v>1</v>
      </c>
      <c r="Y843" s="406">
        <f t="shared" si="349"/>
        <v>3000</v>
      </c>
      <c r="Z843" s="637">
        <f t="shared" si="352"/>
        <v>3000000</v>
      </c>
      <c r="AA843" s="401"/>
      <c r="AB843" s="1091"/>
      <c r="AC843" s="1092"/>
      <c r="AD843" s="1093"/>
    </row>
    <row r="844" spans="1:30" s="1094" customFormat="1" ht="22.5" customHeight="1">
      <c r="A844" s="2627"/>
      <c r="B844" s="1145"/>
      <c r="C844" s="1145"/>
      <c r="D844" s="1148"/>
      <c r="E844" s="510"/>
      <c r="F844" s="511"/>
      <c r="G844" s="511"/>
      <c r="H844" s="513"/>
      <c r="I844" s="1333"/>
      <c r="J844" s="1780" t="s">
        <v>4262</v>
      </c>
      <c r="K844" s="1685"/>
      <c r="L844" s="1685"/>
      <c r="M844" s="1685"/>
      <c r="N844" s="1686"/>
      <c r="O844" s="1686"/>
      <c r="P844" s="1685"/>
      <c r="Q844" s="1685"/>
      <c r="R844" s="1685"/>
      <c r="S844" s="1686">
        <v>2000000</v>
      </c>
      <c r="T844" s="1685" t="s">
        <v>0</v>
      </c>
      <c r="U844" s="1685"/>
      <c r="V844" s="1685">
        <v>2</v>
      </c>
      <c r="W844" s="1685" t="s">
        <v>3440</v>
      </c>
      <c r="X844" s="1685" t="s">
        <v>1</v>
      </c>
      <c r="Y844" s="406">
        <f t="shared" si="349"/>
        <v>4000</v>
      </c>
      <c r="Z844" s="637">
        <f t="shared" si="352"/>
        <v>4000000</v>
      </c>
      <c r="AA844" s="401"/>
      <c r="AB844" s="1091"/>
      <c r="AC844" s="1092"/>
      <c r="AD844" s="1093"/>
    </row>
    <row r="845" spans="1:30" s="1094" customFormat="1" ht="22.5" customHeight="1">
      <c r="A845" s="2627"/>
      <c r="B845" s="1145"/>
      <c r="C845" s="1145"/>
      <c r="D845" s="1148"/>
      <c r="E845" s="510"/>
      <c r="F845" s="511"/>
      <c r="G845" s="511"/>
      <c r="H845" s="513"/>
      <c r="I845" s="1333"/>
      <c r="J845" s="1780" t="s">
        <v>4263</v>
      </c>
      <c r="K845" s="1685"/>
      <c r="L845" s="1685"/>
      <c r="M845" s="1685"/>
      <c r="N845" s="1686"/>
      <c r="O845" s="1686"/>
      <c r="P845" s="1685"/>
      <c r="Q845" s="1685"/>
      <c r="R845" s="1685"/>
      <c r="S845" s="1686">
        <v>2000000</v>
      </c>
      <c r="T845" s="1685" t="s">
        <v>0</v>
      </c>
      <c r="U845" s="1685"/>
      <c r="V845" s="1685">
        <v>2</v>
      </c>
      <c r="W845" s="1685" t="s">
        <v>3440</v>
      </c>
      <c r="X845" s="1685" t="s">
        <v>1</v>
      </c>
      <c r="Y845" s="406">
        <f t="shared" si="349"/>
        <v>4000</v>
      </c>
      <c r="Z845" s="637">
        <f t="shared" si="352"/>
        <v>4000000</v>
      </c>
      <c r="AA845" s="401"/>
      <c r="AB845" s="1091"/>
      <c r="AC845" s="1092"/>
      <c r="AD845" s="1093"/>
    </row>
    <row r="846" spans="1:30" s="1094" customFormat="1" ht="22.5" customHeight="1">
      <c r="A846" s="2627"/>
      <c r="B846" s="1145"/>
      <c r="C846" s="1145"/>
      <c r="D846" s="1148"/>
      <c r="E846" s="510"/>
      <c r="F846" s="511"/>
      <c r="G846" s="511"/>
      <c r="H846" s="513"/>
      <c r="I846" s="1333"/>
      <c r="J846" s="1780" t="s">
        <v>4264</v>
      </c>
      <c r="K846" s="1685"/>
      <c r="L846" s="1685"/>
      <c r="M846" s="1685"/>
      <c r="N846" s="1686"/>
      <c r="O846" s="1686"/>
      <c r="P846" s="1685"/>
      <c r="Q846" s="1685"/>
      <c r="R846" s="1685"/>
      <c r="S846" s="1686">
        <v>500000</v>
      </c>
      <c r="T846" s="1685" t="s">
        <v>0</v>
      </c>
      <c r="U846" s="1685"/>
      <c r="V846" s="1685">
        <v>1</v>
      </c>
      <c r="W846" s="1685" t="s">
        <v>3440</v>
      </c>
      <c r="X846" s="1685" t="s">
        <v>1</v>
      </c>
      <c r="Y846" s="406">
        <f t="shared" si="349"/>
        <v>500</v>
      </c>
      <c r="Z846" s="637">
        <f t="shared" si="352"/>
        <v>500000</v>
      </c>
      <c r="AA846" s="401"/>
      <c r="AB846" s="1091"/>
      <c r="AC846" s="1092"/>
      <c r="AD846" s="1093"/>
    </row>
    <row r="847" spans="1:30" s="1094" customFormat="1" ht="22.5" customHeight="1">
      <c r="A847" s="2627"/>
      <c r="B847" s="1145"/>
      <c r="C847" s="1126"/>
      <c r="D847" s="1148"/>
      <c r="E847" s="510"/>
      <c r="F847" s="511"/>
      <c r="G847" s="511"/>
      <c r="H847" s="513"/>
      <c r="I847" s="1333"/>
      <c r="J847" s="1780" t="s">
        <v>4265</v>
      </c>
      <c r="K847" s="1685"/>
      <c r="L847" s="1685"/>
      <c r="M847" s="1685"/>
      <c r="N847" s="1686"/>
      <c r="O847" s="1686"/>
      <c r="P847" s="1685"/>
      <c r="Q847" s="1685">
        <v>1</v>
      </c>
      <c r="R847" s="1685" t="s">
        <v>4003</v>
      </c>
      <c r="S847" s="1686">
        <v>2000000</v>
      </c>
      <c r="T847" s="1685" t="s">
        <v>0</v>
      </c>
      <c r="U847" s="1685"/>
      <c r="V847" s="1685">
        <v>11</v>
      </c>
      <c r="W847" s="1685" t="s">
        <v>4004</v>
      </c>
      <c r="X847" s="1685" t="s">
        <v>1</v>
      </c>
      <c r="Y847" s="406">
        <f t="shared" si="349"/>
        <v>22000</v>
      </c>
      <c r="Z847" s="637">
        <f t="shared" si="352"/>
        <v>22000000</v>
      </c>
      <c r="AA847" s="401"/>
      <c r="AB847" s="1091"/>
      <c r="AC847" s="1092"/>
      <c r="AD847" s="1093"/>
    </row>
    <row r="848" spans="1:30" s="1094" customFormat="1" ht="22.5" customHeight="1">
      <c r="A848" s="2627"/>
      <c r="B848" s="1145"/>
      <c r="C848" s="1126"/>
      <c r="D848" s="1148"/>
      <c r="E848" s="496" t="s">
        <v>4028</v>
      </c>
      <c r="F848" s="873">
        <f>Y848</f>
        <v>1000</v>
      </c>
      <c r="G848" s="490">
        <v>1000</v>
      </c>
      <c r="H848" s="1147"/>
      <c r="I848" s="1127"/>
      <c r="J848" s="1780" t="s">
        <v>4266</v>
      </c>
      <c r="K848" s="1685"/>
      <c r="L848" s="1685"/>
      <c r="M848" s="1685"/>
      <c r="N848" s="1686"/>
      <c r="O848" s="1686"/>
      <c r="P848" s="1685"/>
      <c r="Q848" s="1685">
        <v>10</v>
      </c>
      <c r="R848" s="1685" t="s">
        <v>4003</v>
      </c>
      <c r="S848" s="1685">
        <v>25000</v>
      </c>
      <c r="T848" s="1685" t="s">
        <v>0</v>
      </c>
      <c r="U848" s="1685"/>
      <c r="V848" s="1685">
        <v>4</v>
      </c>
      <c r="W848" s="1685" t="s">
        <v>3732</v>
      </c>
      <c r="X848" s="1685" t="s">
        <v>1</v>
      </c>
      <c r="Y848" s="406">
        <f t="shared" si="349"/>
        <v>1000</v>
      </c>
      <c r="Z848" s="637">
        <f>Q848*S848*V848</f>
        <v>1000000</v>
      </c>
      <c r="AA848" s="401"/>
      <c r="AB848" s="1091"/>
      <c r="AC848" s="1092"/>
      <c r="AD848" s="1093"/>
    </row>
    <row r="849" spans="1:30" s="592" customFormat="1" ht="22.5" hidden="1" customHeight="1">
      <c r="A849" s="411"/>
      <c r="B849" s="412"/>
      <c r="C849" s="3266" t="s">
        <v>4267</v>
      </c>
      <c r="D849" s="3347"/>
      <c r="E849" s="3267"/>
      <c r="F849" s="599">
        <f>+F850+F871+F884+F892+F914</f>
        <v>0</v>
      </c>
      <c r="G849" s="599">
        <f>+G850+G871+G884+G892+G914</f>
        <v>0</v>
      </c>
      <c r="H849" s="1383">
        <f t="shared" ref="H849:H850" si="353">F849-G849</f>
        <v>0</v>
      </c>
      <c r="I849" s="409"/>
      <c r="J849" s="1135"/>
      <c r="K849" s="2598"/>
      <c r="L849" s="2598"/>
      <c r="M849" s="2598"/>
      <c r="N849" s="2598"/>
      <c r="O849" s="2598"/>
      <c r="P849" s="2598"/>
      <c r="Q849" s="462"/>
      <c r="R849" s="395"/>
      <c r="S849" s="399"/>
      <c r="T849" s="1136"/>
      <c r="U849" s="1136"/>
      <c r="V849" s="1136"/>
      <c r="W849" s="1136"/>
      <c r="X849" s="1138"/>
      <c r="Y849" s="431"/>
      <c r="Z849" s="463"/>
      <c r="AA849" s="401"/>
      <c r="AB849" s="1091">
        <f>F849</f>
        <v>0</v>
      </c>
      <c r="AC849" s="1092"/>
      <c r="AD849" s="608"/>
    </row>
    <row r="850" spans="1:30" s="592" customFormat="1" ht="22.5" hidden="1" customHeight="1">
      <c r="A850" s="411"/>
      <c r="B850" s="412"/>
      <c r="C850" s="413"/>
      <c r="D850" s="3266" t="s">
        <v>4268</v>
      </c>
      <c r="E850" s="3267"/>
      <c r="F850" s="1683">
        <f>SUM(F851:F870)</f>
        <v>0</v>
      </c>
      <c r="G850" s="1683">
        <f>SUM(G851:G870)</f>
        <v>0</v>
      </c>
      <c r="H850" s="461">
        <f t="shared" si="353"/>
        <v>0</v>
      </c>
      <c r="I850" s="409"/>
      <c r="J850" s="1135"/>
      <c r="K850" s="2598"/>
      <c r="L850" s="2598"/>
      <c r="M850" s="2598"/>
      <c r="N850" s="2598"/>
      <c r="O850" s="2598"/>
      <c r="P850" s="2598"/>
      <c r="Q850" s="2598"/>
      <c r="R850" s="395"/>
      <c r="S850" s="1136"/>
      <c r="T850" s="1136"/>
      <c r="U850" s="1136"/>
      <c r="V850" s="1136"/>
      <c r="W850" s="1136"/>
      <c r="X850" s="1138"/>
      <c r="Y850" s="431"/>
      <c r="Z850" s="463"/>
      <c r="AA850" s="401"/>
      <c r="AB850" s="1091"/>
      <c r="AC850" s="1092"/>
      <c r="AD850" s="608"/>
    </row>
    <row r="851" spans="1:30" s="2558" customFormat="1" ht="22.5" hidden="1" customHeight="1">
      <c r="A851" s="436"/>
      <c r="B851" s="402"/>
      <c r="C851" s="465"/>
      <c r="D851" s="1131"/>
      <c r="E851" s="444" t="s">
        <v>4039</v>
      </c>
      <c r="F851" s="1085">
        <f>Y851</f>
        <v>0</v>
      </c>
      <c r="G851" s="1085"/>
      <c r="H851" s="467"/>
      <c r="I851" s="409"/>
      <c r="J851" s="2643"/>
      <c r="K851" s="2624"/>
      <c r="L851" s="2624"/>
      <c r="M851" s="2624"/>
      <c r="N851" s="2624"/>
      <c r="O851" s="2624"/>
      <c r="P851" s="2624"/>
      <c r="Q851" s="408"/>
      <c r="R851" s="2628"/>
      <c r="S851" s="2644"/>
      <c r="T851" s="2644"/>
      <c r="U851" s="2644"/>
      <c r="V851" s="2644"/>
      <c r="W851" s="2644"/>
      <c r="X851" s="1140"/>
      <c r="Y851" s="406"/>
      <c r="Z851" s="1098"/>
      <c r="AA851" s="401"/>
      <c r="AB851" s="1091"/>
      <c r="AC851" s="1095"/>
      <c r="AD851" s="2553"/>
    </row>
    <row r="852" spans="1:30" s="2558" customFormat="1" ht="22.5" hidden="1" customHeight="1">
      <c r="A852" s="436"/>
      <c r="B852" s="402"/>
      <c r="C852" s="465"/>
      <c r="D852" s="1131"/>
      <c r="E852" s="1134" t="s">
        <v>4041</v>
      </c>
      <c r="F852" s="383">
        <f>Y852</f>
        <v>0</v>
      </c>
      <c r="G852" s="383"/>
      <c r="H852" s="1147">
        <f>F852-G852</f>
        <v>0</v>
      </c>
      <c r="I852" s="409"/>
      <c r="J852" s="2643"/>
      <c r="K852" s="2624"/>
      <c r="L852" s="2624"/>
      <c r="M852" s="2624"/>
      <c r="N852" s="2624"/>
      <c r="O852" s="2624"/>
      <c r="P852" s="2624"/>
      <c r="Q852" s="1673"/>
      <c r="R852" s="405"/>
      <c r="S852" s="1672"/>
      <c r="T852" s="2644"/>
      <c r="U852" s="2644"/>
      <c r="V852" s="2644"/>
      <c r="W852" s="2644"/>
      <c r="X852" s="2644"/>
      <c r="Y852" s="1674"/>
      <c r="Z852" s="407"/>
      <c r="AA852" s="401"/>
      <c r="AB852" s="1091"/>
      <c r="AC852" s="1095"/>
      <c r="AD852" s="2553"/>
    </row>
    <row r="853" spans="1:30" s="2558" customFormat="1" ht="22.5" hidden="1" customHeight="1">
      <c r="A853" s="436"/>
      <c r="B853" s="465"/>
      <c r="C853" s="465"/>
      <c r="D853" s="1131"/>
      <c r="E853" s="1134" t="s">
        <v>4013</v>
      </c>
      <c r="F853" s="383">
        <f>Y853</f>
        <v>0</v>
      </c>
      <c r="G853" s="383"/>
      <c r="H853" s="1147">
        <f>F853-G853</f>
        <v>0</v>
      </c>
      <c r="I853" s="409"/>
      <c r="J853" s="2643"/>
      <c r="K853" s="2624"/>
      <c r="L853" s="2624"/>
      <c r="M853" s="2624"/>
      <c r="N853" s="2624"/>
      <c r="O853" s="2624"/>
      <c r="P853" s="2624"/>
      <c r="Q853" s="1673"/>
      <c r="R853" s="405"/>
      <c r="S853" s="1672"/>
      <c r="T853" s="2644"/>
      <c r="U853" s="2644"/>
      <c r="V853" s="2644"/>
      <c r="W853" s="2644"/>
      <c r="X853" s="2644"/>
      <c r="Y853" s="1674"/>
      <c r="Z853" s="407"/>
      <c r="AA853" s="401"/>
      <c r="AB853" s="1091"/>
      <c r="AC853" s="1095"/>
      <c r="AD853" s="2553"/>
    </row>
    <row r="854" spans="1:30" s="2558" customFormat="1" ht="22.5" hidden="1" customHeight="1">
      <c r="A854" s="436"/>
      <c r="B854" s="402"/>
      <c r="C854" s="465"/>
      <c r="D854" s="1131"/>
      <c r="E854" s="1134" t="s">
        <v>4017</v>
      </c>
      <c r="F854" s="403">
        <f>Y854</f>
        <v>0</v>
      </c>
      <c r="G854" s="403"/>
      <c r="H854" s="1147">
        <f>F854-G854</f>
        <v>0</v>
      </c>
      <c r="I854" s="409"/>
      <c r="J854" s="2643"/>
      <c r="K854" s="2624"/>
      <c r="L854" s="2624"/>
      <c r="M854" s="2624"/>
      <c r="N854" s="2624"/>
      <c r="O854" s="2624"/>
      <c r="P854" s="2624"/>
      <c r="Q854" s="2644"/>
      <c r="R854" s="2644"/>
      <c r="S854" s="2644"/>
      <c r="T854" s="2644"/>
      <c r="U854" s="2644"/>
      <c r="V854" s="2644"/>
      <c r="W854" s="2644"/>
      <c r="X854" s="1140"/>
      <c r="Y854" s="406"/>
      <c r="Z854" s="407"/>
      <c r="AA854" s="401"/>
      <c r="AB854" s="1091"/>
      <c r="AC854" s="1095"/>
      <c r="AD854" s="2553"/>
    </row>
    <row r="855" spans="1:30" s="2558" customFormat="1" ht="22.5" hidden="1" customHeight="1">
      <c r="A855" s="436"/>
      <c r="B855" s="402"/>
      <c r="C855" s="465"/>
      <c r="D855" s="1131"/>
      <c r="E855" s="1134" t="s">
        <v>4022</v>
      </c>
      <c r="F855" s="403">
        <f>+Y855</f>
        <v>0</v>
      </c>
      <c r="G855" s="403"/>
      <c r="H855" s="1147">
        <f>F855-G855</f>
        <v>0</v>
      </c>
      <c r="I855" s="409"/>
      <c r="J855" s="2643"/>
      <c r="K855" s="2624"/>
      <c r="L855" s="2624"/>
      <c r="M855" s="2624"/>
      <c r="N855" s="2624"/>
      <c r="O855" s="2624"/>
      <c r="P855" s="2624"/>
      <c r="Q855" s="2624"/>
      <c r="R855" s="405"/>
      <c r="S855" s="1672"/>
      <c r="T855" s="2644"/>
      <c r="U855" s="2644"/>
      <c r="V855" s="2644"/>
      <c r="W855" s="2644"/>
      <c r="X855" s="2644"/>
      <c r="Y855" s="1674"/>
      <c r="Z855" s="407"/>
      <c r="AA855" s="401"/>
      <c r="AB855" s="1091"/>
      <c r="AC855" s="1095"/>
      <c r="AD855" s="2553"/>
    </row>
    <row r="856" spans="1:30" s="2558" customFormat="1" ht="22.5" hidden="1" customHeight="1">
      <c r="A856" s="436"/>
      <c r="B856" s="402"/>
      <c r="C856" s="465"/>
      <c r="D856" s="1131"/>
      <c r="E856" s="1134"/>
      <c r="F856" s="403"/>
      <c r="G856" s="403"/>
      <c r="H856" s="404"/>
      <c r="I856" s="409"/>
      <c r="J856" s="2643"/>
      <c r="K856" s="2624"/>
      <c r="L856" s="2624"/>
      <c r="M856" s="2624"/>
      <c r="N856" s="2624"/>
      <c r="O856" s="2624"/>
      <c r="P856" s="2624"/>
      <c r="Q856" s="2644"/>
      <c r="R856" s="2644"/>
      <c r="S856" s="2644"/>
      <c r="T856" s="2644"/>
      <c r="U856" s="2644"/>
      <c r="V856" s="853"/>
      <c r="W856" s="2644"/>
      <c r="X856" s="2644"/>
      <c r="Y856" s="1674"/>
      <c r="Z856" s="407"/>
      <c r="AA856" s="401"/>
      <c r="AB856" s="1091"/>
      <c r="AC856" s="1095"/>
      <c r="AD856" s="2553"/>
    </row>
    <row r="857" spans="1:30" s="2558" customFormat="1" ht="22.5" hidden="1" customHeight="1">
      <c r="A857" s="436"/>
      <c r="B857" s="402"/>
      <c r="C857" s="465"/>
      <c r="D857" s="1131"/>
      <c r="E857" s="1134"/>
      <c r="F857" s="403"/>
      <c r="G857" s="403"/>
      <c r="H857" s="404"/>
      <c r="I857" s="409"/>
      <c r="J857" s="2643"/>
      <c r="K857" s="2624"/>
      <c r="L857" s="2624"/>
      <c r="M857" s="2624"/>
      <c r="N857" s="2624"/>
      <c r="O857" s="2624"/>
      <c r="P857" s="2624"/>
      <c r="Q857" s="2644"/>
      <c r="R857" s="2644"/>
      <c r="S857" s="2644"/>
      <c r="T857" s="2644"/>
      <c r="U857" s="2644"/>
      <c r="V857" s="2644"/>
      <c r="W857" s="2644"/>
      <c r="X857" s="2644"/>
      <c r="Y857" s="1674"/>
      <c r="Z857" s="407"/>
      <c r="AA857" s="401"/>
      <c r="AB857" s="1091"/>
      <c r="AC857" s="1095"/>
      <c r="AD857" s="2553"/>
    </row>
    <row r="858" spans="1:30" s="2558" customFormat="1" ht="22.5" hidden="1" customHeight="1">
      <c r="A858" s="436"/>
      <c r="B858" s="402"/>
      <c r="C858" s="465"/>
      <c r="D858" s="1131"/>
      <c r="E858" s="1134"/>
      <c r="F858" s="403"/>
      <c r="G858" s="403"/>
      <c r="H858" s="404"/>
      <c r="I858" s="409"/>
      <c r="J858" s="2643"/>
      <c r="K858" s="2624"/>
      <c r="L858" s="2624"/>
      <c r="M858" s="2624"/>
      <c r="N858" s="2624"/>
      <c r="O858" s="2624"/>
      <c r="P858" s="2624"/>
      <c r="Q858" s="2644"/>
      <c r="R858" s="2644"/>
      <c r="S858" s="2644"/>
      <c r="T858" s="2644"/>
      <c r="U858" s="2644"/>
      <c r="V858" s="2644"/>
      <c r="W858" s="2644"/>
      <c r="X858" s="2644"/>
      <c r="Y858" s="1674"/>
      <c r="Z858" s="407"/>
      <c r="AA858" s="401"/>
      <c r="AB858" s="1091"/>
      <c r="AC858" s="1095"/>
      <c r="AD858" s="2553"/>
    </row>
    <row r="859" spans="1:30" s="85" customFormat="1" ht="22.5" hidden="1" customHeight="1">
      <c r="A859" s="2627"/>
      <c r="B859" s="1145"/>
      <c r="C859" s="1126"/>
      <c r="D859" s="1131"/>
      <c r="E859" s="1134" t="s">
        <v>4269</v>
      </c>
      <c r="F859" s="1141">
        <f>+Y859</f>
        <v>0</v>
      </c>
      <c r="G859" s="1139"/>
      <c r="H859" s="1147">
        <f>F859-G859</f>
        <v>0</v>
      </c>
      <c r="I859" s="409"/>
      <c r="J859" s="2643"/>
      <c r="K859" s="2624"/>
      <c r="L859" s="2624"/>
      <c r="M859" s="2624"/>
      <c r="N859" s="2624"/>
      <c r="O859" s="2624"/>
      <c r="P859" s="1675"/>
      <c r="Q859" s="2644"/>
      <c r="R859" s="2630"/>
      <c r="S859" s="2644"/>
      <c r="T859" s="2644"/>
      <c r="U859" s="1675"/>
      <c r="V859" s="2644"/>
      <c r="W859" s="2644"/>
      <c r="X859" s="1140"/>
      <c r="Y859" s="1674"/>
      <c r="Z859" s="494"/>
      <c r="AA859" s="401"/>
      <c r="AB859" s="1091"/>
      <c r="AC859" s="1464"/>
      <c r="AD859" s="981"/>
    </row>
    <row r="860" spans="1:30" s="85" customFormat="1" ht="22.5" hidden="1" customHeight="1">
      <c r="A860" s="2627"/>
      <c r="B860" s="1145"/>
      <c r="C860" s="1126"/>
      <c r="D860" s="1131"/>
      <c r="E860" s="1134"/>
      <c r="F860" s="1141"/>
      <c r="G860" s="1139"/>
      <c r="H860" s="1147"/>
      <c r="I860" s="409"/>
      <c r="J860" s="2643"/>
      <c r="K860" s="2624"/>
      <c r="L860" s="2624"/>
      <c r="M860" s="2624"/>
      <c r="N860" s="2357"/>
      <c r="O860" s="2357"/>
      <c r="P860" s="2357"/>
      <c r="Q860" s="2644"/>
      <c r="R860" s="2630"/>
      <c r="S860" s="2644"/>
      <c r="T860" s="2644"/>
      <c r="U860" s="2644"/>
      <c r="V860" s="2644"/>
      <c r="W860" s="2644"/>
      <c r="X860" s="765"/>
      <c r="Y860" s="1674"/>
      <c r="Z860" s="656"/>
      <c r="AA860" s="401"/>
      <c r="AB860" s="1091"/>
      <c r="AC860" s="1464"/>
      <c r="AD860" s="981"/>
    </row>
    <row r="861" spans="1:30" s="85" customFormat="1" ht="22.5" hidden="1" customHeight="1">
      <c r="A861" s="2627"/>
      <c r="B861" s="1145"/>
      <c r="C861" s="1145"/>
      <c r="D861" s="1131"/>
      <c r="E861" s="1134"/>
      <c r="F861" s="1141"/>
      <c r="G861" s="1139"/>
      <c r="H861" s="1147"/>
      <c r="I861" s="409"/>
      <c r="J861" s="2643"/>
      <c r="K861" s="2624"/>
      <c r="L861" s="2624"/>
      <c r="M861" s="2624"/>
      <c r="N861" s="2357"/>
      <c r="O861" s="2357"/>
      <c r="P861" s="2357"/>
      <c r="Q861" s="2644"/>
      <c r="R861" s="2630"/>
      <c r="S861" s="2644"/>
      <c r="T861" s="2644"/>
      <c r="U861" s="2644"/>
      <c r="V861" s="2644"/>
      <c r="W861" s="2644"/>
      <c r="X861" s="765"/>
      <c r="Y861" s="1674"/>
      <c r="Z861" s="656"/>
      <c r="AA861" s="401"/>
      <c r="AB861" s="1091"/>
      <c r="AC861" s="1464"/>
      <c r="AD861" s="981"/>
    </row>
    <row r="862" spans="1:30" s="85" customFormat="1" ht="22.5" hidden="1" customHeight="1">
      <c r="A862" s="2627"/>
      <c r="B862" s="1145"/>
      <c r="C862" s="1126"/>
      <c r="D862" s="1131"/>
      <c r="E862" s="1134"/>
      <c r="F862" s="1141"/>
      <c r="G862" s="1139"/>
      <c r="H862" s="1147"/>
      <c r="I862" s="409"/>
      <c r="J862" s="2643"/>
      <c r="K862" s="2624"/>
      <c r="L862" s="2624"/>
      <c r="M862" s="2624"/>
      <c r="N862" s="2357"/>
      <c r="O862" s="2357"/>
      <c r="P862" s="2357"/>
      <c r="Q862" s="2644"/>
      <c r="R862" s="2630"/>
      <c r="S862" s="2644"/>
      <c r="T862" s="2644"/>
      <c r="U862" s="2644"/>
      <c r="V862" s="2644"/>
      <c r="W862" s="2644"/>
      <c r="X862" s="765"/>
      <c r="Y862" s="1674"/>
      <c r="Z862" s="656"/>
      <c r="AA862" s="401"/>
      <c r="AB862" s="1091"/>
      <c r="AC862" s="1464"/>
      <c r="AD862" s="981"/>
    </row>
    <row r="863" spans="1:30" s="85" customFormat="1" ht="22.5" hidden="1" customHeight="1">
      <c r="A863" s="2627"/>
      <c r="B863" s="1145"/>
      <c r="C863" s="1145"/>
      <c r="D863" s="1148"/>
      <c r="E863" s="1134"/>
      <c r="F863" s="1141"/>
      <c r="G863" s="1139"/>
      <c r="H863" s="1147"/>
      <c r="I863" s="409"/>
      <c r="J863" s="2643"/>
      <c r="K863" s="2624"/>
      <c r="L863" s="2624"/>
      <c r="M863" s="2624"/>
      <c r="N863" s="2357"/>
      <c r="O863" s="2357"/>
      <c r="P863" s="2357"/>
      <c r="Q863" s="2644"/>
      <c r="R863" s="2630"/>
      <c r="S863" s="2644"/>
      <c r="T863" s="2644"/>
      <c r="U863" s="2644"/>
      <c r="V863" s="2644"/>
      <c r="W863" s="2644"/>
      <c r="X863" s="765"/>
      <c r="Y863" s="1674"/>
      <c r="Z863" s="656"/>
      <c r="AA863" s="401"/>
      <c r="AB863" s="1091"/>
      <c r="AC863" s="1464"/>
      <c r="AD863" s="981"/>
    </row>
    <row r="864" spans="1:30" s="85" customFormat="1" ht="22.5" hidden="1" customHeight="1">
      <c r="A864" s="2627"/>
      <c r="B864" s="1145"/>
      <c r="C864" s="1145"/>
      <c r="D864" s="1148"/>
      <c r="E864" s="1134"/>
      <c r="F864" s="1141"/>
      <c r="G864" s="1139"/>
      <c r="H864" s="1147"/>
      <c r="I864" s="409"/>
      <c r="J864" s="2643"/>
      <c r="K864" s="2624"/>
      <c r="L864" s="2624"/>
      <c r="M864" s="2624"/>
      <c r="N864" s="2357"/>
      <c r="O864" s="2357"/>
      <c r="P864" s="2357"/>
      <c r="Q864" s="2644"/>
      <c r="R864" s="2630"/>
      <c r="S864" s="2644"/>
      <c r="T864" s="2644"/>
      <c r="U864" s="2644"/>
      <c r="V864" s="2644"/>
      <c r="W864" s="2644"/>
      <c r="X864" s="765"/>
      <c r="Y864" s="1674"/>
      <c r="Z864" s="656"/>
      <c r="AA864" s="401"/>
      <c r="AB864" s="1091"/>
      <c r="AC864" s="1464"/>
      <c r="AD864" s="981"/>
    </row>
    <row r="865" spans="1:30" s="85" customFormat="1" ht="22.5" hidden="1" customHeight="1">
      <c r="A865" s="2627"/>
      <c r="B865" s="1145"/>
      <c r="C865" s="1145"/>
      <c r="D865" s="1148"/>
      <c r="E865" s="1134"/>
      <c r="F865" s="1141"/>
      <c r="G865" s="1139"/>
      <c r="H865" s="1147"/>
      <c r="I865" s="409"/>
      <c r="J865" s="2643"/>
      <c r="K865" s="2624"/>
      <c r="L865" s="2624"/>
      <c r="M865" s="2624"/>
      <c r="N865" s="2357"/>
      <c r="O865" s="2357"/>
      <c r="P865" s="2357"/>
      <c r="Q865" s="2644"/>
      <c r="R865" s="2630"/>
      <c r="S865" s="2644"/>
      <c r="T865" s="2644"/>
      <c r="U865" s="2644"/>
      <c r="V865" s="2644"/>
      <c r="W865" s="2644"/>
      <c r="X865" s="765"/>
      <c r="Y865" s="1674"/>
      <c r="Z865" s="656"/>
      <c r="AA865" s="401"/>
      <c r="AB865" s="1091"/>
      <c r="AC865" s="1464"/>
      <c r="AD865" s="981"/>
    </row>
    <row r="866" spans="1:30" s="85" customFormat="1" ht="22.5" hidden="1" customHeight="1">
      <c r="A866" s="2627"/>
      <c r="B866" s="1145"/>
      <c r="C866" s="1126"/>
      <c r="D866" s="1148"/>
      <c r="E866" s="1134"/>
      <c r="F866" s="1141"/>
      <c r="G866" s="1139"/>
      <c r="H866" s="1147"/>
      <c r="I866" s="409"/>
      <c r="J866" s="2643"/>
      <c r="K866" s="2624"/>
      <c r="L866" s="2624"/>
      <c r="M866" s="2624"/>
      <c r="N866" s="2357"/>
      <c r="O866" s="2357"/>
      <c r="P866" s="2357"/>
      <c r="Q866" s="2644"/>
      <c r="R866" s="2630"/>
      <c r="S866" s="2644"/>
      <c r="T866" s="2644"/>
      <c r="U866" s="2644"/>
      <c r="V866" s="2644"/>
      <c r="W866" s="2644"/>
      <c r="X866" s="765"/>
      <c r="Y866" s="1674"/>
      <c r="Z866" s="656"/>
      <c r="AA866" s="401"/>
      <c r="AB866" s="1091"/>
      <c r="AC866" s="1464"/>
      <c r="AD866" s="981"/>
    </row>
    <row r="867" spans="1:30" s="85" customFormat="1" ht="22.5" hidden="1" customHeight="1">
      <c r="A867" s="2627"/>
      <c r="B867" s="1145"/>
      <c r="C867" s="1126"/>
      <c r="D867" s="1148"/>
      <c r="E867" s="1134"/>
      <c r="F867" s="1141"/>
      <c r="G867" s="1139"/>
      <c r="H867" s="1147"/>
      <c r="I867" s="409"/>
      <c r="J867" s="2643"/>
      <c r="K867" s="2624"/>
      <c r="L867" s="2624"/>
      <c r="M867" s="2624"/>
      <c r="N867" s="2357"/>
      <c r="O867" s="2357"/>
      <c r="P867" s="2357"/>
      <c r="Q867" s="2644"/>
      <c r="R867" s="2630"/>
      <c r="S867" s="2644"/>
      <c r="T867" s="2644"/>
      <c r="U867" s="2644"/>
      <c r="V867" s="2644"/>
      <c r="W867" s="2644"/>
      <c r="X867" s="765"/>
      <c r="Y867" s="1674"/>
      <c r="Z867" s="656"/>
      <c r="AA867" s="401"/>
      <c r="AB867" s="1091"/>
      <c r="AC867" s="1464"/>
      <c r="AD867" s="981"/>
    </row>
    <row r="868" spans="1:30" s="85" customFormat="1" ht="22.5" hidden="1" customHeight="1">
      <c r="A868" s="2627"/>
      <c r="B868" s="1145"/>
      <c r="C868" s="1145"/>
      <c r="D868" s="1148"/>
      <c r="E868" s="1134"/>
      <c r="F868" s="1141"/>
      <c r="G868" s="1139"/>
      <c r="H868" s="1147"/>
      <c r="I868" s="409"/>
      <c r="J868" s="2643"/>
      <c r="K868" s="2624"/>
      <c r="L868" s="2624"/>
      <c r="M868" s="2624"/>
      <c r="N868" s="2357"/>
      <c r="O868" s="2357"/>
      <c r="P868" s="2357"/>
      <c r="Q868" s="2644"/>
      <c r="R868" s="2630"/>
      <c r="S868" s="2644"/>
      <c r="T868" s="2644"/>
      <c r="U868" s="2644"/>
      <c r="V868" s="2644"/>
      <c r="W868" s="2644"/>
      <c r="X868" s="765"/>
      <c r="Y868" s="1674"/>
      <c r="Z868" s="656"/>
      <c r="AA868" s="401"/>
      <c r="AB868" s="1091"/>
      <c r="AC868" s="1464"/>
      <c r="AD868" s="981"/>
    </row>
    <row r="869" spans="1:30" s="85" customFormat="1" ht="22.5" hidden="1" customHeight="1">
      <c r="A869" s="2627"/>
      <c r="B869" s="1145"/>
      <c r="C869" s="1145"/>
      <c r="D869" s="1148"/>
      <c r="E869" s="1134"/>
      <c r="F869" s="1141"/>
      <c r="G869" s="1139"/>
      <c r="H869" s="1147"/>
      <c r="I869" s="409"/>
      <c r="J869" s="2643"/>
      <c r="K869" s="2624"/>
      <c r="L869" s="2624"/>
      <c r="M869" s="2624"/>
      <c r="N869" s="2357"/>
      <c r="O869" s="2357"/>
      <c r="P869" s="2357"/>
      <c r="Q869" s="2644"/>
      <c r="R869" s="2630"/>
      <c r="S869" s="2644"/>
      <c r="T869" s="2644"/>
      <c r="U869" s="2644"/>
      <c r="V869" s="2644"/>
      <c r="W869" s="2644"/>
      <c r="X869" s="765"/>
      <c r="Y869" s="1674"/>
      <c r="Z869" s="656"/>
      <c r="AA869" s="401"/>
      <c r="AB869" s="1091"/>
      <c r="AC869" s="1464"/>
      <c r="AD869" s="981"/>
    </row>
    <row r="870" spans="1:30" s="85" customFormat="1" ht="22.5" hidden="1" customHeight="1">
      <c r="A870" s="2627"/>
      <c r="B870" s="1145"/>
      <c r="C870" s="1126"/>
      <c r="D870" s="1148"/>
      <c r="E870" s="855" t="s">
        <v>4028</v>
      </c>
      <c r="F870" s="383">
        <f>Y870</f>
        <v>0</v>
      </c>
      <c r="G870" s="1139"/>
      <c r="H870" s="1147"/>
      <c r="I870" s="409"/>
      <c r="J870" s="1627"/>
      <c r="K870" s="371"/>
      <c r="L870" s="371"/>
      <c r="M870" s="371"/>
      <c r="N870" s="371"/>
      <c r="O870" s="371"/>
      <c r="P870" s="371"/>
      <c r="Q870" s="459"/>
      <c r="R870" s="459"/>
      <c r="S870" s="459"/>
      <c r="T870" s="459"/>
      <c r="U870" s="459"/>
      <c r="V870" s="459"/>
      <c r="W870" s="459"/>
      <c r="X870" s="459"/>
      <c r="Y870" s="345"/>
      <c r="Z870" s="400"/>
      <c r="AA870" s="401"/>
      <c r="AB870" s="1091"/>
      <c r="AC870" s="1464"/>
      <c r="AD870" s="981"/>
    </row>
    <row r="871" spans="1:30" s="1094" customFormat="1" ht="22.5" hidden="1" customHeight="1">
      <c r="A871" s="411"/>
      <c r="B871" s="412"/>
      <c r="C871" s="413"/>
      <c r="D871" s="3266" t="s">
        <v>4270</v>
      </c>
      <c r="E871" s="3339"/>
      <c r="F871" s="1683">
        <f>SUM(F872:F883)</f>
        <v>0</v>
      </c>
      <c r="G871" s="1683">
        <f>SUM(G872:G883)</f>
        <v>0</v>
      </c>
      <c r="H871" s="461">
        <f>F871-G871</f>
        <v>0</v>
      </c>
      <c r="I871" s="409"/>
      <c r="J871" s="1627"/>
      <c r="K871" s="2619"/>
      <c r="L871" s="2619"/>
      <c r="M871" s="2619"/>
      <c r="N871" s="2619"/>
      <c r="O871" s="2619"/>
      <c r="P871" s="2619"/>
      <c r="Q871" s="2619"/>
      <c r="R871" s="1325"/>
      <c r="S871" s="459"/>
      <c r="T871" s="459"/>
      <c r="U871" s="459"/>
      <c r="V871" s="459"/>
      <c r="W871" s="459"/>
      <c r="X871" s="460"/>
      <c r="Y871" s="549"/>
      <c r="Z871" s="400"/>
      <c r="AA871" s="401"/>
      <c r="AB871" s="1091"/>
      <c r="AC871" s="1092"/>
      <c r="AD871" s="1093"/>
    </row>
    <row r="872" spans="1:30" s="2624" customFormat="1" ht="22.5" hidden="1" customHeight="1">
      <c r="A872" s="436"/>
      <c r="B872" s="465"/>
      <c r="C872" s="465"/>
      <c r="D872" s="1131"/>
      <c r="E872" s="1134" t="s">
        <v>4013</v>
      </c>
      <c r="F872" s="383">
        <f>Y872</f>
        <v>0</v>
      </c>
      <c r="G872" s="383"/>
      <c r="H872" s="1147">
        <f t="shared" ref="H872:H873" si="354">F872-G872</f>
        <v>0</v>
      </c>
      <c r="I872" s="409"/>
      <c r="J872" s="514"/>
      <c r="K872" s="2604"/>
      <c r="L872" s="2604"/>
      <c r="M872" s="2604"/>
      <c r="N872" s="2604"/>
      <c r="O872" s="2604"/>
      <c r="P872" s="2604"/>
      <c r="Q872" s="635"/>
      <c r="R872" s="1187"/>
      <c r="S872" s="1686"/>
      <c r="T872" s="516"/>
      <c r="U872" s="516"/>
      <c r="V872" s="516"/>
      <c r="W872" s="516"/>
      <c r="X872" s="516"/>
      <c r="Y872" s="636"/>
      <c r="Z872" s="532"/>
      <c r="AA872" s="401"/>
      <c r="AB872" s="1091"/>
      <c r="AC872" s="1095"/>
      <c r="AD872" s="397"/>
    </row>
    <row r="873" spans="1:30" s="2624" customFormat="1" ht="22.5" hidden="1" customHeight="1">
      <c r="A873" s="436"/>
      <c r="B873" s="402"/>
      <c r="C873" s="465"/>
      <c r="D873" s="1131"/>
      <c r="E873" s="1134" t="s">
        <v>4017</v>
      </c>
      <c r="F873" s="403">
        <f>Y873</f>
        <v>0</v>
      </c>
      <c r="G873" s="403"/>
      <c r="H873" s="1147">
        <f t="shared" si="354"/>
        <v>0</v>
      </c>
      <c r="I873" s="409"/>
      <c r="J873" s="514"/>
      <c r="L873" s="2604"/>
      <c r="M873" s="2604"/>
      <c r="N873" s="2604"/>
      <c r="O873" s="2604"/>
      <c r="P873" s="2604"/>
      <c r="Q873" s="516"/>
      <c r="R873" s="516"/>
      <c r="S873" s="516"/>
      <c r="T873" s="516"/>
      <c r="U873" s="516"/>
      <c r="V873" s="516"/>
      <c r="W873" s="516"/>
      <c r="X873" s="516"/>
      <c r="Y873" s="636"/>
      <c r="Z873" s="532"/>
      <c r="AA873" s="401"/>
      <c r="AB873" s="1091"/>
      <c r="AC873" s="1095"/>
      <c r="AD873" s="397"/>
    </row>
    <row r="874" spans="1:30" s="2624" customFormat="1" ht="22.5" hidden="1" customHeight="1">
      <c r="A874" s="436"/>
      <c r="B874" s="402"/>
      <c r="C874" s="465"/>
      <c r="D874" s="1131"/>
      <c r="E874" s="1134" t="s">
        <v>4022</v>
      </c>
      <c r="F874" s="403">
        <f>+Y874</f>
        <v>0</v>
      </c>
      <c r="G874" s="403"/>
      <c r="H874" s="1147"/>
      <c r="I874" s="409"/>
      <c r="J874" s="514"/>
      <c r="K874" s="2604"/>
      <c r="L874" s="2604"/>
      <c r="M874" s="2604"/>
      <c r="N874" s="2604"/>
      <c r="O874" s="2604"/>
      <c r="P874" s="2604"/>
      <c r="Q874" s="2604"/>
      <c r="R874" s="1187"/>
      <c r="S874" s="516"/>
      <c r="T874" s="516"/>
      <c r="U874" s="516"/>
      <c r="V874" s="516"/>
      <c r="W874" s="516"/>
      <c r="X874" s="516"/>
      <c r="Y874" s="636"/>
      <c r="Z874" s="874"/>
      <c r="AA874" s="401"/>
      <c r="AB874" s="1091"/>
      <c r="AC874" s="1095"/>
      <c r="AD874" s="397"/>
    </row>
    <row r="875" spans="1:30" s="1094" customFormat="1" ht="22.5" hidden="1" customHeight="1">
      <c r="A875" s="2627"/>
      <c r="B875" s="1145"/>
      <c r="C875" s="1126"/>
      <c r="D875" s="1131"/>
      <c r="E875" s="1134" t="s">
        <v>4269</v>
      </c>
      <c r="F875" s="1141">
        <f>+Y875</f>
        <v>0</v>
      </c>
      <c r="G875" s="1139"/>
      <c r="H875" s="1147">
        <f t="shared" ref="H875" si="355">F875-G875</f>
        <v>0</v>
      </c>
      <c r="I875" s="409"/>
      <c r="J875" s="514"/>
      <c r="K875" s="2604"/>
      <c r="L875" s="2604"/>
      <c r="M875" s="2604"/>
      <c r="N875" s="2604"/>
      <c r="O875" s="2604"/>
      <c r="P875" s="515"/>
      <c r="Q875" s="516"/>
      <c r="R875" s="2621"/>
      <c r="S875" s="516"/>
      <c r="T875" s="516"/>
      <c r="U875" s="515"/>
      <c r="V875" s="516"/>
      <c r="W875" s="516"/>
      <c r="X875" s="517"/>
      <c r="Y875" s="636"/>
      <c r="Z875" s="518"/>
      <c r="AA875" s="401"/>
      <c r="AB875" s="1091"/>
      <c r="AC875" s="1092"/>
      <c r="AD875" s="1093"/>
    </row>
    <row r="876" spans="1:30" s="1094" customFormat="1" ht="22.5" hidden="1" customHeight="1">
      <c r="A876" s="2627"/>
      <c r="B876" s="1145"/>
      <c r="C876" s="1126"/>
      <c r="D876" s="1131"/>
      <c r="E876" s="1134"/>
      <c r="F876" s="1141"/>
      <c r="G876" s="1139"/>
      <c r="H876" s="1147"/>
      <c r="I876" s="409"/>
      <c r="J876" s="514"/>
      <c r="K876" s="2604"/>
      <c r="L876" s="2604"/>
      <c r="M876" s="2604"/>
      <c r="N876" s="2626"/>
      <c r="O876" s="2626"/>
      <c r="P876" s="2626"/>
      <c r="Q876" s="516"/>
      <c r="R876" s="516"/>
      <c r="S876" s="516"/>
      <c r="T876" s="516"/>
      <c r="U876" s="516"/>
      <c r="V876" s="516"/>
      <c r="W876" s="516"/>
      <c r="X876" s="1396"/>
      <c r="Y876" s="636"/>
      <c r="Z876" s="1298"/>
      <c r="AA876" s="401"/>
      <c r="AB876" s="1091"/>
      <c r="AC876" s="1092"/>
      <c r="AD876" s="1093"/>
    </row>
    <row r="877" spans="1:30" s="1094" customFormat="1" ht="22.5" hidden="1" customHeight="1">
      <c r="A877" s="2627"/>
      <c r="B877" s="1145"/>
      <c r="C877" s="1145"/>
      <c r="D877" s="1131"/>
      <c r="E877" s="1134"/>
      <c r="F877" s="1141"/>
      <c r="G877" s="1139"/>
      <c r="H877" s="1147"/>
      <c r="I877" s="409"/>
      <c r="J877" s="514"/>
      <c r="K877" s="2604"/>
      <c r="L877" s="2604"/>
      <c r="M877" s="2604"/>
      <c r="N877" s="2626"/>
      <c r="O877" s="2626"/>
      <c r="P877" s="2626"/>
      <c r="Q877" s="516"/>
      <c r="R877" s="2621"/>
      <c r="S877" s="516"/>
      <c r="T877" s="516"/>
      <c r="U877" s="516"/>
      <c r="V877" s="516"/>
      <c r="W877" s="516"/>
      <c r="X877" s="1396"/>
      <c r="Y877" s="636"/>
      <c r="Z877" s="1298"/>
      <c r="AA877" s="401"/>
      <c r="AB877" s="1091"/>
      <c r="AC877" s="1092"/>
      <c r="AD877" s="1093"/>
    </row>
    <row r="878" spans="1:30" s="1094" customFormat="1" ht="22.5" hidden="1" customHeight="1">
      <c r="A878" s="2627"/>
      <c r="B878" s="1145"/>
      <c r="C878" s="1126"/>
      <c r="D878" s="1131"/>
      <c r="E878" s="1134"/>
      <c r="F878" s="1141"/>
      <c r="G878" s="1139"/>
      <c r="H878" s="1147"/>
      <c r="I878" s="409"/>
      <c r="J878" s="514"/>
      <c r="K878" s="2604"/>
      <c r="L878" s="2604"/>
      <c r="M878" s="2604"/>
      <c r="N878" s="2626"/>
      <c r="O878" s="2626"/>
      <c r="P878" s="2626"/>
      <c r="Q878" s="516"/>
      <c r="R878" s="2621"/>
      <c r="S878" s="516"/>
      <c r="T878" s="516"/>
      <c r="U878" s="516"/>
      <c r="V878" s="516"/>
      <c r="W878" s="516"/>
      <c r="X878" s="1396"/>
      <c r="Y878" s="636"/>
      <c r="Z878" s="1298"/>
      <c r="AA878" s="401"/>
      <c r="AB878" s="1091"/>
      <c r="AC878" s="1092"/>
      <c r="AD878" s="1093"/>
    </row>
    <row r="879" spans="1:30" s="1094" customFormat="1" ht="22.5" hidden="1" customHeight="1">
      <c r="A879" s="2627"/>
      <c r="B879" s="1145"/>
      <c r="C879" s="1145"/>
      <c r="D879" s="1148"/>
      <c r="E879" s="1134"/>
      <c r="F879" s="1141"/>
      <c r="G879" s="1139"/>
      <c r="H879" s="1147"/>
      <c r="I879" s="409"/>
      <c r="J879" s="514"/>
      <c r="K879" s="2604"/>
      <c r="L879" s="2604"/>
      <c r="M879" s="2604"/>
      <c r="N879" s="2626"/>
      <c r="O879" s="2626"/>
      <c r="P879" s="2626"/>
      <c r="Q879" s="516"/>
      <c r="R879" s="2621"/>
      <c r="S879" s="516"/>
      <c r="T879" s="516"/>
      <c r="U879" s="516"/>
      <c r="V879" s="516"/>
      <c r="W879" s="516"/>
      <c r="X879" s="1396"/>
      <c r="Y879" s="636"/>
      <c r="Z879" s="1298"/>
      <c r="AA879" s="401"/>
      <c r="AB879" s="1091"/>
      <c r="AC879" s="1092"/>
      <c r="AD879" s="1093"/>
    </row>
    <row r="880" spans="1:30" s="1094" customFormat="1" ht="22.5" hidden="1" customHeight="1">
      <c r="A880" s="2627"/>
      <c r="B880" s="1145"/>
      <c r="C880" s="1145"/>
      <c r="D880" s="1148"/>
      <c r="E880" s="1134"/>
      <c r="F880" s="1141"/>
      <c r="G880" s="1139"/>
      <c r="H880" s="1147"/>
      <c r="I880" s="409"/>
      <c r="J880" s="514"/>
      <c r="K880" s="2604"/>
      <c r="L880" s="2604"/>
      <c r="M880" s="2604"/>
      <c r="N880" s="2626"/>
      <c r="O880" s="2626"/>
      <c r="P880" s="2626"/>
      <c r="Q880" s="516"/>
      <c r="R880" s="2621"/>
      <c r="S880" s="516"/>
      <c r="T880" s="516"/>
      <c r="U880" s="516"/>
      <c r="V880" s="516"/>
      <c r="W880" s="516"/>
      <c r="X880" s="1396"/>
      <c r="Y880" s="636"/>
      <c r="Z880" s="1298"/>
      <c r="AA880" s="401"/>
      <c r="AB880" s="1091"/>
      <c r="AC880" s="1092"/>
      <c r="AD880" s="1093"/>
    </row>
    <row r="881" spans="1:30" s="1094" customFormat="1" ht="22.5" hidden="1" customHeight="1">
      <c r="A881" s="2627"/>
      <c r="B881" s="1145"/>
      <c r="C881" s="1145"/>
      <c r="D881" s="1148"/>
      <c r="E881" s="1134"/>
      <c r="F881" s="1141"/>
      <c r="G881" s="1139"/>
      <c r="H881" s="1147"/>
      <c r="I881" s="409"/>
      <c r="J881" s="514"/>
      <c r="K881" s="2604"/>
      <c r="L881" s="2604"/>
      <c r="M881" s="2604"/>
      <c r="N881" s="2626"/>
      <c r="O881" s="2626"/>
      <c r="P881" s="2626"/>
      <c r="Q881" s="516"/>
      <c r="R881" s="2621"/>
      <c r="S881" s="516"/>
      <c r="T881" s="516"/>
      <c r="U881" s="516"/>
      <c r="V881" s="516"/>
      <c r="W881" s="516"/>
      <c r="X881" s="1396"/>
      <c r="Y881" s="636"/>
      <c r="Z881" s="1298"/>
      <c r="AA881" s="401"/>
      <c r="AB881" s="1091"/>
      <c r="AC881" s="1092"/>
      <c r="AD881" s="1093"/>
    </row>
    <row r="882" spans="1:30" s="1094" customFormat="1" ht="22.5" hidden="1" customHeight="1">
      <c r="A882" s="2627"/>
      <c r="B882" s="1145"/>
      <c r="C882" s="1126"/>
      <c r="D882" s="1148"/>
      <c r="E882" s="1134"/>
      <c r="F882" s="1141"/>
      <c r="G882" s="1139"/>
      <c r="H882" s="1147"/>
      <c r="I882" s="409"/>
      <c r="J882" s="514"/>
      <c r="K882" s="2604"/>
      <c r="L882" s="2604"/>
      <c r="M882" s="2604"/>
      <c r="N882" s="2626"/>
      <c r="O882" s="2626"/>
      <c r="P882" s="2626"/>
      <c r="Q882" s="516"/>
      <c r="R882" s="2621"/>
      <c r="S882" s="516"/>
      <c r="T882" s="516"/>
      <c r="U882" s="516"/>
      <c r="V882" s="516"/>
      <c r="W882" s="516"/>
      <c r="X882" s="1396"/>
      <c r="Y882" s="636"/>
      <c r="Z882" s="1298"/>
      <c r="AA882" s="401"/>
      <c r="AB882" s="1091"/>
      <c r="AC882" s="1092"/>
      <c r="AD882" s="1093"/>
    </row>
    <row r="883" spans="1:30" s="2624" customFormat="1" ht="22.5" hidden="1" customHeight="1">
      <c r="A883" s="436"/>
      <c r="B883" s="465"/>
      <c r="C883" s="465"/>
      <c r="D883" s="1131"/>
      <c r="E883" s="1134" t="s">
        <v>4028</v>
      </c>
      <c r="F883" s="383">
        <f>Y883</f>
        <v>0</v>
      </c>
      <c r="G883" s="383"/>
      <c r="H883" s="1147">
        <f t="shared" ref="H883:H886" si="356">F883-G883</f>
        <v>0</v>
      </c>
      <c r="I883" s="409"/>
      <c r="J883" s="1150"/>
      <c r="K883" s="709"/>
      <c r="L883" s="709"/>
      <c r="M883" s="709"/>
      <c r="N883" s="709"/>
      <c r="O883" s="709"/>
      <c r="P883" s="709"/>
      <c r="Q883" s="1151"/>
      <c r="R883" s="1151"/>
      <c r="S883" s="1151"/>
      <c r="T883" s="1151"/>
      <c r="U883" s="1151"/>
      <c r="V883" s="1151"/>
      <c r="W883" s="1151"/>
      <c r="X883" s="1151"/>
      <c r="Y883" s="711"/>
      <c r="Z883" s="735"/>
      <c r="AA883" s="401"/>
      <c r="AB883" s="1091"/>
      <c r="AC883" s="1095"/>
      <c r="AD883" s="397"/>
    </row>
    <row r="884" spans="1:30" s="1094" customFormat="1" ht="22.5" hidden="1" customHeight="1">
      <c r="A884" s="411"/>
      <c r="B884" s="412"/>
      <c r="C884" s="413"/>
      <c r="D884" s="3266" t="s">
        <v>4271</v>
      </c>
      <c r="E884" s="3267"/>
      <c r="F884" s="1683">
        <f>SUM(F885:F891)</f>
        <v>0</v>
      </c>
      <c r="G884" s="1683">
        <f>SUM(G885:G891)</f>
        <v>0</v>
      </c>
      <c r="H884" s="461">
        <f t="shared" si="356"/>
        <v>0</v>
      </c>
      <c r="I884" s="409"/>
      <c r="J884" s="1627"/>
      <c r="K884" s="2619"/>
      <c r="L884" s="2619"/>
      <c r="M884" s="2619"/>
      <c r="N884" s="2619"/>
      <c r="O884" s="2619"/>
      <c r="P884" s="2619"/>
      <c r="Q884" s="2619"/>
      <c r="R884" s="1325"/>
      <c r="S884" s="459"/>
      <c r="T884" s="459"/>
      <c r="U884" s="459"/>
      <c r="V884" s="459"/>
      <c r="W884" s="459"/>
      <c r="X884" s="460"/>
      <c r="Y884" s="549"/>
      <c r="Z884" s="400"/>
      <c r="AA884" s="401"/>
      <c r="AB884" s="1091"/>
      <c r="AC884" s="1092"/>
      <c r="AD884" s="1093"/>
    </row>
    <row r="885" spans="1:30" s="1094" customFormat="1" ht="22.5" hidden="1" customHeight="1">
      <c r="A885" s="2627"/>
      <c r="B885" s="1145"/>
      <c r="C885" s="1126"/>
      <c r="D885" s="1131"/>
      <c r="E885" s="510" t="s">
        <v>4272</v>
      </c>
      <c r="F885" s="383">
        <f>Y885</f>
        <v>0</v>
      </c>
      <c r="G885" s="512"/>
      <c r="H885" s="851">
        <f t="shared" si="356"/>
        <v>0</v>
      </c>
      <c r="I885" s="1333"/>
      <c r="J885" s="514"/>
      <c r="K885" s="2604"/>
      <c r="L885" s="2604"/>
      <c r="M885" s="2604"/>
      <c r="N885" s="2604"/>
      <c r="O885" s="2604"/>
      <c r="P885" s="515"/>
      <c r="Q885" s="516"/>
      <c r="R885" s="2621"/>
      <c r="S885" s="516"/>
      <c r="T885" s="516"/>
      <c r="U885" s="516"/>
      <c r="V885" s="516"/>
      <c r="W885" s="516"/>
      <c r="X885" s="517"/>
      <c r="Y885" s="724"/>
      <c r="Z885" s="532"/>
      <c r="AA885" s="401"/>
      <c r="AB885" s="1091"/>
      <c r="AC885" s="1092"/>
      <c r="AD885" s="1093"/>
    </row>
    <row r="886" spans="1:30" s="2624" customFormat="1" ht="22.5" hidden="1" customHeight="1">
      <c r="A886" s="436"/>
      <c r="B886" s="465"/>
      <c r="C886" s="465"/>
      <c r="D886" s="1131"/>
      <c r="E886" s="510" t="s">
        <v>4013</v>
      </c>
      <c r="F886" s="383">
        <f>Y886</f>
        <v>0</v>
      </c>
      <c r="G886" s="1185"/>
      <c r="H886" s="1147">
        <f t="shared" si="356"/>
        <v>0</v>
      </c>
      <c r="I886" s="1333"/>
      <c r="J886" s="514"/>
      <c r="K886" s="2604"/>
      <c r="L886" s="2604"/>
      <c r="M886" s="2604"/>
      <c r="N886" s="2604"/>
      <c r="O886" s="2604"/>
      <c r="P886" s="2604"/>
      <c r="Q886" s="516"/>
      <c r="R886" s="516"/>
      <c r="S886" s="516"/>
      <c r="T886" s="516"/>
      <c r="U886" s="516"/>
      <c r="V886" s="516"/>
      <c r="W886" s="516"/>
      <c r="X886" s="516"/>
      <c r="Y886" s="636"/>
      <c r="Z886" s="532"/>
      <c r="AA886" s="401"/>
      <c r="AB886" s="1091"/>
      <c r="AC886" s="1095"/>
      <c r="AD886" s="397"/>
    </row>
    <row r="887" spans="1:30" s="2624" customFormat="1" ht="22.5" hidden="1" customHeight="1">
      <c r="A887" s="436"/>
      <c r="B887" s="402"/>
      <c r="C887" s="465"/>
      <c r="D887" s="1131"/>
      <c r="E887" s="510" t="s">
        <v>4022</v>
      </c>
      <c r="F887" s="383">
        <f>Y887</f>
        <v>0</v>
      </c>
      <c r="G887" s="873"/>
      <c r="H887" s="700"/>
      <c r="I887" s="1333"/>
      <c r="J887" s="514"/>
      <c r="K887" s="2604"/>
      <c r="L887" s="2604"/>
      <c r="M887" s="2604"/>
      <c r="N887" s="2604"/>
      <c r="O887" s="2604"/>
      <c r="P887" s="2604"/>
      <c r="Q887" s="2604"/>
      <c r="R887" s="1187"/>
      <c r="S887" s="1686"/>
      <c r="T887" s="516"/>
      <c r="U887" s="516"/>
      <c r="V887" s="516"/>
      <c r="W887" s="516"/>
      <c r="X887" s="516"/>
      <c r="Y887" s="636"/>
      <c r="Z887" s="532"/>
      <c r="AA887" s="401"/>
      <c r="AB887" s="1091"/>
      <c r="AC887" s="1095"/>
      <c r="AD887" s="397"/>
    </row>
    <row r="888" spans="1:30" s="2624" customFormat="1" ht="22.5" hidden="1" customHeight="1">
      <c r="A888" s="436"/>
      <c r="B888" s="402"/>
      <c r="C888" s="465"/>
      <c r="D888" s="1131"/>
      <c r="E888" s="510"/>
      <c r="F888" s="873"/>
      <c r="G888" s="873"/>
      <c r="H888" s="700"/>
      <c r="I888" s="1333"/>
      <c r="J888" s="514"/>
      <c r="K888" s="2604"/>
      <c r="L888" s="2604"/>
      <c r="M888" s="2604"/>
      <c r="N888" s="2604"/>
      <c r="O888" s="2604"/>
      <c r="P888" s="2604"/>
      <c r="Q888" s="516"/>
      <c r="R888" s="516"/>
      <c r="S888" s="516"/>
      <c r="T888" s="516"/>
      <c r="U888" s="516"/>
      <c r="V888" s="516"/>
      <c r="W888" s="516"/>
      <c r="X888" s="516"/>
      <c r="Y888" s="636"/>
      <c r="Z888" s="532"/>
      <c r="AA888" s="401"/>
      <c r="AB888" s="1091"/>
      <c r="AC888" s="1095"/>
      <c r="AD888" s="397"/>
    </row>
    <row r="889" spans="1:30" s="2624" customFormat="1" ht="22.5" hidden="1" customHeight="1">
      <c r="A889" s="436"/>
      <c r="B889" s="402"/>
      <c r="C889" s="465"/>
      <c r="D889" s="1131"/>
      <c r="E889" s="510"/>
      <c r="F889" s="873"/>
      <c r="G889" s="873"/>
      <c r="H889" s="700"/>
      <c r="I889" s="1333"/>
      <c r="J889" s="514"/>
      <c r="K889" s="2604"/>
      <c r="L889" s="2604"/>
      <c r="M889" s="2604"/>
      <c r="N889" s="2604"/>
      <c r="O889" s="2604"/>
      <c r="P889" s="2604"/>
      <c r="Q889" s="516"/>
      <c r="R889" s="516"/>
      <c r="S889" s="516"/>
      <c r="T889" s="516"/>
      <c r="U889" s="516"/>
      <c r="V889" s="516"/>
      <c r="W889" s="516"/>
      <c r="X889" s="516"/>
      <c r="Y889" s="636"/>
      <c r="Z889" s="532"/>
      <c r="AA889" s="401"/>
      <c r="AB889" s="1091"/>
      <c r="AC889" s="1095"/>
      <c r="AD889" s="397"/>
    </row>
    <row r="890" spans="1:30" s="2624" customFormat="1" ht="22.5" hidden="1" customHeight="1">
      <c r="A890" s="436"/>
      <c r="B890" s="402"/>
      <c r="C890" s="465"/>
      <c r="D890" s="1131"/>
      <c r="E890" s="510" t="s">
        <v>4026</v>
      </c>
      <c r="F890" s="383">
        <f>Y890</f>
        <v>0</v>
      </c>
      <c r="G890" s="873"/>
      <c r="H890" s="700"/>
      <c r="I890" s="1333"/>
      <c r="J890" s="514"/>
      <c r="K890" s="2604"/>
      <c r="L890" s="2604"/>
      <c r="M890" s="2604"/>
      <c r="N890" s="2604"/>
      <c r="O890" s="2604"/>
      <c r="P890" s="2604"/>
      <c r="Q890" s="516"/>
      <c r="R890" s="516"/>
      <c r="S890" s="516"/>
      <c r="T890" s="516"/>
      <c r="U890" s="516"/>
      <c r="V890" s="516"/>
      <c r="W890" s="516"/>
      <c r="X890" s="517"/>
      <c r="Y890" s="724"/>
      <c r="Z890" s="532"/>
      <c r="AA890" s="401"/>
      <c r="AB890" s="1091"/>
      <c r="AC890" s="1095"/>
      <c r="AD890" s="397"/>
    </row>
    <row r="891" spans="1:30" s="2624" customFormat="1" ht="22.5" hidden="1" customHeight="1">
      <c r="A891" s="436"/>
      <c r="B891" s="402"/>
      <c r="C891" s="465"/>
      <c r="D891" s="1131"/>
      <c r="E891" s="510" t="s">
        <v>4028</v>
      </c>
      <c r="F891" s="383">
        <f>Y891</f>
        <v>0</v>
      </c>
      <c r="G891" s="1185"/>
      <c r="H891" s="559">
        <f t="shared" ref="H891:H892" si="357">F891-G891</f>
        <v>0</v>
      </c>
      <c r="I891" s="1333"/>
      <c r="J891" s="514"/>
      <c r="K891" s="1685"/>
      <c r="L891" s="1685"/>
      <c r="M891" s="1685"/>
      <c r="N891" s="1685"/>
      <c r="O891" s="1685"/>
      <c r="P891" s="1685"/>
      <c r="Q891" s="516"/>
      <c r="R891" s="516"/>
      <c r="S891" s="516"/>
      <c r="T891" s="516"/>
      <c r="U891" s="516"/>
      <c r="V891" s="516"/>
      <c r="W891" s="516"/>
      <c r="X891" s="516"/>
      <c r="Y891" s="636"/>
      <c r="Z891" s="532"/>
      <c r="AA891" s="401"/>
      <c r="AB891" s="1091"/>
      <c r="AC891" s="1095"/>
      <c r="AD891" s="397"/>
    </row>
    <row r="892" spans="1:30" s="1094" customFormat="1" ht="22.5" hidden="1" customHeight="1">
      <c r="A892" s="411"/>
      <c r="B892" s="412"/>
      <c r="C892" s="413"/>
      <c r="D892" s="3266" t="s">
        <v>4273</v>
      </c>
      <c r="E892" s="3267"/>
      <c r="F892" s="1683">
        <f>SUM(F893:F913)</f>
        <v>0</v>
      </c>
      <c r="G892" s="1683">
        <f>SUM(G893:G913)</f>
        <v>0</v>
      </c>
      <c r="H892" s="461">
        <f t="shared" si="357"/>
        <v>0</v>
      </c>
      <c r="I892" s="409"/>
      <c r="J892" s="1135"/>
      <c r="K892" s="2598"/>
      <c r="L892" s="2598"/>
      <c r="M892" s="2598"/>
      <c r="N892" s="2598"/>
      <c r="O892" s="2598"/>
      <c r="P892" s="2598"/>
      <c r="Q892" s="2598"/>
      <c r="R892" s="395"/>
      <c r="S892" s="1136"/>
      <c r="T892" s="1136"/>
      <c r="U892" s="1136"/>
      <c r="V892" s="1136"/>
      <c r="W892" s="1136"/>
      <c r="X892" s="1138"/>
      <c r="Y892" s="431"/>
      <c r="Z892" s="463"/>
      <c r="AA892" s="401"/>
      <c r="AB892" s="1091"/>
      <c r="AC892" s="1092"/>
      <c r="AD892" s="1093"/>
    </row>
    <row r="893" spans="1:30" s="2624" customFormat="1" ht="22.5" hidden="1" customHeight="1">
      <c r="A893" s="436"/>
      <c r="B893" s="465"/>
      <c r="C893" s="465"/>
      <c r="D893" s="1131"/>
      <c r="E893" s="1134" t="s">
        <v>3751</v>
      </c>
      <c r="F893" s="383">
        <f>Y893</f>
        <v>0</v>
      </c>
      <c r="G893" s="383"/>
      <c r="H893" s="467"/>
      <c r="I893" s="409"/>
      <c r="J893" s="2643"/>
      <c r="Q893" s="1673"/>
      <c r="R893" s="405"/>
      <c r="S893" s="1672"/>
      <c r="T893" s="2644"/>
      <c r="U893" s="2644"/>
      <c r="V893" s="2644"/>
      <c r="W893" s="2644"/>
      <c r="X893" s="2644"/>
      <c r="Y893" s="874"/>
      <c r="Z893" s="874"/>
      <c r="AA893" s="401"/>
      <c r="AB893" s="1091"/>
      <c r="AC893" s="1095"/>
      <c r="AD893" s="397"/>
    </row>
    <row r="894" spans="1:30" s="2624" customFormat="1" ht="22.5" hidden="1" customHeight="1">
      <c r="A894" s="436"/>
      <c r="B894" s="402"/>
      <c r="C894" s="465"/>
      <c r="D894" s="1131"/>
      <c r="E894" s="1134" t="s">
        <v>4041</v>
      </c>
      <c r="F894" s="403">
        <f>Y894</f>
        <v>0</v>
      </c>
      <c r="G894" s="403"/>
      <c r="H894" s="404"/>
      <c r="I894" s="409"/>
      <c r="J894" s="2643"/>
      <c r="R894" s="405"/>
      <c r="S894" s="1672"/>
      <c r="T894" s="2644"/>
      <c r="U894" s="2644"/>
      <c r="V894" s="2644"/>
      <c r="W894" s="2644"/>
      <c r="X894" s="2644"/>
      <c r="Y894" s="874"/>
      <c r="Z894" s="874"/>
      <c r="AA894" s="401"/>
      <c r="AB894" s="1091"/>
      <c r="AC894" s="1095"/>
      <c r="AD894" s="397"/>
    </row>
    <row r="895" spans="1:30" s="2624" customFormat="1" ht="22.5" hidden="1" customHeight="1">
      <c r="A895" s="436"/>
      <c r="B895" s="402"/>
      <c r="C895" s="465"/>
      <c r="D895" s="1131"/>
      <c r="E895" s="1134"/>
      <c r="F895" s="403"/>
      <c r="G895" s="403"/>
      <c r="H895" s="404"/>
      <c r="I895" s="409"/>
      <c r="J895" s="2643"/>
      <c r="Q895" s="2644"/>
      <c r="R895" s="2644"/>
      <c r="S895" s="2644"/>
      <c r="T895" s="2644"/>
      <c r="U895" s="2644"/>
      <c r="V895" s="2644"/>
      <c r="W895" s="2644"/>
      <c r="X895" s="2644"/>
      <c r="Y895" s="874"/>
      <c r="Z895" s="874"/>
      <c r="AA895" s="401"/>
      <c r="AB895" s="1091"/>
      <c r="AC895" s="1095"/>
      <c r="AD895" s="397"/>
    </row>
    <row r="896" spans="1:30" s="2624" customFormat="1" ht="22.5" hidden="1" customHeight="1">
      <c r="A896" s="436"/>
      <c r="B896" s="402"/>
      <c r="C896" s="465"/>
      <c r="D896" s="1131"/>
      <c r="E896" s="1134"/>
      <c r="F896" s="403"/>
      <c r="G896" s="403"/>
      <c r="H896" s="404"/>
      <c r="I896" s="409"/>
      <c r="J896" s="2643"/>
      <c r="Q896" s="2644"/>
      <c r="R896" s="2644"/>
      <c r="S896" s="2644"/>
      <c r="T896" s="2644"/>
      <c r="U896" s="2644"/>
      <c r="V896" s="2644"/>
      <c r="W896" s="2644"/>
      <c r="X896" s="2644"/>
      <c r="Y896" s="874"/>
      <c r="Z896" s="874"/>
      <c r="AA896" s="401"/>
      <c r="AB896" s="1091"/>
      <c r="AC896" s="1095"/>
      <c r="AD896" s="397"/>
    </row>
    <row r="897" spans="1:30" s="2624" customFormat="1" ht="22.5" hidden="1" customHeight="1">
      <c r="A897" s="436"/>
      <c r="B897" s="465"/>
      <c r="C897" s="465"/>
      <c r="D897" s="1131"/>
      <c r="E897" s="1134" t="s">
        <v>4171</v>
      </c>
      <c r="F897" s="383">
        <f>Y897</f>
        <v>0</v>
      </c>
      <c r="G897" s="383"/>
      <c r="H897" s="467"/>
      <c r="I897" s="409"/>
      <c r="J897" s="2643"/>
      <c r="Q897" s="1673"/>
      <c r="R897" s="405"/>
      <c r="S897" s="1672"/>
      <c r="T897" s="2644"/>
      <c r="U897" s="2644"/>
      <c r="V897" s="2644"/>
      <c r="W897" s="2644"/>
      <c r="X897" s="2644"/>
      <c r="Y897" s="874"/>
      <c r="Z897" s="874"/>
      <c r="AA897" s="401"/>
      <c r="AB897" s="1091"/>
      <c r="AC897" s="1095"/>
      <c r="AD897" s="397"/>
    </row>
    <row r="898" spans="1:30" s="2624" customFormat="1" ht="22.5" hidden="1" customHeight="1">
      <c r="A898" s="2623"/>
      <c r="B898" s="402"/>
      <c r="C898" s="465"/>
      <c r="D898" s="1131"/>
      <c r="E898" s="1134" t="s">
        <v>4013</v>
      </c>
      <c r="F898" s="383">
        <f>Y898</f>
        <v>0</v>
      </c>
      <c r="G898" s="383"/>
      <c r="H898" s="467"/>
      <c r="I898" s="409"/>
      <c r="J898" s="2643"/>
      <c r="Q898" s="1673"/>
      <c r="R898" s="405"/>
      <c r="S898" s="1672"/>
      <c r="T898" s="2644"/>
      <c r="U898" s="2644"/>
      <c r="V898" s="2644"/>
      <c r="W898" s="2644"/>
      <c r="X898" s="2644"/>
      <c r="Y898" s="874"/>
      <c r="Z898" s="874"/>
      <c r="AA898" s="401"/>
      <c r="AB898" s="1091"/>
      <c r="AC898" s="1095"/>
      <c r="AD898" s="397"/>
    </row>
    <row r="899" spans="1:30" s="2624" customFormat="1" ht="22.5" hidden="1" customHeight="1">
      <c r="A899" s="2623"/>
      <c r="B899" s="402"/>
      <c r="C899" s="465"/>
      <c r="D899" s="1131"/>
      <c r="E899" s="1134" t="s">
        <v>4017</v>
      </c>
      <c r="F899" s="383">
        <f>Y899</f>
        <v>0</v>
      </c>
      <c r="G899" s="383"/>
      <c r="H899" s="467"/>
      <c r="I899" s="409"/>
      <c r="J899" s="2643"/>
      <c r="Q899" s="2644"/>
      <c r="R899" s="2644"/>
      <c r="S899" s="2644"/>
      <c r="T899" s="2644"/>
      <c r="U899" s="2644"/>
      <c r="V899" s="2644"/>
      <c r="W899" s="2644"/>
      <c r="X899" s="1140"/>
      <c r="Y899" s="874"/>
      <c r="Z899" s="874"/>
      <c r="AA899" s="401"/>
      <c r="AB899" s="1091"/>
      <c r="AC899" s="1095"/>
      <c r="AD899" s="397"/>
    </row>
    <row r="900" spans="1:30" s="2624" customFormat="1" ht="22.5" hidden="1" customHeight="1">
      <c r="A900" s="2623"/>
      <c r="B900" s="402"/>
      <c r="C900" s="465"/>
      <c r="D900" s="1131"/>
      <c r="E900" s="1134" t="s">
        <v>3735</v>
      </c>
      <c r="F900" s="383">
        <f>Y900</f>
        <v>0</v>
      </c>
      <c r="G900" s="383"/>
      <c r="H900" s="467"/>
      <c r="I900" s="409"/>
      <c r="J900" s="2643"/>
      <c r="Q900" s="1673"/>
      <c r="R900" s="405"/>
      <c r="S900" s="1672"/>
      <c r="T900" s="2644"/>
      <c r="U900" s="2644"/>
      <c r="V900" s="2644"/>
      <c r="W900" s="2644"/>
      <c r="X900" s="2644"/>
      <c r="Y900" s="874"/>
      <c r="Z900" s="874"/>
      <c r="AA900" s="401"/>
      <c r="AB900" s="1091"/>
      <c r="AC900" s="1095"/>
      <c r="AD900" s="397"/>
    </row>
    <row r="901" spans="1:30" s="1094" customFormat="1" ht="22.5" hidden="1" customHeight="1">
      <c r="A901" s="2627"/>
      <c r="B901" s="1145"/>
      <c r="C901" s="1126"/>
      <c r="D901" s="1131"/>
      <c r="E901" s="1134" t="s">
        <v>4222</v>
      </c>
      <c r="F901" s="1141">
        <f>+Y901</f>
        <v>0</v>
      </c>
      <c r="G901" s="1139"/>
      <c r="H901" s="1147"/>
      <c r="I901" s="409"/>
      <c r="J901" s="2643"/>
      <c r="K901" s="2624"/>
      <c r="L901" s="2624"/>
      <c r="M901" s="2624"/>
      <c r="N901" s="2624"/>
      <c r="O901" s="2624"/>
      <c r="P901" s="2501"/>
      <c r="Q901" s="2644"/>
      <c r="R901" s="2630"/>
      <c r="S901" s="2644"/>
      <c r="T901" s="2644"/>
      <c r="U901" s="2501"/>
      <c r="V901" s="2644"/>
      <c r="W901" s="2644"/>
      <c r="X901" s="1140"/>
      <c r="Y901" s="874"/>
      <c r="Z901" s="1090"/>
      <c r="AA901" s="401"/>
      <c r="AB901" s="1091"/>
      <c r="AC901" s="1092"/>
      <c r="AD901" s="1093"/>
    </row>
    <row r="902" spans="1:30" s="1094" customFormat="1" ht="22.5" hidden="1" customHeight="1">
      <c r="A902" s="2627"/>
      <c r="B902" s="1145"/>
      <c r="C902" s="1126"/>
      <c r="D902" s="1131"/>
      <c r="E902" s="1134"/>
      <c r="F902" s="1141"/>
      <c r="G902" s="1139"/>
      <c r="H902" s="1147"/>
      <c r="I902" s="409"/>
      <c r="J902" s="2643"/>
      <c r="K902" s="2624"/>
      <c r="L902" s="2624"/>
      <c r="M902" s="2624"/>
      <c r="N902" s="2357"/>
      <c r="O902" s="2357"/>
      <c r="P902" s="2357"/>
      <c r="Q902" s="2644"/>
      <c r="R902" s="2630"/>
      <c r="S902" s="2644"/>
      <c r="T902" s="2644"/>
      <c r="U902" s="2644"/>
      <c r="V902" s="2644"/>
      <c r="W902" s="2644"/>
      <c r="X902" s="765"/>
      <c r="Y902" s="874"/>
      <c r="Z902" s="1090"/>
      <c r="AA902" s="401"/>
      <c r="AB902" s="1091"/>
      <c r="AC902" s="1092"/>
      <c r="AD902" s="1093"/>
    </row>
    <row r="903" spans="1:30" s="1094" customFormat="1" ht="22.5" hidden="1" customHeight="1">
      <c r="A903" s="2627"/>
      <c r="B903" s="1145"/>
      <c r="C903" s="1145"/>
      <c r="D903" s="1131"/>
      <c r="E903" s="1134"/>
      <c r="F903" s="1141"/>
      <c r="G903" s="1139"/>
      <c r="H903" s="1147"/>
      <c r="I903" s="409"/>
      <c r="J903" s="2643"/>
      <c r="K903" s="2624"/>
      <c r="L903" s="2624"/>
      <c r="M903" s="2624"/>
      <c r="N903" s="2357"/>
      <c r="O903" s="2357"/>
      <c r="P903" s="2357"/>
      <c r="Q903" s="2644"/>
      <c r="R903" s="2630"/>
      <c r="S903" s="2644"/>
      <c r="T903" s="2644"/>
      <c r="U903" s="2644"/>
      <c r="V903" s="2644"/>
      <c r="W903" s="2644"/>
      <c r="X903" s="765"/>
      <c r="Y903" s="874"/>
      <c r="Z903" s="1090"/>
      <c r="AA903" s="401"/>
      <c r="AB903" s="1091"/>
      <c r="AC903" s="1092"/>
      <c r="AD903" s="1093"/>
    </row>
    <row r="904" spans="1:30" s="1094" customFormat="1" ht="22.5" hidden="1" customHeight="1">
      <c r="A904" s="2627"/>
      <c r="B904" s="1145"/>
      <c r="C904" s="1126"/>
      <c r="D904" s="1131"/>
      <c r="E904" s="1134"/>
      <c r="F904" s="1141"/>
      <c r="G904" s="1139"/>
      <c r="H904" s="1147"/>
      <c r="I904" s="409"/>
      <c r="J904" s="2643"/>
      <c r="K904" s="2624"/>
      <c r="L904" s="2624"/>
      <c r="M904" s="2624"/>
      <c r="N904" s="2357"/>
      <c r="O904" s="2357"/>
      <c r="P904" s="2357"/>
      <c r="Q904" s="2644"/>
      <c r="R904" s="2630"/>
      <c r="S904" s="2644"/>
      <c r="T904" s="2644"/>
      <c r="U904" s="2644"/>
      <c r="V904" s="2644"/>
      <c r="W904" s="2644"/>
      <c r="X904" s="765"/>
      <c r="Y904" s="874"/>
      <c r="Z904" s="1090"/>
      <c r="AA904" s="401"/>
      <c r="AB904" s="1091"/>
      <c r="AC904" s="1092"/>
      <c r="AD904" s="1093"/>
    </row>
    <row r="905" spans="1:30" s="1094" customFormat="1" ht="22.5" hidden="1" customHeight="1">
      <c r="A905" s="2627"/>
      <c r="B905" s="1145"/>
      <c r="C905" s="1145"/>
      <c r="D905" s="1148"/>
      <c r="E905" s="1134"/>
      <c r="F905" s="1141"/>
      <c r="G905" s="1139"/>
      <c r="H905" s="1147"/>
      <c r="I905" s="409"/>
      <c r="J905" s="2643"/>
      <c r="K905" s="2624"/>
      <c r="L905" s="2624"/>
      <c r="M905" s="2624"/>
      <c r="N905" s="2624"/>
      <c r="O905" s="2624"/>
      <c r="P905" s="2624"/>
      <c r="Q905" s="2644"/>
      <c r="R905" s="2644"/>
      <c r="S905" s="2644"/>
      <c r="T905" s="2644"/>
      <c r="U905" s="2644"/>
      <c r="V905" s="2644"/>
      <c r="W905" s="2644"/>
      <c r="X905" s="1140"/>
      <c r="Y905" s="874"/>
      <c r="Z905" s="1096"/>
      <c r="AA905" s="401"/>
      <c r="AB905" s="1091"/>
      <c r="AC905" s="1092"/>
      <c r="AD905" s="1093"/>
    </row>
    <row r="906" spans="1:30" s="1094" customFormat="1" ht="22.5" hidden="1" customHeight="1">
      <c r="A906" s="2627"/>
      <c r="B906" s="1145"/>
      <c r="C906" s="1126"/>
      <c r="D906" s="1131"/>
      <c r="E906" s="1134" t="s">
        <v>4269</v>
      </c>
      <c r="F906" s="1141">
        <f>+Y906</f>
        <v>0</v>
      </c>
      <c r="G906" s="1139"/>
      <c r="H906" s="1147"/>
      <c r="I906" s="409"/>
      <c r="J906" s="2643"/>
      <c r="K906" s="2624"/>
      <c r="L906" s="2624"/>
      <c r="M906" s="2624"/>
      <c r="N906" s="2624"/>
      <c r="O906" s="2624"/>
      <c r="P906" s="2501"/>
      <c r="Q906" s="2644"/>
      <c r="R906" s="2630"/>
      <c r="S906" s="2644"/>
      <c r="T906" s="2644"/>
      <c r="U906" s="2501"/>
      <c r="V906" s="2644"/>
      <c r="W906" s="2644"/>
      <c r="X906" s="1140"/>
      <c r="Y906" s="874"/>
      <c r="Z906" s="1090"/>
      <c r="AA906" s="401"/>
      <c r="AB906" s="1091"/>
      <c r="AC906" s="1092"/>
      <c r="AD906" s="1093"/>
    </row>
    <row r="907" spans="1:30" s="1094" customFormat="1" ht="22.5" hidden="1" customHeight="1">
      <c r="A907" s="2627"/>
      <c r="B907" s="1145"/>
      <c r="C907" s="1126"/>
      <c r="D907" s="1131"/>
      <c r="E907" s="1134"/>
      <c r="F907" s="1141"/>
      <c r="G907" s="1139"/>
      <c r="H907" s="1147"/>
      <c r="I907" s="409"/>
      <c r="J907" s="2643"/>
      <c r="K907" s="2624"/>
      <c r="L907" s="2624"/>
      <c r="M907" s="2624"/>
      <c r="N907" s="2357"/>
      <c r="O907" s="2357"/>
      <c r="P907" s="2357"/>
      <c r="Q907" s="2644"/>
      <c r="R907" s="2630"/>
      <c r="S907" s="2644"/>
      <c r="T907" s="2644"/>
      <c r="U907" s="2644"/>
      <c r="V907" s="2644"/>
      <c r="W907" s="2644"/>
      <c r="X907" s="765"/>
      <c r="Y907" s="874"/>
      <c r="Z907" s="1090"/>
      <c r="AA907" s="401"/>
      <c r="AB907" s="1091"/>
      <c r="AC907" s="1092"/>
      <c r="AD907" s="1093"/>
    </row>
    <row r="908" spans="1:30" s="1094" customFormat="1" ht="22.5" hidden="1" customHeight="1">
      <c r="A908" s="2627"/>
      <c r="B908" s="1145"/>
      <c r="C908" s="1145"/>
      <c r="D908" s="1131"/>
      <c r="E908" s="1134"/>
      <c r="F908" s="1141"/>
      <c r="G908" s="1139"/>
      <c r="H908" s="1147"/>
      <c r="I908" s="409"/>
      <c r="J908" s="2643"/>
      <c r="K908" s="2624"/>
      <c r="L908" s="2624"/>
      <c r="M908" s="2624"/>
      <c r="N908" s="2357"/>
      <c r="O908" s="2357"/>
      <c r="P908" s="2357"/>
      <c r="Q908" s="2644"/>
      <c r="R908" s="2630"/>
      <c r="S908" s="2644"/>
      <c r="T908" s="2644"/>
      <c r="U908" s="2644"/>
      <c r="V908" s="2644"/>
      <c r="W908" s="2644"/>
      <c r="X908" s="765"/>
      <c r="Y908" s="874"/>
      <c r="Z908" s="1090"/>
      <c r="AA908" s="401"/>
      <c r="AB908" s="1091"/>
      <c r="AC908" s="1092"/>
      <c r="AD908" s="1093"/>
    </row>
    <row r="909" spans="1:30" s="1094" customFormat="1" ht="22.5" hidden="1" customHeight="1">
      <c r="A909" s="2627"/>
      <c r="B909" s="1145"/>
      <c r="C909" s="1126"/>
      <c r="D909" s="1131"/>
      <c r="E909" s="1134"/>
      <c r="F909" s="1141"/>
      <c r="G909" s="1139"/>
      <c r="H909" s="1147"/>
      <c r="I909" s="409"/>
      <c r="J909" s="2643"/>
      <c r="K909" s="2624"/>
      <c r="L909" s="2624"/>
      <c r="M909" s="2624"/>
      <c r="N909" s="2357"/>
      <c r="O909" s="2357"/>
      <c r="P909" s="2357"/>
      <c r="Q909" s="2644"/>
      <c r="R909" s="2630"/>
      <c r="S909" s="2644"/>
      <c r="T909" s="2644"/>
      <c r="U909" s="2644"/>
      <c r="V909" s="2644"/>
      <c r="W909" s="2644"/>
      <c r="X909" s="765"/>
      <c r="Y909" s="874"/>
      <c r="Z909" s="1090"/>
      <c r="AA909" s="401"/>
      <c r="AB909" s="1091"/>
      <c r="AC909" s="1092"/>
      <c r="AD909" s="1093"/>
    </row>
    <row r="910" spans="1:30" s="1094" customFormat="1" ht="22.5" hidden="1" customHeight="1">
      <c r="A910" s="2627"/>
      <c r="B910" s="1145"/>
      <c r="C910" s="1145"/>
      <c r="D910" s="1148"/>
      <c r="E910" s="1134"/>
      <c r="F910" s="1141"/>
      <c r="G910" s="1139"/>
      <c r="H910" s="1147"/>
      <c r="I910" s="409"/>
      <c r="J910" s="2643"/>
      <c r="K910" s="2624"/>
      <c r="L910" s="2624"/>
      <c r="M910" s="2624"/>
      <c r="N910" s="2624"/>
      <c r="O910" s="2624"/>
      <c r="P910" s="2624"/>
      <c r="Q910" s="2644"/>
      <c r="R910" s="2644"/>
      <c r="S910" s="2644"/>
      <c r="T910" s="2644"/>
      <c r="U910" s="2644"/>
      <c r="V910" s="2644"/>
      <c r="W910" s="2644"/>
      <c r="X910" s="765"/>
      <c r="Y910" s="874"/>
      <c r="Z910" s="1090"/>
      <c r="AA910" s="401"/>
      <c r="AB910" s="1091"/>
      <c r="AC910" s="1092"/>
      <c r="AD910" s="1093"/>
    </row>
    <row r="911" spans="1:30" s="1094" customFormat="1" ht="22.5" hidden="1" customHeight="1">
      <c r="A911" s="2627"/>
      <c r="B911" s="1145"/>
      <c r="C911" s="1126"/>
      <c r="D911" s="1148"/>
      <c r="E911" s="1134" t="s">
        <v>4032</v>
      </c>
      <c r="F911" s="383">
        <f>Y911</f>
        <v>0</v>
      </c>
      <c r="G911" s="383"/>
      <c r="H911" s="467"/>
      <c r="I911" s="409"/>
      <c r="J911" s="2643"/>
      <c r="K911" s="2624"/>
      <c r="L911" s="2624"/>
      <c r="M911" s="2624"/>
      <c r="N911" s="2624"/>
      <c r="O911" s="2624"/>
      <c r="P911" s="2624"/>
      <c r="Q911" s="1673"/>
      <c r="R911" s="405"/>
      <c r="S911" s="1672"/>
      <c r="T911" s="2644"/>
      <c r="U911" s="2644"/>
      <c r="V911" s="2644"/>
      <c r="W911" s="2644"/>
      <c r="X911" s="2644"/>
      <c r="Y911" s="874"/>
      <c r="Z911" s="874"/>
      <c r="AA911" s="401"/>
      <c r="AB911" s="1091"/>
      <c r="AC911" s="1092"/>
      <c r="AD911" s="1093"/>
    </row>
    <row r="912" spans="1:30" s="1094" customFormat="1" ht="22.5" hidden="1" customHeight="1">
      <c r="A912" s="2627"/>
      <c r="B912" s="1145"/>
      <c r="C912" s="1126"/>
      <c r="D912" s="1148"/>
      <c r="E912" s="1134" t="s">
        <v>4026</v>
      </c>
      <c r="F912" s="383">
        <f>Y912</f>
        <v>0</v>
      </c>
      <c r="G912" s="383"/>
      <c r="H912" s="467"/>
      <c r="I912" s="409"/>
      <c r="J912" s="2643"/>
      <c r="K912" s="2624"/>
      <c r="L912" s="2624"/>
      <c r="M912" s="2624"/>
      <c r="N912" s="2624"/>
      <c r="O912" s="2624"/>
      <c r="P912" s="2624"/>
      <c r="Q912" s="1673"/>
      <c r="R912" s="405"/>
      <c r="S912" s="1672"/>
      <c r="T912" s="2644"/>
      <c r="U912" s="2644"/>
      <c r="V912" s="2644"/>
      <c r="W912" s="2644"/>
      <c r="X912" s="2644"/>
      <c r="Y912" s="874"/>
      <c r="Z912" s="874"/>
      <c r="AA912" s="401"/>
      <c r="AB912" s="1091"/>
      <c r="AC912" s="1092"/>
      <c r="AD912" s="1093"/>
    </row>
    <row r="913" spans="1:30" s="2624" customFormat="1" ht="22.5" hidden="1" customHeight="1">
      <c r="A913" s="436"/>
      <c r="B913" s="465"/>
      <c r="C913" s="465"/>
      <c r="D913" s="1131"/>
      <c r="E913" s="1134" t="s">
        <v>4028</v>
      </c>
      <c r="F913" s="383">
        <f>Y913</f>
        <v>0</v>
      </c>
      <c r="G913" s="383"/>
      <c r="H913" s="404"/>
      <c r="I913" s="409"/>
      <c r="J913" s="2643"/>
      <c r="K913" s="1671"/>
      <c r="L913" s="1671"/>
      <c r="M913" s="1671"/>
      <c r="N913" s="1671"/>
      <c r="O913" s="1671"/>
      <c r="P913" s="1671"/>
      <c r="Q913" s="2644"/>
      <c r="R913" s="2644"/>
      <c r="S913" s="2644"/>
      <c r="T913" s="2644"/>
      <c r="U913" s="2644"/>
      <c r="V913" s="2644"/>
      <c r="W913" s="2644"/>
      <c r="X913" s="2644"/>
      <c r="Y913" s="874"/>
      <c r="Z913" s="874"/>
      <c r="AA913" s="401"/>
      <c r="AB913" s="1091"/>
      <c r="AC913" s="1095"/>
      <c r="AD913" s="397"/>
    </row>
    <row r="914" spans="1:30" s="1094" customFormat="1" ht="22.5" hidden="1" customHeight="1">
      <c r="A914" s="411"/>
      <c r="B914" s="412"/>
      <c r="C914" s="413"/>
      <c r="D914" s="3266" t="s">
        <v>4274</v>
      </c>
      <c r="E914" s="3267"/>
      <c r="F914" s="1683">
        <f>SUM(F915:F932)</f>
        <v>0</v>
      </c>
      <c r="G914" s="1683">
        <f>SUM(G915:G932)</f>
        <v>0</v>
      </c>
      <c r="H914" s="461">
        <f t="shared" ref="H914" si="358">F914-G914</f>
        <v>0</v>
      </c>
      <c r="I914" s="409"/>
      <c r="J914" s="1135"/>
      <c r="K914" s="2598"/>
      <c r="L914" s="2598"/>
      <c r="M914" s="2598"/>
      <c r="N914" s="2598"/>
      <c r="O914" s="2598"/>
      <c r="P914" s="2598"/>
      <c r="Q914" s="2598"/>
      <c r="R914" s="395"/>
      <c r="S914" s="1136"/>
      <c r="T914" s="1136"/>
      <c r="U914" s="1136"/>
      <c r="V914" s="1136"/>
      <c r="W914" s="1136"/>
      <c r="X914" s="1138"/>
      <c r="Y914" s="431"/>
      <c r="Z914" s="463"/>
      <c r="AA914" s="401"/>
      <c r="AB914" s="1091"/>
      <c r="AC914" s="1092"/>
      <c r="AD914" s="1093"/>
    </row>
    <row r="915" spans="1:30" s="2624" customFormat="1" ht="22.5" hidden="1" customHeight="1">
      <c r="A915" s="436"/>
      <c r="B915" s="402"/>
      <c r="C915" s="465"/>
      <c r="D915" s="1131"/>
      <c r="E915" s="1134" t="s">
        <v>4041</v>
      </c>
      <c r="F915" s="403">
        <f>Y915</f>
        <v>0</v>
      </c>
      <c r="G915" s="403"/>
      <c r="H915" s="404"/>
      <c r="I915" s="409"/>
      <c r="J915" s="2643"/>
      <c r="Q915" s="1673"/>
      <c r="R915" s="405"/>
      <c r="S915" s="1672"/>
      <c r="T915" s="2644"/>
      <c r="U915" s="2644"/>
      <c r="V915" s="2644"/>
      <c r="W915" s="2644"/>
      <c r="X915" s="2644"/>
      <c r="Y915" s="874"/>
      <c r="Z915" s="874"/>
      <c r="AA915" s="401"/>
      <c r="AB915" s="1091"/>
      <c r="AC915" s="1095"/>
      <c r="AD915" s="397"/>
    </row>
    <row r="916" spans="1:30" s="2624" customFormat="1" ht="22.5" hidden="1" customHeight="1">
      <c r="A916" s="2623"/>
      <c r="B916" s="402"/>
      <c r="C916" s="465"/>
      <c r="D916" s="1131"/>
      <c r="E916" s="1134" t="s">
        <v>4013</v>
      </c>
      <c r="F916" s="383">
        <f>Y916</f>
        <v>0</v>
      </c>
      <c r="G916" s="383"/>
      <c r="H916" s="467"/>
      <c r="I916" s="409"/>
      <c r="J916" s="2643"/>
      <c r="Q916" s="1673"/>
      <c r="R916" s="405"/>
      <c r="S916" s="1672"/>
      <c r="T916" s="2644"/>
      <c r="U916" s="2644"/>
      <c r="V916" s="2644"/>
      <c r="W916" s="2644"/>
      <c r="X916" s="2644"/>
      <c r="Y916" s="874"/>
      <c r="Z916" s="874"/>
      <c r="AA916" s="401"/>
      <c r="AB916" s="1091"/>
      <c r="AC916" s="1095"/>
      <c r="AD916" s="397"/>
    </row>
    <row r="917" spans="1:30" s="2624" customFormat="1" ht="22.5" hidden="1" customHeight="1">
      <c r="A917" s="2623"/>
      <c r="B917" s="402"/>
      <c r="C917" s="465"/>
      <c r="D917" s="1131"/>
      <c r="E917" s="1134" t="s">
        <v>4017</v>
      </c>
      <c r="F917" s="383">
        <f>Y917</f>
        <v>0</v>
      </c>
      <c r="G917" s="383"/>
      <c r="H917" s="467"/>
      <c r="I917" s="409"/>
      <c r="J917" s="2643"/>
      <c r="Q917" s="2644"/>
      <c r="R917" s="2644"/>
      <c r="S917" s="2644"/>
      <c r="T917" s="2644"/>
      <c r="U917" s="2644"/>
      <c r="V917" s="2644"/>
      <c r="W917" s="2644"/>
      <c r="X917" s="1140"/>
      <c r="Y917" s="1674"/>
      <c r="Z917" s="407"/>
      <c r="AA917" s="401"/>
      <c r="AB917" s="1091"/>
      <c r="AC917" s="1095"/>
      <c r="AD917" s="397"/>
    </row>
    <row r="918" spans="1:30" s="2624" customFormat="1" ht="22.5" hidden="1" customHeight="1">
      <c r="A918" s="2623"/>
      <c r="B918" s="402"/>
      <c r="C918" s="465"/>
      <c r="D918" s="1131"/>
      <c r="E918" s="1134"/>
      <c r="F918" s="383"/>
      <c r="G918" s="383"/>
      <c r="H918" s="467"/>
      <c r="I918" s="409"/>
      <c r="J918" s="2643"/>
      <c r="Q918" s="2644"/>
      <c r="R918" s="2644"/>
      <c r="S918" s="2644"/>
      <c r="T918" s="2644"/>
      <c r="U918" s="2644"/>
      <c r="V918" s="2644"/>
      <c r="W918" s="2644"/>
      <c r="X918" s="2644"/>
      <c r="Y918" s="874"/>
      <c r="Z918" s="407"/>
      <c r="AA918" s="401"/>
      <c r="AB918" s="1091"/>
      <c r="AC918" s="1095"/>
      <c r="AD918" s="397"/>
    </row>
    <row r="919" spans="1:30" s="2624" customFormat="1" ht="22.5" hidden="1" customHeight="1">
      <c r="A919" s="2623"/>
      <c r="B919" s="402"/>
      <c r="C919" s="465"/>
      <c r="D919" s="1131"/>
      <c r="E919" s="1134"/>
      <c r="F919" s="383"/>
      <c r="G919" s="383"/>
      <c r="H919" s="467"/>
      <c r="I919" s="409"/>
      <c r="J919" s="2643"/>
      <c r="Q919" s="2644"/>
      <c r="R919" s="2644"/>
      <c r="S919" s="2644"/>
      <c r="T919" s="2644"/>
      <c r="U919" s="2644"/>
      <c r="V919" s="2644"/>
      <c r="W919" s="2644"/>
      <c r="X919" s="1140"/>
      <c r="Y919" s="874"/>
      <c r="Z919" s="1096"/>
      <c r="AA919" s="401"/>
      <c r="AB919" s="1091"/>
      <c r="AC919" s="1095"/>
      <c r="AD919" s="397"/>
    </row>
    <row r="920" spans="1:30" s="1094" customFormat="1" ht="22.5" hidden="1" customHeight="1">
      <c r="A920" s="2627"/>
      <c r="B920" s="1145"/>
      <c r="C920" s="1126"/>
      <c r="D920" s="1131"/>
      <c r="E920" s="1134" t="s">
        <v>4222</v>
      </c>
      <c r="F920" s="1141">
        <f>+Y920</f>
        <v>0</v>
      </c>
      <c r="G920" s="1139"/>
      <c r="H920" s="467"/>
      <c r="I920" s="409"/>
      <c r="J920" s="2643"/>
      <c r="K920" s="2624"/>
      <c r="L920" s="2624"/>
      <c r="M920" s="2624"/>
      <c r="N920" s="2624"/>
      <c r="O920" s="2624"/>
      <c r="P920" s="2501"/>
      <c r="Q920" s="2644"/>
      <c r="R920" s="2630"/>
      <c r="S920" s="2644"/>
      <c r="T920" s="2644"/>
      <c r="U920" s="2501"/>
      <c r="V920" s="2644"/>
      <c r="W920" s="2644"/>
      <c r="X920" s="1140"/>
      <c r="Y920" s="874"/>
      <c r="Z920" s="1090"/>
      <c r="AA920" s="401"/>
      <c r="AB920" s="1091"/>
      <c r="AC920" s="1092"/>
      <c r="AD920" s="1093"/>
    </row>
    <row r="921" spans="1:30" s="1094" customFormat="1" ht="22.5" hidden="1" customHeight="1">
      <c r="A921" s="2627"/>
      <c r="B921" s="1145"/>
      <c r="C921" s="1126"/>
      <c r="D921" s="1131"/>
      <c r="E921" s="1134"/>
      <c r="F921" s="1141"/>
      <c r="G921" s="1139"/>
      <c r="H921" s="1147"/>
      <c r="I921" s="409"/>
      <c r="J921" s="2643"/>
      <c r="K921" s="2624"/>
      <c r="L921" s="2624"/>
      <c r="M921" s="2624"/>
      <c r="N921" s="2357"/>
      <c r="O921" s="2357"/>
      <c r="P921" s="2357"/>
      <c r="Q921" s="2644"/>
      <c r="R921" s="2630"/>
      <c r="S921" s="2644"/>
      <c r="T921" s="2644"/>
      <c r="U921" s="2644"/>
      <c r="V921" s="2644"/>
      <c r="W921" s="2644"/>
      <c r="X921" s="765"/>
      <c r="Y921" s="874"/>
      <c r="Z921" s="1090"/>
      <c r="AA921" s="401"/>
      <c r="AB921" s="1091"/>
      <c r="AC921" s="1092"/>
      <c r="AD921" s="1093"/>
    </row>
    <row r="922" spans="1:30" s="1094" customFormat="1" ht="22.5" hidden="1" customHeight="1">
      <c r="A922" s="2627"/>
      <c r="B922" s="1145"/>
      <c r="C922" s="1145"/>
      <c r="D922" s="1131"/>
      <c r="E922" s="1134"/>
      <c r="F922" s="1141"/>
      <c r="G922" s="1139"/>
      <c r="H922" s="1147"/>
      <c r="I922" s="409"/>
      <c r="J922" s="2643"/>
      <c r="K922" s="2624"/>
      <c r="L922" s="2624"/>
      <c r="M922" s="2624"/>
      <c r="N922" s="2357"/>
      <c r="O922" s="2357"/>
      <c r="P922" s="2357"/>
      <c r="Q922" s="2644"/>
      <c r="R922" s="2630"/>
      <c r="S922" s="2644"/>
      <c r="T922" s="2644"/>
      <c r="U922" s="2644"/>
      <c r="V922" s="2644"/>
      <c r="W922" s="2644"/>
      <c r="X922" s="765"/>
      <c r="Y922" s="874"/>
      <c r="Z922" s="1090"/>
      <c r="AA922" s="401"/>
      <c r="AB922" s="1091"/>
      <c r="AC922" s="1092"/>
      <c r="AD922" s="1093"/>
    </row>
    <row r="923" spans="1:30" s="1094" customFormat="1" ht="22.5" hidden="1" customHeight="1">
      <c r="A923" s="2627"/>
      <c r="B923" s="1145"/>
      <c r="C923" s="1126"/>
      <c r="D923" s="1131"/>
      <c r="E923" s="1134"/>
      <c r="F923" s="1141"/>
      <c r="G923" s="1139"/>
      <c r="H923" s="1147"/>
      <c r="I923" s="409"/>
      <c r="J923" s="2643"/>
      <c r="K923" s="2624"/>
      <c r="L923" s="2624"/>
      <c r="M923" s="2624"/>
      <c r="N923" s="2357"/>
      <c r="O923" s="2357"/>
      <c r="P923" s="2357"/>
      <c r="Q923" s="2644"/>
      <c r="R923" s="2630"/>
      <c r="S923" s="2644"/>
      <c r="T923" s="2644"/>
      <c r="U923" s="2644"/>
      <c r="V923" s="2644"/>
      <c r="W923" s="2644"/>
      <c r="X923" s="765"/>
      <c r="Y923" s="874"/>
      <c r="Z923" s="1090"/>
      <c r="AA923" s="401"/>
      <c r="AB923" s="1091"/>
      <c r="AC923" s="1092"/>
      <c r="AD923" s="1093"/>
    </row>
    <row r="924" spans="1:30" s="1094" customFormat="1" ht="22.5" hidden="1" customHeight="1">
      <c r="A924" s="2627"/>
      <c r="B924" s="1145"/>
      <c r="C924" s="1145"/>
      <c r="D924" s="1148"/>
      <c r="E924" s="1134"/>
      <c r="F924" s="1141"/>
      <c r="G924" s="1139"/>
      <c r="H924" s="1147"/>
      <c r="I924" s="409"/>
      <c r="J924" s="2643"/>
      <c r="K924" s="2624"/>
      <c r="L924" s="2624"/>
      <c r="M924" s="2624"/>
      <c r="N924" s="2624"/>
      <c r="O924" s="2624"/>
      <c r="P924" s="2624"/>
      <c r="Q924" s="2644"/>
      <c r="R924" s="2644"/>
      <c r="S924" s="2644"/>
      <c r="T924" s="2644"/>
      <c r="U924" s="2644"/>
      <c r="V924" s="2644"/>
      <c r="W924" s="2644"/>
      <c r="X924" s="1140"/>
      <c r="Y924" s="874"/>
      <c r="Z924" s="1090"/>
      <c r="AA924" s="401"/>
      <c r="AB924" s="1091"/>
      <c r="AC924" s="1092"/>
      <c r="AD924" s="1093"/>
    </row>
    <row r="925" spans="1:30" s="1094" customFormat="1" ht="22.5" hidden="1" customHeight="1">
      <c r="A925" s="2627"/>
      <c r="B925" s="1145"/>
      <c r="C925" s="1126"/>
      <c r="D925" s="1131"/>
      <c r="E925" s="1134" t="s">
        <v>4269</v>
      </c>
      <c r="F925" s="1141">
        <f>+Y925</f>
        <v>0</v>
      </c>
      <c r="G925" s="1139"/>
      <c r="H925" s="467"/>
      <c r="I925" s="409"/>
      <c r="J925" s="2643"/>
      <c r="K925" s="2624"/>
      <c r="L925" s="2624"/>
      <c r="M925" s="2624"/>
      <c r="N925" s="2624"/>
      <c r="O925" s="2624"/>
      <c r="P925" s="2501"/>
      <c r="Q925" s="2644"/>
      <c r="R925" s="2630"/>
      <c r="S925" s="2644"/>
      <c r="T925" s="2644"/>
      <c r="U925" s="2501"/>
      <c r="V925" s="2644"/>
      <c r="W925" s="2644"/>
      <c r="X925" s="1140"/>
      <c r="Y925" s="874"/>
      <c r="Z925" s="1090"/>
      <c r="AA925" s="401"/>
      <c r="AB925" s="1091"/>
      <c r="AC925" s="1092"/>
      <c r="AD925" s="1093"/>
    </row>
    <row r="926" spans="1:30" s="1094" customFormat="1" ht="22.5" hidden="1" customHeight="1">
      <c r="A926" s="2627"/>
      <c r="B926" s="1145"/>
      <c r="C926" s="1126"/>
      <c r="D926" s="1131"/>
      <c r="E926" s="1134"/>
      <c r="F926" s="1141"/>
      <c r="G926" s="1139"/>
      <c r="H926" s="1147"/>
      <c r="I926" s="409"/>
      <c r="J926" s="2643"/>
      <c r="K926" s="2624"/>
      <c r="L926" s="2624"/>
      <c r="M926" s="2624"/>
      <c r="N926" s="2357"/>
      <c r="O926" s="2357"/>
      <c r="P926" s="2357"/>
      <c r="Q926" s="2644"/>
      <c r="R926" s="2630"/>
      <c r="S926" s="2644"/>
      <c r="T926" s="2644"/>
      <c r="U926" s="2644"/>
      <c r="V926" s="2644"/>
      <c r="W926" s="2644"/>
      <c r="X926" s="765"/>
      <c r="Y926" s="874"/>
      <c r="Z926" s="1090"/>
      <c r="AA926" s="401"/>
      <c r="AB926" s="1091"/>
      <c r="AC926" s="1092"/>
      <c r="AD926" s="1093"/>
    </row>
    <row r="927" spans="1:30" s="1094" customFormat="1" ht="22.5" hidden="1" customHeight="1">
      <c r="A927" s="2627"/>
      <c r="B927" s="1145"/>
      <c r="C927" s="1145"/>
      <c r="D927" s="1131"/>
      <c r="E927" s="1134"/>
      <c r="F927" s="1141"/>
      <c r="G927" s="1139"/>
      <c r="H927" s="1147"/>
      <c r="I927" s="409"/>
      <c r="J927" s="2643"/>
      <c r="K927" s="2624"/>
      <c r="L927" s="2624"/>
      <c r="M927" s="2624"/>
      <c r="N927" s="2357"/>
      <c r="O927" s="2357"/>
      <c r="P927" s="2357"/>
      <c r="Q927" s="2644"/>
      <c r="R927" s="2630"/>
      <c r="S927" s="2644"/>
      <c r="T927" s="2644"/>
      <c r="U927" s="2644"/>
      <c r="V927" s="2644"/>
      <c r="W927" s="2644"/>
      <c r="X927" s="765"/>
      <c r="Y927" s="874"/>
      <c r="Z927" s="1090"/>
      <c r="AA927" s="401"/>
      <c r="AB927" s="1091"/>
      <c r="AC927" s="1092"/>
      <c r="AD927" s="1093"/>
    </row>
    <row r="928" spans="1:30" s="1094" customFormat="1" ht="22.5" hidden="1" customHeight="1">
      <c r="A928" s="2627"/>
      <c r="B928" s="1145"/>
      <c r="C928" s="1126"/>
      <c r="D928" s="1131"/>
      <c r="E928" s="1134"/>
      <c r="F928" s="1141"/>
      <c r="G928" s="1139"/>
      <c r="H928" s="1147"/>
      <c r="I928" s="409"/>
      <c r="J928" s="2643"/>
      <c r="K928" s="2624"/>
      <c r="L928" s="2624"/>
      <c r="M928" s="2624"/>
      <c r="N928" s="2357"/>
      <c r="O928" s="2357"/>
      <c r="P928" s="2357"/>
      <c r="Q928" s="2644"/>
      <c r="R928" s="2630"/>
      <c r="S928" s="2644"/>
      <c r="T928" s="2644"/>
      <c r="U928" s="2644"/>
      <c r="V928" s="2644"/>
      <c r="W928" s="2644"/>
      <c r="X928" s="765"/>
      <c r="Y928" s="874"/>
      <c r="Z928" s="1090"/>
      <c r="AA928" s="401"/>
      <c r="AB928" s="1091"/>
      <c r="AC928" s="1092"/>
      <c r="AD928" s="1093"/>
    </row>
    <row r="929" spans="1:30" s="1094" customFormat="1" ht="22.5" hidden="1" customHeight="1">
      <c r="A929" s="2627"/>
      <c r="B929" s="1145"/>
      <c r="C929" s="1145"/>
      <c r="D929" s="1148"/>
      <c r="E929" s="1134"/>
      <c r="F929" s="1141"/>
      <c r="G929" s="1139"/>
      <c r="H929" s="1147"/>
      <c r="I929" s="409"/>
      <c r="J929" s="2643"/>
      <c r="K929" s="2624"/>
      <c r="L929" s="2624"/>
      <c r="M929" s="2624"/>
      <c r="N929" s="2624"/>
      <c r="O929" s="2624"/>
      <c r="P929" s="2624"/>
      <c r="Q929" s="2644"/>
      <c r="R929" s="2644"/>
      <c r="S929" s="2644"/>
      <c r="T929" s="2644"/>
      <c r="U929" s="2644"/>
      <c r="V929" s="2644"/>
      <c r="W929" s="2644"/>
      <c r="X929" s="765"/>
      <c r="Y929" s="874"/>
      <c r="Z929" s="1090"/>
      <c r="AA929" s="401"/>
      <c r="AB929" s="1091"/>
      <c r="AC929" s="1092"/>
      <c r="AD929" s="1093"/>
    </row>
    <row r="930" spans="1:30" s="1094" customFormat="1" ht="22.5" hidden="1" customHeight="1">
      <c r="A930" s="2627"/>
      <c r="B930" s="1145"/>
      <c r="C930" s="1126"/>
      <c r="D930" s="1131"/>
      <c r="E930" s="1134"/>
      <c r="F930" s="1141"/>
      <c r="G930" s="1139"/>
      <c r="H930" s="1147"/>
      <c r="I930" s="409"/>
      <c r="J930" s="2643"/>
      <c r="K930" s="2624"/>
      <c r="L930" s="2624"/>
      <c r="M930" s="2624"/>
      <c r="N930" s="2357"/>
      <c r="O930" s="2357"/>
      <c r="P930" s="2357"/>
      <c r="Q930" s="2644"/>
      <c r="R930" s="2630"/>
      <c r="S930" s="2644"/>
      <c r="T930" s="2644"/>
      <c r="U930" s="2644"/>
      <c r="V930" s="2644"/>
      <c r="W930" s="2644"/>
      <c r="X930" s="765"/>
      <c r="Y930" s="874"/>
      <c r="Z930" s="1090"/>
      <c r="AA930" s="401"/>
      <c r="AB930" s="1091"/>
      <c r="AC930" s="1092"/>
      <c r="AD930" s="1093"/>
    </row>
    <row r="931" spans="1:30" s="1094" customFormat="1" ht="22.5" hidden="1" customHeight="1">
      <c r="A931" s="2627"/>
      <c r="B931" s="1145"/>
      <c r="C931" s="1145"/>
      <c r="D931" s="1148"/>
      <c r="E931" s="1134"/>
      <c r="F931" s="1141"/>
      <c r="G931" s="1139"/>
      <c r="H931" s="1147"/>
      <c r="I931" s="409"/>
      <c r="J931" s="2643"/>
      <c r="K931" s="2624"/>
      <c r="L931" s="2624"/>
      <c r="M931" s="2624"/>
      <c r="N931" s="2624"/>
      <c r="O931" s="2624"/>
      <c r="P931" s="2624"/>
      <c r="Q931" s="2644"/>
      <c r="R931" s="2644"/>
      <c r="S931" s="2644"/>
      <c r="T931" s="2644"/>
      <c r="U931" s="2644"/>
      <c r="V931" s="2644"/>
      <c r="W931" s="2644"/>
      <c r="X931" s="765"/>
      <c r="Y931" s="874"/>
      <c r="Z931" s="1090"/>
      <c r="AA931" s="401"/>
      <c r="AB931" s="1091"/>
      <c r="AC931" s="1092"/>
      <c r="AD931" s="1093"/>
    </row>
    <row r="932" spans="1:30" s="2624" customFormat="1" ht="22.5" hidden="1" customHeight="1">
      <c r="A932" s="436"/>
      <c r="B932" s="465"/>
      <c r="C932" s="465"/>
      <c r="D932" s="1131"/>
      <c r="E932" s="1134" t="s">
        <v>4028</v>
      </c>
      <c r="F932" s="383">
        <f>Y932</f>
        <v>0</v>
      </c>
      <c r="G932" s="383"/>
      <c r="H932" s="467"/>
      <c r="I932" s="409"/>
      <c r="J932" s="2643"/>
      <c r="K932" s="1671"/>
      <c r="L932" s="1671"/>
      <c r="M932" s="1671"/>
      <c r="N932" s="1671"/>
      <c r="O932" s="1671"/>
      <c r="P932" s="1671"/>
      <c r="Q932" s="2644"/>
      <c r="R932" s="2644"/>
      <c r="S932" s="2644"/>
      <c r="T932" s="2644"/>
      <c r="U932" s="2644"/>
      <c r="V932" s="2644"/>
      <c r="W932" s="2644"/>
      <c r="X932" s="2644"/>
      <c r="Y932" s="874"/>
      <c r="Z932" s="874"/>
      <c r="AA932" s="401"/>
      <c r="AB932" s="1091"/>
      <c r="AC932" s="1095"/>
      <c r="AD932" s="397"/>
    </row>
    <row r="933" spans="1:30" s="1094" customFormat="1" ht="22.5" customHeight="1">
      <c r="A933" s="411"/>
      <c r="B933" s="412"/>
      <c r="C933" s="3266" t="s">
        <v>4275</v>
      </c>
      <c r="D933" s="3347"/>
      <c r="E933" s="3267"/>
      <c r="F933" s="1683">
        <f>F934</f>
        <v>90000</v>
      </c>
      <c r="G933" s="1683">
        <f>G934</f>
        <v>90000</v>
      </c>
      <c r="H933" s="461">
        <f>F933-G933</f>
        <v>0</v>
      </c>
      <c r="I933" s="409"/>
      <c r="J933" s="1135"/>
      <c r="K933" s="2598"/>
      <c r="L933" s="2598"/>
      <c r="M933" s="2598"/>
      <c r="N933" s="2598"/>
      <c r="O933" s="2598"/>
      <c r="P933" s="2598"/>
      <c r="Q933" s="2598"/>
      <c r="R933" s="395"/>
      <c r="S933" s="1136"/>
      <c r="T933" s="1136"/>
      <c r="U933" s="1136"/>
      <c r="V933" s="1136"/>
      <c r="W933" s="1136"/>
      <c r="X933" s="1138"/>
      <c r="Y933" s="431"/>
      <c r="Z933" s="463"/>
      <c r="AA933" s="401"/>
      <c r="AB933" s="1091"/>
      <c r="AC933" s="1092"/>
      <c r="AD933" s="1093"/>
    </row>
    <row r="934" spans="1:30" s="1094" customFormat="1" ht="22.5" customHeight="1">
      <c r="A934" s="411"/>
      <c r="B934" s="1097"/>
      <c r="C934" s="433"/>
      <c r="D934" s="3266" t="s">
        <v>4276</v>
      </c>
      <c r="E934" s="3267"/>
      <c r="F934" s="1683">
        <f>SUM(F935:F956)</f>
        <v>90000</v>
      </c>
      <c r="G934" s="1683">
        <f>SUM(G935:G956)</f>
        <v>90000</v>
      </c>
      <c r="H934" s="461">
        <f>F934-G934</f>
        <v>0</v>
      </c>
      <c r="I934" s="409"/>
      <c r="J934" s="1135"/>
      <c r="K934" s="2598"/>
      <c r="L934" s="2598"/>
      <c r="M934" s="2598"/>
      <c r="N934" s="2598"/>
      <c r="O934" s="2598"/>
      <c r="P934" s="2598"/>
      <c r="Q934" s="2598"/>
      <c r="R934" s="395"/>
      <c r="S934" s="1136"/>
      <c r="T934" s="1136"/>
      <c r="U934" s="1136"/>
      <c r="V934" s="1136"/>
      <c r="W934" s="1136"/>
      <c r="X934" s="1138"/>
      <c r="Y934" s="431"/>
      <c r="Z934" s="463"/>
      <c r="AA934" s="401"/>
      <c r="AB934" s="1091"/>
      <c r="AC934" s="1092"/>
      <c r="AD934" s="1093"/>
    </row>
    <row r="935" spans="1:30" s="2624" customFormat="1" ht="22.5" customHeight="1">
      <c r="A935" s="436"/>
      <c r="B935" s="402"/>
      <c r="C935" s="465"/>
      <c r="D935" s="1131"/>
      <c r="E935" s="510" t="s">
        <v>4013</v>
      </c>
      <c r="F935" s="873">
        <f t="shared" ref="F935:F936" si="359">Y935</f>
        <v>1000</v>
      </c>
      <c r="G935" s="873">
        <v>1000</v>
      </c>
      <c r="H935" s="1147"/>
      <c r="I935" s="1333"/>
      <c r="J935" s="1780" t="s">
        <v>4277</v>
      </c>
      <c r="K935" s="1685"/>
      <c r="L935" s="1685"/>
      <c r="M935" s="1685"/>
      <c r="N935" s="1686"/>
      <c r="O935" s="1686"/>
      <c r="P935" s="1685"/>
      <c r="Q935" s="1685"/>
      <c r="R935" s="1685"/>
      <c r="S935" s="1685">
        <v>500000</v>
      </c>
      <c r="T935" s="1685" t="s">
        <v>0</v>
      </c>
      <c r="U935" s="1685"/>
      <c r="V935" s="1685">
        <v>2</v>
      </c>
      <c r="W935" s="1685" t="s">
        <v>3440</v>
      </c>
      <c r="X935" s="1685" t="s">
        <v>1</v>
      </c>
      <c r="Y935" s="406">
        <f t="shared" ref="Y935:Y936" si="360">+Z935/1000</f>
        <v>1000</v>
      </c>
      <c r="Z935" s="637">
        <f>S935*V935</f>
        <v>1000000</v>
      </c>
      <c r="AA935" s="401"/>
      <c r="AB935" s="1091"/>
      <c r="AC935" s="1095"/>
      <c r="AD935" s="397"/>
    </row>
    <row r="936" spans="1:30" s="2624" customFormat="1" ht="22.5" customHeight="1">
      <c r="A936" s="436"/>
      <c r="B936" s="465"/>
      <c r="C936" s="465"/>
      <c r="D936" s="1131"/>
      <c r="E936" s="510" t="s">
        <v>4017</v>
      </c>
      <c r="F936" s="873">
        <f t="shared" si="359"/>
        <v>9500</v>
      </c>
      <c r="G936" s="1185">
        <v>9500</v>
      </c>
      <c r="H936" s="1147"/>
      <c r="I936" s="1333"/>
      <c r="J936" s="1780" t="s">
        <v>4195</v>
      </c>
      <c r="K936" s="1685"/>
      <c r="L936" s="1685"/>
      <c r="M936" s="1685"/>
      <c r="N936" s="1686"/>
      <c r="O936" s="1686"/>
      <c r="P936" s="1685"/>
      <c r="Q936" s="635"/>
      <c r="R936" s="1685"/>
      <c r="S936" s="1686"/>
      <c r="T936" s="1685"/>
      <c r="U936" s="1685"/>
      <c r="V936" s="1685"/>
      <c r="W936" s="1685"/>
      <c r="X936" s="1685"/>
      <c r="Y936" s="406">
        <f t="shared" si="360"/>
        <v>9500</v>
      </c>
      <c r="Z936" s="637">
        <f>SUM(Z937:Z940)</f>
        <v>9500000</v>
      </c>
      <c r="AA936" s="401"/>
      <c r="AB936" s="1091"/>
      <c r="AC936" s="1095"/>
      <c r="AD936" s="397"/>
    </row>
    <row r="937" spans="1:30" s="2624" customFormat="1" ht="22.5" customHeight="1">
      <c r="A937" s="436"/>
      <c r="B937" s="402"/>
      <c r="C937" s="465"/>
      <c r="D937" s="1131"/>
      <c r="E937" s="510"/>
      <c r="F937" s="873"/>
      <c r="G937" s="1185"/>
      <c r="H937" s="1147"/>
      <c r="I937" s="1333"/>
      <c r="J937" s="1780" t="s">
        <v>4278</v>
      </c>
      <c r="K937" s="1685"/>
      <c r="L937" s="1685"/>
      <c r="M937" s="1685"/>
      <c r="N937" s="1686"/>
      <c r="O937" s="1686"/>
      <c r="P937" s="1685"/>
      <c r="Q937" s="1685">
        <v>2</v>
      </c>
      <c r="R937" s="1685" t="s">
        <v>4003</v>
      </c>
      <c r="S937" s="1666">
        <v>25000</v>
      </c>
      <c r="T937" s="569" t="s">
        <v>3727</v>
      </c>
      <c r="U937" s="569"/>
      <c r="V937" s="1685">
        <v>10</v>
      </c>
      <c r="W937" s="1685" t="s">
        <v>3732</v>
      </c>
      <c r="X937" s="1807" t="s">
        <v>3441</v>
      </c>
      <c r="Y937" s="406">
        <f t="shared" ref="Y937" si="361">Z937/1000</f>
        <v>500</v>
      </c>
      <c r="Z937" s="1823">
        <f>Q937*S937*V937</f>
        <v>500000</v>
      </c>
      <c r="AA937" s="401"/>
      <c r="AB937" s="1091"/>
      <c r="AC937" s="1095"/>
      <c r="AD937" s="397"/>
    </row>
    <row r="938" spans="1:30" s="2624" customFormat="1" ht="22.5" customHeight="1">
      <c r="A938" s="436"/>
      <c r="B938" s="402"/>
      <c r="C938" s="465"/>
      <c r="D938" s="1131"/>
      <c r="E938" s="510"/>
      <c r="F938" s="873"/>
      <c r="G938" s="1185"/>
      <c r="H938" s="1147"/>
      <c r="I938" s="1333"/>
      <c r="J938" s="1780" t="s">
        <v>4279</v>
      </c>
      <c r="K938" s="1685"/>
      <c r="L938" s="1685"/>
      <c r="M938" s="1685"/>
      <c r="N938" s="1686"/>
      <c r="O938" s="1686"/>
      <c r="P938" s="1685"/>
      <c r="Q938" s="635"/>
      <c r="R938" s="1685"/>
      <c r="S938" s="1686">
        <v>2500000</v>
      </c>
      <c r="T938" s="1685" t="s">
        <v>0</v>
      </c>
      <c r="U938" s="1685"/>
      <c r="V938" s="1685">
        <v>2</v>
      </c>
      <c r="W938" s="1685" t="s">
        <v>4063</v>
      </c>
      <c r="X938" s="1685" t="s">
        <v>1</v>
      </c>
      <c r="Y938" s="406">
        <f t="shared" ref="Y938:Y941" si="362">+Z938/1000</f>
        <v>5000</v>
      </c>
      <c r="Z938" s="637">
        <f>S938*V938</f>
        <v>5000000</v>
      </c>
      <c r="AA938" s="401"/>
      <c r="AB938" s="1091"/>
      <c r="AC938" s="1095"/>
      <c r="AD938" s="397"/>
    </row>
    <row r="939" spans="1:30" s="2624" customFormat="1" ht="22.5" customHeight="1">
      <c r="A939" s="436"/>
      <c r="B939" s="402"/>
      <c r="C939" s="465"/>
      <c r="D939" s="1131"/>
      <c r="E939" s="510"/>
      <c r="F939" s="873"/>
      <c r="G939" s="1185"/>
      <c r="H939" s="1147"/>
      <c r="I939" s="1333"/>
      <c r="J939" s="1780" t="s">
        <v>4280</v>
      </c>
      <c r="K939" s="1685"/>
      <c r="L939" s="1685"/>
      <c r="M939" s="1685"/>
      <c r="N939" s="1686"/>
      <c r="O939" s="1686"/>
      <c r="P939" s="1685"/>
      <c r="Q939" s="1685">
        <v>2</v>
      </c>
      <c r="R939" s="1685" t="s">
        <v>4003</v>
      </c>
      <c r="S939" s="1686">
        <v>150000</v>
      </c>
      <c r="T939" s="1685" t="s">
        <v>0</v>
      </c>
      <c r="U939" s="1685"/>
      <c r="V939" s="1685">
        <v>10</v>
      </c>
      <c r="W939" s="1685" t="s">
        <v>4049</v>
      </c>
      <c r="X939" s="1685" t="s">
        <v>1</v>
      </c>
      <c r="Y939" s="406">
        <f t="shared" si="362"/>
        <v>3000</v>
      </c>
      <c r="Z939" s="1823">
        <f t="shared" ref="Z939:Z940" si="363">Q939*S939*V939</f>
        <v>3000000</v>
      </c>
      <c r="AA939" s="401"/>
      <c r="AB939" s="1091"/>
      <c r="AC939" s="1095"/>
      <c r="AD939" s="397"/>
    </row>
    <row r="940" spans="1:30" s="2624" customFormat="1" ht="22.5" customHeight="1">
      <c r="A940" s="436"/>
      <c r="B940" s="402"/>
      <c r="C940" s="465"/>
      <c r="D940" s="1131"/>
      <c r="E940" s="510"/>
      <c r="F940" s="873"/>
      <c r="G940" s="1185"/>
      <c r="H940" s="1147"/>
      <c r="I940" s="1333"/>
      <c r="J940" s="1780" t="s">
        <v>4281</v>
      </c>
      <c r="K940" s="1685"/>
      <c r="L940" s="1685"/>
      <c r="M940" s="1685"/>
      <c r="N940" s="1686"/>
      <c r="O940" s="1686"/>
      <c r="P940" s="1685"/>
      <c r="Q940" s="1685">
        <v>2</v>
      </c>
      <c r="R940" s="1685" t="s">
        <v>4003</v>
      </c>
      <c r="S940" s="1686">
        <v>25000</v>
      </c>
      <c r="T940" s="1685" t="s">
        <v>0</v>
      </c>
      <c r="U940" s="1685"/>
      <c r="V940" s="1685">
        <v>20</v>
      </c>
      <c r="W940" s="1685" t="s">
        <v>3732</v>
      </c>
      <c r="X940" s="1685" t="s">
        <v>1</v>
      </c>
      <c r="Y940" s="406">
        <f t="shared" si="362"/>
        <v>1000</v>
      </c>
      <c r="Z940" s="1823">
        <f t="shared" si="363"/>
        <v>1000000</v>
      </c>
      <c r="AA940" s="401"/>
      <c r="AB940" s="1091"/>
      <c r="AC940" s="1095"/>
      <c r="AD940" s="397"/>
    </row>
    <row r="941" spans="1:30" s="2624" customFormat="1" ht="22.5" customHeight="1">
      <c r="A941" s="436"/>
      <c r="B941" s="402"/>
      <c r="C941" s="465"/>
      <c r="D941" s="1131"/>
      <c r="E941" s="510" t="s">
        <v>4022</v>
      </c>
      <c r="F941" s="873">
        <f>Y941</f>
        <v>8400</v>
      </c>
      <c r="G941" s="873">
        <v>8400</v>
      </c>
      <c r="H941" s="1147"/>
      <c r="I941" s="1333"/>
      <c r="J941" s="1780" t="s">
        <v>4195</v>
      </c>
      <c r="K941" s="1685"/>
      <c r="L941" s="1685"/>
      <c r="M941" s="1685"/>
      <c r="N941" s="1686"/>
      <c r="O941" s="1686"/>
      <c r="P941" s="1685"/>
      <c r="Q941" s="635"/>
      <c r="R941" s="1685"/>
      <c r="S941" s="1686"/>
      <c r="T941" s="1685"/>
      <c r="U941" s="1685"/>
      <c r="V941" s="1685"/>
      <c r="W941" s="1685"/>
      <c r="X941" s="1685"/>
      <c r="Y941" s="406">
        <f t="shared" si="362"/>
        <v>8400</v>
      </c>
      <c r="Z941" s="637">
        <f>SUM(Z942:Z943)</f>
        <v>8400000</v>
      </c>
      <c r="AA941" s="401"/>
      <c r="AB941" s="1091"/>
      <c r="AC941" s="1095"/>
      <c r="AD941" s="397"/>
    </row>
    <row r="942" spans="1:30" s="2624" customFormat="1" ht="22.5" customHeight="1">
      <c r="A942" s="436"/>
      <c r="B942" s="402"/>
      <c r="C942" s="465"/>
      <c r="D942" s="1131"/>
      <c r="E942" s="510"/>
      <c r="F942" s="873"/>
      <c r="G942" s="873"/>
      <c r="H942" s="1147"/>
      <c r="I942" s="1333"/>
      <c r="J942" s="1780" t="s">
        <v>4282</v>
      </c>
      <c r="K942" s="1685"/>
      <c r="L942" s="1685"/>
      <c r="M942" s="1685"/>
      <c r="N942" s="1686"/>
      <c r="O942" s="1686"/>
      <c r="P942" s="1685"/>
      <c r="Q942" s="1685">
        <v>1</v>
      </c>
      <c r="R942" s="1685" t="s">
        <v>4003</v>
      </c>
      <c r="S942" s="1666">
        <v>200000</v>
      </c>
      <c r="T942" s="569" t="s">
        <v>3727</v>
      </c>
      <c r="U942" s="569"/>
      <c r="V942" s="1685">
        <v>2</v>
      </c>
      <c r="W942" s="1685" t="s">
        <v>3732</v>
      </c>
      <c r="X942" s="1807" t="s">
        <v>3441</v>
      </c>
      <c r="Y942" s="406">
        <f t="shared" ref="Y942" si="364">Z942/1000</f>
        <v>400</v>
      </c>
      <c r="Z942" s="1823">
        <f>Q942*S942*V942</f>
        <v>400000</v>
      </c>
      <c r="AA942" s="401"/>
      <c r="AB942" s="1091"/>
      <c r="AC942" s="1095"/>
      <c r="AD942" s="397"/>
    </row>
    <row r="943" spans="1:30" s="2624" customFormat="1" ht="22.5" customHeight="1">
      <c r="A943" s="436"/>
      <c r="B943" s="402"/>
      <c r="C943" s="465"/>
      <c r="D943" s="1131"/>
      <c r="E943" s="510"/>
      <c r="F943" s="873"/>
      <c r="G943" s="873"/>
      <c r="H943" s="700"/>
      <c r="I943" s="1333"/>
      <c r="J943" s="1780" t="s">
        <v>4283</v>
      </c>
      <c r="K943" s="1685"/>
      <c r="L943" s="1685"/>
      <c r="M943" s="1685"/>
      <c r="N943" s="1686"/>
      <c r="O943" s="1686"/>
      <c r="P943" s="1685"/>
      <c r="Q943" s="635"/>
      <c r="R943" s="1685"/>
      <c r="S943" s="1686">
        <v>8000000</v>
      </c>
      <c r="T943" s="1685" t="s">
        <v>0</v>
      </c>
      <c r="U943" s="1685"/>
      <c r="V943" s="1685">
        <v>1</v>
      </c>
      <c r="W943" s="1685" t="s">
        <v>3732</v>
      </c>
      <c r="X943" s="1685" t="s">
        <v>1</v>
      </c>
      <c r="Y943" s="406">
        <f t="shared" ref="Y943:Y956" si="365">+Z943/1000</f>
        <v>8000</v>
      </c>
      <c r="Z943" s="637">
        <f t="shared" ref="Z943" si="366">S943*V943</f>
        <v>8000000</v>
      </c>
      <c r="AA943" s="401"/>
      <c r="AB943" s="1091"/>
      <c r="AC943" s="1095"/>
      <c r="AD943" s="397"/>
    </row>
    <row r="944" spans="1:30" s="1094" customFormat="1" ht="22.5" customHeight="1">
      <c r="A944" s="2627"/>
      <c r="B944" s="1145"/>
      <c r="C944" s="1126"/>
      <c r="D944" s="1131"/>
      <c r="E944" s="510" t="s">
        <v>3740</v>
      </c>
      <c r="F944" s="873">
        <f>Y944</f>
        <v>66400</v>
      </c>
      <c r="G944" s="511">
        <v>66400</v>
      </c>
      <c r="H944" s="1147"/>
      <c r="I944" s="1333"/>
      <c r="J944" s="2643" t="s">
        <v>3447</v>
      </c>
      <c r="K944" s="1685"/>
      <c r="L944" s="1685"/>
      <c r="M944" s="1685"/>
      <c r="N944" s="1686"/>
      <c r="O944" s="1686"/>
      <c r="P944" s="1685"/>
      <c r="Q944" s="635"/>
      <c r="R944" s="1685"/>
      <c r="S944" s="1686"/>
      <c r="T944" s="1685"/>
      <c r="U944" s="1685"/>
      <c r="V944" s="1685"/>
      <c r="W944" s="1685"/>
      <c r="X944" s="1685"/>
      <c r="Y944" s="406">
        <f t="shared" si="365"/>
        <v>66400</v>
      </c>
      <c r="Z944" s="637">
        <f>SUM(Z945:Z954)</f>
        <v>66400000</v>
      </c>
      <c r="AA944" s="401"/>
      <c r="AB944" s="1091"/>
      <c r="AC944" s="1092"/>
      <c r="AD944" s="1093"/>
    </row>
    <row r="945" spans="1:30" s="1094" customFormat="1" ht="22.5" customHeight="1">
      <c r="A945" s="2627"/>
      <c r="B945" s="1145"/>
      <c r="C945" s="1126"/>
      <c r="D945" s="1131"/>
      <c r="E945" s="510"/>
      <c r="F945" s="511"/>
      <c r="G945" s="511"/>
      <c r="H945" s="513"/>
      <c r="I945" s="1333"/>
      <c r="J945" s="1780" t="s">
        <v>4284</v>
      </c>
      <c r="K945" s="1685"/>
      <c r="L945" s="1685"/>
      <c r="M945" s="1685"/>
      <c r="N945" s="1686"/>
      <c r="O945" s="1686"/>
      <c r="P945" s="1685"/>
      <c r="Q945" s="635"/>
      <c r="R945" s="1685"/>
      <c r="S945" s="1686">
        <v>20000000</v>
      </c>
      <c r="T945" s="1685" t="s">
        <v>0</v>
      </c>
      <c r="U945" s="1685"/>
      <c r="V945" s="1685">
        <v>1</v>
      </c>
      <c r="W945" s="1685" t="s">
        <v>3440</v>
      </c>
      <c r="X945" s="1685" t="s">
        <v>1</v>
      </c>
      <c r="Y945" s="406">
        <f t="shared" si="365"/>
        <v>20000</v>
      </c>
      <c r="Z945" s="637">
        <f>S945*V945</f>
        <v>20000000</v>
      </c>
      <c r="AA945" s="401"/>
      <c r="AB945" s="1091"/>
      <c r="AC945" s="1092"/>
      <c r="AD945" s="1093"/>
    </row>
    <row r="946" spans="1:30" s="1094" customFormat="1" ht="22.5" customHeight="1">
      <c r="A946" s="2627"/>
      <c r="B946" s="1145"/>
      <c r="C946" s="1145"/>
      <c r="D946" s="1131"/>
      <c r="E946" s="510"/>
      <c r="F946" s="511"/>
      <c r="G946" s="511"/>
      <c r="H946" s="513"/>
      <c r="I946" s="1333"/>
      <c r="J946" s="1780" t="s">
        <v>4285</v>
      </c>
      <c r="K946" s="1685"/>
      <c r="L946" s="1685"/>
      <c r="M946" s="1685"/>
      <c r="N946" s="1686"/>
      <c r="O946" s="1686"/>
      <c r="P946" s="1685"/>
      <c r="Q946" s="635"/>
      <c r="R946" s="1685"/>
      <c r="S946" s="1686">
        <v>3500000</v>
      </c>
      <c r="T946" s="1685" t="s">
        <v>0</v>
      </c>
      <c r="U946" s="1685"/>
      <c r="V946" s="1685">
        <v>2</v>
      </c>
      <c r="W946" s="1685" t="s">
        <v>3440</v>
      </c>
      <c r="X946" s="1685" t="s">
        <v>1</v>
      </c>
      <c r="Y946" s="406">
        <f t="shared" si="365"/>
        <v>7000</v>
      </c>
      <c r="Z946" s="637">
        <f t="shared" ref="Z946:Z954" si="367">S946*V946</f>
        <v>7000000</v>
      </c>
      <c r="AA946" s="401"/>
      <c r="AB946" s="1091"/>
      <c r="AC946" s="1092"/>
      <c r="AD946" s="1093"/>
    </row>
    <row r="947" spans="1:30" s="1094" customFormat="1" ht="22.5" customHeight="1">
      <c r="A947" s="2627"/>
      <c r="B947" s="1145"/>
      <c r="C947" s="1126"/>
      <c r="D947" s="1131"/>
      <c r="E947" s="510"/>
      <c r="F947" s="511"/>
      <c r="G947" s="511"/>
      <c r="H947" s="513"/>
      <c r="I947" s="1333"/>
      <c r="J947" s="1780" t="s">
        <v>4286</v>
      </c>
      <c r="K947" s="1685"/>
      <c r="L947" s="1685"/>
      <c r="M947" s="1685"/>
      <c r="N947" s="1686"/>
      <c r="O947" s="1686"/>
      <c r="P947" s="1685"/>
      <c r="Q947" s="635"/>
      <c r="R947" s="1685"/>
      <c r="S947" s="1686">
        <v>1500000</v>
      </c>
      <c r="T947" s="1685" t="s">
        <v>0</v>
      </c>
      <c r="U947" s="1685"/>
      <c r="V947" s="1685">
        <v>1</v>
      </c>
      <c r="W947" s="1685" t="s">
        <v>3440</v>
      </c>
      <c r="X947" s="1685" t="s">
        <v>1</v>
      </c>
      <c r="Y947" s="406">
        <f t="shared" si="365"/>
        <v>1500</v>
      </c>
      <c r="Z947" s="637">
        <f t="shared" si="367"/>
        <v>1500000</v>
      </c>
      <c r="AA947" s="401"/>
      <c r="AB947" s="1091"/>
      <c r="AC947" s="1092"/>
      <c r="AD947" s="1093"/>
    </row>
    <row r="948" spans="1:30" s="1094" customFormat="1" ht="22.5" customHeight="1">
      <c r="A948" s="2627"/>
      <c r="B948" s="1145"/>
      <c r="C948" s="1145"/>
      <c r="D948" s="1148"/>
      <c r="E948" s="510"/>
      <c r="F948" s="511"/>
      <c r="G948" s="511"/>
      <c r="H948" s="513"/>
      <c r="I948" s="1333"/>
      <c r="J948" s="1780" t="s">
        <v>4287</v>
      </c>
      <c r="K948" s="1685"/>
      <c r="L948" s="1685"/>
      <c r="M948" s="1685"/>
      <c r="N948" s="1686"/>
      <c r="O948" s="1686"/>
      <c r="P948" s="1685"/>
      <c r="Q948" s="1685"/>
      <c r="R948" s="1685"/>
      <c r="S948" s="1686">
        <v>650000</v>
      </c>
      <c r="T948" s="1685" t="s">
        <v>0</v>
      </c>
      <c r="U948" s="1685"/>
      <c r="V948" s="1685">
        <v>2</v>
      </c>
      <c r="W948" s="1685" t="s">
        <v>3732</v>
      </c>
      <c r="X948" s="1685" t="s">
        <v>1</v>
      </c>
      <c r="Y948" s="406">
        <f t="shared" si="365"/>
        <v>1300</v>
      </c>
      <c r="Z948" s="637">
        <f t="shared" si="367"/>
        <v>1300000</v>
      </c>
      <c r="AA948" s="401"/>
      <c r="AB948" s="1091"/>
      <c r="AC948" s="1092"/>
      <c r="AD948" s="1093"/>
    </row>
    <row r="949" spans="1:30" s="1094" customFormat="1" ht="22.5" customHeight="1">
      <c r="A949" s="2627"/>
      <c r="B949" s="1145"/>
      <c r="C949" s="1145"/>
      <c r="D949" s="1148"/>
      <c r="E949" s="510"/>
      <c r="F949" s="511"/>
      <c r="G949" s="511"/>
      <c r="H949" s="513"/>
      <c r="I949" s="1333"/>
      <c r="J949" s="1780" t="s">
        <v>4288</v>
      </c>
      <c r="K949" s="1685"/>
      <c r="L949" s="1685"/>
      <c r="M949" s="1685"/>
      <c r="N949" s="1686"/>
      <c r="O949" s="1686"/>
      <c r="P949" s="1685"/>
      <c r="Q949" s="1685"/>
      <c r="R949" s="1685"/>
      <c r="S949" s="1686">
        <v>4000000</v>
      </c>
      <c r="T949" s="1685" t="s">
        <v>0</v>
      </c>
      <c r="U949" s="1685"/>
      <c r="V949" s="1685">
        <v>1</v>
      </c>
      <c r="W949" s="1685" t="s">
        <v>3440</v>
      </c>
      <c r="X949" s="1685" t="s">
        <v>1</v>
      </c>
      <c r="Y949" s="406">
        <f t="shared" si="365"/>
        <v>4000</v>
      </c>
      <c r="Z949" s="637">
        <f t="shared" si="367"/>
        <v>4000000</v>
      </c>
      <c r="AA949" s="401"/>
      <c r="AB949" s="1091"/>
      <c r="AC949" s="1092"/>
      <c r="AD949" s="1093"/>
    </row>
    <row r="950" spans="1:30" s="1094" customFormat="1" ht="22.5" customHeight="1">
      <c r="A950" s="2627"/>
      <c r="B950" s="1145"/>
      <c r="C950" s="1145"/>
      <c r="D950" s="1148"/>
      <c r="E950" s="510"/>
      <c r="F950" s="511"/>
      <c r="G950" s="511"/>
      <c r="H950" s="513"/>
      <c r="I950" s="1333"/>
      <c r="J950" s="1780" t="s">
        <v>4289</v>
      </c>
      <c r="K950" s="1685"/>
      <c r="L950" s="1685"/>
      <c r="M950" s="1685"/>
      <c r="N950" s="1686"/>
      <c r="O950" s="1686"/>
      <c r="P950" s="1685"/>
      <c r="Q950" s="1685"/>
      <c r="R950" s="1685"/>
      <c r="S950" s="1686">
        <v>5000000</v>
      </c>
      <c r="T950" s="1685" t="s">
        <v>0</v>
      </c>
      <c r="U950" s="1685"/>
      <c r="V950" s="1685">
        <v>2</v>
      </c>
      <c r="W950" s="1685" t="s">
        <v>4063</v>
      </c>
      <c r="X950" s="1685" t="s">
        <v>1</v>
      </c>
      <c r="Y950" s="406">
        <f t="shared" si="365"/>
        <v>10000</v>
      </c>
      <c r="Z950" s="637">
        <f t="shared" si="367"/>
        <v>10000000</v>
      </c>
      <c r="AA950" s="401"/>
      <c r="AB950" s="1091"/>
      <c r="AC950" s="1092"/>
      <c r="AD950" s="1093"/>
    </row>
    <row r="951" spans="1:30" s="1094" customFormat="1" ht="22.5" customHeight="1">
      <c r="A951" s="2627"/>
      <c r="B951" s="1145"/>
      <c r="C951" s="1126"/>
      <c r="D951" s="1148"/>
      <c r="E951" s="510"/>
      <c r="F951" s="511"/>
      <c r="G951" s="511"/>
      <c r="H951" s="513"/>
      <c r="I951" s="1333"/>
      <c r="J951" s="1780" t="s">
        <v>4290</v>
      </c>
      <c r="K951" s="1685"/>
      <c r="L951" s="1685"/>
      <c r="M951" s="1685"/>
      <c r="N951" s="1686"/>
      <c r="O951" s="1686"/>
      <c r="P951" s="1685"/>
      <c r="Q951" s="1685">
        <v>1</v>
      </c>
      <c r="R951" s="1685" t="s">
        <v>4197</v>
      </c>
      <c r="S951" s="1686">
        <v>300000</v>
      </c>
      <c r="T951" s="1685" t="s">
        <v>0</v>
      </c>
      <c r="U951" s="1685"/>
      <c r="V951" s="1685">
        <v>24</v>
      </c>
      <c r="W951" s="1685" t="s">
        <v>3728</v>
      </c>
      <c r="X951" s="1685" t="s">
        <v>1</v>
      </c>
      <c r="Y951" s="406">
        <f t="shared" si="365"/>
        <v>7200</v>
      </c>
      <c r="Z951" s="637">
        <f>Q951*S951*V951</f>
        <v>7200000</v>
      </c>
      <c r="AA951" s="401"/>
      <c r="AB951" s="1091"/>
      <c r="AC951" s="1092"/>
      <c r="AD951" s="1093"/>
    </row>
    <row r="952" spans="1:30" s="1094" customFormat="1" ht="22.5" customHeight="1">
      <c r="A952" s="2627"/>
      <c r="B952" s="1145"/>
      <c r="C952" s="1126"/>
      <c r="D952" s="1148"/>
      <c r="E952" s="510"/>
      <c r="F952" s="511"/>
      <c r="G952" s="511"/>
      <c r="H952" s="513"/>
      <c r="I952" s="1333"/>
      <c r="J952" s="1780" t="s">
        <v>4291</v>
      </c>
      <c r="K952" s="1685"/>
      <c r="L952" s="1685"/>
      <c r="M952" s="1685"/>
      <c r="N952" s="1686"/>
      <c r="O952" s="1686"/>
      <c r="P952" s="1685"/>
      <c r="Q952" s="1685"/>
      <c r="R952" s="1685"/>
      <c r="S952" s="1686">
        <v>1000000</v>
      </c>
      <c r="T952" s="1685" t="s">
        <v>0</v>
      </c>
      <c r="U952" s="1685"/>
      <c r="V952" s="1685">
        <v>3</v>
      </c>
      <c r="W952" s="1685" t="s">
        <v>3728</v>
      </c>
      <c r="X952" s="1685" t="s">
        <v>1</v>
      </c>
      <c r="Y952" s="406">
        <f t="shared" si="365"/>
        <v>3000</v>
      </c>
      <c r="Z952" s="637">
        <f t="shared" si="367"/>
        <v>3000000</v>
      </c>
      <c r="AA952" s="401"/>
      <c r="AB952" s="1091"/>
      <c r="AC952" s="1092"/>
      <c r="AD952" s="1093"/>
    </row>
    <row r="953" spans="1:30" s="1094" customFormat="1" ht="22.5" customHeight="1">
      <c r="A953" s="2627"/>
      <c r="B953" s="1145"/>
      <c r="C953" s="1126"/>
      <c r="D953" s="1148"/>
      <c r="E953" s="510"/>
      <c r="F953" s="511"/>
      <c r="G953" s="511"/>
      <c r="H953" s="513"/>
      <c r="I953" s="1333"/>
      <c r="J953" s="1780" t="s">
        <v>4292</v>
      </c>
      <c r="K953" s="1685"/>
      <c r="L953" s="1685"/>
      <c r="M953" s="1685"/>
      <c r="N953" s="1686"/>
      <c r="O953" s="1686"/>
      <c r="P953" s="1685"/>
      <c r="Q953" s="1685"/>
      <c r="R953" s="1685"/>
      <c r="S953" s="1686">
        <v>10000</v>
      </c>
      <c r="T953" s="1685" t="s">
        <v>0</v>
      </c>
      <c r="U953" s="1685"/>
      <c r="V953" s="1685">
        <v>800</v>
      </c>
      <c r="W953" s="1685" t="s">
        <v>3728</v>
      </c>
      <c r="X953" s="1685" t="s">
        <v>1</v>
      </c>
      <c r="Y953" s="406">
        <f t="shared" si="365"/>
        <v>8000</v>
      </c>
      <c r="Z953" s="637">
        <f t="shared" si="367"/>
        <v>8000000</v>
      </c>
      <c r="AA953" s="401"/>
      <c r="AB953" s="1091"/>
      <c r="AC953" s="1092"/>
      <c r="AD953" s="1093"/>
    </row>
    <row r="954" spans="1:30" s="1094" customFormat="1" ht="22.5" customHeight="1">
      <c r="A954" s="2627"/>
      <c r="B954" s="1145"/>
      <c r="C954" s="1126"/>
      <c r="D954" s="1148"/>
      <c r="E954" s="510"/>
      <c r="F954" s="511"/>
      <c r="G954" s="511"/>
      <c r="H954" s="513"/>
      <c r="I954" s="1333"/>
      <c r="J954" s="1780" t="s">
        <v>4293</v>
      </c>
      <c r="K954" s="1685"/>
      <c r="L954" s="1685"/>
      <c r="M954" s="1685"/>
      <c r="N954" s="1686"/>
      <c r="O954" s="1686"/>
      <c r="P954" s="1685"/>
      <c r="Q954" s="1685"/>
      <c r="R954" s="1685"/>
      <c r="S954" s="1686">
        <v>4400000</v>
      </c>
      <c r="T954" s="1685" t="s">
        <v>0</v>
      </c>
      <c r="U954" s="1685"/>
      <c r="V954" s="1685">
        <v>1</v>
      </c>
      <c r="W954" s="1685" t="s">
        <v>3440</v>
      </c>
      <c r="X954" s="1685" t="s">
        <v>1</v>
      </c>
      <c r="Y954" s="406">
        <f t="shared" si="365"/>
        <v>4400</v>
      </c>
      <c r="Z954" s="637">
        <f t="shared" si="367"/>
        <v>4400000</v>
      </c>
      <c r="AA954" s="401"/>
      <c r="AB954" s="1091"/>
      <c r="AC954" s="1092"/>
      <c r="AD954" s="1093"/>
    </row>
    <row r="955" spans="1:30" s="1094" customFormat="1" ht="22.5" customHeight="1">
      <c r="A955" s="2627"/>
      <c r="B955" s="1145"/>
      <c r="C955" s="1126"/>
      <c r="D955" s="1148"/>
      <c r="E955" s="510" t="s">
        <v>4032</v>
      </c>
      <c r="F955" s="873">
        <f>Y955</f>
        <v>4000</v>
      </c>
      <c r="G955" s="873">
        <v>4000</v>
      </c>
      <c r="H955" s="1147"/>
      <c r="I955" s="1333"/>
      <c r="J955" s="1780" t="s">
        <v>4294</v>
      </c>
      <c r="K955" s="1685"/>
      <c r="L955" s="1685"/>
      <c r="M955" s="1685"/>
      <c r="N955" s="1686"/>
      <c r="O955" s="1686"/>
      <c r="P955" s="1685"/>
      <c r="Q955" s="1685">
        <v>1</v>
      </c>
      <c r="R955" s="1685" t="s">
        <v>4172</v>
      </c>
      <c r="S955" s="1685">
        <v>400000</v>
      </c>
      <c r="T955" s="1685" t="s">
        <v>0</v>
      </c>
      <c r="U955" s="1685"/>
      <c r="V955" s="1685">
        <v>10</v>
      </c>
      <c r="W955" s="1685" t="s">
        <v>4049</v>
      </c>
      <c r="X955" s="1685" t="s">
        <v>1</v>
      </c>
      <c r="Y955" s="406">
        <f t="shared" si="365"/>
        <v>4000</v>
      </c>
      <c r="Z955" s="637">
        <f>Q955*S955*V955</f>
        <v>4000000</v>
      </c>
      <c r="AA955" s="401"/>
      <c r="AB955" s="1091"/>
      <c r="AC955" s="1092"/>
      <c r="AD955" s="1093"/>
    </row>
    <row r="956" spans="1:30" s="2624" customFormat="1" ht="22.5" customHeight="1" thickBot="1">
      <c r="A956" s="436"/>
      <c r="B956" s="465"/>
      <c r="C956" s="465"/>
      <c r="D956" s="1131"/>
      <c r="E956" s="510" t="s">
        <v>4028</v>
      </c>
      <c r="F956" s="873">
        <f>Y956</f>
        <v>700</v>
      </c>
      <c r="G956" s="1185">
        <v>700</v>
      </c>
      <c r="H956" s="1147"/>
      <c r="I956" s="1333"/>
      <c r="J956" s="1780" t="s">
        <v>4295</v>
      </c>
      <c r="K956" s="1685"/>
      <c r="L956" s="1685"/>
      <c r="M956" s="1685"/>
      <c r="N956" s="1686"/>
      <c r="O956" s="1686"/>
      <c r="P956" s="1685"/>
      <c r="Q956" s="1685"/>
      <c r="R956" s="1685"/>
      <c r="S956" s="1685">
        <v>50000</v>
      </c>
      <c r="T956" s="1685" t="s">
        <v>0</v>
      </c>
      <c r="U956" s="1685"/>
      <c r="V956" s="1685">
        <v>14</v>
      </c>
      <c r="W956" s="1685" t="s">
        <v>3732</v>
      </c>
      <c r="X956" s="1685" t="s">
        <v>1</v>
      </c>
      <c r="Y956" s="406">
        <f t="shared" si="365"/>
        <v>700</v>
      </c>
      <c r="Z956" s="637">
        <f>S956*V956</f>
        <v>700000</v>
      </c>
      <c r="AA956" s="401"/>
      <c r="AB956" s="1091"/>
      <c r="AC956" s="1095"/>
      <c r="AD956" s="397"/>
    </row>
    <row r="957" spans="1:30" s="1094" customFormat="1" ht="22.5" hidden="1" customHeight="1">
      <c r="A957" s="411"/>
      <c r="B957" s="1097"/>
      <c r="C957" s="433"/>
      <c r="D957" s="3266" t="s">
        <v>4296</v>
      </c>
      <c r="E957" s="3267"/>
      <c r="F957" s="1683">
        <f>SUM(F958:F972)</f>
        <v>0</v>
      </c>
      <c r="G957" s="1683">
        <f>SUM(G958:G972)</f>
        <v>0</v>
      </c>
      <c r="H957" s="461">
        <f>SUM(H959:H972)</f>
        <v>0</v>
      </c>
      <c r="I957" s="409"/>
      <c r="J957" s="1135"/>
      <c r="K957" s="2598"/>
      <c r="L957" s="2598"/>
      <c r="M957" s="2598"/>
      <c r="N957" s="2598"/>
      <c r="O957" s="2598"/>
      <c r="P957" s="2598"/>
      <c r="Q957" s="2598"/>
      <c r="R957" s="395"/>
      <c r="S957" s="1136"/>
      <c r="T957" s="1136"/>
      <c r="U957" s="1136"/>
      <c r="V957" s="1136"/>
      <c r="W957" s="1136"/>
      <c r="X957" s="1138"/>
      <c r="Y957" s="431"/>
      <c r="Z957" s="463"/>
      <c r="AA957" s="401"/>
      <c r="AB957" s="1091"/>
      <c r="AC957" s="1092"/>
      <c r="AD957" s="1093"/>
    </row>
    <row r="958" spans="1:30" s="2624" customFormat="1" ht="22.5" hidden="1" customHeight="1">
      <c r="A958" s="436"/>
      <c r="B958" s="402"/>
      <c r="C958" s="465"/>
      <c r="D958" s="1131"/>
      <c r="E958" s="1134"/>
      <c r="F958" s="383"/>
      <c r="G958" s="403"/>
      <c r="H958" s="1147"/>
      <c r="I958" s="409"/>
      <c r="J958" s="514"/>
      <c r="K958" s="2604"/>
      <c r="L958" s="2604"/>
      <c r="M958" s="2604"/>
      <c r="N958" s="2604"/>
      <c r="O958" s="2604"/>
      <c r="P958" s="2604"/>
      <c r="Q958" s="727"/>
      <c r="R958" s="2634"/>
      <c r="S958" s="516"/>
      <c r="T958" s="516"/>
      <c r="U958" s="516"/>
      <c r="V958" s="516"/>
      <c r="W958" s="516"/>
      <c r="X958" s="517"/>
      <c r="Y958" s="724"/>
      <c r="Z958" s="532"/>
      <c r="AA958" s="401"/>
      <c r="AB958" s="1091"/>
      <c r="AC958" s="1095"/>
      <c r="AD958" s="397"/>
    </row>
    <row r="959" spans="1:30" s="2624" customFormat="1" ht="22.5" hidden="1" customHeight="1">
      <c r="A959" s="436"/>
      <c r="B959" s="465"/>
      <c r="C959" s="465"/>
      <c r="D959" s="1131"/>
      <c r="E959" s="1134"/>
      <c r="F959" s="383"/>
      <c r="G959" s="383"/>
      <c r="H959" s="467"/>
      <c r="I959" s="409"/>
      <c r="J959" s="514"/>
      <c r="K959" s="2604"/>
      <c r="L959" s="2604"/>
      <c r="M959" s="2604"/>
      <c r="N959" s="2604"/>
      <c r="O959" s="2604"/>
      <c r="P959" s="2604"/>
      <c r="Q959" s="635"/>
      <c r="R959" s="1187"/>
      <c r="S959" s="1686"/>
      <c r="T959" s="516"/>
      <c r="U959" s="516"/>
      <c r="V959" s="516"/>
      <c r="W959" s="516"/>
      <c r="X959" s="516"/>
      <c r="Y959" s="636"/>
      <c r="Z959" s="532"/>
      <c r="AA959" s="401"/>
      <c r="AB959" s="1091"/>
      <c r="AC959" s="1095"/>
      <c r="AD959" s="397"/>
    </row>
    <row r="960" spans="1:30" s="2624" customFormat="1" ht="22.5" hidden="1" customHeight="1">
      <c r="A960" s="436"/>
      <c r="B960" s="402"/>
      <c r="C960" s="465"/>
      <c r="D960" s="1131"/>
      <c r="E960" s="1134"/>
      <c r="F960" s="403"/>
      <c r="G960" s="403"/>
      <c r="H960" s="404"/>
      <c r="I960" s="409"/>
      <c r="J960" s="514"/>
      <c r="K960" s="2604"/>
      <c r="L960" s="2604"/>
      <c r="M960" s="2604"/>
      <c r="N960" s="2604"/>
      <c r="O960" s="2604"/>
      <c r="P960" s="2604"/>
      <c r="Q960" s="516"/>
      <c r="R960" s="516"/>
      <c r="S960" s="516"/>
      <c r="T960" s="516"/>
      <c r="U960" s="516"/>
      <c r="V960" s="516"/>
      <c r="W960" s="516"/>
      <c r="X960" s="517"/>
      <c r="Y960" s="636"/>
      <c r="Z960" s="532"/>
      <c r="AA960" s="401"/>
      <c r="AB960" s="1091"/>
      <c r="AC960" s="1095"/>
      <c r="AD960" s="397"/>
    </row>
    <row r="961" spans="1:30" s="2624" customFormat="1" ht="22.5" hidden="1" customHeight="1">
      <c r="A961" s="436"/>
      <c r="B961" s="402"/>
      <c r="C961" s="465"/>
      <c r="D961" s="1131"/>
      <c r="E961" s="1134"/>
      <c r="F961" s="403"/>
      <c r="G961" s="403"/>
      <c r="H961" s="1147"/>
      <c r="I961" s="409"/>
      <c r="J961" s="514"/>
      <c r="K961" s="2604"/>
      <c r="L961" s="2604"/>
      <c r="M961" s="2604"/>
      <c r="N961" s="2604"/>
      <c r="O961" s="2604"/>
      <c r="P961" s="2604"/>
      <c r="Q961" s="2604"/>
      <c r="R961" s="1187"/>
      <c r="S961" s="1686"/>
      <c r="T961" s="516"/>
      <c r="U961" s="516"/>
      <c r="V961" s="516"/>
      <c r="W961" s="516"/>
      <c r="X961" s="516"/>
      <c r="Y961" s="636"/>
      <c r="Z961" s="532"/>
      <c r="AA961" s="401"/>
      <c r="AB961" s="1091"/>
      <c r="AC961" s="1095"/>
      <c r="AD961" s="397"/>
    </row>
    <row r="962" spans="1:30" s="2624" customFormat="1" ht="22.5" hidden="1" customHeight="1">
      <c r="A962" s="436"/>
      <c r="B962" s="402"/>
      <c r="C962" s="465"/>
      <c r="D962" s="1131"/>
      <c r="E962" s="1134"/>
      <c r="F962" s="403"/>
      <c r="G962" s="403"/>
      <c r="H962" s="404"/>
      <c r="I962" s="409"/>
      <c r="J962" s="514"/>
      <c r="K962" s="2604"/>
      <c r="L962" s="2604"/>
      <c r="M962" s="2604"/>
      <c r="N962" s="2604"/>
      <c r="O962" s="2604"/>
      <c r="P962" s="2604"/>
      <c r="Q962" s="516"/>
      <c r="R962" s="516"/>
      <c r="S962" s="516"/>
      <c r="T962" s="516"/>
      <c r="U962" s="516"/>
      <c r="V962" s="861"/>
      <c r="W962" s="516"/>
      <c r="X962" s="516"/>
      <c r="Y962" s="636"/>
      <c r="Z962" s="532"/>
      <c r="AA962" s="401"/>
      <c r="AB962" s="1091"/>
      <c r="AC962" s="1095"/>
      <c r="AD962" s="397"/>
    </row>
    <row r="963" spans="1:30" s="2624" customFormat="1" ht="22.5" hidden="1" customHeight="1">
      <c r="A963" s="436"/>
      <c r="B963" s="402"/>
      <c r="C963" s="465"/>
      <c r="D963" s="1131"/>
      <c r="E963" s="1134"/>
      <c r="F963" s="403"/>
      <c r="G963" s="403"/>
      <c r="H963" s="404"/>
      <c r="I963" s="409"/>
      <c r="J963" s="514"/>
      <c r="K963" s="2604"/>
      <c r="L963" s="2604"/>
      <c r="M963" s="2604"/>
      <c r="N963" s="2604"/>
      <c r="O963" s="2604"/>
      <c r="P963" s="2604"/>
      <c r="Q963" s="516"/>
      <c r="R963" s="516"/>
      <c r="S963" s="516"/>
      <c r="T963" s="516"/>
      <c r="U963" s="516"/>
      <c r="V963" s="516"/>
      <c r="W963" s="516"/>
      <c r="X963" s="516"/>
      <c r="Y963" s="636"/>
      <c r="Z963" s="532"/>
      <c r="AA963" s="401"/>
      <c r="AB963" s="1091"/>
      <c r="AC963" s="1095"/>
      <c r="AD963" s="397"/>
    </row>
    <row r="964" spans="1:30" s="2624" customFormat="1" ht="22.5" hidden="1" customHeight="1">
      <c r="A964" s="436"/>
      <c r="B964" s="402"/>
      <c r="C964" s="465"/>
      <c r="D964" s="1131"/>
      <c r="E964" s="1134"/>
      <c r="F964" s="403"/>
      <c r="G964" s="403"/>
      <c r="H964" s="404"/>
      <c r="I964" s="409"/>
      <c r="J964" s="514"/>
      <c r="K964" s="2604"/>
      <c r="L964" s="2604"/>
      <c r="M964" s="2604"/>
      <c r="N964" s="2604"/>
      <c r="O964" s="2604"/>
      <c r="P964" s="2604"/>
      <c r="Q964" s="516"/>
      <c r="R964" s="516"/>
      <c r="S964" s="516"/>
      <c r="T964" s="516"/>
      <c r="U964" s="516"/>
      <c r="V964" s="516"/>
      <c r="W964" s="516"/>
      <c r="X964" s="516"/>
      <c r="Y964" s="636"/>
      <c r="Z964" s="532"/>
      <c r="AA964" s="401"/>
      <c r="AB964" s="1091"/>
      <c r="AC964" s="1095"/>
      <c r="AD964" s="397"/>
    </row>
    <row r="965" spans="1:30" s="1094" customFormat="1" ht="22.5" hidden="1" customHeight="1">
      <c r="A965" s="2627"/>
      <c r="B965" s="1145"/>
      <c r="C965" s="1126"/>
      <c r="D965" s="1131"/>
      <c r="E965" s="1134"/>
      <c r="F965" s="1141"/>
      <c r="G965" s="1139"/>
      <c r="H965" s="1147"/>
      <c r="I965" s="409"/>
      <c r="J965" s="514"/>
      <c r="K965" s="2604"/>
      <c r="L965" s="2604"/>
      <c r="M965" s="2604"/>
      <c r="N965" s="2604"/>
      <c r="O965" s="2604"/>
      <c r="P965" s="515"/>
      <c r="Q965" s="516"/>
      <c r="R965" s="2621"/>
      <c r="S965" s="516"/>
      <c r="T965" s="516"/>
      <c r="U965" s="515"/>
      <c r="V965" s="516"/>
      <c r="W965" s="516"/>
      <c r="X965" s="517"/>
      <c r="Y965" s="636"/>
      <c r="Z965" s="518"/>
      <c r="AA965" s="401"/>
      <c r="AB965" s="1091"/>
      <c r="AC965" s="1092"/>
      <c r="AD965" s="1093"/>
    </row>
    <row r="966" spans="1:30" s="1094" customFormat="1" ht="22.5" hidden="1" customHeight="1">
      <c r="A966" s="2627"/>
      <c r="B966" s="1145"/>
      <c r="C966" s="1126"/>
      <c r="D966" s="1131"/>
      <c r="E966" s="1134"/>
      <c r="F966" s="1141"/>
      <c r="G966" s="1139"/>
      <c r="H966" s="1147"/>
      <c r="I966" s="409"/>
      <c r="J966" s="514"/>
      <c r="K966" s="2604"/>
      <c r="L966" s="2604"/>
      <c r="M966" s="2604"/>
      <c r="N966" s="2626"/>
      <c r="O966" s="2626"/>
      <c r="P966" s="2626"/>
      <c r="Q966" s="516"/>
      <c r="R966" s="2621"/>
      <c r="S966" s="516"/>
      <c r="T966" s="516"/>
      <c r="U966" s="516"/>
      <c r="V966" s="516"/>
      <c r="W966" s="516"/>
      <c r="X966" s="1396"/>
      <c r="Y966" s="636"/>
      <c r="Z966" s="532"/>
      <c r="AA966" s="401"/>
      <c r="AB966" s="1091"/>
      <c r="AC966" s="1092"/>
      <c r="AD966" s="1093"/>
    </row>
    <row r="967" spans="1:30" s="1094" customFormat="1" ht="22.5" hidden="1" customHeight="1">
      <c r="A967" s="2627"/>
      <c r="B967" s="1145"/>
      <c r="C967" s="1145"/>
      <c r="D967" s="1131"/>
      <c r="E967" s="1134"/>
      <c r="F967" s="1141"/>
      <c r="G967" s="1139"/>
      <c r="H967" s="1147"/>
      <c r="I967" s="409"/>
      <c r="J967" s="514"/>
      <c r="K967" s="2604"/>
      <c r="L967" s="2604"/>
      <c r="M967" s="2604"/>
      <c r="N967" s="2626"/>
      <c r="O967" s="2626"/>
      <c r="P967" s="2626"/>
      <c r="Q967" s="516"/>
      <c r="R967" s="2621"/>
      <c r="S967" s="516"/>
      <c r="T967" s="516"/>
      <c r="U967" s="516"/>
      <c r="V967" s="516"/>
      <c r="W967" s="516"/>
      <c r="X967" s="1396"/>
      <c r="Y967" s="636"/>
      <c r="Z967" s="532"/>
      <c r="AA967" s="401"/>
      <c r="AB967" s="1091"/>
      <c r="AC967" s="1092"/>
      <c r="AD967" s="1093"/>
    </row>
    <row r="968" spans="1:30" s="1094" customFormat="1" ht="22.5" hidden="1" customHeight="1">
      <c r="A968" s="2627"/>
      <c r="B968" s="1145"/>
      <c r="C968" s="1126"/>
      <c r="D968" s="1131"/>
      <c r="E968" s="1134"/>
      <c r="F968" s="1141"/>
      <c r="G968" s="1139"/>
      <c r="H968" s="1147"/>
      <c r="I968" s="409"/>
      <c r="J968" s="514"/>
      <c r="K968" s="2604"/>
      <c r="L968" s="2604"/>
      <c r="M968" s="2604"/>
      <c r="N968" s="2626"/>
      <c r="O968" s="2626"/>
      <c r="P968" s="2626"/>
      <c r="Q968" s="516"/>
      <c r="R968" s="2621"/>
      <c r="S968" s="516"/>
      <c r="T968" s="516"/>
      <c r="U968" s="516"/>
      <c r="V968" s="516"/>
      <c r="W968" s="516"/>
      <c r="X968" s="1396"/>
      <c r="Y968" s="636"/>
      <c r="Z968" s="532"/>
      <c r="AA968" s="401"/>
      <c r="AB968" s="1091"/>
      <c r="AC968" s="1092"/>
      <c r="AD968" s="1093"/>
    </row>
    <row r="969" spans="1:30" s="1094" customFormat="1" ht="22.5" hidden="1" customHeight="1">
      <c r="A969" s="2627"/>
      <c r="B969" s="1145"/>
      <c r="C969" s="1145"/>
      <c r="D969" s="1148"/>
      <c r="E969" s="1134"/>
      <c r="F969" s="1141"/>
      <c r="G969" s="1139"/>
      <c r="H969" s="1147"/>
      <c r="I969" s="409"/>
      <c r="J969" s="514"/>
      <c r="K969" s="2604"/>
      <c r="L969" s="2604"/>
      <c r="M969" s="2604"/>
      <c r="N969" s="2626"/>
      <c r="O969" s="2626"/>
      <c r="P969" s="2626"/>
      <c r="Q969" s="516"/>
      <c r="R969" s="2621"/>
      <c r="S969" s="516"/>
      <c r="T969" s="516"/>
      <c r="U969" s="516"/>
      <c r="V969" s="516"/>
      <c r="W969" s="516"/>
      <c r="X969" s="1396"/>
      <c r="Y969" s="636"/>
      <c r="Z969" s="532"/>
      <c r="AA969" s="401"/>
      <c r="AB969" s="1091"/>
      <c r="AC969" s="1092"/>
      <c r="AD969" s="1093"/>
    </row>
    <row r="970" spans="1:30" s="1094" customFormat="1" ht="22.5" hidden="1" customHeight="1">
      <c r="A970" s="2627"/>
      <c r="B970" s="1145"/>
      <c r="C970" s="1145"/>
      <c r="D970" s="1148"/>
      <c r="E970" s="1134"/>
      <c r="F970" s="1141"/>
      <c r="G970" s="1139"/>
      <c r="H970" s="1147"/>
      <c r="I970" s="409"/>
      <c r="J970" s="514"/>
      <c r="K970" s="2604"/>
      <c r="L970" s="2604"/>
      <c r="M970" s="2604"/>
      <c r="N970" s="2626"/>
      <c r="O970" s="2626"/>
      <c r="P970" s="2626"/>
      <c r="Q970" s="516"/>
      <c r="R970" s="2621"/>
      <c r="S970" s="516"/>
      <c r="T970" s="516"/>
      <c r="U970" s="516"/>
      <c r="V970" s="516"/>
      <c r="W970" s="516"/>
      <c r="X970" s="1396"/>
      <c r="Y970" s="636"/>
      <c r="Z970" s="532"/>
      <c r="AA970" s="401"/>
      <c r="AB970" s="1091"/>
      <c r="AC970" s="1092"/>
      <c r="AD970" s="1093"/>
    </row>
    <row r="971" spans="1:30" s="1094" customFormat="1" ht="22.5" hidden="1" customHeight="1">
      <c r="A971" s="2627"/>
      <c r="B971" s="1145"/>
      <c r="C971" s="1145"/>
      <c r="D971" s="1148"/>
      <c r="E971" s="1134"/>
      <c r="F971" s="1141"/>
      <c r="G971" s="1139"/>
      <c r="H971" s="1147"/>
      <c r="I971" s="409"/>
      <c r="J971" s="514"/>
      <c r="K971" s="2604"/>
      <c r="L971" s="2604"/>
      <c r="M971" s="2604"/>
      <c r="N971" s="2626"/>
      <c r="O971" s="2626"/>
      <c r="P971" s="2626"/>
      <c r="Q971" s="516"/>
      <c r="R971" s="2621"/>
      <c r="S971" s="516"/>
      <c r="T971" s="516"/>
      <c r="U971" s="516"/>
      <c r="V971" s="516"/>
      <c r="W971" s="516"/>
      <c r="X971" s="1396"/>
      <c r="Y971" s="636"/>
      <c r="Z971" s="532"/>
      <c r="AA971" s="401"/>
      <c r="AB971" s="1091"/>
      <c r="AC971" s="1092"/>
      <c r="AD971" s="1093"/>
    </row>
    <row r="972" spans="1:30" s="2624" customFormat="1" ht="22.5" hidden="1" customHeight="1" thickBot="1">
      <c r="A972" s="436"/>
      <c r="B972" s="465"/>
      <c r="C972" s="465"/>
      <c r="D972" s="1131"/>
      <c r="E972" s="1134"/>
      <c r="F972" s="383"/>
      <c r="G972" s="383"/>
      <c r="H972" s="1147"/>
      <c r="I972" s="409"/>
      <c r="J972" s="514"/>
      <c r="K972" s="1685"/>
      <c r="L972" s="1685"/>
      <c r="M972" s="1685"/>
      <c r="N972" s="1685"/>
      <c r="O972" s="1685"/>
      <c r="P972" s="1685"/>
      <c r="Q972" s="516"/>
      <c r="R972" s="516"/>
      <c r="S972" s="516"/>
      <c r="T972" s="516"/>
      <c r="U972" s="516"/>
      <c r="V972" s="516"/>
      <c r="W972" s="516"/>
      <c r="X972" s="516"/>
      <c r="Y972" s="636"/>
      <c r="Z972" s="532"/>
      <c r="AA972" s="401"/>
      <c r="AB972" s="1091"/>
      <c r="AC972" s="1095"/>
      <c r="AD972" s="397"/>
    </row>
    <row r="973" spans="1:30" s="85" customFormat="1" ht="22.5" customHeight="1">
      <c r="A973" s="2868"/>
      <c r="B973" s="1145"/>
      <c r="C973" s="864" t="s">
        <v>1109</v>
      </c>
      <c r="D973" s="2861"/>
      <c r="E973" s="763"/>
      <c r="F973" s="764">
        <f>F974</f>
        <v>20000</v>
      </c>
      <c r="G973" s="764">
        <f>G974</f>
        <v>0</v>
      </c>
      <c r="H973" s="461">
        <f>F973-G973</f>
        <v>20000</v>
      </c>
      <c r="I973" s="409"/>
      <c r="J973" s="1135"/>
      <c r="K973" s="2860"/>
      <c r="L973" s="2860"/>
      <c r="M973" s="2860"/>
      <c r="N973" s="2860"/>
      <c r="O973" s="2860"/>
      <c r="P973" s="2865"/>
      <c r="Q973" s="1136"/>
      <c r="R973" s="1137"/>
      <c r="S973" s="1136"/>
      <c r="T973" s="1136"/>
      <c r="U973" s="2865"/>
      <c r="V973" s="1136"/>
      <c r="W973" s="1136"/>
      <c r="X973" s="1138"/>
      <c r="Y973" s="377"/>
      <c r="Z973" s="2918"/>
      <c r="AA973" s="401"/>
      <c r="AB973" s="1091">
        <f>F973</f>
        <v>20000</v>
      </c>
      <c r="AC973" s="1464"/>
      <c r="AD973" s="981"/>
    </row>
    <row r="974" spans="1:30" s="85" customFormat="1" ht="22.5" customHeight="1">
      <c r="A974" s="2868"/>
      <c r="B974" s="1145"/>
      <c r="C974" s="1126"/>
      <c r="D974" s="3273" t="s">
        <v>5428</v>
      </c>
      <c r="E974" s="3274"/>
      <c r="F974" s="1156">
        <f>SUM(F975:F983)</f>
        <v>20000</v>
      </c>
      <c r="G974" s="1156">
        <f>SUM(G975:G983)</f>
        <v>0</v>
      </c>
      <c r="H974" s="559">
        <f>F974-G974</f>
        <v>20000</v>
      </c>
      <c r="I974" s="409"/>
      <c r="J974" s="1129"/>
      <c r="K974" s="2801"/>
      <c r="L974" s="2801"/>
      <c r="M974" s="2801"/>
      <c r="N974" s="2801"/>
      <c r="O974" s="2801"/>
      <c r="P974" s="1130"/>
      <c r="Q974" s="2801"/>
      <c r="R974" s="1626"/>
      <c r="S974" s="1130"/>
      <c r="T974" s="2801"/>
      <c r="U974" s="2801"/>
      <c r="V974" s="1130"/>
      <c r="W974" s="2801"/>
      <c r="X974" s="1157"/>
      <c r="Y974" s="1158"/>
      <c r="Z974" s="378"/>
      <c r="AA974" s="401"/>
      <c r="AB974" s="1091"/>
      <c r="AC974" s="1464"/>
      <c r="AD974" s="981"/>
    </row>
    <row r="975" spans="1:30" s="85" customFormat="1" ht="22.5" customHeight="1">
      <c r="A975" s="2868"/>
      <c r="B975" s="1145"/>
      <c r="C975" s="1126"/>
      <c r="D975" s="1148"/>
      <c r="E975" s="1134" t="s">
        <v>5434</v>
      </c>
      <c r="F975" s="1141">
        <f>Y975</f>
        <v>4000</v>
      </c>
      <c r="G975" s="1139"/>
      <c r="H975" s="1147"/>
      <c r="I975" s="409"/>
      <c r="J975" s="2871" t="s">
        <v>194</v>
      </c>
      <c r="K975" s="1685"/>
      <c r="L975" s="1685"/>
      <c r="M975" s="1685"/>
      <c r="N975" s="1686"/>
      <c r="O975" s="1686"/>
      <c r="P975" s="1685"/>
      <c r="Q975" s="635"/>
      <c r="R975" s="1685"/>
      <c r="S975" s="1686"/>
      <c r="T975" s="1685"/>
      <c r="U975" s="1685"/>
      <c r="V975" s="1685"/>
      <c r="W975" s="1685"/>
      <c r="X975" s="1685"/>
      <c r="Y975" s="406">
        <f t="shared" ref="Y975:Y977" si="368">+Z975/1000</f>
        <v>4000</v>
      </c>
      <c r="Z975" s="637">
        <f>Z976+Z977</f>
        <v>4000000</v>
      </c>
      <c r="AA975" s="401"/>
      <c r="AB975" s="1091"/>
      <c r="AC975" s="1464"/>
      <c r="AD975" s="981"/>
    </row>
    <row r="976" spans="1:30" s="85" customFormat="1" ht="22.5" customHeight="1">
      <c r="A976" s="2868"/>
      <c r="B976" s="1145"/>
      <c r="C976" s="1126"/>
      <c r="D976" s="1148"/>
      <c r="E976" s="1134"/>
      <c r="F976" s="1141"/>
      <c r="G976" s="1139"/>
      <c r="H976" s="1147"/>
      <c r="I976" s="409"/>
      <c r="J976" s="1780" t="s">
        <v>3589</v>
      </c>
      <c r="K976" s="1685"/>
      <c r="L976" s="1685"/>
      <c r="M976" s="1685"/>
      <c r="N976" s="1686"/>
      <c r="O976" s="1686"/>
      <c r="P976" s="1685"/>
      <c r="Q976" s="1685">
        <v>1</v>
      </c>
      <c r="R976" s="1685" t="s">
        <v>33</v>
      </c>
      <c r="S976" s="1686">
        <v>120000</v>
      </c>
      <c r="T976" s="1685" t="s">
        <v>0</v>
      </c>
      <c r="U976" s="1685"/>
      <c r="V976" s="1685">
        <v>20</v>
      </c>
      <c r="W976" s="1685" t="s">
        <v>265</v>
      </c>
      <c r="X976" s="1685" t="s">
        <v>1</v>
      </c>
      <c r="Y976" s="406">
        <f t="shared" si="368"/>
        <v>2400</v>
      </c>
      <c r="Z976" s="637">
        <f>Q976*S976*V976</f>
        <v>2400000</v>
      </c>
      <c r="AA976" s="401"/>
      <c r="AB976" s="1091"/>
      <c r="AC976" s="1464"/>
      <c r="AD976" s="981"/>
    </row>
    <row r="977" spans="1:30" s="85" customFormat="1" ht="22.5" customHeight="1">
      <c r="A977" s="2868"/>
      <c r="B977" s="1145"/>
      <c r="C977" s="1126"/>
      <c r="D977" s="1148"/>
      <c r="E977" s="1134"/>
      <c r="F977" s="1141"/>
      <c r="G977" s="1139"/>
      <c r="H977" s="1147"/>
      <c r="I977" s="409"/>
      <c r="J977" s="1780" t="s">
        <v>3530</v>
      </c>
      <c r="K977" s="1685"/>
      <c r="L977" s="1685"/>
      <c r="M977" s="1685"/>
      <c r="N977" s="1686"/>
      <c r="O977" s="1686"/>
      <c r="P977" s="1685"/>
      <c r="Q977" s="1685">
        <v>1</v>
      </c>
      <c r="R977" s="1685" t="s">
        <v>33</v>
      </c>
      <c r="S977" s="1686">
        <v>80000</v>
      </c>
      <c r="T977" s="1685" t="s">
        <v>0</v>
      </c>
      <c r="U977" s="1685"/>
      <c r="V977" s="1685">
        <v>20</v>
      </c>
      <c r="W977" s="1685" t="s">
        <v>265</v>
      </c>
      <c r="X977" s="1685" t="s">
        <v>1</v>
      </c>
      <c r="Y977" s="406">
        <f t="shared" si="368"/>
        <v>1600</v>
      </c>
      <c r="Z977" s="637">
        <f>Q977*S977*V977</f>
        <v>1600000</v>
      </c>
      <c r="AA977" s="401"/>
      <c r="AB977" s="1091"/>
      <c r="AC977" s="1464"/>
      <c r="AD977" s="981"/>
    </row>
    <row r="978" spans="1:30" s="85" customFormat="1" ht="22.5" customHeight="1">
      <c r="A978" s="2868"/>
      <c r="B978" s="1145"/>
      <c r="C978" s="1126"/>
      <c r="D978" s="1148"/>
      <c r="E978" s="1134" t="s">
        <v>5380</v>
      </c>
      <c r="F978" s="1141">
        <f t="shared" ref="F978:F983" si="369">Y978</f>
        <v>5000</v>
      </c>
      <c r="G978" s="1139"/>
      <c r="H978" s="1147"/>
      <c r="I978" s="409"/>
      <c r="J978" s="1780" t="s">
        <v>5437</v>
      </c>
      <c r="K978" s="1685"/>
      <c r="L978" s="1685"/>
      <c r="M978" s="1685"/>
      <c r="N978" s="1686"/>
      <c r="O978" s="1686"/>
      <c r="P978" s="1685"/>
      <c r="Q978" s="1685"/>
      <c r="R978" s="1685"/>
      <c r="S978" s="1685">
        <v>2500000</v>
      </c>
      <c r="T978" s="1685" t="s">
        <v>0</v>
      </c>
      <c r="U978" s="1685"/>
      <c r="V978" s="1685">
        <v>2</v>
      </c>
      <c r="W978" s="1685" t="s">
        <v>196</v>
      </c>
      <c r="X978" s="1685" t="s">
        <v>1</v>
      </c>
      <c r="Y978" s="406">
        <f t="shared" ref="Y978:Y983" si="370">+Z978/1000</f>
        <v>5000</v>
      </c>
      <c r="Z978" s="868">
        <f>S978*V978</f>
        <v>5000000</v>
      </c>
      <c r="AA978" s="401"/>
      <c r="AB978" s="1091"/>
      <c r="AC978" s="1464"/>
      <c r="AD978" s="981"/>
    </row>
    <row r="979" spans="1:30" s="85" customFormat="1" ht="22.5" customHeight="1">
      <c r="A979" s="2868"/>
      <c r="B979" s="1145"/>
      <c r="C979" s="1145"/>
      <c r="D979" s="1148"/>
      <c r="E979" s="1134" t="s">
        <v>5257</v>
      </c>
      <c r="F979" s="1141">
        <f t="shared" si="369"/>
        <v>6000</v>
      </c>
      <c r="G979" s="1139"/>
      <c r="H979" s="1147"/>
      <c r="I979" s="409"/>
      <c r="J979" s="1780" t="s">
        <v>5433</v>
      </c>
      <c r="K979" s="1685"/>
      <c r="L979" s="1685"/>
      <c r="M979" s="1685"/>
      <c r="N979" s="1686"/>
      <c r="O979" s="1686"/>
      <c r="P979" s="1685"/>
      <c r="Q979" s="1685">
        <v>30</v>
      </c>
      <c r="R979" s="1685" t="s">
        <v>33</v>
      </c>
      <c r="S979" s="1685">
        <v>10000</v>
      </c>
      <c r="T979" s="1685" t="s">
        <v>0</v>
      </c>
      <c r="U979" s="1685"/>
      <c r="V979" s="1685">
        <v>20</v>
      </c>
      <c r="W979" s="1685" t="s">
        <v>265</v>
      </c>
      <c r="X979" s="1685" t="s">
        <v>1</v>
      </c>
      <c r="Y979" s="406">
        <f t="shared" si="370"/>
        <v>6000</v>
      </c>
      <c r="Z979" s="868">
        <f>Q979*S979*V979</f>
        <v>6000000</v>
      </c>
      <c r="AA979" s="401"/>
      <c r="AB979" s="1091"/>
      <c r="AC979" s="1464"/>
      <c r="AD979" s="981"/>
    </row>
    <row r="980" spans="1:30" s="85" customFormat="1" ht="22.5" customHeight="1">
      <c r="A980" s="2868"/>
      <c r="B980" s="1145"/>
      <c r="C980" s="1145"/>
      <c r="D980" s="1148"/>
      <c r="E980" s="1134" t="s">
        <v>5382</v>
      </c>
      <c r="F980" s="1141">
        <f t="shared" si="369"/>
        <v>1500</v>
      </c>
      <c r="G980" s="1139"/>
      <c r="H980" s="1147"/>
      <c r="I980" s="409"/>
      <c r="J980" s="1780" t="s">
        <v>5438</v>
      </c>
      <c r="K980" s="1685"/>
      <c r="L980" s="1685"/>
      <c r="M980" s="1685"/>
      <c r="N980" s="1686"/>
      <c r="O980" s="1686"/>
      <c r="P980" s="1685"/>
      <c r="Q980" s="1685"/>
      <c r="R980" s="1685"/>
      <c r="S980" s="1685">
        <v>300000</v>
      </c>
      <c r="T980" s="1685" t="s">
        <v>0</v>
      </c>
      <c r="U980" s="1685"/>
      <c r="V980" s="1685">
        <v>5</v>
      </c>
      <c r="W980" s="1685" t="s">
        <v>265</v>
      </c>
      <c r="X980" s="1685" t="s">
        <v>1</v>
      </c>
      <c r="Y980" s="406">
        <f t="shared" si="370"/>
        <v>1500</v>
      </c>
      <c r="Z980" s="868">
        <f t="shared" ref="Z980:Z982" si="371">S980*V980</f>
        <v>1500000</v>
      </c>
      <c r="AA980" s="401"/>
      <c r="AB980" s="1091"/>
      <c r="AC980" s="1464"/>
      <c r="AD980" s="981"/>
    </row>
    <row r="981" spans="1:30" s="85" customFormat="1" ht="22.5" customHeight="1">
      <c r="A981" s="2868"/>
      <c r="B981" s="1145"/>
      <c r="C981" s="1145"/>
      <c r="D981" s="1148"/>
      <c r="E981" s="1134" t="s">
        <v>5435</v>
      </c>
      <c r="F981" s="1141">
        <f t="shared" si="369"/>
        <v>2250</v>
      </c>
      <c r="G981" s="1139"/>
      <c r="H981" s="1147"/>
      <c r="I981" s="409"/>
      <c r="J981" s="1780" t="s">
        <v>5439</v>
      </c>
      <c r="K981" s="1685"/>
      <c r="L981" s="1685"/>
      <c r="M981" s="1685"/>
      <c r="N981" s="1686"/>
      <c r="O981" s="1686"/>
      <c r="P981" s="1685"/>
      <c r="Q981" s="1685">
        <v>1</v>
      </c>
      <c r="R981" s="1685" t="s">
        <v>18</v>
      </c>
      <c r="S981" s="1685">
        <v>450000</v>
      </c>
      <c r="T981" s="1685" t="s">
        <v>0</v>
      </c>
      <c r="U981" s="1685"/>
      <c r="V981" s="1685">
        <v>5</v>
      </c>
      <c r="W981" s="1685" t="s">
        <v>265</v>
      </c>
      <c r="X981" s="1685" t="s">
        <v>1</v>
      </c>
      <c r="Y981" s="406">
        <f t="shared" si="370"/>
        <v>2250</v>
      </c>
      <c r="Z981" s="868">
        <f>Q981*S981*V981</f>
        <v>2250000</v>
      </c>
      <c r="AA981" s="401"/>
      <c r="AB981" s="1091"/>
      <c r="AC981" s="1464"/>
      <c r="AD981" s="981"/>
    </row>
    <row r="982" spans="1:30" s="85" customFormat="1" ht="22.5" customHeight="1">
      <c r="A982" s="2868"/>
      <c r="B982" s="1145"/>
      <c r="C982" s="1145"/>
      <c r="D982" s="1148"/>
      <c r="E982" s="1134" t="s">
        <v>5436</v>
      </c>
      <c r="F982" s="1141">
        <f t="shared" si="369"/>
        <v>750</v>
      </c>
      <c r="G982" s="1139"/>
      <c r="H982" s="1147"/>
      <c r="I982" s="409"/>
      <c r="J982" s="1780" t="s">
        <v>5440</v>
      </c>
      <c r="K982" s="1685"/>
      <c r="L982" s="1685"/>
      <c r="M982" s="1685"/>
      <c r="N982" s="1686"/>
      <c r="O982" s="1686"/>
      <c r="P982" s="1685"/>
      <c r="Q982" s="1685"/>
      <c r="R982" s="1685"/>
      <c r="S982" s="1685">
        <v>150000</v>
      </c>
      <c r="T982" s="1685" t="s">
        <v>0</v>
      </c>
      <c r="U982" s="1685"/>
      <c r="V982" s="1685">
        <v>5</v>
      </c>
      <c r="W982" s="1685" t="s">
        <v>265</v>
      </c>
      <c r="X982" s="1685" t="s">
        <v>1</v>
      </c>
      <c r="Y982" s="406">
        <f t="shared" si="370"/>
        <v>750</v>
      </c>
      <c r="Z982" s="868">
        <f t="shared" si="371"/>
        <v>750000</v>
      </c>
      <c r="AA982" s="401"/>
      <c r="AB982" s="1091"/>
      <c r="AC982" s="1464"/>
      <c r="AD982" s="981"/>
    </row>
    <row r="983" spans="1:30" s="85" customFormat="1" ht="22.5" customHeight="1" thickBot="1">
      <c r="A983" s="2868"/>
      <c r="B983" s="1145"/>
      <c r="C983" s="1145"/>
      <c r="D983" s="1148"/>
      <c r="E983" s="1134" t="s">
        <v>5381</v>
      </c>
      <c r="F983" s="1141">
        <f t="shared" si="369"/>
        <v>500</v>
      </c>
      <c r="G983" s="1139"/>
      <c r="H983" s="1147"/>
      <c r="I983" s="409"/>
      <c r="J983" s="1780" t="s">
        <v>5441</v>
      </c>
      <c r="K983" s="1685"/>
      <c r="L983" s="1685"/>
      <c r="M983" s="1685"/>
      <c r="N983" s="1686"/>
      <c r="O983" s="1686"/>
      <c r="P983" s="1685"/>
      <c r="Q983" s="1685">
        <v>5</v>
      </c>
      <c r="R983" s="1685" t="s">
        <v>33</v>
      </c>
      <c r="S983" s="1685">
        <v>10000</v>
      </c>
      <c r="T983" s="1685" t="s">
        <v>0</v>
      </c>
      <c r="U983" s="1685"/>
      <c r="V983" s="1685">
        <v>10</v>
      </c>
      <c r="W983" s="1685" t="s">
        <v>265</v>
      </c>
      <c r="X983" s="1685" t="s">
        <v>1</v>
      </c>
      <c r="Y983" s="406">
        <f t="shared" si="370"/>
        <v>500</v>
      </c>
      <c r="Z983" s="868">
        <f>Q983*S983*V983</f>
        <v>500000</v>
      </c>
      <c r="AA983" s="401"/>
      <c r="AB983" s="1091"/>
      <c r="AC983" s="1464"/>
      <c r="AD983" s="981"/>
    </row>
    <row r="984" spans="1:30" s="2558" customFormat="1" ht="22.5" customHeight="1" thickBot="1">
      <c r="A984" s="422" t="s">
        <v>4297</v>
      </c>
      <c r="B984" s="1102"/>
      <c r="C984" s="1102"/>
      <c r="D984" s="1102"/>
      <c r="E984" s="1102"/>
      <c r="F984" s="595">
        <f>+F985</f>
        <v>13886.702000000001</v>
      </c>
      <c r="G984" s="595">
        <f t="shared" ref="G984" si="372">+G985</f>
        <v>7537</v>
      </c>
      <c r="H984" s="1406">
        <f t="shared" ref="H984:H985" si="373">F984-G984</f>
        <v>6349.7020000000011</v>
      </c>
      <c r="I984" s="409"/>
      <c r="J984" s="1301"/>
      <c r="K984" s="1302"/>
      <c r="L984" s="1302"/>
      <c r="M984" s="1302"/>
      <c r="N984" s="1302"/>
      <c r="O984" s="1302"/>
      <c r="P984" s="1302"/>
      <c r="Q984" s="1302"/>
      <c r="R984" s="1457"/>
      <c r="S984" s="1302"/>
      <c r="T984" s="1302"/>
      <c r="U984" s="1302"/>
      <c r="V984" s="1302"/>
      <c r="W984" s="1302"/>
      <c r="X984" s="1299"/>
      <c r="Y984" s="1458"/>
      <c r="Z984" s="1769"/>
      <c r="AA984" s="401"/>
      <c r="AB984" s="1091"/>
      <c r="AC984" s="1095"/>
      <c r="AD984" s="2553"/>
    </row>
    <row r="985" spans="1:30" s="591" customFormat="1" ht="22.5" customHeight="1" thickBot="1">
      <c r="A985" s="1112"/>
      <c r="B985" s="416" t="s">
        <v>4298</v>
      </c>
      <c r="C985" s="417"/>
      <c r="D985" s="418"/>
      <c r="E985" s="419"/>
      <c r="F985" s="596">
        <f>F986+F989+F998</f>
        <v>13886.702000000001</v>
      </c>
      <c r="G985" s="596">
        <f>G986+G989+G998</f>
        <v>7537</v>
      </c>
      <c r="H985" s="421">
        <f t="shared" si="373"/>
        <v>6349.7020000000011</v>
      </c>
      <c r="I985" s="1428"/>
      <c r="J985" s="422"/>
      <c r="K985" s="423"/>
      <c r="L985" s="423"/>
      <c r="M985" s="423"/>
      <c r="N985" s="423"/>
      <c r="O985" s="423"/>
      <c r="P985" s="423"/>
      <c r="Q985" s="423"/>
      <c r="R985" s="423"/>
      <c r="S985" s="423"/>
      <c r="T985" s="423"/>
      <c r="U985" s="423"/>
      <c r="V985" s="423"/>
      <c r="W985" s="423"/>
      <c r="X985" s="2605"/>
      <c r="Y985" s="1409"/>
      <c r="Z985" s="1734"/>
      <c r="AA985" s="401">
        <f t="shared" ref="AA985:AA986" si="374">F985*1000000</f>
        <v>13886702000.000002</v>
      </c>
      <c r="AB985" s="1091"/>
      <c r="AC985" s="1423"/>
      <c r="AD985" s="607"/>
    </row>
    <row r="986" spans="1:30" s="2624" customFormat="1" ht="22.5" customHeight="1">
      <c r="A986" s="2623"/>
      <c r="B986" s="465"/>
      <c r="C986" s="3347" t="s">
        <v>3337</v>
      </c>
      <c r="D986" s="3347"/>
      <c r="E986" s="3267"/>
      <c r="F986" s="764">
        <f>F987</f>
        <v>7536.7020000000002</v>
      </c>
      <c r="G986" s="764">
        <f>G987</f>
        <v>7537</v>
      </c>
      <c r="H986" s="468">
        <f>F986-G986</f>
        <v>-0.29799999999977445</v>
      </c>
      <c r="I986" s="409"/>
      <c r="J986" s="1135"/>
      <c r="K986" s="2598"/>
      <c r="L986" s="2598"/>
      <c r="M986" s="2598"/>
      <c r="N986" s="2598"/>
      <c r="O986" s="2598"/>
      <c r="P986" s="2635"/>
      <c r="Q986" s="1136"/>
      <c r="R986" s="1137"/>
      <c r="S986" s="1136"/>
      <c r="T986" s="1136"/>
      <c r="U986" s="2635"/>
      <c r="V986" s="1136"/>
      <c r="W986" s="1136"/>
      <c r="X986" s="1138"/>
      <c r="Y986" s="377"/>
      <c r="Z986" s="378"/>
      <c r="AA986" s="401">
        <f t="shared" si="374"/>
        <v>7536702000</v>
      </c>
      <c r="AB986" s="1091"/>
      <c r="AC986" s="1095"/>
      <c r="AD986" s="397"/>
    </row>
    <row r="987" spans="1:30" s="2624" customFormat="1" ht="22.5" customHeight="1">
      <c r="A987" s="2623"/>
      <c r="B987" s="465"/>
      <c r="C987" s="465"/>
      <c r="D987" s="3273" t="s">
        <v>3337</v>
      </c>
      <c r="E987" s="3274"/>
      <c r="F987" s="1156">
        <f>SUM(F988:F988)</f>
        <v>7536.7020000000002</v>
      </c>
      <c r="G987" s="1156">
        <f>SUM(G988:G988)</f>
        <v>7537</v>
      </c>
      <c r="H987" s="468">
        <f>F987-G987</f>
        <v>-0.29799999999977445</v>
      </c>
      <c r="I987" s="409"/>
      <c r="J987" s="1129"/>
      <c r="K987" s="2639"/>
      <c r="L987" s="2639"/>
      <c r="M987" s="2639"/>
      <c r="N987" s="2639"/>
      <c r="O987" s="2639"/>
      <c r="P987" s="1130"/>
      <c r="Q987" s="2639"/>
      <c r="R987" s="1626"/>
      <c r="S987" s="1130"/>
      <c r="T987" s="2639"/>
      <c r="U987" s="2639"/>
      <c r="V987" s="1130"/>
      <c r="W987" s="2639"/>
      <c r="X987" s="1157"/>
      <c r="Y987" s="1158"/>
      <c r="Z987" s="503"/>
      <c r="AA987" s="401">
        <f>F987*1000000</f>
        <v>7536702000</v>
      </c>
      <c r="AB987" s="1091"/>
      <c r="AC987" s="1095"/>
      <c r="AD987" s="397"/>
    </row>
    <row r="988" spans="1:30" s="2624" customFormat="1" ht="22.5" customHeight="1">
      <c r="A988" s="436"/>
      <c r="B988" s="465"/>
      <c r="C988" s="465"/>
      <c r="D988" s="1131"/>
      <c r="E988" s="2644" t="s">
        <v>4022</v>
      </c>
      <c r="F988" s="403">
        <f>Y988</f>
        <v>7536.7020000000002</v>
      </c>
      <c r="G988" s="403">
        <v>7537</v>
      </c>
      <c r="H988" s="404"/>
      <c r="I988" s="409"/>
      <c r="J988" s="2871" t="s">
        <v>5452</v>
      </c>
      <c r="Q988" s="1673"/>
      <c r="R988" s="405"/>
      <c r="S988" s="1672">
        <v>7536702</v>
      </c>
      <c r="T988" s="2644" t="s">
        <v>3727</v>
      </c>
      <c r="U988" s="2644"/>
      <c r="V988" s="2644">
        <v>1</v>
      </c>
      <c r="W988" s="2644" t="s">
        <v>3440</v>
      </c>
      <c r="X988" s="2644" t="s">
        <v>3441</v>
      </c>
      <c r="Y988" s="1674">
        <f t="shared" ref="Y988" si="375">Z988/1000</f>
        <v>7536.7020000000002</v>
      </c>
      <c r="Z988" s="656">
        <f>S988*V988</f>
        <v>7536702</v>
      </c>
      <c r="AA988" s="401">
        <f t="shared" ref="AA988:AA990" si="376">F988*1000000</f>
        <v>7536702000</v>
      </c>
      <c r="AB988" s="1091"/>
      <c r="AC988" s="1095"/>
      <c r="AD988" s="397"/>
    </row>
    <row r="989" spans="1:30" s="2870" customFormat="1" ht="22.5" customHeight="1">
      <c r="A989" s="2869"/>
      <c r="B989" s="465"/>
      <c r="C989" s="3347" t="s">
        <v>2505</v>
      </c>
      <c r="D989" s="3347"/>
      <c r="E989" s="3267"/>
      <c r="F989" s="764">
        <f>F990</f>
        <v>3350</v>
      </c>
      <c r="G989" s="764">
        <f>G990</f>
        <v>0</v>
      </c>
      <c r="H989" s="468">
        <f>F989-G989</f>
        <v>3350</v>
      </c>
      <c r="I989" s="409"/>
      <c r="J989" s="1135"/>
      <c r="K989" s="2860"/>
      <c r="L989" s="2860"/>
      <c r="M989" s="2860"/>
      <c r="N989" s="2860"/>
      <c r="O989" s="2860"/>
      <c r="P989" s="2865"/>
      <c r="Q989" s="1136"/>
      <c r="R989" s="1137"/>
      <c r="S989" s="1136"/>
      <c r="T989" s="1136"/>
      <c r="U989" s="2865"/>
      <c r="V989" s="1136"/>
      <c r="W989" s="1136"/>
      <c r="X989" s="1138"/>
      <c r="Y989" s="377"/>
      <c r="Z989" s="378"/>
      <c r="AA989" s="401">
        <f t="shared" si="376"/>
        <v>3350000000</v>
      </c>
      <c r="AB989" s="1091"/>
      <c r="AC989" s="1095"/>
      <c r="AD989" s="397"/>
    </row>
    <row r="990" spans="1:30" s="85" customFormat="1" ht="22.5" customHeight="1">
      <c r="A990" s="2868"/>
      <c r="B990" s="1145"/>
      <c r="C990" s="1126"/>
      <c r="D990" s="3275" t="s">
        <v>5444</v>
      </c>
      <c r="E990" s="3276"/>
      <c r="F990" s="499">
        <f>SUM(F991:F997)</f>
        <v>3350</v>
      </c>
      <c r="G990" s="499">
        <f>SUM(G991:G997)</f>
        <v>0</v>
      </c>
      <c r="H990" s="461">
        <f>F990-G990</f>
        <v>3350</v>
      </c>
      <c r="I990" s="1724"/>
      <c r="J990" s="501"/>
      <c r="K990" s="2865"/>
      <c r="L990" s="2865"/>
      <c r="M990" s="2865"/>
      <c r="N990" s="2865"/>
      <c r="O990" s="2865"/>
      <c r="P990" s="484"/>
      <c r="Q990" s="2865"/>
      <c r="R990" s="1146"/>
      <c r="S990" s="484"/>
      <c r="T990" s="2865"/>
      <c r="U990" s="2865"/>
      <c r="V990" s="484"/>
      <c r="W990" s="2865"/>
      <c r="X990" s="502"/>
      <c r="Y990" s="503"/>
      <c r="Z990" s="503">
        <f>SUM(Z993:Z995)</f>
        <v>2000000</v>
      </c>
      <c r="AA990" s="401">
        <f t="shared" si="376"/>
        <v>3350000000</v>
      </c>
      <c r="AB990" s="1091"/>
      <c r="AC990" s="1464"/>
      <c r="AD990" s="981"/>
    </row>
    <row r="991" spans="1:30" s="2870" customFormat="1" ht="22.5" customHeight="1">
      <c r="A991" s="436"/>
      <c r="B991" s="402"/>
      <c r="C991" s="465"/>
      <c r="D991" s="1131"/>
      <c r="E991" s="1134" t="s">
        <v>269</v>
      </c>
      <c r="F991" s="403">
        <f>Y991</f>
        <v>2000</v>
      </c>
      <c r="G991" s="403"/>
      <c r="H991" s="467"/>
      <c r="I991" s="409"/>
      <c r="J991" s="2871" t="s">
        <v>194</v>
      </c>
      <c r="K991" s="1685"/>
      <c r="L991" s="1685"/>
      <c r="M991" s="1685"/>
      <c r="N991" s="1686"/>
      <c r="O991" s="1686"/>
      <c r="P991" s="1685"/>
      <c r="Q991" s="635"/>
      <c r="R991" s="1685"/>
      <c r="S991" s="1686"/>
      <c r="T991" s="1685"/>
      <c r="U991" s="1685"/>
      <c r="V991" s="1685"/>
      <c r="W991" s="1685"/>
      <c r="X991" s="1685"/>
      <c r="Y991" s="406">
        <f t="shared" ref="Y991:Y997" si="377">+Z991/1000</f>
        <v>2000</v>
      </c>
      <c r="Z991" s="637">
        <f>Z992+Z993</f>
        <v>2000000</v>
      </c>
      <c r="AA991" s="401"/>
      <c r="AB991" s="1091"/>
      <c r="AC991" s="1095"/>
      <c r="AD991" s="397"/>
    </row>
    <row r="992" spans="1:30" s="85" customFormat="1" ht="22.5" customHeight="1">
      <c r="A992" s="2868"/>
      <c r="B992" s="1145"/>
      <c r="C992" s="1126"/>
      <c r="D992" s="1148"/>
      <c r="E992" s="1134"/>
      <c r="F992" s="1141"/>
      <c r="G992" s="1139"/>
      <c r="H992" s="1147"/>
      <c r="I992" s="409"/>
      <c r="J992" s="1780" t="s">
        <v>3589</v>
      </c>
      <c r="K992" s="1685"/>
      <c r="L992" s="1685"/>
      <c r="M992" s="1685"/>
      <c r="N992" s="1686"/>
      <c r="O992" s="1686"/>
      <c r="P992" s="1685"/>
      <c r="Q992" s="1685">
        <v>1</v>
      </c>
      <c r="R992" s="1685" t="s">
        <v>33</v>
      </c>
      <c r="S992" s="1686">
        <v>150000</v>
      </c>
      <c r="T992" s="1685" t="s">
        <v>0</v>
      </c>
      <c r="U992" s="1685"/>
      <c r="V992" s="1685">
        <v>10</v>
      </c>
      <c r="W992" s="1685" t="s">
        <v>265</v>
      </c>
      <c r="X992" s="1685" t="s">
        <v>1</v>
      </c>
      <c r="Y992" s="406">
        <f t="shared" si="377"/>
        <v>1500</v>
      </c>
      <c r="Z992" s="637">
        <f>Q992*S992*V992</f>
        <v>1500000</v>
      </c>
      <c r="AA992" s="401"/>
      <c r="AB992" s="1091"/>
      <c r="AC992" s="1464"/>
      <c r="AD992" s="981"/>
    </row>
    <row r="993" spans="1:30" s="85" customFormat="1" ht="22.5" customHeight="1">
      <c r="A993" s="2868"/>
      <c r="B993" s="1145"/>
      <c r="C993" s="1126"/>
      <c r="D993" s="1148"/>
      <c r="E993" s="1134"/>
      <c r="F993" s="1141"/>
      <c r="G993" s="1139"/>
      <c r="H993" s="1147"/>
      <c r="I993" s="409"/>
      <c r="J993" s="1780" t="s">
        <v>3530</v>
      </c>
      <c r="K993" s="1685"/>
      <c r="L993" s="1685"/>
      <c r="M993" s="1685"/>
      <c r="N993" s="1686"/>
      <c r="O993" s="1686"/>
      <c r="P993" s="1685"/>
      <c r="Q993" s="1685">
        <v>1</v>
      </c>
      <c r="R993" s="1685" t="s">
        <v>33</v>
      </c>
      <c r="S993" s="1686">
        <v>100000</v>
      </c>
      <c r="T993" s="1685" t="s">
        <v>0</v>
      </c>
      <c r="U993" s="1685"/>
      <c r="V993" s="1685">
        <v>5</v>
      </c>
      <c r="W993" s="1685" t="s">
        <v>265</v>
      </c>
      <c r="X993" s="1685" t="s">
        <v>1</v>
      </c>
      <c r="Y993" s="406">
        <f t="shared" si="377"/>
        <v>500</v>
      </c>
      <c r="Z993" s="637">
        <f>Q993*S993*V993</f>
        <v>500000</v>
      </c>
      <c r="AA993" s="401"/>
      <c r="AB993" s="1091"/>
      <c r="AC993" s="1464"/>
      <c r="AD993" s="981"/>
    </row>
    <row r="994" spans="1:30" s="85" customFormat="1" ht="22.5" customHeight="1">
      <c r="A994" s="2868"/>
      <c r="B994" s="1145"/>
      <c r="C994" s="1126"/>
      <c r="D994" s="1148"/>
      <c r="E994" s="1134" t="s">
        <v>5436</v>
      </c>
      <c r="F994" s="403">
        <f>Y994</f>
        <v>1200</v>
      </c>
      <c r="G994" s="1139"/>
      <c r="H994" s="1147"/>
      <c r="I994" s="409"/>
      <c r="J994" s="2871" t="s">
        <v>194</v>
      </c>
      <c r="K994" s="1685"/>
      <c r="L994" s="1685"/>
      <c r="M994" s="1685"/>
      <c r="N994" s="1686"/>
      <c r="O994" s="1686"/>
      <c r="P994" s="1685"/>
      <c r="Q994" s="635"/>
      <c r="R994" s="1685"/>
      <c r="S994" s="1686"/>
      <c r="T994" s="1685"/>
      <c r="U994" s="1685"/>
      <c r="V994" s="1685"/>
      <c r="W994" s="1685"/>
      <c r="X994" s="1685"/>
      <c r="Y994" s="406">
        <f t="shared" si="377"/>
        <v>1200</v>
      </c>
      <c r="Z994" s="637">
        <f>Z995+Z996</f>
        <v>1200000</v>
      </c>
      <c r="AA994" s="401"/>
      <c r="AB994" s="1091"/>
      <c r="AC994" s="1464"/>
      <c r="AD994" s="981"/>
    </row>
    <row r="995" spans="1:30" s="85" customFormat="1" ht="22.5" customHeight="1">
      <c r="A995" s="2868"/>
      <c r="B995" s="1145"/>
      <c r="C995" s="1145"/>
      <c r="D995" s="1148"/>
      <c r="E995" s="1134"/>
      <c r="F995" s="1141"/>
      <c r="G995" s="1139"/>
      <c r="H995" s="1147"/>
      <c r="I995" s="409"/>
      <c r="J995" s="1780" t="s">
        <v>5446</v>
      </c>
      <c r="K995" s="1685"/>
      <c r="L995" s="1685"/>
      <c r="M995" s="1685"/>
      <c r="N995" s="1686"/>
      <c r="O995" s="1686"/>
      <c r="P995" s="1685"/>
      <c r="Q995" s="1685"/>
      <c r="R995" s="1685"/>
      <c r="S995" s="1686">
        <v>60000</v>
      </c>
      <c r="T995" s="1685" t="s">
        <v>0</v>
      </c>
      <c r="U995" s="1685"/>
      <c r="V995" s="1685">
        <v>5</v>
      </c>
      <c r="W995" s="1685" t="s">
        <v>265</v>
      </c>
      <c r="X995" s="1685" t="s">
        <v>1</v>
      </c>
      <c r="Y995" s="406">
        <f t="shared" si="377"/>
        <v>300</v>
      </c>
      <c r="Z995" s="637">
        <f>S995*V995</f>
        <v>300000</v>
      </c>
      <c r="AA995" s="401"/>
      <c r="AB995" s="1091"/>
      <c r="AC995" s="1464"/>
      <c r="AD995" s="981"/>
    </row>
    <row r="996" spans="1:30" s="85" customFormat="1" ht="22.5" customHeight="1">
      <c r="A996" s="2868"/>
      <c r="B996" s="1145"/>
      <c r="C996" s="1145"/>
      <c r="D996" s="1148"/>
      <c r="E996" s="1134"/>
      <c r="F996" s="1141"/>
      <c r="G996" s="1139"/>
      <c r="H996" s="1147"/>
      <c r="I996" s="409"/>
      <c r="J996" s="1780" t="s">
        <v>5447</v>
      </c>
      <c r="K996" s="1685"/>
      <c r="L996" s="1685"/>
      <c r="M996" s="1685"/>
      <c r="N996" s="1686"/>
      <c r="O996" s="1686"/>
      <c r="P996" s="1685"/>
      <c r="Q996" s="1685">
        <v>15</v>
      </c>
      <c r="R996" s="1685" t="s">
        <v>33</v>
      </c>
      <c r="S996" s="1686">
        <v>6000</v>
      </c>
      <c r="T996" s="1685" t="s">
        <v>0</v>
      </c>
      <c r="U996" s="1685"/>
      <c r="V996" s="1685">
        <v>10</v>
      </c>
      <c r="W996" s="1685" t="s">
        <v>265</v>
      </c>
      <c r="X996" s="1685" t="s">
        <v>1</v>
      </c>
      <c r="Y996" s="406">
        <f t="shared" si="377"/>
        <v>900</v>
      </c>
      <c r="Z996" s="637">
        <f>Q996*S996*V996</f>
        <v>900000</v>
      </c>
      <c r="AA996" s="401"/>
      <c r="AB996" s="1091"/>
      <c r="AC996" s="1464"/>
      <c r="AD996" s="981"/>
    </row>
    <row r="997" spans="1:30" s="2870" customFormat="1" ht="22.5" customHeight="1">
      <c r="A997" s="436"/>
      <c r="B997" s="402"/>
      <c r="C997" s="465"/>
      <c r="D997" s="1131"/>
      <c r="E997" s="1134" t="s">
        <v>271</v>
      </c>
      <c r="F997" s="403">
        <f>Y997</f>
        <v>150</v>
      </c>
      <c r="G997" s="403"/>
      <c r="H997" s="404"/>
      <c r="I997" s="409"/>
      <c r="J997" s="1780" t="s">
        <v>5445</v>
      </c>
      <c r="K997" s="1685"/>
      <c r="L997" s="1685"/>
      <c r="M997" s="1685"/>
      <c r="N997" s="1686"/>
      <c r="O997" s="1686"/>
      <c r="P997" s="1685"/>
      <c r="Q997" s="1685">
        <v>5</v>
      </c>
      <c r="R997" s="1685" t="s">
        <v>33</v>
      </c>
      <c r="S997" s="1685">
        <v>10000</v>
      </c>
      <c r="T997" s="1685" t="s">
        <v>0</v>
      </c>
      <c r="U997" s="1685"/>
      <c r="V997" s="1685">
        <v>3</v>
      </c>
      <c r="W997" s="1685" t="s">
        <v>265</v>
      </c>
      <c r="X997" s="1685" t="s">
        <v>1</v>
      </c>
      <c r="Y997" s="406">
        <f t="shared" si="377"/>
        <v>150</v>
      </c>
      <c r="Z997" s="868">
        <f>Q997*S997*V997</f>
        <v>150000</v>
      </c>
      <c r="AA997" s="401"/>
      <c r="AB997" s="1091"/>
      <c r="AC997" s="1095"/>
      <c r="AD997" s="397"/>
    </row>
    <row r="998" spans="1:30" s="504" customFormat="1" ht="22.5" customHeight="1">
      <c r="A998" s="2868"/>
      <c r="B998" s="1145"/>
      <c r="C998" s="864" t="s">
        <v>5442</v>
      </c>
      <c r="D998" s="2861"/>
      <c r="E998" s="763"/>
      <c r="F998" s="764">
        <f>F999</f>
        <v>3000</v>
      </c>
      <c r="G998" s="764">
        <f>G999</f>
        <v>0</v>
      </c>
      <c r="H998" s="468">
        <f t="shared" ref="H998:H999" si="378">F998-G998</f>
        <v>3000</v>
      </c>
      <c r="I998" s="409"/>
      <c r="J998" s="1135"/>
      <c r="K998" s="2860"/>
      <c r="L998" s="2860"/>
      <c r="M998" s="2860"/>
      <c r="N998" s="2860"/>
      <c r="O998" s="2860"/>
      <c r="P998" s="2865"/>
      <c r="Q998" s="1136"/>
      <c r="R998" s="1137"/>
      <c r="S998" s="1136"/>
      <c r="T998" s="1136"/>
      <c r="U998" s="2865"/>
      <c r="V998" s="1136"/>
      <c r="W998" s="1136"/>
      <c r="X998" s="1138"/>
      <c r="Y998" s="377"/>
      <c r="Z998" s="378">
        <f>Z999</f>
        <v>0</v>
      </c>
      <c r="AA998" s="401">
        <f t="shared" ref="AA998:AA999" si="379">F998*1000000</f>
        <v>3000000000</v>
      </c>
      <c r="AB998" s="1091">
        <f>F998</f>
        <v>3000</v>
      </c>
      <c r="AC998" s="1464"/>
      <c r="AD998" s="1636"/>
    </row>
    <row r="999" spans="1:30" s="504" customFormat="1" ht="22.5" customHeight="1">
      <c r="A999" s="2868"/>
      <c r="B999" s="1145"/>
      <c r="C999" s="1126"/>
      <c r="D999" s="3273" t="s">
        <v>5443</v>
      </c>
      <c r="E999" s="3274"/>
      <c r="F999" s="1156">
        <f>SUM(F1000:F1002)</f>
        <v>3000</v>
      </c>
      <c r="G999" s="1156">
        <f>SUM(G1000:G1002)</f>
        <v>0</v>
      </c>
      <c r="H999" s="468">
        <f t="shared" si="378"/>
        <v>3000</v>
      </c>
      <c r="I999" s="409"/>
      <c r="J999" s="1129"/>
      <c r="K999" s="2801"/>
      <c r="L999" s="2801"/>
      <c r="M999" s="2801"/>
      <c r="N999" s="2801"/>
      <c r="O999" s="2801"/>
      <c r="P999" s="1130"/>
      <c r="Q999" s="2801"/>
      <c r="R999" s="1626"/>
      <c r="S999" s="1130"/>
      <c r="T999" s="2801"/>
      <c r="U999" s="2801"/>
      <c r="V999" s="1130"/>
      <c r="W999" s="2801"/>
      <c r="X999" s="1157"/>
      <c r="Y999" s="1158"/>
      <c r="Z999" s="503">
        <f>SUM(Z1023:Z1024)</f>
        <v>0</v>
      </c>
      <c r="AA999" s="401">
        <f t="shared" si="379"/>
        <v>3000000000</v>
      </c>
      <c r="AB999" s="1091"/>
      <c r="AC999" s="1464"/>
      <c r="AD999" s="1636"/>
    </row>
    <row r="1000" spans="1:30" s="504" customFormat="1" ht="22.5" customHeight="1">
      <c r="A1000" s="2868"/>
      <c r="B1000" s="471"/>
      <c r="C1000" s="1126"/>
      <c r="D1000" s="1289"/>
      <c r="E1000" s="934" t="s">
        <v>5257</v>
      </c>
      <c r="F1000" s="2749">
        <f>Y1000</f>
        <v>780</v>
      </c>
      <c r="G1000" s="2749"/>
      <c r="H1000" s="810"/>
      <c r="I1000" s="409"/>
      <c r="J1000" s="698" t="s">
        <v>5448</v>
      </c>
      <c r="K1000" s="699"/>
      <c r="L1000" s="699"/>
      <c r="M1000" s="699"/>
      <c r="N1000" s="2449"/>
      <c r="O1000" s="2449"/>
      <c r="P1000" s="699"/>
      <c r="Q1000" s="2421"/>
      <c r="R1000" s="1685"/>
      <c r="S1000" s="1686">
        <v>780000</v>
      </c>
      <c r="T1000" s="1685" t="s">
        <v>0</v>
      </c>
      <c r="U1000" s="1685"/>
      <c r="V1000" s="1685">
        <v>1</v>
      </c>
      <c r="W1000" s="1685" t="s">
        <v>265</v>
      </c>
      <c r="X1000" s="1687" t="s">
        <v>1</v>
      </c>
      <c r="Y1000" s="2394">
        <f t="shared" ref="Y1000:Y1002" si="380">+Z1000/1000</f>
        <v>780</v>
      </c>
      <c r="Z1000" s="2920">
        <f>S1000*V1000</f>
        <v>780000</v>
      </c>
      <c r="AA1000" s="401"/>
      <c r="AB1000" s="1091"/>
      <c r="AC1000" s="1464"/>
      <c r="AD1000" s="1636"/>
    </row>
    <row r="1001" spans="1:30" s="2870" customFormat="1" ht="22.5" customHeight="1">
      <c r="A1001" s="2869"/>
      <c r="B1001" s="402"/>
      <c r="C1001" s="465"/>
      <c r="D1001" s="1148"/>
      <c r="E1001" s="389" t="s">
        <v>5450</v>
      </c>
      <c r="F1001" s="403">
        <f>Y1001</f>
        <v>1500</v>
      </c>
      <c r="G1001" s="403"/>
      <c r="H1001" s="404"/>
      <c r="I1001" s="409"/>
      <c r="J1001" s="698" t="s">
        <v>5449</v>
      </c>
      <c r="K1001" s="699"/>
      <c r="L1001" s="699"/>
      <c r="M1001" s="699"/>
      <c r="N1001" s="2449"/>
      <c r="O1001" s="2449"/>
      <c r="P1001" s="699"/>
      <c r="Q1001" s="2421"/>
      <c r="R1001" s="1685"/>
      <c r="S1001" s="1686">
        <v>50000</v>
      </c>
      <c r="T1001" s="1685" t="s">
        <v>0</v>
      </c>
      <c r="U1001" s="1685"/>
      <c r="V1001" s="1685">
        <v>30</v>
      </c>
      <c r="W1001" s="1685" t="s">
        <v>321</v>
      </c>
      <c r="X1001" s="1687" t="s">
        <v>1</v>
      </c>
      <c r="Y1001" s="2394">
        <f t="shared" ref="Y1001" si="381">+Z1001/1000</f>
        <v>1500</v>
      </c>
      <c r="Z1001" s="518">
        <f t="shared" ref="Z1001" si="382">S1001*V1001</f>
        <v>1500000</v>
      </c>
      <c r="AA1001" s="401"/>
      <c r="AB1001" s="1091"/>
      <c r="AC1001" s="1095"/>
      <c r="AD1001" s="397"/>
    </row>
    <row r="1002" spans="1:30" s="2870" customFormat="1" ht="22.5" customHeight="1" thickBot="1">
      <c r="A1002" s="436"/>
      <c r="B1002" s="402"/>
      <c r="C1002" s="465"/>
      <c r="D1002" s="1131"/>
      <c r="E1002" s="1134" t="s">
        <v>287</v>
      </c>
      <c r="F1002" s="403">
        <f>Y1002</f>
        <v>720</v>
      </c>
      <c r="G1002" s="403"/>
      <c r="H1002" s="404"/>
      <c r="I1002" s="409"/>
      <c r="J1002" s="698" t="s">
        <v>5451</v>
      </c>
      <c r="K1002" s="699"/>
      <c r="L1002" s="699"/>
      <c r="M1002" s="699"/>
      <c r="N1002" s="2449"/>
      <c r="O1002" s="2449"/>
      <c r="P1002" s="699"/>
      <c r="Q1002" s="2421"/>
      <c r="R1002" s="1685"/>
      <c r="S1002" s="1686">
        <v>120000</v>
      </c>
      <c r="T1002" s="1685" t="s">
        <v>0</v>
      </c>
      <c r="U1002" s="1685"/>
      <c r="V1002" s="1685">
        <v>6</v>
      </c>
      <c r="W1002" s="1685" t="s">
        <v>49</v>
      </c>
      <c r="X1002" s="1687" t="s">
        <v>1</v>
      </c>
      <c r="Y1002" s="2394">
        <f t="shared" si="380"/>
        <v>720</v>
      </c>
      <c r="Z1002" s="1386">
        <f t="shared" ref="Z1002" si="383">S1002*V1002</f>
        <v>720000</v>
      </c>
      <c r="AA1002" s="401"/>
      <c r="AB1002" s="1091"/>
      <c r="AC1002" s="1095"/>
      <c r="AD1002" s="397"/>
    </row>
    <row r="1003" spans="1:30" s="2558" customFormat="1" ht="22.5" customHeight="1" thickBot="1">
      <c r="A1003" s="422" t="s">
        <v>4299</v>
      </c>
      <c r="B1003" s="1299"/>
      <c r="C1003" s="1299"/>
      <c r="D1003" s="1299"/>
      <c r="E1003" s="2919"/>
      <c r="F1003" s="595">
        <f>+F1004</f>
        <v>20000</v>
      </c>
      <c r="G1003" s="595">
        <f>+G1004</f>
        <v>0</v>
      </c>
      <c r="H1003" s="1406">
        <f t="shared" ref="H1003:H1004" si="384">F1003-G1003</f>
        <v>20000</v>
      </c>
      <c r="I1003" s="409"/>
      <c r="J1003" s="1301"/>
      <c r="K1003" s="1302"/>
      <c r="L1003" s="1302"/>
      <c r="M1003" s="1302"/>
      <c r="N1003" s="1302"/>
      <c r="O1003" s="1302"/>
      <c r="P1003" s="1302"/>
      <c r="Q1003" s="1302"/>
      <c r="R1003" s="1457"/>
      <c r="S1003" s="1302"/>
      <c r="T1003" s="1302"/>
      <c r="U1003" s="1302"/>
      <c r="V1003" s="1302"/>
      <c r="W1003" s="1302"/>
      <c r="X1003" s="1299"/>
      <c r="Y1003" s="1458"/>
      <c r="Z1003" s="1769"/>
      <c r="AA1003" s="401"/>
      <c r="AB1003" s="1091"/>
      <c r="AC1003" s="1095"/>
      <c r="AD1003" s="2553"/>
    </row>
    <row r="1004" spans="1:30" s="591" customFormat="1" ht="22.5" customHeight="1" thickBot="1">
      <c r="A1004" s="1112"/>
      <c r="B1004" s="416" t="s">
        <v>4300</v>
      </c>
      <c r="C1004" s="417"/>
      <c r="D1004" s="418"/>
      <c r="E1004" s="419"/>
      <c r="F1004" s="596">
        <f>F1005</f>
        <v>20000</v>
      </c>
      <c r="G1004" s="596">
        <f>G1005</f>
        <v>0</v>
      </c>
      <c r="H1004" s="421">
        <f t="shared" si="384"/>
        <v>20000</v>
      </c>
      <c r="I1004" s="1428"/>
      <c r="J1004" s="422"/>
      <c r="K1004" s="423"/>
      <c r="L1004" s="423"/>
      <c r="M1004" s="423"/>
      <c r="N1004" s="423"/>
      <c r="O1004" s="423"/>
      <c r="P1004" s="423"/>
      <c r="Q1004" s="423"/>
      <c r="R1004" s="423"/>
      <c r="S1004" s="423"/>
      <c r="T1004" s="423"/>
      <c r="U1004" s="423"/>
      <c r="V1004" s="423"/>
      <c r="W1004" s="423"/>
      <c r="X1004" s="2881"/>
      <c r="Y1004" s="1409"/>
      <c r="Z1004" s="1734"/>
      <c r="AA1004" s="401"/>
      <c r="AB1004" s="1091"/>
      <c r="AC1004" s="1423"/>
      <c r="AD1004" s="607"/>
    </row>
    <row r="1005" spans="1:30" s="1094" customFormat="1" ht="22.5" customHeight="1">
      <c r="A1005" s="411"/>
      <c r="B1005" s="412"/>
      <c r="C1005" s="3266" t="s">
        <v>5764</v>
      </c>
      <c r="D1005" s="3347"/>
      <c r="E1005" s="3267"/>
      <c r="F1005" s="1683">
        <f>+F1006</f>
        <v>20000</v>
      </c>
      <c r="G1005" s="1683">
        <f>+G1006</f>
        <v>0</v>
      </c>
      <c r="H1005" s="461">
        <f t="shared" ref="H1005" si="385">F1005-G1005</f>
        <v>20000</v>
      </c>
      <c r="I1005" s="409"/>
      <c r="J1005" s="1135"/>
      <c r="K1005" s="2876"/>
      <c r="L1005" s="2876"/>
      <c r="M1005" s="2876"/>
      <c r="N1005" s="2876"/>
      <c r="O1005" s="2876"/>
      <c r="P1005" s="2876"/>
      <c r="Q1005" s="2876"/>
      <c r="R1005" s="395"/>
      <c r="S1005" s="1136"/>
      <c r="T1005" s="1136"/>
      <c r="U1005" s="1136"/>
      <c r="V1005" s="1136"/>
      <c r="W1005" s="1136"/>
      <c r="X1005" s="1138"/>
      <c r="Y1005" s="431"/>
      <c r="Z1005" s="463"/>
      <c r="AA1005" s="401"/>
      <c r="AB1005" s="1091"/>
      <c r="AC1005" s="1092"/>
      <c r="AD1005" s="1093"/>
    </row>
    <row r="1006" spans="1:30" s="85" customFormat="1" ht="22.5" customHeight="1">
      <c r="A1006" s="2892"/>
      <c r="B1006" s="1145"/>
      <c r="C1006" s="1126"/>
      <c r="D1006" s="3273" t="s">
        <v>5764</v>
      </c>
      <c r="E1006" s="3274"/>
      <c r="F1006" s="1156">
        <f>SUM(F1007:F1010)</f>
        <v>20000</v>
      </c>
      <c r="G1006" s="1156">
        <f>SUM(G1007:G1010)</f>
        <v>0</v>
      </c>
      <c r="H1006" s="461">
        <f>F1006-G1006</f>
        <v>20000</v>
      </c>
      <c r="I1006" s="409"/>
      <c r="J1006" s="1129"/>
      <c r="K1006" s="2801"/>
      <c r="L1006" s="2801"/>
      <c r="M1006" s="2801"/>
      <c r="N1006" s="2801"/>
      <c r="O1006" s="2801"/>
      <c r="P1006" s="1130"/>
      <c r="Q1006" s="2801"/>
      <c r="R1006" s="1626"/>
      <c r="S1006" s="1130"/>
      <c r="T1006" s="2801"/>
      <c r="U1006" s="2801"/>
      <c r="V1006" s="1130"/>
      <c r="W1006" s="2801"/>
      <c r="X1006" s="1157"/>
      <c r="Y1006" s="1158"/>
      <c r="Z1006" s="503"/>
      <c r="AA1006" s="401"/>
      <c r="AB1006" s="1091"/>
      <c r="AC1006" s="1464"/>
      <c r="AD1006" s="981"/>
    </row>
    <row r="1007" spans="1:30" s="85" customFormat="1" ht="22.5" customHeight="1">
      <c r="A1007" s="2892"/>
      <c r="B1007" s="1145"/>
      <c r="C1007" s="1126"/>
      <c r="D1007" s="1148"/>
      <c r="E1007" s="1134" t="s">
        <v>4022</v>
      </c>
      <c r="F1007" s="1141">
        <f>Y1007</f>
        <v>20000</v>
      </c>
      <c r="G1007" s="1139">
        <v>0</v>
      </c>
      <c r="H1007" s="1147">
        <f>F1007-G1007</f>
        <v>20000</v>
      </c>
      <c r="I1007" s="409"/>
      <c r="J1007" s="2899" t="s">
        <v>194</v>
      </c>
      <c r="K1007" s="1685"/>
      <c r="L1007" s="1685"/>
      <c r="M1007" s="1685"/>
      <c r="N1007" s="1686"/>
      <c r="O1007" s="1686"/>
      <c r="P1007" s="1685"/>
      <c r="Q1007" s="635"/>
      <c r="R1007" s="1685"/>
      <c r="S1007" s="1686"/>
      <c r="T1007" s="1685"/>
      <c r="U1007" s="1685"/>
      <c r="V1007" s="1685"/>
      <c r="W1007" s="1685"/>
      <c r="X1007" s="1685"/>
      <c r="Y1007" s="406">
        <f t="shared" ref="Y1007:Y1009" si="386">+Z1007/1000</f>
        <v>20000</v>
      </c>
      <c r="Z1007" s="637">
        <f>Z1008+Z1009+Z1010</f>
        <v>20000000</v>
      </c>
      <c r="AA1007" s="401"/>
      <c r="AB1007" s="1091"/>
      <c r="AC1007" s="1464"/>
      <c r="AD1007" s="981"/>
    </row>
    <row r="1008" spans="1:30" s="85" customFormat="1" ht="22.5" customHeight="1">
      <c r="A1008" s="2892"/>
      <c r="B1008" s="1145"/>
      <c r="C1008" s="1126"/>
      <c r="D1008" s="1148"/>
      <c r="E1008" s="1134"/>
      <c r="F1008" s="1141"/>
      <c r="G1008" s="1139"/>
      <c r="H1008" s="1147"/>
      <c r="I1008" s="409"/>
      <c r="J1008" s="1780" t="s">
        <v>5767</v>
      </c>
      <c r="K1008" s="1685"/>
      <c r="L1008" s="1685"/>
      <c r="M1008" s="1685"/>
      <c r="N1008" s="1686"/>
      <c r="O1008" s="1686"/>
      <c r="P1008" s="1685"/>
      <c r="Q1008" s="1685">
        <v>3</v>
      </c>
      <c r="R1008" s="1685" t="s">
        <v>33</v>
      </c>
      <c r="S1008" s="1686">
        <v>200000</v>
      </c>
      <c r="T1008" s="1685" t="s">
        <v>0</v>
      </c>
      <c r="U1008" s="1685"/>
      <c r="V1008" s="1685">
        <v>20</v>
      </c>
      <c r="W1008" s="1685" t="s">
        <v>265</v>
      </c>
      <c r="X1008" s="1685" t="s">
        <v>1</v>
      </c>
      <c r="Y1008" s="406">
        <f t="shared" si="386"/>
        <v>12000</v>
      </c>
      <c r="Z1008" s="637">
        <f>Q1008*S1008*V1008</f>
        <v>12000000</v>
      </c>
      <c r="AA1008" s="401"/>
      <c r="AB1008" s="1091"/>
      <c r="AC1008" s="1464"/>
      <c r="AD1008" s="981"/>
    </row>
    <row r="1009" spans="1:30" s="85" customFormat="1" ht="22.5" customHeight="1">
      <c r="A1009" s="2892"/>
      <c r="B1009" s="1145"/>
      <c r="C1009" s="1145"/>
      <c r="D1009" s="1148"/>
      <c r="E1009" s="1134"/>
      <c r="F1009" s="1141"/>
      <c r="G1009" s="1139"/>
      <c r="H1009" s="1147"/>
      <c r="I1009" s="409"/>
      <c r="J1009" s="1780" t="s">
        <v>5766</v>
      </c>
      <c r="K1009" s="1685"/>
      <c r="L1009" s="1685"/>
      <c r="M1009" s="1685"/>
      <c r="N1009" s="1686"/>
      <c r="O1009" s="1686"/>
      <c r="P1009" s="1685"/>
      <c r="Q1009" s="1685">
        <v>2</v>
      </c>
      <c r="R1009" s="1685" t="s">
        <v>33</v>
      </c>
      <c r="S1009" s="1686">
        <v>150000</v>
      </c>
      <c r="T1009" s="1685" t="s">
        <v>0</v>
      </c>
      <c r="U1009" s="1685"/>
      <c r="V1009" s="1685">
        <v>26</v>
      </c>
      <c r="W1009" s="1685" t="s">
        <v>265</v>
      </c>
      <c r="X1009" s="1685" t="s">
        <v>1</v>
      </c>
      <c r="Y1009" s="406">
        <f t="shared" si="386"/>
        <v>7800</v>
      </c>
      <c r="Z1009" s="637">
        <f>Q1009*S1009*V1009</f>
        <v>7800000</v>
      </c>
      <c r="AA1009" s="401"/>
      <c r="AB1009" s="1091"/>
      <c r="AC1009" s="1464"/>
      <c r="AD1009" s="981"/>
    </row>
    <row r="1010" spans="1:30" s="1094" customFormat="1" ht="22.5" customHeight="1" thickBot="1">
      <c r="A1010" s="2892"/>
      <c r="B1010" s="1145"/>
      <c r="C1010" s="1126"/>
      <c r="D1010" s="1148"/>
      <c r="E1010" s="1134"/>
      <c r="F1010" s="383"/>
      <c r="G1010" s="383"/>
      <c r="H1010" s="467"/>
      <c r="I1010" s="409"/>
      <c r="J1010" s="1780" t="s">
        <v>5765</v>
      </c>
      <c r="K1010" s="1685"/>
      <c r="L1010" s="1685"/>
      <c r="M1010" s="1685"/>
      <c r="N1010" s="1686"/>
      <c r="O1010" s="1686"/>
      <c r="P1010" s="1685"/>
      <c r="Q1010" s="1685">
        <v>2</v>
      </c>
      <c r="R1010" s="1685" t="s">
        <v>33</v>
      </c>
      <c r="S1010" s="1686">
        <v>100000</v>
      </c>
      <c r="T1010" s="1685" t="s">
        <v>0</v>
      </c>
      <c r="U1010" s="1685"/>
      <c r="V1010" s="1685">
        <v>1</v>
      </c>
      <c r="W1010" s="1685" t="s">
        <v>265</v>
      </c>
      <c r="X1010" s="1685" t="s">
        <v>1</v>
      </c>
      <c r="Y1010" s="406">
        <f t="shared" ref="Y1010" si="387">+Z1010/1000</f>
        <v>200</v>
      </c>
      <c r="Z1010" s="637">
        <f>Q1010*S1010*V1010</f>
        <v>200000</v>
      </c>
      <c r="AA1010" s="401"/>
      <c r="AB1010" s="1091"/>
      <c r="AC1010" s="1092"/>
      <c r="AD1010" s="1093"/>
    </row>
    <row r="1011" spans="1:30" s="2558" customFormat="1" ht="22.5" customHeight="1" thickBot="1">
      <c r="A1011" s="422" t="s">
        <v>4301</v>
      </c>
      <c r="B1011" s="1299"/>
      <c r="C1011" s="1299"/>
      <c r="D1011" s="1299"/>
      <c r="E1011" s="1299"/>
      <c r="F1011" s="596">
        <f t="shared" ref="F1011:G1011" si="388">+F1012</f>
        <v>0</v>
      </c>
      <c r="G1011" s="596">
        <f t="shared" si="388"/>
        <v>0</v>
      </c>
      <c r="H1011" s="421">
        <f>F1011-G1011</f>
        <v>0</v>
      </c>
      <c r="I1011" s="409"/>
      <c r="J1011" s="1301"/>
      <c r="K1011" s="1302"/>
      <c r="L1011" s="1302"/>
      <c r="M1011" s="1302"/>
      <c r="N1011" s="1302"/>
      <c r="O1011" s="1302"/>
      <c r="P1011" s="1302"/>
      <c r="Q1011" s="1302"/>
      <c r="R1011" s="1457"/>
      <c r="S1011" s="1302"/>
      <c r="T1011" s="1302"/>
      <c r="U1011" s="1302"/>
      <c r="V1011" s="1302"/>
      <c r="W1011" s="1302"/>
      <c r="X1011" s="1299"/>
      <c r="Y1011" s="1458"/>
      <c r="Z1011" s="1326"/>
      <c r="AA1011" s="401"/>
      <c r="AB1011" s="1091"/>
      <c r="AC1011" s="1095"/>
      <c r="AD1011" s="2553"/>
    </row>
    <row r="1012" spans="1:30" s="591" customFormat="1" ht="22.5" customHeight="1" thickBot="1">
      <c r="A1012" s="1112"/>
      <c r="B1012" s="416" t="s">
        <v>4302</v>
      </c>
      <c r="C1012" s="417"/>
      <c r="D1012" s="418"/>
      <c r="E1012" s="419"/>
      <c r="F1012" s="596">
        <f>+F1013+F1021</f>
        <v>0</v>
      </c>
      <c r="G1012" s="596">
        <f>+G1013+G1021</f>
        <v>0</v>
      </c>
      <c r="H1012" s="421">
        <f t="shared" ref="H1012" si="389">F1012-G1012</f>
        <v>0</v>
      </c>
      <c r="I1012" s="1428"/>
      <c r="J1012" s="422"/>
      <c r="K1012" s="423"/>
      <c r="L1012" s="423"/>
      <c r="M1012" s="423"/>
      <c r="N1012" s="423"/>
      <c r="O1012" s="423"/>
      <c r="P1012" s="423"/>
      <c r="Q1012" s="423"/>
      <c r="R1012" s="423"/>
      <c r="S1012" s="423"/>
      <c r="T1012" s="423"/>
      <c r="U1012" s="423"/>
      <c r="V1012" s="423"/>
      <c r="W1012" s="423"/>
      <c r="X1012" s="2605"/>
      <c r="Y1012" s="1409"/>
      <c r="Z1012" s="1416"/>
      <c r="AA1012" s="401"/>
      <c r="AB1012" s="1091"/>
      <c r="AC1012" s="1423"/>
      <c r="AD1012" s="607"/>
    </row>
    <row r="1013" spans="1:30" s="592" customFormat="1" ht="22.5" hidden="1" customHeight="1">
      <c r="A1013" s="411"/>
      <c r="B1013" s="412"/>
      <c r="C1013" s="3455" t="s">
        <v>4250</v>
      </c>
      <c r="D1013" s="3455"/>
      <c r="E1013" s="3339"/>
      <c r="F1013" s="600">
        <f>+F1014</f>
        <v>0</v>
      </c>
      <c r="G1013" s="600">
        <f>+G1014</f>
        <v>0</v>
      </c>
      <c r="H1013" s="1382">
        <f>F1013-G1013</f>
        <v>0</v>
      </c>
      <c r="I1013" s="409"/>
      <c r="J1013" s="1627"/>
      <c r="K1013" s="2619"/>
      <c r="L1013" s="2619"/>
      <c r="M1013" s="2619"/>
      <c r="N1013" s="2619"/>
      <c r="O1013" s="2619"/>
      <c r="P1013" s="2619"/>
      <c r="Q1013" s="371"/>
      <c r="R1013" s="1325"/>
      <c r="S1013" s="458"/>
      <c r="T1013" s="459"/>
      <c r="U1013" s="459"/>
      <c r="V1013" s="459"/>
      <c r="W1013" s="459"/>
      <c r="X1013" s="460"/>
      <c r="Y1013" s="549"/>
      <c r="Z1013" s="407"/>
      <c r="AA1013" s="401"/>
      <c r="AB1013" s="1091">
        <f>F1013</f>
        <v>0</v>
      </c>
      <c r="AC1013" s="1092"/>
      <c r="AD1013" s="608"/>
    </row>
    <row r="1014" spans="1:30" s="592" customFormat="1" ht="22.5" hidden="1" customHeight="1">
      <c r="A1014" s="411"/>
      <c r="B1014" s="412"/>
      <c r="C1014" s="413"/>
      <c r="D1014" s="3446" t="s">
        <v>4250</v>
      </c>
      <c r="E1014" s="3352"/>
      <c r="F1014" s="613">
        <f>SUM(F1015:F1020)</f>
        <v>0</v>
      </c>
      <c r="G1014" s="613">
        <f>SUM(G1015:G1020)</f>
        <v>0</v>
      </c>
      <c r="H1014" s="851">
        <f>F1014-G1014</f>
        <v>0</v>
      </c>
      <c r="I1014" s="409"/>
      <c r="J1014" s="1135"/>
      <c r="K1014" s="2598"/>
      <c r="L1014" s="2598"/>
      <c r="M1014" s="2598"/>
      <c r="N1014" s="2598"/>
      <c r="O1014" s="2598"/>
      <c r="P1014" s="2598"/>
      <c r="Q1014" s="2598"/>
      <c r="R1014" s="395"/>
      <c r="S1014" s="1136"/>
      <c r="T1014" s="1136"/>
      <c r="U1014" s="1136"/>
      <c r="V1014" s="1136"/>
      <c r="W1014" s="1136"/>
      <c r="X1014" s="1138"/>
      <c r="Y1014" s="431"/>
      <c r="Z1014" s="463"/>
      <c r="AA1014" s="401"/>
      <c r="AB1014" s="1091"/>
      <c r="AC1014" s="1092"/>
      <c r="AD1014" s="608"/>
    </row>
    <row r="1015" spans="1:30" s="592" customFormat="1" ht="22.5" hidden="1" customHeight="1">
      <c r="A1015" s="411"/>
      <c r="B1015" s="412"/>
      <c r="C1015" s="1671"/>
      <c r="D1015" s="367"/>
      <c r="E1015" s="444" t="s">
        <v>4269</v>
      </c>
      <c r="F1015" s="978">
        <f>+Y1015</f>
        <v>0</v>
      </c>
      <c r="G1015" s="445"/>
      <c r="H1015" s="851"/>
      <c r="I1015" s="409"/>
      <c r="J1015" s="2643"/>
      <c r="K1015" s="2624"/>
      <c r="L1015" s="2624"/>
      <c r="M1015" s="2624"/>
      <c r="N1015" s="2624"/>
      <c r="O1015" s="2624"/>
      <c r="P1015" s="1675"/>
      <c r="Q1015" s="2644"/>
      <c r="R1015" s="2630"/>
      <c r="S1015" s="2644"/>
      <c r="T1015" s="2644"/>
      <c r="U1015" s="1675"/>
      <c r="V1015" s="2644"/>
      <c r="W1015" s="2644"/>
      <c r="X1015" s="1140"/>
      <c r="Y1015" s="1142"/>
      <c r="Z1015" s="494"/>
      <c r="AA1015" s="401"/>
      <c r="AB1015" s="1091"/>
      <c r="AC1015" s="1092"/>
      <c r="AD1015" s="608"/>
    </row>
    <row r="1016" spans="1:30" s="592" customFormat="1" ht="22.5" hidden="1" customHeight="1">
      <c r="A1016" s="411"/>
      <c r="B1016" s="412"/>
      <c r="C1016" s="1671"/>
      <c r="D1016" s="1131"/>
      <c r="E1016" s="1134"/>
      <c r="F1016" s="1141"/>
      <c r="G1016" s="1139"/>
      <c r="H1016" s="1147"/>
      <c r="I1016" s="409"/>
      <c r="J1016" s="2643"/>
      <c r="K1016" s="2624"/>
      <c r="L1016" s="2624"/>
      <c r="M1016" s="2624"/>
      <c r="N1016" s="2357"/>
      <c r="O1016" s="2357"/>
      <c r="P1016" s="2357"/>
      <c r="Q1016" s="2644"/>
      <c r="R1016" s="2630"/>
      <c r="S1016" s="2644"/>
      <c r="T1016" s="2644"/>
      <c r="U1016" s="2644"/>
      <c r="V1016" s="2644"/>
      <c r="W1016" s="2644"/>
      <c r="X1016" s="765"/>
      <c r="Y1016" s="1674"/>
      <c r="Z1016" s="656"/>
      <c r="AA1016" s="401"/>
      <c r="AB1016" s="1091"/>
      <c r="AC1016" s="1092"/>
      <c r="AD1016" s="608"/>
    </row>
    <row r="1017" spans="1:30" s="592" customFormat="1" ht="22.5" hidden="1" customHeight="1">
      <c r="A1017" s="411"/>
      <c r="B1017" s="412"/>
      <c r="C1017" s="1671"/>
      <c r="D1017" s="1131"/>
      <c r="E1017" s="1134"/>
      <c r="F1017" s="1141"/>
      <c r="G1017" s="1139"/>
      <c r="H1017" s="1147"/>
      <c r="I1017" s="409"/>
      <c r="J1017" s="2643"/>
      <c r="K1017" s="2624"/>
      <c r="L1017" s="2624"/>
      <c r="M1017" s="2624"/>
      <c r="N1017" s="2624"/>
      <c r="O1017" s="2624"/>
      <c r="P1017" s="1675"/>
      <c r="Q1017" s="2644"/>
      <c r="R1017" s="2630"/>
      <c r="S1017" s="2644"/>
      <c r="T1017" s="2644"/>
      <c r="U1017" s="2644"/>
      <c r="V1017" s="2644"/>
      <c r="W1017" s="2644"/>
      <c r="X1017" s="765"/>
      <c r="Y1017" s="1674"/>
      <c r="Z1017" s="656"/>
      <c r="AA1017" s="401"/>
      <c r="AB1017" s="1091"/>
      <c r="AC1017" s="1092"/>
      <c r="AD1017" s="608"/>
    </row>
    <row r="1018" spans="1:30" s="592" customFormat="1" ht="22.5" hidden="1" customHeight="1">
      <c r="A1018" s="411"/>
      <c r="B1018" s="412"/>
      <c r="C1018" s="1671"/>
      <c r="D1018" s="1131"/>
      <c r="E1018" s="1134"/>
      <c r="F1018" s="1141"/>
      <c r="G1018" s="1139"/>
      <c r="H1018" s="1147"/>
      <c r="I1018" s="409"/>
      <c r="J1018" s="2643"/>
      <c r="K1018" s="2624"/>
      <c r="L1018" s="2624"/>
      <c r="M1018" s="2624"/>
      <c r="N1018" s="2357"/>
      <c r="O1018" s="2357"/>
      <c r="P1018" s="2357"/>
      <c r="Q1018" s="2644"/>
      <c r="R1018" s="2630"/>
      <c r="S1018" s="2644"/>
      <c r="T1018" s="2644"/>
      <c r="U1018" s="2644"/>
      <c r="V1018" s="2644"/>
      <c r="W1018" s="2644"/>
      <c r="X1018" s="765"/>
      <c r="Y1018" s="1674"/>
      <c r="Z1018" s="656"/>
      <c r="AA1018" s="401"/>
      <c r="AB1018" s="1091"/>
      <c r="AC1018" s="1092"/>
      <c r="AD1018" s="608"/>
    </row>
    <row r="1019" spans="1:30" s="592" customFormat="1" ht="22.5" hidden="1" customHeight="1">
      <c r="A1019" s="411"/>
      <c r="B1019" s="412"/>
      <c r="C1019" s="1671"/>
      <c r="D1019" s="1131"/>
      <c r="E1019" s="1134"/>
      <c r="F1019" s="1141"/>
      <c r="G1019" s="1139"/>
      <c r="H1019" s="1147"/>
      <c r="I1019" s="409"/>
      <c r="J1019" s="2643"/>
      <c r="K1019" s="2624"/>
      <c r="L1019" s="2624"/>
      <c r="M1019" s="2624"/>
      <c r="N1019" s="2357"/>
      <c r="O1019" s="2357"/>
      <c r="P1019" s="2357"/>
      <c r="Q1019" s="2644"/>
      <c r="R1019" s="2630"/>
      <c r="S1019" s="2644"/>
      <c r="T1019" s="2644"/>
      <c r="U1019" s="2644"/>
      <c r="V1019" s="2644"/>
      <c r="W1019" s="2644"/>
      <c r="X1019" s="765"/>
      <c r="Y1019" s="1674"/>
      <c r="Z1019" s="656"/>
      <c r="AA1019" s="401"/>
      <c r="AB1019" s="1091"/>
      <c r="AC1019" s="1092"/>
      <c r="AD1019" s="608"/>
    </row>
    <row r="1020" spans="1:30" s="592" customFormat="1" ht="22.5" hidden="1" customHeight="1">
      <c r="A1020" s="411"/>
      <c r="B1020" s="412"/>
      <c r="C1020" s="1671"/>
      <c r="D1020" s="1131"/>
      <c r="E1020" s="1134" t="s">
        <v>4022</v>
      </c>
      <c r="F1020" s="438">
        <f>+Y1020</f>
        <v>0</v>
      </c>
      <c r="G1020" s="1139"/>
      <c r="H1020" s="1147"/>
      <c r="I1020" s="409"/>
      <c r="J1020" s="2643"/>
      <c r="K1020" s="2624"/>
      <c r="L1020" s="2624"/>
      <c r="M1020" s="2624"/>
      <c r="N1020" s="2357"/>
      <c r="O1020" s="2357"/>
      <c r="P1020" s="2357"/>
      <c r="Q1020" s="2644"/>
      <c r="R1020" s="2630"/>
      <c r="S1020" s="2644"/>
      <c r="T1020" s="2644"/>
      <c r="U1020" s="2644"/>
      <c r="V1020" s="2644"/>
      <c r="W1020" s="2644"/>
      <c r="X1020" s="765"/>
      <c r="Y1020" s="1674"/>
      <c r="Z1020" s="656"/>
      <c r="AA1020" s="401"/>
      <c r="AB1020" s="1091"/>
      <c r="AC1020" s="1092"/>
      <c r="AD1020" s="608"/>
    </row>
    <row r="1021" spans="1:30" s="85" customFormat="1" ht="22.5" hidden="1" customHeight="1">
      <c r="A1021" s="2627"/>
      <c r="B1021" s="1145"/>
      <c r="C1021" s="864" t="s">
        <v>4303</v>
      </c>
      <c r="D1021" s="2646"/>
      <c r="E1021" s="763"/>
      <c r="F1021" s="764">
        <f>+F1022</f>
        <v>0</v>
      </c>
      <c r="G1021" s="764">
        <f>+G1022</f>
        <v>0</v>
      </c>
      <c r="H1021" s="851">
        <f>F1021-G1021</f>
        <v>0</v>
      </c>
      <c r="I1021" s="409"/>
      <c r="J1021" s="1135"/>
      <c r="K1021" s="2598"/>
      <c r="L1021" s="2598"/>
      <c r="M1021" s="2598"/>
      <c r="N1021" s="2598"/>
      <c r="O1021" s="2598"/>
      <c r="P1021" s="2635"/>
      <c r="Q1021" s="1136"/>
      <c r="R1021" s="1137"/>
      <c r="S1021" s="1136"/>
      <c r="T1021" s="1136"/>
      <c r="U1021" s="2635"/>
      <c r="V1021" s="1136"/>
      <c r="W1021" s="1136"/>
      <c r="X1021" s="1138"/>
      <c r="Y1021" s="377"/>
      <c r="Z1021" s="378"/>
      <c r="AA1021" s="401"/>
      <c r="AB1021" s="1091">
        <f>F1021</f>
        <v>0</v>
      </c>
      <c r="AC1021" s="1464"/>
      <c r="AD1021" s="981"/>
    </row>
    <row r="1022" spans="1:30" s="85" customFormat="1" ht="22.5" hidden="1" customHeight="1">
      <c r="A1022" s="2627"/>
      <c r="B1022" s="1145"/>
      <c r="C1022" s="1126"/>
      <c r="D1022" s="3273" t="s">
        <v>4304</v>
      </c>
      <c r="E1022" s="3274"/>
      <c r="F1022" s="1156">
        <f>SUM(F1023:F1043)</f>
        <v>0</v>
      </c>
      <c r="G1022" s="1156">
        <f>SUM(G1023:G1043)</f>
        <v>0</v>
      </c>
      <c r="H1022" s="461">
        <f>F1022-G1022</f>
        <v>0</v>
      </c>
      <c r="I1022" s="409"/>
      <c r="J1022" s="1129"/>
      <c r="K1022" s="2639"/>
      <c r="L1022" s="2639"/>
      <c r="M1022" s="2639"/>
      <c r="N1022" s="2639"/>
      <c r="O1022" s="2639"/>
      <c r="P1022" s="1130"/>
      <c r="Q1022" s="2639"/>
      <c r="R1022" s="1626"/>
      <c r="S1022" s="1130"/>
      <c r="T1022" s="2639"/>
      <c r="U1022" s="2639"/>
      <c r="V1022" s="1130"/>
      <c r="W1022" s="2639"/>
      <c r="X1022" s="1157"/>
      <c r="Y1022" s="1158"/>
      <c r="Z1022" s="503"/>
      <c r="AA1022" s="401"/>
      <c r="AB1022" s="1091"/>
      <c r="AC1022" s="1464"/>
      <c r="AD1022" s="981"/>
    </row>
    <row r="1023" spans="1:30" s="1066" customFormat="1" ht="22.5" hidden="1" customHeight="1">
      <c r="A1023" s="348"/>
      <c r="B1023" s="1126"/>
      <c r="C1023" s="2357"/>
      <c r="D1023" s="402"/>
      <c r="E1023" s="1134" t="s">
        <v>4039</v>
      </c>
      <c r="F1023" s="383">
        <f>Y1023</f>
        <v>0</v>
      </c>
      <c r="G1023" s="1116"/>
      <c r="H1023" s="404">
        <f>F1023-G1023</f>
        <v>0</v>
      </c>
      <c r="I1023" s="2559"/>
      <c r="J1023" s="2643"/>
      <c r="K1023" s="2624"/>
      <c r="L1023" s="2624"/>
      <c r="M1023" s="2624"/>
      <c r="N1023" s="2624"/>
      <c r="O1023" s="2624"/>
      <c r="P1023" s="2624"/>
      <c r="Q1023" s="2624"/>
      <c r="R1023" s="405"/>
      <c r="S1023" s="2624"/>
      <c r="T1023" s="2624"/>
      <c r="U1023" s="2624"/>
      <c r="V1023" s="2624"/>
      <c r="W1023" s="2624"/>
      <c r="X1023" s="1140"/>
      <c r="Y1023" s="1674"/>
      <c r="Z1023" s="656"/>
      <c r="AA1023" s="2357"/>
      <c r="AB1023" s="2357"/>
      <c r="AC1023" s="2357"/>
    </row>
    <row r="1024" spans="1:30" s="1066" customFormat="1" ht="22.5" hidden="1" customHeight="1">
      <c r="A1024" s="348"/>
      <c r="B1024" s="1126"/>
      <c r="C1024" s="2357"/>
      <c r="D1024" s="402"/>
      <c r="E1024" s="1134"/>
      <c r="F1024" s="383"/>
      <c r="G1024" s="1116"/>
      <c r="H1024" s="404"/>
      <c r="I1024" s="2559"/>
      <c r="J1024" s="2643"/>
      <c r="K1024" s="2624"/>
      <c r="L1024" s="2624"/>
      <c r="M1024" s="2624"/>
      <c r="N1024" s="2624"/>
      <c r="O1024" s="2624"/>
      <c r="P1024" s="2624"/>
      <c r="Q1024" s="408"/>
      <c r="R1024" s="2630"/>
      <c r="S1024" s="1672"/>
      <c r="T1024" s="2644"/>
      <c r="U1024" s="2644"/>
      <c r="V1024" s="2644"/>
      <c r="W1024" s="2644"/>
      <c r="X1024" s="1140"/>
      <c r="Y1024" s="1674"/>
      <c r="Z1024" s="656"/>
      <c r="AA1024" s="2357"/>
      <c r="AB1024" s="2357"/>
      <c r="AC1024" s="2357"/>
    </row>
    <row r="1025" spans="1:30" s="1066" customFormat="1" ht="22.5" hidden="1" customHeight="1">
      <c r="A1025" s="348"/>
      <c r="B1025" s="1126"/>
      <c r="C1025" s="2357"/>
      <c r="D1025" s="402"/>
      <c r="E1025" s="1134"/>
      <c r="F1025" s="383"/>
      <c r="G1025" s="1116"/>
      <c r="H1025" s="404"/>
      <c r="I1025" s="2559"/>
      <c r="J1025" s="2643"/>
      <c r="K1025" s="2624"/>
      <c r="L1025" s="2624"/>
      <c r="M1025" s="2624"/>
      <c r="N1025" s="2624"/>
      <c r="O1025" s="2624"/>
      <c r="P1025" s="2624"/>
      <c r="Q1025" s="1763"/>
      <c r="R1025" s="2630"/>
      <c r="S1025" s="1672"/>
      <c r="T1025" s="2644"/>
      <c r="U1025" s="2644"/>
      <c r="V1025" s="2644"/>
      <c r="W1025" s="2644"/>
      <c r="X1025" s="1140"/>
      <c r="Y1025" s="1674"/>
      <c r="Z1025" s="656"/>
      <c r="AA1025" s="2357"/>
      <c r="AB1025" s="2357"/>
      <c r="AC1025" s="2357"/>
    </row>
    <row r="1026" spans="1:30" s="1066" customFormat="1" ht="22.5" hidden="1" customHeight="1">
      <c r="A1026" s="348"/>
      <c r="B1026" s="1126"/>
      <c r="C1026" s="2357"/>
      <c r="D1026" s="402"/>
      <c r="E1026" s="1134"/>
      <c r="F1026" s="383"/>
      <c r="G1026" s="1116"/>
      <c r="H1026" s="404"/>
      <c r="I1026" s="2559"/>
      <c r="J1026" s="2643"/>
      <c r="K1026" s="2624"/>
      <c r="L1026" s="2624"/>
      <c r="M1026" s="2624"/>
      <c r="N1026" s="2624"/>
      <c r="O1026" s="2624"/>
      <c r="P1026" s="2624"/>
      <c r="Q1026" s="408"/>
      <c r="R1026" s="2630"/>
      <c r="S1026" s="1672"/>
      <c r="T1026" s="2644"/>
      <c r="U1026" s="1763"/>
      <c r="V1026" s="2644"/>
      <c r="W1026" s="1764"/>
      <c r="X1026" s="1140"/>
      <c r="Y1026" s="1674"/>
      <c r="Z1026" s="656"/>
      <c r="AA1026" s="2357"/>
      <c r="AB1026" s="2357"/>
      <c r="AC1026" s="2357"/>
    </row>
    <row r="1027" spans="1:30" s="2624" customFormat="1" ht="22.5" hidden="1" customHeight="1">
      <c r="A1027" s="436"/>
      <c r="B1027" s="465"/>
      <c r="C1027" s="465"/>
      <c r="D1027" s="1131"/>
      <c r="E1027" s="1134" t="s">
        <v>4041</v>
      </c>
      <c r="F1027" s="403">
        <f>Y1027</f>
        <v>0</v>
      </c>
      <c r="G1027" s="403"/>
      <c r="H1027" s="404">
        <f>F1027-G1027</f>
        <v>0</v>
      </c>
      <c r="I1027" s="409"/>
      <c r="J1027" s="2643"/>
      <c r="P1027" s="1675"/>
      <c r="Q1027" s="2644"/>
      <c r="R1027" s="2630"/>
      <c r="S1027" s="2644"/>
      <c r="T1027" s="2644"/>
      <c r="U1027" s="1675"/>
      <c r="V1027" s="2644"/>
      <c r="W1027" s="2644"/>
      <c r="X1027" s="1140"/>
      <c r="Y1027" s="1674"/>
      <c r="Z1027" s="656"/>
      <c r="AA1027" s="401"/>
      <c r="AB1027" s="1091"/>
      <c r="AC1027" s="1095"/>
      <c r="AD1027" s="397"/>
    </row>
    <row r="1028" spans="1:30" s="2624" customFormat="1" ht="22.5" hidden="1" customHeight="1">
      <c r="A1028" s="2623"/>
      <c r="B1028" s="465"/>
      <c r="C1028" s="465"/>
      <c r="D1028" s="1148"/>
      <c r="E1028" s="1134"/>
      <c r="F1028" s="403"/>
      <c r="G1028" s="403"/>
      <c r="H1028" s="467"/>
      <c r="I1028" s="409"/>
      <c r="J1028" s="1765"/>
      <c r="K1028" s="1191"/>
      <c r="L1028" s="1191"/>
      <c r="M1028" s="1191"/>
      <c r="N1028" s="1191"/>
      <c r="O1028" s="1191"/>
      <c r="P1028" s="1191"/>
      <c r="Q1028" s="1191"/>
      <c r="R1028" s="1191"/>
      <c r="S1028" s="1764"/>
      <c r="T1028" s="1764"/>
      <c r="U1028" s="1191"/>
      <c r="V1028" s="1764"/>
      <c r="W1028" s="1764"/>
      <c r="X1028" s="1766"/>
      <c r="Y1028" s="1674"/>
      <c r="Z1028" s="656"/>
      <c r="AA1028" s="401"/>
      <c r="AB1028" s="1091"/>
      <c r="AC1028" s="1095"/>
      <c r="AD1028" s="397"/>
    </row>
    <row r="1029" spans="1:30" s="2624" customFormat="1" ht="22.5" hidden="1" customHeight="1">
      <c r="A1029" s="2623"/>
      <c r="B1029" s="465"/>
      <c r="C1029" s="465"/>
      <c r="D1029" s="1148"/>
      <c r="E1029" s="1134"/>
      <c r="F1029" s="403"/>
      <c r="G1029" s="403"/>
      <c r="H1029" s="467"/>
      <c r="I1029" s="409"/>
      <c r="J1029" s="1765"/>
      <c r="K1029" s="1191"/>
      <c r="L1029" s="1191"/>
      <c r="M1029" s="1191"/>
      <c r="N1029" s="1191"/>
      <c r="O1029" s="1191"/>
      <c r="P1029" s="1191"/>
      <c r="Q1029" s="1191"/>
      <c r="R1029" s="1191"/>
      <c r="S1029" s="1764"/>
      <c r="T1029" s="1764"/>
      <c r="U1029" s="1191"/>
      <c r="V1029" s="1764"/>
      <c r="W1029" s="1764"/>
      <c r="X1029" s="1766"/>
      <c r="Y1029" s="1674"/>
      <c r="Z1029" s="656"/>
      <c r="AA1029" s="401"/>
      <c r="AB1029" s="1091"/>
      <c r="AC1029" s="1095"/>
      <c r="AD1029" s="397"/>
    </row>
    <row r="1030" spans="1:30" s="2624" customFormat="1" ht="22.5" hidden="1" customHeight="1">
      <c r="A1030" s="2623"/>
      <c r="B1030" s="465"/>
      <c r="C1030" s="465"/>
      <c r="D1030" s="1148"/>
      <c r="E1030" s="1134"/>
      <c r="F1030" s="403"/>
      <c r="G1030" s="403"/>
      <c r="H1030" s="467"/>
      <c r="I1030" s="409"/>
      <c r="J1030" s="1765"/>
      <c r="K1030" s="1191"/>
      <c r="L1030" s="1191"/>
      <c r="M1030" s="1191"/>
      <c r="N1030" s="1191"/>
      <c r="O1030" s="1191"/>
      <c r="P1030" s="1191"/>
      <c r="Q1030" s="1191"/>
      <c r="R1030" s="1191"/>
      <c r="S1030" s="1764"/>
      <c r="T1030" s="1764"/>
      <c r="U1030" s="1191"/>
      <c r="V1030" s="1764"/>
      <c r="W1030" s="1764"/>
      <c r="X1030" s="1766"/>
      <c r="Y1030" s="1674"/>
      <c r="Z1030" s="656"/>
      <c r="AA1030" s="401"/>
      <c r="AB1030" s="1091"/>
      <c r="AC1030" s="1095"/>
      <c r="AD1030" s="397"/>
    </row>
    <row r="1031" spans="1:30" s="2624" customFormat="1" ht="22.5" hidden="1" customHeight="1">
      <c r="A1031" s="2623"/>
      <c r="B1031" s="465"/>
      <c r="C1031" s="465"/>
      <c r="D1031" s="1148"/>
      <c r="E1031" s="1134"/>
      <c r="F1031" s="403"/>
      <c r="G1031" s="403"/>
      <c r="H1031" s="467"/>
      <c r="I1031" s="409"/>
      <c r="J1031" s="1765"/>
      <c r="K1031" s="1191"/>
      <c r="L1031" s="1191"/>
      <c r="M1031" s="1191"/>
      <c r="N1031" s="1191"/>
      <c r="O1031" s="1191"/>
      <c r="P1031" s="1191"/>
      <c r="Q1031" s="1191"/>
      <c r="R1031" s="1191"/>
      <c r="S1031" s="1764"/>
      <c r="T1031" s="1764"/>
      <c r="U1031" s="1191"/>
      <c r="V1031" s="1764"/>
      <c r="W1031" s="1764"/>
      <c r="X1031" s="1766"/>
      <c r="Y1031" s="1674"/>
      <c r="Z1031" s="656"/>
      <c r="AA1031" s="401"/>
      <c r="AB1031" s="1091"/>
      <c r="AC1031" s="1095"/>
      <c r="AD1031" s="397"/>
    </row>
    <row r="1032" spans="1:30" s="85" customFormat="1" ht="22.5" hidden="1" customHeight="1">
      <c r="A1032" s="2627"/>
      <c r="B1032" s="1145"/>
      <c r="C1032" s="1126"/>
      <c r="D1032" s="1148"/>
      <c r="E1032" s="1134" t="s">
        <v>4013</v>
      </c>
      <c r="F1032" s="1141">
        <f>+Y1032</f>
        <v>0</v>
      </c>
      <c r="G1032" s="1139"/>
      <c r="H1032" s="1147"/>
      <c r="I1032" s="409"/>
      <c r="J1032" s="2643"/>
      <c r="K1032" s="2624"/>
      <c r="L1032" s="2624"/>
      <c r="M1032" s="2624"/>
      <c r="N1032" s="2624"/>
      <c r="O1032" s="2624"/>
      <c r="P1032" s="1675"/>
      <c r="Q1032" s="2644"/>
      <c r="R1032" s="2630"/>
      <c r="S1032" s="2644"/>
      <c r="T1032" s="2644"/>
      <c r="U1032" s="1675"/>
      <c r="V1032" s="2644"/>
      <c r="W1032" s="2644"/>
      <c r="X1032" s="1140"/>
      <c r="Y1032" s="1674"/>
      <c r="Z1032" s="656"/>
      <c r="AA1032" s="401"/>
      <c r="AB1032" s="1091"/>
      <c r="AC1032" s="1464"/>
      <c r="AD1032" s="981"/>
    </row>
    <row r="1033" spans="1:30" s="85" customFormat="1" ht="22.5" hidden="1" customHeight="1">
      <c r="A1033" s="2627"/>
      <c r="B1033" s="1145"/>
      <c r="C1033" s="1126"/>
      <c r="D1033" s="1148"/>
      <c r="E1033" s="1134"/>
      <c r="F1033" s="1141"/>
      <c r="G1033" s="1139"/>
      <c r="H1033" s="1147"/>
      <c r="I1033" s="409"/>
      <c r="J1033" s="2643"/>
      <c r="K1033" s="2624"/>
      <c r="L1033" s="2624"/>
      <c r="M1033" s="2624"/>
      <c r="N1033" s="2357"/>
      <c r="O1033" s="2357"/>
      <c r="P1033" s="2357"/>
      <c r="Q1033" s="2644"/>
      <c r="R1033" s="2644"/>
      <c r="S1033" s="2644"/>
      <c r="T1033" s="2644"/>
      <c r="U1033" s="2644"/>
      <c r="V1033" s="2644"/>
      <c r="W1033" s="2644"/>
      <c r="X1033" s="765"/>
      <c r="Y1033" s="1674"/>
      <c r="Z1033" s="656"/>
      <c r="AA1033" s="401"/>
      <c r="AB1033" s="1091"/>
      <c r="AC1033" s="1464"/>
      <c r="AD1033" s="981"/>
    </row>
    <row r="1034" spans="1:30" s="85" customFormat="1" ht="22.5" hidden="1" customHeight="1">
      <c r="A1034" s="2627"/>
      <c r="B1034" s="1145"/>
      <c r="C1034" s="1126"/>
      <c r="D1034" s="1148"/>
      <c r="E1034" s="1134"/>
      <c r="F1034" s="1141"/>
      <c r="G1034" s="1139"/>
      <c r="H1034" s="1147"/>
      <c r="I1034" s="409"/>
      <c r="J1034" s="1765"/>
      <c r="K1034" s="1191"/>
      <c r="L1034" s="1191"/>
      <c r="M1034" s="1191"/>
      <c r="N1034" s="1191"/>
      <c r="O1034" s="1191"/>
      <c r="P1034" s="1191"/>
      <c r="Q1034" s="1191"/>
      <c r="R1034" s="1191"/>
      <c r="S1034" s="1764"/>
      <c r="T1034" s="1764"/>
      <c r="U1034" s="1191"/>
      <c r="V1034" s="1764"/>
      <c r="W1034" s="1764"/>
      <c r="X1034" s="1766"/>
      <c r="Y1034" s="1674"/>
      <c r="Z1034" s="656"/>
      <c r="AA1034" s="401"/>
      <c r="AB1034" s="1091"/>
      <c r="AC1034" s="1464"/>
      <c r="AD1034" s="981"/>
    </row>
    <row r="1035" spans="1:30" s="85" customFormat="1" ht="22.5" hidden="1" customHeight="1">
      <c r="A1035" s="2627"/>
      <c r="B1035" s="1145"/>
      <c r="C1035" s="1126"/>
      <c r="D1035" s="1148"/>
      <c r="E1035" s="1134"/>
      <c r="F1035" s="1141"/>
      <c r="G1035" s="1139"/>
      <c r="H1035" s="1147"/>
      <c r="I1035" s="409"/>
      <c r="J1035" s="1765"/>
      <c r="K1035" s="1191"/>
      <c r="L1035" s="1191"/>
      <c r="M1035" s="1191"/>
      <c r="N1035" s="1191"/>
      <c r="O1035" s="1191"/>
      <c r="P1035" s="1191"/>
      <c r="Q1035" s="1191"/>
      <c r="R1035" s="1191"/>
      <c r="S1035" s="1764"/>
      <c r="T1035" s="1764"/>
      <c r="U1035" s="1191"/>
      <c r="V1035" s="1764"/>
      <c r="W1035" s="1764"/>
      <c r="X1035" s="1766"/>
      <c r="Y1035" s="1674"/>
      <c r="Z1035" s="656"/>
      <c r="AA1035" s="401"/>
      <c r="AB1035" s="1091"/>
      <c r="AC1035" s="1464"/>
      <c r="AD1035" s="981"/>
    </row>
    <row r="1036" spans="1:30" s="85" customFormat="1" ht="22.5" hidden="1" customHeight="1">
      <c r="A1036" s="2627"/>
      <c r="B1036" s="1145"/>
      <c r="C1036" s="1126"/>
      <c r="D1036" s="1148"/>
      <c r="E1036" s="1134"/>
      <c r="F1036" s="1141"/>
      <c r="G1036" s="1139"/>
      <c r="H1036" s="1147"/>
      <c r="I1036" s="409"/>
      <c r="J1036" s="1765"/>
      <c r="K1036" s="1191"/>
      <c r="L1036" s="1191"/>
      <c r="M1036" s="1191"/>
      <c r="N1036" s="1191"/>
      <c r="O1036" s="1191"/>
      <c r="P1036" s="1191"/>
      <c r="Q1036" s="2644"/>
      <c r="R1036" s="2644"/>
      <c r="S1036" s="1764"/>
      <c r="T1036" s="1764"/>
      <c r="U1036" s="1191"/>
      <c r="V1036" s="1764"/>
      <c r="W1036" s="1764"/>
      <c r="X1036" s="1766"/>
      <c r="Y1036" s="1674"/>
      <c r="Z1036" s="656"/>
      <c r="AA1036" s="401"/>
      <c r="AB1036" s="1091"/>
      <c r="AC1036" s="1464"/>
      <c r="AD1036" s="981"/>
    </row>
    <row r="1037" spans="1:30" s="2624" customFormat="1" ht="22.5" hidden="1" customHeight="1">
      <c r="A1037" s="436"/>
      <c r="B1037" s="402"/>
      <c r="C1037" s="465"/>
      <c r="D1037" s="1131"/>
      <c r="E1037" s="1134" t="s">
        <v>4017</v>
      </c>
      <c r="F1037" s="403">
        <f>Y1037</f>
        <v>0</v>
      </c>
      <c r="G1037" s="403"/>
      <c r="H1037" s="404"/>
      <c r="I1037" s="409"/>
      <c r="J1037" s="1765"/>
      <c r="K1037" s="1191"/>
      <c r="L1037" s="1191"/>
      <c r="M1037" s="1191"/>
      <c r="N1037" s="1191"/>
      <c r="O1037" s="1191"/>
      <c r="P1037" s="1191"/>
      <c r="Q1037" s="2644"/>
      <c r="R1037" s="2644"/>
      <c r="S1037" s="1764"/>
      <c r="T1037" s="1764"/>
      <c r="U1037" s="1191"/>
      <c r="V1037" s="1764"/>
      <c r="W1037" s="1764"/>
      <c r="X1037" s="1766"/>
      <c r="Y1037" s="1674"/>
      <c r="Z1037" s="656"/>
      <c r="AA1037" s="401"/>
      <c r="AB1037" s="1091"/>
      <c r="AC1037" s="1095"/>
      <c r="AD1037" s="397"/>
    </row>
    <row r="1038" spans="1:30" s="592" customFormat="1" ht="22.5" hidden="1" customHeight="1">
      <c r="A1038" s="411"/>
      <c r="B1038" s="412"/>
      <c r="C1038" s="1671"/>
      <c r="D1038" s="1131"/>
      <c r="E1038" s="1134" t="s">
        <v>4269</v>
      </c>
      <c r="F1038" s="1141">
        <f>+Y1038</f>
        <v>0</v>
      </c>
      <c r="G1038" s="1139"/>
      <c r="H1038" s="404">
        <f>F1038-G1038</f>
        <v>0</v>
      </c>
      <c r="I1038" s="409"/>
      <c r="J1038" s="2643"/>
      <c r="K1038" s="2624"/>
      <c r="L1038" s="2624"/>
      <c r="M1038" s="2624"/>
      <c r="N1038" s="2624"/>
      <c r="O1038" s="2624"/>
      <c r="P1038" s="1675"/>
      <c r="Q1038" s="2644"/>
      <c r="R1038" s="2630"/>
      <c r="S1038" s="2644"/>
      <c r="T1038" s="2644"/>
      <c r="U1038" s="1675"/>
      <c r="V1038" s="2644"/>
      <c r="W1038" s="2644"/>
      <c r="X1038" s="1140"/>
      <c r="Y1038" s="1674"/>
      <c r="Z1038" s="656"/>
      <c r="AA1038" s="401"/>
      <c r="AB1038" s="1091"/>
      <c r="AC1038" s="1092"/>
      <c r="AD1038" s="608"/>
    </row>
    <row r="1039" spans="1:30" s="592" customFormat="1" ht="22.5" hidden="1" customHeight="1">
      <c r="A1039" s="411"/>
      <c r="B1039" s="412"/>
      <c r="C1039" s="1671"/>
      <c r="D1039" s="1131"/>
      <c r="E1039" s="1134"/>
      <c r="F1039" s="1141"/>
      <c r="G1039" s="1139"/>
      <c r="H1039" s="1147"/>
      <c r="I1039" s="409"/>
      <c r="J1039" s="1765"/>
      <c r="K1039" s="1191"/>
      <c r="L1039" s="1191"/>
      <c r="M1039" s="1191"/>
      <c r="N1039" s="1191"/>
      <c r="O1039" s="1191"/>
      <c r="P1039" s="1191"/>
      <c r="Q1039" s="1191"/>
      <c r="R1039" s="1191"/>
      <c r="S1039" s="1764"/>
      <c r="T1039" s="1764"/>
      <c r="U1039" s="1191"/>
      <c r="V1039" s="1764"/>
      <c r="W1039" s="1764"/>
      <c r="X1039" s="1766"/>
      <c r="Y1039" s="1674"/>
      <c r="Z1039" s="656"/>
      <c r="AA1039" s="401"/>
      <c r="AB1039" s="1091"/>
      <c r="AC1039" s="1092"/>
      <c r="AD1039" s="608"/>
    </row>
    <row r="1040" spans="1:30" s="592" customFormat="1" ht="22.5" hidden="1" customHeight="1">
      <c r="A1040" s="411"/>
      <c r="B1040" s="412"/>
      <c r="C1040" s="1671"/>
      <c r="D1040" s="1131"/>
      <c r="E1040" s="1134"/>
      <c r="F1040" s="1141"/>
      <c r="G1040" s="1139"/>
      <c r="H1040" s="1147"/>
      <c r="I1040" s="409"/>
      <c r="J1040" s="1765"/>
      <c r="K1040" s="1191"/>
      <c r="L1040" s="1191"/>
      <c r="M1040" s="1191"/>
      <c r="N1040" s="1191"/>
      <c r="O1040" s="1191"/>
      <c r="P1040" s="1191"/>
      <c r="Q1040" s="1191"/>
      <c r="R1040" s="1191"/>
      <c r="S1040" s="1764"/>
      <c r="T1040" s="1764"/>
      <c r="U1040" s="1191"/>
      <c r="V1040" s="1764"/>
      <c r="W1040" s="1764"/>
      <c r="X1040" s="1766"/>
      <c r="Y1040" s="1674"/>
      <c r="Z1040" s="656"/>
      <c r="AA1040" s="401"/>
      <c r="AB1040" s="1091"/>
      <c r="AC1040" s="1092"/>
      <c r="AD1040" s="608"/>
    </row>
    <row r="1041" spans="1:30" s="2624" customFormat="1" ht="22.5" hidden="1" customHeight="1">
      <c r="A1041" s="2623"/>
      <c r="B1041" s="402"/>
      <c r="C1041" s="465"/>
      <c r="D1041" s="1148"/>
      <c r="E1041" s="1087" t="s">
        <v>3456</v>
      </c>
      <c r="F1041" s="403">
        <f>Y1041</f>
        <v>0</v>
      </c>
      <c r="G1041" s="403"/>
      <c r="H1041" s="467"/>
      <c r="I1041" s="409"/>
      <c r="J1041" s="2643"/>
      <c r="Q1041" s="1673"/>
      <c r="R1041" s="405"/>
      <c r="S1041" s="1672"/>
      <c r="T1041" s="2644"/>
      <c r="U1041" s="2644"/>
      <c r="V1041" s="2644"/>
      <c r="W1041" s="2644"/>
      <c r="X1041" s="1140"/>
      <c r="Y1041" s="1674"/>
      <c r="Z1041" s="656"/>
      <c r="AA1041" s="401"/>
      <c r="AB1041" s="1091"/>
      <c r="AC1041" s="1095"/>
      <c r="AD1041" s="397"/>
    </row>
    <row r="1042" spans="1:30" s="1094" customFormat="1" ht="22.5" hidden="1" customHeight="1">
      <c r="A1042" s="2627"/>
      <c r="B1042" s="1145"/>
      <c r="C1042" s="1126"/>
      <c r="D1042" s="1148"/>
      <c r="E1042" s="1134" t="s">
        <v>4026</v>
      </c>
      <c r="F1042" s="383">
        <f>Y1042</f>
        <v>0</v>
      </c>
      <c r="G1042" s="383"/>
      <c r="H1042" s="467"/>
      <c r="I1042" s="409"/>
      <c r="J1042" s="1765"/>
      <c r="K1042" s="1191"/>
      <c r="L1042" s="1191"/>
      <c r="M1042" s="1191"/>
      <c r="N1042" s="1191"/>
      <c r="O1042" s="1191"/>
      <c r="P1042" s="1191"/>
      <c r="Q1042" s="2644"/>
      <c r="R1042" s="2644"/>
      <c r="S1042" s="1764"/>
      <c r="T1042" s="1764"/>
      <c r="U1042" s="1191"/>
      <c r="V1042" s="1764"/>
      <c r="W1042" s="1764"/>
      <c r="X1042" s="1766"/>
      <c r="Y1042" s="1674"/>
      <c r="Z1042" s="656"/>
      <c r="AA1042" s="401"/>
      <c r="AB1042" s="1091"/>
      <c r="AC1042" s="1092"/>
      <c r="AD1042" s="1093"/>
    </row>
    <row r="1043" spans="1:30" s="2558" customFormat="1" ht="22.5" hidden="1" customHeight="1" thickBot="1">
      <c r="A1043" s="1474"/>
      <c r="B1043" s="477"/>
      <c r="C1043" s="477"/>
      <c r="D1043" s="1167"/>
      <c r="E1043" s="1159" t="s">
        <v>4028</v>
      </c>
      <c r="F1043" s="1081">
        <f>Y1043</f>
        <v>0</v>
      </c>
      <c r="G1043" s="1081"/>
      <c r="H1043" s="977"/>
      <c r="I1043" s="409"/>
      <c r="J1043" s="2643"/>
      <c r="K1043" s="1671"/>
      <c r="L1043" s="1671"/>
      <c r="M1043" s="1671"/>
      <c r="N1043" s="1671"/>
      <c r="O1043" s="1671"/>
      <c r="P1043" s="1671"/>
      <c r="Q1043" s="2644"/>
      <c r="R1043" s="2644"/>
      <c r="S1043" s="2644"/>
      <c r="T1043" s="2644"/>
      <c r="U1043" s="2644"/>
      <c r="V1043" s="2644"/>
      <c r="W1043" s="2644"/>
      <c r="X1043" s="1140"/>
      <c r="Y1043" s="1674"/>
      <c r="Z1043" s="656"/>
      <c r="AA1043" s="401"/>
      <c r="AB1043" s="1091"/>
      <c r="AC1043" s="1095"/>
      <c r="AD1043" s="2553"/>
    </row>
    <row r="1044" spans="1:30" s="2558" customFormat="1" ht="22.5" customHeight="1" thickBot="1">
      <c r="A1044" s="422" t="s">
        <v>4305</v>
      </c>
      <c r="B1044" s="1299"/>
      <c r="C1044" s="1299"/>
      <c r="D1044" s="1299"/>
      <c r="E1044" s="1299"/>
      <c r="F1044" s="596">
        <f t="shared" ref="F1044:G1044" si="390">+F1045</f>
        <v>0</v>
      </c>
      <c r="G1044" s="596">
        <f t="shared" si="390"/>
        <v>0</v>
      </c>
      <c r="H1044" s="421">
        <f>F1044-G1044</f>
        <v>0</v>
      </c>
      <c r="I1044" s="409"/>
      <c r="J1044" s="1301"/>
      <c r="K1044" s="1302"/>
      <c r="L1044" s="1302"/>
      <c r="M1044" s="1302"/>
      <c r="N1044" s="1302"/>
      <c r="O1044" s="1302"/>
      <c r="P1044" s="1302"/>
      <c r="Q1044" s="1302"/>
      <c r="R1044" s="1457"/>
      <c r="S1044" s="1302"/>
      <c r="T1044" s="1302"/>
      <c r="U1044" s="1302"/>
      <c r="V1044" s="1302"/>
      <c r="W1044" s="1302"/>
      <c r="X1044" s="1299"/>
      <c r="Y1044" s="1458"/>
      <c r="Z1044" s="1475"/>
      <c r="AA1044" s="401"/>
      <c r="AB1044" s="1091"/>
      <c r="AC1044" s="1095"/>
      <c r="AD1044" s="2553"/>
    </row>
    <row r="1045" spans="1:30" s="591" customFormat="1" ht="22.5" customHeight="1" thickBot="1">
      <c r="A1045" s="1112"/>
      <c r="B1045" s="416" t="s">
        <v>4306</v>
      </c>
      <c r="C1045" s="417"/>
      <c r="D1045" s="418"/>
      <c r="E1045" s="419"/>
      <c r="F1045" s="596">
        <f>F1046</f>
        <v>0</v>
      </c>
      <c r="G1045" s="596">
        <f>G1046</f>
        <v>0</v>
      </c>
      <c r="H1045" s="421">
        <f t="shared" ref="H1045" si="391">F1045-G1045</f>
        <v>0</v>
      </c>
      <c r="I1045" s="1428"/>
      <c r="J1045" s="422"/>
      <c r="K1045" s="423"/>
      <c r="L1045" s="423"/>
      <c r="M1045" s="423"/>
      <c r="N1045" s="423"/>
      <c r="O1045" s="423"/>
      <c r="P1045" s="423"/>
      <c r="Q1045" s="423"/>
      <c r="R1045" s="423"/>
      <c r="S1045" s="423"/>
      <c r="T1045" s="423"/>
      <c r="U1045" s="423"/>
      <c r="V1045" s="423"/>
      <c r="W1045" s="423"/>
      <c r="X1045" s="2605"/>
      <c r="Y1045" s="1409"/>
      <c r="Z1045" s="1416"/>
      <c r="AA1045" s="401"/>
      <c r="AB1045" s="1091"/>
      <c r="AC1045" s="1423"/>
      <c r="AD1045" s="607"/>
    </row>
    <row r="1046" spans="1:30" s="592" customFormat="1" ht="21.95" hidden="1" customHeight="1">
      <c r="A1046" s="411"/>
      <c r="B1046" s="412"/>
      <c r="C1046" s="3536" t="s">
        <v>4307</v>
      </c>
      <c r="D1046" s="3536"/>
      <c r="E1046" s="3537"/>
      <c r="F1046" s="3046">
        <f>+F1047</f>
        <v>0</v>
      </c>
      <c r="G1046" s="3046">
        <f>+G1047</f>
        <v>0</v>
      </c>
      <c r="H1046" s="3047">
        <f>F1046-G1046</f>
        <v>0</v>
      </c>
      <c r="I1046" s="3045"/>
      <c r="J1046" s="3005"/>
      <c r="K1046" s="3048"/>
      <c r="L1046" s="3048"/>
      <c r="M1046" s="3048"/>
      <c r="N1046" s="3048"/>
      <c r="O1046" s="3048"/>
      <c r="P1046" s="3048"/>
      <c r="Q1046" s="3049"/>
      <c r="R1046" s="3050"/>
      <c r="S1046" s="3008"/>
      <c r="T1046" s="3006"/>
      <c r="U1046" s="3006"/>
      <c r="V1046" s="3006"/>
      <c r="W1046" s="3006"/>
      <c r="X1046" s="3007"/>
      <c r="Y1046" s="3051"/>
      <c r="Z1046" s="2950"/>
      <c r="AA1046" s="401"/>
      <c r="AB1046" s="1091">
        <f>F1046</f>
        <v>0</v>
      </c>
      <c r="AC1046" s="1092"/>
      <c r="AD1046" s="608"/>
    </row>
    <row r="1047" spans="1:30" s="522" customFormat="1" ht="21.75" hidden="1" customHeight="1">
      <c r="A1047" s="2914"/>
      <c r="B1047" s="2915"/>
      <c r="C1047" s="2954"/>
      <c r="D1047" s="3534" t="s">
        <v>5427</v>
      </c>
      <c r="E1047" s="3535"/>
      <c r="F1047" s="3052">
        <f>SUM(F1048:F1063)</f>
        <v>0</v>
      </c>
      <c r="G1047" s="3052">
        <f>SUM(G1048:G1063)</f>
        <v>0</v>
      </c>
      <c r="H1047" s="3053">
        <f>F1047-G1047</f>
        <v>0</v>
      </c>
      <c r="I1047" s="3054"/>
      <c r="J1047" s="3055"/>
      <c r="K1047" s="3056"/>
      <c r="L1047" s="3056"/>
      <c r="M1047" s="3056"/>
      <c r="N1047" s="3056"/>
      <c r="O1047" s="3056"/>
      <c r="P1047" s="3056"/>
      <c r="Q1047" s="3057"/>
      <c r="R1047" s="3058"/>
      <c r="S1047" s="3059"/>
      <c r="T1047" s="3056"/>
      <c r="U1047" s="3056"/>
      <c r="V1047" s="3060"/>
      <c r="W1047" s="3056"/>
      <c r="X1047" s="3061"/>
      <c r="Y1047" s="3062"/>
      <c r="Z1047" s="3063"/>
      <c r="AA1047" s="2916"/>
      <c r="AB1047" s="2917"/>
      <c r="AC1047" s="2916"/>
      <c r="AD1047" s="2916"/>
    </row>
    <row r="1048" spans="1:30" s="522" customFormat="1" ht="21.75" hidden="1" customHeight="1">
      <c r="A1048" s="2914"/>
      <c r="B1048" s="2915"/>
      <c r="C1048" s="2954"/>
      <c r="D1048" s="2948"/>
      <c r="E1048" s="2948" t="s">
        <v>2707</v>
      </c>
      <c r="F1048" s="3015">
        <f>Y1048</f>
        <v>0</v>
      </c>
      <c r="G1048" s="3015"/>
      <c r="H1048" s="3064"/>
      <c r="I1048" s="3009"/>
      <c r="J1048" s="2955"/>
      <c r="K1048" s="3065"/>
      <c r="L1048" s="3065"/>
      <c r="M1048" s="3065"/>
      <c r="N1048" s="2952"/>
      <c r="O1048" s="3066"/>
      <c r="P1048" s="3066"/>
      <c r="Q1048" s="3067"/>
      <c r="R1048" s="3013"/>
      <c r="S1048" s="3068"/>
      <c r="T1048" s="3014"/>
      <c r="U1048" s="2951"/>
      <c r="V1048" s="3069"/>
      <c r="W1048" s="3014"/>
      <c r="X1048" s="3070"/>
      <c r="Y1048" s="2950"/>
      <c r="Z1048" s="3063"/>
      <c r="AA1048" s="2916"/>
      <c r="AB1048" s="2917"/>
      <c r="AC1048" s="2916"/>
      <c r="AD1048" s="2916"/>
    </row>
    <row r="1049" spans="1:30" s="522" customFormat="1" ht="21.75" hidden="1" customHeight="1">
      <c r="A1049" s="2914"/>
      <c r="B1049" s="2915"/>
      <c r="C1049" s="2954"/>
      <c r="D1049" s="2948"/>
      <c r="E1049" s="2948"/>
      <c r="F1049" s="3015"/>
      <c r="G1049" s="3015"/>
      <c r="H1049" s="3064"/>
      <c r="I1049" s="3009"/>
      <c r="J1049" s="3071"/>
      <c r="K1049" s="3065"/>
      <c r="L1049" s="3065"/>
      <c r="M1049" s="3065"/>
      <c r="N1049" s="2952"/>
      <c r="O1049" s="3066"/>
      <c r="P1049" s="3066"/>
      <c r="Q1049" s="3067"/>
      <c r="R1049" s="3013"/>
      <c r="S1049" s="3068"/>
      <c r="T1049" s="3014"/>
      <c r="U1049" s="2951"/>
      <c r="V1049" s="3069"/>
      <c r="W1049" s="3014"/>
      <c r="X1049" s="3070"/>
      <c r="Y1049" s="2950"/>
      <c r="Z1049" s="3063"/>
      <c r="AA1049" s="2916"/>
      <c r="AB1049" s="2917"/>
      <c r="AC1049" s="2916"/>
      <c r="AD1049" s="2916"/>
    </row>
    <row r="1050" spans="1:30" s="522" customFormat="1" ht="21.75" hidden="1" customHeight="1">
      <c r="A1050" s="2914"/>
      <c r="B1050" s="2915"/>
      <c r="C1050" s="2954"/>
      <c r="D1050" s="2948"/>
      <c r="E1050" s="2948"/>
      <c r="F1050" s="3015"/>
      <c r="G1050" s="3015"/>
      <c r="H1050" s="3064"/>
      <c r="I1050" s="3009"/>
      <c r="J1050" s="3071"/>
      <c r="K1050" s="3065"/>
      <c r="L1050" s="3065"/>
      <c r="M1050" s="3065"/>
      <c r="N1050" s="2952"/>
      <c r="O1050" s="3066"/>
      <c r="P1050" s="3066"/>
      <c r="Q1050" s="3067"/>
      <c r="R1050" s="3013"/>
      <c r="S1050" s="3068"/>
      <c r="T1050" s="3014"/>
      <c r="U1050" s="2951"/>
      <c r="V1050" s="3069"/>
      <c r="W1050" s="3014"/>
      <c r="X1050" s="3070"/>
      <c r="Y1050" s="2950"/>
      <c r="Z1050" s="3063"/>
      <c r="AA1050" s="2916"/>
      <c r="AB1050" s="2917"/>
      <c r="AC1050" s="2916"/>
      <c r="AD1050" s="2916"/>
    </row>
    <row r="1051" spans="1:30" s="522" customFormat="1" ht="21.75" hidden="1" customHeight="1">
      <c r="A1051" s="2914"/>
      <c r="B1051" s="2915"/>
      <c r="C1051" s="2954"/>
      <c r="D1051" s="2948"/>
      <c r="E1051" s="2948"/>
      <c r="F1051" s="3015"/>
      <c r="G1051" s="3015"/>
      <c r="H1051" s="3064"/>
      <c r="I1051" s="3009"/>
      <c r="J1051" s="3071"/>
      <c r="K1051" s="3065"/>
      <c r="L1051" s="3065"/>
      <c r="M1051" s="3065"/>
      <c r="N1051" s="2952"/>
      <c r="O1051" s="3066"/>
      <c r="P1051" s="3066"/>
      <c r="Q1051" s="3067"/>
      <c r="R1051" s="3013"/>
      <c r="S1051" s="3068"/>
      <c r="T1051" s="3014"/>
      <c r="U1051" s="2951"/>
      <c r="V1051" s="3069"/>
      <c r="W1051" s="3014"/>
      <c r="X1051" s="3070"/>
      <c r="Y1051" s="2950"/>
      <c r="Z1051" s="3063"/>
      <c r="AA1051" s="2916"/>
      <c r="AB1051" s="2917"/>
      <c r="AC1051" s="2916"/>
      <c r="AD1051" s="2916"/>
    </row>
    <row r="1052" spans="1:30" s="522" customFormat="1" ht="21.75" hidden="1" customHeight="1">
      <c r="A1052" s="2914"/>
      <c r="B1052" s="2915"/>
      <c r="C1052" s="2954"/>
      <c r="D1052" s="2948"/>
      <c r="E1052" s="2948"/>
      <c r="F1052" s="3015"/>
      <c r="G1052" s="3015"/>
      <c r="H1052" s="3064"/>
      <c r="I1052" s="3009"/>
      <c r="J1052" s="3071"/>
      <c r="K1052" s="3065"/>
      <c r="L1052" s="3065"/>
      <c r="M1052" s="3065"/>
      <c r="N1052" s="2952"/>
      <c r="O1052" s="3066"/>
      <c r="P1052" s="3066"/>
      <c r="Q1052" s="3067"/>
      <c r="R1052" s="3013"/>
      <c r="S1052" s="3068"/>
      <c r="T1052" s="3014"/>
      <c r="U1052" s="2951"/>
      <c r="V1052" s="3069"/>
      <c r="W1052" s="3014"/>
      <c r="X1052" s="3070"/>
      <c r="Y1052" s="2950"/>
      <c r="Z1052" s="3063"/>
      <c r="AA1052" s="2916"/>
      <c r="AB1052" s="2917"/>
      <c r="AC1052" s="2916"/>
      <c r="AD1052" s="2916"/>
    </row>
    <row r="1053" spans="1:30" s="522" customFormat="1" ht="21.75" hidden="1" customHeight="1">
      <c r="A1053" s="2914"/>
      <c r="B1053" s="2915"/>
      <c r="C1053" s="2954"/>
      <c r="D1053" s="2948"/>
      <c r="E1053" s="2948"/>
      <c r="F1053" s="3015"/>
      <c r="G1053" s="3015"/>
      <c r="H1053" s="3064"/>
      <c r="I1053" s="3009"/>
      <c r="J1053" s="3071"/>
      <c r="K1053" s="3065"/>
      <c r="L1053" s="3065"/>
      <c r="M1053" s="3065"/>
      <c r="N1053" s="2952"/>
      <c r="O1053" s="3066"/>
      <c r="P1053" s="3066"/>
      <c r="Q1053" s="3067"/>
      <c r="R1053" s="3013"/>
      <c r="S1053" s="3068"/>
      <c r="T1053" s="3014"/>
      <c r="U1053" s="2951"/>
      <c r="V1053" s="3069"/>
      <c r="W1053" s="3014"/>
      <c r="X1053" s="3070"/>
      <c r="Y1053" s="2950"/>
      <c r="Z1053" s="3063"/>
      <c r="AA1053" s="2916"/>
      <c r="AB1053" s="2917"/>
      <c r="AC1053" s="2916"/>
      <c r="AD1053" s="2916"/>
    </row>
    <row r="1054" spans="1:30" s="522" customFormat="1" ht="21.75" hidden="1" customHeight="1">
      <c r="A1054" s="2914"/>
      <c r="B1054" s="2915"/>
      <c r="C1054" s="2954"/>
      <c r="D1054" s="2948"/>
      <c r="E1054" s="2948"/>
      <c r="F1054" s="3015"/>
      <c r="G1054" s="3015"/>
      <c r="H1054" s="3064"/>
      <c r="I1054" s="3009"/>
      <c r="J1054" s="3071"/>
      <c r="K1054" s="3065"/>
      <c r="L1054" s="3065"/>
      <c r="M1054" s="3065"/>
      <c r="N1054" s="2952"/>
      <c r="O1054" s="3066"/>
      <c r="P1054" s="3066"/>
      <c r="Q1054" s="3067"/>
      <c r="R1054" s="3013"/>
      <c r="S1054" s="3068"/>
      <c r="T1054" s="3014"/>
      <c r="U1054" s="2951"/>
      <c r="V1054" s="3069"/>
      <c r="W1054" s="3014"/>
      <c r="X1054" s="3070"/>
      <c r="Y1054" s="2950"/>
      <c r="Z1054" s="3063"/>
      <c r="AA1054" s="2916"/>
      <c r="AB1054" s="2917"/>
      <c r="AC1054" s="2916"/>
      <c r="AD1054" s="2916"/>
    </row>
    <row r="1055" spans="1:30" s="522" customFormat="1" ht="21.75" hidden="1" customHeight="1">
      <c r="A1055" s="2914"/>
      <c r="B1055" s="2915"/>
      <c r="C1055" s="2954"/>
      <c r="D1055" s="2948"/>
      <c r="E1055" s="2948"/>
      <c r="F1055" s="3015"/>
      <c r="G1055" s="3015"/>
      <c r="H1055" s="3064"/>
      <c r="I1055" s="3009"/>
      <c r="J1055" s="3071"/>
      <c r="K1055" s="3065"/>
      <c r="L1055" s="3065"/>
      <c r="M1055" s="3065"/>
      <c r="N1055" s="2952"/>
      <c r="O1055" s="3066"/>
      <c r="P1055" s="3066"/>
      <c r="Q1055" s="3067"/>
      <c r="R1055" s="3013"/>
      <c r="S1055" s="3068"/>
      <c r="T1055" s="3014"/>
      <c r="U1055" s="2951"/>
      <c r="V1055" s="3069"/>
      <c r="W1055" s="3014"/>
      <c r="X1055" s="3070"/>
      <c r="Y1055" s="2950"/>
      <c r="Z1055" s="3063"/>
      <c r="AA1055" s="2916"/>
      <c r="AB1055" s="2917"/>
      <c r="AC1055" s="2916"/>
      <c r="AD1055" s="2916"/>
    </row>
    <row r="1056" spans="1:30" s="522" customFormat="1" ht="21.75" hidden="1" customHeight="1">
      <c r="A1056" s="2914"/>
      <c r="B1056" s="2915"/>
      <c r="C1056" s="2954"/>
      <c r="D1056" s="2948"/>
      <c r="E1056" s="2948" t="s">
        <v>223</v>
      </c>
      <c r="F1056" s="3015">
        <f>Y1056</f>
        <v>0</v>
      </c>
      <c r="G1056" s="3015"/>
      <c r="H1056" s="3064"/>
      <c r="I1056" s="3009"/>
      <c r="J1056" s="2955"/>
      <c r="K1056" s="3065"/>
      <c r="L1056" s="3065"/>
      <c r="M1056" s="3065"/>
      <c r="N1056" s="2952"/>
      <c r="O1056" s="3066"/>
      <c r="P1056" s="3066"/>
      <c r="Q1056" s="3067"/>
      <c r="R1056" s="3013"/>
      <c r="S1056" s="3068"/>
      <c r="T1056" s="3014"/>
      <c r="U1056" s="2951"/>
      <c r="V1056" s="3069"/>
      <c r="W1056" s="3014"/>
      <c r="X1056" s="3070"/>
      <c r="Y1056" s="2950"/>
      <c r="Z1056" s="3063"/>
      <c r="AA1056" s="2916"/>
      <c r="AB1056" s="2917"/>
      <c r="AC1056" s="2916"/>
      <c r="AD1056" s="2916"/>
    </row>
    <row r="1057" spans="1:30" s="522" customFormat="1" ht="21.75" hidden="1" customHeight="1">
      <c r="A1057" s="2914"/>
      <c r="B1057" s="2915"/>
      <c r="C1057" s="2954"/>
      <c r="D1057" s="2948"/>
      <c r="E1057" s="2948"/>
      <c r="F1057" s="3015"/>
      <c r="G1057" s="3015"/>
      <c r="H1057" s="3072"/>
      <c r="I1057" s="3009"/>
      <c r="J1057" s="3071"/>
      <c r="K1057" s="3065"/>
      <c r="L1057" s="3065"/>
      <c r="M1057" s="3065"/>
      <c r="N1057" s="2952"/>
      <c r="O1057" s="3066"/>
      <c r="P1057" s="3066"/>
      <c r="Q1057" s="3067"/>
      <c r="R1057" s="3013"/>
      <c r="S1057" s="3068"/>
      <c r="T1057" s="3014"/>
      <c r="U1057" s="2951"/>
      <c r="V1057" s="3069"/>
      <c r="W1057" s="3014"/>
      <c r="X1057" s="3070"/>
      <c r="Y1057" s="2950"/>
      <c r="Z1057" s="3063"/>
      <c r="AA1057" s="2916"/>
      <c r="AB1057" s="2917"/>
      <c r="AC1057" s="2916"/>
      <c r="AD1057" s="2916"/>
    </row>
    <row r="1058" spans="1:30" s="522" customFormat="1" ht="21.75" hidden="1" customHeight="1">
      <c r="A1058" s="2914"/>
      <c r="B1058" s="2915"/>
      <c r="C1058" s="2954"/>
      <c r="D1058" s="2948"/>
      <c r="E1058" s="2948"/>
      <c r="F1058" s="3015"/>
      <c r="G1058" s="3015"/>
      <c r="H1058" s="3072"/>
      <c r="I1058" s="3009"/>
      <c r="J1058" s="3071"/>
      <c r="K1058" s="3065"/>
      <c r="L1058" s="3065"/>
      <c r="M1058" s="3065"/>
      <c r="N1058" s="2952"/>
      <c r="O1058" s="3066"/>
      <c r="P1058" s="3066"/>
      <c r="Q1058" s="3067"/>
      <c r="R1058" s="3013"/>
      <c r="S1058" s="3068"/>
      <c r="T1058" s="3014"/>
      <c r="U1058" s="2951"/>
      <c r="V1058" s="3069"/>
      <c r="W1058" s="3014"/>
      <c r="X1058" s="3070"/>
      <c r="Y1058" s="2950"/>
      <c r="Z1058" s="3063"/>
      <c r="AA1058" s="2916"/>
      <c r="AB1058" s="2917"/>
      <c r="AC1058" s="2916"/>
      <c r="AD1058" s="2916"/>
    </row>
    <row r="1059" spans="1:30" s="522" customFormat="1" ht="21.75" hidden="1" customHeight="1">
      <c r="A1059" s="2914"/>
      <c r="B1059" s="2915"/>
      <c r="C1059" s="2954"/>
      <c r="D1059" s="2953"/>
      <c r="E1059" s="2948" t="s">
        <v>199</v>
      </c>
      <c r="F1059" s="3015">
        <f t="shared" ref="F1059:F1060" si="392">Y1059</f>
        <v>0</v>
      </c>
      <c r="G1059" s="3015"/>
      <c r="H1059" s="3064"/>
      <c r="I1059" s="3009"/>
      <c r="J1059" s="2955"/>
      <c r="K1059" s="3065"/>
      <c r="L1059" s="3065"/>
      <c r="M1059" s="3065"/>
      <c r="N1059" s="2952"/>
      <c r="O1059" s="3066"/>
      <c r="P1059" s="3066"/>
      <c r="Q1059" s="3067"/>
      <c r="R1059" s="3013"/>
      <c r="S1059" s="3068"/>
      <c r="T1059" s="3014"/>
      <c r="U1059" s="2951"/>
      <c r="V1059" s="3069"/>
      <c r="W1059" s="3014"/>
      <c r="X1059" s="3070"/>
      <c r="Y1059" s="2950"/>
      <c r="Z1059" s="3063"/>
      <c r="AA1059" s="2916"/>
      <c r="AB1059" s="2917"/>
      <c r="AC1059" s="2916"/>
      <c r="AD1059" s="2916"/>
    </row>
    <row r="1060" spans="1:30" s="522" customFormat="1" ht="21.75" hidden="1" customHeight="1">
      <c r="A1060" s="2914"/>
      <c r="B1060" s="2915"/>
      <c r="C1060" s="2954"/>
      <c r="D1060" s="2953"/>
      <c r="E1060" s="2949" t="s">
        <v>602</v>
      </c>
      <c r="F1060" s="3015">
        <f t="shared" si="392"/>
        <v>0</v>
      </c>
      <c r="G1060" s="3015"/>
      <c r="H1060" s="3064"/>
      <c r="I1060" s="3009"/>
      <c r="J1060" s="2955"/>
      <c r="K1060" s="3065"/>
      <c r="L1060" s="3065"/>
      <c r="M1060" s="3065"/>
      <c r="N1060" s="2952"/>
      <c r="O1060" s="3066"/>
      <c r="P1060" s="2951"/>
      <c r="Q1060" s="3067"/>
      <c r="R1060" s="3013"/>
      <c r="S1060" s="3068"/>
      <c r="T1060" s="3014"/>
      <c r="U1060" s="2951"/>
      <c r="V1060" s="3069"/>
      <c r="W1060" s="3014"/>
      <c r="X1060" s="3070"/>
      <c r="Y1060" s="2950"/>
      <c r="Z1060" s="3063"/>
      <c r="AA1060" s="2916"/>
      <c r="AB1060" s="2917"/>
      <c r="AC1060" s="2916"/>
      <c r="AD1060" s="2916"/>
    </row>
    <row r="1061" spans="1:30" s="522" customFormat="1" ht="21.75" hidden="1" customHeight="1">
      <c r="A1061" s="2914"/>
      <c r="B1061" s="2915"/>
      <c r="C1061" s="2954"/>
      <c r="D1061" s="2953"/>
      <c r="E1061" s="2948"/>
      <c r="F1061" s="3015"/>
      <c r="G1061" s="3015"/>
      <c r="H1061" s="3064"/>
      <c r="I1061" s="3009"/>
      <c r="J1061" s="3071"/>
      <c r="K1061" s="3065"/>
      <c r="L1061" s="3065"/>
      <c r="M1061" s="3065"/>
      <c r="N1061" s="2952"/>
      <c r="O1061" s="3066"/>
      <c r="P1061" s="2951"/>
      <c r="Q1061" s="3067"/>
      <c r="R1061" s="3013"/>
      <c r="S1061" s="3068"/>
      <c r="T1061" s="3014"/>
      <c r="U1061" s="2951"/>
      <c r="V1061" s="3069"/>
      <c r="W1061" s="3014"/>
      <c r="X1061" s="3070"/>
      <c r="Y1061" s="2950"/>
      <c r="Z1061" s="3063"/>
      <c r="AA1061" s="2916"/>
      <c r="AB1061" s="2917"/>
      <c r="AC1061" s="2916"/>
      <c r="AD1061" s="2916"/>
    </row>
    <row r="1062" spans="1:30" s="522" customFormat="1" ht="21.75" hidden="1" customHeight="1">
      <c r="A1062" s="2914"/>
      <c r="B1062" s="2915"/>
      <c r="C1062" s="2954"/>
      <c r="D1062" s="2953"/>
      <c r="E1062" s="2948"/>
      <c r="F1062" s="3015"/>
      <c r="G1062" s="3015"/>
      <c r="H1062" s="3064"/>
      <c r="I1062" s="3009"/>
      <c r="J1062" s="3071"/>
      <c r="K1062" s="3065"/>
      <c r="L1062" s="3065"/>
      <c r="M1062" s="3065"/>
      <c r="N1062" s="2952"/>
      <c r="O1062" s="3066"/>
      <c r="P1062" s="2951"/>
      <c r="Q1062" s="3067"/>
      <c r="R1062" s="3013"/>
      <c r="S1062" s="3068"/>
      <c r="T1062" s="3014"/>
      <c r="U1062" s="2951"/>
      <c r="V1062" s="3069"/>
      <c r="W1062" s="3014"/>
      <c r="X1062" s="3070"/>
      <c r="Y1062" s="2950"/>
      <c r="Z1062" s="3063"/>
      <c r="AA1062" s="2916"/>
      <c r="AB1062" s="2917"/>
      <c r="AC1062" s="2916"/>
      <c r="AD1062" s="2916"/>
    </row>
    <row r="1063" spans="1:30" s="522" customFormat="1" ht="21.75" hidden="1" customHeight="1">
      <c r="A1063" s="2914"/>
      <c r="B1063" s="2915"/>
      <c r="C1063" s="2954"/>
      <c r="D1063" s="2953"/>
      <c r="E1063" s="2948" t="s">
        <v>224</v>
      </c>
      <c r="F1063" s="3015">
        <f>Y1063</f>
        <v>0</v>
      </c>
      <c r="G1063" s="3015"/>
      <c r="H1063" s="3064"/>
      <c r="I1063" s="3009"/>
      <c r="J1063" s="2955"/>
      <c r="K1063" s="3065"/>
      <c r="L1063" s="3065"/>
      <c r="M1063" s="3065"/>
      <c r="N1063" s="2952"/>
      <c r="O1063" s="2951"/>
      <c r="P1063" s="2951"/>
      <c r="Q1063" s="3067"/>
      <c r="R1063" s="3013"/>
      <c r="S1063" s="3068"/>
      <c r="T1063" s="3014"/>
      <c r="U1063" s="2951"/>
      <c r="V1063" s="3069"/>
      <c r="W1063" s="3014"/>
      <c r="X1063" s="3070"/>
      <c r="Y1063" s="2950"/>
      <c r="Z1063" s="3063"/>
      <c r="AA1063" s="2916"/>
      <c r="AB1063" s="2917"/>
      <c r="AC1063" s="2916"/>
      <c r="AD1063" s="2916"/>
    </row>
  </sheetData>
  <mergeCells count="113">
    <mergeCell ref="C56:E56"/>
    <mergeCell ref="C989:E989"/>
    <mergeCell ref="D797:E797"/>
    <mergeCell ref="D811:E811"/>
    <mergeCell ref="D813:E813"/>
    <mergeCell ref="D815:E815"/>
    <mergeCell ref="D817:E817"/>
    <mergeCell ref="C765:E765"/>
    <mergeCell ref="D766:E766"/>
    <mergeCell ref="C782:E782"/>
    <mergeCell ref="D783:E783"/>
    <mergeCell ref="C796:E796"/>
    <mergeCell ref="D892:E892"/>
    <mergeCell ref="D884:E884"/>
    <mergeCell ref="C534:E534"/>
    <mergeCell ref="D535:E535"/>
    <mergeCell ref="C538:E538"/>
    <mergeCell ref="D539:E539"/>
    <mergeCell ref="D57:E57"/>
    <mergeCell ref="D62:E62"/>
    <mergeCell ref="D96:E96"/>
    <mergeCell ref="C107:E107"/>
    <mergeCell ref="D108:E108"/>
    <mergeCell ref="C122:E122"/>
    <mergeCell ref="A1:Y1"/>
    <mergeCell ref="A3:E3"/>
    <mergeCell ref="F3:F4"/>
    <mergeCell ref="G3:G4"/>
    <mergeCell ref="H3:H4"/>
    <mergeCell ref="J3:Y4"/>
    <mergeCell ref="D52:E52"/>
    <mergeCell ref="C8:E8"/>
    <mergeCell ref="D9:E9"/>
    <mergeCell ref="C17:E17"/>
    <mergeCell ref="D18:E18"/>
    <mergeCell ref="C19:C31"/>
    <mergeCell ref="C34:E34"/>
    <mergeCell ref="D35:E35"/>
    <mergeCell ref="C36:C43"/>
    <mergeCell ref="C45:E45"/>
    <mergeCell ref="D46:E46"/>
    <mergeCell ref="C51:E51"/>
    <mergeCell ref="D123:E123"/>
    <mergeCell ref="C147:E147"/>
    <mergeCell ref="D148:E148"/>
    <mergeCell ref="D169:E169"/>
    <mergeCell ref="D334:E334"/>
    <mergeCell ref="D194:E194"/>
    <mergeCell ref="C198:E198"/>
    <mergeCell ref="D199:E199"/>
    <mergeCell ref="B242:E242"/>
    <mergeCell ref="C243:E243"/>
    <mergeCell ref="D244:E244"/>
    <mergeCell ref="D265:E265"/>
    <mergeCell ref="D279:E279"/>
    <mergeCell ref="D293:E293"/>
    <mergeCell ref="D310:E310"/>
    <mergeCell ref="D176:E176"/>
    <mergeCell ref="D262:E262"/>
    <mergeCell ref="B599:E599"/>
    <mergeCell ref="D352:E352"/>
    <mergeCell ref="D362:E362"/>
    <mergeCell ref="C522:E522"/>
    <mergeCell ref="D523:E523"/>
    <mergeCell ref="J373:N373"/>
    <mergeCell ref="D379:E379"/>
    <mergeCell ref="D422:E422"/>
    <mergeCell ref="C484:E484"/>
    <mergeCell ref="D485:E485"/>
    <mergeCell ref="D495:E495"/>
    <mergeCell ref="B557:E557"/>
    <mergeCell ref="C558:E558"/>
    <mergeCell ref="D559:E559"/>
    <mergeCell ref="C510:E510"/>
    <mergeCell ref="D511:E511"/>
    <mergeCell ref="D850:E850"/>
    <mergeCell ref="D871:E871"/>
    <mergeCell ref="D733:E733"/>
    <mergeCell ref="D739:E739"/>
    <mergeCell ref="C756:E756"/>
    <mergeCell ref="D757:E757"/>
    <mergeCell ref="D608:E608"/>
    <mergeCell ref="C625:E625"/>
    <mergeCell ref="C634:E634"/>
    <mergeCell ref="C675:E675"/>
    <mergeCell ref="D676:E676"/>
    <mergeCell ref="C706:E706"/>
    <mergeCell ref="C638:E638"/>
    <mergeCell ref="D707:E707"/>
    <mergeCell ref="C600:E600"/>
    <mergeCell ref="C607:E607"/>
    <mergeCell ref="C728:E728"/>
    <mergeCell ref="D729:E729"/>
    <mergeCell ref="D1047:E1047"/>
    <mergeCell ref="C1005:E1005"/>
    <mergeCell ref="D1006:E1006"/>
    <mergeCell ref="C1013:E1013"/>
    <mergeCell ref="D1014:E1014"/>
    <mergeCell ref="D1022:E1022"/>
    <mergeCell ref="C1046:E1046"/>
    <mergeCell ref="D914:E914"/>
    <mergeCell ref="C933:E933"/>
    <mergeCell ref="D934:E934"/>
    <mergeCell ref="D957:E957"/>
    <mergeCell ref="C986:E986"/>
    <mergeCell ref="D987:E987"/>
    <mergeCell ref="D974:E974"/>
    <mergeCell ref="D990:E990"/>
    <mergeCell ref="D999:E999"/>
    <mergeCell ref="D822:E822"/>
    <mergeCell ref="C830:E830"/>
    <mergeCell ref="D831:E831"/>
    <mergeCell ref="C849:E849"/>
  </mergeCells>
  <phoneticPr fontId="19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49" firstPageNumber="12" fitToHeight="100" orientation="landscape" useFirstPageNumber="1" r:id="rId1"/>
  <headerFooter scaleWithDoc="0" alignWithMargins="0"/>
  <rowBreaks count="2" manualBreakCount="2">
    <brk id="943" max="24" man="1"/>
    <brk id="1002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665"/>
  <sheetViews>
    <sheetView view="pageBreakPreview" zoomScale="80" zoomScaleNormal="75" zoomScaleSheetLayoutView="80" workbookViewId="0">
      <pane ySplit="4" topLeftCell="A5" activePane="bottomLeft" state="frozen"/>
      <selection activeCell="Q61" sqref="Q61"/>
      <selection pane="bottomLeft" activeCell="AE22" sqref="AE22"/>
    </sheetView>
  </sheetViews>
  <sheetFormatPr defaultRowHeight="18.75"/>
  <cols>
    <col min="1" max="1" width="17" style="603" hidden="1" customWidth="1"/>
    <col min="2" max="5" width="6.77734375" style="156" customWidth="1"/>
    <col min="6" max="6" width="25.77734375" style="156" customWidth="1"/>
    <col min="7" max="7" width="14" style="601" customWidth="1"/>
    <col min="8" max="8" width="14" style="157" customWidth="1"/>
    <col min="9" max="9" width="14" style="173" customWidth="1"/>
    <col min="10" max="10" width="1.5546875" style="158" customWidth="1"/>
    <col min="11" max="11" width="2.88671875" style="159" hidden="1" customWidth="1"/>
    <col min="12" max="12" width="1.88671875" style="156" hidden="1" customWidth="1"/>
    <col min="13" max="13" width="8.77734375" style="156" hidden="1" customWidth="1"/>
    <col min="14" max="14" width="10.33203125" style="156" hidden="1" customWidth="1"/>
    <col min="15" max="15" width="7.5546875" style="156" hidden="1" customWidth="1"/>
    <col min="16" max="16" width="11.109375" style="160" hidden="1" customWidth="1"/>
    <col min="17" max="17" width="10.109375" style="160" hidden="1" customWidth="1"/>
    <col min="18" max="18" width="7.77734375" style="156" hidden="1" customWidth="1"/>
    <col min="19" max="19" width="6.77734375" style="156" hidden="1" customWidth="1"/>
    <col min="20" max="20" width="14.77734375" style="156" hidden="1" customWidth="1"/>
    <col min="21" max="22" width="6.88671875" style="156" hidden="1" customWidth="1"/>
    <col min="23" max="23" width="8.33203125" style="156" hidden="1" customWidth="1"/>
    <col min="24" max="24" width="6.77734375" style="156" hidden="1" customWidth="1"/>
    <col min="25" max="25" width="3" style="203" hidden="1" customWidth="1"/>
    <col min="26" max="26" width="14.77734375" style="593" hidden="1" customWidth="1"/>
    <col min="27" max="27" width="17.44140625" style="153" customWidth="1"/>
    <col min="28" max="28" width="14.77734375" style="153" customWidth="1"/>
    <col min="29" max="29" width="23.77734375" style="176" bestFit="1" customWidth="1"/>
    <col min="30" max="31" width="16.109375" style="162" customWidth="1"/>
    <col min="32" max="16384" width="8.88671875" style="162"/>
  </cols>
  <sheetData>
    <row r="1" spans="1:29" ht="27" customHeight="1">
      <c r="B1" s="3562" t="s">
        <v>5062</v>
      </c>
      <c r="C1" s="3562"/>
      <c r="D1" s="3562"/>
      <c r="E1" s="3562"/>
      <c r="F1" s="3562"/>
      <c r="G1" s="3562"/>
      <c r="H1" s="3562"/>
      <c r="I1" s="3562"/>
      <c r="J1" s="3562"/>
      <c r="K1" s="3562"/>
      <c r="L1" s="3562"/>
      <c r="M1" s="3562"/>
      <c r="N1" s="3562"/>
      <c r="O1" s="3562"/>
      <c r="P1" s="3562"/>
      <c r="Q1" s="3562"/>
      <c r="R1" s="3562"/>
      <c r="S1" s="3562"/>
      <c r="T1" s="3562"/>
      <c r="U1" s="3562"/>
      <c r="V1" s="3562"/>
      <c r="W1" s="3562"/>
      <c r="X1" s="3562"/>
      <c r="Y1" s="3562"/>
      <c r="Z1" s="3562"/>
      <c r="AA1" s="163"/>
      <c r="AB1" s="163"/>
    </row>
    <row r="2" spans="1:29" s="113" customFormat="1" ht="21.95" customHeight="1" thickBot="1">
      <c r="A2" s="202"/>
      <c r="B2" s="84"/>
      <c r="C2" s="84"/>
      <c r="D2" s="84"/>
      <c r="E2" s="84" t="s">
        <v>44</v>
      </c>
      <c r="F2" s="591"/>
      <c r="G2" s="611"/>
      <c r="H2" s="591"/>
      <c r="I2" s="92" t="s">
        <v>171</v>
      </c>
      <c r="J2" s="2558"/>
      <c r="K2" s="84" t="s">
        <v>44</v>
      </c>
      <c r="L2" s="307" t="s">
        <v>44</v>
      </c>
      <c r="M2" s="84"/>
      <c r="N2" s="20"/>
      <c r="O2" s="305"/>
      <c r="P2" s="155"/>
      <c r="Q2" s="155"/>
      <c r="Y2" s="202"/>
      <c r="Z2" s="92" t="s">
        <v>149</v>
      </c>
      <c r="AA2" s="305"/>
      <c r="AB2" s="305"/>
      <c r="AC2" s="305"/>
    </row>
    <row r="3" spans="1:29" s="165" customFormat="1" ht="20.100000000000001" customHeight="1">
      <c r="A3" s="602" t="s">
        <v>437</v>
      </c>
      <c r="B3" s="3563" t="s">
        <v>188</v>
      </c>
      <c r="C3" s="3564"/>
      <c r="D3" s="3564"/>
      <c r="E3" s="3564"/>
      <c r="F3" s="3565"/>
      <c r="G3" s="3254" t="s">
        <v>317</v>
      </c>
      <c r="H3" s="3567" t="s">
        <v>423</v>
      </c>
      <c r="I3" s="3569" t="s">
        <v>11</v>
      </c>
      <c r="J3" s="2558"/>
      <c r="K3" s="3571" t="s">
        <v>190</v>
      </c>
      <c r="L3" s="3571"/>
      <c r="M3" s="3571"/>
      <c r="N3" s="3571"/>
      <c r="O3" s="3571"/>
      <c r="P3" s="3571"/>
      <c r="Q3" s="3571"/>
      <c r="R3" s="3571"/>
      <c r="S3" s="3571"/>
      <c r="T3" s="3571"/>
      <c r="U3" s="3571"/>
      <c r="V3" s="3571"/>
      <c r="W3" s="3571"/>
      <c r="X3" s="3571"/>
      <c r="Y3" s="3571"/>
      <c r="Z3" s="3572"/>
      <c r="AA3" s="164"/>
      <c r="AB3" s="305"/>
      <c r="AC3" s="312"/>
    </row>
    <row r="4" spans="1:29" s="2557" customFormat="1" ht="20.100000000000001" customHeight="1" thickBot="1">
      <c r="A4" s="604"/>
      <c r="B4" s="2546" t="s">
        <v>12</v>
      </c>
      <c r="C4" s="116" t="s">
        <v>204</v>
      </c>
      <c r="D4" s="2552" t="s">
        <v>191</v>
      </c>
      <c r="E4" s="2552" t="s">
        <v>450</v>
      </c>
      <c r="F4" s="2552"/>
      <c r="G4" s="3566"/>
      <c r="H4" s="3568"/>
      <c r="I4" s="3570"/>
      <c r="J4" s="2558"/>
      <c r="K4" s="3573"/>
      <c r="L4" s="3573"/>
      <c r="M4" s="3573"/>
      <c r="N4" s="3573"/>
      <c r="O4" s="3573"/>
      <c r="P4" s="3573"/>
      <c r="Q4" s="3573"/>
      <c r="R4" s="3573"/>
      <c r="S4" s="3573"/>
      <c r="T4" s="3573"/>
      <c r="U4" s="3573"/>
      <c r="V4" s="3573"/>
      <c r="W4" s="3573"/>
      <c r="X4" s="3573"/>
      <c r="Y4" s="3573"/>
      <c r="Z4" s="3574"/>
      <c r="AA4" s="120"/>
      <c r="AB4" s="305"/>
      <c r="AC4" s="312"/>
    </row>
    <row r="5" spans="1:29" s="2557" customFormat="1" ht="20.100000000000001" customHeight="1" thickBot="1">
      <c r="A5" s="604"/>
      <c r="B5" s="167" t="s">
        <v>4308</v>
      </c>
      <c r="C5" s="168"/>
      <c r="D5" s="168"/>
      <c r="E5" s="168"/>
      <c r="F5" s="168"/>
      <c r="G5" s="615">
        <f>+G6+G34+G38</f>
        <v>4553300</v>
      </c>
      <c r="H5" s="615">
        <f>+H6+H34+H38</f>
        <v>3553300</v>
      </c>
      <c r="I5" s="616">
        <f>+I6+I34+I38</f>
        <v>1000000</v>
      </c>
      <c r="J5" s="2558"/>
      <c r="K5" s="2656"/>
      <c r="L5" s="2656"/>
      <c r="M5" s="2656"/>
      <c r="N5" s="2656"/>
      <c r="O5" s="2656"/>
      <c r="P5" s="2656"/>
      <c r="Q5" s="2656"/>
      <c r="R5" s="2656"/>
      <c r="S5" s="2656"/>
      <c r="T5" s="2656"/>
      <c r="U5" s="2656"/>
      <c r="V5" s="2656"/>
      <c r="W5" s="2656"/>
      <c r="X5" s="2656"/>
      <c r="Y5" s="2656"/>
      <c r="Z5" s="2657"/>
      <c r="AA5" s="120"/>
      <c r="AB5" s="305"/>
      <c r="AC5" s="312"/>
    </row>
    <row r="6" spans="1:29" s="2557" customFormat="1" ht="20.100000000000001" customHeight="1" thickBot="1">
      <c r="A6" s="604"/>
      <c r="B6" s="167" t="s">
        <v>3945</v>
      </c>
      <c r="C6" s="168"/>
      <c r="D6" s="168"/>
      <c r="E6" s="168"/>
      <c r="F6" s="168"/>
      <c r="G6" s="596">
        <f>G7+G27</f>
        <v>1630000</v>
      </c>
      <c r="H6" s="596">
        <f>H7+H27</f>
        <v>1530000</v>
      </c>
      <c r="I6" s="169">
        <f>G6-H6</f>
        <v>100000</v>
      </c>
      <c r="J6" s="2558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582"/>
      <c r="AA6" s="127"/>
      <c r="AB6" s="305"/>
      <c r="AC6" s="301">
        <f>G6*1000000</f>
        <v>1630000000000</v>
      </c>
    </row>
    <row r="7" spans="1:29" s="1659" customFormat="1" ht="20.100000000000001" customHeight="1" thickBot="1">
      <c r="A7" s="1657"/>
      <c r="B7" s="1300" t="s">
        <v>44</v>
      </c>
      <c r="C7" s="707" t="s">
        <v>4309</v>
      </c>
      <c r="D7" s="862"/>
      <c r="E7" s="709"/>
      <c r="F7" s="1223"/>
      <c r="G7" s="597">
        <f>+G8+G11+G15+G19+G25</f>
        <v>1530000</v>
      </c>
      <c r="H7" s="597">
        <f>+H8+H11+H15+H19+H25</f>
        <v>1530000</v>
      </c>
      <c r="I7" s="820">
        <f>G7-H7</f>
        <v>0</v>
      </c>
      <c r="J7" s="2624"/>
      <c r="K7" s="1302"/>
      <c r="L7" s="1302"/>
      <c r="M7" s="1658"/>
      <c r="N7" s="1658"/>
      <c r="O7" s="1658"/>
      <c r="P7" s="1302"/>
      <c r="Q7" s="1302"/>
      <c r="R7" s="1302"/>
      <c r="S7" s="1302"/>
      <c r="T7" s="1302"/>
      <c r="U7" s="1302"/>
      <c r="V7" s="1302"/>
      <c r="W7" s="1302"/>
      <c r="X7" s="1302"/>
      <c r="Y7" s="1299"/>
      <c r="Z7" s="1492"/>
      <c r="AA7" s="428"/>
      <c r="AB7" s="401"/>
      <c r="AC7" s="401">
        <f t="shared" ref="AC7:AC26" si="0">G7*1000000</f>
        <v>1530000000000</v>
      </c>
    </row>
    <row r="8" spans="1:29" s="2558" customFormat="1" ht="20.100000000000001" customHeight="1">
      <c r="A8" s="2553" t="s">
        <v>430</v>
      </c>
      <c r="B8" s="2546"/>
      <c r="C8" s="2552"/>
      <c r="D8" s="3555" t="s">
        <v>4310</v>
      </c>
      <c r="E8" s="3556"/>
      <c r="F8" s="3557"/>
      <c r="G8" s="597">
        <f>+G9+G10</f>
        <v>383000</v>
      </c>
      <c r="H8" s="597">
        <f>SUM(H9:H10)</f>
        <v>383000</v>
      </c>
      <c r="I8" s="87">
        <f>G8-H8</f>
        <v>0</v>
      </c>
      <c r="K8" s="2654"/>
      <c r="L8" s="2654"/>
      <c r="M8" s="2654"/>
      <c r="N8" s="2654"/>
      <c r="O8" s="2654"/>
      <c r="P8" s="2654"/>
      <c r="Q8" s="2654"/>
      <c r="R8" s="2654"/>
      <c r="S8" s="2654"/>
      <c r="T8" s="2654"/>
      <c r="U8" s="2654"/>
      <c r="V8" s="2654"/>
      <c r="W8" s="2654"/>
      <c r="X8" s="2654"/>
      <c r="Y8" s="175"/>
      <c r="Z8" s="585"/>
      <c r="AA8" s="266"/>
      <c r="AB8" s="301"/>
      <c r="AC8" s="301">
        <f t="shared" si="0"/>
        <v>383000000000</v>
      </c>
    </row>
    <row r="9" spans="1:29" s="2558" customFormat="1" ht="20.100000000000001" customHeight="1">
      <c r="A9" s="2553"/>
      <c r="B9" s="2546"/>
      <c r="C9" s="2552"/>
      <c r="D9" s="2553"/>
      <c r="E9" s="3558" t="s">
        <v>59</v>
      </c>
      <c r="F9" s="3559"/>
      <c r="G9" s="11">
        <v>278200</v>
      </c>
      <c r="H9" s="11">
        <v>278200</v>
      </c>
      <c r="I9" s="302"/>
      <c r="J9" s="92">
        <f>H9-I9</f>
        <v>278200</v>
      </c>
      <c r="K9" s="2612"/>
      <c r="L9" s="2612"/>
      <c r="M9" s="2612"/>
      <c r="N9" s="2612"/>
      <c r="O9" s="2612"/>
      <c r="P9" s="2612"/>
      <c r="Q9" s="2612"/>
      <c r="R9" s="2612"/>
      <c r="S9" s="117"/>
      <c r="T9" s="2612"/>
      <c r="U9" s="2612"/>
      <c r="V9" s="2612"/>
      <c r="W9" s="2612"/>
      <c r="X9" s="2612"/>
      <c r="Y9" s="327"/>
      <c r="Z9" s="265"/>
      <c r="AA9" s="266"/>
      <c r="AB9" s="301"/>
      <c r="AC9" s="301">
        <f t="shared" si="0"/>
        <v>278200000000</v>
      </c>
    </row>
    <row r="10" spans="1:29" s="2558" customFormat="1" ht="20.100000000000001" customHeight="1">
      <c r="A10" s="2553"/>
      <c r="B10" s="2546"/>
      <c r="C10" s="2552"/>
      <c r="D10" s="2553"/>
      <c r="E10" s="3558" t="s">
        <v>255</v>
      </c>
      <c r="F10" s="3559"/>
      <c r="G10" s="11">
        <v>104800</v>
      </c>
      <c r="H10" s="11">
        <v>104800</v>
      </c>
      <c r="I10" s="302"/>
      <c r="J10" s="92">
        <f>H10-I10</f>
        <v>104800</v>
      </c>
      <c r="K10" s="2612"/>
      <c r="L10" s="2612"/>
      <c r="M10" s="2612"/>
      <c r="N10" s="2612"/>
      <c r="O10" s="2612"/>
      <c r="P10" s="2612"/>
      <c r="Q10" s="2612"/>
      <c r="R10" s="2612"/>
      <c r="S10" s="117"/>
      <c r="T10" s="2612"/>
      <c r="U10" s="2612"/>
      <c r="V10" s="2612"/>
      <c r="W10" s="2612"/>
      <c r="X10" s="2612"/>
      <c r="Y10" s="327"/>
      <c r="Z10" s="265"/>
      <c r="AA10" s="266"/>
      <c r="AB10" s="301"/>
      <c r="AC10" s="301">
        <f t="shared" si="0"/>
        <v>104800000000</v>
      </c>
    </row>
    <row r="11" spans="1:29" s="2558" customFormat="1" ht="20.100000000000001" customHeight="1">
      <c r="A11" s="2553" t="s">
        <v>430</v>
      </c>
      <c r="B11" s="2546"/>
      <c r="C11" s="2552"/>
      <c r="D11" s="3560" t="s">
        <v>438</v>
      </c>
      <c r="E11" s="3560"/>
      <c r="F11" s="3560"/>
      <c r="G11" s="597">
        <f>+G12+G13+G14</f>
        <v>631500</v>
      </c>
      <c r="H11" s="597">
        <f>+H12+H13+H14</f>
        <v>631500</v>
      </c>
      <c r="I11" s="87">
        <f t="shared" ref="I11:I15" si="1">G11-H11</f>
        <v>0</v>
      </c>
      <c r="K11" s="2654"/>
      <c r="L11" s="2654"/>
      <c r="M11" s="2654"/>
      <c r="N11" s="2654"/>
      <c r="O11" s="2654"/>
      <c r="P11" s="2654"/>
      <c r="Q11" s="2654"/>
      <c r="R11" s="2654"/>
      <c r="S11" s="2654"/>
      <c r="T11" s="2654"/>
      <c r="U11" s="2654"/>
      <c r="V11" s="2654"/>
      <c r="W11" s="2654"/>
      <c r="X11" s="2654"/>
      <c r="Y11" s="175"/>
      <c r="Z11" s="124"/>
      <c r="AA11" s="266"/>
      <c r="AB11" s="301"/>
      <c r="AC11" s="301">
        <f t="shared" si="0"/>
        <v>631500000000</v>
      </c>
    </row>
    <row r="12" spans="1:29" s="2558" customFormat="1" ht="20.100000000000001" customHeight="1">
      <c r="A12" s="2553"/>
      <c r="B12" s="2546"/>
      <c r="C12" s="2552"/>
      <c r="E12" s="2611" t="s">
        <v>4311</v>
      </c>
      <c r="F12" s="2613"/>
      <c r="G12" s="86">
        <v>250000</v>
      </c>
      <c r="H12" s="86">
        <v>250000</v>
      </c>
      <c r="I12" s="302"/>
      <c r="K12" s="2654"/>
      <c r="L12" s="2654"/>
      <c r="M12" s="2654"/>
      <c r="N12" s="2654"/>
      <c r="O12" s="2654"/>
      <c r="P12" s="2654"/>
      <c r="Q12" s="2654"/>
      <c r="R12" s="2654"/>
      <c r="S12" s="2654"/>
      <c r="T12" s="2654"/>
      <c r="U12" s="2654"/>
      <c r="V12" s="2654"/>
      <c r="W12" s="2654"/>
      <c r="X12" s="2654"/>
      <c r="Y12" s="175"/>
      <c r="Z12" s="332"/>
      <c r="AA12" s="270"/>
      <c r="AB12" s="301"/>
      <c r="AC12" s="301">
        <f t="shared" si="0"/>
        <v>250000000000</v>
      </c>
    </row>
    <row r="13" spans="1:29" s="2558" customFormat="1" ht="20.100000000000001" customHeight="1">
      <c r="A13" s="2553"/>
      <c r="B13" s="2546"/>
      <c r="C13" s="2552"/>
      <c r="E13" s="2611" t="s">
        <v>469</v>
      </c>
      <c r="F13" s="2613"/>
      <c r="G13" s="597">
        <v>329000</v>
      </c>
      <c r="H13" s="597">
        <v>329000</v>
      </c>
      <c r="I13" s="302"/>
      <c r="K13" s="2654"/>
      <c r="L13" s="2654"/>
      <c r="M13" s="2654"/>
      <c r="N13" s="2654"/>
      <c r="O13" s="2654"/>
      <c r="P13" s="2654"/>
      <c r="Q13" s="2654"/>
      <c r="R13" s="2654"/>
      <c r="S13" s="2654"/>
      <c r="T13" s="2654"/>
      <c r="U13" s="2654"/>
      <c r="V13" s="2654"/>
      <c r="W13" s="2654"/>
      <c r="X13" s="2654"/>
      <c r="Y13" s="175"/>
      <c r="Z13" s="332"/>
      <c r="AA13" s="270"/>
      <c r="AB13" s="301"/>
      <c r="AC13" s="301">
        <f t="shared" si="0"/>
        <v>329000000000</v>
      </c>
    </row>
    <row r="14" spans="1:29" s="2558" customFormat="1" ht="20.100000000000001" customHeight="1">
      <c r="A14" s="2553"/>
      <c r="B14" s="2546"/>
      <c r="C14" s="2552"/>
      <c r="E14" s="2611" t="s">
        <v>4312</v>
      </c>
      <c r="F14" s="2613"/>
      <c r="G14" s="597">
        <v>52500</v>
      </c>
      <c r="H14" s="597">
        <v>52500</v>
      </c>
      <c r="I14" s="302"/>
      <c r="K14" s="2654"/>
      <c r="L14" s="2654"/>
      <c r="M14" s="2654"/>
      <c r="N14" s="2654"/>
      <c r="O14" s="2654"/>
      <c r="P14" s="2654"/>
      <c r="Q14" s="2654"/>
      <c r="R14" s="2654"/>
      <c r="S14" s="2654"/>
      <c r="T14" s="2654"/>
      <c r="U14" s="2654"/>
      <c r="V14" s="2654"/>
      <c r="W14" s="2654"/>
      <c r="X14" s="2654"/>
      <c r="Y14" s="175"/>
      <c r="Z14" s="332"/>
      <c r="AA14" s="270"/>
      <c r="AB14" s="301"/>
      <c r="AC14" s="301">
        <f t="shared" si="0"/>
        <v>52500000000</v>
      </c>
    </row>
    <row r="15" spans="1:29" s="2558" customFormat="1" ht="20.100000000000001" customHeight="1">
      <c r="A15" s="2553" t="s">
        <v>430</v>
      </c>
      <c r="B15" s="264"/>
      <c r="C15" s="319"/>
      <c r="D15" s="3561" t="s">
        <v>4313</v>
      </c>
      <c r="E15" s="3551"/>
      <c r="F15" s="3552"/>
      <c r="G15" s="599">
        <f>+G16+G17+G18</f>
        <v>290000</v>
      </c>
      <c r="H15" s="599">
        <f>+H16+H17+H18</f>
        <v>290000</v>
      </c>
      <c r="I15" s="302">
        <f t="shared" si="1"/>
        <v>0</v>
      </c>
      <c r="K15" s="317"/>
      <c r="L15" s="317"/>
      <c r="M15" s="2612"/>
      <c r="N15" s="2612"/>
      <c r="O15" s="125"/>
      <c r="P15" s="2612"/>
      <c r="Q15" s="2612"/>
      <c r="R15" s="263"/>
      <c r="S15" s="318"/>
      <c r="T15" s="91"/>
      <c r="U15" s="317"/>
      <c r="V15" s="317"/>
      <c r="W15" s="317"/>
      <c r="X15" s="317"/>
      <c r="Y15" s="177"/>
      <c r="Z15" s="332"/>
      <c r="AA15" s="119"/>
      <c r="AB15" s="301"/>
      <c r="AC15" s="301">
        <f t="shared" si="0"/>
        <v>290000000000</v>
      </c>
    </row>
    <row r="16" spans="1:29" ht="20.100000000000001" customHeight="1">
      <c r="B16" s="171"/>
      <c r="C16" s="172"/>
      <c r="D16" s="116"/>
      <c r="E16" s="3549" t="s">
        <v>4314</v>
      </c>
      <c r="F16" s="3550"/>
      <c r="G16" s="86">
        <v>170000</v>
      </c>
      <c r="H16" s="86">
        <v>170000</v>
      </c>
      <c r="I16" s="302"/>
      <c r="J16" s="2558"/>
      <c r="K16" s="2654"/>
      <c r="L16" s="2654"/>
      <c r="M16" s="2654"/>
      <c r="N16" s="2654"/>
      <c r="O16" s="2654"/>
      <c r="P16" s="2654"/>
      <c r="Q16" s="2654"/>
      <c r="R16" s="2654"/>
      <c r="S16" s="273"/>
      <c r="T16" s="2654"/>
      <c r="U16" s="2654"/>
      <c r="V16" s="2654"/>
      <c r="W16" s="2654"/>
      <c r="X16" s="2654"/>
      <c r="Y16" s="175"/>
      <c r="Z16" s="332"/>
      <c r="AA16" s="589"/>
      <c r="AB16" s="301"/>
      <c r="AC16" s="301">
        <f t="shared" si="0"/>
        <v>170000000000</v>
      </c>
    </row>
    <row r="17" spans="1:29" ht="20.100000000000001" customHeight="1">
      <c r="B17" s="171"/>
      <c r="C17" s="172"/>
      <c r="D17" s="116"/>
      <c r="E17" s="3549" t="s">
        <v>4315</v>
      </c>
      <c r="F17" s="3550"/>
      <c r="G17" s="86">
        <v>50000</v>
      </c>
      <c r="H17" s="86">
        <v>50000</v>
      </c>
      <c r="I17" s="302"/>
      <c r="J17" s="2558"/>
      <c r="K17" s="2654"/>
      <c r="L17" s="2654"/>
      <c r="M17" s="2654"/>
      <c r="N17" s="2654"/>
      <c r="O17" s="2654"/>
      <c r="P17" s="2654"/>
      <c r="Q17" s="2654"/>
      <c r="R17" s="2654"/>
      <c r="S17" s="273"/>
      <c r="T17" s="2654"/>
      <c r="U17" s="2654"/>
      <c r="V17" s="2654"/>
      <c r="W17" s="2654"/>
      <c r="X17" s="2654"/>
      <c r="Y17" s="175"/>
      <c r="Z17" s="332"/>
      <c r="AA17" s="589"/>
      <c r="AB17" s="301"/>
      <c r="AC17" s="301">
        <f t="shared" si="0"/>
        <v>50000000000</v>
      </c>
    </row>
    <row r="18" spans="1:29" ht="20.100000000000001" customHeight="1">
      <c r="B18" s="171"/>
      <c r="C18" s="172"/>
      <c r="D18" s="116"/>
      <c r="E18" s="3549" t="s">
        <v>4316</v>
      </c>
      <c r="F18" s="3550"/>
      <c r="G18" s="86">
        <v>70000</v>
      </c>
      <c r="H18" s="86">
        <v>70000</v>
      </c>
      <c r="I18" s="302"/>
      <c r="J18" s="2558"/>
      <c r="K18" s="2654"/>
      <c r="L18" s="2654"/>
      <c r="M18" s="2654"/>
      <c r="N18" s="2654"/>
      <c r="O18" s="2654"/>
      <c r="P18" s="2654"/>
      <c r="Q18" s="2654"/>
      <c r="R18" s="2654"/>
      <c r="S18" s="273"/>
      <c r="T18" s="2654"/>
      <c r="U18" s="2654"/>
      <c r="V18" s="2654"/>
      <c r="W18" s="2654"/>
      <c r="X18" s="2654"/>
      <c r="Y18" s="175"/>
      <c r="Z18" s="332"/>
      <c r="AA18" s="589"/>
      <c r="AB18" s="301"/>
      <c r="AC18" s="301">
        <f t="shared" si="0"/>
        <v>70000000000</v>
      </c>
    </row>
    <row r="19" spans="1:29" s="2558" customFormat="1" ht="21.95" customHeight="1">
      <c r="A19" s="2553" t="s">
        <v>430</v>
      </c>
      <c r="B19" s="264"/>
      <c r="C19" s="319"/>
      <c r="D19" s="3561" t="s">
        <v>4317</v>
      </c>
      <c r="E19" s="3551"/>
      <c r="F19" s="3552"/>
      <c r="G19" s="599">
        <f>SUM(G20:G24)</f>
        <v>149000</v>
      </c>
      <c r="H19" s="599">
        <f>SUM(H20:H24)</f>
        <v>149000</v>
      </c>
      <c r="I19" s="302">
        <f>G19-H19</f>
        <v>0</v>
      </c>
      <c r="K19" s="317"/>
      <c r="L19" s="317"/>
      <c r="M19" s="2612"/>
      <c r="N19" s="2612"/>
      <c r="O19" s="125"/>
      <c r="P19" s="2612"/>
      <c r="Q19" s="2612"/>
      <c r="R19" s="263"/>
      <c r="S19" s="318"/>
      <c r="T19" s="91"/>
      <c r="U19" s="317"/>
      <c r="V19" s="317"/>
      <c r="W19" s="317"/>
      <c r="X19" s="317"/>
      <c r="Y19" s="177"/>
      <c r="Z19" s="332"/>
      <c r="AA19" s="119"/>
      <c r="AB19" s="301"/>
      <c r="AC19" s="301">
        <f t="shared" si="0"/>
        <v>149000000000</v>
      </c>
    </row>
    <row r="20" spans="1:29" ht="21.95" customHeight="1">
      <c r="B20" s="171"/>
      <c r="C20" s="172"/>
      <c r="D20" s="116"/>
      <c r="E20" s="3549" t="s">
        <v>4318</v>
      </c>
      <c r="F20" s="3550"/>
      <c r="G20" s="86">
        <v>50000</v>
      </c>
      <c r="H20" s="86">
        <v>50000</v>
      </c>
      <c r="I20" s="302"/>
      <c r="J20" s="2558"/>
      <c r="K20" s="2654"/>
      <c r="L20" s="2654"/>
      <c r="M20" s="2654"/>
      <c r="N20" s="2654"/>
      <c r="O20" s="2654"/>
      <c r="P20" s="2654"/>
      <c r="Q20" s="2654"/>
      <c r="R20" s="2654"/>
      <c r="S20" s="273"/>
      <c r="T20" s="2654"/>
      <c r="U20" s="2654"/>
      <c r="V20" s="2654"/>
      <c r="W20" s="2654"/>
      <c r="X20" s="2654"/>
      <c r="Y20" s="175"/>
      <c r="Z20" s="332"/>
      <c r="AA20" s="589"/>
      <c r="AB20" s="301"/>
      <c r="AC20" s="301">
        <f t="shared" si="0"/>
        <v>50000000000</v>
      </c>
    </row>
    <row r="21" spans="1:29" ht="21.95" customHeight="1">
      <c r="B21" s="171"/>
      <c r="C21" s="172"/>
      <c r="D21" s="116"/>
      <c r="E21" s="3549" t="s">
        <v>4319</v>
      </c>
      <c r="F21" s="3550"/>
      <c r="G21" s="86">
        <v>30000</v>
      </c>
      <c r="H21" s="86">
        <v>30000</v>
      </c>
      <c r="I21" s="302"/>
      <c r="J21" s="2558"/>
      <c r="K21" s="2654"/>
      <c r="L21" s="2654"/>
      <c r="M21" s="2654"/>
      <c r="N21" s="2654"/>
      <c r="O21" s="2654"/>
      <c r="P21" s="2654"/>
      <c r="Q21" s="2654"/>
      <c r="R21" s="2654"/>
      <c r="S21" s="273"/>
      <c r="T21" s="2654"/>
      <c r="U21" s="2654"/>
      <c r="V21" s="2654"/>
      <c r="W21" s="2654"/>
      <c r="X21" s="2654"/>
      <c r="Y21" s="175"/>
      <c r="Z21" s="332"/>
      <c r="AA21" s="589"/>
      <c r="AB21" s="301"/>
      <c r="AC21" s="301">
        <f t="shared" si="0"/>
        <v>30000000000</v>
      </c>
    </row>
    <row r="22" spans="1:29" ht="21.95" customHeight="1">
      <c r="B22" s="171"/>
      <c r="C22" s="172"/>
      <c r="D22" s="116"/>
      <c r="E22" s="3549" t="s">
        <v>439</v>
      </c>
      <c r="F22" s="3550"/>
      <c r="G22" s="86">
        <v>44000</v>
      </c>
      <c r="H22" s="86">
        <v>44000</v>
      </c>
      <c r="I22" s="302"/>
      <c r="J22" s="2558"/>
      <c r="K22" s="2654"/>
      <c r="L22" s="2654"/>
      <c r="M22" s="2654"/>
      <c r="N22" s="2654"/>
      <c r="O22" s="2654"/>
      <c r="P22" s="2654"/>
      <c r="Q22" s="2654"/>
      <c r="R22" s="2654"/>
      <c r="S22" s="273"/>
      <c r="T22" s="2654"/>
      <c r="U22" s="2654"/>
      <c r="V22" s="2654"/>
      <c r="W22" s="2654"/>
      <c r="X22" s="2654"/>
      <c r="Y22" s="175"/>
      <c r="Z22" s="332"/>
      <c r="AA22" s="589"/>
      <c r="AB22" s="301"/>
      <c r="AC22" s="301">
        <f t="shared" si="0"/>
        <v>44000000000</v>
      </c>
    </row>
    <row r="23" spans="1:29" ht="21" customHeight="1">
      <c r="B23" s="171"/>
      <c r="C23" s="172"/>
      <c r="D23" s="116"/>
      <c r="E23" s="3549" t="s">
        <v>4320</v>
      </c>
      <c r="F23" s="3550"/>
      <c r="G23" s="86">
        <v>3000</v>
      </c>
      <c r="H23" s="86">
        <v>3000</v>
      </c>
      <c r="I23" s="302"/>
      <c r="J23" s="2558"/>
      <c r="K23" s="2654"/>
      <c r="L23" s="2654"/>
      <c r="M23" s="2654"/>
      <c r="N23" s="2654"/>
      <c r="O23" s="2654"/>
      <c r="P23" s="2654"/>
      <c r="Q23" s="2654"/>
      <c r="R23" s="2654"/>
      <c r="S23" s="273"/>
      <c r="T23" s="2654"/>
      <c r="U23" s="2654"/>
      <c r="V23" s="2654"/>
      <c r="W23" s="2654"/>
      <c r="X23" s="2654"/>
      <c r="Y23" s="175"/>
      <c r="Z23" s="332"/>
      <c r="AA23" s="589"/>
      <c r="AB23" s="301"/>
      <c r="AC23" s="301">
        <f t="shared" si="0"/>
        <v>3000000000</v>
      </c>
    </row>
    <row r="24" spans="1:29" ht="21" customHeight="1">
      <c r="B24" s="171"/>
      <c r="C24" s="172"/>
      <c r="D24" s="2553"/>
      <c r="E24" s="3549" t="s">
        <v>2988</v>
      </c>
      <c r="F24" s="3550"/>
      <c r="G24" s="86">
        <v>22000</v>
      </c>
      <c r="H24" s="86">
        <v>22000</v>
      </c>
      <c r="I24" s="302"/>
      <c r="J24" s="2558"/>
      <c r="K24" s="2654"/>
      <c r="L24" s="2654"/>
      <c r="M24" s="2654"/>
      <c r="N24" s="2654"/>
      <c r="O24" s="2654"/>
      <c r="P24" s="2654"/>
      <c r="Q24" s="2654"/>
      <c r="R24" s="2654"/>
      <c r="S24" s="273"/>
      <c r="T24" s="2654"/>
      <c r="U24" s="2654"/>
      <c r="V24" s="2654"/>
      <c r="W24" s="2654"/>
      <c r="X24" s="2654"/>
      <c r="Y24" s="175"/>
      <c r="Z24" s="332"/>
      <c r="AA24" s="589"/>
      <c r="AB24" s="301"/>
      <c r="AC24" s="301"/>
    </row>
    <row r="25" spans="1:29" s="2558" customFormat="1" ht="23.25" customHeight="1">
      <c r="A25" s="2553" t="s">
        <v>430</v>
      </c>
      <c r="B25" s="2546"/>
      <c r="C25" s="2552"/>
      <c r="D25" s="3551" t="s">
        <v>470</v>
      </c>
      <c r="E25" s="3551"/>
      <c r="F25" s="3552"/>
      <c r="G25" s="1683">
        <f>+G26</f>
        <v>76500</v>
      </c>
      <c r="H25" s="1683">
        <f>+H26</f>
        <v>76500</v>
      </c>
      <c r="I25" s="302">
        <f>G25-H25</f>
        <v>0</v>
      </c>
      <c r="K25" s="2612"/>
      <c r="L25" s="2612"/>
      <c r="M25" s="2612"/>
      <c r="N25" s="2612"/>
      <c r="O25" s="2612"/>
      <c r="P25" s="2612"/>
      <c r="Q25" s="2612"/>
      <c r="R25" s="2612"/>
      <c r="S25" s="2612"/>
      <c r="T25" s="2612"/>
      <c r="U25" s="2612"/>
      <c r="V25" s="2612"/>
      <c r="W25" s="2612"/>
      <c r="X25" s="2612"/>
      <c r="Y25" s="327"/>
      <c r="Z25" s="265"/>
      <c r="AA25" s="266"/>
      <c r="AB25" s="301"/>
      <c r="AC25" s="301">
        <f t="shared" si="0"/>
        <v>76500000000</v>
      </c>
    </row>
    <row r="26" spans="1:29" s="2558" customFormat="1" ht="23.25" customHeight="1" thickBot="1">
      <c r="A26" s="2553"/>
      <c r="B26" s="2546"/>
      <c r="C26" s="2552"/>
      <c r="D26" s="2553"/>
      <c r="E26" s="3553" t="s">
        <v>470</v>
      </c>
      <c r="F26" s="3554"/>
      <c r="G26" s="1683">
        <v>76500</v>
      </c>
      <c r="H26" s="1683">
        <v>76500</v>
      </c>
      <c r="I26" s="302"/>
      <c r="K26" s="2612"/>
      <c r="L26" s="2612"/>
      <c r="M26" s="2612"/>
      <c r="N26" s="2612"/>
      <c r="O26" s="2612"/>
      <c r="P26" s="2612"/>
      <c r="Q26" s="2612"/>
      <c r="R26" s="2612"/>
      <c r="S26" s="117"/>
      <c r="T26" s="2612"/>
      <c r="U26" s="2612"/>
      <c r="V26" s="2612"/>
      <c r="W26" s="2612"/>
      <c r="X26" s="2612"/>
      <c r="Y26" s="327"/>
      <c r="Z26" s="328"/>
      <c r="AA26" s="590"/>
      <c r="AB26" s="301"/>
      <c r="AC26" s="301">
        <f t="shared" si="0"/>
        <v>76500000000</v>
      </c>
    </row>
    <row r="27" spans="1:29" s="1659" customFormat="1" ht="20.100000000000001" customHeight="1" thickBot="1">
      <c r="A27" s="1657"/>
      <c r="B27" s="1300" t="s">
        <v>44</v>
      </c>
      <c r="C27" s="716" t="s">
        <v>5008</v>
      </c>
      <c r="D27" s="1121"/>
      <c r="E27" s="717"/>
      <c r="F27" s="1234"/>
      <c r="G27" s="597">
        <f>G28</f>
        <v>100000</v>
      </c>
      <c r="H27" s="597">
        <f>H28</f>
        <v>0</v>
      </c>
      <c r="I27" s="820">
        <f>G27-H27</f>
        <v>100000</v>
      </c>
      <c r="J27" s="2800"/>
      <c r="K27" s="1302"/>
      <c r="L27" s="1302"/>
      <c r="M27" s="1658"/>
      <c r="N27" s="1658"/>
      <c r="O27" s="1658"/>
      <c r="P27" s="1302"/>
      <c r="Q27" s="1302"/>
      <c r="R27" s="1302"/>
      <c r="S27" s="1302"/>
      <c r="T27" s="1302"/>
      <c r="U27" s="1302"/>
      <c r="V27" s="1302"/>
      <c r="W27" s="1302"/>
      <c r="X27" s="1302"/>
      <c r="Y27" s="1299"/>
      <c r="Z27" s="1492"/>
      <c r="AA27" s="428"/>
      <c r="AB27" s="401"/>
      <c r="AC27" s="401">
        <f t="shared" ref="AC27:AC33" si="2">G27*1000000</f>
        <v>100000000000</v>
      </c>
    </row>
    <row r="28" spans="1:29" s="2558" customFormat="1" ht="20.100000000000001" customHeight="1">
      <c r="A28" s="2553" t="s">
        <v>430</v>
      </c>
      <c r="B28" s="2546"/>
      <c r="C28" s="2552"/>
      <c r="D28" s="3555" t="s">
        <v>4310</v>
      </c>
      <c r="E28" s="3556"/>
      <c r="F28" s="3557"/>
      <c r="G28" s="597">
        <f>SUM(G29:G33)</f>
        <v>100000</v>
      </c>
      <c r="H28" s="597">
        <f>SUM(H29:H33)</f>
        <v>0</v>
      </c>
      <c r="I28" s="87">
        <f>G28-H28</f>
        <v>100000</v>
      </c>
      <c r="K28" s="2807"/>
      <c r="L28" s="2807"/>
      <c r="M28" s="2807"/>
      <c r="N28" s="2807"/>
      <c r="O28" s="2807"/>
      <c r="P28" s="2807"/>
      <c r="Q28" s="2807"/>
      <c r="R28" s="2807"/>
      <c r="S28" s="2807"/>
      <c r="T28" s="2807"/>
      <c r="U28" s="2807"/>
      <c r="V28" s="2807"/>
      <c r="W28" s="2807"/>
      <c r="X28" s="2807"/>
      <c r="Y28" s="175"/>
      <c r="Z28" s="585"/>
      <c r="AA28" s="266"/>
      <c r="AB28" s="301"/>
      <c r="AC28" s="301">
        <f t="shared" si="2"/>
        <v>100000000000</v>
      </c>
    </row>
    <row r="29" spans="1:29" s="2558" customFormat="1" ht="20.100000000000001" customHeight="1">
      <c r="A29" s="2553"/>
      <c r="B29" s="2546"/>
      <c r="C29" s="2552"/>
      <c r="D29" s="2553"/>
      <c r="E29" s="3558" t="s">
        <v>255</v>
      </c>
      <c r="F29" s="3559"/>
      <c r="G29" s="11">
        <v>21500</v>
      </c>
      <c r="H29" s="11">
        <v>0</v>
      </c>
      <c r="I29" s="87">
        <f t="shared" ref="I29:I33" si="3">G29-H29</f>
        <v>21500</v>
      </c>
      <c r="J29" s="92">
        <f>H29-I29</f>
        <v>-21500</v>
      </c>
      <c r="K29" s="2793"/>
      <c r="L29" s="2793"/>
      <c r="M29" s="2793"/>
      <c r="N29" s="2793"/>
      <c r="O29" s="2793"/>
      <c r="P29" s="2793"/>
      <c r="Q29" s="2793"/>
      <c r="R29" s="2793"/>
      <c r="S29" s="117"/>
      <c r="T29" s="2793"/>
      <c r="U29" s="2793"/>
      <c r="V29" s="2793"/>
      <c r="W29" s="2793"/>
      <c r="X29" s="2793"/>
      <c r="Y29" s="327"/>
      <c r="Z29" s="265"/>
      <c r="AA29" s="266"/>
      <c r="AB29" s="301"/>
      <c r="AC29" s="301">
        <f t="shared" si="2"/>
        <v>21500000000</v>
      </c>
    </row>
    <row r="30" spans="1:29" s="2558" customFormat="1" ht="20.100000000000001" customHeight="1">
      <c r="A30" s="2553"/>
      <c r="B30" s="2546"/>
      <c r="C30" s="2552"/>
      <c r="D30" s="2553"/>
      <c r="E30" s="3558" t="s">
        <v>5029</v>
      </c>
      <c r="F30" s="3559"/>
      <c r="G30" s="11">
        <v>20000</v>
      </c>
      <c r="H30" s="11">
        <v>0</v>
      </c>
      <c r="I30" s="87">
        <f t="shared" si="3"/>
        <v>20000</v>
      </c>
      <c r="J30" s="92">
        <f>H30-I30</f>
        <v>-20000</v>
      </c>
      <c r="K30" s="2793"/>
      <c r="L30" s="2793"/>
      <c r="M30" s="2793"/>
      <c r="N30" s="2793"/>
      <c r="O30" s="2793"/>
      <c r="P30" s="2793"/>
      <c r="Q30" s="2793"/>
      <c r="R30" s="2793"/>
      <c r="S30" s="117"/>
      <c r="T30" s="2793"/>
      <c r="U30" s="2793"/>
      <c r="V30" s="2793"/>
      <c r="W30" s="2793"/>
      <c r="X30" s="2793"/>
      <c r="Y30" s="327"/>
      <c r="Z30" s="265"/>
      <c r="AA30" s="266"/>
      <c r="AB30" s="301"/>
      <c r="AC30" s="301">
        <f t="shared" si="2"/>
        <v>20000000000</v>
      </c>
    </row>
    <row r="31" spans="1:29" s="2558" customFormat="1" ht="20.100000000000001" customHeight="1">
      <c r="A31" s="2553"/>
      <c r="B31" s="2546"/>
      <c r="C31" s="2552"/>
      <c r="E31" s="2792" t="s">
        <v>5030</v>
      </c>
      <c r="F31" s="2794"/>
      <c r="G31" s="86">
        <v>20900</v>
      </c>
      <c r="H31" s="86">
        <v>0</v>
      </c>
      <c r="I31" s="87">
        <f t="shared" si="3"/>
        <v>20900</v>
      </c>
      <c r="K31" s="2807"/>
      <c r="L31" s="2807"/>
      <c r="M31" s="2807"/>
      <c r="N31" s="2807"/>
      <c r="O31" s="2807"/>
      <c r="P31" s="2807"/>
      <c r="Q31" s="2807"/>
      <c r="R31" s="2807"/>
      <c r="S31" s="2807"/>
      <c r="T31" s="2807"/>
      <c r="U31" s="2807"/>
      <c r="V31" s="2807"/>
      <c r="W31" s="2807"/>
      <c r="X31" s="2807"/>
      <c r="Y31" s="175"/>
      <c r="Z31" s="332"/>
      <c r="AA31" s="270"/>
      <c r="AB31" s="301"/>
      <c r="AC31" s="301">
        <f t="shared" si="2"/>
        <v>20900000000</v>
      </c>
    </row>
    <row r="32" spans="1:29" s="2558" customFormat="1" ht="20.100000000000001" customHeight="1">
      <c r="A32" s="2553"/>
      <c r="B32" s="2546"/>
      <c r="C32" s="2552"/>
      <c r="E32" s="2792" t="s">
        <v>5031</v>
      </c>
      <c r="F32" s="2794"/>
      <c r="G32" s="597">
        <v>20000</v>
      </c>
      <c r="H32" s="597">
        <v>0</v>
      </c>
      <c r="I32" s="87">
        <f t="shared" si="3"/>
        <v>20000</v>
      </c>
      <c r="K32" s="2807"/>
      <c r="L32" s="2807"/>
      <c r="M32" s="2807"/>
      <c r="N32" s="2807"/>
      <c r="O32" s="2807"/>
      <c r="P32" s="2807"/>
      <c r="Q32" s="2807"/>
      <c r="R32" s="2807"/>
      <c r="S32" s="2807"/>
      <c r="T32" s="2807"/>
      <c r="U32" s="2807"/>
      <c r="V32" s="2807"/>
      <c r="W32" s="2807"/>
      <c r="X32" s="2807"/>
      <c r="Y32" s="175"/>
      <c r="Z32" s="332"/>
      <c r="AA32" s="270"/>
      <c r="AB32" s="301"/>
      <c r="AC32" s="301">
        <f t="shared" si="2"/>
        <v>20000000000</v>
      </c>
    </row>
    <row r="33" spans="1:29" s="2558" customFormat="1" ht="20.100000000000001" customHeight="1" thickBot="1">
      <c r="A33" s="2553"/>
      <c r="B33" s="2546"/>
      <c r="C33" s="2552"/>
      <c r="E33" s="2792" t="s">
        <v>5032</v>
      </c>
      <c r="F33" s="2794"/>
      <c r="G33" s="597">
        <v>17600</v>
      </c>
      <c r="H33" s="597">
        <v>0</v>
      </c>
      <c r="I33" s="87">
        <f t="shared" si="3"/>
        <v>17600</v>
      </c>
      <c r="K33" s="2807"/>
      <c r="L33" s="2807"/>
      <c r="M33" s="2807"/>
      <c r="N33" s="2807"/>
      <c r="O33" s="2807"/>
      <c r="P33" s="2807"/>
      <c r="Q33" s="2807"/>
      <c r="R33" s="2807"/>
      <c r="S33" s="2807"/>
      <c r="T33" s="2807"/>
      <c r="U33" s="2807"/>
      <c r="V33" s="2807"/>
      <c r="W33" s="2807"/>
      <c r="X33" s="2807"/>
      <c r="Y33" s="175"/>
      <c r="Z33" s="332"/>
      <c r="AA33" s="270"/>
      <c r="AB33" s="301"/>
      <c r="AC33" s="301">
        <f t="shared" si="2"/>
        <v>17600000000</v>
      </c>
    </row>
    <row r="34" spans="1:29" s="2557" customFormat="1" ht="22.5" hidden="1" customHeight="1" thickBot="1">
      <c r="A34" s="604"/>
      <c r="B34" s="167" t="s">
        <v>435</v>
      </c>
      <c r="C34" s="168"/>
      <c r="D34" s="168"/>
      <c r="E34" s="168"/>
      <c r="F34" s="168"/>
      <c r="G34" s="596">
        <v>0</v>
      </c>
      <c r="H34" s="596">
        <f t="shared" ref="G34:H36" si="4">+H35</f>
        <v>0</v>
      </c>
      <c r="I34" s="169">
        <f>G34-H34</f>
        <v>0</v>
      </c>
      <c r="J34" s="2558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582"/>
      <c r="AA34" s="127"/>
      <c r="AB34" s="305"/>
      <c r="AC34" s="301">
        <f>G34*1000000</f>
        <v>0</v>
      </c>
    </row>
    <row r="35" spans="1:29" s="2558" customFormat="1" ht="21" hidden="1" customHeight="1" thickBot="1">
      <c r="A35" s="2553"/>
      <c r="B35" s="2546"/>
      <c r="C35" s="1663" t="s">
        <v>440</v>
      </c>
      <c r="D35" s="274"/>
      <c r="E35" s="18"/>
      <c r="F35" s="123"/>
      <c r="G35" s="597">
        <f t="shared" si="4"/>
        <v>0</v>
      </c>
      <c r="H35" s="597">
        <f t="shared" si="4"/>
        <v>0</v>
      </c>
      <c r="I35" s="89">
        <f t="shared" ref="I35:I36" si="5">G35-H35</f>
        <v>0</v>
      </c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168"/>
      <c r="Z35" s="609"/>
      <c r="AA35" s="610"/>
      <c r="AB35" s="301"/>
      <c r="AC35" s="301">
        <f t="shared" ref="AC35:AC41" si="6">G35*1000000</f>
        <v>0</v>
      </c>
    </row>
    <row r="36" spans="1:29" s="2558" customFormat="1" ht="21" hidden="1" customHeight="1">
      <c r="A36" s="2553" t="s">
        <v>183</v>
      </c>
      <c r="B36" s="2546"/>
      <c r="C36" s="2552"/>
      <c r="D36" s="3555" t="s">
        <v>440</v>
      </c>
      <c r="E36" s="3556"/>
      <c r="F36" s="3557"/>
      <c r="G36" s="597">
        <f t="shared" si="4"/>
        <v>0</v>
      </c>
      <c r="H36" s="597">
        <f t="shared" si="4"/>
        <v>0</v>
      </c>
      <c r="I36" s="89">
        <f t="shared" si="5"/>
        <v>0</v>
      </c>
      <c r="K36" s="2612"/>
      <c r="L36" s="2612"/>
      <c r="M36" s="2612"/>
      <c r="N36" s="2612"/>
      <c r="O36" s="2612"/>
      <c r="P36" s="2612"/>
      <c r="Q36" s="2612"/>
      <c r="R36" s="2612"/>
      <c r="S36" s="2612"/>
      <c r="T36" s="2612"/>
      <c r="U36" s="2612"/>
      <c r="V36" s="2612"/>
      <c r="W36" s="2612"/>
      <c r="X36" s="2612"/>
      <c r="Y36" s="327"/>
      <c r="Z36" s="265"/>
      <c r="AA36" s="266"/>
      <c r="AB36" s="301"/>
      <c r="AC36" s="301">
        <f t="shared" si="6"/>
        <v>0</v>
      </c>
    </row>
    <row r="37" spans="1:29" s="2558" customFormat="1" ht="21" hidden="1" customHeight="1" thickBot="1">
      <c r="A37" s="2553"/>
      <c r="B37" s="2546"/>
      <c r="C37" s="612"/>
      <c r="D37" s="175"/>
      <c r="E37" s="3485" t="s">
        <v>440</v>
      </c>
      <c r="F37" s="3486"/>
      <c r="G37" s="1683"/>
      <c r="H37" s="11"/>
      <c r="I37" s="3"/>
      <c r="K37" s="2612"/>
      <c r="L37" s="2612"/>
      <c r="M37" s="2612"/>
      <c r="N37" s="2612"/>
      <c r="O37" s="2612"/>
      <c r="P37" s="2612"/>
      <c r="Q37" s="2612"/>
      <c r="R37" s="2612"/>
      <c r="S37" s="117"/>
      <c r="T37" s="2612"/>
      <c r="U37" s="2612"/>
      <c r="V37" s="2612"/>
      <c r="W37" s="2612"/>
      <c r="X37" s="2612"/>
      <c r="Y37" s="327"/>
      <c r="Z37" s="325"/>
      <c r="AA37" s="333"/>
      <c r="AB37" s="301"/>
      <c r="AC37" s="301">
        <f t="shared" si="6"/>
        <v>0</v>
      </c>
    </row>
    <row r="38" spans="1:29" s="2558" customFormat="1" ht="21" customHeight="1" thickBot="1">
      <c r="A38" s="2553"/>
      <c r="B38" s="614" t="s">
        <v>441</v>
      </c>
      <c r="C38" s="168"/>
      <c r="D38" s="168"/>
      <c r="E38" s="168"/>
      <c r="F38" s="168"/>
      <c r="G38" s="596">
        <f>+G39+G42+G45</f>
        <v>2923300</v>
      </c>
      <c r="H38" s="596">
        <f>+H39+H42+H45</f>
        <v>2023300</v>
      </c>
      <c r="I38" s="169">
        <f>G38-H38</f>
        <v>900000</v>
      </c>
      <c r="S38" s="118"/>
      <c r="Y38" s="2553"/>
      <c r="Z38" s="325"/>
      <c r="AA38" s="333"/>
      <c r="AB38" s="301"/>
      <c r="AC38" s="301"/>
    </row>
    <row r="39" spans="1:29" s="2558" customFormat="1" ht="22.5" customHeight="1" thickBot="1">
      <c r="A39" s="2553"/>
      <c r="B39" s="2546"/>
      <c r="C39" s="2708" t="s">
        <v>5811</v>
      </c>
      <c r="D39" s="2709"/>
      <c r="E39" s="2710"/>
      <c r="F39" s="2711"/>
      <c r="G39" s="708">
        <v>1723300</v>
      </c>
      <c r="H39" s="708">
        <f>+H40</f>
        <v>1723300</v>
      </c>
      <c r="I39" s="87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168"/>
      <c r="Z39" s="609"/>
      <c r="AA39" s="266"/>
      <c r="AB39" s="301"/>
      <c r="AC39" s="301">
        <f t="shared" si="6"/>
        <v>1723300000000</v>
      </c>
    </row>
    <row r="40" spans="1:29" s="592" customFormat="1" ht="22.5" customHeight="1">
      <c r="A40" s="2553" t="s">
        <v>430</v>
      </c>
      <c r="B40" s="171"/>
      <c r="C40" s="2712"/>
      <c r="D40" s="3548" t="s">
        <v>5811</v>
      </c>
      <c r="E40" s="3548"/>
      <c r="F40" s="3547"/>
      <c r="G40" s="880">
        <f>G39</f>
        <v>1723300</v>
      </c>
      <c r="H40" s="2713">
        <f>+H41</f>
        <v>1723300</v>
      </c>
      <c r="I40" s="87">
        <f>G40-H40</f>
        <v>0</v>
      </c>
      <c r="J40" s="2558"/>
      <c r="K40" s="300"/>
      <c r="L40" s="2654"/>
      <c r="M40" s="2654"/>
      <c r="N40" s="2654"/>
      <c r="O40" s="2654"/>
      <c r="P40" s="2654"/>
      <c r="Q40" s="2654"/>
      <c r="R40" s="18"/>
      <c r="S40" s="273"/>
      <c r="T40" s="88"/>
      <c r="U40" s="300"/>
      <c r="V40" s="300"/>
      <c r="W40" s="300"/>
      <c r="X40" s="300"/>
      <c r="Y40" s="329"/>
      <c r="Z40" s="124"/>
      <c r="AA40" s="114"/>
      <c r="AB40" s="301"/>
      <c r="AC40" s="301">
        <f t="shared" si="6"/>
        <v>1723300000000</v>
      </c>
    </row>
    <row r="41" spans="1:29" s="592" customFormat="1" ht="22.5" customHeight="1">
      <c r="A41" s="608"/>
      <c r="B41" s="171"/>
      <c r="C41" s="2714"/>
      <c r="D41" s="2710"/>
      <c r="E41" s="3546" t="s">
        <v>4652</v>
      </c>
      <c r="F41" s="3547"/>
      <c r="G41" s="702">
        <v>1723300</v>
      </c>
      <c r="H41" s="2715">
        <v>1723300</v>
      </c>
      <c r="I41" s="201"/>
      <c r="J41" s="2558"/>
      <c r="K41" s="317"/>
      <c r="L41" s="2612"/>
      <c r="M41" s="2612"/>
      <c r="N41" s="2612"/>
      <c r="O41" s="2612"/>
      <c r="P41" s="2612"/>
      <c r="Q41" s="2612"/>
      <c r="R41" s="2612"/>
      <c r="S41" s="117"/>
      <c r="T41" s="317"/>
      <c r="U41" s="317"/>
      <c r="V41" s="317"/>
      <c r="W41" s="317"/>
      <c r="X41" s="317"/>
      <c r="Y41" s="177"/>
      <c r="Z41" s="332"/>
      <c r="AA41" s="119"/>
      <c r="AB41" s="301"/>
      <c r="AC41" s="301">
        <f t="shared" si="6"/>
        <v>1723300000000</v>
      </c>
    </row>
    <row r="42" spans="1:29" s="592" customFormat="1" ht="22.5" customHeight="1">
      <c r="A42" s="608"/>
      <c r="B42" s="171"/>
      <c r="C42" s="2708" t="s">
        <v>5835</v>
      </c>
      <c r="D42" s="2709"/>
      <c r="E42" s="2710"/>
      <c r="F42" s="2711"/>
      <c r="G42" s="702">
        <f>G43</f>
        <v>300000</v>
      </c>
      <c r="H42" s="2715">
        <f>H43</f>
        <v>300000</v>
      </c>
      <c r="I42" s="201"/>
      <c r="J42" s="2558"/>
      <c r="K42" s="569"/>
      <c r="L42" s="2558"/>
      <c r="M42" s="2558"/>
      <c r="N42" s="2558"/>
      <c r="O42" s="2558"/>
      <c r="P42" s="2558"/>
      <c r="Q42" s="2558"/>
      <c r="R42" s="2558"/>
      <c r="S42" s="118"/>
      <c r="T42" s="569"/>
      <c r="U42" s="569"/>
      <c r="V42" s="569"/>
      <c r="W42" s="569"/>
      <c r="X42" s="569"/>
      <c r="Y42" s="1807"/>
      <c r="Z42" s="325"/>
      <c r="AA42" s="119"/>
      <c r="AB42" s="301"/>
      <c r="AC42" s="301"/>
    </row>
    <row r="43" spans="1:29" s="592" customFormat="1" ht="22.5" customHeight="1">
      <c r="A43" s="608"/>
      <c r="B43" s="171"/>
      <c r="C43" s="2712"/>
      <c r="D43" s="2710" t="s">
        <v>5835</v>
      </c>
      <c r="E43" s="2716"/>
      <c r="F43" s="2717"/>
      <c r="G43" s="702">
        <f>G44</f>
        <v>300000</v>
      </c>
      <c r="H43" s="2715">
        <f>H44</f>
        <v>300000</v>
      </c>
      <c r="I43" s="87">
        <f>G43-H43</f>
        <v>0</v>
      </c>
      <c r="J43" s="2558"/>
      <c r="K43" s="569"/>
      <c r="L43" s="2558"/>
      <c r="M43" s="2558"/>
      <c r="N43" s="2558"/>
      <c r="O43" s="2558"/>
      <c r="P43" s="2558"/>
      <c r="Q43" s="2558"/>
      <c r="R43" s="2558"/>
      <c r="S43" s="118"/>
      <c r="T43" s="569"/>
      <c r="U43" s="569"/>
      <c r="V43" s="569"/>
      <c r="W43" s="569"/>
      <c r="X43" s="569"/>
      <c r="Y43" s="1807"/>
      <c r="Z43" s="325"/>
      <c r="AA43" s="119"/>
      <c r="AB43" s="301"/>
      <c r="AC43" s="301"/>
    </row>
    <row r="44" spans="1:29" s="592" customFormat="1" ht="22.5" customHeight="1" thickBot="1">
      <c r="A44" s="608"/>
      <c r="B44" s="171"/>
      <c r="C44" s="2714"/>
      <c r="D44" s="2822"/>
      <c r="E44" s="3548" t="s">
        <v>4653</v>
      </c>
      <c r="F44" s="3547"/>
      <c r="G44" s="702">
        <v>300000</v>
      </c>
      <c r="H44" s="2715">
        <v>300000</v>
      </c>
      <c r="I44" s="201"/>
      <c r="J44" s="2558"/>
      <c r="K44" s="569"/>
      <c r="L44" s="2558"/>
      <c r="M44" s="2558"/>
      <c r="N44" s="2558"/>
      <c r="O44" s="2558"/>
      <c r="P44" s="2558"/>
      <c r="Q44" s="2558"/>
      <c r="R44" s="2558"/>
      <c r="S44" s="118"/>
      <c r="T44" s="569"/>
      <c r="U44" s="569"/>
      <c r="V44" s="569"/>
      <c r="W44" s="569"/>
      <c r="X44" s="569"/>
      <c r="Y44" s="1807"/>
      <c r="Z44" s="325"/>
      <c r="AA44" s="119"/>
      <c r="AB44" s="301"/>
      <c r="AC44" s="301"/>
    </row>
    <row r="45" spans="1:29" s="2558" customFormat="1" ht="22.5" customHeight="1" thickBot="1">
      <c r="A45" s="2553"/>
      <c r="B45" s="2546"/>
      <c r="C45" s="2708" t="s">
        <v>5810</v>
      </c>
      <c r="D45" s="2709"/>
      <c r="E45" s="2710"/>
      <c r="F45" s="2711"/>
      <c r="G45" s="708">
        <f>G46</f>
        <v>900000</v>
      </c>
      <c r="H45" s="708">
        <f>H46</f>
        <v>0</v>
      </c>
      <c r="I45" s="87">
        <f>G45-H45</f>
        <v>900000</v>
      </c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168"/>
      <c r="Z45" s="609"/>
      <c r="AA45" s="266"/>
      <c r="AB45" s="301"/>
      <c r="AC45" s="301">
        <f t="shared" ref="AC45:AC47" si="7">G45*1000000</f>
        <v>900000000000</v>
      </c>
    </row>
    <row r="46" spans="1:29" s="592" customFormat="1" ht="22.5" customHeight="1">
      <c r="A46" s="2553" t="s">
        <v>430</v>
      </c>
      <c r="B46" s="171"/>
      <c r="C46" s="2712"/>
      <c r="D46" s="3548" t="s">
        <v>5810</v>
      </c>
      <c r="E46" s="3548"/>
      <c r="F46" s="3547"/>
      <c r="G46" s="880">
        <f>G47+G48</f>
        <v>900000</v>
      </c>
      <c r="H46" s="880">
        <f>H47+H48</f>
        <v>0</v>
      </c>
      <c r="I46" s="87">
        <f>G46-H46</f>
        <v>900000</v>
      </c>
      <c r="J46" s="2558"/>
      <c r="K46" s="300"/>
      <c r="L46" s="2807"/>
      <c r="M46" s="2807"/>
      <c r="N46" s="2807"/>
      <c r="O46" s="2807"/>
      <c r="P46" s="2807"/>
      <c r="Q46" s="2807"/>
      <c r="R46" s="18"/>
      <c r="S46" s="273"/>
      <c r="T46" s="88"/>
      <c r="U46" s="300"/>
      <c r="V46" s="300"/>
      <c r="W46" s="300"/>
      <c r="X46" s="300"/>
      <c r="Y46" s="329"/>
      <c r="Z46" s="124"/>
      <c r="AA46" s="114"/>
      <c r="AB46" s="301"/>
      <c r="AC46" s="301">
        <f t="shared" si="7"/>
        <v>900000000000</v>
      </c>
    </row>
    <row r="47" spans="1:29" s="592" customFormat="1" ht="22.5" customHeight="1">
      <c r="A47" s="608"/>
      <c r="B47" s="171"/>
      <c r="C47" s="2820"/>
      <c r="D47" s="2821"/>
      <c r="E47" s="3546" t="s">
        <v>5027</v>
      </c>
      <c r="F47" s="3547"/>
      <c r="G47" s="702">
        <v>600000</v>
      </c>
      <c r="H47" s="2715">
        <v>0</v>
      </c>
      <c r="I47" s="87">
        <f t="shared" ref="I47:I48" si="8">G47-H47</f>
        <v>600000</v>
      </c>
      <c r="J47" s="2558"/>
      <c r="K47" s="317"/>
      <c r="L47" s="2793"/>
      <c r="M47" s="2793"/>
      <c r="N47" s="2793"/>
      <c r="O47" s="2793"/>
      <c r="P47" s="2793"/>
      <c r="Q47" s="2793"/>
      <c r="R47" s="2793"/>
      <c r="S47" s="117"/>
      <c r="T47" s="317"/>
      <c r="U47" s="317"/>
      <c r="V47" s="317"/>
      <c r="W47" s="317"/>
      <c r="X47" s="317"/>
      <c r="Y47" s="177"/>
      <c r="Z47" s="332"/>
      <c r="AA47" s="119"/>
      <c r="AB47" s="301"/>
      <c r="AC47" s="301">
        <f t="shared" si="7"/>
        <v>600000000000</v>
      </c>
    </row>
    <row r="48" spans="1:29" s="592" customFormat="1" ht="22.5" customHeight="1">
      <c r="A48" s="608"/>
      <c r="B48" s="171"/>
      <c r="C48" s="2714"/>
      <c r="D48" s="2710"/>
      <c r="E48" s="3546" t="s">
        <v>5028</v>
      </c>
      <c r="F48" s="3547"/>
      <c r="G48" s="702">
        <v>300000</v>
      </c>
      <c r="H48" s="2715">
        <v>0</v>
      </c>
      <c r="I48" s="87">
        <f t="shared" si="8"/>
        <v>300000</v>
      </c>
      <c r="J48" s="2558"/>
      <c r="K48" s="317"/>
      <c r="L48" s="2793"/>
      <c r="M48" s="2793"/>
      <c r="N48" s="2793"/>
      <c r="O48" s="2793"/>
      <c r="P48" s="2793"/>
      <c r="Q48" s="2793"/>
      <c r="R48" s="2793"/>
      <c r="S48" s="117"/>
      <c r="T48" s="317"/>
      <c r="U48" s="317"/>
      <c r="V48" s="317"/>
      <c r="W48" s="317"/>
      <c r="X48" s="317"/>
      <c r="Y48" s="177"/>
      <c r="Z48" s="332"/>
      <c r="AA48" s="119"/>
      <c r="AB48" s="301"/>
      <c r="AC48" s="301">
        <f t="shared" ref="AC48" si="9">G48*1000000</f>
        <v>300000000000</v>
      </c>
    </row>
    <row r="103" hidden="1"/>
    <row r="104" hidden="1"/>
    <row r="105" hidden="1"/>
    <row r="106" hidden="1"/>
    <row r="107" hidden="1"/>
    <row r="108" hidden="1"/>
    <row r="109" hidden="1"/>
    <row r="110" hidden="1"/>
    <row r="652" spans="7:7">
      <c r="G652" s="156"/>
    </row>
    <row r="665" spans="7:7">
      <c r="G665" s="156"/>
    </row>
  </sheetData>
  <mergeCells count="33">
    <mergeCell ref="B1:Z1"/>
    <mergeCell ref="B3:F3"/>
    <mergeCell ref="G3:G4"/>
    <mergeCell ref="H3:H4"/>
    <mergeCell ref="I3:I4"/>
    <mergeCell ref="K3:Z4"/>
    <mergeCell ref="E30:F30"/>
    <mergeCell ref="E20:F20"/>
    <mergeCell ref="D8:F8"/>
    <mergeCell ref="E9:F9"/>
    <mergeCell ref="E10:F10"/>
    <mergeCell ref="D11:F11"/>
    <mergeCell ref="D15:F15"/>
    <mergeCell ref="E16:F16"/>
    <mergeCell ref="E17:F17"/>
    <mergeCell ref="E18:F18"/>
    <mergeCell ref="D19:F19"/>
    <mergeCell ref="E47:F47"/>
    <mergeCell ref="E48:F48"/>
    <mergeCell ref="D46:F46"/>
    <mergeCell ref="E21:F21"/>
    <mergeCell ref="E22:F22"/>
    <mergeCell ref="E23:F23"/>
    <mergeCell ref="E24:F24"/>
    <mergeCell ref="D25:F25"/>
    <mergeCell ref="E26:F26"/>
    <mergeCell ref="D36:F36"/>
    <mergeCell ref="E37:F37"/>
    <mergeCell ref="D40:F40"/>
    <mergeCell ref="E41:F41"/>
    <mergeCell ref="E44:F44"/>
    <mergeCell ref="D28:F28"/>
    <mergeCell ref="E29:F29"/>
  </mergeCells>
  <phoneticPr fontId="19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orientation="landscape" useFirstPageNumber="1" r:id="rId1"/>
  <headerFooter scaleWithDoc="0" alignWithMargins="0"/>
  <rowBreaks count="2" manualBreakCount="2">
    <brk id="10" min="1" max="8" man="1"/>
    <brk id="24" min="1" max="8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671"/>
  <sheetViews>
    <sheetView view="pageBreakPreview" topLeftCell="B1" zoomScale="70" zoomScaleNormal="75" zoomScaleSheetLayoutView="70" workbookViewId="0">
      <pane ySplit="4" topLeftCell="A290" activePane="bottomLeft" state="frozen"/>
      <selection activeCell="Q61" sqref="Q61"/>
      <selection pane="bottomLeft" activeCell="F238" sqref="F238"/>
    </sheetView>
  </sheetViews>
  <sheetFormatPr defaultRowHeight="18.75"/>
  <cols>
    <col min="1" max="1" width="17" style="603" hidden="1" customWidth="1"/>
    <col min="2" max="5" width="6.77734375" style="156" customWidth="1"/>
    <col min="6" max="6" width="25.77734375" style="156" customWidth="1"/>
    <col min="7" max="7" width="14" style="601" customWidth="1"/>
    <col min="8" max="8" width="14" style="228" customWidth="1"/>
    <col min="9" max="9" width="14" style="173" customWidth="1"/>
    <col min="10" max="10" width="1.5546875" style="158" customWidth="1"/>
    <col min="11" max="11" width="2.88671875" style="159" customWidth="1"/>
    <col min="12" max="12" width="1.88671875" style="156" customWidth="1"/>
    <col min="13" max="13" width="8.77734375" style="156" customWidth="1"/>
    <col min="14" max="14" width="10.33203125" style="156" customWidth="1"/>
    <col min="15" max="15" width="7.5546875" style="156" customWidth="1"/>
    <col min="16" max="16" width="11.109375" style="160" customWidth="1"/>
    <col min="17" max="17" width="10.109375" style="160" customWidth="1"/>
    <col min="18" max="18" width="7.77734375" style="156" customWidth="1"/>
    <col min="19" max="19" width="6.77734375" style="156" customWidth="1"/>
    <col min="20" max="20" width="14.77734375" style="156" customWidth="1"/>
    <col min="21" max="22" width="6.88671875" style="156" customWidth="1"/>
    <col min="23" max="23" width="8.33203125" style="156" customWidth="1"/>
    <col min="24" max="24" width="6.77734375" style="156" customWidth="1"/>
    <col min="25" max="25" width="3" style="203" customWidth="1"/>
    <col min="26" max="26" width="14.77734375" style="593" customWidth="1"/>
    <col min="27" max="27" width="17.44140625" style="153" customWidth="1"/>
    <col min="28" max="28" width="19.109375" style="153" bestFit="1" customWidth="1"/>
    <col min="29" max="29" width="20.5546875" style="176" customWidth="1"/>
    <col min="30" max="31" width="16.109375" style="162" customWidth="1"/>
    <col min="32" max="16384" width="8.88671875" style="162"/>
  </cols>
  <sheetData>
    <row r="1" spans="1:29" ht="21.95" customHeight="1">
      <c r="B1" s="3315" t="s">
        <v>5809</v>
      </c>
      <c r="C1" s="3315"/>
      <c r="D1" s="3315"/>
      <c r="E1" s="3315"/>
      <c r="F1" s="3315"/>
      <c r="G1" s="3315"/>
      <c r="H1" s="3315"/>
      <c r="I1" s="3315"/>
      <c r="J1" s="3315"/>
      <c r="K1" s="3315"/>
      <c r="L1" s="3315"/>
      <c r="M1" s="3315"/>
      <c r="N1" s="3315"/>
      <c r="O1" s="3315"/>
      <c r="P1" s="3315"/>
      <c r="Q1" s="3315"/>
      <c r="R1" s="3315"/>
      <c r="S1" s="3315"/>
      <c r="T1" s="3315"/>
      <c r="U1" s="3315"/>
      <c r="V1" s="3315"/>
      <c r="W1" s="3315"/>
      <c r="X1" s="3315"/>
      <c r="Y1" s="3315"/>
      <c r="Z1" s="3315"/>
      <c r="AA1" s="1248"/>
      <c r="AB1" s="163"/>
    </row>
    <row r="2" spans="1:29" s="113" customFormat="1" ht="21.95" customHeight="1" thickBot="1">
      <c r="A2" s="202"/>
      <c r="B2" s="803"/>
      <c r="C2" s="803"/>
      <c r="D2" s="803"/>
      <c r="E2" s="803" t="s">
        <v>4321</v>
      </c>
      <c r="F2" s="611"/>
      <c r="G2" s="611"/>
      <c r="H2" s="1220"/>
      <c r="I2" s="1083" t="s">
        <v>4322</v>
      </c>
      <c r="J2" s="2624"/>
      <c r="K2" s="803" t="s">
        <v>4321</v>
      </c>
      <c r="L2" s="773" t="s">
        <v>4321</v>
      </c>
      <c r="M2" s="803"/>
      <c r="N2" s="369"/>
      <c r="O2" s="275"/>
      <c r="P2" s="1250"/>
      <c r="Q2" s="1250"/>
      <c r="R2" s="1251"/>
      <c r="S2" s="1251"/>
      <c r="T2" s="1251"/>
      <c r="U2" s="1251"/>
      <c r="V2" s="1251"/>
      <c r="W2" s="1251"/>
      <c r="X2" s="1251"/>
      <c r="Y2" s="1252"/>
      <c r="Z2" s="1083" t="s">
        <v>4323</v>
      </c>
      <c r="AA2" s="275"/>
      <c r="AB2" s="305"/>
      <c r="AC2" s="305"/>
    </row>
    <row r="3" spans="1:29" s="165" customFormat="1" ht="21.95" customHeight="1">
      <c r="A3" s="602" t="s">
        <v>4324</v>
      </c>
      <c r="B3" s="3316" t="s">
        <v>4325</v>
      </c>
      <c r="C3" s="3317"/>
      <c r="D3" s="3317"/>
      <c r="E3" s="3317"/>
      <c r="F3" s="3318"/>
      <c r="G3" s="3254" t="s">
        <v>4326</v>
      </c>
      <c r="H3" s="3576" t="s">
        <v>4327</v>
      </c>
      <c r="I3" s="3377" t="s">
        <v>4328</v>
      </c>
      <c r="J3" s="409"/>
      <c r="K3" s="3321" t="s">
        <v>4329</v>
      </c>
      <c r="L3" s="3322"/>
      <c r="M3" s="3322"/>
      <c r="N3" s="3322"/>
      <c r="O3" s="3322"/>
      <c r="P3" s="3322"/>
      <c r="Q3" s="3322"/>
      <c r="R3" s="3322"/>
      <c r="S3" s="3322"/>
      <c r="T3" s="3322"/>
      <c r="U3" s="3322"/>
      <c r="V3" s="3322"/>
      <c r="W3" s="3322"/>
      <c r="X3" s="3322"/>
      <c r="Y3" s="3322"/>
      <c r="Z3" s="3323"/>
      <c r="AA3" s="1253"/>
      <c r="AB3" s="305"/>
      <c r="AC3" s="312"/>
    </row>
    <row r="4" spans="1:29" s="2557" customFormat="1" ht="21.95" customHeight="1" thickBot="1">
      <c r="A4" s="604"/>
      <c r="B4" s="396" t="s">
        <v>4330</v>
      </c>
      <c r="C4" s="1110" t="s">
        <v>4331</v>
      </c>
      <c r="D4" s="2652" t="s">
        <v>4332</v>
      </c>
      <c r="E4" s="2652" t="s">
        <v>4333</v>
      </c>
      <c r="F4" s="2652" t="s">
        <v>4334</v>
      </c>
      <c r="G4" s="3566"/>
      <c r="H4" s="3577"/>
      <c r="I4" s="3578"/>
      <c r="J4" s="409"/>
      <c r="K4" s="3324"/>
      <c r="L4" s="3325"/>
      <c r="M4" s="3325"/>
      <c r="N4" s="3325"/>
      <c r="O4" s="3325"/>
      <c r="P4" s="3325"/>
      <c r="Q4" s="3325"/>
      <c r="R4" s="3325"/>
      <c r="S4" s="3325"/>
      <c r="T4" s="3325"/>
      <c r="U4" s="3325"/>
      <c r="V4" s="3325"/>
      <c r="W4" s="3325"/>
      <c r="X4" s="3325"/>
      <c r="Y4" s="3325"/>
      <c r="Z4" s="3326"/>
      <c r="AA4" s="1084"/>
      <c r="AB4" s="305"/>
      <c r="AC4" s="312"/>
    </row>
    <row r="5" spans="1:29" s="2557" customFormat="1" ht="21.95" customHeight="1" thickBot="1">
      <c r="A5" s="604"/>
      <c r="B5" s="422" t="s">
        <v>4335</v>
      </c>
      <c r="C5" s="1299"/>
      <c r="D5" s="1299"/>
      <c r="E5" s="1299"/>
      <c r="F5" s="1299"/>
      <c r="G5" s="615">
        <f>+G6+G206+G207</f>
        <v>4553299.9999940805</v>
      </c>
      <c r="H5" s="615">
        <f>+H6+H206+H207</f>
        <v>3553300</v>
      </c>
      <c r="I5" s="616">
        <f>+I6+I206+I207</f>
        <v>999999.99999408005</v>
      </c>
      <c r="J5" s="409"/>
      <c r="K5" s="2608"/>
      <c r="L5" s="2609"/>
      <c r="M5" s="2609"/>
      <c r="N5" s="2609"/>
      <c r="O5" s="2609"/>
      <c r="P5" s="2609"/>
      <c r="Q5" s="2609"/>
      <c r="R5" s="2609"/>
      <c r="S5" s="2609"/>
      <c r="T5" s="2609"/>
      <c r="U5" s="2609"/>
      <c r="V5" s="2609"/>
      <c r="W5" s="2609"/>
      <c r="X5" s="2609"/>
      <c r="Y5" s="2609"/>
      <c r="Z5" s="2610"/>
      <c r="AA5" s="1084"/>
      <c r="AB5" s="305"/>
      <c r="AC5" s="312"/>
    </row>
    <row r="6" spans="1:29" s="2557" customFormat="1" ht="21.95" customHeight="1" thickBot="1">
      <c r="A6" s="604"/>
      <c r="B6" s="422" t="s">
        <v>4336</v>
      </c>
      <c r="C6" s="1299"/>
      <c r="D6" s="1299"/>
      <c r="E6" s="1299"/>
      <c r="F6" s="1299"/>
      <c r="G6" s="596">
        <f>+G7+G162</f>
        <v>1630000</v>
      </c>
      <c r="H6" s="596">
        <f>+H7+H162</f>
        <v>1530000</v>
      </c>
      <c r="I6" s="421">
        <f>G6-H6</f>
        <v>100000</v>
      </c>
      <c r="J6" s="409"/>
      <c r="K6" s="1256"/>
      <c r="L6" s="1257"/>
      <c r="M6" s="1257"/>
      <c r="N6" s="1257"/>
      <c r="O6" s="1257"/>
      <c r="P6" s="1257"/>
      <c r="Q6" s="1257"/>
      <c r="R6" s="1257"/>
      <c r="S6" s="1257"/>
      <c r="T6" s="1257"/>
      <c r="U6" s="1257"/>
      <c r="V6" s="1257"/>
      <c r="W6" s="1257"/>
      <c r="X6" s="1257"/>
      <c r="Y6" s="1257"/>
      <c r="Z6" s="1407"/>
      <c r="AA6" s="1259"/>
      <c r="AB6" s="305"/>
      <c r="AC6" s="301"/>
    </row>
    <row r="7" spans="1:29" s="1659" customFormat="1" ht="21.95" customHeight="1">
      <c r="A7" s="1657"/>
      <c r="B7" s="1082"/>
      <c r="C7" s="2622" t="s">
        <v>4337</v>
      </c>
      <c r="D7" s="426"/>
      <c r="E7" s="426"/>
      <c r="F7" s="1660"/>
      <c r="G7" s="1662">
        <f>G8+G52+G77+G108+G159</f>
        <v>1530000</v>
      </c>
      <c r="H7" s="1662">
        <f>H8+H52+H77+H108+H159</f>
        <v>1530000</v>
      </c>
      <c r="I7" s="386">
        <f t="shared" ref="I7:I9" si="0">G7-H7</f>
        <v>0</v>
      </c>
      <c r="J7" s="409"/>
      <c r="K7" s="1670"/>
      <c r="L7" s="1671"/>
      <c r="M7" s="1671"/>
      <c r="N7" s="1661"/>
      <c r="O7" s="1664"/>
      <c r="P7" s="1671"/>
      <c r="Q7" s="1671"/>
      <c r="R7" s="2624"/>
      <c r="S7" s="1671"/>
      <c r="T7" s="1671"/>
      <c r="U7" s="1671"/>
      <c r="V7" s="1671"/>
      <c r="W7" s="1671"/>
      <c r="X7" s="1671"/>
      <c r="Y7" s="1671"/>
      <c r="Z7" s="1674"/>
      <c r="AA7" s="428"/>
      <c r="AB7" s="401"/>
      <c r="AC7" s="401"/>
    </row>
    <row r="8" spans="1:29" s="2558" customFormat="1" ht="21.95" customHeight="1">
      <c r="A8" s="2553" t="s">
        <v>4338</v>
      </c>
      <c r="B8" s="1380"/>
      <c r="C8" s="1477"/>
      <c r="D8" s="2600" t="s">
        <v>4339</v>
      </c>
      <c r="E8" s="2619"/>
      <c r="F8" s="930" t="s">
        <v>19</v>
      </c>
      <c r="G8" s="1478">
        <f>G19+G9</f>
        <v>383000</v>
      </c>
      <c r="H8" s="1478">
        <f>H19+H9</f>
        <v>383000</v>
      </c>
      <c r="I8" s="386">
        <f t="shared" si="0"/>
        <v>0</v>
      </c>
      <c r="J8" s="409"/>
      <c r="K8" s="830"/>
      <c r="L8" s="371"/>
      <c r="M8" s="371"/>
      <c r="N8" s="371"/>
      <c r="O8" s="458"/>
      <c r="P8" s="371"/>
      <c r="Q8" s="371"/>
      <c r="R8" s="368"/>
      <c r="S8" s="371"/>
      <c r="T8" s="371"/>
      <c r="U8" s="371"/>
      <c r="V8" s="371"/>
      <c r="W8" s="371"/>
      <c r="X8" s="371"/>
      <c r="Y8" s="371"/>
      <c r="Z8" s="345"/>
      <c r="AA8" s="440"/>
      <c r="AB8" s="301"/>
      <c r="AC8" s="301"/>
    </row>
    <row r="9" spans="1:29" s="2558" customFormat="1" ht="21.95" customHeight="1">
      <c r="A9" s="2553"/>
      <c r="B9" s="1479"/>
      <c r="C9" s="1480"/>
      <c r="D9" s="413"/>
      <c r="E9" s="859" t="s">
        <v>4340</v>
      </c>
      <c r="F9" s="930"/>
      <c r="G9" s="1478">
        <f>SUM(G10:G18)</f>
        <v>278200</v>
      </c>
      <c r="H9" s="1478">
        <f>SUM(H10:H18)</f>
        <v>278200</v>
      </c>
      <c r="I9" s="386">
        <f t="shared" si="0"/>
        <v>0</v>
      </c>
      <c r="J9" s="467">
        <f>H9-I9</f>
        <v>278200</v>
      </c>
      <c r="K9" s="830"/>
      <c r="L9" s="371"/>
      <c r="M9" s="371"/>
      <c r="N9" s="371"/>
      <c r="O9" s="458"/>
      <c r="P9" s="371"/>
      <c r="Q9" s="371"/>
      <c r="R9" s="368"/>
      <c r="S9" s="371"/>
      <c r="T9" s="371"/>
      <c r="U9" s="371"/>
      <c r="V9" s="371"/>
      <c r="W9" s="371"/>
      <c r="X9" s="371"/>
      <c r="Y9" s="371"/>
      <c r="Z9" s="345"/>
      <c r="AA9" s="440"/>
      <c r="AB9" s="301"/>
      <c r="AC9" s="301"/>
    </row>
    <row r="10" spans="1:29" s="587" customFormat="1" ht="21.95" customHeight="1">
      <c r="A10" s="586"/>
      <c r="B10" s="1479"/>
      <c r="C10" s="1480"/>
      <c r="D10" s="413"/>
      <c r="E10" s="809"/>
      <c r="F10" s="809" t="s">
        <v>4341</v>
      </c>
      <c r="G10" s="1481">
        <f>Z10/1000</f>
        <v>231400</v>
      </c>
      <c r="H10" s="884">
        <v>231400</v>
      </c>
      <c r="I10" s="810"/>
      <c r="J10" s="1482"/>
      <c r="K10" s="1670" t="s">
        <v>4342</v>
      </c>
      <c r="L10" s="1671"/>
      <c r="M10" s="1483"/>
      <c r="N10" s="1671"/>
      <c r="O10" s="1672"/>
      <c r="P10" s="1672"/>
      <c r="Q10" s="1671"/>
      <c r="R10" s="1673"/>
      <c r="S10" s="1671"/>
      <c r="T10" s="1671"/>
      <c r="U10" s="1671"/>
      <c r="V10" s="1671"/>
      <c r="W10" s="1671"/>
      <c r="X10" s="1671"/>
      <c r="Y10" s="1671"/>
      <c r="Z10" s="1674">
        <f>SUM(Z12:Z14)</f>
        <v>231400000</v>
      </c>
      <c r="AA10" s="1674">
        <f>SUM(AA12:AA14)</f>
        <v>0</v>
      </c>
      <c r="AB10" s="588"/>
      <c r="AC10" s="588"/>
    </row>
    <row r="11" spans="1:29" s="2558" customFormat="1" ht="21.95" customHeight="1">
      <c r="A11" s="2553"/>
      <c r="B11" s="1479"/>
      <c r="C11" s="1480"/>
      <c r="D11" s="413"/>
      <c r="E11" s="465"/>
      <c r="F11" s="465"/>
      <c r="G11" s="1115"/>
      <c r="H11" s="873"/>
      <c r="I11" s="404"/>
      <c r="J11" s="467"/>
      <c r="K11" s="2707" t="s">
        <v>818</v>
      </c>
      <c r="L11" s="1671"/>
      <c r="M11" s="1671"/>
      <c r="N11" s="2624"/>
      <c r="O11" s="1323"/>
      <c r="P11" s="1671"/>
      <c r="Q11" s="1671"/>
      <c r="R11" s="1673"/>
      <c r="S11" s="1671"/>
      <c r="T11" s="1672"/>
      <c r="U11" s="1671"/>
      <c r="V11" s="1671"/>
      <c r="W11" s="1671"/>
      <c r="X11" s="1671"/>
      <c r="Y11" s="1671"/>
      <c r="Z11" s="1674"/>
      <c r="AA11" s="407"/>
      <c r="AB11" s="301"/>
      <c r="AC11" s="301"/>
    </row>
    <row r="12" spans="1:29" s="2558" customFormat="1" ht="21.95" customHeight="1">
      <c r="A12" s="2553"/>
      <c r="B12" s="1479"/>
      <c r="C12" s="1480"/>
      <c r="D12" s="413"/>
      <c r="E12" s="465"/>
      <c r="F12" s="465"/>
      <c r="G12" s="1115"/>
      <c r="H12" s="873"/>
      <c r="I12" s="404"/>
      <c r="J12" s="467"/>
      <c r="K12" s="1670"/>
      <c r="L12" s="1671" t="s">
        <v>4655</v>
      </c>
      <c r="M12" s="1671"/>
      <c r="N12" s="2624"/>
      <c r="O12" s="1323"/>
      <c r="P12" s="1671"/>
      <c r="Q12" s="1671"/>
      <c r="R12" s="1673">
        <v>4</v>
      </c>
      <c r="S12" s="1671" t="s">
        <v>4131</v>
      </c>
      <c r="T12" s="1672">
        <v>4422200</v>
      </c>
      <c r="U12" s="1671" t="s">
        <v>4104</v>
      </c>
      <c r="V12" s="1671"/>
      <c r="W12" s="1671">
        <v>12</v>
      </c>
      <c r="X12" s="1671" t="s">
        <v>4343</v>
      </c>
      <c r="Y12" s="1671" t="s">
        <v>4118</v>
      </c>
      <c r="Z12" s="1674">
        <f>ROUNDDOWN(T12*W12*R12,-5)</f>
        <v>212200000</v>
      </c>
      <c r="AA12" s="1674"/>
      <c r="AB12" s="301"/>
      <c r="AC12" s="301"/>
    </row>
    <row r="13" spans="1:29" s="587" customFormat="1" ht="21.95" customHeight="1">
      <c r="A13" s="586"/>
      <c r="B13" s="1479"/>
      <c r="C13" s="1480"/>
      <c r="D13" s="413"/>
      <c r="E13" s="465"/>
      <c r="F13" s="465"/>
      <c r="G13" s="1115"/>
      <c r="H13" s="873"/>
      <c r="I13" s="1712"/>
      <c r="J13" s="1482"/>
      <c r="K13" s="802" t="s">
        <v>4654</v>
      </c>
      <c r="L13" s="1671"/>
      <c r="M13" s="1671"/>
      <c r="N13" s="2624"/>
      <c r="O13" s="1323"/>
      <c r="P13" s="1671"/>
      <c r="Q13" s="1671"/>
      <c r="R13" s="1673"/>
      <c r="S13" s="1671"/>
      <c r="T13" s="1672"/>
      <c r="U13" s="1671"/>
      <c r="V13" s="1671"/>
      <c r="W13" s="1671"/>
      <c r="X13" s="1671"/>
      <c r="Y13" s="1671"/>
      <c r="Z13" s="1674"/>
      <c r="AA13" s="1439">
        <f>R13*T13</f>
        <v>0</v>
      </c>
      <c r="AB13" s="588"/>
      <c r="AC13" s="588"/>
    </row>
    <row r="14" spans="1:29" s="2558" customFormat="1" ht="21.95" customHeight="1">
      <c r="A14" s="2553"/>
      <c r="B14" s="1479"/>
      <c r="C14" s="1480"/>
      <c r="D14" s="413"/>
      <c r="E14" s="465"/>
      <c r="F14" s="465"/>
      <c r="G14" s="1115"/>
      <c r="H14" s="697"/>
      <c r="I14" s="404"/>
      <c r="J14" s="467">
        <f>H14-I14</f>
        <v>0</v>
      </c>
      <c r="K14" s="1670"/>
      <c r="L14" s="1671" t="s">
        <v>4655</v>
      </c>
      <c r="M14" s="1671"/>
      <c r="N14" s="2624"/>
      <c r="O14" s="1323"/>
      <c r="P14" s="1671"/>
      <c r="Q14" s="1671"/>
      <c r="R14" s="1673">
        <v>4</v>
      </c>
      <c r="S14" s="1671" t="s">
        <v>4131</v>
      </c>
      <c r="T14" s="1672">
        <v>400000</v>
      </c>
      <c r="U14" s="1671" t="s">
        <v>4104</v>
      </c>
      <c r="V14" s="1671"/>
      <c r="W14" s="1671">
        <v>12</v>
      </c>
      <c r="X14" s="1671" t="s">
        <v>4343</v>
      </c>
      <c r="Y14" s="1671" t="s">
        <v>4118</v>
      </c>
      <c r="Z14" s="1674">
        <f>R14*T14*W14</f>
        <v>19200000</v>
      </c>
      <c r="AA14" s="1693"/>
      <c r="AB14" s="301"/>
      <c r="AC14" s="301"/>
    </row>
    <row r="15" spans="1:29" s="587" customFormat="1" ht="21.95" customHeight="1">
      <c r="A15" s="586"/>
      <c r="B15" s="1479"/>
      <c r="C15" s="1480"/>
      <c r="D15" s="413"/>
      <c r="E15" s="465"/>
      <c r="F15" s="465" t="s">
        <v>4344</v>
      </c>
      <c r="G15" s="1115">
        <f>Z15/1000</f>
        <v>19200</v>
      </c>
      <c r="H15" s="512">
        <v>19200</v>
      </c>
      <c r="I15" s="1712"/>
      <c r="J15" s="1438"/>
      <c r="K15" s="1670" t="s">
        <v>4345</v>
      </c>
      <c r="L15" s="1671"/>
      <c r="M15" s="1671"/>
      <c r="N15" s="1671"/>
      <c r="O15" s="1672"/>
      <c r="P15" s="1672"/>
      <c r="Q15" s="1671"/>
      <c r="R15" s="1673"/>
      <c r="S15" s="1671"/>
      <c r="T15" s="1672">
        <f>Z14+Z12</f>
        <v>231400000</v>
      </c>
      <c r="U15" s="1671" t="s">
        <v>4346</v>
      </c>
      <c r="V15" s="1671">
        <v>12</v>
      </c>
      <c r="W15" s="1671" t="s">
        <v>4347</v>
      </c>
      <c r="X15" s="1702">
        <v>1</v>
      </c>
      <c r="Y15" s="1671" t="s">
        <v>4118</v>
      </c>
      <c r="Z15" s="1674">
        <f>ROUNDDOWN((T15/V15*X15),-5)</f>
        <v>19200000</v>
      </c>
      <c r="AA15" s="407"/>
      <c r="AB15" s="588"/>
      <c r="AC15" s="588"/>
    </row>
    <row r="16" spans="1:29" s="587" customFormat="1" ht="21.95" customHeight="1">
      <c r="A16" s="586"/>
      <c r="B16" s="1479"/>
      <c r="C16" s="1480"/>
      <c r="D16" s="413"/>
      <c r="E16" s="465"/>
      <c r="F16" s="465" t="s">
        <v>4348</v>
      </c>
      <c r="G16" s="1115">
        <f>Z16/1000</f>
        <v>27600</v>
      </c>
      <c r="H16" s="512">
        <v>27600</v>
      </c>
      <c r="I16" s="1712"/>
      <c r="J16" s="1438"/>
      <c r="K16" s="1670" t="s">
        <v>4342</v>
      </c>
      <c r="L16" s="1671"/>
      <c r="M16" s="1671"/>
      <c r="N16" s="1671"/>
      <c r="O16" s="1672"/>
      <c r="P16" s="1672"/>
      <c r="Q16" s="1671"/>
      <c r="R16" s="1673"/>
      <c r="S16" s="1671"/>
      <c r="T16" s="1671"/>
      <c r="U16" s="1671"/>
      <c r="V16" s="1671"/>
      <c r="W16" s="1671"/>
      <c r="X16" s="1671"/>
      <c r="Y16" s="1671"/>
      <c r="Z16" s="1674">
        <f>ROUNDUP(SUM(Z17:Z18),-5)</f>
        <v>27600000</v>
      </c>
      <c r="AA16" s="407"/>
      <c r="AB16" s="588"/>
      <c r="AC16" s="588"/>
    </row>
    <row r="17" spans="1:29" s="2558" customFormat="1" ht="21.95" customHeight="1">
      <c r="A17" s="2553"/>
      <c r="B17" s="1479"/>
      <c r="C17" s="1480"/>
      <c r="D17" s="413"/>
      <c r="E17" s="465"/>
      <c r="F17" s="465"/>
      <c r="G17" s="1115"/>
      <c r="H17" s="884"/>
      <c r="I17" s="404"/>
      <c r="J17" s="409"/>
      <c r="K17" s="1670" t="s">
        <v>4349</v>
      </c>
      <c r="L17" s="1671"/>
      <c r="M17" s="1671"/>
      <c r="N17" s="1671"/>
      <c r="O17" s="1672"/>
      <c r="P17" s="1671"/>
      <c r="Q17" s="1671"/>
      <c r="R17" s="1673"/>
      <c r="S17" s="1671"/>
      <c r="T17" s="1672">
        <f>T15</f>
        <v>231400000</v>
      </c>
      <c r="U17" s="1671" t="s">
        <v>4104</v>
      </c>
      <c r="V17" s="1671"/>
      <c r="W17" s="1309">
        <v>0.1</v>
      </c>
      <c r="X17" s="1671"/>
      <c r="Y17" s="1671" t="s">
        <v>4118</v>
      </c>
      <c r="Z17" s="1674">
        <f>ROUNDDOWN(T17*W17,-4)</f>
        <v>23140000</v>
      </c>
      <c r="AA17" s="1439"/>
      <c r="AB17" s="301"/>
      <c r="AC17" s="301"/>
    </row>
    <row r="18" spans="1:29" s="2558" customFormat="1" ht="21.95" customHeight="1">
      <c r="A18" s="2553"/>
      <c r="B18" s="1479"/>
      <c r="C18" s="1480"/>
      <c r="D18" s="413"/>
      <c r="E18" s="465"/>
      <c r="F18" s="465"/>
      <c r="G18" s="1115"/>
      <c r="H18" s="884"/>
      <c r="I18" s="404"/>
      <c r="J18" s="409"/>
      <c r="K18" s="1670" t="s">
        <v>4350</v>
      </c>
      <c r="L18" s="1671"/>
      <c r="M18" s="1671"/>
      <c r="N18" s="1671"/>
      <c r="O18" s="1672"/>
      <c r="P18" s="1672"/>
      <c r="Q18" s="1671"/>
      <c r="R18" s="1673"/>
      <c r="S18" s="1671"/>
      <c r="T18" s="1672">
        <v>1100000</v>
      </c>
      <c r="U18" s="1671" t="s">
        <v>4104</v>
      </c>
      <c r="V18" s="1671"/>
      <c r="W18" s="1710">
        <v>4</v>
      </c>
      <c r="X18" s="1671" t="s">
        <v>4105</v>
      </c>
      <c r="Y18" s="1671" t="s">
        <v>4118</v>
      </c>
      <c r="Z18" s="1674">
        <f>ROUNDUP(T18*W18,-4)</f>
        <v>4400000</v>
      </c>
      <c r="AA18" s="407"/>
      <c r="AB18" s="301"/>
      <c r="AC18" s="301"/>
    </row>
    <row r="19" spans="1:29" s="587" customFormat="1" ht="21.95" customHeight="1">
      <c r="A19" s="586"/>
      <c r="B19" s="1479"/>
      <c r="C19" s="1480"/>
      <c r="D19" s="413"/>
      <c r="E19" s="864" t="s">
        <v>4351</v>
      </c>
      <c r="F19" s="1447"/>
      <c r="G19" s="1484">
        <f>SUM(G20:G51)</f>
        <v>104800</v>
      </c>
      <c r="H19" s="1484">
        <f>SUM(H20:H51)</f>
        <v>104800</v>
      </c>
      <c r="I19" s="386">
        <f t="shared" ref="I19" si="1">G19-H19</f>
        <v>0</v>
      </c>
      <c r="J19" s="1438"/>
      <c r="K19" s="835"/>
      <c r="L19" s="462"/>
      <c r="M19" s="462"/>
      <c r="N19" s="462"/>
      <c r="O19" s="399"/>
      <c r="P19" s="399"/>
      <c r="Q19" s="462"/>
      <c r="R19" s="836"/>
      <c r="S19" s="462"/>
      <c r="T19" s="462"/>
      <c r="U19" s="462"/>
      <c r="V19" s="462"/>
      <c r="W19" s="462"/>
      <c r="X19" s="462"/>
      <c r="Y19" s="462"/>
      <c r="Z19" s="377" t="s">
        <v>4321</v>
      </c>
      <c r="AA19" s="1439"/>
      <c r="AB19" s="588"/>
      <c r="AC19" s="588"/>
    </row>
    <row r="20" spans="1:29" s="2558" customFormat="1" ht="21.95" customHeight="1">
      <c r="A20" s="2553"/>
      <c r="B20" s="1479"/>
      <c r="C20" s="1480"/>
      <c r="D20" s="413"/>
      <c r="E20" s="809"/>
      <c r="F20" s="465" t="s">
        <v>4352</v>
      </c>
      <c r="G20" s="1115">
        <f>Z20</f>
        <v>500</v>
      </c>
      <c r="H20" s="1481">
        <v>500</v>
      </c>
      <c r="I20" s="404"/>
      <c r="J20" s="409"/>
      <c r="K20" s="1670" t="s">
        <v>4353</v>
      </c>
      <c r="L20" s="1671"/>
      <c r="M20" s="1671"/>
      <c r="N20" s="1671"/>
      <c r="O20" s="1672"/>
      <c r="P20" s="1672"/>
      <c r="Q20" s="1671"/>
      <c r="R20" s="1673"/>
      <c r="S20" s="1671"/>
      <c r="T20" s="1672">
        <v>100000</v>
      </c>
      <c r="U20" s="1671" t="s">
        <v>4104</v>
      </c>
      <c r="V20" s="1671"/>
      <c r="W20" s="1710">
        <v>5</v>
      </c>
      <c r="X20" s="1671" t="s">
        <v>4105</v>
      </c>
      <c r="Y20" s="1671" t="s">
        <v>4118</v>
      </c>
      <c r="Z20" s="1674">
        <f t="shared" ref="Z20:Z30" si="2">AA20/1000</f>
        <v>500</v>
      </c>
      <c r="AA20" s="982">
        <f>W20*T20</f>
        <v>500000</v>
      </c>
      <c r="AB20" s="301"/>
      <c r="AC20" s="301"/>
    </row>
    <row r="21" spans="1:29" s="2558" customFormat="1" ht="21.95" customHeight="1">
      <c r="A21" s="2553"/>
      <c r="B21" s="1479"/>
      <c r="C21" s="1480"/>
      <c r="D21" s="413"/>
      <c r="E21" s="465"/>
      <c r="F21" s="465" t="s">
        <v>4109</v>
      </c>
      <c r="G21" s="1115">
        <f>Z21</f>
        <v>32280</v>
      </c>
      <c r="H21" s="1115">
        <v>32280</v>
      </c>
      <c r="I21" s="404"/>
      <c r="J21" s="409"/>
      <c r="K21" s="1670" t="s">
        <v>4342</v>
      </c>
      <c r="L21" s="1671"/>
      <c r="M21" s="1671"/>
      <c r="N21" s="1671"/>
      <c r="O21" s="1672"/>
      <c r="P21" s="1672"/>
      <c r="Q21" s="1671"/>
      <c r="R21" s="1673"/>
      <c r="S21" s="1671"/>
      <c r="T21" s="1671"/>
      <c r="U21" s="1671"/>
      <c r="V21" s="1671"/>
      <c r="W21" s="1671"/>
      <c r="X21" s="1671"/>
      <c r="Y21" s="1671"/>
      <c r="Z21" s="1674">
        <f t="shared" si="2"/>
        <v>32280</v>
      </c>
      <c r="AA21" s="2699">
        <f>AA22+AA23</f>
        <v>32280000</v>
      </c>
      <c r="AB21" s="301"/>
      <c r="AC21" s="301"/>
    </row>
    <row r="22" spans="1:29" s="2558" customFormat="1" ht="21.95" customHeight="1">
      <c r="A22" s="2553"/>
      <c r="B22" s="1479"/>
      <c r="C22" s="1480"/>
      <c r="D22" s="413"/>
      <c r="E22" s="465"/>
      <c r="F22" s="465"/>
      <c r="G22" s="1115"/>
      <c r="H22" s="1115"/>
      <c r="I22" s="404"/>
      <c r="J22" s="409"/>
      <c r="K22" s="1670" t="s">
        <v>4836</v>
      </c>
      <c r="L22" s="1671"/>
      <c r="M22" s="1671"/>
      <c r="N22" s="1671"/>
      <c r="O22" s="1672"/>
      <c r="P22" s="1671"/>
      <c r="Q22" s="1671"/>
      <c r="R22" s="1673"/>
      <c r="S22" s="1671"/>
      <c r="T22" s="1672">
        <v>2090000</v>
      </c>
      <c r="U22" s="1671" t="s">
        <v>4104</v>
      </c>
      <c r="V22" s="1671"/>
      <c r="W22" s="1671">
        <v>12</v>
      </c>
      <c r="X22" s="1671" t="s">
        <v>4343</v>
      </c>
      <c r="Y22" s="1671" t="s">
        <v>4118</v>
      </c>
      <c r="Z22" s="1674">
        <f t="shared" si="2"/>
        <v>25080</v>
      </c>
      <c r="AA22" s="982">
        <f>W22*T22</f>
        <v>25080000</v>
      </c>
      <c r="AB22" s="301"/>
      <c r="AC22" s="301"/>
    </row>
    <row r="23" spans="1:29" s="2558" customFormat="1" ht="21.95" customHeight="1">
      <c r="A23" s="2553"/>
      <c r="B23" s="1479"/>
      <c r="C23" s="1480"/>
      <c r="D23" s="413"/>
      <c r="E23" s="465"/>
      <c r="F23" s="465"/>
      <c r="G23" s="1115"/>
      <c r="H23" s="1115"/>
      <c r="I23" s="404"/>
      <c r="J23" s="409"/>
      <c r="K23" s="1670" t="s">
        <v>4837</v>
      </c>
      <c r="L23" s="1671"/>
      <c r="M23" s="1671"/>
      <c r="N23" s="1671"/>
      <c r="O23" s="1672"/>
      <c r="P23" s="1671"/>
      <c r="Q23" s="1671"/>
      <c r="R23" s="1673"/>
      <c r="S23" s="1671"/>
      <c r="T23" s="1672">
        <v>600000</v>
      </c>
      <c r="U23" s="1671" t="s">
        <v>4104</v>
      </c>
      <c r="V23" s="1671"/>
      <c r="W23" s="1671">
        <v>12</v>
      </c>
      <c r="X23" s="1671" t="s">
        <v>4343</v>
      </c>
      <c r="Y23" s="1671" t="s">
        <v>4118</v>
      </c>
      <c r="Z23" s="1674">
        <f t="shared" si="2"/>
        <v>7200</v>
      </c>
      <c r="AA23" s="982">
        <f t="shared" ref="AA23:AA24" si="3">W23*T23</f>
        <v>7200000</v>
      </c>
      <c r="AB23" s="301"/>
      <c r="AC23" s="301"/>
    </row>
    <row r="24" spans="1:29" s="2558" customFormat="1" ht="21.95" customHeight="1">
      <c r="A24" s="2553" t="s">
        <v>4338</v>
      </c>
      <c r="B24" s="1479"/>
      <c r="C24" s="1480"/>
      <c r="D24" s="413"/>
      <c r="E24" s="465"/>
      <c r="F24" s="465" t="s">
        <v>4354</v>
      </c>
      <c r="G24" s="1115">
        <f>Z24</f>
        <v>19200</v>
      </c>
      <c r="H24" s="1115">
        <v>19200</v>
      </c>
      <c r="I24" s="404"/>
      <c r="J24" s="409"/>
      <c r="K24" s="1670" t="s">
        <v>4355</v>
      </c>
      <c r="L24" s="1671"/>
      <c r="M24" s="1671"/>
      <c r="N24" s="1671"/>
      <c r="O24" s="1672"/>
      <c r="P24" s="1672"/>
      <c r="Q24" s="1671"/>
      <c r="R24" s="1673"/>
      <c r="S24" s="1671"/>
      <c r="T24" s="1672">
        <v>1600000</v>
      </c>
      <c r="U24" s="1671" t="s">
        <v>3370</v>
      </c>
      <c r="V24" s="1671"/>
      <c r="W24" s="1671">
        <v>12</v>
      </c>
      <c r="X24" s="1671" t="s">
        <v>4356</v>
      </c>
      <c r="Y24" s="1671" t="s">
        <v>3372</v>
      </c>
      <c r="Z24" s="1674">
        <f t="shared" si="2"/>
        <v>19200</v>
      </c>
      <c r="AA24" s="982">
        <f t="shared" si="3"/>
        <v>19200000</v>
      </c>
      <c r="AB24" s="301"/>
      <c r="AC24" s="301"/>
    </row>
    <row r="25" spans="1:29" s="2558" customFormat="1" ht="21.95" customHeight="1">
      <c r="A25" s="2553"/>
      <c r="B25" s="1479"/>
      <c r="C25" s="1480"/>
      <c r="D25" s="413"/>
      <c r="E25" s="465"/>
      <c r="F25" s="465" t="s">
        <v>4357</v>
      </c>
      <c r="G25" s="1115">
        <f>Z25</f>
        <v>5950</v>
      </c>
      <c r="H25" s="1115">
        <v>5950</v>
      </c>
      <c r="I25" s="404"/>
      <c r="J25" s="409"/>
      <c r="K25" s="1670" t="s">
        <v>4358</v>
      </c>
      <c r="L25" s="1671"/>
      <c r="M25" s="1671"/>
      <c r="N25" s="1671"/>
      <c r="O25" s="1672"/>
      <c r="P25" s="1671"/>
      <c r="Q25" s="1671"/>
      <c r="R25" s="1673"/>
      <c r="S25" s="1671"/>
      <c r="T25" s="1672"/>
      <c r="U25" s="1671"/>
      <c r="V25" s="1671"/>
      <c r="W25" s="1711"/>
      <c r="X25" s="1671"/>
      <c r="Y25" s="1671"/>
      <c r="Z25" s="1674">
        <f t="shared" si="2"/>
        <v>5950</v>
      </c>
      <c r="AA25" s="982">
        <f>AA26+AA27+AA28+AA29</f>
        <v>5950000</v>
      </c>
      <c r="AB25" s="301"/>
      <c r="AC25" s="301"/>
    </row>
    <row r="26" spans="1:29" s="2558" customFormat="1" ht="21.95" customHeight="1">
      <c r="A26" s="2553"/>
      <c r="B26" s="1479"/>
      <c r="C26" s="1480"/>
      <c r="D26" s="413"/>
      <c r="E26" s="465"/>
      <c r="F26" s="465"/>
      <c r="G26" s="1115"/>
      <c r="H26" s="1115"/>
      <c r="I26" s="404"/>
      <c r="J26" s="409"/>
      <c r="K26" s="1670" t="s">
        <v>4359</v>
      </c>
      <c r="L26" s="1671"/>
      <c r="M26" s="1671"/>
      <c r="N26" s="1671"/>
      <c r="O26" s="1672"/>
      <c r="P26" s="1671"/>
      <c r="Q26" s="1671"/>
      <c r="R26" s="1673"/>
      <c r="S26" s="1671"/>
      <c r="T26" s="1672">
        <v>350000</v>
      </c>
      <c r="U26" s="1671" t="s">
        <v>3370</v>
      </c>
      <c r="V26" s="1671"/>
      <c r="W26" s="1673">
        <v>6</v>
      </c>
      <c r="X26" s="1671" t="s">
        <v>4360</v>
      </c>
      <c r="Y26" s="1671" t="s">
        <v>3372</v>
      </c>
      <c r="Z26" s="1674">
        <f t="shared" si="2"/>
        <v>2100</v>
      </c>
      <c r="AA26" s="2700">
        <f>W26*T26</f>
        <v>2100000</v>
      </c>
      <c r="AB26" s="301"/>
      <c r="AC26" s="301"/>
    </row>
    <row r="27" spans="1:29" s="2558" customFormat="1" ht="21.95" customHeight="1">
      <c r="A27" s="2553"/>
      <c r="B27" s="1479"/>
      <c r="C27" s="1480"/>
      <c r="D27" s="413"/>
      <c r="E27" s="465"/>
      <c r="F27" s="465"/>
      <c r="G27" s="1115"/>
      <c r="H27" s="1115"/>
      <c r="I27" s="404"/>
      <c r="J27" s="409"/>
      <c r="K27" s="1670" t="s">
        <v>4361</v>
      </c>
      <c r="L27" s="1671"/>
      <c r="M27" s="1671"/>
      <c r="N27" s="1671"/>
      <c r="O27" s="1672"/>
      <c r="P27" s="1671"/>
      <c r="Q27" s="1671"/>
      <c r="R27" s="1673"/>
      <c r="S27" s="1671"/>
      <c r="T27" s="1672">
        <v>300000</v>
      </c>
      <c r="U27" s="1671" t="s">
        <v>3370</v>
      </c>
      <c r="V27" s="1671"/>
      <c r="W27" s="1673">
        <v>4</v>
      </c>
      <c r="X27" s="1671" t="s">
        <v>4360</v>
      </c>
      <c r="Y27" s="1671" t="s">
        <v>3372</v>
      </c>
      <c r="Z27" s="1674">
        <f t="shared" si="2"/>
        <v>1200</v>
      </c>
      <c r="AA27" s="2700">
        <f t="shared" ref="AA27:AA29" si="4">W27*T27</f>
        <v>1200000</v>
      </c>
      <c r="AB27" s="301"/>
      <c r="AC27" s="301"/>
    </row>
    <row r="28" spans="1:29" s="2558" customFormat="1" ht="21.95" customHeight="1">
      <c r="A28" s="2553"/>
      <c r="B28" s="1479"/>
      <c r="C28" s="1480"/>
      <c r="D28" s="413"/>
      <c r="E28" s="465"/>
      <c r="F28" s="465"/>
      <c r="G28" s="1115"/>
      <c r="H28" s="1115"/>
      <c r="I28" s="404"/>
      <c r="J28" s="409"/>
      <c r="K28" s="1670" t="s">
        <v>4362</v>
      </c>
      <c r="L28" s="1671"/>
      <c r="M28" s="1671"/>
      <c r="N28" s="1671"/>
      <c r="O28" s="1672"/>
      <c r="P28" s="1671"/>
      <c r="Q28" s="1671"/>
      <c r="R28" s="1673"/>
      <c r="S28" s="1671"/>
      <c r="T28" s="1672">
        <v>500000</v>
      </c>
      <c r="U28" s="1671" t="s">
        <v>3370</v>
      </c>
      <c r="V28" s="1671"/>
      <c r="W28" s="1673">
        <v>4</v>
      </c>
      <c r="X28" s="1671" t="s">
        <v>3371</v>
      </c>
      <c r="Y28" s="1671" t="s">
        <v>3372</v>
      </c>
      <c r="Z28" s="1674">
        <f t="shared" si="2"/>
        <v>2000</v>
      </c>
      <c r="AA28" s="2700">
        <f t="shared" si="4"/>
        <v>2000000</v>
      </c>
      <c r="AB28" s="301"/>
      <c r="AC28" s="301"/>
    </row>
    <row r="29" spans="1:29" s="2558" customFormat="1" ht="21.95" customHeight="1">
      <c r="A29" s="2553"/>
      <c r="B29" s="1479"/>
      <c r="C29" s="1480"/>
      <c r="D29" s="413"/>
      <c r="E29" s="465"/>
      <c r="F29" s="465"/>
      <c r="G29" s="1115"/>
      <c r="H29" s="1115"/>
      <c r="I29" s="404"/>
      <c r="J29" s="409"/>
      <c r="K29" s="1670" t="s">
        <v>4363</v>
      </c>
      <c r="L29" s="1671"/>
      <c r="M29" s="1671"/>
      <c r="N29" s="1671"/>
      <c r="O29" s="1672"/>
      <c r="P29" s="1671"/>
      <c r="Q29" s="1671"/>
      <c r="R29" s="1673"/>
      <c r="S29" s="1671"/>
      <c r="T29" s="1672">
        <v>130000</v>
      </c>
      <c r="U29" s="1671" t="s">
        <v>3370</v>
      </c>
      <c r="V29" s="1671"/>
      <c r="W29" s="1673">
        <v>5</v>
      </c>
      <c r="X29" s="1671" t="s">
        <v>4360</v>
      </c>
      <c r="Y29" s="1671" t="s">
        <v>3372</v>
      </c>
      <c r="Z29" s="1674">
        <f t="shared" si="2"/>
        <v>650</v>
      </c>
      <c r="AA29" s="2700">
        <f t="shared" si="4"/>
        <v>650000</v>
      </c>
      <c r="AB29" s="301"/>
      <c r="AC29" s="301"/>
    </row>
    <row r="30" spans="1:29" s="2558" customFormat="1" ht="21.95" customHeight="1">
      <c r="A30" s="2553"/>
      <c r="B30" s="1479"/>
      <c r="C30" s="1480"/>
      <c r="D30" s="413"/>
      <c r="E30" s="465"/>
      <c r="F30" s="465" t="s">
        <v>3430</v>
      </c>
      <c r="G30" s="1115">
        <f>Z30</f>
        <v>1050</v>
      </c>
      <c r="H30" s="1115">
        <v>1050</v>
      </c>
      <c r="I30" s="404"/>
      <c r="J30" s="409"/>
      <c r="K30" s="1670" t="s">
        <v>4358</v>
      </c>
      <c r="L30" s="1671"/>
      <c r="M30" s="1671"/>
      <c r="N30" s="1671"/>
      <c r="O30" s="1672"/>
      <c r="P30" s="1672"/>
      <c r="Q30" s="1671"/>
      <c r="R30" s="1673"/>
      <c r="S30" s="1671"/>
      <c r="T30" s="1671"/>
      <c r="U30" s="1671"/>
      <c r="V30" s="1671"/>
      <c r="W30" s="1671"/>
      <c r="X30" s="1671"/>
      <c r="Y30" s="1671"/>
      <c r="Z30" s="1674">
        <f t="shared" si="2"/>
        <v>1050</v>
      </c>
      <c r="AA30" s="982">
        <f>AA31+AA32</f>
        <v>1050000</v>
      </c>
      <c r="AB30" s="301"/>
      <c r="AC30" s="301"/>
    </row>
    <row r="31" spans="1:29" s="2558" customFormat="1" ht="21.95" customHeight="1">
      <c r="A31" s="2553"/>
      <c r="B31" s="1479"/>
      <c r="C31" s="1480"/>
      <c r="D31" s="413"/>
      <c r="E31" s="465"/>
      <c r="F31" s="465"/>
      <c r="G31" s="1115"/>
      <c r="H31" s="1115"/>
      <c r="I31" s="404"/>
      <c r="J31" s="409"/>
      <c r="K31" s="1670" t="s">
        <v>4364</v>
      </c>
      <c r="L31" s="1671"/>
      <c r="M31" s="1671"/>
      <c r="N31" s="1671"/>
      <c r="O31" s="1672"/>
      <c r="P31" s="1671"/>
      <c r="Q31" s="1671"/>
      <c r="R31" s="1673"/>
      <c r="S31" s="1671"/>
      <c r="T31" s="1672">
        <v>10000</v>
      </c>
      <c r="U31" s="1671" t="s">
        <v>3370</v>
      </c>
      <c r="V31" s="1671"/>
      <c r="W31" s="1671">
        <v>33</v>
      </c>
      <c r="X31" s="1671" t="s">
        <v>4365</v>
      </c>
      <c r="Y31" s="1671" t="s">
        <v>3372</v>
      </c>
      <c r="Z31" s="1674">
        <f>AA31/1000</f>
        <v>330</v>
      </c>
      <c r="AA31" s="2699">
        <f>W31*T31</f>
        <v>330000</v>
      </c>
      <c r="AB31" s="301"/>
      <c r="AC31" s="301"/>
    </row>
    <row r="32" spans="1:29" s="2558" customFormat="1" ht="21.95" customHeight="1">
      <c r="A32" s="2553"/>
      <c r="B32" s="1479"/>
      <c r="C32" s="1480"/>
      <c r="D32" s="413"/>
      <c r="E32" s="465"/>
      <c r="F32" s="465"/>
      <c r="G32" s="1115"/>
      <c r="H32" s="1115"/>
      <c r="I32" s="404"/>
      <c r="J32" s="409"/>
      <c r="K32" s="1670" t="s">
        <v>4366</v>
      </c>
      <c r="L32" s="1671"/>
      <c r="M32" s="1671"/>
      <c r="N32" s="1671"/>
      <c r="O32" s="1672"/>
      <c r="P32" s="1671"/>
      <c r="Q32" s="1671"/>
      <c r="R32" s="1673">
        <v>3</v>
      </c>
      <c r="S32" s="1671" t="s">
        <v>4367</v>
      </c>
      <c r="T32" s="1672">
        <v>20000</v>
      </c>
      <c r="U32" s="1671" t="s">
        <v>3370</v>
      </c>
      <c r="V32" s="1671"/>
      <c r="W32" s="1671">
        <v>12</v>
      </c>
      <c r="X32" s="1671" t="s">
        <v>4356</v>
      </c>
      <c r="Y32" s="1671" t="s">
        <v>3372</v>
      </c>
      <c r="Z32" s="1674">
        <f>AA32/1000</f>
        <v>720</v>
      </c>
      <c r="AA32" s="2699">
        <f>W32*T32*R32</f>
        <v>720000</v>
      </c>
      <c r="AB32" s="301"/>
      <c r="AC32" s="301"/>
    </row>
    <row r="33" spans="1:29" s="2558" customFormat="1" ht="21.95" customHeight="1">
      <c r="A33" s="2553"/>
      <c r="B33" s="1479"/>
      <c r="C33" s="1480"/>
      <c r="D33" s="413"/>
      <c r="E33" s="465"/>
      <c r="F33" s="465" t="s">
        <v>4368</v>
      </c>
      <c r="G33" s="1115">
        <f>Z33</f>
        <v>1920</v>
      </c>
      <c r="H33" s="1115">
        <v>1920</v>
      </c>
      <c r="I33" s="404"/>
      <c r="J33" s="409"/>
      <c r="K33" s="1670" t="s">
        <v>4358</v>
      </c>
      <c r="L33" s="1671"/>
      <c r="M33" s="1671"/>
      <c r="N33" s="1671"/>
      <c r="O33" s="1672"/>
      <c r="P33" s="1671"/>
      <c r="Q33" s="1671"/>
      <c r="R33" s="1673"/>
      <c r="S33" s="1671"/>
      <c r="T33" s="1672"/>
      <c r="U33" s="1671"/>
      <c r="V33" s="982"/>
      <c r="W33" s="1671"/>
      <c r="X33" s="1671"/>
      <c r="Y33" s="1671"/>
      <c r="Z33" s="1674">
        <f t="shared" ref="Z33:Z50" si="5">AA33/1000</f>
        <v>1920</v>
      </c>
      <c r="AA33" s="982">
        <f>AA34+AA35</f>
        <v>1920000</v>
      </c>
      <c r="AB33" s="301"/>
      <c r="AC33" s="301"/>
    </row>
    <row r="34" spans="1:29" s="587" customFormat="1" ht="21.95" customHeight="1">
      <c r="A34" s="586"/>
      <c r="B34" s="1479"/>
      <c r="C34" s="1480"/>
      <c r="D34" s="413"/>
      <c r="E34" s="465"/>
      <c r="F34" s="465"/>
      <c r="G34" s="1115"/>
      <c r="H34" s="1115"/>
      <c r="I34" s="404"/>
      <c r="J34" s="1438"/>
      <c r="K34" s="1670" t="s">
        <v>4369</v>
      </c>
      <c r="L34" s="1671"/>
      <c r="M34" s="1671"/>
      <c r="N34" s="1671"/>
      <c r="O34" s="1672"/>
      <c r="P34" s="1671"/>
      <c r="Q34" s="1671"/>
      <c r="R34" s="1673"/>
      <c r="S34" s="1671"/>
      <c r="T34" s="1672">
        <v>60000</v>
      </c>
      <c r="U34" s="1671" t="s">
        <v>3370</v>
      </c>
      <c r="V34" s="982"/>
      <c r="W34" s="1671">
        <v>12</v>
      </c>
      <c r="X34" s="1671" t="s">
        <v>4370</v>
      </c>
      <c r="Y34" s="1671" t="s">
        <v>3372</v>
      </c>
      <c r="Z34" s="1674">
        <f t="shared" si="5"/>
        <v>720</v>
      </c>
      <c r="AA34" s="2700">
        <f t="shared" ref="AA34:AA37" si="6">W34*T34</f>
        <v>720000</v>
      </c>
      <c r="AB34" s="588"/>
      <c r="AC34" s="588"/>
    </row>
    <row r="35" spans="1:29" s="587" customFormat="1" ht="21.95" customHeight="1">
      <c r="A35" s="586"/>
      <c r="B35" s="1479"/>
      <c r="C35" s="1480"/>
      <c r="D35" s="413"/>
      <c r="E35" s="465"/>
      <c r="F35" s="465"/>
      <c r="G35" s="1115"/>
      <c r="H35" s="1115"/>
      <c r="I35" s="404"/>
      <c r="J35" s="1438"/>
      <c r="K35" s="1670" t="s">
        <v>4371</v>
      </c>
      <c r="L35" s="1671"/>
      <c r="M35" s="1671"/>
      <c r="N35" s="1671"/>
      <c r="O35" s="1672"/>
      <c r="P35" s="1671"/>
      <c r="Q35" s="1671"/>
      <c r="R35" s="1673"/>
      <c r="S35" s="1671"/>
      <c r="T35" s="1672">
        <v>300000</v>
      </c>
      <c r="U35" s="1671" t="s">
        <v>3370</v>
      </c>
      <c r="V35" s="982"/>
      <c r="W35" s="1671">
        <v>4</v>
      </c>
      <c r="X35" s="1671" t="s">
        <v>3371</v>
      </c>
      <c r="Y35" s="1671" t="s">
        <v>3372</v>
      </c>
      <c r="Z35" s="1674">
        <f t="shared" si="5"/>
        <v>1200</v>
      </c>
      <c r="AA35" s="2700">
        <f t="shared" si="6"/>
        <v>1200000</v>
      </c>
      <c r="AB35" s="588"/>
      <c r="AC35" s="588"/>
    </row>
    <row r="36" spans="1:29" s="587" customFormat="1" ht="21.95" customHeight="1">
      <c r="A36" s="586"/>
      <c r="B36" s="1479"/>
      <c r="C36" s="1480"/>
      <c r="D36" s="413"/>
      <c r="E36" s="465"/>
      <c r="F36" s="465" t="s">
        <v>4372</v>
      </c>
      <c r="G36" s="1115">
        <f t="shared" ref="G36:G38" si="7">Z36</f>
        <v>3000</v>
      </c>
      <c r="H36" s="1115">
        <v>3000</v>
      </c>
      <c r="I36" s="1712"/>
      <c r="J36" s="1438"/>
      <c r="K36" s="1670" t="s">
        <v>6023</v>
      </c>
      <c r="L36" s="1671"/>
      <c r="M36" s="1671"/>
      <c r="N36" s="1671"/>
      <c r="O36" s="1672"/>
      <c r="P36" s="1671"/>
      <c r="Q36" s="1671"/>
      <c r="R36" s="1673"/>
      <c r="S36" s="1671"/>
      <c r="T36" s="1672">
        <v>600000</v>
      </c>
      <c r="U36" s="1671" t="s">
        <v>3370</v>
      </c>
      <c r="V36" s="982"/>
      <c r="W36" s="1671">
        <v>5</v>
      </c>
      <c r="X36" s="1671" t="s">
        <v>3371</v>
      </c>
      <c r="Y36" s="1671" t="s">
        <v>3372</v>
      </c>
      <c r="Z36" s="1674">
        <f t="shared" si="5"/>
        <v>3000</v>
      </c>
      <c r="AA36" s="2700">
        <f t="shared" si="6"/>
        <v>3000000</v>
      </c>
      <c r="AB36" s="588"/>
      <c r="AC36" s="588"/>
    </row>
    <row r="37" spans="1:29" s="587" customFormat="1" ht="21.95" customHeight="1">
      <c r="A37" s="586"/>
      <c r="B37" s="1479"/>
      <c r="C37" s="1480"/>
      <c r="D37" s="413"/>
      <c r="E37" s="465"/>
      <c r="F37" s="465" t="s">
        <v>4373</v>
      </c>
      <c r="G37" s="1115">
        <f t="shared" si="7"/>
        <v>400</v>
      </c>
      <c r="H37" s="1115">
        <v>400</v>
      </c>
      <c r="I37" s="1712"/>
      <c r="J37" s="1438"/>
      <c r="K37" s="1670" t="s">
        <v>6022</v>
      </c>
      <c r="L37" s="1671"/>
      <c r="M37" s="1671"/>
      <c r="N37" s="1671"/>
      <c r="O37" s="1672"/>
      <c r="P37" s="1671"/>
      <c r="Q37" s="1671"/>
      <c r="R37" s="1673"/>
      <c r="S37" s="1671"/>
      <c r="T37" s="1672">
        <v>400000</v>
      </c>
      <c r="U37" s="1671" t="s">
        <v>3370</v>
      </c>
      <c r="V37" s="982"/>
      <c r="W37" s="1671">
        <v>1</v>
      </c>
      <c r="X37" s="1671" t="s">
        <v>3371</v>
      </c>
      <c r="Y37" s="1671" t="s">
        <v>3372</v>
      </c>
      <c r="Z37" s="1674">
        <f t="shared" si="5"/>
        <v>400</v>
      </c>
      <c r="AA37" s="2700">
        <f t="shared" si="6"/>
        <v>400000</v>
      </c>
      <c r="AB37" s="588"/>
      <c r="AC37" s="588"/>
    </row>
    <row r="38" spans="1:29" s="2558" customFormat="1" ht="21.95" customHeight="1">
      <c r="A38" s="2553"/>
      <c r="B38" s="1479"/>
      <c r="C38" s="1480"/>
      <c r="D38" s="413"/>
      <c r="E38" s="465"/>
      <c r="F38" s="465" t="s">
        <v>4374</v>
      </c>
      <c r="G38" s="1115">
        <f t="shared" si="7"/>
        <v>14000</v>
      </c>
      <c r="H38" s="1115">
        <v>14000</v>
      </c>
      <c r="I38" s="404"/>
      <c r="J38" s="409"/>
      <c r="K38" s="1670" t="s">
        <v>4375</v>
      </c>
      <c r="L38" s="1671"/>
      <c r="M38" s="1671"/>
      <c r="N38" s="1671"/>
      <c r="O38" s="1672"/>
      <c r="P38" s="1671"/>
      <c r="Q38" s="1671"/>
      <c r="R38" s="1673"/>
      <c r="S38" s="1671"/>
      <c r="T38" s="1672"/>
      <c r="U38" s="1671"/>
      <c r="V38" s="1671"/>
      <c r="W38" s="1671"/>
      <c r="X38" s="1671"/>
      <c r="Y38" s="1671"/>
      <c r="Z38" s="1674">
        <f t="shared" si="5"/>
        <v>14000</v>
      </c>
      <c r="AA38" s="2699">
        <f>AA39+AA40+AA41+AA42+AA43</f>
        <v>14000000</v>
      </c>
      <c r="AB38" s="301"/>
      <c r="AC38" s="301"/>
    </row>
    <row r="39" spans="1:29" s="2558" customFormat="1" ht="21.95" customHeight="1">
      <c r="A39" s="2553"/>
      <c r="B39" s="1479"/>
      <c r="C39" s="1480"/>
      <c r="D39" s="413"/>
      <c r="E39" s="465"/>
      <c r="F39" s="465"/>
      <c r="G39" s="1115"/>
      <c r="H39" s="1115"/>
      <c r="I39" s="404"/>
      <c r="J39" s="409"/>
      <c r="K39" s="1670" t="s">
        <v>4656</v>
      </c>
      <c r="L39" s="1671"/>
      <c r="M39" s="1671"/>
      <c r="N39" s="1671"/>
      <c r="O39" s="1672"/>
      <c r="P39" s="1671"/>
      <c r="Q39" s="1671"/>
      <c r="R39" s="1673"/>
      <c r="S39" s="1671"/>
      <c r="T39" s="1672">
        <v>3600000</v>
      </c>
      <c r="U39" s="1671" t="s">
        <v>3370</v>
      </c>
      <c r="V39" s="1671"/>
      <c r="W39" s="1671">
        <v>1</v>
      </c>
      <c r="X39" s="1671" t="s">
        <v>4376</v>
      </c>
      <c r="Y39" s="1671" t="s">
        <v>3372</v>
      </c>
      <c r="Z39" s="1674">
        <f t="shared" si="5"/>
        <v>3600</v>
      </c>
      <c r="AA39" s="2700">
        <f t="shared" ref="AA39:AA45" si="8">W39*T39</f>
        <v>3600000</v>
      </c>
      <c r="AB39" s="301"/>
      <c r="AC39" s="301"/>
    </row>
    <row r="40" spans="1:29" s="2558" customFormat="1" ht="21.95" customHeight="1">
      <c r="A40" s="2553"/>
      <c r="B40" s="1479"/>
      <c r="C40" s="1480"/>
      <c r="D40" s="413"/>
      <c r="E40" s="465"/>
      <c r="F40" s="465"/>
      <c r="G40" s="1115"/>
      <c r="H40" s="1115"/>
      <c r="I40" s="404"/>
      <c r="J40" s="409"/>
      <c r="K40" s="1670" t="s">
        <v>4657</v>
      </c>
      <c r="L40" s="1671"/>
      <c r="M40" s="1671"/>
      <c r="N40" s="1671"/>
      <c r="O40" s="1672"/>
      <c r="P40" s="1671"/>
      <c r="Q40" s="1671"/>
      <c r="R40" s="1673"/>
      <c r="S40" s="1671"/>
      <c r="T40" s="1672">
        <v>3000000</v>
      </c>
      <c r="U40" s="1671" t="s">
        <v>3370</v>
      </c>
      <c r="V40" s="1671"/>
      <c r="W40" s="1671">
        <v>1</v>
      </c>
      <c r="X40" s="1671" t="s">
        <v>4376</v>
      </c>
      <c r="Y40" s="1671" t="s">
        <v>3372</v>
      </c>
      <c r="Z40" s="1674">
        <f t="shared" si="5"/>
        <v>3000</v>
      </c>
      <c r="AA40" s="2700">
        <f t="shared" si="8"/>
        <v>3000000</v>
      </c>
      <c r="AB40" s="301"/>
      <c r="AC40" s="301"/>
    </row>
    <row r="41" spans="1:29" s="2558" customFormat="1" ht="21.95" customHeight="1">
      <c r="A41" s="2553"/>
      <c r="B41" s="1479"/>
      <c r="C41" s="1480"/>
      <c r="D41" s="413"/>
      <c r="E41" s="465"/>
      <c r="F41" s="465"/>
      <c r="G41" s="1115"/>
      <c r="H41" s="1115"/>
      <c r="I41" s="404"/>
      <c r="J41" s="409"/>
      <c r="K41" s="1670" t="s">
        <v>4658</v>
      </c>
      <c r="L41" s="1671"/>
      <c r="M41" s="1671"/>
      <c r="N41" s="1671"/>
      <c r="O41" s="1672"/>
      <c r="P41" s="1671"/>
      <c r="Q41" s="1671"/>
      <c r="R41" s="1673"/>
      <c r="S41" s="1671"/>
      <c r="T41" s="1672">
        <v>3500000</v>
      </c>
      <c r="U41" s="1671" t="s">
        <v>3370</v>
      </c>
      <c r="V41" s="1671"/>
      <c r="W41" s="1673">
        <v>1</v>
      </c>
      <c r="X41" s="1671" t="s">
        <v>4376</v>
      </c>
      <c r="Y41" s="1671" t="s">
        <v>3372</v>
      </c>
      <c r="Z41" s="1674">
        <f t="shared" si="5"/>
        <v>3500</v>
      </c>
      <c r="AA41" s="2700">
        <f t="shared" si="8"/>
        <v>3500000</v>
      </c>
      <c r="AB41" s="301"/>
      <c r="AC41" s="301"/>
    </row>
    <row r="42" spans="1:29" s="2558" customFormat="1" ht="21.95" customHeight="1">
      <c r="A42" s="2553"/>
      <c r="B42" s="1479"/>
      <c r="C42" s="1480"/>
      <c r="D42" s="413"/>
      <c r="E42" s="465"/>
      <c r="F42" s="465"/>
      <c r="G42" s="1115"/>
      <c r="H42" s="1115"/>
      <c r="I42" s="404"/>
      <c r="J42" s="409"/>
      <c r="K42" s="1670" t="s">
        <v>4659</v>
      </c>
      <c r="L42" s="1671"/>
      <c r="M42" s="1671"/>
      <c r="N42" s="1671"/>
      <c r="O42" s="1672"/>
      <c r="P42" s="1671"/>
      <c r="Q42" s="1671"/>
      <c r="R42" s="1673"/>
      <c r="S42" s="1671"/>
      <c r="T42" s="1672">
        <v>1600000</v>
      </c>
      <c r="U42" s="1671" t="s">
        <v>3370</v>
      </c>
      <c r="V42" s="1671"/>
      <c r="W42" s="1671">
        <v>2</v>
      </c>
      <c r="X42" s="1671" t="s">
        <v>4376</v>
      </c>
      <c r="Y42" s="1671" t="s">
        <v>3372</v>
      </c>
      <c r="Z42" s="1674">
        <f t="shared" si="5"/>
        <v>3200</v>
      </c>
      <c r="AA42" s="2700">
        <f t="shared" si="8"/>
        <v>3200000</v>
      </c>
      <c r="AB42" s="301"/>
      <c r="AC42" s="301"/>
    </row>
    <row r="43" spans="1:29" s="2558" customFormat="1" ht="21.95" customHeight="1">
      <c r="A43" s="2553"/>
      <c r="B43" s="1479"/>
      <c r="C43" s="1480"/>
      <c r="D43" s="413"/>
      <c r="E43" s="465"/>
      <c r="F43" s="465"/>
      <c r="G43" s="1115"/>
      <c r="H43" s="1115"/>
      <c r="I43" s="404"/>
      <c r="J43" s="409"/>
      <c r="K43" s="1670" t="s">
        <v>4660</v>
      </c>
      <c r="L43" s="1671"/>
      <c r="M43" s="1671"/>
      <c r="N43" s="1671"/>
      <c r="O43" s="1672"/>
      <c r="P43" s="1671"/>
      <c r="Q43" s="1671"/>
      <c r="R43" s="1673"/>
      <c r="S43" s="1671"/>
      <c r="T43" s="1672">
        <v>700000</v>
      </c>
      <c r="U43" s="1671" t="s">
        <v>3370</v>
      </c>
      <c r="V43" s="1671"/>
      <c r="W43" s="1671">
        <v>1</v>
      </c>
      <c r="X43" s="1671" t="s">
        <v>4376</v>
      </c>
      <c r="Y43" s="1671" t="s">
        <v>3372</v>
      </c>
      <c r="Z43" s="1674">
        <f t="shared" si="5"/>
        <v>700</v>
      </c>
      <c r="AA43" s="2700">
        <f t="shared" si="8"/>
        <v>700000</v>
      </c>
      <c r="AB43" s="301"/>
      <c r="AC43" s="301"/>
    </row>
    <row r="44" spans="1:29" s="2558" customFormat="1" ht="21.95" customHeight="1">
      <c r="A44" s="2553"/>
      <c r="B44" s="1479"/>
      <c r="C44" s="1480"/>
      <c r="D44" s="413"/>
      <c r="E44" s="465"/>
      <c r="F44" s="465" t="s">
        <v>3437</v>
      </c>
      <c r="G44" s="1115">
        <f t="shared" ref="G44:G46" si="9">Z44</f>
        <v>8000</v>
      </c>
      <c r="H44" s="1115">
        <v>8000</v>
      </c>
      <c r="I44" s="404"/>
      <c r="J44" s="409"/>
      <c r="K44" s="1670" t="s">
        <v>4377</v>
      </c>
      <c r="L44" s="1671"/>
      <c r="M44" s="1671"/>
      <c r="N44" s="1671"/>
      <c r="O44" s="1672"/>
      <c r="P44" s="1672"/>
      <c r="Q44" s="1671"/>
      <c r="R44" s="1673"/>
      <c r="S44" s="1671"/>
      <c r="T44" s="1672">
        <v>8000000</v>
      </c>
      <c r="U44" s="1671" t="s">
        <v>3370</v>
      </c>
      <c r="V44" s="1671"/>
      <c r="W44" s="1673">
        <v>1</v>
      </c>
      <c r="X44" s="1671" t="s">
        <v>4376</v>
      </c>
      <c r="Y44" s="1671" t="s">
        <v>3372</v>
      </c>
      <c r="Z44" s="1674">
        <f t="shared" si="5"/>
        <v>8000</v>
      </c>
      <c r="AA44" s="2700">
        <f t="shared" si="8"/>
        <v>8000000</v>
      </c>
      <c r="AB44" s="301"/>
      <c r="AC44" s="301"/>
    </row>
    <row r="45" spans="1:29" s="2558" customFormat="1" ht="21.95" customHeight="1">
      <c r="A45" s="2553"/>
      <c r="B45" s="1479"/>
      <c r="C45" s="1480"/>
      <c r="D45" s="413"/>
      <c r="E45" s="465"/>
      <c r="F45" s="465" t="s">
        <v>4378</v>
      </c>
      <c r="G45" s="1115">
        <f t="shared" si="9"/>
        <v>800</v>
      </c>
      <c r="H45" s="1115">
        <v>800</v>
      </c>
      <c r="I45" s="404"/>
      <c r="J45" s="409"/>
      <c r="K45" s="1670" t="s">
        <v>4379</v>
      </c>
      <c r="L45" s="1671"/>
      <c r="M45" s="1671"/>
      <c r="N45" s="1671"/>
      <c r="O45" s="1672"/>
      <c r="P45" s="1672"/>
      <c r="Q45" s="1671"/>
      <c r="R45" s="1673"/>
      <c r="S45" s="1671"/>
      <c r="T45" s="1672">
        <v>200000</v>
      </c>
      <c r="U45" s="1671" t="s">
        <v>3370</v>
      </c>
      <c r="V45" s="1671"/>
      <c r="W45" s="1671">
        <v>4</v>
      </c>
      <c r="X45" s="1671" t="s">
        <v>3371</v>
      </c>
      <c r="Y45" s="1671" t="s">
        <v>3372</v>
      </c>
      <c r="Z45" s="1674">
        <f t="shared" si="5"/>
        <v>800</v>
      </c>
      <c r="AA45" s="2700">
        <f t="shared" si="8"/>
        <v>800000</v>
      </c>
      <c r="AB45" s="301"/>
      <c r="AC45" s="301"/>
    </row>
    <row r="46" spans="1:29" s="2558" customFormat="1" ht="21.95" customHeight="1">
      <c r="A46" s="2553"/>
      <c r="B46" s="1479"/>
      <c r="C46" s="1480"/>
      <c r="D46" s="413"/>
      <c r="E46" s="465"/>
      <c r="F46" s="465" t="s">
        <v>4380</v>
      </c>
      <c r="G46" s="1115">
        <f t="shared" si="9"/>
        <v>12400</v>
      </c>
      <c r="H46" s="1115">
        <v>12400</v>
      </c>
      <c r="I46" s="404"/>
      <c r="J46" s="409"/>
      <c r="K46" s="1670" t="s">
        <v>4358</v>
      </c>
      <c r="L46" s="1671"/>
      <c r="M46" s="1671"/>
      <c r="N46" s="1671"/>
      <c r="O46" s="1672"/>
      <c r="P46" s="1672"/>
      <c r="Q46" s="1671"/>
      <c r="R46" s="1673"/>
      <c r="S46" s="1671"/>
      <c r="T46" s="1671"/>
      <c r="U46" s="1671"/>
      <c r="V46" s="1671"/>
      <c r="W46" s="1671"/>
      <c r="X46" s="1671"/>
      <c r="Y46" s="1671"/>
      <c r="Z46" s="1674">
        <f t="shared" si="5"/>
        <v>12400</v>
      </c>
      <c r="AA46" s="982">
        <f>AA47+AA48</f>
        <v>12400000</v>
      </c>
      <c r="AB46" s="301"/>
      <c r="AC46" s="301"/>
    </row>
    <row r="47" spans="1:29" s="2558" customFormat="1" ht="21.6" customHeight="1">
      <c r="A47" s="2553"/>
      <c r="B47" s="1479"/>
      <c r="C47" s="1480"/>
      <c r="D47" s="413"/>
      <c r="E47" s="465"/>
      <c r="F47" s="465"/>
      <c r="G47" s="1115"/>
      <c r="H47" s="1115"/>
      <c r="I47" s="404"/>
      <c r="J47" s="409"/>
      <c r="K47" s="1670" t="s">
        <v>4661</v>
      </c>
      <c r="L47" s="1671"/>
      <c r="M47" s="1671"/>
      <c r="N47" s="1671"/>
      <c r="O47" s="1672"/>
      <c r="P47" s="1672"/>
      <c r="Q47" s="1671"/>
      <c r="R47" s="1673">
        <v>5</v>
      </c>
      <c r="S47" s="1671" t="s">
        <v>4381</v>
      </c>
      <c r="T47" s="1671">
        <v>140000</v>
      </c>
      <c r="U47" s="1671" t="s">
        <v>3370</v>
      </c>
      <c r="V47" s="1671"/>
      <c r="W47" s="1671">
        <v>12</v>
      </c>
      <c r="X47" s="1671" t="s">
        <v>4382</v>
      </c>
      <c r="Y47" s="1671" t="s">
        <v>3372</v>
      </c>
      <c r="Z47" s="1674">
        <f t="shared" si="5"/>
        <v>8400</v>
      </c>
      <c r="AA47" s="982">
        <f>W47*T47*R47</f>
        <v>8400000</v>
      </c>
      <c r="AB47" s="301"/>
      <c r="AC47" s="301"/>
    </row>
    <row r="48" spans="1:29" s="2558" customFormat="1" ht="21.6" customHeight="1">
      <c r="A48" s="2553"/>
      <c r="B48" s="1479"/>
      <c r="C48" s="1480"/>
      <c r="D48" s="413"/>
      <c r="E48" s="465"/>
      <c r="F48" s="465"/>
      <c r="G48" s="1115"/>
      <c r="H48" s="1115"/>
      <c r="I48" s="404"/>
      <c r="J48" s="409"/>
      <c r="K48" s="1670" t="s">
        <v>4662</v>
      </c>
      <c r="L48" s="1671"/>
      <c r="M48" s="1671"/>
      <c r="N48" s="1671"/>
      <c r="O48" s="1672"/>
      <c r="P48" s="1672"/>
      <c r="Q48" s="1671"/>
      <c r="R48" s="1673">
        <v>1</v>
      </c>
      <c r="S48" s="1671" t="s">
        <v>4381</v>
      </c>
      <c r="T48" s="1671">
        <v>4000000</v>
      </c>
      <c r="U48" s="1671" t="s">
        <v>3370</v>
      </c>
      <c r="V48" s="1671"/>
      <c r="W48" s="1671">
        <v>1</v>
      </c>
      <c r="X48" s="1671" t="s">
        <v>3371</v>
      </c>
      <c r="Y48" s="1671" t="s">
        <v>3372</v>
      </c>
      <c r="Z48" s="1674">
        <f t="shared" si="5"/>
        <v>4000</v>
      </c>
      <c r="AA48" s="982">
        <f>W48*T48*R48</f>
        <v>4000000</v>
      </c>
      <c r="AB48" s="301"/>
      <c r="AC48" s="301"/>
    </row>
    <row r="49" spans="1:29" s="2558" customFormat="1" ht="21.6" customHeight="1">
      <c r="A49" s="2553"/>
      <c r="B49" s="1479"/>
      <c r="C49" s="1480"/>
      <c r="D49" s="413"/>
      <c r="E49" s="465"/>
      <c r="F49" s="465" t="s">
        <v>4383</v>
      </c>
      <c r="G49" s="1115">
        <f t="shared" ref="G49:G51" si="10">Z49</f>
        <v>1200</v>
      </c>
      <c r="H49" s="1115">
        <v>1200</v>
      </c>
      <c r="I49" s="404"/>
      <c r="J49" s="409"/>
      <c r="K49" s="1670" t="s">
        <v>4663</v>
      </c>
      <c r="L49" s="1671"/>
      <c r="M49" s="1671"/>
      <c r="N49" s="1671"/>
      <c r="O49" s="1672"/>
      <c r="P49" s="1672"/>
      <c r="Q49" s="1671"/>
      <c r="R49" s="1673"/>
      <c r="S49" s="1671"/>
      <c r="T49" s="1671">
        <v>100000</v>
      </c>
      <c r="U49" s="1671" t="s">
        <v>3370</v>
      </c>
      <c r="V49" s="1671"/>
      <c r="W49" s="1671">
        <v>12</v>
      </c>
      <c r="X49" s="1671" t="s">
        <v>4382</v>
      </c>
      <c r="Y49" s="1671" t="s">
        <v>3372</v>
      </c>
      <c r="Z49" s="1674">
        <f t="shared" si="5"/>
        <v>1200</v>
      </c>
      <c r="AA49" s="2700">
        <f t="shared" ref="AA49:AA50" si="11">W49*T49</f>
        <v>1200000</v>
      </c>
      <c r="AB49" s="301"/>
      <c r="AC49" s="301"/>
    </row>
    <row r="50" spans="1:29" s="2558" customFormat="1" ht="23.1" customHeight="1">
      <c r="A50" s="2553"/>
      <c r="B50" s="1479"/>
      <c r="C50" s="1480"/>
      <c r="D50" s="413"/>
      <c r="E50" s="465"/>
      <c r="F50" s="465" t="s">
        <v>4384</v>
      </c>
      <c r="G50" s="1115">
        <f t="shared" si="10"/>
        <v>3600</v>
      </c>
      <c r="H50" s="1115">
        <v>3600</v>
      </c>
      <c r="I50" s="404"/>
      <c r="J50" s="409"/>
      <c r="K50" s="1670" t="s">
        <v>4664</v>
      </c>
      <c r="L50" s="1671"/>
      <c r="M50" s="1671"/>
      <c r="N50" s="1671"/>
      <c r="O50" s="1672"/>
      <c r="P50" s="1671"/>
      <c r="Q50" s="1671"/>
      <c r="R50" s="1673"/>
      <c r="S50" s="1671"/>
      <c r="T50" s="1672">
        <v>300000</v>
      </c>
      <c r="U50" s="1671" t="s">
        <v>3370</v>
      </c>
      <c r="V50" s="1671"/>
      <c r="W50" s="1671">
        <v>12</v>
      </c>
      <c r="X50" s="1671" t="s">
        <v>4382</v>
      </c>
      <c r="Y50" s="1671" t="s">
        <v>3372</v>
      </c>
      <c r="Z50" s="1674">
        <f t="shared" si="5"/>
        <v>3600</v>
      </c>
      <c r="AA50" s="2700">
        <f t="shared" si="11"/>
        <v>3600000</v>
      </c>
      <c r="AB50" s="301"/>
      <c r="AC50" s="301"/>
    </row>
    <row r="51" spans="1:29" s="587" customFormat="1" ht="23.1" customHeight="1">
      <c r="A51" s="586"/>
      <c r="B51" s="1479"/>
      <c r="C51" s="1480"/>
      <c r="D51" s="413"/>
      <c r="E51" s="465"/>
      <c r="F51" s="465" t="s">
        <v>4385</v>
      </c>
      <c r="G51" s="1115">
        <f t="shared" si="10"/>
        <v>500</v>
      </c>
      <c r="H51" s="1115">
        <v>500</v>
      </c>
      <c r="I51" s="1712"/>
      <c r="J51" s="1438"/>
      <c r="K51" s="1670" t="s">
        <v>4665</v>
      </c>
      <c r="L51" s="1671"/>
      <c r="M51" s="1671"/>
      <c r="N51" s="1671"/>
      <c r="O51" s="1672"/>
      <c r="P51" s="371"/>
      <c r="Q51" s="371"/>
      <c r="R51" s="368">
        <v>5</v>
      </c>
      <c r="S51" s="371" t="s">
        <v>4381</v>
      </c>
      <c r="T51" s="458">
        <v>100000</v>
      </c>
      <c r="U51" s="371" t="s">
        <v>3370</v>
      </c>
      <c r="V51" s="371"/>
      <c r="W51" s="371"/>
      <c r="X51" s="371"/>
      <c r="Y51" s="371" t="s">
        <v>3372</v>
      </c>
      <c r="Z51" s="1674">
        <f>AA51/1000</f>
        <v>500</v>
      </c>
      <c r="AA51" s="2699">
        <f>T51*R51</f>
        <v>500000</v>
      </c>
      <c r="AB51" s="588"/>
      <c r="AC51" s="588"/>
    </row>
    <row r="52" spans="1:29" s="2558" customFormat="1" ht="23.1" customHeight="1">
      <c r="A52" s="2553"/>
      <c r="B52" s="1479"/>
      <c r="C52" s="982"/>
      <c r="D52" s="3277" t="s">
        <v>4386</v>
      </c>
      <c r="E52" s="3271"/>
      <c r="F52" s="3272"/>
      <c r="G52" s="1484">
        <f>G53+G56+G74</f>
        <v>631500</v>
      </c>
      <c r="H52" s="1484">
        <f>H53+H56+H74</f>
        <v>631500</v>
      </c>
      <c r="I52" s="386">
        <f t="shared" ref="I52:I53" si="12">G52-H52</f>
        <v>0</v>
      </c>
      <c r="J52" s="409"/>
      <c r="K52" s="835"/>
      <c r="L52" s="462"/>
      <c r="M52" s="462"/>
      <c r="N52" s="462"/>
      <c r="O52" s="399"/>
      <c r="P52" s="371"/>
      <c r="Q52" s="371"/>
      <c r="R52" s="368"/>
      <c r="S52" s="371"/>
      <c r="T52" s="371"/>
      <c r="U52" s="371"/>
      <c r="V52" s="371"/>
      <c r="W52" s="371"/>
      <c r="X52" s="371"/>
      <c r="Y52" s="371"/>
      <c r="Z52" s="377"/>
      <c r="AA52" s="440"/>
      <c r="AB52" s="301"/>
      <c r="AC52" s="301"/>
    </row>
    <row r="53" spans="1:29" s="2558" customFormat="1" ht="23.1" customHeight="1">
      <c r="A53" s="2553"/>
      <c r="B53" s="1479"/>
      <c r="C53" s="1480"/>
      <c r="D53" s="413"/>
      <c r="E53" s="859" t="s">
        <v>4387</v>
      </c>
      <c r="F53" s="930"/>
      <c r="G53" s="1478">
        <f>SUM(G54:G55)</f>
        <v>250000</v>
      </c>
      <c r="H53" s="1478">
        <f>SUM(H54:H55)</f>
        <v>250000</v>
      </c>
      <c r="I53" s="386">
        <f t="shared" si="12"/>
        <v>0</v>
      </c>
      <c r="J53" s="409"/>
      <c r="K53" s="830"/>
      <c r="L53" s="371"/>
      <c r="M53" s="371"/>
      <c r="N53" s="371"/>
      <c r="O53" s="458"/>
      <c r="P53" s="371"/>
      <c r="Q53" s="371"/>
      <c r="R53" s="368"/>
      <c r="S53" s="371"/>
      <c r="T53" s="371"/>
      <c r="U53" s="371"/>
      <c r="V53" s="371"/>
      <c r="W53" s="371"/>
      <c r="X53" s="371"/>
      <c r="Y53" s="371"/>
      <c r="Z53" s="345"/>
      <c r="AA53" s="1413"/>
      <c r="AB53" s="301"/>
      <c r="AC53" s="301"/>
    </row>
    <row r="54" spans="1:29" s="2558" customFormat="1" ht="23.1" customHeight="1">
      <c r="A54" s="2553"/>
      <c r="B54" s="1479"/>
      <c r="C54" s="1480"/>
      <c r="D54" s="413"/>
      <c r="E54" s="402"/>
      <c r="F54" s="809" t="s">
        <v>3430</v>
      </c>
      <c r="G54" s="1481">
        <f>Z54</f>
        <v>235000</v>
      </c>
      <c r="H54" s="2961">
        <v>250000</v>
      </c>
      <c r="I54" s="908">
        <f>G54-H54</f>
        <v>-15000</v>
      </c>
      <c r="J54" s="409"/>
      <c r="K54" s="1670" t="s">
        <v>5727</v>
      </c>
      <c r="L54" s="1671"/>
      <c r="M54" s="1671"/>
      <c r="N54" s="1671"/>
      <c r="O54" s="1672"/>
      <c r="P54" s="1671"/>
      <c r="Q54" s="1671"/>
      <c r="R54" s="1673"/>
      <c r="S54" s="1671"/>
      <c r="T54" s="806">
        <v>100000</v>
      </c>
      <c r="U54" s="1671" t="s">
        <v>5454</v>
      </c>
      <c r="V54" s="1671"/>
      <c r="W54" s="1671">
        <v>2350</v>
      </c>
      <c r="X54" s="1671" t="s">
        <v>5559</v>
      </c>
      <c r="Y54" s="1671" t="s">
        <v>5456</v>
      </c>
      <c r="Z54" s="1674">
        <f>T54*W54/1000</f>
        <v>235000</v>
      </c>
      <c r="AA54" s="1413">
        <f>T54*W54</f>
        <v>235000000</v>
      </c>
      <c r="AB54" s="301"/>
      <c r="AC54" s="301"/>
    </row>
    <row r="55" spans="1:29" s="2558" customFormat="1" ht="23.1" customHeight="1">
      <c r="A55" s="2553"/>
      <c r="B55" s="1380"/>
      <c r="C55" s="1480"/>
      <c r="D55" s="413"/>
      <c r="E55" s="402"/>
      <c r="F55" s="819" t="s">
        <v>5704</v>
      </c>
      <c r="G55" s="1478">
        <f>Z55</f>
        <v>15000</v>
      </c>
      <c r="H55" s="886">
        <v>0</v>
      </c>
      <c r="I55" s="391">
        <f>G55-H55</f>
        <v>15000</v>
      </c>
      <c r="J55" s="409"/>
      <c r="K55" s="1670" t="s">
        <v>5728</v>
      </c>
      <c r="L55" s="1671"/>
      <c r="M55" s="1671"/>
      <c r="N55" s="1671"/>
      <c r="O55" s="1672"/>
      <c r="P55" s="1671"/>
      <c r="Q55" s="1671"/>
      <c r="R55" s="1673"/>
      <c r="S55" s="1671"/>
      <c r="T55" s="806">
        <v>15000000</v>
      </c>
      <c r="U55" s="1671" t="s">
        <v>5454</v>
      </c>
      <c r="V55" s="1671"/>
      <c r="W55" s="1671">
        <v>1</v>
      </c>
      <c r="X55" s="1671" t="s">
        <v>5457</v>
      </c>
      <c r="Y55" s="1671" t="s">
        <v>5456</v>
      </c>
      <c r="Z55" s="1674">
        <f>T55*W55/1000</f>
        <v>15000</v>
      </c>
      <c r="AA55" s="1413">
        <f>T55*W55</f>
        <v>15000000</v>
      </c>
      <c r="AB55" s="301"/>
      <c r="AC55" s="301"/>
    </row>
    <row r="56" spans="1:29" s="2558" customFormat="1" ht="23.1" customHeight="1">
      <c r="A56" s="2553"/>
      <c r="B56" s="1380"/>
      <c r="C56" s="1381"/>
      <c r="D56" s="413"/>
      <c r="E56" s="864" t="s">
        <v>4389</v>
      </c>
      <c r="F56" s="1447"/>
      <c r="G56" s="1484">
        <f>SUM(G57:G73)</f>
        <v>329000</v>
      </c>
      <c r="H56" s="1484">
        <f>SUM(H57:H73)</f>
        <v>329000</v>
      </c>
      <c r="I56" s="386">
        <f t="shared" ref="I56" si="13">G56-H56</f>
        <v>0</v>
      </c>
      <c r="J56" s="409"/>
      <c r="K56" s="835"/>
      <c r="L56" s="462"/>
      <c r="M56" s="462"/>
      <c r="N56" s="462"/>
      <c r="O56" s="399"/>
      <c r="P56" s="399"/>
      <c r="Q56" s="462"/>
      <c r="R56" s="836"/>
      <c r="S56" s="462"/>
      <c r="T56" s="462"/>
      <c r="U56" s="462"/>
      <c r="V56" s="462"/>
      <c r="W56" s="462"/>
      <c r="X56" s="462"/>
      <c r="Y56" s="462"/>
      <c r="Z56" s="377" t="s">
        <v>3364</v>
      </c>
      <c r="AA56" s="1413"/>
      <c r="AB56" s="301"/>
      <c r="AC56" s="301"/>
    </row>
    <row r="57" spans="1:29" s="2558" customFormat="1" ht="23.1" customHeight="1">
      <c r="A57" s="2553"/>
      <c r="B57" s="1380"/>
      <c r="C57" s="1381"/>
      <c r="D57" s="413"/>
      <c r="E57" s="809"/>
      <c r="F57" s="465" t="s">
        <v>4374</v>
      </c>
      <c r="G57" s="1115">
        <f>Z57</f>
        <v>179000</v>
      </c>
      <c r="H57" s="1115">
        <v>179000</v>
      </c>
      <c r="I57" s="391"/>
      <c r="J57" s="409"/>
      <c r="K57" s="1670" t="s">
        <v>3368</v>
      </c>
      <c r="L57" s="1671"/>
      <c r="M57" s="1483"/>
      <c r="N57" s="1671"/>
      <c r="O57" s="1672"/>
      <c r="P57" s="1672"/>
      <c r="Q57" s="1671"/>
      <c r="R57" s="1673"/>
      <c r="S57" s="1671"/>
      <c r="T57" s="1671"/>
      <c r="U57" s="1671"/>
      <c r="V57" s="1671"/>
      <c r="W57" s="1671"/>
      <c r="X57" s="1671"/>
      <c r="Y57" s="1671"/>
      <c r="Z57" s="1674">
        <f>Z58+Z59+Z60</f>
        <v>179000</v>
      </c>
      <c r="AA57" s="1413">
        <f>AA58+AA59+AA60</f>
        <v>179000000</v>
      </c>
      <c r="AB57" s="301"/>
      <c r="AC57" s="301"/>
    </row>
    <row r="58" spans="1:29" s="2558" customFormat="1" ht="23.1" customHeight="1">
      <c r="A58" s="2553"/>
      <c r="B58" s="1380"/>
      <c r="C58" s="1381"/>
      <c r="D58" s="413"/>
      <c r="E58" s="465"/>
      <c r="F58" s="465"/>
      <c r="G58" s="1115"/>
      <c r="H58" s="1115"/>
      <c r="I58" s="391"/>
      <c r="J58" s="409"/>
      <c r="K58" s="1670" t="s">
        <v>4390</v>
      </c>
      <c r="L58" s="1671"/>
      <c r="M58" s="1483"/>
      <c r="N58" s="1671"/>
      <c r="O58" s="1672"/>
      <c r="P58" s="1672"/>
      <c r="Q58" s="1671"/>
      <c r="R58" s="1673"/>
      <c r="S58" s="1671"/>
      <c r="T58" s="1671">
        <v>400000</v>
      </c>
      <c r="U58" s="1671" t="s">
        <v>4391</v>
      </c>
      <c r="V58" s="1671"/>
      <c r="W58" s="1671">
        <v>10</v>
      </c>
      <c r="X58" s="1671" t="s">
        <v>4392</v>
      </c>
      <c r="Y58" s="1671" t="s">
        <v>4393</v>
      </c>
      <c r="Z58" s="1674">
        <f>AA58/1000</f>
        <v>4000</v>
      </c>
      <c r="AA58" s="1413">
        <f t="shared" ref="AA58:AA60" si="14">W58*T58</f>
        <v>4000000</v>
      </c>
      <c r="AB58" s="301"/>
      <c r="AC58" s="301"/>
    </row>
    <row r="59" spans="1:29" s="2558" customFormat="1" ht="23.1" customHeight="1">
      <c r="A59" s="2553"/>
      <c r="B59" s="1380"/>
      <c r="C59" s="1381"/>
      <c r="D59" s="413"/>
      <c r="E59" s="465"/>
      <c r="F59" s="465"/>
      <c r="G59" s="1115"/>
      <c r="H59" s="1115"/>
      <c r="I59" s="391"/>
      <c r="J59" s="409"/>
      <c r="K59" s="1670" t="s">
        <v>4394</v>
      </c>
      <c r="L59" s="1671"/>
      <c r="M59" s="1671"/>
      <c r="N59" s="1671"/>
      <c r="O59" s="1672"/>
      <c r="P59" s="1671"/>
      <c r="Q59" s="1671"/>
      <c r="R59" s="1673"/>
      <c r="S59" s="1671"/>
      <c r="T59" s="1672">
        <v>142000000</v>
      </c>
      <c r="U59" s="1671" t="s">
        <v>4391</v>
      </c>
      <c r="V59" s="1671"/>
      <c r="W59" s="1671">
        <v>1</v>
      </c>
      <c r="X59" s="1671" t="s">
        <v>4392</v>
      </c>
      <c r="Y59" s="1671" t="s">
        <v>4393</v>
      </c>
      <c r="Z59" s="1674">
        <f t="shared" ref="Z59:Z60" si="15">AA59/1000</f>
        <v>142000</v>
      </c>
      <c r="AA59" s="1413">
        <f t="shared" si="14"/>
        <v>142000000</v>
      </c>
      <c r="AB59" s="301"/>
      <c r="AC59" s="301"/>
    </row>
    <row r="60" spans="1:29" s="2558" customFormat="1" ht="23.1" customHeight="1">
      <c r="A60" s="2553"/>
      <c r="B60" s="1380"/>
      <c r="C60" s="1381"/>
      <c r="D60" s="413"/>
      <c r="E60" s="465"/>
      <c r="F60" s="465"/>
      <c r="G60" s="1115"/>
      <c r="H60" s="1115"/>
      <c r="I60" s="391"/>
      <c r="J60" s="409"/>
      <c r="K60" s="1670" t="s">
        <v>4395</v>
      </c>
      <c r="L60" s="1671"/>
      <c r="M60" s="1671"/>
      <c r="N60" s="1671"/>
      <c r="O60" s="1672"/>
      <c r="P60" s="1671"/>
      <c r="Q60" s="1671"/>
      <c r="R60" s="1673"/>
      <c r="S60" s="1671"/>
      <c r="T60" s="1672">
        <v>33000000</v>
      </c>
      <c r="U60" s="1671" t="s">
        <v>4391</v>
      </c>
      <c r="V60" s="1671"/>
      <c r="W60" s="1671">
        <v>1</v>
      </c>
      <c r="X60" s="1671" t="s">
        <v>4392</v>
      </c>
      <c r="Y60" s="1671" t="s">
        <v>4393</v>
      </c>
      <c r="Z60" s="1674">
        <f t="shared" si="15"/>
        <v>33000</v>
      </c>
      <c r="AA60" s="1413">
        <f t="shared" si="14"/>
        <v>33000000</v>
      </c>
      <c r="AB60" s="301"/>
      <c r="AC60" s="301"/>
    </row>
    <row r="61" spans="1:29" s="2558" customFormat="1" ht="23.1" customHeight="1">
      <c r="A61" s="2553"/>
      <c r="B61" s="1380"/>
      <c r="C61" s="1381"/>
      <c r="D61" s="413"/>
      <c r="E61" s="465"/>
      <c r="F61" s="465" t="s">
        <v>4396</v>
      </c>
      <c r="G61" s="1115">
        <f>Z61</f>
        <v>3600</v>
      </c>
      <c r="H61" s="1115">
        <v>3600</v>
      </c>
      <c r="I61" s="391"/>
      <c r="J61" s="409"/>
      <c r="K61" s="1670" t="s">
        <v>4397</v>
      </c>
      <c r="L61" s="1671"/>
      <c r="M61" s="1483"/>
      <c r="N61" s="1671"/>
      <c r="O61" s="1672"/>
      <c r="P61" s="1672"/>
      <c r="Q61" s="1671"/>
      <c r="R61" s="1673"/>
      <c r="S61" s="1671"/>
      <c r="T61" s="1671"/>
      <c r="U61" s="1671"/>
      <c r="V61" s="1671"/>
      <c r="W61" s="1671"/>
      <c r="X61" s="1671"/>
      <c r="Y61" s="1671"/>
      <c r="Z61" s="1674">
        <f>Z62+Z63</f>
        <v>3600</v>
      </c>
      <c r="AA61" s="1413">
        <f>AA62+AA63</f>
        <v>3600000</v>
      </c>
      <c r="AB61" s="301"/>
      <c r="AC61" s="301"/>
    </row>
    <row r="62" spans="1:29" s="2558" customFormat="1" ht="23.1" customHeight="1">
      <c r="A62" s="2553"/>
      <c r="B62" s="1380"/>
      <c r="C62" s="1381"/>
      <c r="D62" s="413"/>
      <c r="E62" s="465"/>
      <c r="F62" s="465"/>
      <c r="G62" s="1115"/>
      <c r="H62" s="1115"/>
      <c r="I62" s="391"/>
      <c r="J62" s="409"/>
      <c r="K62" s="1670" t="s">
        <v>4398</v>
      </c>
      <c r="L62" s="1671"/>
      <c r="M62" s="1671"/>
      <c r="N62" s="1671"/>
      <c r="O62" s="1672"/>
      <c r="P62" s="1671"/>
      <c r="Q62" s="1671"/>
      <c r="R62" s="1673">
        <v>7</v>
      </c>
      <c r="S62" s="1671" t="s">
        <v>4399</v>
      </c>
      <c r="T62" s="806">
        <v>200000</v>
      </c>
      <c r="U62" s="1671" t="s">
        <v>0</v>
      </c>
      <c r="V62" s="1671"/>
      <c r="W62" s="1671">
        <v>2</v>
      </c>
      <c r="X62" s="1671" t="s">
        <v>4400</v>
      </c>
      <c r="Y62" s="1671" t="s">
        <v>1</v>
      </c>
      <c r="Z62" s="1674">
        <f>AA62/1000</f>
        <v>2800</v>
      </c>
      <c r="AA62" s="1413">
        <f>W62*T62*R62</f>
        <v>2800000</v>
      </c>
      <c r="AB62" s="301"/>
      <c r="AC62" s="301"/>
    </row>
    <row r="63" spans="1:29" s="2558" customFormat="1" ht="23.1" customHeight="1">
      <c r="A63" s="2553"/>
      <c r="B63" s="1380"/>
      <c r="C63" s="1381"/>
      <c r="D63" s="413"/>
      <c r="E63" s="465"/>
      <c r="F63" s="465"/>
      <c r="G63" s="1115"/>
      <c r="H63" s="1115"/>
      <c r="I63" s="391"/>
      <c r="J63" s="409"/>
      <c r="K63" s="1670" t="s">
        <v>4401</v>
      </c>
      <c r="L63" s="1671"/>
      <c r="M63" s="1671"/>
      <c r="N63" s="1671"/>
      <c r="O63" s="1672"/>
      <c r="P63" s="1671"/>
      <c r="Q63" s="1671"/>
      <c r="R63" s="1673"/>
      <c r="S63" s="1671"/>
      <c r="T63" s="806">
        <v>200000</v>
      </c>
      <c r="U63" s="1671" t="s">
        <v>4391</v>
      </c>
      <c r="V63" s="1671"/>
      <c r="W63" s="1671">
        <v>4</v>
      </c>
      <c r="X63" s="1671" t="s">
        <v>4402</v>
      </c>
      <c r="Y63" s="1671" t="s">
        <v>4393</v>
      </c>
      <c r="Z63" s="1674">
        <f t="shared" ref="Z63:Z73" si="16">AA63/1000</f>
        <v>800</v>
      </c>
      <c r="AA63" s="1413">
        <f>W63*T63</f>
        <v>800000</v>
      </c>
      <c r="AB63" s="301"/>
      <c r="AC63" s="301"/>
    </row>
    <row r="64" spans="1:29" s="2558" customFormat="1" ht="23.1" customHeight="1">
      <c r="A64" s="2553"/>
      <c r="B64" s="1380"/>
      <c r="C64" s="1381"/>
      <c r="D64" s="413"/>
      <c r="E64" s="465"/>
      <c r="F64" s="465" t="s">
        <v>4403</v>
      </c>
      <c r="G64" s="1115">
        <f>Z64</f>
        <v>146000</v>
      </c>
      <c r="H64" s="1115">
        <v>146000</v>
      </c>
      <c r="I64" s="391"/>
      <c r="J64" s="409"/>
      <c r="K64" s="1670" t="s">
        <v>4397</v>
      </c>
      <c r="L64" s="1671"/>
      <c r="M64" s="1483"/>
      <c r="N64" s="1671"/>
      <c r="O64" s="1672"/>
      <c r="P64" s="1672"/>
      <c r="Q64" s="1671"/>
      <c r="R64" s="1673"/>
      <c r="S64" s="1671"/>
      <c r="T64" s="1671"/>
      <c r="U64" s="1671"/>
      <c r="V64" s="1671"/>
      <c r="W64" s="1671"/>
      <c r="X64" s="1671"/>
      <c r="Y64" s="1671"/>
      <c r="Z64" s="1674">
        <f>AA64/1000</f>
        <v>146000</v>
      </c>
      <c r="AA64" s="1413">
        <f>SUM(AA65:AA70)</f>
        <v>146000000</v>
      </c>
      <c r="AB64" s="301"/>
      <c r="AC64" s="301"/>
    </row>
    <row r="65" spans="1:29" s="2558" customFormat="1" ht="23.1" customHeight="1">
      <c r="A65" s="2553"/>
      <c r="B65" s="1380"/>
      <c r="C65" s="1381"/>
      <c r="D65" s="413"/>
      <c r="E65" s="465"/>
      <c r="F65" s="465"/>
      <c r="G65" s="1115"/>
      <c r="H65" s="1115"/>
      <c r="I65" s="391"/>
      <c r="J65" s="409"/>
      <c r="K65" s="1670" t="s">
        <v>4404</v>
      </c>
      <c r="L65" s="1671"/>
      <c r="M65" s="1483"/>
      <c r="N65" s="1671"/>
      <c r="O65" s="1672"/>
      <c r="P65" s="1672"/>
      <c r="Q65" s="1671"/>
      <c r="R65" s="1673"/>
      <c r="S65" s="1671"/>
      <c r="T65" s="1671">
        <v>48000000</v>
      </c>
      <c r="U65" s="1671" t="s">
        <v>4391</v>
      </c>
      <c r="V65" s="1671"/>
      <c r="W65" s="1671">
        <v>1</v>
      </c>
      <c r="X65" s="1671" t="s">
        <v>4392</v>
      </c>
      <c r="Y65" s="1671" t="s">
        <v>4393</v>
      </c>
      <c r="Z65" s="1674">
        <f t="shared" si="16"/>
        <v>48000</v>
      </c>
      <c r="AA65" s="1413">
        <f>W65*T65</f>
        <v>48000000</v>
      </c>
      <c r="AB65" s="301"/>
      <c r="AC65" s="301"/>
    </row>
    <row r="66" spans="1:29" s="2558" customFormat="1" ht="23.1" customHeight="1">
      <c r="A66" s="2553"/>
      <c r="B66" s="1380"/>
      <c r="C66" s="1381"/>
      <c r="D66" s="413"/>
      <c r="E66" s="465"/>
      <c r="F66" s="465"/>
      <c r="G66" s="1115"/>
      <c r="H66" s="1115"/>
      <c r="I66" s="404"/>
      <c r="J66" s="409"/>
      <c r="K66" s="1670" t="s">
        <v>4405</v>
      </c>
      <c r="L66" s="1671"/>
      <c r="M66" s="1483"/>
      <c r="N66" s="1671"/>
      <c r="O66" s="1672"/>
      <c r="P66" s="1672"/>
      <c r="Q66" s="1671"/>
      <c r="R66" s="1673"/>
      <c r="S66" s="1671"/>
      <c r="T66" s="1671">
        <v>5000000</v>
      </c>
      <c r="U66" s="1671" t="s">
        <v>4391</v>
      </c>
      <c r="V66" s="1671"/>
      <c r="W66" s="1671">
        <v>1</v>
      </c>
      <c r="X66" s="1671" t="s">
        <v>4392</v>
      </c>
      <c r="Y66" s="1671" t="s">
        <v>4393</v>
      </c>
      <c r="Z66" s="1674">
        <f t="shared" si="16"/>
        <v>5000</v>
      </c>
      <c r="AA66" s="1413">
        <f t="shared" ref="AA66:AA70" si="17">W66*T66</f>
        <v>5000000</v>
      </c>
      <c r="AB66" s="301"/>
      <c r="AC66" s="301"/>
    </row>
    <row r="67" spans="1:29" s="587" customFormat="1" ht="23.1" customHeight="1">
      <c r="A67" s="586"/>
      <c r="B67" s="1380"/>
      <c r="C67" s="1381"/>
      <c r="D67" s="413"/>
      <c r="E67" s="465"/>
      <c r="F67" s="465"/>
      <c r="G67" s="1115"/>
      <c r="H67" s="1115"/>
      <c r="I67" s="404"/>
      <c r="J67" s="1438"/>
      <c r="K67" s="1670" t="s">
        <v>4406</v>
      </c>
      <c r="L67" s="1671"/>
      <c r="M67" s="1483"/>
      <c r="N67" s="1671"/>
      <c r="O67" s="1672"/>
      <c r="P67" s="1672"/>
      <c r="Q67" s="1671"/>
      <c r="R67" s="1673"/>
      <c r="S67" s="1671"/>
      <c r="T67" s="1671">
        <v>25000000</v>
      </c>
      <c r="U67" s="1671" t="s">
        <v>4391</v>
      </c>
      <c r="V67" s="1671"/>
      <c r="W67" s="1671">
        <v>1</v>
      </c>
      <c r="X67" s="1671" t="s">
        <v>4392</v>
      </c>
      <c r="Y67" s="1671" t="s">
        <v>4393</v>
      </c>
      <c r="Z67" s="1674">
        <f t="shared" si="16"/>
        <v>25000</v>
      </c>
      <c r="AA67" s="1413">
        <f t="shared" si="17"/>
        <v>25000000</v>
      </c>
      <c r="AB67" s="588"/>
      <c r="AC67" s="588"/>
    </row>
    <row r="68" spans="1:29" s="2558" customFormat="1" ht="23.1" customHeight="1">
      <c r="A68" s="2553"/>
      <c r="B68" s="1380"/>
      <c r="C68" s="1381"/>
      <c r="D68" s="413"/>
      <c r="E68" s="465"/>
      <c r="F68" s="465"/>
      <c r="G68" s="1115"/>
      <c r="H68" s="1115"/>
      <c r="I68" s="404"/>
      <c r="J68" s="409"/>
      <c r="K68" s="1670" t="s">
        <v>4407</v>
      </c>
      <c r="L68" s="1671"/>
      <c r="M68" s="1483"/>
      <c r="N68" s="1671"/>
      <c r="O68" s="1672"/>
      <c r="P68" s="1672"/>
      <c r="Q68" s="1671"/>
      <c r="R68" s="1673"/>
      <c r="S68" s="1671"/>
      <c r="T68" s="1671">
        <v>30000000</v>
      </c>
      <c r="U68" s="1671" t="s">
        <v>4391</v>
      </c>
      <c r="V68" s="1671"/>
      <c r="W68" s="1671">
        <v>1</v>
      </c>
      <c r="X68" s="1671" t="s">
        <v>4392</v>
      </c>
      <c r="Y68" s="1671" t="s">
        <v>4393</v>
      </c>
      <c r="Z68" s="1674">
        <f t="shared" si="16"/>
        <v>30000</v>
      </c>
      <c r="AA68" s="1413">
        <f t="shared" si="17"/>
        <v>30000000</v>
      </c>
      <c r="AB68" s="301"/>
      <c r="AC68" s="301"/>
    </row>
    <row r="69" spans="1:29" s="2558" customFormat="1" ht="23.1" customHeight="1">
      <c r="A69" s="2553"/>
      <c r="B69" s="1380"/>
      <c r="C69" s="1381"/>
      <c r="D69" s="465"/>
      <c r="E69" s="465"/>
      <c r="F69" s="465"/>
      <c r="G69" s="1115"/>
      <c r="H69" s="1115"/>
      <c r="I69" s="404"/>
      <c r="J69" s="409"/>
      <c r="K69" s="1670" t="s">
        <v>4838</v>
      </c>
      <c r="L69" s="1671"/>
      <c r="M69" s="1483"/>
      <c r="N69" s="1671"/>
      <c r="O69" s="1672"/>
      <c r="P69" s="1672"/>
      <c r="Q69" s="1671"/>
      <c r="R69" s="1673"/>
      <c r="S69" s="1671"/>
      <c r="T69" s="1671">
        <v>20000000</v>
      </c>
      <c r="U69" s="1671" t="s">
        <v>4391</v>
      </c>
      <c r="V69" s="1671"/>
      <c r="W69" s="1671">
        <v>1</v>
      </c>
      <c r="X69" s="1671" t="s">
        <v>4392</v>
      </c>
      <c r="Y69" s="1671" t="s">
        <v>4393</v>
      </c>
      <c r="Z69" s="1674">
        <f t="shared" si="16"/>
        <v>20000</v>
      </c>
      <c r="AA69" s="1413">
        <f t="shared" si="17"/>
        <v>20000000</v>
      </c>
      <c r="AB69" s="301"/>
      <c r="AC69" s="301"/>
    </row>
    <row r="70" spans="1:29" s="2558" customFormat="1" ht="23.1" customHeight="1">
      <c r="A70" s="2553"/>
      <c r="B70" s="1380"/>
      <c r="C70" s="1381"/>
      <c r="D70" s="413"/>
      <c r="E70" s="465"/>
      <c r="F70" s="465"/>
      <c r="G70" s="1115"/>
      <c r="H70" s="1115"/>
      <c r="I70" s="404"/>
      <c r="J70" s="409"/>
      <c r="K70" s="1670" t="s">
        <v>4839</v>
      </c>
      <c r="L70" s="1671"/>
      <c r="M70" s="1483"/>
      <c r="N70" s="1671"/>
      <c r="O70" s="1672"/>
      <c r="P70" s="1672"/>
      <c r="Q70" s="1671"/>
      <c r="R70" s="1673"/>
      <c r="S70" s="1671"/>
      <c r="T70" s="1671">
        <v>18000000</v>
      </c>
      <c r="U70" s="1671" t="s">
        <v>4391</v>
      </c>
      <c r="V70" s="1671"/>
      <c r="W70" s="1671">
        <v>1</v>
      </c>
      <c r="X70" s="1671" t="s">
        <v>4392</v>
      </c>
      <c r="Y70" s="1671" t="s">
        <v>4393</v>
      </c>
      <c r="Z70" s="1674">
        <f t="shared" si="16"/>
        <v>18000</v>
      </c>
      <c r="AA70" s="1413">
        <f t="shared" si="17"/>
        <v>18000000</v>
      </c>
      <c r="AB70" s="301"/>
      <c r="AC70" s="301"/>
    </row>
    <row r="71" spans="1:29" s="2558" customFormat="1" ht="23.1" customHeight="1">
      <c r="A71" s="2553"/>
      <c r="B71" s="1380"/>
      <c r="C71" s="1381"/>
      <c r="D71" s="413"/>
      <c r="E71" s="465"/>
      <c r="F71" s="465" t="s">
        <v>4408</v>
      </c>
      <c r="G71" s="1115">
        <f>Z71</f>
        <v>400</v>
      </c>
      <c r="H71" s="1115">
        <v>400</v>
      </c>
      <c r="I71" s="404"/>
      <c r="J71" s="409"/>
      <c r="K71" s="1670" t="s">
        <v>4397</v>
      </c>
      <c r="L71" s="1671"/>
      <c r="M71" s="1483"/>
      <c r="N71" s="1671"/>
      <c r="O71" s="1672"/>
      <c r="P71" s="1672"/>
      <c r="Q71" s="1671"/>
      <c r="R71" s="1673"/>
      <c r="S71" s="1671"/>
      <c r="T71" s="1671"/>
      <c r="U71" s="1671"/>
      <c r="V71" s="1671"/>
      <c r="W71" s="1671"/>
      <c r="X71" s="1671"/>
      <c r="Y71" s="1671"/>
      <c r="Z71" s="1674">
        <f t="shared" si="16"/>
        <v>400</v>
      </c>
      <c r="AA71" s="1413">
        <f>AA72+AA73</f>
        <v>400000</v>
      </c>
      <c r="AB71" s="301"/>
      <c r="AC71" s="301"/>
    </row>
    <row r="72" spans="1:29" s="2558" customFormat="1" ht="23.1" customHeight="1">
      <c r="A72" s="2553"/>
      <c r="B72" s="1380"/>
      <c r="C72" s="1381"/>
      <c r="D72" s="413"/>
      <c r="E72" s="465"/>
      <c r="F72" s="465"/>
      <c r="G72" s="1115"/>
      <c r="H72" s="1115"/>
      <c r="I72" s="404"/>
      <c r="J72" s="409"/>
      <c r="K72" s="1670" t="s">
        <v>4398</v>
      </c>
      <c r="L72" s="1671"/>
      <c r="M72" s="1671"/>
      <c r="N72" s="1671"/>
      <c r="O72" s="1672"/>
      <c r="P72" s="1671"/>
      <c r="Q72" s="1671"/>
      <c r="R72" s="1673">
        <v>10</v>
      </c>
      <c r="S72" s="1671" t="s">
        <v>4399</v>
      </c>
      <c r="T72" s="806">
        <v>10000</v>
      </c>
      <c r="U72" s="1671" t="s">
        <v>0</v>
      </c>
      <c r="V72" s="1671"/>
      <c r="W72" s="1671">
        <v>2</v>
      </c>
      <c r="X72" s="1671" t="s">
        <v>4400</v>
      </c>
      <c r="Y72" s="1671" t="s">
        <v>1</v>
      </c>
      <c r="Z72" s="1674">
        <f t="shared" si="16"/>
        <v>200</v>
      </c>
      <c r="AA72" s="1413">
        <f>W72*T72*R72</f>
        <v>200000</v>
      </c>
      <c r="AB72" s="301"/>
      <c r="AC72" s="301"/>
    </row>
    <row r="73" spans="1:29" s="2558" customFormat="1" ht="23.1" customHeight="1">
      <c r="A73" s="2553"/>
      <c r="B73" s="1380"/>
      <c r="C73" s="1381"/>
      <c r="D73" s="465"/>
      <c r="E73" s="402"/>
      <c r="F73" s="465"/>
      <c r="G73" s="1115"/>
      <c r="H73" s="1115"/>
      <c r="I73" s="404"/>
      <c r="J73" s="409"/>
      <c r="K73" s="1670" t="s">
        <v>4401</v>
      </c>
      <c r="L73" s="1671"/>
      <c r="M73" s="1671"/>
      <c r="N73" s="1671"/>
      <c r="O73" s="1672"/>
      <c r="P73" s="1671"/>
      <c r="Q73" s="1671"/>
      <c r="R73" s="1673">
        <v>10</v>
      </c>
      <c r="S73" s="1671" t="s">
        <v>4399</v>
      </c>
      <c r="T73" s="806">
        <v>10000</v>
      </c>
      <c r="U73" s="1671" t="s">
        <v>4391</v>
      </c>
      <c r="V73" s="1671"/>
      <c r="W73" s="1671">
        <v>2</v>
      </c>
      <c r="X73" s="1671" t="s">
        <v>4400</v>
      </c>
      <c r="Y73" s="1671" t="s">
        <v>4393</v>
      </c>
      <c r="Z73" s="1674">
        <f t="shared" si="16"/>
        <v>200</v>
      </c>
      <c r="AA73" s="1413">
        <f>W73*T73*R73</f>
        <v>200000</v>
      </c>
      <c r="AB73" s="301"/>
      <c r="AC73" s="301"/>
    </row>
    <row r="74" spans="1:29" s="2558" customFormat="1" ht="23.1" customHeight="1">
      <c r="A74" s="2553"/>
      <c r="B74" s="1380"/>
      <c r="C74" s="1381"/>
      <c r="D74" s="413"/>
      <c r="E74" s="864" t="s">
        <v>4409</v>
      </c>
      <c r="F74" s="1447"/>
      <c r="G74" s="1484">
        <f>SUM(G75:G76)</f>
        <v>52500</v>
      </c>
      <c r="H74" s="1484">
        <f>SUM(H75:H76)</f>
        <v>52500</v>
      </c>
      <c r="I74" s="386">
        <f t="shared" ref="I74" si="18">G74-H74</f>
        <v>0</v>
      </c>
      <c r="J74" s="409"/>
      <c r="K74" s="835"/>
      <c r="L74" s="462"/>
      <c r="M74" s="462"/>
      <c r="N74" s="462"/>
      <c r="O74" s="399"/>
      <c r="P74" s="399"/>
      <c r="Q74" s="462"/>
      <c r="R74" s="836"/>
      <c r="S74" s="462"/>
      <c r="T74" s="462"/>
      <c r="U74" s="462"/>
      <c r="V74" s="462"/>
      <c r="W74" s="462"/>
      <c r="X74" s="462"/>
      <c r="Y74" s="462"/>
      <c r="Z74" s="377" t="s">
        <v>4410</v>
      </c>
      <c r="AA74" s="1413"/>
      <c r="AB74" s="301"/>
      <c r="AC74" s="301"/>
    </row>
    <row r="75" spans="1:29" s="2558" customFormat="1" ht="23.1" customHeight="1">
      <c r="A75" s="2553"/>
      <c r="B75" s="1380"/>
      <c r="C75" s="1381"/>
      <c r="D75" s="413"/>
      <c r="E75" s="465"/>
      <c r="F75" s="465" t="s">
        <v>4411</v>
      </c>
      <c r="G75" s="1115">
        <f>Z75</f>
        <v>48000</v>
      </c>
      <c r="H75" s="1115">
        <v>48000</v>
      </c>
      <c r="I75" s="404"/>
      <c r="J75" s="409"/>
      <c r="K75" s="1670" t="s">
        <v>4412</v>
      </c>
      <c r="L75" s="1671"/>
      <c r="M75" s="1671"/>
      <c r="N75" s="1671"/>
      <c r="O75" s="1672"/>
      <c r="P75" s="1671"/>
      <c r="Q75" s="1671"/>
      <c r="R75" s="1673"/>
      <c r="S75" s="1671"/>
      <c r="T75" s="806">
        <v>4000</v>
      </c>
      <c r="U75" s="1671" t="s">
        <v>4391</v>
      </c>
      <c r="V75" s="1671"/>
      <c r="W75" s="1671">
        <v>12000</v>
      </c>
      <c r="X75" s="1671" t="s">
        <v>4413</v>
      </c>
      <c r="Y75" s="1671" t="s">
        <v>4393</v>
      </c>
      <c r="Z75" s="1674">
        <f>AA75/1000</f>
        <v>48000</v>
      </c>
      <c r="AA75" s="1413">
        <f>W75*T75</f>
        <v>48000000</v>
      </c>
      <c r="AB75" s="301"/>
      <c r="AC75" s="301"/>
    </row>
    <row r="76" spans="1:29" s="587" customFormat="1" ht="23.1" customHeight="1">
      <c r="A76" s="586"/>
      <c r="B76" s="1380"/>
      <c r="C76" s="1381"/>
      <c r="D76" s="413"/>
      <c r="E76" s="465"/>
      <c r="F76" s="413" t="s">
        <v>4414</v>
      </c>
      <c r="G76" s="1115">
        <f>Z76</f>
        <v>4500</v>
      </c>
      <c r="H76" s="1115">
        <v>4500</v>
      </c>
      <c r="I76" s="404"/>
      <c r="J76" s="1438"/>
      <c r="K76" s="1670" t="s">
        <v>4415</v>
      </c>
      <c r="L76" s="1671"/>
      <c r="M76" s="1671"/>
      <c r="N76" s="1671"/>
      <c r="O76" s="1672"/>
      <c r="P76" s="1671"/>
      <c r="Q76" s="1671"/>
      <c r="R76" s="1673"/>
      <c r="S76" s="1671"/>
      <c r="T76" s="806">
        <v>15000</v>
      </c>
      <c r="U76" s="1671" t="s">
        <v>4391</v>
      </c>
      <c r="V76" s="1671"/>
      <c r="W76" s="1671">
        <v>300</v>
      </c>
      <c r="X76" s="1671" t="s">
        <v>4416</v>
      </c>
      <c r="Y76" s="1671" t="s">
        <v>4393</v>
      </c>
      <c r="Z76" s="1674">
        <f>AA76/1000</f>
        <v>4500</v>
      </c>
      <c r="AA76" s="1413">
        <f>W76*T76</f>
        <v>4500000</v>
      </c>
      <c r="AB76" s="588"/>
      <c r="AC76" s="588"/>
    </row>
    <row r="77" spans="1:29" s="2558" customFormat="1" ht="23.1" customHeight="1">
      <c r="A77" s="2553"/>
      <c r="B77" s="1479"/>
      <c r="C77" s="982"/>
      <c r="D77" s="3277" t="s">
        <v>4417</v>
      </c>
      <c r="E77" s="3271"/>
      <c r="F77" s="3272"/>
      <c r="G77" s="1484">
        <f>G78+G91+G95</f>
        <v>290000</v>
      </c>
      <c r="H77" s="1484">
        <f>H78+H91+H95</f>
        <v>290000</v>
      </c>
      <c r="I77" s="386">
        <f t="shared" ref="I77:I78" si="19">G77-H77</f>
        <v>0</v>
      </c>
      <c r="J77" s="409"/>
      <c r="K77" s="835"/>
      <c r="L77" s="462"/>
      <c r="M77" s="462"/>
      <c r="N77" s="462"/>
      <c r="O77" s="399"/>
      <c r="P77" s="462"/>
      <c r="Q77" s="462"/>
      <c r="R77" s="836"/>
      <c r="S77" s="462"/>
      <c r="T77" s="462"/>
      <c r="U77" s="462"/>
      <c r="V77" s="462"/>
      <c r="W77" s="462"/>
      <c r="X77" s="462"/>
      <c r="Y77" s="462"/>
      <c r="Z77" s="377"/>
      <c r="AA77" s="440"/>
      <c r="AB77" s="301"/>
      <c r="AC77" s="301"/>
    </row>
    <row r="78" spans="1:29" s="2558" customFormat="1" ht="23.1" customHeight="1">
      <c r="A78" s="2553"/>
      <c r="B78" s="1479"/>
      <c r="C78" s="1480"/>
      <c r="D78" s="413"/>
      <c r="E78" s="864" t="s">
        <v>4418</v>
      </c>
      <c r="F78" s="1447"/>
      <c r="G78" s="1484">
        <f>SUM(G79:G90)</f>
        <v>170000</v>
      </c>
      <c r="H78" s="1484">
        <f>SUM(H79:H90)</f>
        <v>170000</v>
      </c>
      <c r="I78" s="386">
        <f t="shared" si="19"/>
        <v>0</v>
      </c>
      <c r="J78" s="409"/>
      <c r="K78" s="835"/>
      <c r="L78" s="462"/>
      <c r="M78" s="462"/>
      <c r="N78" s="462"/>
      <c r="O78" s="399"/>
      <c r="P78" s="399"/>
      <c r="Q78" s="462"/>
      <c r="R78" s="836"/>
      <c r="S78" s="462"/>
      <c r="T78" s="462"/>
      <c r="U78" s="462"/>
      <c r="V78" s="462"/>
      <c r="W78" s="462"/>
      <c r="X78" s="462"/>
      <c r="Y78" s="462"/>
      <c r="Z78" s="377"/>
      <c r="AA78" s="1413"/>
      <c r="AB78" s="301"/>
      <c r="AC78" s="301"/>
    </row>
    <row r="79" spans="1:29" s="587" customFormat="1" ht="23.1" customHeight="1">
      <c r="A79" s="586"/>
      <c r="B79" s="1479"/>
      <c r="C79" s="1480"/>
      <c r="D79" s="413"/>
      <c r="E79" s="465"/>
      <c r="F79" s="809" t="s">
        <v>4403</v>
      </c>
      <c r="G79" s="1115">
        <f>Z79</f>
        <v>154000</v>
      </c>
      <c r="H79" s="1115">
        <v>154000</v>
      </c>
      <c r="I79" s="404"/>
      <c r="J79" s="1438"/>
      <c r="K79" s="1670" t="s">
        <v>4397</v>
      </c>
      <c r="L79" s="1671"/>
      <c r="M79" s="1671"/>
      <c r="N79" s="1671"/>
      <c r="O79" s="1672"/>
      <c r="P79" s="1671"/>
      <c r="Q79" s="1671"/>
      <c r="R79" s="1673"/>
      <c r="S79" s="1671"/>
      <c r="T79" s="806"/>
      <c r="U79" s="1671"/>
      <c r="V79" s="1671"/>
      <c r="W79" s="1671"/>
      <c r="X79" s="1671"/>
      <c r="Y79" s="1671"/>
      <c r="Z79" s="1674">
        <f>SUM(Z80:Z82)</f>
        <v>154000</v>
      </c>
      <c r="AA79" s="1485">
        <f>SUM(AA80:AA82)</f>
        <v>154000000</v>
      </c>
      <c r="AB79" s="588"/>
      <c r="AC79" s="588"/>
    </row>
    <row r="80" spans="1:29" s="2558" customFormat="1" ht="23.1" customHeight="1">
      <c r="A80" s="2553"/>
      <c r="B80" s="1479"/>
      <c r="C80" s="1480"/>
      <c r="D80" s="413"/>
      <c r="E80" s="465"/>
      <c r="F80" s="465"/>
      <c r="G80" s="1115"/>
      <c r="H80" s="1115"/>
      <c r="I80" s="404"/>
      <c r="J80" s="409"/>
      <c r="K80" s="1670" t="s">
        <v>4419</v>
      </c>
      <c r="L80" s="1671"/>
      <c r="M80" s="1671"/>
      <c r="N80" s="1671"/>
      <c r="O80" s="1487"/>
      <c r="P80" s="1487"/>
      <c r="Q80" s="1671"/>
      <c r="R80" s="1673"/>
      <c r="S80" s="1671"/>
      <c r="T80" s="1671">
        <v>97000000</v>
      </c>
      <c r="U80" s="1671" t="s">
        <v>0</v>
      </c>
      <c r="V80" s="1671"/>
      <c r="W80" s="1671">
        <v>1</v>
      </c>
      <c r="X80" s="1671" t="s">
        <v>4392</v>
      </c>
      <c r="Y80" s="1671" t="s">
        <v>1</v>
      </c>
      <c r="Z80" s="1488">
        <f>AA80/1000</f>
        <v>97000</v>
      </c>
      <c r="AA80" s="1413">
        <f>W80*T80</f>
        <v>97000000</v>
      </c>
      <c r="AB80" s="301"/>
      <c r="AC80" s="301"/>
    </row>
    <row r="81" spans="1:29" s="2558" customFormat="1" ht="23.1" customHeight="1">
      <c r="A81" s="2553"/>
      <c r="B81" s="1380"/>
      <c r="C81" s="1381"/>
      <c r="D81" s="413"/>
      <c r="E81" s="465"/>
      <c r="F81" s="465"/>
      <c r="G81" s="1115"/>
      <c r="H81" s="1115"/>
      <c r="I81" s="404"/>
      <c r="J81" s="409"/>
      <c r="K81" s="1670" t="s">
        <v>4420</v>
      </c>
      <c r="L81" s="1671"/>
      <c r="M81" s="1671"/>
      <c r="N81" s="1671"/>
      <c r="O81" s="1487"/>
      <c r="P81" s="1487"/>
      <c r="Q81" s="1671"/>
      <c r="R81" s="1673"/>
      <c r="S81" s="1671"/>
      <c r="T81" s="1671">
        <v>50000000</v>
      </c>
      <c r="U81" s="1671" t="s">
        <v>0</v>
      </c>
      <c r="V81" s="1671"/>
      <c r="W81" s="1671">
        <v>1</v>
      </c>
      <c r="X81" s="1671" t="s">
        <v>4392</v>
      </c>
      <c r="Y81" s="1671" t="s">
        <v>1</v>
      </c>
      <c r="Z81" s="1488">
        <f t="shared" ref="Z81:Z82" si="20">AA81/1000</f>
        <v>50000</v>
      </c>
      <c r="AA81" s="1413">
        <f t="shared" ref="AA81:AA82" si="21">W81*T81</f>
        <v>50000000</v>
      </c>
      <c r="AB81" s="301"/>
      <c r="AC81" s="301" t="s">
        <v>4421</v>
      </c>
    </row>
    <row r="82" spans="1:29" s="2558" customFormat="1" ht="23.1" customHeight="1">
      <c r="A82" s="2553"/>
      <c r="B82" s="1380"/>
      <c r="C82" s="1381"/>
      <c r="D82" s="413"/>
      <c r="E82" s="465"/>
      <c r="F82" s="465"/>
      <c r="G82" s="1115"/>
      <c r="H82" s="1115"/>
      <c r="I82" s="404"/>
      <c r="J82" s="409"/>
      <c r="K82" s="1670" t="s">
        <v>4422</v>
      </c>
      <c r="L82" s="1671"/>
      <c r="M82" s="1671"/>
      <c r="N82" s="1671"/>
      <c r="O82" s="1487"/>
      <c r="P82" s="1487"/>
      <c r="Q82" s="1671"/>
      <c r="R82" s="1673"/>
      <c r="S82" s="1671"/>
      <c r="T82" s="1671">
        <v>7000000</v>
      </c>
      <c r="U82" s="1671" t="s">
        <v>0</v>
      </c>
      <c r="V82" s="1671"/>
      <c r="W82" s="1671">
        <v>1</v>
      </c>
      <c r="X82" s="1671" t="s">
        <v>4392</v>
      </c>
      <c r="Y82" s="1671" t="s">
        <v>1</v>
      </c>
      <c r="Z82" s="1488">
        <f t="shared" si="20"/>
        <v>7000</v>
      </c>
      <c r="AA82" s="1413">
        <f t="shared" si="21"/>
        <v>7000000</v>
      </c>
      <c r="AB82" s="301"/>
      <c r="AC82" s="301"/>
    </row>
    <row r="83" spans="1:29" s="2558" customFormat="1" ht="23.1" customHeight="1">
      <c r="A83" s="2553"/>
      <c r="B83" s="1380"/>
      <c r="C83" s="1381"/>
      <c r="D83" s="413"/>
      <c r="E83" s="465"/>
      <c r="F83" s="465" t="s">
        <v>4396</v>
      </c>
      <c r="G83" s="1115">
        <f>Z83</f>
        <v>3400</v>
      </c>
      <c r="H83" s="1115">
        <v>3400</v>
      </c>
      <c r="I83" s="404"/>
      <c r="J83" s="409"/>
      <c r="K83" s="1670" t="s">
        <v>4397</v>
      </c>
      <c r="L83" s="1671"/>
      <c r="M83" s="1671"/>
      <c r="N83" s="1671"/>
      <c r="O83" s="1672"/>
      <c r="P83" s="1671"/>
      <c r="Q83" s="1671"/>
      <c r="R83" s="1673"/>
      <c r="S83" s="1671"/>
      <c r="T83" s="806"/>
      <c r="U83" s="1671"/>
      <c r="V83" s="1671"/>
      <c r="W83" s="1671"/>
      <c r="X83" s="1671"/>
      <c r="Y83" s="1671"/>
      <c r="Z83" s="1488">
        <f>AA83/1000</f>
        <v>3400</v>
      </c>
      <c r="AA83" s="1413">
        <f>AA84+AA85</f>
        <v>3400000</v>
      </c>
      <c r="AB83" s="301"/>
      <c r="AC83" s="301"/>
    </row>
    <row r="84" spans="1:29" s="2558" customFormat="1" ht="23.1" customHeight="1">
      <c r="A84" s="2553"/>
      <c r="B84" s="1380"/>
      <c r="C84" s="1381"/>
      <c r="D84" s="413"/>
      <c r="E84" s="465"/>
      <c r="F84" s="465"/>
      <c r="G84" s="1115"/>
      <c r="H84" s="1115"/>
      <c r="I84" s="404"/>
      <c r="J84" s="409"/>
      <c r="K84" s="1670" t="s">
        <v>4423</v>
      </c>
      <c r="L84" s="1671"/>
      <c r="M84" s="1671"/>
      <c r="N84" s="1671"/>
      <c r="O84" s="1487"/>
      <c r="P84" s="1487"/>
      <c r="Q84" s="1671"/>
      <c r="R84" s="1673">
        <v>7</v>
      </c>
      <c r="S84" s="1671" t="s">
        <v>23</v>
      </c>
      <c r="T84" s="1671">
        <v>200000</v>
      </c>
      <c r="U84" s="1671" t="s">
        <v>0</v>
      </c>
      <c r="V84" s="1671"/>
      <c r="W84" s="1671">
        <v>1</v>
      </c>
      <c r="X84" s="1671" t="s">
        <v>3</v>
      </c>
      <c r="Y84" s="1671" t="s">
        <v>1</v>
      </c>
      <c r="Z84" s="1488">
        <f>AA84/1000</f>
        <v>1400</v>
      </c>
      <c r="AA84" s="1413">
        <f>W84*T84*R84</f>
        <v>1400000</v>
      </c>
      <c r="AB84" s="301"/>
      <c r="AC84" s="301"/>
    </row>
    <row r="85" spans="1:29" s="2558" customFormat="1" ht="23.1" customHeight="1">
      <c r="A85" s="2553"/>
      <c r="B85" s="1380"/>
      <c r="C85" s="1381"/>
      <c r="D85" s="413"/>
      <c r="E85" s="465"/>
      <c r="F85" s="465"/>
      <c r="G85" s="1115"/>
      <c r="H85" s="1115"/>
      <c r="I85" s="404"/>
      <c r="J85" s="409"/>
      <c r="K85" s="1670" t="s">
        <v>4424</v>
      </c>
      <c r="L85" s="1671"/>
      <c r="M85" s="1671"/>
      <c r="N85" s="1671"/>
      <c r="O85" s="1487"/>
      <c r="P85" s="1487"/>
      <c r="Q85" s="1671"/>
      <c r="R85" s="1673">
        <v>2</v>
      </c>
      <c r="S85" s="1671" t="s">
        <v>23</v>
      </c>
      <c r="T85" s="1671">
        <v>200000</v>
      </c>
      <c r="U85" s="1671" t="s">
        <v>0</v>
      </c>
      <c r="V85" s="1671"/>
      <c r="W85" s="1671">
        <v>5</v>
      </c>
      <c r="X85" s="1671" t="s">
        <v>3</v>
      </c>
      <c r="Y85" s="1671" t="s">
        <v>1</v>
      </c>
      <c r="Z85" s="1488">
        <f>AA85/1000</f>
        <v>2000</v>
      </c>
      <c r="AA85" s="1413">
        <f>W85*T85*R85</f>
        <v>2000000</v>
      </c>
      <c r="AB85" s="301"/>
      <c r="AC85" s="301"/>
    </row>
    <row r="86" spans="1:29" s="2558" customFormat="1" ht="22.5" customHeight="1">
      <c r="A86" s="2553"/>
      <c r="B86" s="1380"/>
      <c r="C86" s="1381"/>
      <c r="D86" s="413"/>
      <c r="E86" s="465"/>
      <c r="F86" s="465" t="s">
        <v>4425</v>
      </c>
      <c r="G86" s="1115">
        <f>Z86</f>
        <v>10000</v>
      </c>
      <c r="H86" s="1115">
        <v>10000</v>
      </c>
      <c r="I86" s="404"/>
      <c r="J86" s="409"/>
      <c r="K86" s="1670" t="s">
        <v>4426</v>
      </c>
      <c r="L86" s="1671"/>
      <c r="M86" s="1671"/>
      <c r="N86" s="1671"/>
      <c r="O86" s="1487"/>
      <c r="P86" s="1487"/>
      <c r="Q86" s="1671"/>
      <c r="R86" s="1673"/>
      <c r="S86" s="1671"/>
      <c r="T86" s="1671">
        <v>10000</v>
      </c>
      <c r="U86" s="1671" t="s">
        <v>0</v>
      </c>
      <c r="V86" s="1671"/>
      <c r="W86" s="1671">
        <v>1000</v>
      </c>
      <c r="X86" s="1671" t="s">
        <v>4427</v>
      </c>
      <c r="Y86" s="1671" t="s">
        <v>1</v>
      </c>
      <c r="Z86" s="1488">
        <f t="shared" ref="Z86:Z88" si="22">AA86/1000</f>
        <v>10000</v>
      </c>
      <c r="AA86" s="1413">
        <f>T86*W86</f>
        <v>10000000</v>
      </c>
      <c r="AB86" s="301"/>
      <c r="AC86" s="301"/>
    </row>
    <row r="87" spans="1:29" s="2558" customFormat="1" ht="22.5" customHeight="1">
      <c r="A87" s="2553"/>
      <c r="B87" s="1380"/>
      <c r="C87" s="1381"/>
      <c r="D87" s="413"/>
      <c r="E87" s="465"/>
      <c r="F87" s="465" t="s">
        <v>4428</v>
      </c>
      <c r="G87" s="1115">
        <f>Z87</f>
        <v>2000</v>
      </c>
      <c r="H87" s="1115">
        <v>2000</v>
      </c>
      <c r="I87" s="404"/>
      <c r="J87" s="409"/>
      <c r="K87" s="1670" t="s">
        <v>4397</v>
      </c>
      <c r="L87" s="1671"/>
      <c r="M87" s="1671"/>
      <c r="N87" s="1671"/>
      <c r="O87" s="1672"/>
      <c r="P87" s="1671"/>
      <c r="Q87" s="1671"/>
      <c r="R87" s="1673"/>
      <c r="S87" s="1671"/>
      <c r="T87" s="806"/>
      <c r="U87" s="1671"/>
      <c r="V87" s="1671"/>
      <c r="W87" s="1671"/>
      <c r="X87" s="1671"/>
      <c r="Y87" s="1671"/>
      <c r="Z87" s="1488">
        <f>AA87/1000</f>
        <v>2000</v>
      </c>
      <c r="AA87" s="1413">
        <f>AA88+AA89</f>
        <v>2000000</v>
      </c>
      <c r="AB87" s="301"/>
      <c r="AC87" s="301"/>
    </row>
    <row r="88" spans="1:29" s="2558" customFormat="1" ht="22.5" customHeight="1">
      <c r="A88" s="2553"/>
      <c r="B88" s="1380"/>
      <c r="C88" s="1381"/>
      <c r="D88" s="413"/>
      <c r="E88" s="465"/>
      <c r="F88" s="465"/>
      <c r="G88" s="1115"/>
      <c r="H88" s="1115"/>
      <c r="I88" s="404"/>
      <c r="J88" s="409"/>
      <c r="K88" s="1670" t="s">
        <v>4429</v>
      </c>
      <c r="L88" s="1671"/>
      <c r="M88" s="1671"/>
      <c r="N88" s="1671"/>
      <c r="O88" s="1487"/>
      <c r="P88" s="1487"/>
      <c r="Q88" s="1671"/>
      <c r="R88" s="1673"/>
      <c r="S88" s="1671"/>
      <c r="T88" s="1671">
        <v>500000</v>
      </c>
      <c r="U88" s="1671" t="s">
        <v>0</v>
      </c>
      <c r="V88" s="1671"/>
      <c r="W88" s="1671">
        <v>2</v>
      </c>
      <c r="X88" s="1671" t="s">
        <v>3</v>
      </c>
      <c r="Y88" s="1671" t="s">
        <v>1</v>
      </c>
      <c r="Z88" s="1488">
        <f t="shared" si="22"/>
        <v>1000</v>
      </c>
      <c r="AA88" s="1413">
        <f>W88*T88</f>
        <v>1000000</v>
      </c>
      <c r="AB88" s="301"/>
      <c r="AC88" s="301"/>
    </row>
    <row r="89" spans="1:29" s="587" customFormat="1" ht="22.5" customHeight="1">
      <c r="A89" s="586"/>
      <c r="B89" s="1380"/>
      <c r="C89" s="1381"/>
      <c r="D89" s="413"/>
      <c r="E89" s="465"/>
      <c r="F89" s="465"/>
      <c r="G89" s="1115"/>
      <c r="H89" s="1115"/>
      <c r="I89" s="404"/>
      <c r="J89" s="1438"/>
      <c r="K89" s="1670" t="s">
        <v>4430</v>
      </c>
      <c r="L89" s="1671"/>
      <c r="M89" s="1671"/>
      <c r="N89" s="1671"/>
      <c r="O89" s="1487"/>
      <c r="P89" s="1487"/>
      <c r="Q89" s="1671"/>
      <c r="R89" s="1673">
        <v>20</v>
      </c>
      <c r="S89" s="1671" t="s">
        <v>23</v>
      </c>
      <c r="T89" s="1671">
        <v>10000</v>
      </c>
      <c r="U89" s="1671" t="s">
        <v>0</v>
      </c>
      <c r="V89" s="1671"/>
      <c r="W89" s="1671">
        <v>5</v>
      </c>
      <c r="X89" s="1671" t="s">
        <v>3</v>
      </c>
      <c r="Y89" s="1671" t="s">
        <v>1</v>
      </c>
      <c r="Z89" s="1488">
        <f>AA89/1000</f>
        <v>1000</v>
      </c>
      <c r="AA89" s="1485">
        <f>W89*T89*R89</f>
        <v>1000000</v>
      </c>
      <c r="AB89" s="588"/>
      <c r="AC89" s="588"/>
    </row>
    <row r="90" spans="1:29" s="2558" customFormat="1" ht="22.5" customHeight="1">
      <c r="A90" s="2553"/>
      <c r="B90" s="1380"/>
      <c r="C90" s="1381"/>
      <c r="D90" s="413"/>
      <c r="E90" s="465"/>
      <c r="F90" s="465" t="s">
        <v>4408</v>
      </c>
      <c r="G90" s="1115">
        <f>Z90</f>
        <v>600</v>
      </c>
      <c r="H90" s="1115">
        <v>600</v>
      </c>
      <c r="I90" s="404"/>
      <c r="J90" s="409"/>
      <c r="K90" s="1670" t="s">
        <v>4431</v>
      </c>
      <c r="L90" s="1671"/>
      <c r="M90" s="1671"/>
      <c r="N90" s="1671"/>
      <c r="O90" s="1487"/>
      <c r="P90" s="1487"/>
      <c r="Q90" s="1671"/>
      <c r="R90" s="1673">
        <v>15</v>
      </c>
      <c r="S90" s="1671" t="s">
        <v>23</v>
      </c>
      <c r="T90" s="1671">
        <v>20000</v>
      </c>
      <c r="U90" s="1671" t="s">
        <v>0</v>
      </c>
      <c r="V90" s="1671"/>
      <c r="W90" s="1671">
        <v>2</v>
      </c>
      <c r="X90" s="1671" t="s">
        <v>3</v>
      </c>
      <c r="Y90" s="1671" t="s">
        <v>1</v>
      </c>
      <c r="Z90" s="1488">
        <f>AA90/1000</f>
        <v>600</v>
      </c>
      <c r="AA90" s="1485">
        <f>W90*T90*R90</f>
        <v>600000</v>
      </c>
      <c r="AB90" s="301"/>
      <c r="AC90" s="301"/>
    </row>
    <row r="91" spans="1:29" s="2558" customFormat="1" ht="22.5" customHeight="1">
      <c r="A91" s="2553"/>
      <c r="B91" s="1380"/>
      <c r="C91" s="1381"/>
      <c r="D91" s="413"/>
      <c r="E91" s="864" t="s">
        <v>4432</v>
      </c>
      <c r="F91" s="1447"/>
      <c r="G91" s="1484">
        <f>SUM(G92:G94)</f>
        <v>50000</v>
      </c>
      <c r="H91" s="1484">
        <v>50000</v>
      </c>
      <c r="I91" s="386">
        <f t="shared" ref="I91" si="23">G91-H91</f>
        <v>0</v>
      </c>
      <c r="J91" s="409"/>
      <c r="K91" s="835"/>
      <c r="L91" s="462"/>
      <c r="M91" s="462"/>
      <c r="N91" s="462"/>
      <c r="O91" s="399"/>
      <c r="P91" s="399"/>
      <c r="Q91" s="462"/>
      <c r="R91" s="836"/>
      <c r="S91" s="462"/>
      <c r="T91" s="462"/>
      <c r="U91" s="462"/>
      <c r="V91" s="462"/>
      <c r="W91" s="462"/>
      <c r="X91" s="462"/>
      <c r="Y91" s="462"/>
      <c r="Z91" s="377" t="s">
        <v>4410</v>
      </c>
      <c r="AA91" s="1413"/>
      <c r="AB91" s="301"/>
      <c r="AC91" s="301"/>
    </row>
    <row r="92" spans="1:29" s="2558" customFormat="1" ht="22.5" customHeight="1">
      <c r="A92" s="2553"/>
      <c r="B92" s="1380"/>
      <c r="C92" s="1381"/>
      <c r="D92" s="413"/>
      <c r="E92" s="465"/>
      <c r="F92" s="809" t="s">
        <v>4403</v>
      </c>
      <c r="G92" s="1115">
        <f>Z92</f>
        <v>48500</v>
      </c>
      <c r="H92" s="1115">
        <v>48500</v>
      </c>
      <c r="I92" s="404"/>
      <c r="J92" s="409"/>
      <c r="K92" s="1670" t="s">
        <v>4433</v>
      </c>
      <c r="L92" s="1671"/>
      <c r="M92" s="1671"/>
      <c r="N92" s="1671"/>
      <c r="O92" s="1672"/>
      <c r="P92" s="1671"/>
      <c r="Q92" s="1671"/>
      <c r="R92" s="1673"/>
      <c r="S92" s="1671"/>
      <c r="T92" s="1671">
        <v>48500000</v>
      </c>
      <c r="U92" s="1671" t="s">
        <v>4391</v>
      </c>
      <c r="V92" s="1671"/>
      <c r="W92" s="1671">
        <v>1</v>
      </c>
      <c r="X92" s="1671" t="s">
        <v>4392</v>
      </c>
      <c r="Y92" s="1671" t="s">
        <v>4393</v>
      </c>
      <c r="Z92" s="1488">
        <f>AA92/1000</f>
        <v>48500</v>
      </c>
      <c r="AA92" s="1413">
        <f>W92*T92</f>
        <v>48500000</v>
      </c>
      <c r="AB92" s="301"/>
      <c r="AC92" s="301"/>
    </row>
    <row r="93" spans="1:29" s="587" customFormat="1" ht="22.5" customHeight="1">
      <c r="A93" s="586"/>
      <c r="B93" s="1380"/>
      <c r="C93" s="1381"/>
      <c r="D93" s="413"/>
      <c r="E93" s="465"/>
      <c r="F93" s="465" t="s">
        <v>4396</v>
      </c>
      <c r="G93" s="1115">
        <f>Z93</f>
        <v>1400</v>
      </c>
      <c r="H93" s="1115">
        <v>1400</v>
      </c>
      <c r="I93" s="404"/>
      <c r="J93" s="1438"/>
      <c r="K93" s="1670" t="s">
        <v>4434</v>
      </c>
      <c r="L93" s="1671"/>
      <c r="M93" s="1671"/>
      <c r="N93" s="1671"/>
      <c r="O93" s="1672"/>
      <c r="P93" s="1672"/>
      <c r="Q93" s="1671"/>
      <c r="R93" s="1673">
        <v>7</v>
      </c>
      <c r="S93" s="1671" t="s">
        <v>23</v>
      </c>
      <c r="T93" s="1671">
        <v>200000</v>
      </c>
      <c r="U93" s="1671" t="s">
        <v>0</v>
      </c>
      <c r="V93" s="1671"/>
      <c r="W93" s="1671">
        <v>1</v>
      </c>
      <c r="X93" s="1671" t="s">
        <v>3</v>
      </c>
      <c r="Y93" s="1671" t="s">
        <v>1</v>
      </c>
      <c r="Z93" s="1488">
        <f>AA93/1000</f>
        <v>1400</v>
      </c>
      <c r="AA93" s="1485">
        <f>W93*T93*R93</f>
        <v>1400000</v>
      </c>
      <c r="AB93" s="588"/>
      <c r="AC93" s="588"/>
    </row>
    <row r="94" spans="1:29" s="2558" customFormat="1" ht="22.5" customHeight="1">
      <c r="A94" s="2553"/>
      <c r="B94" s="1380"/>
      <c r="C94" s="1381"/>
      <c r="D94" s="413"/>
      <c r="E94" s="465"/>
      <c r="F94" s="465" t="s">
        <v>4408</v>
      </c>
      <c r="G94" s="1115">
        <f>Z94</f>
        <v>100</v>
      </c>
      <c r="H94" s="1115">
        <v>100</v>
      </c>
      <c r="I94" s="404"/>
      <c r="J94" s="409"/>
      <c r="K94" s="1670" t="s">
        <v>4431</v>
      </c>
      <c r="L94" s="1671"/>
      <c r="M94" s="1671"/>
      <c r="N94" s="1671"/>
      <c r="O94" s="1672"/>
      <c r="P94" s="1672"/>
      <c r="Q94" s="1671"/>
      <c r="R94" s="1673">
        <v>10</v>
      </c>
      <c r="S94" s="1671" t="s">
        <v>23</v>
      </c>
      <c r="T94" s="1671">
        <v>10000</v>
      </c>
      <c r="U94" s="1671" t="s">
        <v>0</v>
      </c>
      <c r="V94" s="1671"/>
      <c r="W94" s="1671">
        <v>1</v>
      </c>
      <c r="X94" s="1671" t="s">
        <v>3</v>
      </c>
      <c r="Y94" s="1671" t="s">
        <v>1</v>
      </c>
      <c r="Z94" s="1488">
        <f>AA94/1000</f>
        <v>100</v>
      </c>
      <c r="AA94" s="1485">
        <f>W94*T94*R94</f>
        <v>100000</v>
      </c>
      <c r="AB94" s="301"/>
      <c r="AC94" s="301"/>
    </row>
    <row r="95" spans="1:29" s="2558" customFormat="1" ht="22.5" customHeight="1">
      <c r="A95" s="2553"/>
      <c r="B95" s="1380"/>
      <c r="C95" s="1381"/>
      <c r="D95" s="413"/>
      <c r="E95" s="864" t="s">
        <v>4435</v>
      </c>
      <c r="F95" s="1447"/>
      <c r="G95" s="1484">
        <f>SUM(G96:G107)</f>
        <v>70000</v>
      </c>
      <c r="H95" s="1484">
        <v>70000</v>
      </c>
      <c r="I95" s="386">
        <f t="shared" ref="I95" si="24">G95-H95</f>
        <v>0</v>
      </c>
      <c r="J95" s="409"/>
      <c r="K95" s="835"/>
      <c r="L95" s="462"/>
      <c r="M95" s="462"/>
      <c r="N95" s="462"/>
      <c r="O95" s="399"/>
      <c r="P95" s="399"/>
      <c r="Q95" s="462"/>
      <c r="R95" s="836"/>
      <c r="S95" s="462"/>
      <c r="T95" s="462"/>
      <c r="U95" s="462"/>
      <c r="V95" s="462"/>
      <c r="W95" s="462"/>
      <c r="X95" s="462"/>
      <c r="Y95" s="462"/>
      <c r="Z95" s="377" t="s">
        <v>4410</v>
      </c>
      <c r="AA95" s="1413"/>
      <c r="AB95" s="301"/>
      <c r="AC95" s="301"/>
    </row>
    <row r="96" spans="1:29" s="2558" customFormat="1" ht="22.5" customHeight="1">
      <c r="A96" s="2553"/>
      <c r="B96" s="1380"/>
      <c r="C96" s="1381"/>
      <c r="D96" s="413"/>
      <c r="E96" s="465"/>
      <c r="F96" s="809" t="s">
        <v>4403</v>
      </c>
      <c r="G96" s="1115">
        <f>Z96</f>
        <v>42800</v>
      </c>
      <c r="H96" s="1115">
        <v>42800</v>
      </c>
      <c r="I96" s="404"/>
      <c r="J96" s="409"/>
      <c r="K96" s="1670" t="s">
        <v>4397</v>
      </c>
      <c r="L96" s="1671"/>
      <c r="M96" s="1671"/>
      <c r="N96" s="1671"/>
      <c r="O96" s="1672"/>
      <c r="P96" s="1671"/>
      <c r="Q96" s="1671"/>
      <c r="R96" s="1673"/>
      <c r="S96" s="1671"/>
      <c r="T96" s="806"/>
      <c r="U96" s="1671"/>
      <c r="V96" s="1671"/>
      <c r="W96" s="1671"/>
      <c r="X96" s="1671"/>
      <c r="Y96" s="1671"/>
      <c r="Z96" s="1488">
        <f>SUM(Z97:Z98)</f>
        <v>42800</v>
      </c>
      <c r="AA96" s="1413">
        <f>AA97+AA98</f>
        <v>42800000</v>
      </c>
      <c r="AB96" s="301"/>
      <c r="AC96" s="301"/>
    </row>
    <row r="97" spans="1:29" s="2558" customFormat="1" ht="22.5" customHeight="1">
      <c r="A97" s="2553"/>
      <c r="B97" s="1380"/>
      <c r="C97" s="1381"/>
      <c r="D97" s="413"/>
      <c r="E97" s="465"/>
      <c r="F97" s="465"/>
      <c r="G97" s="1115"/>
      <c r="H97" s="1115"/>
      <c r="I97" s="404"/>
      <c r="J97" s="409"/>
      <c r="K97" s="1670" t="s">
        <v>4436</v>
      </c>
      <c r="L97" s="1671"/>
      <c r="M97" s="1671"/>
      <c r="N97" s="1671"/>
      <c r="O97" s="1487"/>
      <c r="P97" s="1487"/>
      <c r="Q97" s="1671"/>
      <c r="R97" s="1673"/>
      <c r="S97" s="1671"/>
      <c r="T97" s="1671">
        <v>200</v>
      </c>
      <c r="U97" s="1671" t="s">
        <v>0</v>
      </c>
      <c r="V97" s="1671"/>
      <c r="W97" s="1671">
        <v>74000</v>
      </c>
      <c r="X97" s="1671" t="s">
        <v>4437</v>
      </c>
      <c r="Y97" s="1671" t="s">
        <v>1</v>
      </c>
      <c r="Z97" s="1488">
        <f t="shared" ref="Z97:Z98" si="25">AA97/1000</f>
        <v>14800</v>
      </c>
      <c r="AA97" s="1413">
        <f>W97*T97</f>
        <v>14800000</v>
      </c>
      <c r="AB97" s="301"/>
      <c r="AC97" s="301"/>
    </row>
    <row r="98" spans="1:29" s="2558" customFormat="1" ht="22.5" customHeight="1">
      <c r="A98" s="2553"/>
      <c r="B98" s="1380"/>
      <c r="C98" s="1381"/>
      <c r="D98" s="413"/>
      <c r="E98" s="465"/>
      <c r="F98" s="465"/>
      <c r="G98" s="1115"/>
      <c r="H98" s="1115"/>
      <c r="I98" s="404"/>
      <c r="J98" s="409"/>
      <c r="K98" s="1670" t="s">
        <v>4438</v>
      </c>
      <c r="L98" s="1671"/>
      <c r="M98" s="1671"/>
      <c r="N98" s="1671"/>
      <c r="O98" s="1487"/>
      <c r="P98" s="1487"/>
      <c r="Q98" s="1671"/>
      <c r="R98" s="1673"/>
      <c r="S98" s="1671"/>
      <c r="T98" s="1671">
        <v>1600</v>
      </c>
      <c r="U98" s="1671" t="s">
        <v>0</v>
      </c>
      <c r="V98" s="1671"/>
      <c r="W98" s="1671">
        <v>17500</v>
      </c>
      <c r="X98" s="1671" t="s">
        <v>4439</v>
      </c>
      <c r="Y98" s="1671" t="s">
        <v>1</v>
      </c>
      <c r="Z98" s="1488">
        <f t="shared" si="25"/>
        <v>28000</v>
      </c>
      <c r="AA98" s="1413">
        <f>W98*T98</f>
        <v>28000000</v>
      </c>
      <c r="AB98" s="301"/>
      <c r="AC98" s="301"/>
    </row>
    <row r="99" spans="1:29" s="2558" customFormat="1" ht="22.5" customHeight="1">
      <c r="A99" s="2553"/>
      <c r="B99" s="1380"/>
      <c r="C99" s="1381"/>
      <c r="D99" s="413"/>
      <c r="E99" s="465"/>
      <c r="F99" s="465" t="s">
        <v>4440</v>
      </c>
      <c r="G99" s="1115">
        <f>Z99</f>
        <v>15000</v>
      </c>
      <c r="H99" s="1115">
        <v>15000</v>
      </c>
      <c r="I99" s="404"/>
      <c r="J99" s="409"/>
      <c r="K99" s="1670" t="s">
        <v>4441</v>
      </c>
      <c r="L99" s="1671"/>
      <c r="M99" s="1671"/>
      <c r="N99" s="1671"/>
      <c r="O99" s="1672"/>
      <c r="P99" s="1672"/>
      <c r="Q99" s="1671"/>
      <c r="R99" s="1673">
        <v>1</v>
      </c>
      <c r="S99" s="1671" t="s">
        <v>4402</v>
      </c>
      <c r="T99" s="1671">
        <v>2500000</v>
      </c>
      <c r="U99" s="1671" t="s">
        <v>4391</v>
      </c>
      <c r="V99" s="1671"/>
      <c r="W99" s="1671">
        <v>6</v>
      </c>
      <c r="X99" s="1671" t="s">
        <v>4442</v>
      </c>
      <c r="Y99" s="1671" t="s">
        <v>1</v>
      </c>
      <c r="Z99" s="1488">
        <f>AA99/1000</f>
        <v>15000</v>
      </c>
      <c r="AA99" s="1413">
        <f>W99*T99*R99</f>
        <v>15000000</v>
      </c>
      <c r="AB99" s="301"/>
      <c r="AC99" s="301"/>
    </row>
    <row r="100" spans="1:29" s="2558" customFormat="1" ht="22.5" customHeight="1">
      <c r="A100" s="2553"/>
      <c r="B100" s="1380"/>
      <c r="C100" s="1381"/>
      <c r="D100" s="413"/>
      <c r="E100" s="465"/>
      <c r="F100" s="465" t="s">
        <v>4396</v>
      </c>
      <c r="G100" s="1115">
        <f>Z100</f>
        <v>6200</v>
      </c>
      <c r="H100" s="1115">
        <v>6200</v>
      </c>
      <c r="I100" s="404"/>
      <c r="J100" s="409"/>
      <c r="K100" s="1670" t="s">
        <v>4397</v>
      </c>
      <c r="L100" s="1671"/>
      <c r="M100" s="1671"/>
      <c r="N100" s="1671"/>
      <c r="O100" s="1672"/>
      <c r="P100" s="1672"/>
      <c r="Q100" s="1671"/>
      <c r="R100" s="1673"/>
      <c r="S100" s="1671"/>
      <c r="T100" s="1671"/>
      <c r="U100" s="1671"/>
      <c r="V100" s="1671"/>
      <c r="W100" s="1671"/>
      <c r="X100" s="1671"/>
      <c r="Y100" s="1671"/>
      <c r="Z100" s="1488">
        <f>SUM(Z101:Z102)</f>
        <v>6200</v>
      </c>
      <c r="AA100" s="1413">
        <f>AA101+AA102</f>
        <v>6200000</v>
      </c>
      <c r="AB100" s="301"/>
      <c r="AC100" s="301"/>
    </row>
    <row r="101" spans="1:29" s="2558" customFormat="1" ht="22.5" customHeight="1">
      <c r="A101" s="2553"/>
      <c r="B101" s="1380"/>
      <c r="C101" s="1381"/>
      <c r="D101" s="413"/>
      <c r="E101" s="465"/>
      <c r="F101" s="465"/>
      <c r="G101" s="1115"/>
      <c r="H101" s="1115"/>
      <c r="I101" s="404"/>
      <c r="J101" s="409"/>
      <c r="K101" s="1670" t="s">
        <v>4443</v>
      </c>
      <c r="L101" s="1671"/>
      <c r="M101" s="1671"/>
      <c r="N101" s="1671"/>
      <c r="O101" s="1672"/>
      <c r="P101" s="1672"/>
      <c r="Q101" s="1671"/>
      <c r="R101" s="1673">
        <v>7</v>
      </c>
      <c r="S101" s="1671" t="s">
        <v>23</v>
      </c>
      <c r="T101" s="1671">
        <v>200000</v>
      </c>
      <c r="U101" s="1671" t="s">
        <v>0</v>
      </c>
      <c r="V101" s="1671"/>
      <c r="W101" s="1671">
        <v>1</v>
      </c>
      <c r="X101" s="1671" t="s">
        <v>3</v>
      </c>
      <c r="Y101" s="1671" t="s">
        <v>1</v>
      </c>
      <c r="Z101" s="1488">
        <f t="shared" ref="Z101:Z104" si="26">AA101/1000</f>
        <v>1400</v>
      </c>
      <c r="AA101" s="1413">
        <f t="shared" ref="AA101:AA102" si="27">W101*T101*R101</f>
        <v>1400000</v>
      </c>
      <c r="AB101" s="301"/>
      <c r="AC101" s="301"/>
    </row>
    <row r="102" spans="1:29" s="2558" customFormat="1" ht="22.5" customHeight="1">
      <c r="A102" s="2553"/>
      <c r="B102" s="1380"/>
      <c r="C102" s="1381"/>
      <c r="D102" s="413"/>
      <c r="E102" s="465"/>
      <c r="F102" s="465"/>
      <c r="G102" s="1115"/>
      <c r="H102" s="1115"/>
      <c r="I102" s="404"/>
      <c r="J102" s="409"/>
      <c r="K102" s="1670" t="s">
        <v>4444</v>
      </c>
      <c r="L102" s="1671"/>
      <c r="M102" s="1671"/>
      <c r="N102" s="1671"/>
      <c r="O102" s="1672"/>
      <c r="P102" s="1672"/>
      <c r="Q102" s="1671"/>
      <c r="R102" s="1673">
        <v>4</v>
      </c>
      <c r="S102" s="1671" t="s">
        <v>4402</v>
      </c>
      <c r="T102" s="1671">
        <v>200000</v>
      </c>
      <c r="U102" s="1671" t="s">
        <v>4391</v>
      </c>
      <c r="V102" s="1671"/>
      <c r="W102" s="1671">
        <v>6</v>
      </c>
      <c r="X102" s="1671" t="s">
        <v>4400</v>
      </c>
      <c r="Y102" s="1671" t="s">
        <v>4393</v>
      </c>
      <c r="Z102" s="1488">
        <f t="shared" si="26"/>
        <v>4800</v>
      </c>
      <c r="AA102" s="1413">
        <f t="shared" si="27"/>
        <v>4800000</v>
      </c>
      <c r="AB102" s="301"/>
      <c r="AC102" s="301"/>
    </row>
    <row r="103" spans="1:29" s="587" customFormat="1" ht="22.5" customHeight="1">
      <c r="A103" s="586"/>
      <c r="B103" s="1380"/>
      <c r="C103" s="1381"/>
      <c r="D103" s="413"/>
      <c r="E103" s="465"/>
      <c r="F103" s="465" t="s">
        <v>4425</v>
      </c>
      <c r="G103" s="1115">
        <f t="shared" ref="G103:G105" si="28">Z103</f>
        <v>5000</v>
      </c>
      <c r="H103" s="1115">
        <v>5000</v>
      </c>
      <c r="I103" s="404"/>
      <c r="J103" s="1438"/>
      <c r="K103" s="1670" t="s">
        <v>4445</v>
      </c>
      <c r="L103" s="1671"/>
      <c r="M103" s="1671"/>
      <c r="N103" s="1671"/>
      <c r="O103" s="1672"/>
      <c r="P103" s="1672"/>
      <c r="Q103" s="1671"/>
      <c r="R103" s="1673"/>
      <c r="S103" s="1671"/>
      <c r="T103" s="1671">
        <v>10000</v>
      </c>
      <c r="U103" s="1671" t="s">
        <v>4391</v>
      </c>
      <c r="V103" s="1671"/>
      <c r="W103" s="1671">
        <v>500</v>
      </c>
      <c r="X103" s="1671" t="s">
        <v>4427</v>
      </c>
      <c r="Y103" s="1671" t="s">
        <v>1</v>
      </c>
      <c r="Z103" s="1488">
        <f>AA103/1000</f>
        <v>5000</v>
      </c>
      <c r="AA103" s="1413">
        <f>W103*T103</f>
        <v>5000000</v>
      </c>
      <c r="AB103" s="588"/>
      <c r="AC103" s="588"/>
    </row>
    <row r="104" spans="1:29" s="2558" customFormat="1" ht="22.5" customHeight="1">
      <c r="A104" s="2553"/>
      <c r="B104" s="1380"/>
      <c r="C104" s="1381"/>
      <c r="D104" s="413"/>
      <c r="E104" s="465"/>
      <c r="F104" s="465" t="s">
        <v>4428</v>
      </c>
      <c r="G104" s="1115">
        <f t="shared" si="28"/>
        <v>400</v>
      </c>
      <c r="H104" s="1115">
        <v>400</v>
      </c>
      <c r="I104" s="404"/>
      <c r="J104" s="409"/>
      <c r="K104" s="1670" t="s">
        <v>4446</v>
      </c>
      <c r="L104" s="1671"/>
      <c r="M104" s="1671"/>
      <c r="N104" s="1671"/>
      <c r="O104" s="1672"/>
      <c r="P104" s="1672"/>
      <c r="Q104" s="1671"/>
      <c r="R104" s="1673">
        <v>40</v>
      </c>
      <c r="S104" s="1671" t="s">
        <v>4402</v>
      </c>
      <c r="T104" s="1671">
        <v>5000</v>
      </c>
      <c r="U104" s="1671" t="s">
        <v>4391</v>
      </c>
      <c r="V104" s="1671"/>
      <c r="W104" s="1671">
        <v>2</v>
      </c>
      <c r="X104" s="1671" t="s">
        <v>4400</v>
      </c>
      <c r="Y104" s="1671" t="s">
        <v>4393</v>
      </c>
      <c r="Z104" s="1488">
        <f t="shared" si="26"/>
        <v>400</v>
      </c>
      <c r="AA104" s="1413">
        <f>W104*T104*R104</f>
        <v>400000</v>
      </c>
      <c r="AB104" s="301"/>
      <c r="AC104" s="301"/>
    </row>
    <row r="105" spans="1:29" s="2558" customFormat="1" ht="22.5" customHeight="1">
      <c r="A105" s="2553"/>
      <c r="B105" s="1380"/>
      <c r="C105" s="1381"/>
      <c r="D105" s="2555"/>
      <c r="E105" s="2555"/>
      <c r="F105" s="465" t="s">
        <v>4408</v>
      </c>
      <c r="G105" s="1115">
        <f t="shared" si="28"/>
        <v>600</v>
      </c>
      <c r="H105" s="1115">
        <v>600</v>
      </c>
      <c r="I105" s="404"/>
      <c r="J105" s="409"/>
      <c r="K105" s="1670" t="s">
        <v>4397</v>
      </c>
      <c r="L105" s="1671"/>
      <c r="M105" s="1671"/>
      <c r="N105" s="1671"/>
      <c r="O105" s="1672"/>
      <c r="P105" s="1672"/>
      <c r="Q105" s="1671"/>
      <c r="R105" s="1673"/>
      <c r="S105" s="1671"/>
      <c r="T105" s="1671"/>
      <c r="U105" s="1671"/>
      <c r="V105" s="1671"/>
      <c r="W105" s="1671"/>
      <c r="X105" s="1671"/>
      <c r="Y105" s="1671"/>
      <c r="Z105" s="1488">
        <f>AA105/1000</f>
        <v>600</v>
      </c>
      <c r="AA105" s="1413">
        <f>AA106+AA107</f>
        <v>600000</v>
      </c>
      <c r="AB105" s="301"/>
      <c r="AC105" s="301"/>
    </row>
    <row r="106" spans="1:29" s="2558" customFormat="1" ht="22.5" customHeight="1">
      <c r="A106" s="2553"/>
      <c r="B106" s="1380"/>
      <c r="C106" s="1381"/>
      <c r="D106" s="413"/>
      <c r="E106" s="465"/>
      <c r="F106" s="465"/>
      <c r="G106" s="1115"/>
      <c r="H106" s="1115"/>
      <c r="I106" s="404"/>
      <c r="J106" s="409"/>
      <c r="K106" s="1670" t="s">
        <v>4447</v>
      </c>
      <c r="L106" s="1671"/>
      <c r="M106" s="1671"/>
      <c r="N106" s="1671"/>
      <c r="O106" s="1672"/>
      <c r="P106" s="1672"/>
      <c r="Q106" s="1671"/>
      <c r="R106" s="1673">
        <v>15</v>
      </c>
      <c r="S106" s="1671" t="s">
        <v>23</v>
      </c>
      <c r="T106" s="1671">
        <v>20000</v>
      </c>
      <c r="U106" s="1671" t="s">
        <v>0</v>
      </c>
      <c r="V106" s="1671"/>
      <c r="W106" s="1671">
        <v>1</v>
      </c>
      <c r="X106" s="1671" t="s">
        <v>3</v>
      </c>
      <c r="Y106" s="1671" t="s">
        <v>1</v>
      </c>
      <c r="Z106" s="1488">
        <f>AA106/1000</f>
        <v>300</v>
      </c>
      <c r="AA106" s="1413">
        <f t="shared" ref="AA106:AA107" si="29">W106*T106*R106</f>
        <v>300000</v>
      </c>
      <c r="AB106" s="301"/>
      <c r="AC106" s="301"/>
    </row>
    <row r="107" spans="1:29" s="2558" customFormat="1" ht="22.5" customHeight="1">
      <c r="A107" s="2553"/>
      <c r="B107" s="1380"/>
      <c r="C107" s="1381"/>
      <c r="D107" s="413"/>
      <c r="E107" s="465"/>
      <c r="F107" s="819"/>
      <c r="G107" s="1115"/>
      <c r="H107" s="1115"/>
      <c r="I107" s="404"/>
      <c r="J107" s="409"/>
      <c r="K107" s="1670" t="s">
        <v>4448</v>
      </c>
      <c r="L107" s="1671"/>
      <c r="M107" s="1671"/>
      <c r="N107" s="1671"/>
      <c r="O107" s="1672"/>
      <c r="P107" s="1672"/>
      <c r="Q107" s="1671"/>
      <c r="R107" s="1673">
        <v>10</v>
      </c>
      <c r="S107" s="1671" t="s">
        <v>4402</v>
      </c>
      <c r="T107" s="1671">
        <v>10000</v>
      </c>
      <c r="U107" s="1671" t="s">
        <v>4391</v>
      </c>
      <c r="V107" s="1671"/>
      <c r="W107" s="1671">
        <v>3</v>
      </c>
      <c r="X107" s="1671" t="s">
        <v>4400</v>
      </c>
      <c r="Y107" s="1671" t="s">
        <v>4393</v>
      </c>
      <c r="Z107" s="1488">
        <f>AA107/1000</f>
        <v>300</v>
      </c>
      <c r="AA107" s="1413">
        <f t="shared" si="29"/>
        <v>300000</v>
      </c>
      <c r="AB107" s="301"/>
      <c r="AC107" s="301"/>
    </row>
    <row r="108" spans="1:29" s="2558" customFormat="1" ht="22.5" customHeight="1">
      <c r="A108" s="2553"/>
      <c r="B108" s="1329"/>
      <c r="C108" s="1486"/>
      <c r="D108" s="3277" t="s">
        <v>4449</v>
      </c>
      <c r="E108" s="3271"/>
      <c r="F108" s="3272"/>
      <c r="G108" s="1484">
        <f>G109+G127+G139+G151+G153</f>
        <v>149000</v>
      </c>
      <c r="H108" s="1484">
        <v>149000</v>
      </c>
      <c r="I108" s="386">
        <f t="shared" ref="I108:I127" si="30">G108-H108</f>
        <v>0</v>
      </c>
      <c r="J108" s="409"/>
      <c r="K108" s="835"/>
      <c r="L108" s="462"/>
      <c r="M108" s="462"/>
      <c r="N108" s="462"/>
      <c r="O108" s="399"/>
      <c r="P108" s="462"/>
      <c r="Q108" s="462"/>
      <c r="R108" s="836"/>
      <c r="S108" s="462"/>
      <c r="T108" s="462"/>
      <c r="U108" s="462"/>
      <c r="V108" s="462"/>
      <c r="W108" s="462"/>
      <c r="X108" s="462"/>
      <c r="Y108" s="462"/>
      <c r="Z108" s="377"/>
      <c r="AA108" s="407"/>
      <c r="AB108" s="301"/>
      <c r="AC108" s="301"/>
    </row>
    <row r="109" spans="1:29" s="2558" customFormat="1" ht="22.5" customHeight="1">
      <c r="A109" s="2553"/>
      <c r="B109" s="1329"/>
      <c r="C109" s="1486"/>
      <c r="D109" s="809"/>
      <c r="E109" s="859" t="s">
        <v>4450</v>
      </c>
      <c r="F109" s="930"/>
      <c r="G109" s="1478">
        <f>SUM(G110:G126)</f>
        <v>50000</v>
      </c>
      <c r="H109" s="1478">
        <f>SUM(H110:H126)</f>
        <v>50000</v>
      </c>
      <c r="I109" s="386">
        <f t="shared" si="30"/>
        <v>0</v>
      </c>
      <c r="J109" s="409"/>
      <c r="K109" s="830"/>
      <c r="L109" s="371"/>
      <c r="M109" s="371"/>
      <c r="N109" s="371"/>
      <c r="O109" s="458"/>
      <c r="P109" s="371"/>
      <c r="Q109" s="371"/>
      <c r="R109" s="368"/>
      <c r="S109" s="371"/>
      <c r="T109" s="371"/>
      <c r="U109" s="371"/>
      <c r="V109" s="371"/>
      <c r="W109" s="371"/>
      <c r="X109" s="371"/>
      <c r="Y109" s="371"/>
      <c r="Z109" s="345"/>
      <c r="AA109" s="407"/>
      <c r="AB109" s="301"/>
      <c r="AC109" s="301"/>
    </row>
    <row r="110" spans="1:29" s="2558" customFormat="1" ht="22.5" customHeight="1">
      <c r="A110" s="2553"/>
      <c r="B110" s="1329"/>
      <c r="C110" s="1486"/>
      <c r="D110" s="465"/>
      <c r="E110" s="402"/>
      <c r="F110" s="809" t="s">
        <v>4425</v>
      </c>
      <c r="G110" s="1115">
        <f>Z110</f>
        <v>12000</v>
      </c>
      <c r="H110" s="884">
        <v>12000</v>
      </c>
      <c r="I110" s="391"/>
      <c r="J110" s="409"/>
      <c r="K110" s="1670" t="s">
        <v>4397</v>
      </c>
      <c r="L110" s="1671"/>
      <c r="M110" s="1671"/>
      <c r="N110" s="1671"/>
      <c r="O110" s="1487"/>
      <c r="P110" s="1487"/>
      <c r="Q110" s="1671"/>
      <c r="R110" s="1673"/>
      <c r="S110" s="815"/>
      <c r="T110" s="1671"/>
      <c r="U110" s="1671"/>
      <c r="V110" s="1671"/>
      <c r="W110" s="1671"/>
      <c r="X110" s="1671"/>
      <c r="Y110" s="1671"/>
      <c r="Z110" s="1488">
        <f>SUM(Z111:Z112)</f>
        <v>12000</v>
      </c>
      <c r="AA110" s="407">
        <f>SUM(AA111:AA113)</f>
        <v>12000000</v>
      </c>
      <c r="AB110" s="301"/>
      <c r="AC110" s="301"/>
    </row>
    <row r="111" spans="1:29" s="2558" customFormat="1" ht="22.5" customHeight="1">
      <c r="A111" s="2553"/>
      <c r="B111" s="1329"/>
      <c r="C111" s="1486"/>
      <c r="D111" s="465"/>
      <c r="E111" s="402"/>
      <c r="F111" s="465"/>
      <c r="G111" s="1115"/>
      <c r="H111" s="884"/>
      <c r="I111" s="391"/>
      <c r="J111" s="409"/>
      <c r="K111" s="1670" t="s">
        <v>4451</v>
      </c>
      <c r="L111" s="1671"/>
      <c r="M111" s="1671"/>
      <c r="N111" s="1671"/>
      <c r="O111" s="1487"/>
      <c r="P111" s="1487"/>
      <c r="Q111" s="1671"/>
      <c r="R111" s="1673"/>
      <c r="S111" s="1671"/>
      <c r="T111" s="1671">
        <v>500</v>
      </c>
      <c r="U111" s="1671" t="s">
        <v>0</v>
      </c>
      <c r="V111" s="1671"/>
      <c r="W111" s="1671">
        <v>10000</v>
      </c>
      <c r="X111" s="1671" t="s">
        <v>4452</v>
      </c>
      <c r="Y111" s="1671" t="s">
        <v>1</v>
      </c>
      <c r="Z111" s="1488">
        <f>AA111/1000</f>
        <v>5000</v>
      </c>
      <c r="AA111" s="407">
        <f>W111*T111</f>
        <v>5000000</v>
      </c>
      <c r="AB111" s="301"/>
      <c r="AC111" s="301"/>
    </row>
    <row r="112" spans="1:29" s="2558" customFormat="1" ht="22.5" customHeight="1">
      <c r="A112" s="2553"/>
      <c r="B112" s="1329"/>
      <c r="C112" s="1486"/>
      <c r="D112" s="465"/>
      <c r="E112" s="402"/>
      <c r="F112" s="465"/>
      <c r="G112" s="1115"/>
      <c r="H112" s="884"/>
      <c r="I112" s="391"/>
      <c r="J112" s="409"/>
      <c r="K112" s="1670" t="s">
        <v>4453</v>
      </c>
      <c r="L112" s="1671"/>
      <c r="M112" s="1671"/>
      <c r="N112" s="1671"/>
      <c r="O112" s="1487"/>
      <c r="P112" s="1487"/>
      <c r="Q112" s="1671"/>
      <c r="R112" s="1673"/>
      <c r="S112" s="1671"/>
      <c r="T112" s="1671">
        <v>1000</v>
      </c>
      <c r="U112" s="1671" t="s">
        <v>0</v>
      </c>
      <c r="V112" s="1671"/>
      <c r="W112" s="1671">
        <v>7000</v>
      </c>
      <c r="X112" s="1671" t="s">
        <v>305</v>
      </c>
      <c r="Y112" s="1671" t="s">
        <v>1</v>
      </c>
      <c r="Z112" s="1488">
        <f>AA112/1000</f>
        <v>7000</v>
      </c>
      <c r="AA112" s="407">
        <f>W112*T112</f>
        <v>7000000</v>
      </c>
      <c r="AB112" s="301"/>
      <c r="AC112" s="301"/>
    </row>
    <row r="113" spans="1:29" s="2558" customFormat="1" ht="22.5" customHeight="1">
      <c r="A113" s="2553"/>
      <c r="B113" s="1329"/>
      <c r="C113" s="1486"/>
      <c r="D113" s="465"/>
      <c r="E113" s="402"/>
      <c r="F113" s="620" t="s">
        <v>52</v>
      </c>
      <c r="G113" s="1115">
        <f>Z113</f>
        <v>2100</v>
      </c>
      <c r="H113" s="884">
        <v>2100</v>
      </c>
      <c r="I113" s="391"/>
      <c r="J113" s="409"/>
      <c r="K113" s="1780" t="s">
        <v>4397</v>
      </c>
      <c r="L113" s="1685"/>
      <c r="M113" s="1685"/>
      <c r="N113" s="1685"/>
      <c r="O113" s="1489"/>
      <c r="P113" s="1685"/>
      <c r="Q113" s="1685"/>
      <c r="R113" s="635"/>
      <c r="S113" s="1685"/>
      <c r="T113" s="701"/>
      <c r="U113" s="1685"/>
      <c r="V113" s="1685"/>
      <c r="W113" s="1685"/>
      <c r="X113" s="1685"/>
      <c r="Y113" s="1685"/>
      <c r="Z113" s="1490">
        <f>SUM(Z114:Z117)</f>
        <v>2100</v>
      </c>
      <c r="AA113" s="407">
        <f>W113*T113*R113</f>
        <v>0</v>
      </c>
      <c r="AB113" s="301"/>
      <c r="AC113" s="301"/>
    </row>
    <row r="114" spans="1:29" s="2558" customFormat="1" ht="22.5" customHeight="1">
      <c r="A114" s="2553"/>
      <c r="B114" s="1329"/>
      <c r="C114" s="1486"/>
      <c r="D114" s="465"/>
      <c r="E114" s="402"/>
      <c r="F114" s="620"/>
      <c r="G114" s="1115"/>
      <c r="H114" s="884"/>
      <c r="I114" s="391"/>
      <c r="J114" s="409"/>
      <c r="K114" s="1780" t="s">
        <v>4454</v>
      </c>
      <c r="L114" s="1685"/>
      <c r="M114" s="1685"/>
      <c r="N114" s="1685"/>
      <c r="O114" s="1489"/>
      <c r="P114" s="1489"/>
      <c r="Q114" s="1685"/>
      <c r="R114" s="635">
        <v>2</v>
      </c>
      <c r="S114" s="1685" t="s">
        <v>23</v>
      </c>
      <c r="T114" s="1685">
        <v>200000</v>
      </c>
      <c r="U114" s="1685" t="s">
        <v>0</v>
      </c>
      <c r="V114" s="1685"/>
      <c r="W114" s="1685">
        <v>1</v>
      </c>
      <c r="X114" s="1685" t="s">
        <v>3</v>
      </c>
      <c r="Y114" s="1685" t="s">
        <v>1</v>
      </c>
      <c r="Z114" s="1490">
        <f>AA114/1000</f>
        <v>400</v>
      </c>
      <c r="AA114" s="407">
        <f>W114*T114*R114</f>
        <v>400000</v>
      </c>
      <c r="AB114" s="301"/>
      <c r="AC114" s="301"/>
    </row>
    <row r="115" spans="1:29" s="2558" customFormat="1" ht="22.5" customHeight="1">
      <c r="A115" s="2553"/>
      <c r="B115" s="1329"/>
      <c r="C115" s="1486"/>
      <c r="D115" s="465"/>
      <c r="E115" s="402"/>
      <c r="F115" s="620"/>
      <c r="G115" s="1115"/>
      <c r="H115" s="884"/>
      <c r="I115" s="391"/>
      <c r="J115" s="409"/>
      <c r="K115" s="1780" t="s">
        <v>4455</v>
      </c>
      <c r="L115" s="1685"/>
      <c r="M115" s="1685"/>
      <c r="N115" s="1685"/>
      <c r="O115" s="1489"/>
      <c r="P115" s="1489"/>
      <c r="Q115" s="1685"/>
      <c r="R115" s="635">
        <v>2</v>
      </c>
      <c r="S115" s="1685" t="s">
        <v>23</v>
      </c>
      <c r="T115" s="1685">
        <v>200000</v>
      </c>
      <c r="U115" s="1685" t="s">
        <v>0</v>
      </c>
      <c r="V115" s="1685"/>
      <c r="W115" s="1685">
        <v>1</v>
      </c>
      <c r="X115" s="1685" t="s">
        <v>3</v>
      </c>
      <c r="Y115" s="1685" t="s">
        <v>1</v>
      </c>
      <c r="Z115" s="1490">
        <f t="shared" ref="Z115:Z117" si="31">AA115/1000</f>
        <v>400</v>
      </c>
      <c r="AA115" s="407">
        <f t="shared" ref="AA115:AA117" si="32">W115*T115*R115</f>
        <v>400000</v>
      </c>
      <c r="AB115" s="301"/>
      <c r="AC115" s="301"/>
    </row>
    <row r="116" spans="1:29" s="2558" customFormat="1" ht="22.5" customHeight="1">
      <c r="A116" s="2553"/>
      <c r="B116" s="1329"/>
      <c r="C116" s="1486"/>
      <c r="D116" s="465"/>
      <c r="E116" s="402"/>
      <c r="F116" s="620"/>
      <c r="G116" s="1115"/>
      <c r="H116" s="884"/>
      <c r="I116" s="391"/>
      <c r="J116" s="409"/>
      <c r="K116" s="1780" t="s">
        <v>4456</v>
      </c>
      <c r="L116" s="1685"/>
      <c r="M116" s="1685"/>
      <c r="N116" s="1685"/>
      <c r="O116" s="1489"/>
      <c r="P116" s="1489"/>
      <c r="Q116" s="1685"/>
      <c r="R116" s="635">
        <v>1</v>
      </c>
      <c r="S116" s="1685" t="s">
        <v>23</v>
      </c>
      <c r="T116" s="1685">
        <v>300000</v>
      </c>
      <c r="U116" s="1685" t="s">
        <v>0</v>
      </c>
      <c r="V116" s="1685"/>
      <c r="W116" s="1685">
        <v>1</v>
      </c>
      <c r="X116" s="1685" t="s">
        <v>3</v>
      </c>
      <c r="Y116" s="1685" t="s">
        <v>1</v>
      </c>
      <c r="Z116" s="1490">
        <f t="shared" si="31"/>
        <v>300</v>
      </c>
      <c r="AA116" s="407">
        <f t="shared" si="32"/>
        <v>300000</v>
      </c>
      <c r="AB116" s="301"/>
      <c r="AC116" s="301"/>
    </row>
    <row r="117" spans="1:29" s="2558" customFormat="1" ht="22.5" customHeight="1">
      <c r="A117" s="2553"/>
      <c r="B117" s="1329"/>
      <c r="C117" s="1486"/>
      <c r="D117" s="465"/>
      <c r="E117" s="402"/>
      <c r="F117" s="620"/>
      <c r="G117" s="1115"/>
      <c r="H117" s="884"/>
      <c r="I117" s="391"/>
      <c r="J117" s="409"/>
      <c r="K117" s="1780" t="s">
        <v>4840</v>
      </c>
      <c r="L117" s="1685"/>
      <c r="M117" s="1685"/>
      <c r="N117" s="1685"/>
      <c r="O117" s="1489"/>
      <c r="P117" s="1489"/>
      <c r="Q117" s="1685"/>
      <c r="R117" s="635">
        <v>5</v>
      </c>
      <c r="S117" s="1685" t="s">
        <v>23</v>
      </c>
      <c r="T117" s="1685">
        <v>200000</v>
      </c>
      <c r="U117" s="1685" t="s">
        <v>0</v>
      </c>
      <c r="V117" s="1685"/>
      <c r="W117" s="1685">
        <v>1</v>
      </c>
      <c r="X117" s="1685" t="s">
        <v>3</v>
      </c>
      <c r="Y117" s="1685" t="s">
        <v>1</v>
      </c>
      <c r="Z117" s="1490">
        <f t="shared" si="31"/>
        <v>1000</v>
      </c>
      <c r="AA117" s="407">
        <f t="shared" si="32"/>
        <v>1000000</v>
      </c>
      <c r="AB117" s="301"/>
      <c r="AC117" s="301"/>
    </row>
    <row r="118" spans="1:29" s="2558" customFormat="1" ht="22.5" customHeight="1">
      <c r="A118" s="2553"/>
      <c r="B118" s="1329"/>
      <c r="C118" s="1486"/>
      <c r="D118" s="465"/>
      <c r="E118" s="402"/>
      <c r="F118" s="620" t="s">
        <v>4403</v>
      </c>
      <c r="G118" s="1115">
        <f>Z118</f>
        <v>32700</v>
      </c>
      <c r="H118" s="884">
        <v>32700</v>
      </c>
      <c r="I118" s="391"/>
      <c r="J118" s="409"/>
      <c r="K118" s="1780" t="s">
        <v>4397</v>
      </c>
      <c r="L118" s="1685"/>
      <c r="M118" s="1685"/>
      <c r="N118" s="1685"/>
      <c r="O118" s="1489"/>
      <c r="P118" s="1685"/>
      <c r="Q118" s="1685"/>
      <c r="R118" s="635"/>
      <c r="S118" s="1685"/>
      <c r="T118" s="701"/>
      <c r="U118" s="1685"/>
      <c r="V118" s="1685"/>
      <c r="W118" s="1685"/>
      <c r="X118" s="1685"/>
      <c r="Y118" s="1685"/>
      <c r="Z118" s="1490">
        <f>SUM(Z119:Z122)</f>
        <v>32700</v>
      </c>
      <c r="AA118" s="407"/>
      <c r="AB118" s="301"/>
      <c r="AC118" s="301"/>
    </row>
    <row r="119" spans="1:29" s="2558" customFormat="1" ht="22.5" customHeight="1">
      <c r="A119" s="2553"/>
      <c r="B119" s="1329"/>
      <c r="C119" s="1486"/>
      <c r="D119" s="465"/>
      <c r="E119" s="402"/>
      <c r="F119" s="620"/>
      <c r="G119" s="1115"/>
      <c r="H119" s="884"/>
      <c r="I119" s="391"/>
      <c r="J119" s="409"/>
      <c r="K119" s="1670" t="s">
        <v>4457</v>
      </c>
      <c r="L119" s="1671"/>
      <c r="M119" s="1671"/>
      <c r="N119" s="1671"/>
      <c r="O119" s="1672"/>
      <c r="P119" s="1671"/>
      <c r="Q119" s="1671"/>
      <c r="R119" s="635">
        <v>10</v>
      </c>
      <c r="S119" s="1685" t="s">
        <v>4458</v>
      </c>
      <c r="T119" s="1685">
        <v>400000</v>
      </c>
      <c r="U119" s="1685" t="s">
        <v>0</v>
      </c>
      <c r="V119" s="1685"/>
      <c r="W119" s="1685">
        <v>5</v>
      </c>
      <c r="X119" s="1685" t="s">
        <v>3</v>
      </c>
      <c r="Y119" s="1685" t="s">
        <v>1</v>
      </c>
      <c r="Z119" s="1490">
        <f>AA119/1000</f>
        <v>20000</v>
      </c>
      <c r="AA119" s="407">
        <f>W119*T119*R119</f>
        <v>20000000</v>
      </c>
      <c r="AB119" s="301"/>
      <c r="AC119" s="301"/>
    </row>
    <row r="120" spans="1:29" s="2558" customFormat="1" ht="22.5" customHeight="1">
      <c r="A120" s="2553"/>
      <c r="B120" s="1329"/>
      <c r="C120" s="1486"/>
      <c r="D120" s="465"/>
      <c r="E120" s="402"/>
      <c r="F120" s="620"/>
      <c r="G120" s="1115"/>
      <c r="H120" s="884"/>
      <c r="I120" s="391"/>
      <c r="J120" s="409"/>
      <c r="K120" s="1670" t="s">
        <v>4459</v>
      </c>
      <c r="L120" s="1671"/>
      <c r="M120" s="1671"/>
      <c r="N120" s="1671"/>
      <c r="O120" s="1672"/>
      <c r="P120" s="1671"/>
      <c r="Q120" s="1671"/>
      <c r="R120" s="1673">
        <v>1425</v>
      </c>
      <c r="S120" s="1671" t="s">
        <v>146</v>
      </c>
      <c r="T120" s="806">
        <v>2000</v>
      </c>
      <c r="U120" s="1671" t="s">
        <v>0</v>
      </c>
      <c r="V120" s="1671"/>
      <c r="W120" s="1671">
        <v>2</v>
      </c>
      <c r="X120" s="1671" t="s">
        <v>3</v>
      </c>
      <c r="Y120" s="1671" t="s">
        <v>1</v>
      </c>
      <c r="Z120" s="1490">
        <f t="shared" ref="Z120:Z122" si="33">AA120/1000</f>
        <v>5700</v>
      </c>
      <c r="AA120" s="407">
        <f>W120*T120*R120</f>
        <v>5700000</v>
      </c>
      <c r="AB120" s="301"/>
      <c r="AC120" s="301"/>
    </row>
    <row r="121" spans="1:29" s="2558" customFormat="1" ht="22.5" customHeight="1">
      <c r="A121" s="2553"/>
      <c r="B121" s="1329"/>
      <c r="C121" s="1486"/>
      <c r="D121" s="465"/>
      <c r="E121" s="402"/>
      <c r="F121" s="620"/>
      <c r="G121" s="1115"/>
      <c r="H121" s="884"/>
      <c r="I121" s="391"/>
      <c r="J121" s="409"/>
      <c r="K121" s="1670" t="s">
        <v>4460</v>
      </c>
      <c r="L121" s="1671"/>
      <c r="M121" s="1671"/>
      <c r="N121" s="1671"/>
      <c r="O121" s="1672"/>
      <c r="P121" s="1671"/>
      <c r="Q121" s="1671"/>
      <c r="R121" s="1673"/>
      <c r="S121" s="1671"/>
      <c r="T121" s="806">
        <v>2000</v>
      </c>
      <c r="U121" s="1671" t="s">
        <v>0</v>
      </c>
      <c r="V121" s="1671"/>
      <c r="W121" s="1671">
        <v>3000</v>
      </c>
      <c r="X121" s="1671" t="s">
        <v>4461</v>
      </c>
      <c r="Y121" s="1671" t="s">
        <v>1</v>
      </c>
      <c r="Z121" s="1490">
        <f t="shared" si="33"/>
        <v>6000</v>
      </c>
      <c r="AA121" s="407">
        <f>W121*T121</f>
        <v>6000000</v>
      </c>
      <c r="AB121" s="301"/>
      <c r="AC121" s="301"/>
    </row>
    <row r="122" spans="1:29" s="2558" customFormat="1" ht="22.5" customHeight="1">
      <c r="A122" s="2553"/>
      <c r="B122" s="1329"/>
      <c r="C122" s="1486"/>
      <c r="D122" s="465"/>
      <c r="E122" s="402"/>
      <c r="F122" s="620"/>
      <c r="G122" s="1115"/>
      <c r="H122" s="884"/>
      <c r="I122" s="391"/>
      <c r="J122" s="409"/>
      <c r="K122" s="1670" t="s">
        <v>4462</v>
      </c>
      <c r="L122" s="1671"/>
      <c r="M122" s="1671"/>
      <c r="N122" s="1671"/>
      <c r="O122" s="1672"/>
      <c r="P122" s="1671"/>
      <c r="Q122" s="1671"/>
      <c r="R122" s="1673"/>
      <c r="S122" s="1671"/>
      <c r="T122" s="806">
        <v>1000000</v>
      </c>
      <c r="U122" s="1671" t="s">
        <v>0</v>
      </c>
      <c r="V122" s="1671"/>
      <c r="W122" s="1671">
        <v>1</v>
      </c>
      <c r="X122" s="1671" t="s">
        <v>3</v>
      </c>
      <c r="Y122" s="1671" t="s">
        <v>1</v>
      </c>
      <c r="Z122" s="1490">
        <f t="shared" si="33"/>
        <v>1000</v>
      </c>
      <c r="AA122" s="407">
        <f>W122*T122</f>
        <v>1000000</v>
      </c>
      <c r="AB122" s="301"/>
      <c r="AC122" s="301"/>
    </row>
    <row r="123" spans="1:29" s="2558" customFormat="1" ht="22.5" customHeight="1">
      <c r="A123" s="2553"/>
      <c r="B123" s="1329"/>
      <c r="C123" s="1486"/>
      <c r="D123" s="465"/>
      <c r="E123" s="402"/>
      <c r="F123" s="465" t="s">
        <v>3766</v>
      </c>
      <c r="G123" s="1115">
        <f>Z123</f>
        <v>3200</v>
      </c>
      <c r="H123" s="884">
        <v>3200</v>
      </c>
      <c r="I123" s="391"/>
      <c r="J123" s="409"/>
      <c r="K123" s="1670" t="s">
        <v>3381</v>
      </c>
      <c r="L123" s="1671"/>
      <c r="M123" s="1671"/>
      <c r="N123" s="1671"/>
      <c r="O123" s="1672"/>
      <c r="P123" s="1671"/>
      <c r="Q123" s="1671"/>
      <c r="R123" s="1673"/>
      <c r="S123" s="1671"/>
      <c r="T123" s="806"/>
      <c r="U123" s="1671"/>
      <c r="V123" s="1671"/>
      <c r="W123" s="1671"/>
      <c r="X123" s="1671"/>
      <c r="Y123" s="1671"/>
      <c r="Z123" s="1674">
        <f>SUM(Z124:Z126)</f>
        <v>3200</v>
      </c>
      <c r="AA123" s="407">
        <f>W123*T123*R123</f>
        <v>0</v>
      </c>
      <c r="AB123" s="301"/>
      <c r="AC123" s="301"/>
    </row>
    <row r="124" spans="1:29" s="2558" customFormat="1" ht="22.5" customHeight="1">
      <c r="A124" s="2553"/>
      <c r="B124" s="1329"/>
      <c r="C124" s="1486"/>
      <c r="D124" s="465"/>
      <c r="E124" s="402"/>
      <c r="F124" s="465"/>
      <c r="G124" s="1115"/>
      <c r="H124" s="884"/>
      <c r="I124" s="391"/>
      <c r="J124" s="409"/>
      <c r="K124" s="1670" t="s">
        <v>4463</v>
      </c>
      <c r="L124" s="1671"/>
      <c r="M124" s="1671"/>
      <c r="N124" s="1671"/>
      <c r="O124" s="1672"/>
      <c r="P124" s="1672"/>
      <c r="Q124" s="1671"/>
      <c r="R124" s="1673"/>
      <c r="S124" s="1671"/>
      <c r="T124" s="1671">
        <v>1000000</v>
      </c>
      <c r="U124" s="1671" t="s">
        <v>3376</v>
      </c>
      <c r="V124" s="1671"/>
      <c r="W124" s="1671">
        <v>1</v>
      </c>
      <c r="X124" s="1671" t="s">
        <v>3377</v>
      </c>
      <c r="Y124" s="1671" t="s">
        <v>3378</v>
      </c>
      <c r="Z124" s="1674">
        <f>AA124/1000</f>
        <v>1000</v>
      </c>
      <c r="AA124" s="407">
        <f>W124*T124</f>
        <v>1000000</v>
      </c>
      <c r="AB124" s="301"/>
      <c r="AC124" s="301"/>
    </row>
    <row r="125" spans="1:29" s="2558" customFormat="1" ht="22.5" customHeight="1">
      <c r="A125" s="2553"/>
      <c r="B125" s="1329"/>
      <c r="C125" s="1486"/>
      <c r="D125" s="465"/>
      <c r="E125" s="402"/>
      <c r="F125" s="465"/>
      <c r="G125" s="1115"/>
      <c r="H125" s="884"/>
      <c r="I125" s="391"/>
      <c r="J125" s="409"/>
      <c r="K125" s="1670" t="s">
        <v>4464</v>
      </c>
      <c r="L125" s="1671"/>
      <c r="M125" s="1671"/>
      <c r="N125" s="1671"/>
      <c r="O125" s="1672"/>
      <c r="P125" s="1672"/>
      <c r="Q125" s="1671"/>
      <c r="R125" s="1673"/>
      <c r="S125" s="1671"/>
      <c r="T125" s="1671">
        <v>600000</v>
      </c>
      <c r="U125" s="1671" t="s">
        <v>3376</v>
      </c>
      <c r="V125" s="1671"/>
      <c r="W125" s="1671">
        <v>2</v>
      </c>
      <c r="X125" s="1671" t="s">
        <v>3377</v>
      </c>
      <c r="Y125" s="1671" t="s">
        <v>3378</v>
      </c>
      <c r="Z125" s="1674">
        <f t="shared" ref="Z125:Z126" si="34">AA125/1000</f>
        <v>1200</v>
      </c>
      <c r="AA125" s="407">
        <f t="shared" ref="AA125:AA126" si="35">W125*T125</f>
        <v>1200000</v>
      </c>
      <c r="AB125" s="301"/>
      <c r="AC125" s="301"/>
    </row>
    <row r="126" spans="1:29" s="2558" customFormat="1" ht="22.5" customHeight="1">
      <c r="A126" s="2553"/>
      <c r="B126" s="1329"/>
      <c r="C126" s="1486"/>
      <c r="D126" s="465"/>
      <c r="E126" s="402"/>
      <c r="F126" s="819"/>
      <c r="G126" s="1115"/>
      <c r="H126" s="884"/>
      <c r="I126" s="391"/>
      <c r="J126" s="409"/>
      <c r="K126" s="1670" t="s">
        <v>4465</v>
      </c>
      <c r="L126" s="1671"/>
      <c r="M126" s="1671"/>
      <c r="N126" s="1671"/>
      <c r="O126" s="1672"/>
      <c r="P126" s="1672"/>
      <c r="Q126" s="1671"/>
      <c r="R126" s="1673"/>
      <c r="S126" s="1671"/>
      <c r="T126" s="1671">
        <v>500000</v>
      </c>
      <c r="U126" s="1671" t="s">
        <v>3376</v>
      </c>
      <c r="V126" s="1671"/>
      <c r="W126" s="1671">
        <v>2</v>
      </c>
      <c r="X126" s="1671" t="s">
        <v>3377</v>
      </c>
      <c r="Y126" s="1671" t="s">
        <v>3378</v>
      </c>
      <c r="Z126" s="1674">
        <f t="shared" si="34"/>
        <v>1000</v>
      </c>
      <c r="AA126" s="407">
        <f t="shared" si="35"/>
        <v>1000000</v>
      </c>
      <c r="AB126" s="301"/>
      <c r="AC126" s="301"/>
    </row>
    <row r="127" spans="1:29" s="2558" customFormat="1" ht="21" customHeight="1">
      <c r="A127" s="2553"/>
      <c r="B127" s="1329"/>
      <c r="C127" s="1486"/>
      <c r="D127" s="465"/>
      <c r="E127" s="864" t="s">
        <v>4466</v>
      </c>
      <c r="F127" s="1447"/>
      <c r="G127" s="1484">
        <f>SUM(G128:G138)</f>
        <v>30000</v>
      </c>
      <c r="H127" s="1484">
        <f>SUM(H128:H138)</f>
        <v>30000</v>
      </c>
      <c r="I127" s="386">
        <f t="shared" si="30"/>
        <v>0</v>
      </c>
      <c r="J127" s="409"/>
      <c r="K127" s="835"/>
      <c r="L127" s="462"/>
      <c r="M127" s="462"/>
      <c r="N127" s="462"/>
      <c r="O127" s="399"/>
      <c r="P127" s="462"/>
      <c r="Q127" s="462"/>
      <c r="R127" s="836"/>
      <c r="S127" s="462"/>
      <c r="T127" s="462"/>
      <c r="U127" s="462"/>
      <c r="V127" s="462"/>
      <c r="W127" s="462"/>
      <c r="X127" s="462"/>
      <c r="Y127" s="462"/>
      <c r="Z127" s="377"/>
      <c r="AA127" s="1086"/>
      <c r="AB127" s="301"/>
      <c r="AC127" s="301"/>
    </row>
    <row r="128" spans="1:29" s="2558" customFormat="1" ht="21" customHeight="1">
      <c r="A128" s="2553"/>
      <c r="B128" s="1329"/>
      <c r="C128" s="1486"/>
      <c r="D128" s="465"/>
      <c r="E128" s="402"/>
      <c r="F128" s="621" t="s">
        <v>3836</v>
      </c>
      <c r="G128" s="1115">
        <f>Z128</f>
        <v>11700</v>
      </c>
      <c r="H128" s="884">
        <v>11700</v>
      </c>
      <c r="I128" s="391"/>
      <c r="J128" s="409"/>
      <c r="K128" s="1670" t="s">
        <v>3381</v>
      </c>
      <c r="L128" s="1671"/>
      <c r="M128" s="1671"/>
      <c r="N128" s="1671"/>
      <c r="O128" s="1672"/>
      <c r="P128" s="1672"/>
      <c r="Q128" s="1671"/>
      <c r="R128" s="1673"/>
      <c r="S128" s="1671"/>
      <c r="T128" s="1671"/>
      <c r="U128" s="1671"/>
      <c r="V128" s="1671"/>
      <c r="W128" s="1671"/>
      <c r="X128" s="1671"/>
      <c r="Y128" s="1671"/>
      <c r="Z128" s="1674">
        <f>SUM(Z129:Z130)</f>
        <v>11700</v>
      </c>
      <c r="AA128" s="407">
        <f>SUM(AA129:AA131)</f>
        <v>11700000</v>
      </c>
      <c r="AB128" s="301"/>
      <c r="AC128" s="301"/>
    </row>
    <row r="129" spans="1:29" s="2558" customFormat="1" ht="21" customHeight="1">
      <c r="A129" s="2553"/>
      <c r="B129" s="1329"/>
      <c r="C129" s="1486"/>
      <c r="D129" s="465"/>
      <c r="E129" s="402"/>
      <c r="F129" s="620"/>
      <c r="G129" s="1115"/>
      <c r="H129" s="884"/>
      <c r="I129" s="391"/>
      <c r="J129" s="409"/>
      <c r="K129" s="1670" t="s">
        <v>4467</v>
      </c>
      <c r="L129" s="1671"/>
      <c r="M129" s="1671"/>
      <c r="N129" s="1671"/>
      <c r="O129" s="1487"/>
      <c r="P129" s="1671"/>
      <c r="Q129" s="1671"/>
      <c r="R129" s="1673"/>
      <c r="S129" s="1671"/>
      <c r="T129" s="806">
        <v>11000</v>
      </c>
      <c r="U129" s="1671" t="s">
        <v>0</v>
      </c>
      <c r="V129" s="1671"/>
      <c r="W129" s="1671">
        <v>700</v>
      </c>
      <c r="X129" s="1671" t="s">
        <v>4468</v>
      </c>
      <c r="Y129" s="1671" t="s">
        <v>1</v>
      </c>
      <c r="Z129" s="1674">
        <f>AA129/1000</f>
        <v>7700</v>
      </c>
      <c r="AA129" s="407">
        <f>W129*T129</f>
        <v>7700000</v>
      </c>
      <c r="AB129" s="301"/>
      <c r="AC129" s="301"/>
    </row>
    <row r="130" spans="1:29" s="2558" customFormat="1" ht="21" customHeight="1">
      <c r="A130" s="2553"/>
      <c r="B130" s="1329"/>
      <c r="C130" s="1486"/>
      <c r="D130" s="465"/>
      <c r="E130" s="402"/>
      <c r="F130" s="620"/>
      <c r="G130" s="1115"/>
      <c r="H130" s="884"/>
      <c r="I130" s="391"/>
      <c r="J130" s="409"/>
      <c r="K130" s="1670" t="s">
        <v>4469</v>
      </c>
      <c r="L130" s="1671"/>
      <c r="M130" s="1671"/>
      <c r="N130" s="1671"/>
      <c r="O130" s="1487"/>
      <c r="P130" s="1671"/>
      <c r="Q130" s="1671"/>
      <c r="R130" s="1673"/>
      <c r="S130" s="1671"/>
      <c r="T130" s="806">
        <v>10000</v>
      </c>
      <c r="U130" s="1671" t="s">
        <v>0</v>
      </c>
      <c r="V130" s="1671"/>
      <c r="W130" s="1671">
        <v>400</v>
      </c>
      <c r="X130" s="1671" t="s">
        <v>4468</v>
      </c>
      <c r="Y130" s="1671" t="s">
        <v>1</v>
      </c>
      <c r="Z130" s="1674">
        <f>AA130/1000</f>
        <v>4000</v>
      </c>
      <c r="AA130" s="407">
        <f>W130*T130</f>
        <v>4000000</v>
      </c>
      <c r="AB130" s="301"/>
      <c r="AC130" s="301"/>
    </row>
    <row r="131" spans="1:29" s="2558" customFormat="1" ht="21" customHeight="1">
      <c r="A131" s="2553"/>
      <c r="B131" s="1329"/>
      <c r="C131" s="1486"/>
      <c r="D131" s="465"/>
      <c r="E131" s="402"/>
      <c r="F131" s="620" t="s">
        <v>3775</v>
      </c>
      <c r="G131" s="1115">
        <f>Z131</f>
        <v>12900</v>
      </c>
      <c r="H131" s="884">
        <v>12900</v>
      </c>
      <c r="I131" s="391"/>
      <c r="J131" s="409"/>
      <c r="K131" s="1670" t="s">
        <v>3381</v>
      </c>
      <c r="L131" s="1671"/>
      <c r="M131" s="1671"/>
      <c r="N131" s="1671"/>
      <c r="O131" s="1487"/>
      <c r="P131" s="1487"/>
      <c r="Q131" s="1671"/>
      <c r="R131" s="1673"/>
      <c r="S131" s="1671"/>
      <c r="T131" s="1671"/>
      <c r="U131" s="1671"/>
      <c r="V131" s="1671"/>
      <c r="W131" s="1671"/>
      <c r="X131" s="1671"/>
      <c r="Y131" s="1671"/>
      <c r="Z131" s="1488">
        <f>SUM(Z132:Z134)</f>
        <v>12900</v>
      </c>
      <c r="AA131" s="407">
        <f>W131*T131*R131</f>
        <v>0</v>
      </c>
      <c r="AB131" s="301"/>
      <c r="AC131" s="301"/>
    </row>
    <row r="132" spans="1:29" s="2558" customFormat="1" ht="21" customHeight="1">
      <c r="A132" s="2553"/>
      <c r="B132" s="1329"/>
      <c r="C132" s="1486"/>
      <c r="D132" s="465"/>
      <c r="E132" s="402"/>
      <c r="F132" s="620"/>
      <c r="G132" s="1115"/>
      <c r="H132" s="884"/>
      <c r="I132" s="391"/>
      <c r="J132" s="409"/>
      <c r="K132" s="1670" t="s">
        <v>4470</v>
      </c>
      <c r="L132" s="1671"/>
      <c r="M132" s="1671"/>
      <c r="N132" s="1671"/>
      <c r="O132" s="1487"/>
      <c r="P132" s="1671"/>
      <c r="Q132" s="1671"/>
      <c r="R132" s="1673">
        <v>10</v>
      </c>
      <c r="S132" s="1671" t="s">
        <v>466</v>
      </c>
      <c r="T132" s="806">
        <v>50000</v>
      </c>
      <c r="U132" s="1671" t="s">
        <v>0</v>
      </c>
      <c r="V132" s="1671"/>
      <c r="W132" s="1671">
        <v>15</v>
      </c>
      <c r="X132" s="1671" t="s">
        <v>467</v>
      </c>
      <c r="Y132" s="1671" t="s">
        <v>1</v>
      </c>
      <c r="Z132" s="1488">
        <f>AA132/1000</f>
        <v>7500</v>
      </c>
      <c r="AA132" s="407">
        <f>W132*T132*R132</f>
        <v>7500000</v>
      </c>
      <c r="AB132" s="301"/>
      <c r="AC132" s="301"/>
    </row>
    <row r="133" spans="1:29" s="2558" customFormat="1" ht="21" customHeight="1">
      <c r="A133" s="2553"/>
      <c r="B133" s="1329"/>
      <c r="C133" s="1486"/>
      <c r="D133" s="465"/>
      <c r="E133" s="402"/>
      <c r="F133" s="620"/>
      <c r="G133" s="1115"/>
      <c r="H133" s="884"/>
      <c r="I133" s="391"/>
      <c r="J133" s="409"/>
      <c r="K133" s="1670" t="s">
        <v>4471</v>
      </c>
      <c r="L133" s="1671"/>
      <c r="M133" s="1671"/>
      <c r="N133" s="1671"/>
      <c r="O133" s="1487"/>
      <c r="P133" s="1671"/>
      <c r="Q133" s="1671"/>
      <c r="R133" s="1673"/>
      <c r="S133" s="1671"/>
      <c r="T133" s="806">
        <v>200000</v>
      </c>
      <c r="U133" s="1671" t="s">
        <v>0</v>
      </c>
      <c r="V133" s="1671"/>
      <c r="W133" s="1671">
        <v>18</v>
      </c>
      <c r="X133" s="1671" t="s">
        <v>4472</v>
      </c>
      <c r="Y133" s="1671" t="s">
        <v>1</v>
      </c>
      <c r="Z133" s="1488">
        <f t="shared" ref="Z133:Z135" si="36">AA133/1000</f>
        <v>3600</v>
      </c>
      <c r="AA133" s="407">
        <f>W133*T133</f>
        <v>3600000</v>
      </c>
      <c r="AB133" s="301"/>
      <c r="AC133" s="301"/>
    </row>
    <row r="134" spans="1:29" s="2558" customFormat="1" ht="21" customHeight="1">
      <c r="A134" s="2553"/>
      <c r="B134" s="1329"/>
      <c r="C134" s="1486"/>
      <c r="D134" s="465"/>
      <c r="E134" s="402"/>
      <c r="F134" s="620"/>
      <c r="G134" s="1115"/>
      <c r="H134" s="884"/>
      <c r="I134" s="391"/>
      <c r="J134" s="409"/>
      <c r="K134" s="1670" t="s">
        <v>4473</v>
      </c>
      <c r="L134" s="1671"/>
      <c r="M134" s="1671"/>
      <c r="N134" s="1671"/>
      <c r="O134" s="1487"/>
      <c r="P134" s="1671"/>
      <c r="Q134" s="1671"/>
      <c r="R134" s="1673"/>
      <c r="S134" s="1671"/>
      <c r="T134" s="806">
        <v>3000</v>
      </c>
      <c r="U134" s="1671" t="s">
        <v>0</v>
      </c>
      <c r="V134" s="1671"/>
      <c r="W134" s="1671">
        <v>600</v>
      </c>
      <c r="X134" s="1671" t="s">
        <v>468</v>
      </c>
      <c r="Y134" s="1671" t="s">
        <v>1</v>
      </c>
      <c r="Z134" s="1488">
        <f t="shared" si="36"/>
        <v>1800</v>
      </c>
      <c r="AA134" s="407">
        <f t="shared" ref="AA134:AA138" si="37">W134*T134</f>
        <v>1800000</v>
      </c>
      <c r="AB134" s="301"/>
      <c r="AC134" s="301"/>
    </row>
    <row r="135" spans="1:29" s="2558" customFormat="1" ht="21" customHeight="1">
      <c r="A135" s="2553"/>
      <c r="B135" s="1329"/>
      <c r="C135" s="1486"/>
      <c r="D135" s="465"/>
      <c r="E135" s="402"/>
      <c r="F135" s="620" t="s">
        <v>3766</v>
      </c>
      <c r="G135" s="1115">
        <f>Z135</f>
        <v>1200</v>
      </c>
      <c r="H135" s="884">
        <v>1200</v>
      </c>
      <c r="I135" s="391"/>
      <c r="J135" s="409"/>
      <c r="K135" s="1670" t="s">
        <v>4474</v>
      </c>
      <c r="L135" s="1671"/>
      <c r="M135" s="1671"/>
      <c r="N135" s="1671"/>
      <c r="O135" s="1672"/>
      <c r="P135" s="1671"/>
      <c r="Q135" s="1671"/>
      <c r="R135" s="1673"/>
      <c r="S135" s="1671"/>
      <c r="T135" s="806">
        <v>600000</v>
      </c>
      <c r="U135" s="1667" t="s">
        <v>0</v>
      </c>
      <c r="V135" s="1671"/>
      <c r="W135" s="1667">
        <v>2</v>
      </c>
      <c r="X135" s="1671" t="s">
        <v>4475</v>
      </c>
      <c r="Y135" s="1667" t="s">
        <v>1</v>
      </c>
      <c r="Z135" s="1488">
        <f t="shared" si="36"/>
        <v>1200</v>
      </c>
      <c r="AA135" s="407">
        <f t="shared" si="37"/>
        <v>1200000</v>
      </c>
      <c r="AB135" s="301"/>
      <c r="AC135" s="301"/>
    </row>
    <row r="136" spans="1:29" s="2558" customFormat="1" ht="21" customHeight="1">
      <c r="A136" s="2553"/>
      <c r="B136" s="1329"/>
      <c r="C136" s="1486"/>
      <c r="D136" s="465"/>
      <c r="E136" s="402"/>
      <c r="F136" s="620" t="s">
        <v>3792</v>
      </c>
      <c r="G136" s="1115">
        <f>Z136</f>
        <v>4200</v>
      </c>
      <c r="H136" s="884">
        <v>4200</v>
      </c>
      <c r="I136" s="391"/>
      <c r="J136" s="409"/>
      <c r="K136" s="1670" t="s">
        <v>3381</v>
      </c>
      <c r="L136" s="1671"/>
      <c r="M136" s="1671"/>
      <c r="N136" s="1671"/>
      <c r="O136" s="1672"/>
      <c r="P136" s="1671"/>
      <c r="Q136" s="1671"/>
      <c r="R136" s="1673"/>
      <c r="S136" s="1671"/>
      <c r="T136" s="587"/>
      <c r="U136" s="1671"/>
      <c r="V136" s="1671"/>
      <c r="W136" s="1671"/>
      <c r="X136" s="1671"/>
      <c r="Y136" s="1671"/>
      <c r="Z136" s="1674">
        <f>SUM(Z137:Z138)</f>
        <v>4200</v>
      </c>
      <c r="AA136" s="407">
        <f t="shared" si="37"/>
        <v>0</v>
      </c>
      <c r="AB136" s="301"/>
      <c r="AC136" s="301"/>
    </row>
    <row r="137" spans="1:29" s="587" customFormat="1" ht="21" customHeight="1">
      <c r="A137" s="586"/>
      <c r="B137" s="1329"/>
      <c r="C137" s="1486"/>
      <c r="D137" s="465"/>
      <c r="E137" s="402"/>
      <c r="F137" s="620"/>
      <c r="G137" s="1115"/>
      <c r="H137" s="1115"/>
      <c r="I137" s="404"/>
      <c r="J137" s="1438"/>
      <c r="K137" s="1670" t="s">
        <v>4666</v>
      </c>
      <c r="L137" s="1671"/>
      <c r="M137" s="1671"/>
      <c r="N137" s="1671"/>
      <c r="O137" s="1672"/>
      <c r="P137" s="1671"/>
      <c r="Q137" s="1671"/>
      <c r="R137" s="1673"/>
      <c r="S137" s="1671"/>
      <c r="T137" s="806">
        <v>3300000</v>
      </c>
      <c r="U137" s="1671" t="s">
        <v>3370</v>
      </c>
      <c r="V137" s="1671"/>
      <c r="W137" s="1671">
        <v>1</v>
      </c>
      <c r="X137" s="1671" t="s">
        <v>3371</v>
      </c>
      <c r="Y137" s="1671" t="s">
        <v>3372</v>
      </c>
      <c r="Z137" s="1674">
        <f>AA137/1000</f>
        <v>3300</v>
      </c>
      <c r="AA137" s="407">
        <f t="shared" si="37"/>
        <v>3300000</v>
      </c>
      <c r="AB137" s="588"/>
      <c r="AC137" s="588"/>
    </row>
    <row r="138" spans="1:29" s="587" customFormat="1" ht="21" customHeight="1">
      <c r="A138" s="586"/>
      <c r="B138" s="1329"/>
      <c r="C138" s="1486"/>
      <c r="D138" s="465"/>
      <c r="E138" s="402"/>
      <c r="F138" s="707"/>
      <c r="G138" s="1115"/>
      <c r="H138" s="1115"/>
      <c r="I138" s="404"/>
      <c r="J138" s="1438"/>
      <c r="K138" s="1670" t="s">
        <v>4667</v>
      </c>
      <c r="L138" s="1671"/>
      <c r="M138" s="1671"/>
      <c r="N138" s="1671"/>
      <c r="O138" s="1672"/>
      <c r="P138" s="1671"/>
      <c r="Q138" s="1671"/>
      <c r="R138" s="1673"/>
      <c r="S138" s="1671"/>
      <c r="T138" s="806">
        <v>150000</v>
      </c>
      <c r="U138" s="1671" t="s">
        <v>3370</v>
      </c>
      <c r="V138" s="1671"/>
      <c r="W138" s="1671">
        <v>6</v>
      </c>
      <c r="X138" s="1671" t="s">
        <v>3371</v>
      </c>
      <c r="Y138" s="1671" t="s">
        <v>3372</v>
      </c>
      <c r="Z138" s="1674">
        <f>AA138/1000</f>
        <v>900</v>
      </c>
      <c r="AA138" s="407">
        <f t="shared" si="37"/>
        <v>900000</v>
      </c>
      <c r="AB138" s="588"/>
      <c r="AC138" s="588"/>
    </row>
    <row r="139" spans="1:29" s="2558" customFormat="1" ht="21" customHeight="1">
      <c r="A139" s="2553"/>
      <c r="B139" s="1329"/>
      <c r="C139" s="1486"/>
      <c r="D139" s="465"/>
      <c r="E139" s="864" t="s">
        <v>4476</v>
      </c>
      <c r="F139" s="930"/>
      <c r="G139" s="1484">
        <f>SUM(G140:G150)</f>
        <v>44000</v>
      </c>
      <c r="H139" s="1484">
        <f>SUM(H140:H150)</f>
        <v>44000</v>
      </c>
      <c r="I139" s="386">
        <f t="shared" ref="I139" si="38">G139-H139</f>
        <v>0</v>
      </c>
      <c r="J139" s="409"/>
      <c r="K139" s="835"/>
      <c r="L139" s="462"/>
      <c r="M139" s="462"/>
      <c r="N139" s="462"/>
      <c r="O139" s="399"/>
      <c r="P139" s="462"/>
      <c r="Q139" s="462"/>
      <c r="R139" s="836"/>
      <c r="S139" s="462"/>
      <c r="T139" s="462"/>
      <c r="U139" s="462"/>
      <c r="V139" s="462"/>
      <c r="W139" s="462"/>
      <c r="X139" s="462"/>
      <c r="Y139" s="462"/>
      <c r="Z139" s="377"/>
      <c r="AA139" s="1086"/>
      <c r="AB139" s="301"/>
      <c r="AC139" s="301"/>
    </row>
    <row r="140" spans="1:29" s="2558" customFormat="1" ht="21" customHeight="1">
      <c r="A140" s="2553"/>
      <c r="B140" s="1329"/>
      <c r="C140" s="1486"/>
      <c r="D140" s="465"/>
      <c r="E140" s="402"/>
      <c r="F140" s="621" t="s">
        <v>3433</v>
      </c>
      <c r="G140" s="1115">
        <f>Z140</f>
        <v>8600</v>
      </c>
      <c r="H140" s="884">
        <v>8600</v>
      </c>
      <c r="I140" s="391"/>
      <c r="J140" s="409"/>
      <c r="K140" s="1670" t="s">
        <v>3368</v>
      </c>
      <c r="L140" s="1671"/>
      <c r="M140" s="1671"/>
      <c r="N140" s="1671"/>
      <c r="O140" s="1672"/>
      <c r="P140" s="1672"/>
      <c r="Q140" s="1671"/>
      <c r="R140" s="1673"/>
      <c r="S140" s="1671"/>
      <c r="T140" s="1671"/>
      <c r="U140" s="1671"/>
      <c r="V140" s="1671"/>
      <c r="W140" s="1671"/>
      <c r="X140" s="1671"/>
      <c r="Y140" s="1671"/>
      <c r="Z140" s="1674">
        <f t="shared" ref="Z140:Z143" si="39">AA140/1000</f>
        <v>8600</v>
      </c>
      <c r="AA140" s="407">
        <f>SUM(AA141:AA143)</f>
        <v>8600000</v>
      </c>
      <c r="AB140" s="301"/>
      <c r="AC140" s="301"/>
    </row>
    <row r="141" spans="1:29" s="2558" customFormat="1" ht="21" customHeight="1">
      <c r="A141" s="2553"/>
      <c r="B141" s="1329"/>
      <c r="C141" s="1486"/>
      <c r="D141" s="465"/>
      <c r="E141" s="402"/>
      <c r="F141" s="620"/>
      <c r="G141" s="1115"/>
      <c r="H141" s="884"/>
      <c r="I141" s="391"/>
      <c r="J141" s="409"/>
      <c r="K141" s="1670" t="s">
        <v>4477</v>
      </c>
      <c r="L141" s="1671"/>
      <c r="M141" s="1671"/>
      <c r="N141" s="1671"/>
      <c r="O141" s="1487"/>
      <c r="P141" s="1671"/>
      <c r="Q141" s="1671"/>
      <c r="R141" s="1673"/>
      <c r="S141" s="1671"/>
      <c r="T141" s="806">
        <v>350000</v>
      </c>
      <c r="U141" s="1671" t="s">
        <v>0</v>
      </c>
      <c r="V141" s="1671"/>
      <c r="W141" s="1671">
        <v>12</v>
      </c>
      <c r="X141" s="1671" t="s">
        <v>4478</v>
      </c>
      <c r="Y141" s="1671" t="s">
        <v>1</v>
      </c>
      <c r="Z141" s="1674">
        <f t="shared" si="39"/>
        <v>4200</v>
      </c>
      <c r="AA141" s="407">
        <f>W141*T141</f>
        <v>4200000</v>
      </c>
      <c r="AB141" s="301"/>
      <c r="AC141" s="301"/>
    </row>
    <row r="142" spans="1:29" s="2558" customFormat="1" ht="21" customHeight="1">
      <c r="A142" s="2553"/>
      <c r="B142" s="1329"/>
      <c r="C142" s="1486"/>
      <c r="D142" s="465"/>
      <c r="E142" s="402"/>
      <c r="F142" s="620"/>
      <c r="G142" s="1115"/>
      <c r="H142" s="884"/>
      <c r="I142" s="391"/>
      <c r="J142" s="409"/>
      <c r="K142" s="1670" t="s">
        <v>4479</v>
      </c>
      <c r="L142" s="1671"/>
      <c r="M142" s="1671"/>
      <c r="N142" s="1671"/>
      <c r="O142" s="1487"/>
      <c r="P142" s="1671"/>
      <c r="Q142" s="1671"/>
      <c r="R142" s="1673"/>
      <c r="S142" s="1671"/>
      <c r="T142" s="806">
        <v>200000</v>
      </c>
      <c r="U142" s="1671" t="s">
        <v>0</v>
      </c>
      <c r="V142" s="1671"/>
      <c r="W142" s="1671">
        <v>10</v>
      </c>
      <c r="X142" s="1671" t="s">
        <v>4478</v>
      </c>
      <c r="Y142" s="1671" t="s">
        <v>1</v>
      </c>
      <c r="Z142" s="1674">
        <f t="shared" si="39"/>
        <v>2000</v>
      </c>
      <c r="AA142" s="407">
        <f>W142*T142</f>
        <v>2000000</v>
      </c>
      <c r="AB142" s="301"/>
      <c r="AC142" s="301"/>
    </row>
    <row r="143" spans="1:29" s="2558" customFormat="1" ht="21" customHeight="1">
      <c r="A143" s="2553"/>
      <c r="B143" s="1329"/>
      <c r="C143" s="1486"/>
      <c r="D143" s="465"/>
      <c r="E143" s="402"/>
      <c r="F143" s="620"/>
      <c r="G143" s="1115"/>
      <c r="H143" s="884"/>
      <c r="I143" s="391"/>
      <c r="J143" s="409"/>
      <c r="K143" s="1670" t="s">
        <v>4480</v>
      </c>
      <c r="L143" s="1671"/>
      <c r="M143" s="1671"/>
      <c r="N143" s="1671"/>
      <c r="O143" s="1487"/>
      <c r="P143" s="1671"/>
      <c r="Q143" s="1671"/>
      <c r="R143" s="635">
        <v>6</v>
      </c>
      <c r="S143" s="1685" t="s">
        <v>23</v>
      </c>
      <c r="T143" s="806">
        <v>200000</v>
      </c>
      <c r="U143" s="1671" t="s">
        <v>0</v>
      </c>
      <c r="V143" s="1671"/>
      <c r="W143" s="1671">
        <v>2</v>
      </c>
      <c r="X143" s="1671" t="s">
        <v>3371</v>
      </c>
      <c r="Y143" s="1671" t="s">
        <v>1</v>
      </c>
      <c r="Z143" s="1674">
        <f t="shared" si="39"/>
        <v>2400</v>
      </c>
      <c r="AA143" s="407">
        <f>W143*T143*R143</f>
        <v>2400000</v>
      </c>
      <c r="AB143" s="301"/>
      <c r="AC143" s="301"/>
    </row>
    <row r="144" spans="1:29" s="2558" customFormat="1" ht="21" customHeight="1">
      <c r="A144" s="2553"/>
      <c r="B144" s="1329"/>
      <c r="C144" s="1486"/>
      <c r="D144" s="465"/>
      <c r="E144" s="402"/>
      <c r="F144" s="620" t="s">
        <v>4378</v>
      </c>
      <c r="G144" s="1115">
        <f>Z144</f>
        <v>2300</v>
      </c>
      <c r="H144" s="884">
        <v>2300</v>
      </c>
      <c r="I144" s="391"/>
      <c r="J144" s="409"/>
      <c r="K144" s="1670" t="s">
        <v>3368</v>
      </c>
      <c r="L144" s="1671"/>
      <c r="M144" s="1671"/>
      <c r="N144" s="1671"/>
      <c r="O144" s="1672"/>
      <c r="P144" s="1671"/>
      <c r="Q144" s="1671"/>
      <c r="R144" s="1673"/>
      <c r="S144" s="1671"/>
      <c r="T144" s="806"/>
      <c r="U144" s="1671"/>
      <c r="V144" s="1671"/>
      <c r="W144" s="1671"/>
      <c r="X144" s="1671"/>
      <c r="Y144" s="1671"/>
      <c r="Z144" s="1674">
        <f>AA144/1000</f>
        <v>2300</v>
      </c>
      <c r="AA144" s="407">
        <f>SUM(AA145:AA146)</f>
        <v>2300000</v>
      </c>
      <c r="AB144" s="301"/>
      <c r="AC144" s="301"/>
    </row>
    <row r="145" spans="1:29" s="2558" customFormat="1" ht="21" customHeight="1">
      <c r="A145" s="2553"/>
      <c r="B145" s="1329"/>
      <c r="C145" s="1486"/>
      <c r="D145" s="465"/>
      <c r="E145" s="402"/>
      <c r="F145" s="620"/>
      <c r="G145" s="1115"/>
      <c r="H145" s="884"/>
      <c r="I145" s="391"/>
      <c r="J145" s="409"/>
      <c r="K145" s="1670" t="s">
        <v>4481</v>
      </c>
      <c r="L145" s="1671"/>
      <c r="M145" s="1671"/>
      <c r="N145" s="1671"/>
      <c r="O145" s="1672"/>
      <c r="P145" s="1671"/>
      <c r="Q145" s="1671"/>
      <c r="R145" s="635">
        <v>3</v>
      </c>
      <c r="S145" s="1685" t="s">
        <v>4482</v>
      </c>
      <c r="T145" s="806">
        <v>350000</v>
      </c>
      <c r="U145" s="1671" t="s">
        <v>3370</v>
      </c>
      <c r="V145" s="1671"/>
      <c r="W145" s="1671">
        <v>2</v>
      </c>
      <c r="X145" s="1671" t="s">
        <v>4483</v>
      </c>
      <c r="Y145" s="1671" t="s">
        <v>3372</v>
      </c>
      <c r="Z145" s="1674">
        <f>AA145/1000</f>
        <v>2100</v>
      </c>
      <c r="AA145" s="407">
        <f t="shared" ref="AA145:AA146" si="40">W145*T145*R145</f>
        <v>2100000</v>
      </c>
      <c r="AB145" s="301"/>
      <c r="AC145" s="301"/>
    </row>
    <row r="146" spans="1:29" s="2558" customFormat="1" ht="21" customHeight="1">
      <c r="A146" s="2553"/>
      <c r="B146" s="1329"/>
      <c r="C146" s="1486"/>
      <c r="D146" s="465"/>
      <c r="E146" s="402"/>
      <c r="F146" s="620"/>
      <c r="G146" s="1115"/>
      <c r="H146" s="884"/>
      <c r="I146" s="391"/>
      <c r="J146" s="409"/>
      <c r="K146" s="1670" t="s">
        <v>4484</v>
      </c>
      <c r="L146" s="1671"/>
      <c r="M146" s="1671"/>
      <c r="N146" s="1671"/>
      <c r="O146" s="1672"/>
      <c r="P146" s="1671"/>
      <c r="Q146" s="1671"/>
      <c r="R146" s="635">
        <v>2</v>
      </c>
      <c r="S146" s="1685" t="s">
        <v>4482</v>
      </c>
      <c r="T146" s="806">
        <v>50000</v>
      </c>
      <c r="U146" s="1671" t="s">
        <v>3370</v>
      </c>
      <c r="V146" s="1671"/>
      <c r="W146" s="1671">
        <v>2</v>
      </c>
      <c r="X146" s="1671" t="s">
        <v>3371</v>
      </c>
      <c r="Y146" s="1671" t="s">
        <v>3372</v>
      </c>
      <c r="Z146" s="1674">
        <f>AA146/1000</f>
        <v>200</v>
      </c>
      <c r="AA146" s="407">
        <f t="shared" si="40"/>
        <v>200000</v>
      </c>
      <c r="AB146" s="301"/>
      <c r="AC146" s="301"/>
    </row>
    <row r="147" spans="1:29" s="2558" customFormat="1" ht="21" customHeight="1">
      <c r="A147" s="2553"/>
      <c r="B147" s="1329"/>
      <c r="C147" s="1486"/>
      <c r="D147" s="465"/>
      <c r="E147" s="402"/>
      <c r="F147" s="620" t="s">
        <v>4485</v>
      </c>
      <c r="G147" s="1115">
        <f>Z147</f>
        <v>33100</v>
      </c>
      <c r="H147" s="884">
        <v>33100</v>
      </c>
      <c r="I147" s="391"/>
      <c r="J147" s="409"/>
      <c r="K147" s="1670" t="s">
        <v>3368</v>
      </c>
      <c r="L147" s="1671"/>
      <c r="M147" s="1671"/>
      <c r="N147" s="1671"/>
      <c r="O147" s="1672"/>
      <c r="P147" s="1671"/>
      <c r="Q147" s="1671"/>
      <c r="R147" s="1673"/>
      <c r="S147" s="1671"/>
      <c r="T147" s="806"/>
      <c r="U147" s="1671"/>
      <c r="V147" s="1671"/>
      <c r="W147" s="1671"/>
      <c r="X147" s="1671"/>
      <c r="Y147" s="1671"/>
      <c r="Z147" s="1674">
        <f>SUM(Z148:Z150)</f>
        <v>33100</v>
      </c>
      <c r="AA147" s="407"/>
      <c r="AB147" s="301"/>
      <c r="AC147" s="301"/>
    </row>
    <row r="148" spans="1:29" s="2558" customFormat="1" ht="21" customHeight="1">
      <c r="A148" s="2553"/>
      <c r="B148" s="1329"/>
      <c r="C148" s="1486"/>
      <c r="D148" s="465"/>
      <c r="E148" s="402"/>
      <c r="F148" s="620"/>
      <c r="G148" s="1115"/>
      <c r="H148" s="884"/>
      <c r="I148" s="391"/>
      <c r="J148" s="409"/>
      <c r="K148" s="1670" t="s">
        <v>4477</v>
      </c>
      <c r="L148" s="1671"/>
      <c r="M148" s="1671"/>
      <c r="N148" s="1671"/>
      <c r="O148" s="1672"/>
      <c r="P148" s="1671"/>
      <c r="Q148" s="1671"/>
      <c r="R148" s="1673"/>
      <c r="S148" s="1671"/>
      <c r="T148" s="806">
        <v>27000000</v>
      </c>
      <c r="U148" s="1671" t="s">
        <v>3370</v>
      </c>
      <c r="V148" s="1671"/>
      <c r="W148" s="1671">
        <v>1</v>
      </c>
      <c r="X148" s="1671" t="s">
        <v>3371</v>
      </c>
      <c r="Y148" s="1671" t="s">
        <v>3372</v>
      </c>
      <c r="Z148" s="1674">
        <f>AA148/1000</f>
        <v>27000</v>
      </c>
      <c r="AA148" s="407">
        <f t="shared" ref="AA148:AA150" si="41">W148*T148</f>
        <v>27000000</v>
      </c>
      <c r="AB148" s="301"/>
      <c r="AC148" s="301"/>
    </row>
    <row r="149" spans="1:29" s="587" customFormat="1" ht="21" customHeight="1">
      <c r="A149" s="586"/>
      <c r="B149" s="1329"/>
      <c r="C149" s="1486"/>
      <c r="D149" s="465"/>
      <c r="E149" s="402"/>
      <c r="F149" s="620"/>
      <c r="G149" s="1115"/>
      <c r="H149" s="1115"/>
      <c r="I149" s="404"/>
      <c r="J149" s="1438"/>
      <c r="K149" s="1670" t="s">
        <v>4479</v>
      </c>
      <c r="L149" s="1671"/>
      <c r="M149" s="1671"/>
      <c r="N149" s="1671"/>
      <c r="O149" s="1672"/>
      <c r="P149" s="1671"/>
      <c r="Q149" s="1671"/>
      <c r="R149" s="1673"/>
      <c r="S149" s="1671"/>
      <c r="T149" s="806">
        <v>5500000</v>
      </c>
      <c r="U149" s="1671" t="s">
        <v>3370</v>
      </c>
      <c r="V149" s="1671"/>
      <c r="W149" s="1671">
        <v>1</v>
      </c>
      <c r="X149" s="1671" t="s">
        <v>3371</v>
      </c>
      <c r="Y149" s="1671" t="s">
        <v>3372</v>
      </c>
      <c r="Z149" s="1674">
        <f t="shared" ref="Z149:Z150" si="42">AA149/1000</f>
        <v>5500</v>
      </c>
      <c r="AA149" s="407">
        <f t="shared" si="41"/>
        <v>5500000</v>
      </c>
      <c r="AB149" s="588"/>
      <c r="AC149" s="588"/>
    </row>
    <row r="150" spans="1:29" s="587" customFormat="1" ht="21" customHeight="1">
      <c r="A150" s="586"/>
      <c r="B150" s="1329"/>
      <c r="C150" s="1486"/>
      <c r="D150" s="465"/>
      <c r="E150" s="402"/>
      <c r="F150" s="707"/>
      <c r="G150" s="1115"/>
      <c r="H150" s="1115"/>
      <c r="I150" s="404"/>
      <c r="J150" s="1438"/>
      <c r="K150" s="1670" t="s">
        <v>4480</v>
      </c>
      <c r="L150" s="1671"/>
      <c r="M150" s="1671"/>
      <c r="N150" s="1671"/>
      <c r="O150" s="1672"/>
      <c r="P150" s="1671"/>
      <c r="Q150" s="1671"/>
      <c r="R150" s="1673"/>
      <c r="S150" s="1671"/>
      <c r="T150" s="806">
        <v>300000</v>
      </c>
      <c r="U150" s="1671" t="s">
        <v>3370</v>
      </c>
      <c r="V150" s="1671"/>
      <c r="W150" s="1671">
        <v>2</v>
      </c>
      <c r="X150" s="1671" t="s">
        <v>3371</v>
      </c>
      <c r="Y150" s="1671" t="s">
        <v>3372</v>
      </c>
      <c r="Z150" s="1674">
        <f t="shared" si="42"/>
        <v>600</v>
      </c>
      <c r="AA150" s="407">
        <f t="shared" si="41"/>
        <v>600000</v>
      </c>
      <c r="AB150" s="588"/>
      <c r="AC150" s="588"/>
    </row>
    <row r="151" spans="1:29" s="587" customFormat="1" ht="21" customHeight="1">
      <c r="A151" s="586"/>
      <c r="B151" s="1329"/>
      <c r="C151" s="1486"/>
      <c r="D151" s="465"/>
      <c r="E151" s="864" t="s">
        <v>4486</v>
      </c>
      <c r="F151" s="1447"/>
      <c r="G151" s="1484">
        <f>G152</f>
        <v>3000</v>
      </c>
      <c r="H151" s="1484">
        <f>H152</f>
        <v>3000</v>
      </c>
      <c r="I151" s="386">
        <f t="shared" ref="I151:I153" si="43">G151-H151</f>
        <v>0</v>
      </c>
      <c r="J151" s="1438"/>
      <c r="K151" s="835"/>
      <c r="L151" s="462"/>
      <c r="M151" s="462"/>
      <c r="N151" s="462"/>
      <c r="O151" s="399"/>
      <c r="P151" s="399"/>
      <c r="Q151" s="462"/>
      <c r="R151" s="836"/>
      <c r="S151" s="462"/>
      <c r="T151" s="462"/>
      <c r="U151" s="462"/>
      <c r="V151" s="462"/>
      <c r="W151" s="462"/>
      <c r="X151" s="462"/>
      <c r="Y151" s="462"/>
      <c r="Z151" s="377"/>
      <c r="AA151" s="1439"/>
      <c r="AB151" s="588"/>
      <c r="AC151" s="588"/>
    </row>
    <row r="152" spans="1:29" s="2558" customFormat="1" ht="21" customHeight="1">
      <c r="A152" s="2553"/>
      <c r="B152" s="1329"/>
      <c r="C152" s="1486"/>
      <c r="D152" s="465"/>
      <c r="E152" s="465"/>
      <c r="F152" s="465" t="s">
        <v>3437</v>
      </c>
      <c r="G152" s="1115">
        <f>Z152</f>
        <v>3000</v>
      </c>
      <c r="H152" s="1115">
        <v>3000</v>
      </c>
      <c r="I152" s="386"/>
      <c r="J152" s="409"/>
      <c r="K152" s="1670" t="s">
        <v>4487</v>
      </c>
      <c r="L152" s="1671"/>
      <c r="M152" s="1671"/>
      <c r="N152" s="1671"/>
      <c r="O152" s="1672"/>
      <c r="P152" s="1672"/>
      <c r="Q152" s="1671"/>
      <c r="R152" s="1673"/>
      <c r="S152" s="1671"/>
      <c r="T152" s="1671">
        <v>3000000</v>
      </c>
      <c r="U152" s="1671" t="s">
        <v>3370</v>
      </c>
      <c r="V152" s="1671"/>
      <c r="W152" s="1671">
        <v>1</v>
      </c>
      <c r="X152" s="1671" t="s">
        <v>4376</v>
      </c>
      <c r="Y152" s="1671" t="s">
        <v>3372</v>
      </c>
      <c r="Z152" s="1674">
        <f>ROUNDDOWN(T152*W152,-5)/1000</f>
        <v>3000</v>
      </c>
      <c r="AA152" s="407"/>
      <c r="AB152" s="301"/>
      <c r="AC152" s="301"/>
    </row>
    <row r="153" spans="1:29" s="2558" customFormat="1" ht="21" customHeight="1">
      <c r="A153" s="2553"/>
      <c r="B153" s="1329"/>
      <c r="C153" s="1486"/>
      <c r="D153" s="465"/>
      <c r="E153" s="864" t="s">
        <v>4488</v>
      </c>
      <c r="F153" s="1447"/>
      <c r="G153" s="1484">
        <f>SUM(G154:G158)</f>
        <v>22000</v>
      </c>
      <c r="H153" s="1484">
        <f>SUM(H154:H158)</f>
        <v>22000</v>
      </c>
      <c r="I153" s="386">
        <f t="shared" si="43"/>
        <v>0</v>
      </c>
      <c r="J153" s="409"/>
      <c r="K153" s="835"/>
      <c r="L153" s="462"/>
      <c r="M153" s="462"/>
      <c r="N153" s="462"/>
      <c r="O153" s="399"/>
      <c r="P153" s="399"/>
      <c r="Q153" s="462"/>
      <c r="R153" s="836"/>
      <c r="S153" s="462"/>
      <c r="T153" s="462"/>
      <c r="U153" s="462"/>
      <c r="V153" s="462"/>
      <c r="W153" s="462"/>
      <c r="X153" s="462"/>
      <c r="Y153" s="462"/>
      <c r="Z153" s="377" t="s">
        <v>3364</v>
      </c>
      <c r="AA153" s="407"/>
      <c r="AB153" s="301"/>
      <c r="AC153" s="301"/>
    </row>
    <row r="154" spans="1:29" s="2558" customFormat="1" ht="21" customHeight="1">
      <c r="A154" s="2553"/>
      <c r="B154" s="1329"/>
      <c r="C154" s="1486"/>
      <c r="D154" s="465"/>
      <c r="E154" s="465"/>
      <c r="F154" s="465" t="s">
        <v>3433</v>
      </c>
      <c r="G154" s="1115">
        <f>Z154</f>
        <v>9600</v>
      </c>
      <c r="H154" s="1115">
        <v>9600</v>
      </c>
      <c r="I154" s="404"/>
      <c r="J154" s="409"/>
      <c r="K154" s="1670" t="s">
        <v>3368</v>
      </c>
      <c r="L154" s="1671"/>
      <c r="M154" s="1671"/>
      <c r="N154" s="1671"/>
      <c r="O154" s="1672"/>
      <c r="P154" s="1672"/>
      <c r="Q154" s="1671"/>
      <c r="R154" s="1673"/>
      <c r="S154" s="815"/>
      <c r="T154" s="1671"/>
      <c r="U154" s="1671"/>
      <c r="V154" s="1671"/>
      <c r="W154" s="1671"/>
      <c r="X154" s="1671"/>
      <c r="Y154" s="815"/>
      <c r="Z154" s="1674">
        <f>AA154/1000</f>
        <v>9600</v>
      </c>
      <c r="AA154" s="407">
        <f>AA155+AA156</f>
        <v>9600000</v>
      </c>
      <c r="AB154" s="301"/>
      <c r="AC154" s="301"/>
    </row>
    <row r="155" spans="1:29" s="2558" customFormat="1" ht="21" customHeight="1">
      <c r="A155" s="2553"/>
      <c r="B155" s="1329"/>
      <c r="C155" s="1486"/>
      <c r="D155" s="465"/>
      <c r="E155" s="465"/>
      <c r="F155" s="465"/>
      <c r="G155" s="1115"/>
      <c r="H155" s="1115"/>
      <c r="I155" s="404"/>
      <c r="J155" s="409"/>
      <c r="K155" s="1670" t="s">
        <v>4489</v>
      </c>
      <c r="L155" s="1671"/>
      <c r="M155" s="1671"/>
      <c r="N155" s="1671"/>
      <c r="O155" s="1672"/>
      <c r="P155" s="1672"/>
      <c r="Q155" s="1671"/>
      <c r="R155" s="1673">
        <v>2</v>
      </c>
      <c r="S155" s="1671" t="s">
        <v>4367</v>
      </c>
      <c r="T155" s="1671">
        <v>8000</v>
      </c>
      <c r="U155" s="1671" t="s">
        <v>3370</v>
      </c>
      <c r="V155" s="1671"/>
      <c r="W155" s="1671">
        <v>500</v>
      </c>
      <c r="X155" s="1671" t="s">
        <v>4490</v>
      </c>
      <c r="Y155" s="1671" t="s">
        <v>3372</v>
      </c>
      <c r="Z155" s="1674">
        <f>AA155/1000</f>
        <v>8000</v>
      </c>
      <c r="AA155" s="407">
        <f>R155*T155*W155</f>
        <v>8000000</v>
      </c>
      <c r="AB155" s="301"/>
      <c r="AC155" s="301"/>
    </row>
    <row r="156" spans="1:29" s="2558" customFormat="1" ht="21" customHeight="1">
      <c r="A156" s="2553"/>
      <c r="B156" s="1329"/>
      <c r="C156" s="1486"/>
      <c r="D156" s="465"/>
      <c r="E156" s="465"/>
      <c r="F156" s="465"/>
      <c r="G156" s="1115"/>
      <c r="H156" s="1115"/>
      <c r="I156" s="404"/>
      <c r="J156" s="409"/>
      <c r="K156" s="1670" t="s">
        <v>4491</v>
      </c>
      <c r="L156" s="1671"/>
      <c r="M156" s="1671"/>
      <c r="N156" s="1671"/>
      <c r="O156" s="1672"/>
      <c r="P156" s="1672"/>
      <c r="Q156" s="1671"/>
      <c r="R156" s="1673">
        <v>4</v>
      </c>
      <c r="S156" s="1671" t="s">
        <v>4381</v>
      </c>
      <c r="T156" s="1671">
        <v>200000</v>
      </c>
      <c r="U156" s="1671" t="s">
        <v>3370</v>
      </c>
      <c r="V156" s="1671"/>
      <c r="W156" s="1671">
        <v>2</v>
      </c>
      <c r="X156" s="1671" t="s">
        <v>3371</v>
      </c>
      <c r="Y156" s="1671" t="s">
        <v>3372</v>
      </c>
      <c r="Z156" s="1674">
        <f>AA156/1000</f>
        <v>1600</v>
      </c>
      <c r="AA156" s="407">
        <f>R156*T156*W156</f>
        <v>1600000</v>
      </c>
      <c r="AB156" s="301"/>
      <c r="AC156" s="301"/>
    </row>
    <row r="157" spans="1:29" s="2558" customFormat="1" ht="21" customHeight="1">
      <c r="A157" s="2553"/>
      <c r="B157" s="1329"/>
      <c r="C157" s="1486"/>
      <c r="D157" s="465"/>
      <c r="E157" s="465"/>
      <c r="F157" s="465" t="s">
        <v>4372</v>
      </c>
      <c r="G157" s="1115">
        <f>Z157</f>
        <v>12000</v>
      </c>
      <c r="H157" s="1115">
        <v>12000</v>
      </c>
      <c r="I157" s="404"/>
      <c r="J157" s="409"/>
      <c r="K157" s="1670" t="s">
        <v>4492</v>
      </c>
      <c r="L157" s="1671"/>
      <c r="M157" s="1671"/>
      <c r="N157" s="1671"/>
      <c r="O157" s="1672"/>
      <c r="P157" s="1672"/>
      <c r="Q157" s="1671"/>
      <c r="R157" s="1673"/>
      <c r="S157" s="1671"/>
      <c r="T157" s="1671">
        <v>6000000</v>
      </c>
      <c r="U157" s="1671" t="s">
        <v>3370</v>
      </c>
      <c r="V157" s="1671"/>
      <c r="W157" s="1671">
        <v>2</v>
      </c>
      <c r="X157" s="1671" t="s">
        <v>4388</v>
      </c>
      <c r="Y157" s="1671" t="s">
        <v>3372</v>
      </c>
      <c r="Z157" s="1674">
        <f>AA157/1000</f>
        <v>12000</v>
      </c>
      <c r="AA157" s="407">
        <f>T157*W157</f>
        <v>12000000</v>
      </c>
      <c r="AB157" s="301"/>
      <c r="AC157" s="301"/>
    </row>
    <row r="158" spans="1:29" s="2558" customFormat="1" ht="21" customHeight="1">
      <c r="A158" s="2553"/>
      <c r="B158" s="1329"/>
      <c r="C158" s="1486"/>
      <c r="D158" s="465"/>
      <c r="E158" s="465"/>
      <c r="F158" s="465" t="s">
        <v>4493</v>
      </c>
      <c r="G158" s="1115">
        <f>Z158</f>
        <v>400</v>
      </c>
      <c r="H158" s="1115">
        <v>400</v>
      </c>
      <c r="I158" s="404"/>
      <c r="J158" s="409"/>
      <c r="K158" s="1670" t="s">
        <v>4494</v>
      </c>
      <c r="L158" s="1671"/>
      <c r="M158" s="1671"/>
      <c r="N158" s="1671"/>
      <c r="O158" s="1672"/>
      <c r="P158" s="1671"/>
      <c r="Q158" s="1671"/>
      <c r="R158" s="1673">
        <v>10</v>
      </c>
      <c r="S158" s="1671" t="s">
        <v>4381</v>
      </c>
      <c r="T158" s="806">
        <v>20000</v>
      </c>
      <c r="U158" s="1671" t="s">
        <v>3370</v>
      </c>
      <c r="V158" s="1671"/>
      <c r="W158" s="1671">
        <v>2</v>
      </c>
      <c r="X158" s="1671" t="s">
        <v>3371</v>
      </c>
      <c r="Y158" s="1671" t="s">
        <v>3372</v>
      </c>
      <c r="Z158" s="1674">
        <f>AA158/1000</f>
        <v>400</v>
      </c>
      <c r="AA158" s="407">
        <f>W158*T158*R158</f>
        <v>400000</v>
      </c>
      <c r="AB158" s="301"/>
      <c r="AC158" s="301"/>
    </row>
    <row r="159" spans="1:29" s="2558" customFormat="1" ht="21" customHeight="1">
      <c r="A159" s="2553"/>
      <c r="B159" s="1329"/>
      <c r="C159" s="1486"/>
      <c r="D159" s="3277" t="s">
        <v>4495</v>
      </c>
      <c r="E159" s="3271"/>
      <c r="F159" s="3272"/>
      <c r="G159" s="1484">
        <f>G160</f>
        <v>76500</v>
      </c>
      <c r="H159" s="1484">
        <f>H160</f>
        <v>76500</v>
      </c>
      <c r="I159" s="386">
        <f t="shared" ref="I159:I160" si="44">G159-H159</f>
        <v>0</v>
      </c>
      <c r="J159" s="409"/>
      <c r="K159" s="835"/>
      <c r="L159" s="462"/>
      <c r="M159" s="462"/>
      <c r="N159" s="462"/>
      <c r="O159" s="399"/>
      <c r="P159" s="462"/>
      <c r="Q159" s="462"/>
      <c r="R159" s="836"/>
      <c r="S159" s="462"/>
      <c r="T159" s="462"/>
      <c r="U159" s="462"/>
      <c r="V159" s="462"/>
      <c r="W159" s="462"/>
      <c r="X159" s="462"/>
      <c r="Y159" s="462"/>
      <c r="Z159" s="377"/>
      <c r="AA159" s="407"/>
      <c r="AB159" s="301"/>
      <c r="AC159" s="301"/>
    </row>
    <row r="160" spans="1:29" s="2558" customFormat="1" ht="21" customHeight="1">
      <c r="A160" s="2553"/>
      <c r="B160" s="1329"/>
      <c r="C160" s="1486"/>
      <c r="D160" s="809"/>
      <c r="E160" s="859" t="s">
        <v>4495</v>
      </c>
      <c r="F160" s="930"/>
      <c r="G160" s="1478">
        <f>G161</f>
        <v>76500</v>
      </c>
      <c r="H160" s="1478">
        <f>H161</f>
        <v>76500</v>
      </c>
      <c r="I160" s="386">
        <f t="shared" si="44"/>
        <v>0</v>
      </c>
      <c r="J160" s="409"/>
      <c r="K160" s="835"/>
      <c r="L160" s="462"/>
      <c r="M160" s="462"/>
      <c r="N160" s="462"/>
      <c r="O160" s="399"/>
      <c r="P160" s="462"/>
      <c r="Q160" s="462"/>
      <c r="R160" s="836"/>
      <c r="S160" s="462"/>
      <c r="T160" s="462"/>
      <c r="U160" s="462"/>
      <c r="V160" s="462"/>
      <c r="W160" s="462"/>
      <c r="X160" s="462"/>
      <c r="Y160" s="462"/>
      <c r="Z160" s="377"/>
      <c r="AA160" s="407"/>
      <c r="AB160" s="301"/>
      <c r="AC160" s="301"/>
    </row>
    <row r="161" spans="1:29" s="2558" customFormat="1" ht="21" customHeight="1">
      <c r="A161" s="2553"/>
      <c r="B161" s="1329"/>
      <c r="C161" s="1486"/>
      <c r="D161" s="465"/>
      <c r="E161" s="465"/>
      <c r="F161" s="465" t="s">
        <v>4495</v>
      </c>
      <c r="G161" s="1115">
        <f>Z161</f>
        <v>76500</v>
      </c>
      <c r="H161" s="1115">
        <v>76500</v>
      </c>
      <c r="I161" s="908"/>
      <c r="J161" s="409"/>
      <c r="K161" s="1670" t="s">
        <v>4496</v>
      </c>
      <c r="L161" s="1671"/>
      <c r="M161" s="1483"/>
      <c r="N161" s="1671"/>
      <c r="O161" s="1672"/>
      <c r="P161" s="1672"/>
      <c r="Q161" s="1671"/>
      <c r="R161" s="1673"/>
      <c r="S161" s="1671"/>
      <c r="T161" s="1671">
        <v>1530000000</v>
      </c>
      <c r="U161" s="1671" t="s">
        <v>3370</v>
      </c>
      <c r="V161" s="1671"/>
      <c r="W161" s="3075">
        <v>5</v>
      </c>
      <c r="X161" s="1671" t="s">
        <v>4497</v>
      </c>
      <c r="Y161" s="815" t="s">
        <v>3372</v>
      </c>
      <c r="Z161" s="1674">
        <f>AA161/1000</f>
        <v>76500</v>
      </c>
      <c r="AA161" s="407">
        <f>T161*W161/100</f>
        <v>76500000</v>
      </c>
      <c r="AB161" s="301"/>
      <c r="AC161" s="301"/>
    </row>
    <row r="162" spans="1:29" s="1659" customFormat="1" ht="21" customHeight="1">
      <c r="A162" s="1657"/>
      <c r="B162" s="396"/>
      <c r="C162" s="2877" t="s">
        <v>5008</v>
      </c>
      <c r="D162" s="430"/>
      <c r="E162" s="430"/>
      <c r="F162" s="3076"/>
      <c r="G162" s="1484">
        <f>G163</f>
        <v>100000</v>
      </c>
      <c r="H162" s="1484">
        <f>H163</f>
        <v>0</v>
      </c>
      <c r="I162" s="386">
        <f t="shared" ref="I162:I164" si="45">G162-H162</f>
        <v>100000</v>
      </c>
      <c r="J162" s="2568"/>
      <c r="K162" s="835"/>
      <c r="L162" s="462"/>
      <c r="M162" s="462"/>
      <c r="N162" s="3077"/>
      <c r="O162" s="3078"/>
      <c r="P162" s="462"/>
      <c r="Q162" s="462"/>
      <c r="R162" s="2876"/>
      <c r="S162" s="462"/>
      <c r="T162" s="462"/>
      <c r="U162" s="462"/>
      <c r="V162" s="462"/>
      <c r="W162" s="462"/>
      <c r="X162" s="462"/>
      <c r="Y162" s="462"/>
      <c r="Z162" s="377"/>
      <c r="AA162" s="440"/>
      <c r="AB162" s="401"/>
      <c r="AC162" s="401"/>
    </row>
    <row r="163" spans="1:29" s="2558" customFormat="1" ht="21" customHeight="1">
      <c r="A163" s="2553" t="s">
        <v>430</v>
      </c>
      <c r="B163" s="1380"/>
      <c r="C163" s="1477"/>
      <c r="D163" s="3277" t="s">
        <v>5008</v>
      </c>
      <c r="E163" s="3271"/>
      <c r="F163" s="3272"/>
      <c r="G163" s="1478">
        <f>G164+G170+G181+G191+G197</f>
        <v>100000</v>
      </c>
      <c r="H163" s="1478">
        <f>H164+H170+H181+H191+H197</f>
        <v>0</v>
      </c>
      <c r="I163" s="425">
        <f t="shared" si="45"/>
        <v>100000</v>
      </c>
      <c r="J163" s="409"/>
      <c r="K163" s="830"/>
      <c r="L163" s="371"/>
      <c r="M163" s="371"/>
      <c r="N163" s="371"/>
      <c r="O163" s="458"/>
      <c r="P163" s="371"/>
      <c r="Q163" s="371"/>
      <c r="R163" s="368"/>
      <c r="S163" s="371"/>
      <c r="T163" s="371"/>
      <c r="U163" s="371"/>
      <c r="V163" s="371"/>
      <c r="W163" s="371"/>
      <c r="X163" s="371"/>
      <c r="Y163" s="371"/>
      <c r="Z163" s="345"/>
      <c r="AA163" s="428"/>
      <c r="AB163" s="301"/>
      <c r="AC163" s="301"/>
    </row>
    <row r="164" spans="1:29" s="2558" customFormat="1" ht="24.95" customHeight="1">
      <c r="A164" s="2553"/>
      <c r="B164" s="1479"/>
      <c r="C164" s="1480"/>
      <c r="D164" s="413"/>
      <c r="E164" s="859" t="s">
        <v>255</v>
      </c>
      <c r="F164" s="930"/>
      <c r="G164" s="1478">
        <f>SUM(G165:G169)</f>
        <v>21500</v>
      </c>
      <c r="H164" s="1478">
        <f>SUM(H165:H169)</f>
        <v>0</v>
      </c>
      <c r="I164" s="386">
        <f t="shared" si="45"/>
        <v>21500</v>
      </c>
      <c r="J164" s="467">
        <f>H164-I164</f>
        <v>-21500</v>
      </c>
      <c r="K164" s="830"/>
      <c r="L164" s="371"/>
      <c r="M164" s="371"/>
      <c r="N164" s="371"/>
      <c r="O164" s="458"/>
      <c r="P164" s="371"/>
      <c r="Q164" s="371"/>
      <c r="R164" s="368"/>
      <c r="S164" s="371"/>
      <c r="T164" s="371"/>
      <c r="U164" s="371"/>
      <c r="V164" s="371"/>
      <c r="W164" s="371"/>
      <c r="X164" s="371"/>
      <c r="Y164" s="371"/>
      <c r="Z164" s="345"/>
      <c r="AA164" s="440"/>
      <c r="AB164" s="301"/>
      <c r="AC164" s="301"/>
    </row>
    <row r="165" spans="1:29" s="587" customFormat="1" ht="24" customHeight="1">
      <c r="A165" s="586"/>
      <c r="B165" s="1479"/>
      <c r="C165" s="1480"/>
      <c r="D165" s="413"/>
      <c r="E165" s="809"/>
      <c r="F165" s="809" t="s">
        <v>5496</v>
      </c>
      <c r="G165" s="1481">
        <f>Z165</f>
        <v>15000</v>
      </c>
      <c r="H165" s="884"/>
      <c r="I165" s="810"/>
      <c r="J165" s="1482"/>
      <c r="K165" s="1670" t="s">
        <v>5778</v>
      </c>
      <c r="L165" s="1671"/>
      <c r="M165" s="1483"/>
      <c r="N165" s="1671"/>
      <c r="O165" s="1672"/>
      <c r="P165" s="1672"/>
      <c r="Q165" s="1671"/>
      <c r="R165" s="1673">
        <v>1</v>
      </c>
      <c r="S165" s="1671" t="s">
        <v>5462</v>
      </c>
      <c r="T165" s="1672">
        <v>2500000</v>
      </c>
      <c r="U165" s="1671" t="s">
        <v>5454</v>
      </c>
      <c r="V165" s="1671"/>
      <c r="W165" s="1671">
        <v>6</v>
      </c>
      <c r="X165" s="1671" t="s">
        <v>5553</v>
      </c>
      <c r="Y165" s="1671" t="s">
        <v>5456</v>
      </c>
      <c r="Z165" s="1674">
        <f>ROUNDDOWN(T165*W165*R165,-5)/1000</f>
        <v>15000</v>
      </c>
      <c r="AA165" s="1674">
        <f>R165*T165*W165</f>
        <v>15000000</v>
      </c>
      <c r="AB165" s="588"/>
      <c r="AC165" s="588"/>
    </row>
    <row r="166" spans="1:29" s="2558" customFormat="1" ht="23.45" customHeight="1">
      <c r="A166" s="2553"/>
      <c r="B166" s="1479"/>
      <c r="C166" s="1480"/>
      <c r="D166" s="413"/>
      <c r="E166" s="465"/>
      <c r="F166" s="465" t="s">
        <v>5536</v>
      </c>
      <c r="G166" s="1115">
        <f t="shared" ref="G166:G169" si="46">Z166</f>
        <v>300</v>
      </c>
      <c r="H166" s="873"/>
      <c r="I166" s="404"/>
      <c r="J166" s="467"/>
      <c r="K166" s="1670" t="s">
        <v>5779</v>
      </c>
      <c r="L166" s="1671"/>
      <c r="M166" s="1671"/>
      <c r="N166" s="1671"/>
      <c r="O166" s="1672"/>
      <c r="P166" s="1672"/>
      <c r="Q166" s="1671"/>
      <c r="R166" s="1673"/>
      <c r="S166" s="1671"/>
      <c r="T166" s="1672">
        <v>300000</v>
      </c>
      <c r="U166" s="1671" t="s">
        <v>5454</v>
      </c>
      <c r="V166" s="1671"/>
      <c r="W166" s="1671">
        <v>1</v>
      </c>
      <c r="X166" s="1671" t="s">
        <v>5463</v>
      </c>
      <c r="Y166" s="1671" t="s">
        <v>5456</v>
      </c>
      <c r="Z166" s="1674">
        <f>T166*W166/1000</f>
        <v>300</v>
      </c>
      <c r="AA166" s="1674">
        <f>T166*W166</f>
        <v>300000</v>
      </c>
      <c r="AB166" s="301"/>
      <c r="AC166" s="301"/>
    </row>
    <row r="167" spans="1:29" s="2558" customFormat="1" ht="23.45" customHeight="1">
      <c r="A167" s="2553"/>
      <c r="B167" s="1479"/>
      <c r="C167" s="1480"/>
      <c r="D167" s="413"/>
      <c r="E167" s="465"/>
      <c r="F167" s="465" t="s">
        <v>5655</v>
      </c>
      <c r="G167" s="1115">
        <f t="shared" si="46"/>
        <v>800</v>
      </c>
      <c r="H167" s="873"/>
      <c r="I167" s="404"/>
      <c r="J167" s="467"/>
      <c r="K167" s="1670" t="s">
        <v>5780</v>
      </c>
      <c r="L167" s="1671"/>
      <c r="M167" s="1671"/>
      <c r="N167" s="1671"/>
      <c r="O167" s="1672"/>
      <c r="P167" s="1672"/>
      <c r="Q167" s="1671"/>
      <c r="R167" s="1673">
        <v>1</v>
      </c>
      <c r="S167" s="1671" t="s">
        <v>5615</v>
      </c>
      <c r="T167" s="1672">
        <v>140000</v>
      </c>
      <c r="U167" s="1671" t="s">
        <v>5454</v>
      </c>
      <c r="V167" s="1671"/>
      <c r="W167" s="1671">
        <v>6</v>
      </c>
      <c r="X167" s="1671" t="s">
        <v>5553</v>
      </c>
      <c r="Y167" s="1671" t="s">
        <v>5456</v>
      </c>
      <c r="Z167" s="1674">
        <f>ROUNDDOWN(T167*W167*R167,-5)/1000</f>
        <v>800</v>
      </c>
      <c r="AA167" s="1674">
        <f t="shared" ref="AA167:AA168" si="47">R167*T167*W167</f>
        <v>840000</v>
      </c>
      <c r="AB167" s="301"/>
      <c r="AC167" s="301"/>
    </row>
    <row r="168" spans="1:29" s="587" customFormat="1" ht="23.45" customHeight="1">
      <c r="A168" s="586"/>
      <c r="B168" s="1479"/>
      <c r="C168" s="1480"/>
      <c r="D168" s="413"/>
      <c r="E168" s="465"/>
      <c r="F168" s="465" t="s">
        <v>5498</v>
      </c>
      <c r="G168" s="1115">
        <f t="shared" si="46"/>
        <v>400</v>
      </c>
      <c r="H168" s="873"/>
      <c r="I168" s="1712"/>
      <c r="J168" s="1482"/>
      <c r="K168" s="1670" t="s">
        <v>5781</v>
      </c>
      <c r="L168" s="1671"/>
      <c r="M168" s="1671"/>
      <c r="N168" s="1671"/>
      <c r="O168" s="1672"/>
      <c r="P168" s="1672"/>
      <c r="Q168" s="1671"/>
      <c r="R168" s="1673">
        <v>1</v>
      </c>
      <c r="S168" s="1671" t="s">
        <v>5462</v>
      </c>
      <c r="T168" s="1672">
        <v>70000</v>
      </c>
      <c r="U168" s="1671" t="s">
        <v>5454</v>
      </c>
      <c r="V168" s="1671"/>
      <c r="W168" s="1671">
        <v>6</v>
      </c>
      <c r="X168" s="1671" t="s">
        <v>5553</v>
      </c>
      <c r="Y168" s="1671" t="s">
        <v>5456</v>
      </c>
      <c r="Z168" s="1674">
        <f>ROUNDDOWN(T168*W168*R168,-5)/1000</f>
        <v>400</v>
      </c>
      <c r="AA168" s="1674">
        <f t="shared" si="47"/>
        <v>420000</v>
      </c>
      <c r="AB168" s="588"/>
      <c r="AC168" s="588"/>
    </row>
    <row r="169" spans="1:29" s="2558" customFormat="1" ht="23.45" customHeight="1">
      <c r="A169" s="2553"/>
      <c r="B169" s="1479"/>
      <c r="C169" s="1480"/>
      <c r="D169" s="413"/>
      <c r="E169" s="465"/>
      <c r="F169" s="707" t="s">
        <v>5499</v>
      </c>
      <c r="G169" s="1478">
        <f t="shared" si="46"/>
        <v>5000</v>
      </c>
      <c r="H169" s="697"/>
      <c r="I169" s="404"/>
      <c r="J169" s="467">
        <f>H169-I169</f>
        <v>0</v>
      </c>
      <c r="K169" s="830" t="s">
        <v>5782</v>
      </c>
      <c r="L169" s="371"/>
      <c r="M169" s="3079"/>
      <c r="N169" s="371"/>
      <c r="O169" s="458"/>
      <c r="P169" s="458"/>
      <c r="Q169" s="371"/>
      <c r="R169" s="368"/>
      <c r="S169" s="371"/>
      <c r="T169" s="371">
        <v>100000000</v>
      </c>
      <c r="U169" s="371" t="s">
        <v>5454</v>
      </c>
      <c r="V169" s="371"/>
      <c r="W169" s="3080">
        <v>5</v>
      </c>
      <c r="X169" s="371" t="s">
        <v>5661</v>
      </c>
      <c r="Y169" s="371" t="s">
        <v>5456</v>
      </c>
      <c r="Z169" s="345">
        <f>T169*0.05/1000</f>
        <v>5000</v>
      </c>
      <c r="AA169" s="1674">
        <f>T169*W169</f>
        <v>500000000</v>
      </c>
      <c r="AB169" s="301"/>
      <c r="AC169" s="301"/>
    </row>
    <row r="170" spans="1:29" s="2558" customFormat="1" ht="24.6" customHeight="1">
      <c r="A170" s="2553"/>
      <c r="B170" s="1380"/>
      <c r="C170" s="1381"/>
      <c r="D170" s="413"/>
      <c r="E170" s="864" t="s">
        <v>5783</v>
      </c>
      <c r="F170" s="1447"/>
      <c r="G170" s="1484">
        <f>SUM(G171:G180)</f>
        <v>20000</v>
      </c>
      <c r="H170" s="1484">
        <f>SUM(H171:H180)</f>
        <v>0</v>
      </c>
      <c r="I170" s="386">
        <f>G170-H170</f>
        <v>20000</v>
      </c>
      <c r="J170" s="409"/>
      <c r="K170" s="835"/>
      <c r="L170" s="462"/>
      <c r="M170" s="462"/>
      <c r="N170" s="462"/>
      <c r="O170" s="399"/>
      <c r="P170" s="399"/>
      <c r="Q170" s="462"/>
      <c r="R170" s="836"/>
      <c r="S170" s="462"/>
      <c r="T170" s="462"/>
      <c r="U170" s="462"/>
      <c r="V170" s="462"/>
      <c r="W170" s="462"/>
      <c r="X170" s="462"/>
      <c r="Y170" s="462"/>
      <c r="Z170" s="377" t="s">
        <v>5543</v>
      </c>
      <c r="AA170" s="301"/>
      <c r="AB170" s="301"/>
    </row>
    <row r="171" spans="1:29" s="2558" customFormat="1" ht="24.6" customHeight="1">
      <c r="A171" s="2553"/>
      <c r="B171" s="1380"/>
      <c r="C171" s="1381"/>
      <c r="D171" s="413"/>
      <c r="E171" s="465"/>
      <c r="F171" s="465" t="s">
        <v>5499</v>
      </c>
      <c r="G171" s="1115">
        <f>Z171</f>
        <v>11700</v>
      </c>
      <c r="H171" s="1115"/>
      <c r="I171" s="404"/>
      <c r="J171" s="409"/>
      <c r="K171" s="1670" t="s">
        <v>5453</v>
      </c>
      <c r="L171" s="1671"/>
      <c r="M171" s="1483"/>
      <c r="N171" s="1671"/>
      <c r="O171" s="1672"/>
      <c r="P171" s="1672"/>
      <c r="Q171" s="1671"/>
      <c r="R171" s="1673"/>
      <c r="S171" s="1671"/>
      <c r="T171" s="1671"/>
      <c r="U171" s="1671"/>
      <c r="V171" s="1671"/>
      <c r="W171" s="1671"/>
      <c r="X171" s="1671"/>
      <c r="Y171" s="1671"/>
      <c r="Z171" s="1674">
        <f>SUM(Z172:Z174)</f>
        <v>11700</v>
      </c>
      <c r="AA171" s="301"/>
      <c r="AB171" s="301"/>
    </row>
    <row r="172" spans="1:29" s="587" customFormat="1" ht="24.6" customHeight="1">
      <c r="A172" s="586"/>
      <c r="B172" s="1380"/>
      <c r="C172" s="1381"/>
      <c r="D172" s="413"/>
      <c r="E172" s="465"/>
      <c r="F172" s="465"/>
      <c r="G172" s="1115"/>
      <c r="H172" s="1115"/>
      <c r="I172" s="404"/>
      <c r="J172" s="1438"/>
      <c r="K172" s="1670" t="s">
        <v>5784</v>
      </c>
      <c r="L172" s="1671"/>
      <c r="M172" s="1483"/>
      <c r="N172" s="1671"/>
      <c r="O172" s="1672"/>
      <c r="P172" s="1672"/>
      <c r="Q172" s="1671"/>
      <c r="R172" s="1673">
        <v>9</v>
      </c>
      <c r="S172" s="1671" t="s">
        <v>5462</v>
      </c>
      <c r="T172" s="1672">
        <v>500000</v>
      </c>
      <c r="U172" s="1671" t="s">
        <v>5454</v>
      </c>
      <c r="V172" s="1671"/>
      <c r="W172" s="1671">
        <v>1</v>
      </c>
      <c r="X172" s="1671" t="s">
        <v>5463</v>
      </c>
      <c r="Y172" s="1671" t="s">
        <v>5456</v>
      </c>
      <c r="Z172" s="1674">
        <f>ROUNDDOWN(T172*W172*R172,-5)/1000</f>
        <v>4500</v>
      </c>
      <c r="AA172" s="588"/>
      <c r="AB172" s="588"/>
    </row>
    <row r="173" spans="1:29" s="2558" customFormat="1" ht="24.6" customHeight="1">
      <c r="A173" s="2553"/>
      <c r="B173" s="1380"/>
      <c r="C173" s="1381"/>
      <c r="D173" s="413"/>
      <c r="E173" s="465"/>
      <c r="F173" s="465"/>
      <c r="G173" s="1115"/>
      <c r="H173" s="1115"/>
      <c r="I173" s="404"/>
      <c r="J173" s="409"/>
      <c r="K173" s="1670" t="s">
        <v>5837</v>
      </c>
      <c r="L173" s="1671"/>
      <c r="M173" s="1671"/>
      <c r="N173" s="1671"/>
      <c r="O173" s="1672"/>
      <c r="P173" s="1671"/>
      <c r="Q173" s="1671"/>
      <c r="R173" s="1673">
        <v>21</v>
      </c>
      <c r="S173" s="1671" t="s">
        <v>5462</v>
      </c>
      <c r="T173" s="1672">
        <v>200000</v>
      </c>
      <c r="U173" s="1671" t="s">
        <v>5454</v>
      </c>
      <c r="V173" s="1671"/>
      <c r="W173" s="1671">
        <v>1</v>
      </c>
      <c r="X173" s="1671" t="s">
        <v>5463</v>
      </c>
      <c r="Y173" s="1671" t="s">
        <v>5456</v>
      </c>
      <c r="Z173" s="1674">
        <f>ROUNDDOWN(T173*W173*R173,-5)/1000</f>
        <v>4200</v>
      </c>
      <c r="AA173" s="301"/>
      <c r="AB173" s="301"/>
    </row>
    <row r="174" spans="1:29" s="2558" customFormat="1" ht="24.6" customHeight="1">
      <c r="A174" s="2553"/>
      <c r="B174" s="1479"/>
      <c r="C174" s="1480"/>
      <c r="D174" s="413"/>
      <c r="E174" s="465"/>
      <c r="F174" s="465"/>
      <c r="G174" s="1115"/>
      <c r="H174" s="1115"/>
      <c r="I174" s="404"/>
      <c r="J174" s="409"/>
      <c r="K174" s="1670" t="s">
        <v>5785</v>
      </c>
      <c r="L174" s="1671"/>
      <c r="M174" s="1671"/>
      <c r="N174" s="1671"/>
      <c r="O174" s="1672"/>
      <c r="P174" s="1671"/>
      <c r="Q174" s="1671"/>
      <c r="R174" s="1673">
        <v>15</v>
      </c>
      <c r="S174" s="1671" t="s">
        <v>5462</v>
      </c>
      <c r="T174" s="1672">
        <v>200000</v>
      </c>
      <c r="U174" s="1671" t="s">
        <v>5454</v>
      </c>
      <c r="V174" s="1671"/>
      <c r="W174" s="1671">
        <v>1</v>
      </c>
      <c r="X174" s="1671" t="s">
        <v>5463</v>
      </c>
      <c r="Y174" s="1671" t="s">
        <v>5456</v>
      </c>
      <c r="Z174" s="1674">
        <f>ROUNDDOWN(T174*W174*R174,-5)/1000</f>
        <v>3000</v>
      </c>
      <c r="AA174" s="301"/>
      <c r="AB174" s="301"/>
    </row>
    <row r="175" spans="1:29" s="2558" customFormat="1" ht="24.6" customHeight="1">
      <c r="A175" s="2553"/>
      <c r="B175" s="1479"/>
      <c r="C175" s="1480"/>
      <c r="D175" s="413"/>
      <c r="E175" s="465"/>
      <c r="F175" s="465" t="s">
        <v>5504</v>
      </c>
      <c r="G175" s="1115">
        <f>Z175</f>
        <v>3900</v>
      </c>
      <c r="H175" s="1115"/>
      <c r="I175" s="404"/>
      <c r="J175" s="409"/>
      <c r="K175" s="1670" t="s">
        <v>5453</v>
      </c>
      <c r="L175" s="1671"/>
      <c r="M175" s="1483"/>
      <c r="N175" s="1671"/>
      <c r="O175" s="1672"/>
      <c r="P175" s="1672"/>
      <c r="Q175" s="1671"/>
      <c r="R175" s="1673"/>
      <c r="S175" s="1671"/>
      <c r="T175" s="1671"/>
      <c r="U175" s="1671"/>
      <c r="V175" s="1671"/>
      <c r="W175" s="1671"/>
      <c r="X175" s="1671"/>
      <c r="Y175" s="1671"/>
      <c r="Z175" s="1674">
        <f>SUM(Z176:Z177)</f>
        <v>3900</v>
      </c>
      <c r="AA175" s="301"/>
      <c r="AB175" s="301"/>
    </row>
    <row r="176" spans="1:29" s="587" customFormat="1" ht="24.6" customHeight="1">
      <c r="A176" s="586"/>
      <c r="B176" s="1380"/>
      <c r="C176" s="1381"/>
      <c r="D176" s="413"/>
      <c r="E176" s="465"/>
      <c r="F176" s="465"/>
      <c r="G176" s="1115"/>
      <c r="H176" s="1115"/>
      <c r="I176" s="404"/>
      <c r="J176" s="1438"/>
      <c r="K176" s="1670" t="s">
        <v>5786</v>
      </c>
      <c r="L176" s="1671"/>
      <c r="M176" s="1671"/>
      <c r="N176" s="1671"/>
      <c r="O176" s="1672"/>
      <c r="P176" s="1671"/>
      <c r="Q176" s="1671"/>
      <c r="R176" s="1673"/>
      <c r="S176" s="1671"/>
      <c r="T176" s="806">
        <v>300000</v>
      </c>
      <c r="U176" s="1671" t="s">
        <v>0</v>
      </c>
      <c r="V176" s="1671"/>
      <c r="W176" s="1671">
        <v>6</v>
      </c>
      <c r="X176" s="1671" t="s">
        <v>5463</v>
      </c>
      <c r="Y176" s="1671" t="s">
        <v>1</v>
      </c>
      <c r="Z176" s="1674">
        <f>T176*W176/1000</f>
        <v>1800</v>
      </c>
      <c r="AA176" s="588"/>
      <c r="AB176" s="588"/>
    </row>
    <row r="177" spans="1:28" s="2558" customFormat="1" ht="24.6" customHeight="1">
      <c r="A177" s="2553"/>
      <c r="B177" s="1380"/>
      <c r="C177" s="1381"/>
      <c r="D177" s="413"/>
      <c r="E177" s="465"/>
      <c r="F177" s="465"/>
      <c r="G177" s="1115"/>
      <c r="H177" s="1115"/>
      <c r="I177" s="404"/>
      <c r="J177" s="409"/>
      <c r="K177" s="1670" t="s">
        <v>5787</v>
      </c>
      <c r="L177" s="1671"/>
      <c r="M177" s="1671"/>
      <c r="N177" s="1671"/>
      <c r="O177" s="1672"/>
      <c r="P177" s="1671"/>
      <c r="Q177" s="1671"/>
      <c r="R177" s="1673">
        <v>15</v>
      </c>
      <c r="S177" s="1671" t="s">
        <v>5462</v>
      </c>
      <c r="T177" s="1672">
        <v>20000</v>
      </c>
      <c r="U177" s="1671" t="s">
        <v>5454</v>
      </c>
      <c r="V177" s="1671"/>
      <c r="W177" s="1671">
        <v>7</v>
      </c>
      <c r="X177" s="1671" t="s">
        <v>5463</v>
      </c>
      <c r="Y177" s="1671" t="s">
        <v>5456</v>
      </c>
      <c r="Z177" s="1674">
        <f>ROUNDDOWN(T177*W177*R177,-4)/1000</f>
        <v>2100</v>
      </c>
      <c r="AA177" s="301"/>
      <c r="AB177" s="301"/>
    </row>
    <row r="178" spans="1:28" s="2558" customFormat="1" ht="24.6" customHeight="1">
      <c r="A178" s="2553"/>
      <c r="B178" s="1380"/>
      <c r="C178" s="1381"/>
      <c r="D178" s="413"/>
      <c r="E178" s="465"/>
      <c r="F178" s="465" t="s">
        <v>5534</v>
      </c>
      <c r="G178" s="1115">
        <f>Z178</f>
        <v>4400</v>
      </c>
      <c r="H178" s="1115"/>
      <c r="I178" s="404"/>
      <c r="J178" s="409"/>
      <c r="K178" s="1670" t="s">
        <v>5453</v>
      </c>
      <c r="L178" s="1671"/>
      <c r="M178" s="1483"/>
      <c r="N178" s="1671"/>
      <c r="O178" s="1672"/>
      <c r="P178" s="1672"/>
      <c r="Q178" s="1671"/>
      <c r="R178" s="1673"/>
      <c r="S178" s="1671"/>
      <c r="T178" s="1671"/>
      <c r="U178" s="1671"/>
      <c r="V178" s="1671"/>
      <c r="W178" s="1671"/>
      <c r="X178" s="1671"/>
      <c r="Y178" s="1671"/>
      <c r="Z178" s="1674">
        <f>SUM(Z179:Z180)</f>
        <v>4400</v>
      </c>
      <c r="AA178" s="301"/>
      <c r="AB178" s="301"/>
    </row>
    <row r="179" spans="1:28" s="2558" customFormat="1" ht="24.6" customHeight="1">
      <c r="A179" s="2553"/>
      <c r="B179" s="1380"/>
      <c r="C179" s="1381"/>
      <c r="D179" s="413"/>
      <c r="E179" s="465"/>
      <c r="F179" s="465"/>
      <c r="G179" s="1115"/>
      <c r="H179" s="1115"/>
      <c r="I179" s="404"/>
      <c r="J179" s="409"/>
      <c r="K179" s="1670" t="s">
        <v>5788</v>
      </c>
      <c r="L179" s="1671"/>
      <c r="M179" s="1483"/>
      <c r="N179" s="1671"/>
      <c r="O179" s="1672"/>
      <c r="P179" s="1672"/>
      <c r="Q179" s="1671"/>
      <c r="R179" s="1673">
        <v>30</v>
      </c>
      <c r="S179" s="1671" t="s">
        <v>5789</v>
      </c>
      <c r="T179" s="1672">
        <v>5000</v>
      </c>
      <c r="U179" s="1671" t="s">
        <v>5454</v>
      </c>
      <c r="V179" s="1671"/>
      <c r="W179" s="1671">
        <v>7</v>
      </c>
      <c r="X179" s="1671" t="s">
        <v>5463</v>
      </c>
      <c r="Y179" s="1671" t="s">
        <v>5456</v>
      </c>
      <c r="Z179" s="1674">
        <f>ROUNDDOWN(T179*W179*R179,-5)/1000</f>
        <v>1000</v>
      </c>
      <c r="AA179" s="301"/>
      <c r="AB179" s="301"/>
    </row>
    <row r="180" spans="1:28" s="2558" customFormat="1" ht="24.6" customHeight="1">
      <c r="A180" s="2553"/>
      <c r="B180" s="1380"/>
      <c r="C180" s="1381"/>
      <c r="D180" s="413"/>
      <c r="E180" s="465"/>
      <c r="F180" s="465"/>
      <c r="G180" s="1115"/>
      <c r="H180" s="1115"/>
      <c r="I180" s="404"/>
      <c r="J180" s="409"/>
      <c r="K180" s="1670" t="s">
        <v>5790</v>
      </c>
      <c r="L180" s="1671"/>
      <c r="M180" s="1483"/>
      <c r="N180" s="1671"/>
      <c r="O180" s="1672"/>
      <c r="P180" s="1672"/>
      <c r="Q180" s="1671"/>
      <c r="R180" s="1673">
        <v>340</v>
      </c>
      <c r="S180" s="1671" t="s">
        <v>5789</v>
      </c>
      <c r="T180" s="1672">
        <v>10000</v>
      </c>
      <c r="U180" s="1671" t="s">
        <v>5454</v>
      </c>
      <c r="V180" s="1671"/>
      <c r="W180" s="1671">
        <v>1</v>
      </c>
      <c r="X180" s="1671" t="s">
        <v>5463</v>
      </c>
      <c r="Y180" s="1671" t="s">
        <v>5456</v>
      </c>
      <c r="Z180" s="1674">
        <f>ROUNDDOWN(T180*W180*R180,-4)/1000</f>
        <v>3400</v>
      </c>
      <c r="AA180" s="301"/>
      <c r="AB180" s="301"/>
    </row>
    <row r="181" spans="1:28" s="2558" customFormat="1" ht="24.6" customHeight="1">
      <c r="A181" s="2553"/>
      <c r="B181" s="1329"/>
      <c r="C181" s="1486"/>
      <c r="D181" s="465"/>
      <c r="E181" s="864" t="s">
        <v>5791</v>
      </c>
      <c r="F181" s="1447"/>
      <c r="G181" s="1484">
        <f>SUM(G182:G187)</f>
        <v>20900</v>
      </c>
      <c r="H181" s="1484">
        <f>SUM(H182:H187)</f>
        <v>0</v>
      </c>
      <c r="I181" s="386">
        <f>G181-H181</f>
        <v>20900</v>
      </c>
      <c r="J181" s="409"/>
      <c r="K181" s="835"/>
      <c r="L181" s="462"/>
      <c r="M181" s="462"/>
      <c r="N181" s="462"/>
      <c r="O181" s="399"/>
      <c r="P181" s="462"/>
      <c r="Q181" s="462"/>
      <c r="R181" s="836"/>
      <c r="S181" s="462"/>
      <c r="T181" s="462"/>
      <c r="U181" s="462"/>
      <c r="V181" s="462"/>
      <c r="W181" s="462"/>
      <c r="X181" s="462"/>
      <c r="Y181" s="462"/>
      <c r="Z181" s="377"/>
      <c r="AA181" s="301"/>
      <c r="AB181" s="301"/>
    </row>
    <row r="182" spans="1:28" s="2558" customFormat="1" ht="24.6" customHeight="1">
      <c r="A182" s="2553"/>
      <c r="B182" s="1380"/>
      <c r="C182" s="1381"/>
      <c r="D182" s="413"/>
      <c r="E182" s="465"/>
      <c r="F182" s="465" t="s">
        <v>5499</v>
      </c>
      <c r="G182" s="1115">
        <f>Z182</f>
        <v>500</v>
      </c>
      <c r="H182" s="1115"/>
      <c r="I182" s="404"/>
      <c r="J182" s="409"/>
      <c r="K182" s="1670" t="s">
        <v>5792</v>
      </c>
      <c r="L182" s="1671"/>
      <c r="M182" s="1483"/>
      <c r="N182" s="1671"/>
      <c r="O182" s="1672"/>
      <c r="P182" s="1672"/>
      <c r="Q182" s="1671"/>
      <c r="R182" s="1673">
        <v>1</v>
      </c>
      <c r="S182" s="1671" t="s">
        <v>5462</v>
      </c>
      <c r="T182" s="1672">
        <v>500000</v>
      </c>
      <c r="U182" s="1671" t="s">
        <v>5454</v>
      </c>
      <c r="V182" s="1671"/>
      <c r="W182" s="1671">
        <v>1</v>
      </c>
      <c r="X182" s="1671" t="s">
        <v>5463</v>
      </c>
      <c r="Y182" s="1671" t="s">
        <v>5456</v>
      </c>
      <c r="Z182" s="1674">
        <f>ROUNDDOWN(T182*W182*R182,-5)/1000</f>
        <v>500</v>
      </c>
      <c r="AA182" s="301"/>
      <c r="AB182" s="301"/>
    </row>
    <row r="183" spans="1:28" s="2558" customFormat="1" ht="24.6" customHeight="1">
      <c r="A183" s="2553"/>
      <c r="B183" s="1479"/>
      <c r="C183" s="1480"/>
      <c r="D183" s="413"/>
      <c r="E183" s="465"/>
      <c r="F183" s="465" t="s">
        <v>5500</v>
      </c>
      <c r="G183" s="1115">
        <f>Z183</f>
        <v>15000</v>
      </c>
      <c r="H183" s="1115"/>
      <c r="I183" s="404"/>
      <c r="J183" s="409"/>
      <c r="K183" s="1670" t="s">
        <v>5793</v>
      </c>
      <c r="L183" s="1671"/>
      <c r="M183" s="1671"/>
      <c r="N183" s="1671"/>
      <c r="O183" s="1672"/>
      <c r="P183" s="1672"/>
      <c r="Q183" s="1671"/>
      <c r="R183" s="1673">
        <v>100</v>
      </c>
      <c r="S183" s="1671" t="s">
        <v>5487</v>
      </c>
      <c r="T183" s="1671">
        <v>150000</v>
      </c>
      <c r="U183" s="1671" t="s">
        <v>5454</v>
      </c>
      <c r="V183" s="1671"/>
      <c r="W183" s="1671">
        <v>1</v>
      </c>
      <c r="X183" s="1671" t="s">
        <v>5463</v>
      </c>
      <c r="Y183" s="1671" t="s">
        <v>5456</v>
      </c>
      <c r="Z183" s="1488">
        <f>R183*T183*W183/1000</f>
        <v>15000</v>
      </c>
      <c r="AA183" s="301"/>
      <c r="AB183" s="301"/>
    </row>
    <row r="184" spans="1:28" s="2558" customFormat="1" ht="24.6" customHeight="1">
      <c r="A184" s="2553"/>
      <c r="B184" s="1380"/>
      <c r="C184" s="1381"/>
      <c r="D184" s="413"/>
      <c r="E184" s="465"/>
      <c r="F184" s="465" t="s">
        <v>5534</v>
      </c>
      <c r="G184" s="1115">
        <f>Z184</f>
        <v>1500</v>
      </c>
      <c r="H184" s="1115"/>
      <c r="I184" s="3575"/>
      <c r="J184" s="409"/>
      <c r="K184" s="1670" t="s">
        <v>5794</v>
      </c>
      <c r="L184" s="1671"/>
      <c r="M184" s="1671"/>
      <c r="N184" s="1671"/>
      <c r="O184" s="1487"/>
      <c r="P184" s="1487"/>
      <c r="Q184" s="1671"/>
      <c r="R184" s="1673">
        <v>150</v>
      </c>
      <c r="S184" s="1671" t="s">
        <v>5789</v>
      </c>
      <c r="T184" s="1672">
        <v>10000</v>
      </c>
      <c r="U184" s="1671" t="s">
        <v>5454</v>
      </c>
      <c r="V184" s="1671"/>
      <c r="W184" s="1671">
        <v>1</v>
      </c>
      <c r="X184" s="1671" t="s">
        <v>5463</v>
      </c>
      <c r="Y184" s="1671" t="s">
        <v>5456</v>
      </c>
      <c r="Z184" s="1674">
        <f>ROUNDDOWN(T184*W184*R184,-4)/1000</f>
        <v>1500</v>
      </c>
      <c r="AA184" s="301"/>
      <c r="AB184" s="301"/>
    </row>
    <row r="185" spans="1:28" s="587" customFormat="1" ht="24.6" customHeight="1">
      <c r="A185" s="586"/>
      <c r="B185" s="3081"/>
      <c r="C185" s="3082"/>
      <c r="D185" s="465"/>
      <c r="E185" s="402"/>
      <c r="F185" s="465" t="s">
        <v>5503</v>
      </c>
      <c r="G185" s="1115">
        <f>Z185</f>
        <v>3900</v>
      </c>
      <c r="H185" s="1115"/>
      <c r="I185" s="3575"/>
      <c r="J185" s="409"/>
      <c r="K185" s="1670" t="s">
        <v>5453</v>
      </c>
      <c r="L185" s="1671"/>
      <c r="M185" s="1671"/>
      <c r="N185" s="1671"/>
      <c r="O185" s="1672"/>
      <c r="P185" s="1671"/>
      <c r="Q185" s="1671"/>
      <c r="R185" s="1673"/>
      <c r="S185" s="1671"/>
      <c r="T185" s="806"/>
      <c r="U185" s="1671"/>
      <c r="V185" s="1671"/>
      <c r="W185" s="1671"/>
      <c r="X185" s="1671"/>
      <c r="Y185" s="1671"/>
      <c r="Z185" s="1488">
        <f>SUM(Z186:Z190)</f>
        <v>3900</v>
      </c>
      <c r="AA185" s="588"/>
      <c r="AB185" s="588"/>
    </row>
    <row r="186" spans="1:28" s="587" customFormat="1" ht="24.6" customHeight="1">
      <c r="A186" s="586"/>
      <c r="B186" s="3081"/>
      <c r="C186" s="3082"/>
      <c r="D186" s="465"/>
      <c r="E186" s="402"/>
      <c r="F186" s="465"/>
      <c r="G186" s="1115"/>
      <c r="H186" s="1115"/>
      <c r="I186" s="3575"/>
      <c r="J186" s="409"/>
      <c r="K186" s="1670" t="s">
        <v>5795</v>
      </c>
      <c r="L186" s="1671"/>
      <c r="M186" s="1671"/>
      <c r="N186" s="1671"/>
      <c r="O186" s="1487"/>
      <c r="P186" s="1487"/>
      <c r="Q186" s="1671"/>
      <c r="R186" s="1673">
        <v>100</v>
      </c>
      <c r="S186" s="1671" t="s">
        <v>23</v>
      </c>
      <c r="T186" s="1671">
        <v>10000</v>
      </c>
      <c r="U186" s="1671" t="s">
        <v>0</v>
      </c>
      <c r="V186" s="1671"/>
      <c r="W186" s="1671">
        <v>1</v>
      </c>
      <c r="X186" s="1671" t="s">
        <v>3</v>
      </c>
      <c r="Y186" s="1671" t="s">
        <v>1</v>
      </c>
      <c r="Z186" s="1488">
        <f>R186*T186*W186/1000</f>
        <v>1000</v>
      </c>
      <c r="AA186" s="588"/>
      <c r="AB186" s="588"/>
    </row>
    <row r="187" spans="1:28" s="587" customFormat="1" ht="24.6" customHeight="1">
      <c r="A187" s="586"/>
      <c r="B187" s="3081"/>
      <c r="C187" s="3082"/>
      <c r="D187" s="465"/>
      <c r="E187" s="402"/>
      <c r="F187" s="465"/>
      <c r="G187" s="1115"/>
      <c r="H187" s="1115"/>
      <c r="I187" s="3575"/>
      <c r="J187" s="409"/>
      <c r="K187" s="1670" t="s">
        <v>5796</v>
      </c>
      <c r="L187" s="1671"/>
      <c r="M187" s="1671"/>
      <c r="N187" s="1671"/>
      <c r="O187" s="1487"/>
      <c r="P187" s="1487"/>
      <c r="Q187" s="1671"/>
      <c r="R187" s="1673">
        <v>20</v>
      </c>
      <c r="S187" s="1671" t="s">
        <v>23</v>
      </c>
      <c r="T187" s="1671">
        <v>20000</v>
      </c>
      <c r="U187" s="1671" t="s">
        <v>0</v>
      </c>
      <c r="V187" s="1671"/>
      <c r="W187" s="1671">
        <v>1</v>
      </c>
      <c r="X187" s="1671" t="s">
        <v>3</v>
      </c>
      <c r="Y187" s="1671" t="s">
        <v>1</v>
      </c>
      <c r="Z187" s="1488">
        <f>R187*T187*W187/1000</f>
        <v>400</v>
      </c>
      <c r="AA187" s="588"/>
      <c r="AB187" s="588"/>
    </row>
    <row r="188" spans="1:28" s="587" customFormat="1" ht="24.6" customHeight="1">
      <c r="A188" s="586"/>
      <c r="B188" s="3081"/>
      <c r="C188" s="3082"/>
      <c r="D188" s="465"/>
      <c r="E188" s="465"/>
      <c r="F188" s="413"/>
      <c r="G188" s="1115"/>
      <c r="H188" s="1115"/>
      <c r="I188" s="3083"/>
      <c r="J188" s="409"/>
      <c r="K188" s="1670" t="s">
        <v>5797</v>
      </c>
      <c r="L188" s="1671"/>
      <c r="M188" s="1671"/>
      <c r="N188" s="1671"/>
      <c r="O188" s="1487"/>
      <c r="P188" s="1487"/>
      <c r="Q188" s="1671"/>
      <c r="R188" s="1673"/>
      <c r="S188" s="1671"/>
      <c r="T188" s="806">
        <v>1000000</v>
      </c>
      <c r="U188" s="1671" t="s">
        <v>0</v>
      </c>
      <c r="V188" s="1671"/>
      <c r="W188" s="1671">
        <v>1</v>
      </c>
      <c r="X188" s="1671" t="s">
        <v>5463</v>
      </c>
      <c r="Y188" s="1671" t="s">
        <v>1</v>
      </c>
      <c r="Z188" s="1674">
        <f>T188*W188/1000</f>
        <v>1000</v>
      </c>
      <c r="AA188" s="588"/>
      <c r="AB188" s="588"/>
    </row>
    <row r="189" spans="1:28" s="587" customFormat="1" ht="24.6" customHeight="1">
      <c r="A189" s="586"/>
      <c r="B189" s="3081"/>
      <c r="C189" s="3082"/>
      <c r="D189" s="465"/>
      <c r="E189" s="465"/>
      <c r="F189" s="413"/>
      <c r="G189" s="1115"/>
      <c r="H189" s="1115"/>
      <c r="I189" s="3083"/>
      <c r="J189" s="409"/>
      <c r="K189" s="1670" t="s">
        <v>5798</v>
      </c>
      <c r="L189" s="1671"/>
      <c r="M189" s="1671"/>
      <c r="N189" s="1671"/>
      <c r="O189" s="1487"/>
      <c r="P189" s="1487"/>
      <c r="Q189" s="1671"/>
      <c r="R189" s="1673">
        <v>100</v>
      </c>
      <c r="S189" s="1671" t="s">
        <v>23</v>
      </c>
      <c r="T189" s="1671">
        <v>5000</v>
      </c>
      <c r="U189" s="1671" t="s">
        <v>0</v>
      </c>
      <c r="V189" s="1671"/>
      <c r="W189" s="1671">
        <v>1</v>
      </c>
      <c r="X189" s="1671" t="s">
        <v>3</v>
      </c>
      <c r="Y189" s="1671" t="s">
        <v>1</v>
      </c>
      <c r="Z189" s="1488">
        <f>R189*T189*W189/1000</f>
        <v>500</v>
      </c>
      <c r="AA189" s="588"/>
      <c r="AB189" s="588"/>
    </row>
    <row r="190" spans="1:28" s="587" customFormat="1" ht="24.6" customHeight="1">
      <c r="A190" s="586"/>
      <c r="B190" s="3081"/>
      <c r="C190" s="3082"/>
      <c r="D190" s="465"/>
      <c r="E190" s="819"/>
      <c r="F190" s="413"/>
      <c r="G190" s="1115"/>
      <c r="H190" s="1115"/>
      <c r="I190" s="3083"/>
      <c r="J190" s="409"/>
      <c r="K190" s="1670" t="s">
        <v>5799</v>
      </c>
      <c r="L190" s="1671"/>
      <c r="M190" s="1671"/>
      <c r="N190" s="1671"/>
      <c r="O190" s="1487"/>
      <c r="P190" s="1487"/>
      <c r="Q190" s="1671"/>
      <c r="R190" s="1673"/>
      <c r="S190" s="1671"/>
      <c r="T190" s="1671">
        <v>1000000</v>
      </c>
      <c r="U190" s="1671" t="s">
        <v>0</v>
      </c>
      <c r="V190" s="1671"/>
      <c r="W190" s="1671">
        <v>1</v>
      </c>
      <c r="X190" s="1671" t="s">
        <v>3</v>
      </c>
      <c r="Y190" s="1671" t="s">
        <v>1</v>
      </c>
      <c r="Z190" s="1488">
        <f>T190*W190/1000</f>
        <v>1000</v>
      </c>
      <c r="AA190" s="588"/>
      <c r="AB190" s="588"/>
    </row>
    <row r="191" spans="1:28" s="2558" customFormat="1" ht="24.6" customHeight="1">
      <c r="A191" s="2553" t="s">
        <v>5800</v>
      </c>
      <c r="B191" s="3081"/>
      <c r="C191" s="3082"/>
      <c r="D191" s="465"/>
      <c r="E191" s="864" t="s">
        <v>5801</v>
      </c>
      <c r="F191" s="1447"/>
      <c r="G191" s="1484">
        <f>SUM(G192:G196)</f>
        <v>20000</v>
      </c>
      <c r="H191" s="1484">
        <f>SUM(H192:H196)</f>
        <v>0</v>
      </c>
      <c r="I191" s="386">
        <f>G191-H191</f>
        <v>20000</v>
      </c>
      <c r="J191" s="409"/>
      <c r="K191" s="835"/>
      <c r="L191" s="462"/>
      <c r="M191" s="462"/>
      <c r="N191" s="462"/>
      <c r="O191" s="399"/>
      <c r="P191" s="399"/>
      <c r="Q191" s="462"/>
      <c r="R191" s="836"/>
      <c r="S191" s="462"/>
      <c r="T191" s="462"/>
      <c r="U191" s="462"/>
      <c r="V191" s="462"/>
      <c r="W191" s="462"/>
      <c r="X191" s="462"/>
      <c r="Y191" s="462"/>
      <c r="Z191" s="3084">
        <f t="shared" ref="Z191" si="48">R191*T191*W191/1000</f>
        <v>0</v>
      </c>
      <c r="AA191" s="301"/>
      <c r="AB191" s="301"/>
    </row>
    <row r="192" spans="1:28" s="2558" customFormat="1" ht="24.6" customHeight="1">
      <c r="A192" s="2553"/>
      <c r="B192" s="3081"/>
      <c r="C192" s="3082"/>
      <c r="D192" s="465"/>
      <c r="E192" s="402"/>
      <c r="F192" s="809" t="s">
        <v>5500</v>
      </c>
      <c r="G192" s="1115">
        <f>Z192</f>
        <v>18000</v>
      </c>
      <c r="H192" s="1115"/>
      <c r="I192" s="391"/>
      <c r="J192" s="409"/>
      <c r="K192" s="1670" t="s">
        <v>5802</v>
      </c>
      <c r="L192" s="1671"/>
      <c r="M192" s="1671"/>
      <c r="N192" s="1671"/>
      <c r="O192" s="1672"/>
      <c r="P192" s="1671"/>
      <c r="Q192" s="1671"/>
      <c r="R192" s="1673"/>
      <c r="S192" s="1671"/>
      <c r="T192" s="1671">
        <v>18000000</v>
      </c>
      <c r="U192" s="1671" t="s">
        <v>5454</v>
      </c>
      <c r="V192" s="1671"/>
      <c r="W192" s="1671">
        <v>1</v>
      </c>
      <c r="X192" s="1671" t="s">
        <v>5463</v>
      </c>
      <c r="Y192" s="1671" t="s">
        <v>5456</v>
      </c>
      <c r="Z192" s="1674">
        <f>T192*W192/1000</f>
        <v>18000</v>
      </c>
      <c r="AA192" s="301"/>
      <c r="AB192" s="301"/>
    </row>
    <row r="193" spans="1:29" s="587" customFormat="1" ht="24.6" customHeight="1">
      <c r="A193" s="586"/>
      <c r="B193" s="3081"/>
      <c r="C193" s="3082"/>
      <c r="D193" s="465"/>
      <c r="E193" s="402"/>
      <c r="F193" s="465" t="s">
        <v>5503</v>
      </c>
      <c r="G193" s="1115">
        <f>Z193</f>
        <v>2000</v>
      </c>
      <c r="H193" s="1115"/>
      <c r="I193" s="391"/>
      <c r="J193" s="409"/>
      <c r="K193" s="1670" t="s">
        <v>5453</v>
      </c>
      <c r="L193" s="1671"/>
      <c r="M193" s="1671"/>
      <c r="N193" s="1671"/>
      <c r="O193" s="1672"/>
      <c r="P193" s="1671"/>
      <c r="Q193" s="1671"/>
      <c r="R193" s="1673"/>
      <c r="S193" s="1671"/>
      <c r="T193" s="806"/>
      <c r="U193" s="1671"/>
      <c r="V193" s="1671"/>
      <c r="W193" s="1671"/>
      <c r="X193" s="1671"/>
      <c r="Y193" s="1671"/>
      <c r="Z193" s="1488">
        <f>SUM(Z194:Z196)</f>
        <v>2000</v>
      </c>
      <c r="AA193" s="588"/>
      <c r="AB193" s="588"/>
    </row>
    <row r="194" spans="1:29" s="587" customFormat="1" ht="24.6" customHeight="1">
      <c r="A194" s="586"/>
      <c r="B194" s="3081"/>
      <c r="C194" s="3082"/>
      <c r="D194" s="465"/>
      <c r="E194" s="402"/>
      <c r="F194" s="465"/>
      <c r="G194" s="1115"/>
      <c r="H194" s="1115"/>
      <c r="I194" s="391"/>
      <c r="J194" s="409"/>
      <c r="K194" s="1670" t="s">
        <v>5795</v>
      </c>
      <c r="L194" s="1671"/>
      <c r="M194" s="1671"/>
      <c r="N194" s="1671"/>
      <c r="O194" s="1487"/>
      <c r="P194" s="1487"/>
      <c r="Q194" s="1671"/>
      <c r="R194" s="1673">
        <v>200</v>
      </c>
      <c r="S194" s="1671" t="s">
        <v>23</v>
      </c>
      <c r="T194" s="1671">
        <v>3000</v>
      </c>
      <c r="U194" s="1671" t="s">
        <v>0</v>
      </c>
      <c r="V194" s="1671"/>
      <c r="W194" s="1671">
        <v>1</v>
      </c>
      <c r="X194" s="1671" t="s">
        <v>3</v>
      </c>
      <c r="Y194" s="1671" t="s">
        <v>1</v>
      </c>
      <c r="Z194" s="1488">
        <f>R194*T194*W194/1000</f>
        <v>600</v>
      </c>
      <c r="AA194" s="588"/>
      <c r="AB194" s="588"/>
    </row>
    <row r="195" spans="1:29" s="587" customFormat="1" ht="24.6" customHeight="1">
      <c r="A195" s="586"/>
      <c r="B195" s="3081"/>
      <c r="C195" s="3082"/>
      <c r="D195" s="465"/>
      <c r="E195" s="402"/>
      <c r="F195" s="465"/>
      <c r="G195" s="1115"/>
      <c r="H195" s="1115"/>
      <c r="I195" s="391"/>
      <c r="J195" s="409"/>
      <c r="K195" s="1670" t="s">
        <v>5796</v>
      </c>
      <c r="L195" s="1671"/>
      <c r="M195" s="1671"/>
      <c r="N195" s="1671"/>
      <c r="O195" s="1487"/>
      <c r="P195" s="1487"/>
      <c r="Q195" s="1671"/>
      <c r="R195" s="1673">
        <v>20</v>
      </c>
      <c r="S195" s="1671" t="s">
        <v>23</v>
      </c>
      <c r="T195" s="1671">
        <v>20000</v>
      </c>
      <c r="U195" s="1671" t="s">
        <v>0</v>
      </c>
      <c r="V195" s="1671"/>
      <c r="W195" s="1671">
        <v>1</v>
      </c>
      <c r="X195" s="1671" t="s">
        <v>3</v>
      </c>
      <c r="Y195" s="1671" t="s">
        <v>1</v>
      </c>
      <c r="Z195" s="1488">
        <f>R195*T195*W195/1000</f>
        <v>400</v>
      </c>
      <c r="AA195" s="588"/>
      <c r="AB195" s="588"/>
    </row>
    <row r="196" spans="1:29" s="587" customFormat="1" ht="24.6" customHeight="1">
      <c r="A196" s="586"/>
      <c r="B196" s="3081"/>
      <c r="C196" s="3082"/>
      <c r="D196" s="465"/>
      <c r="E196" s="465"/>
      <c r="F196" s="413"/>
      <c r="G196" s="1115"/>
      <c r="H196" s="1115"/>
      <c r="I196" s="3083"/>
      <c r="J196" s="409"/>
      <c r="K196" s="1670" t="s">
        <v>5797</v>
      </c>
      <c r="L196" s="1671"/>
      <c r="M196" s="1671"/>
      <c r="N196" s="1671"/>
      <c r="O196" s="1487"/>
      <c r="P196" s="1487"/>
      <c r="Q196" s="1671"/>
      <c r="R196" s="1673"/>
      <c r="S196" s="1671"/>
      <c r="T196" s="806">
        <v>1000000</v>
      </c>
      <c r="U196" s="1671" t="s">
        <v>0</v>
      </c>
      <c r="V196" s="1671"/>
      <c r="W196" s="1671">
        <v>1</v>
      </c>
      <c r="X196" s="1671" t="s">
        <v>5463</v>
      </c>
      <c r="Y196" s="1671" t="s">
        <v>1</v>
      </c>
      <c r="Z196" s="1674">
        <f>T196*W196/1000</f>
        <v>1000</v>
      </c>
      <c r="AA196" s="588"/>
      <c r="AB196" s="588"/>
    </row>
    <row r="197" spans="1:29" s="2558" customFormat="1" ht="24.6" customHeight="1">
      <c r="A197" s="2553" t="s">
        <v>5800</v>
      </c>
      <c r="B197" s="3081"/>
      <c r="C197" s="3082"/>
      <c r="D197" s="465"/>
      <c r="E197" s="864" t="s">
        <v>5803</v>
      </c>
      <c r="F197" s="1447"/>
      <c r="G197" s="1484">
        <f>SUM(G198:G205)</f>
        <v>17600</v>
      </c>
      <c r="H197" s="1484">
        <f>SUM(H198:H205)</f>
        <v>0</v>
      </c>
      <c r="I197" s="386">
        <f>G197-H197</f>
        <v>17600</v>
      </c>
      <c r="J197" s="409"/>
      <c r="K197" s="835"/>
      <c r="L197" s="462"/>
      <c r="M197" s="462"/>
      <c r="N197" s="462"/>
      <c r="O197" s="399"/>
      <c r="P197" s="399"/>
      <c r="Q197" s="462"/>
      <c r="R197" s="836"/>
      <c r="S197" s="462"/>
      <c r="T197" s="462"/>
      <c r="U197" s="462"/>
      <c r="V197" s="462"/>
      <c r="W197" s="462"/>
      <c r="X197" s="462"/>
      <c r="Y197" s="462"/>
      <c r="Z197" s="3084">
        <f t="shared" ref="Z197" si="49">R197*T197*W197/1000</f>
        <v>0</v>
      </c>
      <c r="AA197" s="301"/>
      <c r="AB197" s="301"/>
    </row>
    <row r="198" spans="1:29" s="2558" customFormat="1" ht="24.6" customHeight="1">
      <c r="A198" s="2553"/>
      <c r="B198" s="3081"/>
      <c r="C198" s="3082"/>
      <c r="D198" s="465"/>
      <c r="E198" s="402"/>
      <c r="F198" s="465" t="s">
        <v>5500</v>
      </c>
      <c r="G198" s="1115">
        <f>Z198</f>
        <v>10100</v>
      </c>
      <c r="H198" s="1115"/>
      <c r="I198" s="391"/>
      <c r="J198" s="409"/>
      <c r="K198" s="1670" t="s">
        <v>5453</v>
      </c>
      <c r="L198" s="1671"/>
      <c r="M198" s="1671"/>
      <c r="N198" s="1671"/>
      <c r="O198" s="1672"/>
      <c r="P198" s="1671"/>
      <c r="Q198" s="1671"/>
      <c r="R198" s="1673"/>
      <c r="S198" s="1671"/>
      <c r="T198" s="806"/>
      <c r="U198" s="1671"/>
      <c r="V198" s="1671"/>
      <c r="W198" s="1671"/>
      <c r="X198" s="1671"/>
      <c r="Y198" s="1671"/>
      <c r="Z198" s="1488">
        <f>SUM(Z199:Z201)</f>
        <v>10100</v>
      </c>
      <c r="AA198" s="301"/>
      <c r="AB198" s="301"/>
    </row>
    <row r="199" spans="1:29" s="587" customFormat="1" ht="24.6" customHeight="1">
      <c r="A199" s="586"/>
      <c r="B199" s="3081"/>
      <c r="C199" s="3082"/>
      <c r="D199" s="465"/>
      <c r="E199" s="402"/>
      <c r="F199" s="465"/>
      <c r="G199" s="1115"/>
      <c r="H199" s="1115"/>
      <c r="I199" s="391"/>
      <c r="J199" s="409"/>
      <c r="K199" s="1670" t="s">
        <v>5804</v>
      </c>
      <c r="L199" s="1671"/>
      <c r="M199" s="1671"/>
      <c r="N199" s="1671"/>
      <c r="O199" s="1487"/>
      <c r="P199" s="1487"/>
      <c r="Q199" s="1671"/>
      <c r="R199" s="1673">
        <v>1</v>
      </c>
      <c r="S199" s="1671" t="s">
        <v>23</v>
      </c>
      <c r="T199" s="1671">
        <v>1000000</v>
      </c>
      <c r="U199" s="1671" t="s">
        <v>5454</v>
      </c>
      <c r="V199" s="1671"/>
      <c r="W199" s="1671">
        <v>5</v>
      </c>
      <c r="X199" s="1671" t="s">
        <v>5463</v>
      </c>
      <c r="Y199" s="1671" t="s">
        <v>5456</v>
      </c>
      <c r="Z199" s="1674">
        <f>T199*W199/1000</f>
        <v>5000</v>
      </c>
      <c r="AA199" s="588"/>
      <c r="AB199" s="588"/>
    </row>
    <row r="200" spans="1:29" s="2558" customFormat="1" ht="24.6" customHeight="1">
      <c r="A200" s="2553"/>
      <c r="B200" s="3081"/>
      <c r="C200" s="3082"/>
      <c r="D200" s="465"/>
      <c r="E200" s="402"/>
      <c r="F200" s="465"/>
      <c r="G200" s="1115"/>
      <c r="H200" s="1115"/>
      <c r="I200" s="391"/>
      <c r="J200" s="409"/>
      <c r="K200" s="1670" t="s">
        <v>5805</v>
      </c>
      <c r="L200" s="1671"/>
      <c r="M200" s="1671"/>
      <c r="N200" s="1671"/>
      <c r="O200" s="1487"/>
      <c r="P200" s="1487"/>
      <c r="Q200" s="1671"/>
      <c r="R200" s="1673"/>
      <c r="S200" s="1671"/>
      <c r="T200" s="1671">
        <v>1300000</v>
      </c>
      <c r="U200" s="1671" t="s">
        <v>0</v>
      </c>
      <c r="V200" s="1671"/>
      <c r="W200" s="1671">
        <v>2</v>
      </c>
      <c r="X200" s="1671" t="s">
        <v>5463</v>
      </c>
      <c r="Y200" s="1671" t="s">
        <v>1</v>
      </c>
      <c r="Z200" s="1488">
        <f>T200*W200/1000</f>
        <v>2600</v>
      </c>
      <c r="AA200" s="301"/>
      <c r="AB200" s="301"/>
    </row>
    <row r="201" spans="1:29" s="2558" customFormat="1" ht="24.6" customHeight="1">
      <c r="A201" s="2553"/>
      <c r="B201" s="3081"/>
      <c r="C201" s="3082"/>
      <c r="D201" s="465"/>
      <c r="E201" s="402"/>
      <c r="F201" s="465"/>
      <c r="G201" s="1115"/>
      <c r="H201" s="1115"/>
      <c r="I201" s="391"/>
      <c r="J201" s="409"/>
      <c r="K201" s="1670" t="s">
        <v>5806</v>
      </c>
      <c r="L201" s="1671"/>
      <c r="M201" s="1671"/>
      <c r="N201" s="1671"/>
      <c r="O201" s="1487"/>
      <c r="P201" s="1487"/>
      <c r="Q201" s="1671"/>
      <c r="R201" s="1673"/>
      <c r="S201" s="1671"/>
      <c r="T201" s="1671">
        <v>2500000</v>
      </c>
      <c r="U201" s="1671" t="s">
        <v>0</v>
      </c>
      <c r="V201" s="1671"/>
      <c r="W201" s="1671">
        <v>1</v>
      </c>
      <c r="X201" s="1671" t="s">
        <v>5463</v>
      </c>
      <c r="Y201" s="1671" t="s">
        <v>1</v>
      </c>
      <c r="Z201" s="1488">
        <f>T201*W201/1000</f>
        <v>2500</v>
      </c>
      <c r="AA201" s="301"/>
      <c r="AB201" s="301"/>
    </row>
    <row r="202" spans="1:29" s="587" customFormat="1" ht="24.6" customHeight="1">
      <c r="A202" s="586"/>
      <c r="B202" s="3081"/>
      <c r="C202" s="3082"/>
      <c r="D202" s="465"/>
      <c r="E202" s="402"/>
      <c r="F202" s="465" t="s">
        <v>5499</v>
      </c>
      <c r="G202" s="1115">
        <f>Z202</f>
        <v>500</v>
      </c>
      <c r="H202" s="1115"/>
      <c r="I202" s="391"/>
      <c r="J202" s="409"/>
      <c r="K202" s="1670" t="s">
        <v>5836</v>
      </c>
      <c r="L202" s="1671"/>
      <c r="M202" s="1671"/>
      <c r="N202" s="1671"/>
      <c r="O202" s="1672"/>
      <c r="P202" s="1671"/>
      <c r="Q202" s="1671"/>
      <c r="R202" s="1673">
        <v>1</v>
      </c>
      <c r="S202" s="1671" t="s">
        <v>23</v>
      </c>
      <c r="T202" s="1671">
        <v>500000</v>
      </c>
      <c r="U202" s="1671" t="s">
        <v>0</v>
      </c>
      <c r="V202" s="1671"/>
      <c r="W202" s="1671">
        <v>1</v>
      </c>
      <c r="X202" s="1671" t="s">
        <v>3</v>
      </c>
      <c r="Y202" s="1671" t="s">
        <v>1</v>
      </c>
      <c r="Z202" s="1488">
        <f>R202*T202*W202/1000</f>
        <v>500</v>
      </c>
      <c r="AA202" s="588"/>
      <c r="AB202" s="588"/>
    </row>
    <row r="203" spans="1:29" s="2558" customFormat="1" ht="24.6" customHeight="1">
      <c r="A203" s="2553"/>
      <c r="B203" s="3081"/>
      <c r="C203" s="3082"/>
      <c r="D203" s="465"/>
      <c r="E203" s="402"/>
      <c r="F203" s="465" t="s">
        <v>5503</v>
      </c>
      <c r="G203" s="1115">
        <f>Z203</f>
        <v>7000</v>
      </c>
      <c r="H203" s="1115"/>
      <c r="I203" s="391"/>
      <c r="J203" s="409"/>
      <c r="K203" s="1670" t="s">
        <v>5453</v>
      </c>
      <c r="L203" s="1671"/>
      <c r="M203" s="1671"/>
      <c r="N203" s="1671"/>
      <c r="O203" s="1672"/>
      <c r="P203" s="1671"/>
      <c r="Q203" s="1671"/>
      <c r="R203" s="1673"/>
      <c r="S203" s="1671"/>
      <c r="T203" s="806"/>
      <c r="U203" s="1671"/>
      <c r="V203" s="1671"/>
      <c r="W203" s="1671"/>
      <c r="X203" s="1671"/>
      <c r="Y203" s="1671"/>
      <c r="Z203" s="1488">
        <f>SUM(Z204:Z205)</f>
        <v>7000</v>
      </c>
      <c r="AA203" s="301"/>
      <c r="AB203" s="301"/>
    </row>
    <row r="204" spans="1:29" s="587" customFormat="1" ht="24.6" customHeight="1">
      <c r="A204" s="586"/>
      <c r="B204" s="3081"/>
      <c r="C204" s="3082"/>
      <c r="D204" s="465"/>
      <c r="E204" s="402"/>
      <c r="F204" s="465"/>
      <c r="G204" s="1115"/>
      <c r="H204" s="1115"/>
      <c r="I204" s="391"/>
      <c r="J204" s="409"/>
      <c r="K204" s="1670" t="s">
        <v>5807</v>
      </c>
      <c r="L204" s="1671"/>
      <c r="M204" s="1671"/>
      <c r="N204" s="1671"/>
      <c r="O204" s="1487"/>
      <c r="P204" s="1487"/>
      <c r="Q204" s="1671"/>
      <c r="R204" s="1673"/>
      <c r="S204" s="1671"/>
      <c r="T204" s="1671">
        <v>2000</v>
      </c>
      <c r="U204" s="1671" t="s">
        <v>0</v>
      </c>
      <c r="V204" s="1671"/>
      <c r="W204" s="1671">
        <v>2500</v>
      </c>
      <c r="X204" s="1671" t="s">
        <v>5775</v>
      </c>
      <c r="Y204" s="1671" t="s">
        <v>1</v>
      </c>
      <c r="Z204" s="1488">
        <f>T204*W204/1000</f>
        <v>5000</v>
      </c>
      <c r="AA204" s="588"/>
      <c r="AB204" s="588"/>
    </row>
    <row r="205" spans="1:29" s="2558" customFormat="1" ht="24.6" customHeight="1" thickBot="1">
      <c r="A205" s="2553"/>
      <c r="B205" s="3085"/>
      <c r="C205" s="3086"/>
      <c r="D205" s="477"/>
      <c r="E205" s="1427"/>
      <c r="F205" s="477"/>
      <c r="G205" s="1491"/>
      <c r="H205" s="1491"/>
      <c r="I205" s="921"/>
      <c r="J205" s="409"/>
      <c r="K205" s="1670" t="s">
        <v>5808</v>
      </c>
      <c r="L205" s="1671"/>
      <c r="M205" s="1671"/>
      <c r="N205" s="1671"/>
      <c r="O205" s="1672"/>
      <c r="P205" s="1672"/>
      <c r="Q205" s="1671"/>
      <c r="R205" s="1673"/>
      <c r="S205" s="1671"/>
      <c r="T205" s="806">
        <v>2000000</v>
      </c>
      <c r="U205" s="1671" t="s">
        <v>0</v>
      </c>
      <c r="V205" s="1671"/>
      <c r="W205" s="1671">
        <v>1</v>
      </c>
      <c r="X205" s="1671" t="s">
        <v>5463</v>
      </c>
      <c r="Y205" s="1671" t="s">
        <v>1</v>
      </c>
      <c r="Z205" s="1674">
        <f>T205*W205/1000</f>
        <v>2000</v>
      </c>
      <c r="AA205" s="301"/>
      <c r="AB205" s="301"/>
    </row>
    <row r="206" spans="1:29" s="2557" customFormat="1" ht="24.6" customHeight="1" thickBot="1">
      <c r="A206" s="604"/>
      <c r="B206" s="422" t="s">
        <v>4498</v>
      </c>
      <c r="C206" s="1299"/>
      <c r="D206" s="1299"/>
      <c r="E206" s="1299"/>
      <c r="F206" s="1299"/>
      <c r="G206" s="596">
        <v>0</v>
      </c>
      <c r="H206" s="596">
        <v>0</v>
      </c>
      <c r="I206" s="421">
        <f>G206-H206</f>
        <v>0</v>
      </c>
      <c r="J206" s="409"/>
      <c r="K206" s="1256"/>
      <c r="L206" s="1257"/>
      <c r="M206" s="1257"/>
      <c r="N206" s="1257"/>
      <c r="O206" s="1257"/>
      <c r="P206" s="1257"/>
      <c r="Q206" s="1257"/>
      <c r="R206" s="1257"/>
      <c r="S206" s="1257"/>
      <c r="T206" s="1257"/>
      <c r="U206" s="1257"/>
      <c r="V206" s="1257"/>
      <c r="W206" s="1257"/>
      <c r="X206" s="1257"/>
      <c r="Y206" s="1257"/>
      <c r="Z206" s="1407"/>
      <c r="AA206" s="1259"/>
      <c r="AB206" s="305"/>
      <c r="AC206" s="301"/>
    </row>
    <row r="207" spans="1:29" s="2558" customFormat="1" ht="23.45" customHeight="1" thickBot="1">
      <c r="A207" s="2553"/>
      <c r="B207" s="1493" t="s">
        <v>4500</v>
      </c>
      <c r="C207" s="1299"/>
      <c r="D207" s="1299"/>
      <c r="E207" s="1299"/>
      <c r="F207" s="922"/>
      <c r="G207" s="1720">
        <f>+G208+G259+G317</f>
        <v>2923299.99999408</v>
      </c>
      <c r="H207" s="1720">
        <f>+H208+H259+H317</f>
        <v>2023300</v>
      </c>
      <c r="I207" s="1721">
        <f>G207-H207</f>
        <v>899999.99999408005</v>
      </c>
      <c r="J207" s="409"/>
      <c r="K207" s="2623"/>
      <c r="L207" s="2624"/>
      <c r="M207" s="2624"/>
      <c r="N207" s="2624"/>
      <c r="O207" s="2624"/>
      <c r="P207" s="2624"/>
      <c r="Q207" s="2624"/>
      <c r="R207" s="2624"/>
      <c r="S207" s="405"/>
      <c r="T207" s="2624"/>
      <c r="U207" s="2624"/>
      <c r="V207" s="2624"/>
      <c r="W207" s="2624"/>
      <c r="X207" s="2624"/>
      <c r="Y207" s="397"/>
      <c r="Z207" s="406"/>
      <c r="AA207" s="1326"/>
      <c r="AB207" s="301"/>
      <c r="AC207" s="301"/>
    </row>
    <row r="208" spans="1:29" s="2558" customFormat="1" ht="23.45" customHeight="1">
      <c r="A208" s="2553"/>
      <c r="B208" s="396"/>
      <c r="C208" s="819" t="s">
        <v>4501</v>
      </c>
      <c r="D208" s="859"/>
      <c r="E208" s="371"/>
      <c r="F208" s="930"/>
      <c r="G208" s="597">
        <f>G209</f>
        <v>1723299.99999408</v>
      </c>
      <c r="H208" s="708">
        <f>H209</f>
        <v>1723300</v>
      </c>
      <c r="I208" s="820">
        <f t="shared" ref="I208" si="50">G208-H208</f>
        <v>-5.9199519455432892E-6</v>
      </c>
      <c r="J208" s="409"/>
      <c r="K208" s="2775"/>
      <c r="L208" s="2766"/>
      <c r="M208" s="2766"/>
      <c r="N208" s="2766"/>
      <c r="O208" s="2766"/>
      <c r="P208" s="2766"/>
      <c r="Q208" s="2766"/>
      <c r="R208" s="2766"/>
      <c r="S208" s="2766"/>
      <c r="T208" s="2766"/>
      <c r="U208" s="2766"/>
      <c r="V208" s="2766"/>
      <c r="W208" s="2766"/>
      <c r="X208" s="2766"/>
      <c r="Y208" s="2776"/>
      <c r="Z208" s="2777"/>
      <c r="AA208" s="440"/>
      <c r="AB208" s="301"/>
      <c r="AC208" s="301"/>
    </row>
    <row r="209" spans="1:30" s="592" customFormat="1" ht="23.45" customHeight="1">
      <c r="A209" s="2553" t="s">
        <v>4502</v>
      </c>
      <c r="B209" s="411"/>
      <c r="C209" s="1494"/>
      <c r="D209" s="3347" t="s">
        <v>4501</v>
      </c>
      <c r="E209" s="3347"/>
      <c r="F209" s="3267"/>
      <c r="G209" s="599">
        <f>G210</f>
        <v>1723299.99999408</v>
      </c>
      <c r="H209" s="880">
        <f>H210</f>
        <v>1723300</v>
      </c>
      <c r="I209" s="1383">
        <f>G209-H209</f>
        <v>-5.9199519455432892E-6</v>
      </c>
      <c r="J209" s="409"/>
      <c r="K209" s="1627"/>
      <c r="L209" s="2619"/>
      <c r="M209" s="2619"/>
      <c r="N209" s="2619"/>
      <c r="O209" s="2619"/>
      <c r="P209" s="2619"/>
      <c r="Q209" s="2619"/>
      <c r="R209" s="371"/>
      <c r="S209" s="1325"/>
      <c r="T209" s="458"/>
      <c r="U209" s="459"/>
      <c r="V209" s="459"/>
      <c r="W209" s="459"/>
      <c r="X209" s="459"/>
      <c r="Y209" s="460"/>
      <c r="Z209" s="549"/>
      <c r="AA209" s="407"/>
      <c r="AB209" s="301"/>
      <c r="AC209" s="301"/>
      <c r="AD209" s="271"/>
    </row>
    <row r="210" spans="1:30" s="592" customFormat="1" ht="23.45" customHeight="1">
      <c r="A210" s="608"/>
      <c r="B210" s="411"/>
      <c r="C210" s="412"/>
      <c r="D210" s="413"/>
      <c r="E210" s="3266" t="s">
        <v>4501</v>
      </c>
      <c r="F210" s="3267"/>
      <c r="G210" s="1683">
        <f>SUM(G211:G258)</f>
        <v>1723299.99999408</v>
      </c>
      <c r="H210" s="1683">
        <f>SUM(H211:H258)</f>
        <v>1723300</v>
      </c>
      <c r="I210" s="461">
        <f>G210-H210</f>
        <v>-5.9199519455432892E-6</v>
      </c>
      <c r="J210" s="409"/>
      <c r="K210" s="1135"/>
      <c r="L210" s="2598"/>
      <c r="M210" s="2598"/>
      <c r="N210" s="2598"/>
      <c r="O210" s="2598"/>
      <c r="P210" s="2598"/>
      <c r="Q210" s="2598"/>
      <c r="R210" s="2598"/>
      <c r="S210" s="395"/>
      <c r="T210" s="1136"/>
      <c r="U210" s="1136"/>
      <c r="V210" s="1136"/>
      <c r="W210" s="1136"/>
      <c r="X210" s="1136"/>
      <c r="Y210" s="1138"/>
      <c r="Z210" s="431"/>
      <c r="AA210" s="463"/>
      <c r="AB210" s="301"/>
      <c r="AC210" s="301"/>
      <c r="AD210" s="271"/>
    </row>
    <row r="211" spans="1:30" s="592" customFormat="1" ht="23.45" customHeight="1">
      <c r="A211" s="608"/>
      <c r="B211" s="411"/>
      <c r="C211" s="412"/>
      <c r="D211" s="413"/>
      <c r="E211" s="1131"/>
      <c r="F211" s="389" t="s">
        <v>4503</v>
      </c>
      <c r="G211" s="403">
        <f>Z211</f>
        <v>1370654.5539940801</v>
      </c>
      <c r="H211" s="403">
        <v>1370655</v>
      </c>
      <c r="I211" s="404"/>
      <c r="J211" s="409"/>
      <c r="K211" s="2763" t="s">
        <v>3368</v>
      </c>
      <c r="L211" s="2762"/>
      <c r="M211" s="2762"/>
      <c r="N211" s="2762"/>
      <c r="O211" s="2762"/>
      <c r="P211" s="2762"/>
      <c r="Q211" s="2762"/>
      <c r="R211" s="2764"/>
      <c r="S211" s="2764"/>
      <c r="T211" s="1673"/>
      <c r="U211" s="2764"/>
      <c r="V211" s="2764"/>
      <c r="W211" s="2764"/>
      <c r="X211" s="2764"/>
      <c r="Y211" s="1140"/>
      <c r="Z211" s="406">
        <f t="shared" ref="Z211:Z216" si="51">AA211/1000</f>
        <v>1370654.5539940801</v>
      </c>
      <c r="AA211" s="407">
        <f>+AA213+AA215+AA216+AA214+AA212</f>
        <v>1370654553.9940801</v>
      </c>
      <c r="AB211" s="301"/>
      <c r="AC211" s="301"/>
      <c r="AD211" s="271"/>
    </row>
    <row r="212" spans="1:30" s="592" customFormat="1" ht="23.45" customHeight="1">
      <c r="A212" s="608"/>
      <c r="B212" s="411"/>
      <c r="C212" s="412"/>
      <c r="D212" s="413"/>
      <c r="E212" s="1131"/>
      <c r="F212" s="389"/>
      <c r="G212" s="403"/>
      <c r="H212" s="403"/>
      <c r="I212" s="404"/>
      <c r="J212" s="409"/>
      <c r="K212" s="2763" t="s">
        <v>4504</v>
      </c>
      <c r="L212" s="2762"/>
      <c r="M212" s="2762"/>
      <c r="N212" s="2762"/>
      <c r="O212" s="2762"/>
      <c r="P212" s="2762"/>
      <c r="Q212" s="2762"/>
      <c r="R212" s="2764">
        <v>1</v>
      </c>
      <c r="S212" s="2764" t="s">
        <v>4381</v>
      </c>
      <c r="T212" s="1673">
        <v>1000000</v>
      </c>
      <c r="U212" s="2764" t="s">
        <v>3370</v>
      </c>
      <c r="V212" s="2764"/>
      <c r="W212" s="2764">
        <v>12</v>
      </c>
      <c r="X212" s="2764" t="s">
        <v>4356</v>
      </c>
      <c r="Y212" s="1140" t="s">
        <v>3372</v>
      </c>
      <c r="Z212" s="406">
        <f t="shared" si="51"/>
        <v>12000</v>
      </c>
      <c r="AA212" s="1310">
        <f t="shared" ref="AA212:AA216" si="52">T212*R212*W212</f>
        <v>12000000</v>
      </c>
      <c r="AB212" s="301"/>
      <c r="AC212" s="301"/>
      <c r="AD212" s="271"/>
    </row>
    <row r="213" spans="1:30" s="592" customFormat="1" ht="23.45" customHeight="1">
      <c r="A213" s="608"/>
      <c r="B213" s="411"/>
      <c r="C213" s="412"/>
      <c r="D213" s="413"/>
      <c r="E213" s="1131"/>
      <c r="F213" s="389"/>
      <c r="G213" s="403"/>
      <c r="H213" s="403"/>
      <c r="I213" s="404"/>
      <c r="J213" s="409"/>
      <c r="K213" s="1670" t="s">
        <v>4860</v>
      </c>
      <c r="L213" s="2762"/>
      <c r="M213" s="2762"/>
      <c r="N213" s="2762"/>
      <c r="O213" s="2762"/>
      <c r="P213" s="2762"/>
      <c r="Q213" s="2762"/>
      <c r="R213" s="2764">
        <v>11</v>
      </c>
      <c r="S213" s="2764" t="s">
        <v>4381</v>
      </c>
      <c r="T213" s="1673">
        <v>1663812.30302</v>
      </c>
      <c r="U213" s="2764" t="s">
        <v>3370</v>
      </c>
      <c r="V213" s="2764"/>
      <c r="W213" s="2764">
        <v>12</v>
      </c>
      <c r="X213" s="2764" t="s">
        <v>4356</v>
      </c>
      <c r="Y213" s="1140" t="s">
        <v>3372</v>
      </c>
      <c r="Z213" s="406">
        <f t="shared" si="51"/>
        <v>219623.22399863999</v>
      </c>
      <c r="AA213" s="1310">
        <f t="shared" si="52"/>
        <v>219623223.99864</v>
      </c>
      <c r="AB213" s="301"/>
      <c r="AC213" s="301"/>
      <c r="AD213" s="271"/>
    </row>
    <row r="214" spans="1:30" s="592" customFormat="1" ht="23.45" customHeight="1">
      <c r="A214" s="608"/>
      <c r="B214" s="411"/>
      <c r="C214" s="412"/>
      <c r="D214" s="413"/>
      <c r="E214" s="1131"/>
      <c r="F214" s="389"/>
      <c r="G214" s="403"/>
      <c r="H214" s="403"/>
      <c r="I214" s="404"/>
      <c r="J214" s="409"/>
      <c r="K214" s="1670" t="s">
        <v>4861</v>
      </c>
      <c r="L214" s="2762"/>
      <c r="M214" s="2762"/>
      <c r="N214" s="2762"/>
      <c r="O214" s="2762"/>
      <c r="P214" s="2762"/>
      <c r="Q214" s="2762"/>
      <c r="R214" s="2764">
        <v>42</v>
      </c>
      <c r="S214" s="2764" t="s">
        <v>4381</v>
      </c>
      <c r="T214" s="1673">
        <v>1710717.1428499999</v>
      </c>
      <c r="U214" s="2764" t="s">
        <v>3370</v>
      </c>
      <c r="V214" s="2764"/>
      <c r="W214" s="2764">
        <v>12</v>
      </c>
      <c r="X214" s="2764" t="s">
        <v>4356</v>
      </c>
      <c r="Y214" s="1140" t="s">
        <v>3372</v>
      </c>
      <c r="Z214" s="406">
        <f t="shared" si="51"/>
        <v>862201.43999639992</v>
      </c>
      <c r="AA214" s="1310">
        <f t="shared" si="52"/>
        <v>862201439.99639988</v>
      </c>
      <c r="AB214" s="301"/>
      <c r="AC214" s="301"/>
      <c r="AD214" s="271"/>
    </row>
    <row r="215" spans="1:30" s="592" customFormat="1" ht="23.45" customHeight="1">
      <c r="A215" s="608"/>
      <c r="B215" s="411"/>
      <c r="C215" s="412"/>
      <c r="D215" s="413"/>
      <c r="E215" s="1131"/>
      <c r="F215" s="389"/>
      <c r="G215" s="403"/>
      <c r="H215" s="403"/>
      <c r="I215" s="404"/>
      <c r="J215" s="409"/>
      <c r="K215" s="1670" t="s">
        <v>4862</v>
      </c>
      <c r="L215" s="2762"/>
      <c r="M215" s="2762"/>
      <c r="N215" s="2762"/>
      <c r="O215" s="2762"/>
      <c r="P215" s="2762"/>
      <c r="Q215" s="2762"/>
      <c r="R215" s="2764">
        <v>53</v>
      </c>
      <c r="S215" s="2764" t="s">
        <v>4381</v>
      </c>
      <c r="T215" s="1673">
        <v>158553.45911900001</v>
      </c>
      <c r="U215" s="2764" t="s">
        <v>3370</v>
      </c>
      <c r="V215" s="2764"/>
      <c r="W215" s="2764">
        <v>12</v>
      </c>
      <c r="X215" s="2764" t="s">
        <v>4356</v>
      </c>
      <c r="Y215" s="1140" t="s">
        <v>3372</v>
      </c>
      <c r="Z215" s="406">
        <f t="shared" si="51"/>
        <v>100839.99999968401</v>
      </c>
      <c r="AA215" s="1310">
        <f t="shared" si="52"/>
        <v>100839999.99968401</v>
      </c>
      <c r="AB215" s="301"/>
      <c r="AC215" s="301"/>
      <c r="AD215" s="271"/>
    </row>
    <row r="216" spans="1:30" s="592" customFormat="1" ht="23.45" customHeight="1">
      <c r="A216" s="608"/>
      <c r="B216" s="411"/>
      <c r="C216" s="412"/>
      <c r="D216" s="413"/>
      <c r="E216" s="1131"/>
      <c r="F216" s="389"/>
      <c r="G216" s="403"/>
      <c r="H216" s="403"/>
      <c r="I216" s="404"/>
      <c r="J216" s="409"/>
      <c r="K216" s="1670" t="s">
        <v>4863</v>
      </c>
      <c r="L216" s="2762"/>
      <c r="M216" s="2762"/>
      <c r="N216" s="2762"/>
      <c r="O216" s="2762"/>
      <c r="P216" s="2762"/>
      <c r="Q216" s="2762"/>
      <c r="R216" s="2764">
        <v>53</v>
      </c>
      <c r="S216" s="2764" t="s">
        <v>4381</v>
      </c>
      <c r="T216" s="1673">
        <v>276713.66352100001</v>
      </c>
      <c r="U216" s="2764" t="s">
        <v>3370</v>
      </c>
      <c r="V216" s="2764"/>
      <c r="W216" s="2764">
        <v>12</v>
      </c>
      <c r="X216" s="2764" t="s">
        <v>4356</v>
      </c>
      <c r="Y216" s="1140" t="s">
        <v>3372</v>
      </c>
      <c r="Z216" s="406">
        <f t="shared" si="51"/>
        <v>175989.88999935603</v>
      </c>
      <c r="AA216" s="1310">
        <f t="shared" si="52"/>
        <v>175989889.99935603</v>
      </c>
      <c r="AB216" s="301"/>
      <c r="AC216" s="301"/>
      <c r="AD216" s="271"/>
    </row>
    <row r="217" spans="1:30" s="592" customFormat="1" ht="23.45" customHeight="1">
      <c r="A217" s="608"/>
      <c r="B217" s="411"/>
      <c r="C217" s="412"/>
      <c r="D217" s="413"/>
      <c r="E217" s="1131"/>
      <c r="F217" s="389" t="s">
        <v>4505</v>
      </c>
      <c r="G217" s="403">
        <f>Z217</f>
        <v>18550</v>
      </c>
      <c r="H217" s="403">
        <v>18550</v>
      </c>
      <c r="I217" s="404"/>
      <c r="J217" s="409"/>
      <c r="K217" s="2763" t="s">
        <v>3368</v>
      </c>
      <c r="L217" s="2762"/>
      <c r="M217" s="2762"/>
      <c r="N217" s="2762"/>
      <c r="O217" s="2762"/>
      <c r="P217" s="2762"/>
      <c r="Q217" s="2762"/>
      <c r="R217" s="2762"/>
      <c r="S217" s="405"/>
      <c r="T217" s="1672"/>
      <c r="U217" s="2764"/>
      <c r="V217" s="2764"/>
      <c r="W217" s="2764"/>
      <c r="X217" s="2764"/>
      <c r="Y217" s="1140" t="s">
        <v>3364</v>
      </c>
      <c r="Z217" s="406">
        <f>+AA217/1000</f>
        <v>18550</v>
      </c>
      <c r="AA217" s="407">
        <f>+AA218+AA219+AA220</f>
        <v>18550000</v>
      </c>
      <c r="AB217" s="301"/>
      <c r="AC217" s="301"/>
      <c r="AD217" s="271"/>
    </row>
    <row r="218" spans="1:30" s="592" customFormat="1" ht="23.45" customHeight="1">
      <c r="A218" s="608"/>
      <c r="B218" s="411"/>
      <c r="C218" s="412"/>
      <c r="D218" s="413"/>
      <c r="E218" s="1131"/>
      <c r="F218" s="389"/>
      <c r="G218" s="403"/>
      <c r="H218" s="403"/>
      <c r="I218" s="404"/>
      <c r="J218" s="409"/>
      <c r="K218" s="1670" t="s">
        <v>4506</v>
      </c>
      <c r="L218" s="2762"/>
      <c r="M218" s="2762"/>
      <c r="N218" s="2762"/>
      <c r="O218" s="2762"/>
      <c r="P218" s="2762"/>
      <c r="Q218" s="2762"/>
      <c r="R218" s="2764">
        <v>53</v>
      </c>
      <c r="S218" s="2764" t="s">
        <v>4381</v>
      </c>
      <c r="T218" s="1673">
        <v>20000</v>
      </c>
      <c r="U218" s="2764" t="s">
        <v>3370</v>
      </c>
      <c r="V218" s="2764"/>
      <c r="W218" s="2764">
        <v>10</v>
      </c>
      <c r="X218" s="2764" t="s">
        <v>4356</v>
      </c>
      <c r="Y218" s="1140" t="s">
        <v>3372</v>
      </c>
      <c r="Z218" s="406">
        <f t="shared" ref="Z218:Z256" si="53">AA218/1000</f>
        <v>10600</v>
      </c>
      <c r="AA218" s="1310">
        <f>R218*T218*W218</f>
        <v>10600000</v>
      </c>
      <c r="AB218" s="301"/>
      <c r="AC218" s="301"/>
      <c r="AD218" s="271"/>
    </row>
    <row r="219" spans="1:30" s="592" customFormat="1" ht="23.45" customHeight="1">
      <c r="A219" s="608"/>
      <c r="B219" s="411"/>
      <c r="C219" s="412"/>
      <c r="D219" s="413"/>
      <c r="E219" s="1131"/>
      <c r="F219" s="389"/>
      <c r="G219" s="403"/>
      <c r="H219" s="403"/>
      <c r="I219" s="404"/>
      <c r="J219" s="409"/>
      <c r="K219" s="1670" t="s">
        <v>4507</v>
      </c>
      <c r="L219" s="1670"/>
      <c r="M219" s="2762"/>
      <c r="N219" s="2762"/>
      <c r="O219" s="2762"/>
      <c r="P219" s="2762"/>
      <c r="Q219" s="2762"/>
      <c r="R219" s="2764">
        <v>53</v>
      </c>
      <c r="S219" s="2764" t="s">
        <v>4381</v>
      </c>
      <c r="T219" s="1673">
        <v>50000</v>
      </c>
      <c r="U219" s="2764" t="s">
        <v>3370</v>
      </c>
      <c r="V219" s="2764"/>
      <c r="W219" s="2764">
        <v>1</v>
      </c>
      <c r="X219" s="2764" t="s">
        <v>3371</v>
      </c>
      <c r="Y219" s="1140" t="s">
        <v>3372</v>
      </c>
      <c r="Z219" s="406">
        <f t="shared" si="53"/>
        <v>2650</v>
      </c>
      <c r="AA219" s="1310">
        <f>R219*T219*W219</f>
        <v>2650000</v>
      </c>
      <c r="AB219" s="301"/>
      <c r="AC219" s="301"/>
      <c r="AD219" s="991"/>
    </row>
    <row r="220" spans="1:30" s="592" customFormat="1" ht="23.45" customHeight="1">
      <c r="A220" s="608"/>
      <c r="B220" s="411"/>
      <c r="C220" s="412"/>
      <c r="D220" s="1671"/>
      <c r="E220" s="1131"/>
      <c r="F220" s="389"/>
      <c r="G220" s="403"/>
      <c r="H220" s="403"/>
      <c r="I220" s="404"/>
      <c r="J220" s="409"/>
      <c r="K220" s="1670" t="s">
        <v>4508</v>
      </c>
      <c r="L220" s="2762"/>
      <c r="M220" s="2762"/>
      <c r="N220" s="2762"/>
      <c r="O220" s="2762"/>
      <c r="P220" s="2762"/>
      <c r="Q220" s="2762"/>
      <c r="R220" s="2764">
        <v>53</v>
      </c>
      <c r="S220" s="2764" t="s">
        <v>4381</v>
      </c>
      <c r="T220" s="1673">
        <v>100000</v>
      </c>
      <c r="U220" s="2764" t="s">
        <v>3370</v>
      </c>
      <c r="V220" s="2764"/>
      <c r="W220" s="2764">
        <v>1</v>
      </c>
      <c r="X220" s="2764" t="s">
        <v>3371</v>
      </c>
      <c r="Y220" s="1140" t="s">
        <v>3372</v>
      </c>
      <c r="Z220" s="406">
        <f t="shared" si="53"/>
        <v>5300</v>
      </c>
      <c r="AA220" s="1310">
        <f>R220*T220*W220</f>
        <v>5300000</v>
      </c>
      <c r="AB220" s="301"/>
      <c r="AC220" s="301"/>
      <c r="AD220" s="991"/>
    </row>
    <row r="221" spans="1:30" s="592" customFormat="1" ht="23.45" customHeight="1">
      <c r="A221" s="608"/>
      <c r="B221" s="411"/>
      <c r="C221" s="412"/>
      <c r="D221" s="1671"/>
      <c r="E221" s="1131"/>
      <c r="F221" s="389" t="s">
        <v>4385</v>
      </c>
      <c r="G221" s="403">
        <f t="shared" ref="G221:G226" si="54">Z221</f>
        <v>1000</v>
      </c>
      <c r="H221" s="403">
        <v>1000</v>
      </c>
      <c r="I221" s="404"/>
      <c r="J221" s="409"/>
      <c r="K221" s="2763" t="s">
        <v>4509</v>
      </c>
      <c r="L221" s="2762"/>
      <c r="M221" s="2762"/>
      <c r="N221" s="2762"/>
      <c r="O221" s="2762"/>
      <c r="P221" s="2762"/>
      <c r="Q221" s="2762"/>
      <c r="R221" s="2762"/>
      <c r="S221" s="405"/>
      <c r="T221" s="1672">
        <v>500000</v>
      </c>
      <c r="U221" s="2764" t="s">
        <v>3370</v>
      </c>
      <c r="V221" s="2764"/>
      <c r="W221" s="2764">
        <v>2</v>
      </c>
      <c r="X221" s="2764" t="s">
        <v>3371</v>
      </c>
      <c r="Y221" s="1140" t="s">
        <v>3372</v>
      </c>
      <c r="Z221" s="406">
        <f t="shared" si="53"/>
        <v>1000</v>
      </c>
      <c r="AA221" s="1310">
        <f>T221*W221</f>
        <v>1000000</v>
      </c>
      <c r="AB221" s="301"/>
      <c r="AC221" s="301"/>
      <c r="AD221" s="991"/>
    </row>
    <row r="222" spans="1:30" s="592" customFormat="1" ht="23.45" customHeight="1">
      <c r="A222" s="608"/>
      <c r="B222" s="411"/>
      <c r="C222" s="412"/>
      <c r="D222" s="1671"/>
      <c r="E222" s="1131"/>
      <c r="F222" s="389" t="s">
        <v>4383</v>
      </c>
      <c r="G222" s="403">
        <f t="shared" si="54"/>
        <v>1200</v>
      </c>
      <c r="H222" s="403">
        <v>1200</v>
      </c>
      <c r="I222" s="404"/>
      <c r="J222" s="409"/>
      <c r="K222" s="2763" t="s">
        <v>4510</v>
      </c>
      <c r="L222" s="2762"/>
      <c r="M222" s="2762"/>
      <c r="N222" s="2762"/>
      <c r="O222" s="2762"/>
      <c r="P222" s="2762"/>
      <c r="Q222" s="2762"/>
      <c r="R222" s="2762"/>
      <c r="S222" s="405"/>
      <c r="T222" s="1672">
        <v>100000</v>
      </c>
      <c r="U222" s="2764" t="s">
        <v>3370</v>
      </c>
      <c r="V222" s="2764"/>
      <c r="W222" s="2764">
        <v>12</v>
      </c>
      <c r="X222" s="2764" t="s">
        <v>4356</v>
      </c>
      <c r="Y222" s="1140" t="s">
        <v>3372</v>
      </c>
      <c r="Z222" s="406">
        <f t="shared" si="53"/>
        <v>1200</v>
      </c>
      <c r="AA222" s="1310">
        <f>T222*W222</f>
        <v>1200000</v>
      </c>
      <c r="AB222" s="301"/>
      <c r="AC222" s="301"/>
      <c r="AD222" s="271"/>
    </row>
    <row r="223" spans="1:30" s="592" customFormat="1" ht="23.45" customHeight="1">
      <c r="A223" s="608"/>
      <c r="B223" s="411"/>
      <c r="C223" s="412"/>
      <c r="D223" s="1671"/>
      <c r="E223" s="1131"/>
      <c r="F223" s="389" t="s">
        <v>4511</v>
      </c>
      <c r="G223" s="403">
        <f t="shared" si="54"/>
        <v>2000</v>
      </c>
      <c r="H223" s="403">
        <v>2000</v>
      </c>
      <c r="I223" s="404"/>
      <c r="J223" s="409"/>
      <c r="K223" s="1670" t="s">
        <v>4512</v>
      </c>
      <c r="L223" s="2762"/>
      <c r="M223" s="2762"/>
      <c r="N223" s="2762"/>
      <c r="O223" s="2762"/>
      <c r="P223" s="2762"/>
      <c r="Q223" s="2762"/>
      <c r="R223" s="2764"/>
      <c r="S223" s="2764"/>
      <c r="T223" s="1673">
        <v>2000000</v>
      </c>
      <c r="U223" s="2764" t="s">
        <v>3370</v>
      </c>
      <c r="V223" s="2764"/>
      <c r="W223" s="2764">
        <v>1</v>
      </c>
      <c r="X223" s="2764" t="s">
        <v>4513</v>
      </c>
      <c r="Y223" s="1140" t="s">
        <v>3372</v>
      </c>
      <c r="Z223" s="406">
        <f t="shared" si="53"/>
        <v>2000</v>
      </c>
      <c r="AA223" s="1310">
        <f t="shared" ref="AA223:AA225" si="55">T223*W223</f>
        <v>2000000</v>
      </c>
      <c r="AB223" s="301"/>
      <c r="AC223" s="301"/>
      <c r="AD223" s="271"/>
    </row>
    <row r="224" spans="1:30" s="2558" customFormat="1" ht="23.45" customHeight="1">
      <c r="A224" s="2553"/>
      <c r="B224" s="411"/>
      <c r="C224" s="412"/>
      <c r="D224" s="1671"/>
      <c r="E224" s="1131"/>
      <c r="F224" s="1126" t="s">
        <v>4372</v>
      </c>
      <c r="G224" s="403">
        <f t="shared" si="54"/>
        <v>10000</v>
      </c>
      <c r="H224" s="403">
        <v>10000</v>
      </c>
      <c r="I224" s="404"/>
      <c r="J224" s="409"/>
      <c r="K224" s="2763" t="s">
        <v>4514</v>
      </c>
      <c r="L224" s="2762"/>
      <c r="M224" s="2762"/>
      <c r="N224" s="2762"/>
      <c r="O224" s="2762"/>
      <c r="P224" s="2762"/>
      <c r="Q224" s="2762"/>
      <c r="R224" s="2764"/>
      <c r="S224" s="2764"/>
      <c r="T224" s="2764">
        <v>10000000</v>
      </c>
      <c r="U224" s="2764" t="s">
        <v>3370</v>
      </c>
      <c r="V224" s="2764"/>
      <c r="W224" s="2764">
        <v>1</v>
      </c>
      <c r="X224" s="2764" t="s">
        <v>4376</v>
      </c>
      <c r="Y224" s="1140" t="s">
        <v>3372</v>
      </c>
      <c r="Z224" s="406">
        <f t="shared" si="53"/>
        <v>10000</v>
      </c>
      <c r="AA224" s="1310">
        <f t="shared" si="55"/>
        <v>10000000</v>
      </c>
      <c r="AB224" s="301"/>
      <c r="AC224" s="301"/>
    </row>
    <row r="225" spans="1:30" s="2558" customFormat="1" ht="23.45" customHeight="1">
      <c r="A225" s="2553"/>
      <c r="B225" s="411"/>
      <c r="C225" s="412"/>
      <c r="D225" s="1671"/>
      <c r="E225" s="1131"/>
      <c r="F225" s="1126" t="s">
        <v>3367</v>
      </c>
      <c r="G225" s="403">
        <f t="shared" si="54"/>
        <v>7200</v>
      </c>
      <c r="H225" s="403">
        <v>7200</v>
      </c>
      <c r="I225" s="404"/>
      <c r="J225" s="409"/>
      <c r="K225" s="2763" t="s">
        <v>4515</v>
      </c>
      <c r="L225" s="2762"/>
      <c r="M225" s="2762"/>
      <c r="N225" s="2762"/>
      <c r="O225" s="2762"/>
      <c r="P225" s="2762"/>
      <c r="Q225" s="2762"/>
      <c r="R225" s="2764"/>
      <c r="S225" s="2764"/>
      <c r="T225" s="2764">
        <v>600000</v>
      </c>
      <c r="U225" s="2764" t="s">
        <v>3370</v>
      </c>
      <c r="V225" s="2764"/>
      <c r="W225" s="2764">
        <v>12</v>
      </c>
      <c r="X225" s="2764" t="s">
        <v>4356</v>
      </c>
      <c r="Y225" s="1140" t="s">
        <v>3372</v>
      </c>
      <c r="Z225" s="406">
        <f t="shared" si="53"/>
        <v>7200</v>
      </c>
      <c r="AA225" s="1310">
        <f t="shared" si="55"/>
        <v>7200000</v>
      </c>
      <c r="AB225" s="301"/>
      <c r="AC225" s="301"/>
    </row>
    <row r="226" spans="1:30" s="592" customFormat="1" ht="23.45" customHeight="1">
      <c r="A226" s="608"/>
      <c r="B226" s="411"/>
      <c r="C226" s="412"/>
      <c r="D226" s="1671"/>
      <c r="E226" s="1131"/>
      <c r="F226" s="389" t="s">
        <v>4368</v>
      </c>
      <c r="G226" s="403">
        <f t="shared" si="54"/>
        <v>23000</v>
      </c>
      <c r="H226" s="403">
        <v>23000</v>
      </c>
      <c r="I226" s="404"/>
      <c r="J226" s="409"/>
      <c r="K226" s="2763" t="s">
        <v>3368</v>
      </c>
      <c r="L226" s="2762"/>
      <c r="M226" s="2762"/>
      <c r="N226" s="2762"/>
      <c r="O226" s="2762"/>
      <c r="P226" s="2762"/>
      <c r="Q226" s="2762"/>
      <c r="R226" s="2764"/>
      <c r="S226" s="2764"/>
      <c r="T226" s="1673"/>
      <c r="U226" s="2764"/>
      <c r="V226" s="2764"/>
      <c r="W226" s="2764"/>
      <c r="X226" s="2764"/>
      <c r="Y226" s="1140"/>
      <c r="Z226" s="406">
        <f t="shared" si="53"/>
        <v>23000</v>
      </c>
      <c r="AA226" s="407">
        <f>+AA227+AA229+AA230+AA231+AA232+AA228</f>
        <v>23000000</v>
      </c>
      <c r="AB226" s="301"/>
      <c r="AC226" s="301"/>
      <c r="AD226" s="271"/>
    </row>
    <row r="227" spans="1:30" s="592" customFormat="1" ht="23.45" customHeight="1">
      <c r="A227" s="608"/>
      <c r="B227" s="411"/>
      <c r="C227" s="412"/>
      <c r="D227" s="1671"/>
      <c r="E227" s="1144"/>
      <c r="F227" s="1134"/>
      <c r="G227" s="403"/>
      <c r="H227" s="403"/>
      <c r="I227" s="404"/>
      <c r="J227" s="409"/>
      <c r="K227" s="1670" t="s">
        <v>4516</v>
      </c>
      <c r="L227" s="2762"/>
      <c r="M227" s="2762"/>
      <c r="N227" s="2762"/>
      <c r="O227" s="2762"/>
      <c r="P227" s="2762"/>
      <c r="Q227" s="2762"/>
      <c r="R227" s="2764"/>
      <c r="S227" s="2764"/>
      <c r="T227" s="1673">
        <v>500000</v>
      </c>
      <c r="U227" s="2764" t="s">
        <v>3370</v>
      </c>
      <c r="V227" s="2764"/>
      <c r="W227" s="2764">
        <v>2</v>
      </c>
      <c r="X227" s="2764" t="s">
        <v>3371</v>
      </c>
      <c r="Y227" s="1140" t="s">
        <v>3372</v>
      </c>
      <c r="Z227" s="406">
        <f t="shared" si="53"/>
        <v>1000</v>
      </c>
      <c r="AA227" s="1310">
        <f>T227*W227</f>
        <v>1000000</v>
      </c>
      <c r="AB227" s="301"/>
      <c r="AC227" s="301"/>
      <c r="AD227" s="271"/>
    </row>
    <row r="228" spans="1:30" s="2558" customFormat="1" ht="23.45" customHeight="1">
      <c r="A228" s="2553"/>
      <c r="B228" s="411"/>
      <c r="C228" s="412"/>
      <c r="D228" s="1671"/>
      <c r="E228" s="1144"/>
      <c r="F228" s="1134"/>
      <c r="G228" s="403"/>
      <c r="H228" s="403"/>
      <c r="I228" s="404"/>
      <c r="J228" s="409"/>
      <c r="K228" s="1670" t="s">
        <v>4517</v>
      </c>
      <c r="L228" s="2762"/>
      <c r="M228" s="2762"/>
      <c r="N228" s="2762"/>
      <c r="O228" s="2762"/>
      <c r="P228" s="2762"/>
      <c r="Q228" s="2762"/>
      <c r="R228" s="2764"/>
      <c r="S228" s="2764"/>
      <c r="T228" s="1673">
        <v>500000</v>
      </c>
      <c r="U228" s="2764" t="s">
        <v>3370</v>
      </c>
      <c r="V228" s="2764"/>
      <c r="W228" s="2764">
        <v>2</v>
      </c>
      <c r="X228" s="2764" t="s">
        <v>3371</v>
      </c>
      <c r="Y228" s="1140" t="s">
        <v>3372</v>
      </c>
      <c r="Z228" s="406">
        <f t="shared" si="53"/>
        <v>1000</v>
      </c>
      <c r="AA228" s="1310">
        <f>T228*W228</f>
        <v>1000000</v>
      </c>
      <c r="AB228" s="301"/>
      <c r="AC228" s="301"/>
    </row>
    <row r="229" spans="1:30" s="592" customFormat="1" ht="23.45" customHeight="1">
      <c r="A229" s="608"/>
      <c r="B229" s="411"/>
      <c r="C229" s="412"/>
      <c r="D229" s="1671"/>
      <c r="E229" s="1144"/>
      <c r="F229" s="1134"/>
      <c r="G229" s="403"/>
      <c r="H229" s="403"/>
      <c r="I229" s="404"/>
      <c r="J229" s="409"/>
      <c r="K229" s="1670" t="s">
        <v>4518</v>
      </c>
      <c r="L229" s="2762"/>
      <c r="M229" s="2762"/>
      <c r="N229" s="2762"/>
      <c r="O229" s="2762"/>
      <c r="P229" s="2762"/>
      <c r="Q229" s="2762"/>
      <c r="R229" s="2764"/>
      <c r="S229" s="2764"/>
      <c r="T229" s="1673">
        <v>1200000</v>
      </c>
      <c r="U229" s="2764" t="s">
        <v>3370</v>
      </c>
      <c r="V229" s="2764"/>
      <c r="W229" s="2764">
        <v>12</v>
      </c>
      <c r="X229" s="2764" t="s">
        <v>4356</v>
      </c>
      <c r="Y229" s="1140" t="s">
        <v>3372</v>
      </c>
      <c r="Z229" s="406">
        <f t="shared" si="53"/>
        <v>14400</v>
      </c>
      <c r="AA229" s="1310">
        <f t="shared" ref="AA229:AA231" si="56">T229*W229</f>
        <v>14400000</v>
      </c>
      <c r="AB229" s="301"/>
      <c r="AC229" s="301"/>
      <c r="AD229" s="271"/>
    </row>
    <row r="230" spans="1:30" s="2558" customFormat="1" ht="23.45" customHeight="1">
      <c r="A230" s="2553"/>
      <c r="B230" s="396"/>
      <c r="C230" s="2652"/>
      <c r="D230" s="1110"/>
      <c r="E230" s="433"/>
      <c r="F230" s="1134"/>
      <c r="G230" s="337"/>
      <c r="H230" s="337"/>
      <c r="I230" s="404"/>
      <c r="J230" s="1308"/>
      <c r="K230" s="1670" t="s">
        <v>4519</v>
      </c>
      <c r="L230" s="2762"/>
      <c r="M230" s="2762"/>
      <c r="N230" s="2762"/>
      <c r="O230" s="2762"/>
      <c r="P230" s="2762"/>
      <c r="Q230" s="2762"/>
      <c r="R230" s="2764"/>
      <c r="S230" s="2764"/>
      <c r="T230" s="1673">
        <v>750000</v>
      </c>
      <c r="U230" s="2764" t="s">
        <v>3370</v>
      </c>
      <c r="V230" s="2764"/>
      <c r="W230" s="2764">
        <v>2</v>
      </c>
      <c r="X230" s="2764" t="s">
        <v>3371</v>
      </c>
      <c r="Y230" s="1140" t="s">
        <v>3372</v>
      </c>
      <c r="Z230" s="406">
        <f t="shared" si="53"/>
        <v>1500</v>
      </c>
      <c r="AA230" s="1310">
        <f t="shared" si="56"/>
        <v>1500000</v>
      </c>
      <c r="AB230" s="301"/>
      <c r="AC230" s="301"/>
    </row>
    <row r="231" spans="1:30" s="2558" customFormat="1" ht="23.45" customHeight="1">
      <c r="A231" s="2553"/>
      <c r="B231" s="396"/>
      <c r="C231" s="2652"/>
      <c r="D231" s="1110"/>
      <c r="E231" s="433"/>
      <c r="F231" s="1134"/>
      <c r="G231" s="337"/>
      <c r="H231" s="337"/>
      <c r="I231" s="404"/>
      <c r="J231" s="1308"/>
      <c r="K231" s="1670" t="s">
        <v>4520</v>
      </c>
      <c r="L231" s="2762"/>
      <c r="M231" s="2762"/>
      <c r="N231" s="2762"/>
      <c r="O231" s="2762"/>
      <c r="P231" s="2762"/>
      <c r="Q231" s="2762"/>
      <c r="R231" s="2764"/>
      <c r="S231" s="2764"/>
      <c r="T231" s="1673">
        <v>300000</v>
      </c>
      <c r="U231" s="2764" t="s">
        <v>3370</v>
      </c>
      <c r="V231" s="2764"/>
      <c r="W231" s="2764">
        <v>12</v>
      </c>
      <c r="X231" s="2764" t="s">
        <v>4356</v>
      </c>
      <c r="Y231" s="1140" t="s">
        <v>3372</v>
      </c>
      <c r="Z231" s="406">
        <f t="shared" si="53"/>
        <v>3600</v>
      </c>
      <c r="AA231" s="1310">
        <f t="shared" si="56"/>
        <v>3600000</v>
      </c>
      <c r="AB231" s="301"/>
      <c r="AC231" s="301"/>
    </row>
    <row r="232" spans="1:30" s="2558" customFormat="1" ht="23.45" customHeight="1">
      <c r="A232" s="2553"/>
      <c r="B232" s="411"/>
      <c r="C232" s="412"/>
      <c r="D232" s="1671"/>
      <c r="E232" s="1144"/>
      <c r="F232" s="1134"/>
      <c r="G232" s="403"/>
      <c r="H232" s="403"/>
      <c r="I232" s="404"/>
      <c r="J232" s="409"/>
      <c r="K232" s="1670" t="s">
        <v>4521</v>
      </c>
      <c r="L232" s="2762"/>
      <c r="M232" s="2762"/>
      <c r="N232" s="2762"/>
      <c r="O232" s="2762"/>
      <c r="P232" s="2762"/>
      <c r="Q232" s="2762"/>
      <c r="R232" s="2764">
        <v>1</v>
      </c>
      <c r="S232" s="2764" t="s">
        <v>3366</v>
      </c>
      <c r="T232" s="2764">
        <v>250000</v>
      </c>
      <c r="U232" s="2764" t="s">
        <v>3370</v>
      </c>
      <c r="V232" s="2764"/>
      <c r="W232" s="2764">
        <v>6</v>
      </c>
      <c r="X232" s="2764" t="s">
        <v>3371</v>
      </c>
      <c r="Y232" s="1140" t="s">
        <v>3372</v>
      </c>
      <c r="Z232" s="406">
        <f t="shared" si="53"/>
        <v>1500</v>
      </c>
      <c r="AA232" s="1310">
        <f>T232*R232*W232</f>
        <v>1500000</v>
      </c>
      <c r="AB232" s="301"/>
      <c r="AC232" s="301"/>
    </row>
    <row r="233" spans="1:30" s="2558" customFormat="1" ht="23.45" customHeight="1">
      <c r="A233" s="2553"/>
      <c r="B233" s="411"/>
      <c r="C233" s="412"/>
      <c r="D233" s="1671"/>
      <c r="E233" s="1144"/>
      <c r="F233" s="1134" t="s">
        <v>4522</v>
      </c>
      <c r="G233" s="403">
        <f t="shared" ref="G233:G235" si="57">Z233</f>
        <v>7200</v>
      </c>
      <c r="H233" s="403">
        <v>7200</v>
      </c>
      <c r="I233" s="404"/>
      <c r="J233" s="409"/>
      <c r="K233" s="2763" t="s">
        <v>4523</v>
      </c>
      <c r="L233" s="2762"/>
      <c r="M233" s="2762"/>
      <c r="N233" s="2762"/>
      <c r="O233" s="2762"/>
      <c r="P233" s="2762"/>
      <c r="Q233" s="2762"/>
      <c r="R233" s="2764"/>
      <c r="S233" s="2764"/>
      <c r="T233" s="2764">
        <v>7200000</v>
      </c>
      <c r="U233" s="2764" t="s">
        <v>3370</v>
      </c>
      <c r="V233" s="2764"/>
      <c r="W233" s="2764">
        <v>1</v>
      </c>
      <c r="X233" s="2764" t="s">
        <v>4376</v>
      </c>
      <c r="Y233" s="1140" t="s">
        <v>3372</v>
      </c>
      <c r="Z233" s="406">
        <f t="shared" si="53"/>
        <v>7200</v>
      </c>
      <c r="AA233" s="1310">
        <f>T233*W233</f>
        <v>7200000</v>
      </c>
      <c r="AB233" s="301"/>
      <c r="AC233" s="301"/>
    </row>
    <row r="234" spans="1:30" s="2558" customFormat="1" ht="23.45" customHeight="1">
      <c r="A234" s="2553"/>
      <c r="B234" s="411"/>
      <c r="C234" s="412"/>
      <c r="D234" s="1671"/>
      <c r="E234" s="1144"/>
      <c r="F234" s="1134" t="s">
        <v>4524</v>
      </c>
      <c r="G234" s="403">
        <f t="shared" si="57"/>
        <v>9900</v>
      </c>
      <c r="H234" s="403">
        <v>9900</v>
      </c>
      <c r="I234" s="404"/>
      <c r="J234" s="409"/>
      <c r="K234" s="2763" t="s">
        <v>4525</v>
      </c>
      <c r="L234" s="2762"/>
      <c r="M234" s="2762"/>
      <c r="N234" s="2762"/>
      <c r="O234" s="2762"/>
      <c r="P234" s="2762"/>
      <c r="Q234" s="2762"/>
      <c r="R234" s="2764">
        <v>11</v>
      </c>
      <c r="S234" s="2764" t="s">
        <v>4381</v>
      </c>
      <c r="T234" s="1672">
        <v>22500</v>
      </c>
      <c r="U234" s="2764" t="s">
        <v>3370</v>
      </c>
      <c r="V234" s="2764"/>
      <c r="W234" s="2764">
        <v>40</v>
      </c>
      <c r="X234" s="2764" t="s">
        <v>4483</v>
      </c>
      <c r="Y234" s="1140" t="s">
        <v>3372</v>
      </c>
      <c r="Z234" s="406">
        <f t="shared" si="53"/>
        <v>9900</v>
      </c>
      <c r="AA234" s="1310">
        <f>T234*W234*R234</f>
        <v>9900000</v>
      </c>
      <c r="AB234" s="301"/>
      <c r="AC234" s="301"/>
    </row>
    <row r="235" spans="1:30" s="2558" customFormat="1" ht="23.45" customHeight="1">
      <c r="A235" s="2553"/>
      <c r="B235" s="411"/>
      <c r="C235" s="412"/>
      <c r="D235" s="1671"/>
      <c r="E235" s="1144"/>
      <c r="F235" s="1134" t="s">
        <v>4357</v>
      </c>
      <c r="G235" s="403">
        <f t="shared" si="57"/>
        <v>54473.446000000004</v>
      </c>
      <c r="H235" s="403">
        <v>54473</v>
      </c>
      <c r="I235" s="404"/>
      <c r="J235" s="409"/>
      <c r="K235" s="2763" t="s">
        <v>3368</v>
      </c>
      <c r="L235" s="2762"/>
      <c r="M235" s="2762"/>
      <c r="N235" s="2762"/>
      <c r="O235" s="2762"/>
      <c r="P235" s="2762"/>
      <c r="Q235" s="2762"/>
      <c r="R235" s="2762"/>
      <c r="S235" s="405"/>
      <c r="T235" s="1672"/>
      <c r="U235" s="2764"/>
      <c r="V235" s="2764"/>
      <c r="W235" s="2764"/>
      <c r="X235" s="2764"/>
      <c r="Y235" s="1140" t="s">
        <v>3364</v>
      </c>
      <c r="Z235" s="406">
        <f t="shared" si="53"/>
        <v>54473.446000000004</v>
      </c>
      <c r="AA235" s="407">
        <f>+AA237+AA238+AA239+AA236</f>
        <v>54473446</v>
      </c>
      <c r="AB235" s="301"/>
      <c r="AC235" s="301"/>
    </row>
    <row r="236" spans="1:30" s="2558" customFormat="1" ht="23.45" customHeight="1">
      <c r="A236" s="2553"/>
      <c r="B236" s="411"/>
      <c r="C236" s="412"/>
      <c r="D236" s="1671"/>
      <c r="E236" s="1144"/>
      <c r="F236" s="1134"/>
      <c r="G236" s="403"/>
      <c r="H236" s="403"/>
      <c r="I236" s="404"/>
      <c r="J236" s="409"/>
      <c r="K236" s="2763" t="s">
        <v>4526</v>
      </c>
      <c r="L236" s="2762"/>
      <c r="M236" s="2762"/>
      <c r="N236" s="2762"/>
      <c r="O236" s="2762"/>
      <c r="P236" s="2762"/>
      <c r="Q236" s="2762"/>
      <c r="R236" s="2764">
        <v>14</v>
      </c>
      <c r="S236" s="2764" t="s">
        <v>4482</v>
      </c>
      <c r="T236" s="1672">
        <v>50000</v>
      </c>
      <c r="U236" s="2764" t="s">
        <v>3370</v>
      </c>
      <c r="V236" s="2764"/>
      <c r="W236" s="2764">
        <v>12</v>
      </c>
      <c r="X236" s="2764" t="s">
        <v>4356</v>
      </c>
      <c r="Y236" s="1140" t="s">
        <v>3372</v>
      </c>
      <c r="Z236" s="406">
        <f t="shared" si="53"/>
        <v>8400</v>
      </c>
      <c r="AA236" s="1310">
        <f>T236*R236*W236</f>
        <v>8400000</v>
      </c>
      <c r="AB236" s="301"/>
      <c r="AC236" s="301"/>
    </row>
    <row r="237" spans="1:30" s="2558" customFormat="1" ht="23.45" customHeight="1">
      <c r="A237" s="2553"/>
      <c r="B237" s="411"/>
      <c r="C237" s="412"/>
      <c r="D237" s="1671"/>
      <c r="E237" s="1144"/>
      <c r="F237" s="1134"/>
      <c r="G237" s="403"/>
      <c r="H237" s="403"/>
      <c r="I237" s="404"/>
      <c r="J237" s="409"/>
      <c r="K237" s="1670" t="s">
        <v>4527</v>
      </c>
      <c r="L237" s="2762"/>
      <c r="M237" s="2762"/>
      <c r="N237" s="2762"/>
      <c r="O237" s="2762"/>
      <c r="P237" s="2762"/>
      <c r="Q237" s="2762"/>
      <c r="R237" s="2764">
        <v>14</v>
      </c>
      <c r="S237" s="2764" t="s">
        <v>4482</v>
      </c>
      <c r="T237" s="1673">
        <v>230000</v>
      </c>
      <c r="U237" s="2764" t="s">
        <v>3370</v>
      </c>
      <c r="V237" s="2764"/>
      <c r="W237" s="2764">
        <v>12</v>
      </c>
      <c r="X237" s="2764" t="s">
        <v>4528</v>
      </c>
      <c r="Y237" s="1140" t="s">
        <v>3372</v>
      </c>
      <c r="Z237" s="406">
        <f t="shared" si="53"/>
        <v>38640</v>
      </c>
      <c r="AA237" s="1310">
        <f>T237*R237*W237</f>
        <v>38640000</v>
      </c>
      <c r="AB237" s="301"/>
      <c r="AC237" s="301"/>
    </row>
    <row r="238" spans="1:30" s="2558" customFormat="1" ht="23.45" customHeight="1">
      <c r="A238" s="2553"/>
      <c r="B238" s="411"/>
      <c r="C238" s="412"/>
      <c r="D238" s="1671"/>
      <c r="E238" s="1144"/>
      <c r="F238" s="1134"/>
      <c r="G238" s="403"/>
      <c r="H238" s="403"/>
      <c r="I238" s="404"/>
      <c r="J238" s="409"/>
      <c r="K238" s="1670" t="s">
        <v>4529</v>
      </c>
      <c r="L238" s="2762"/>
      <c r="M238" s="2762"/>
      <c r="N238" s="2762"/>
      <c r="O238" s="2762"/>
      <c r="P238" s="2762"/>
      <c r="Q238" s="2762"/>
      <c r="R238" s="2764">
        <v>14</v>
      </c>
      <c r="S238" s="2764" t="s">
        <v>4482</v>
      </c>
      <c r="T238" s="1673">
        <v>40000</v>
      </c>
      <c r="U238" s="2764" t="s">
        <v>3370</v>
      </c>
      <c r="V238" s="2764"/>
      <c r="W238" s="2764">
        <v>12</v>
      </c>
      <c r="X238" s="2764" t="s">
        <v>4528</v>
      </c>
      <c r="Y238" s="1140" t="s">
        <v>3372</v>
      </c>
      <c r="Z238" s="406">
        <f t="shared" si="53"/>
        <v>6720</v>
      </c>
      <c r="AA238" s="1310">
        <f>T238*R238*W238</f>
        <v>6720000</v>
      </c>
      <c r="AB238" s="301"/>
      <c r="AC238" s="301"/>
    </row>
    <row r="239" spans="1:30" s="2558" customFormat="1" ht="23.45" customHeight="1">
      <c r="A239" s="2553"/>
      <c r="B239" s="411"/>
      <c r="C239" s="412"/>
      <c r="D239" s="1671"/>
      <c r="E239" s="1144"/>
      <c r="F239" s="1134"/>
      <c r="G239" s="403"/>
      <c r="H239" s="403"/>
      <c r="I239" s="404"/>
      <c r="J239" s="409"/>
      <c r="K239" s="1670" t="s">
        <v>4530</v>
      </c>
      <c r="L239" s="2762"/>
      <c r="M239" s="2762"/>
      <c r="N239" s="2762"/>
      <c r="O239" s="2762"/>
      <c r="P239" s="2762"/>
      <c r="Q239" s="2762"/>
      <c r="R239" s="2764"/>
      <c r="S239" s="2764"/>
      <c r="T239" s="1673">
        <v>713446</v>
      </c>
      <c r="U239" s="2764" t="s">
        <v>3370</v>
      </c>
      <c r="V239" s="2764"/>
      <c r="W239" s="2764">
        <v>1</v>
      </c>
      <c r="X239" s="2764" t="s">
        <v>4376</v>
      </c>
      <c r="Y239" s="1140" t="s">
        <v>3372</v>
      </c>
      <c r="Z239" s="406">
        <f t="shared" si="53"/>
        <v>713.44600000000003</v>
      </c>
      <c r="AA239" s="1310">
        <f>T239*W239</f>
        <v>713446</v>
      </c>
      <c r="AB239" s="301"/>
      <c r="AC239" s="301"/>
    </row>
    <row r="240" spans="1:30" s="2558" customFormat="1" ht="23.45" customHeight="1">
      <c r="A240" s="2553"/>
      <c r="B240" s="411"/>
      <c r="C240" s="412"/>
      <c r="D240" s="1671"/>
      <c r="E240" s="1144"/>
      <c r="F240" s="1134" t="s">
        <v>4531</v>
      </c>
      <c r="G240" s="403">
        <f t="shared" ref="G240:G242" si="58">Z240</f>
        <v>500</v>
      </c>
      <c r="H240" s="403">
        <v>500</v>
      </c>
      <c r="I240" s="404"/>
      <c r="J240" s="409"/>
      <c r="K240" s="2763" t="s">
        <v>4532</v>
      </c>
      <c r="L240" s="2762"/>
      <c r="M240" s="2762"/>
      <c r="N240" s="2762"/>
      <c r="O240" s="2762"/>
      <c r="P240" s="2762"/>
      <c r="Q240" s="2762"/>
      <c r="R240" s="2764"/>
      <c r="S240" s="2764"/>
      <c r="T240" s="2764">
        <v>250000</v>
      </c>
      <c r="U240" s="2764" t="s">
        <v>3370</v>
      </c>
      <c r="V240" s="2764"/>
      <c r="W240" s="2764">
        <v>2</v>
      </c>
      <c r="X240" s="2764" t="s">
        <v>4376</v>
      </c>
      <c r="Y240" s="1140" t="s">
        <v>3372</v>
      </c>
      <c r="Z240" s="406">
        <f t="shared" si="53"/>
        <v>500</v>
      </c>
      <c r="AA240" s="1310">
        <f>T240*W240</f>
        <v>500000</v>
      </c>
      <c r="AB240" s="301"/>
      <c r="AC240" s="301"/>
    </row>
    <row r="241" spans="1:29" s="2558" customFormat="1" ht="23.45" customHeight="1">
      <c r="A241" s="2553"/>
      <c r="B241" s="411"/>
      <c r="C241" s="412"/>
      <c r="D241" s="1671"/>
      <c r="E241" s="1144"/>
      <c r="F241" s="1134" t="s">
        <v>4533</v>
      </c>
      <c r="G241" s="403">
        <f t="shared" si="58"/>
        <v>2100</v>
      </c>
      <c r="H241" s="403">
        <v>2100</v>
      </c>
      <c r="I241" s="404"/>
      <c r="J241" s="409"/>
      <c r="K241" s="2763" t="s">
        <v>4534</v>
      </c>
      <c r="L241" s="2762"/>
      <c r="M241" s="2762"/>
      <c r="N241" s="2762"/>
      <c r="O241" s="2762"/>
      <c r="P241" s="2762"/>
      <c r="Q241" s="2762"/>
      <c r="R241" s="2764"/>
      <c r="S241" s="2764"/>
      <c r="T241" s="2764">
        <v>2100000</v>
      </c>
      <c r="U241" s="2764" t="s">
        <v>3370</v>
      </c>
      <c r="V241" s="2764"/>
      <c r="W241" s="2764">
        <v>1</v>
      </c>
      <c r="X241" s="2764" t="s">
        <v>4376</v>
      </c>
      <c r="Y241" s="1140" t="s">
        <v>3372</v>
      </c>
      <c r="Z241" s="406">
        <f t="shared" si="53"/>
        <v>2100</v>
      </c>
      <c r="AA241" s="1310">
        <f>T241*W241</f>
        <v>2100000</v>
      </c>
      <c r="AB241" s="301"/>
      <c r="AC241" s="301"/>
    </row>
    <row r="242" spans="1:29" ht="23.45" customHeight="1">
      <c r="B242" s="411"/>
      <c r="C242" s="412"/>
      <c r="D242" s="1671"/>
      <c r="E242" s="1131"/>
      <c r="F242" s="389" t="s">
        <v>3433</v>
      </c>
      <c r="G242" s="403">
        <f t="shared" si="58"/>
        <v>44454</v>
      </c>
      <c r="H242" s="403">
        <v>44454</v>
      </c>
      <c r="I242" s="404"/>
      <c r="J242" s="409"/>
      <c r="K242" s="2763" t="s">
        <v>3368</v>
      </c>
      <c r="L242" s="2762"/>
      <c r="M242" s="2762"/>
      <c r="N242" s="2762"/>
      <c r="O242" s="2762"/>
      <c r="P242" s="2762"/>
      <c r="Q242" s="2762"/>
      <c r="R242" s="2762"/>
      <c r="S242" s="405"/>
      <c r="T242" s="1672"/>
      <c r="U242" s="2764"/>
      <c r="V242" s="2764"/>
      <c r="W242" s="2764"/>
      <c r="X242" s="2764"/>
      <c r="Y242" s="1140" t="s">
        <v>3364</v>
      </c>
      <c r="Z242" s="406">
        <f t="shared" si="53"/>
        <v>44454</v>
      </c>
      <c r="AA242" s="407">
        <f>+AA244+AA245+AA246+AA243</f>
        <v>44454000</v>
      </c>
      <c r="AB242" s="301"/>
      <c r="AC242" s="301"/>
    </row>
    <row r="243" spans="1:29" ht="23.45" customHeight="1">
      <c r="B243" s="411"/>
      <c r="C243" s="412"/>
      <c r="D243" s="1671"/>
      <c r="E243" s="1131"/>
      <c r="F243" s="389"/>
      <c r="G243" s="403"/>
      <c r="H243" s="403"/>
      <c r="I243" s="404"/>
      <c r="J243" s="409"/>
      <c r="K243" s="2763" t="s">
        <v>4535</v>
      </c>
      <c r="L243" s="2762"/>
      <c r="M243" s="2762"/>
      <c r="N243" s="2762"/>
      <c r="O243" s="2762"/>
      <c r="P243" s="2762"/>
      <c r="Q243" s="2762"/>
      <c r="R243" s="2762"/>
      <c r="S243" s="405"/>
      <c r="T243" s="1672">
        <v>34466000</v>
      </c>
      <c r="U243" s="2764" t="s">
        <v>3370</v>
      </c>
      <c r="V243" s="2764"/>
      <c r="W243" s="2764">
        <v>1</v>
      </c>
      <c r="X243" s="2764" t="s">
        <v>4376</v>
      </c>
      <c r="Y243" s="1140" t="s">
        <v>3372</v>
      </c>
      <c r="Z243" s="406">
        <f t="shared" si="53"/>
        <v>34466</v>
      </c>
      <c r="AA243" s="1310">
        <f>T243*W243</f>
        <v>34466000</v>
      </c>
      <c r="AB243" s="301"/>
      <c r="AC243" s="301"/>
    </row>
    <row r="244" spans="1:29" ht="23.45" customHeight="1">
      <c r="B244" s="411"/>
      <c r="C244" s="412"/>
      <c r="D244" s="1671"/>
      <c r="E244" s="1131"/>
      <c r="F244" s="389"/>
      <c r="G244" s="403"/>
      <c r="H244" s="403"/>
      <c r="I244" s="404"/>
      <c r="J244" s="409"/>
      <c r="K244" s="1670" t="s">
        <v>4536</v>
      </c>
      <c r="L244" s="2762"/>
      <c r="M244" s="2762"/>
      <c r="N244" s="2762"/>
      <c r="O244" s="2762"/>
      <c r="P244" s="2762"/>
      <c r="Q244" s="2762"/>
      <c r="R244" s="2764">
        <v>2</v>
      </c>
      <c r="S244" s="2764" t="s">
        <v>4381</v>
      </c>
      <c r="T244" s="1673">
        <v>200000</v>
      </c>
      <c r="U244" s="2764" t="s">
        <v>3370</v>
      </c>
      <c r="V244" s="2764"/>
      <c r="W244" s="2764">
        <v>6</v>
      </c>
      <c r="X244" s="2764" t="s">
        <v>4513</v>
      </c>
      <c r="Y244" s="1140" t="s">
        <v>3372</v>
      </c>
      <c r="Z244" s="406">
        <f t="shared" si="53"/>
        <v>2400</v>
      </c>
      <c r="AA244" s="1310">
        <f>T244*W244*R244</f>
        <v>2400000</v>
      </c>
      <c r="AB244" s="301"/>
      <c r="AC244" s="301"/>
    </row>
    <row r="245" spans="1:29" ht="23.45" customHeight="1">
      <c r="B245" s="411"/>
      <c r="C245" s="412"/>
      <c r="D245" s="1671"/>
      <c r="E245" s="1131"/>
      <c r="F245" s="1134"/>
      <c r="G245" s="403"/>
      <c r="H245" s="403"/>
      <c r="I245" s="404"/>
      <c r="J245" s="409"/>
      <c r="K245" s="1670" t="s">
        <v>4537</v>
      </c>
      <c r="L245" s="2762"/>
      <c r="M245" s="2762"/>
      <c r="N245" s="2762"/>
      <c r="O245" s="2762"/>
      <c r="P245" s="2762"/>
      <c r="Q245" s="2762"/>
      <c r="R245" s="2764"/>
      <c r="S245" s="2764"/>
      <c r="T245" s="1673">
        <v>2500000</v>
      </c>
      <c r="U245" s="2764" t="s">
        <v>3370</v>
      </c>
      <c r="V245" s="2764"/>
      <c r="W245" s="2764">
        <v>1</v>
      </c>
      <c r="X245" s="2764" t="s">
        <v>4513</v>
      </c>
      <c r="Y245" s="1140" t="s">
        <v>3372</v>
      </c>
      <c r="Z245" s="406">
        <f t="shared" si="53"/>
        <v>2500</v>
      </c>
      <c r="AA245" s="1310">
        <f>T245*W245</f>
        <v>2500000</v>
      </c>
      <c r="AB245" s="301"/>
      <c r="AC245" s="301"/>
    </row>
    <row r="246" spans="1:29" s="2558" customFormat="1" ht="23.45" customHeight="1">
      <c r="A246" s="2553"/>
      <c r="B246" s="411"/>
      <c r="C246" s="412"/>
      <c r="D246" s="1671"/>
      <c r="E246" s="1131"/>
      <c r="F246" s="1134"/>
      <c r="G246" s="403"/>
      <c r="H246" s="403"/>
      <c r="I246" s="404"/>
      <c r="J246" s="409"/>
      <c r="K246" s="1670" t="s">
        <v>4538</v>
      </c>
      <c r="L246" s="2762"/>
      <c r="M246" s="2762"/>
      <c r="N246" s="2762"/>
      <c r="O246" s="2762"/>
      <c r="P246" s="2762"/>
      <c r="Q246" s="2762"/>
      <c r="R246" s="2764">
        <v>53</v>
      </c>
      <c r="S246" s="2764" t="s">
        <v>4381</v>
      </c>
      <c r="T246" s="1673">
        <v>8000</v>
      </c>
      <c r="U246" s="2764" t="s">
        <v>3370</v>
      </c>
      <c r="V246" s="2764"/>
      <c r="W246" s="2764">
        <v>12</v>
      </c>
      <c r="X246" s="2764" t="s">
        <v>4356</v>
      </c>
      <c r="Y246" s="1140" t="s">
        <v>3372</v>
      </c>
      <c r="Z246" s="406">
        <f t="shared" si="53"/>
        <v>5088</v>
      </c>
      <c r="AA246" s="1310">
        <f>T246*W246*R246</f>
        <v>5088000</v>
      </c>
      <c r="AB246" s="301"/>
      <c r="AC246" s="301"/>
    </row>
    <row r="247" spans="1:29" s="2558" customFormat="1" ht="23.45" customHeight="1">
      <c r="A247" s="2553"/>
      <c r="B247" s="411"/>
      <c r="C247" s="412"/>
      <c r="D247" s="1671"/>
      <c r="E247" s="1131"/>
      <c r="F247" s="389" t="s">
        <v>4378</v>
      </c>
      <c r="G247" s="403">
        <f>Z247</f>
        <v>133200</v>
      </c>
      <c r="H247" s="403">
        <v>133200</v>
      </c>
      <c r="I247" s="404"/>
      <c r="J247" s="409"/>
      <c r="K247" s="2763" t="s">
        <v>3368</v>
      </c>
      <c r="L247" s="2762"/>
      <c r="M247" s="2762"/>
      <c r="N247" s="2762"/>
      <c r="O247" s="2762"/>
      <c r="P247" s="2762"/>
      <c r="Q247" s="2762"/>
      <c r="R247" s="2762"/>
      <c r="S247" s="405"/>
      <c r="T247" s="1672"/>
      <c r="U247" s="2764"/>
      <c r="V247" s="2764"/>
      <c r="W247" s="2764"/>
      <c r="X247" s="2764"/>
      <c r="Y247" s="1140" t="s">
        <v>3364</v>
      </c>
      <c r="Z247" s="406">
        <f t="shared" si="53"/>
        <v>133200</v>
      </c>
      <c r="AA247" s="407">
        <f>+AA248+AA250+AA251+AA249</f>
        <v>133200000</v>
      </c>
      <c r="AB247" s="301"/>
      <c r="AC247" s="301"/>
    </row>
    <row r="248" spans="1:29" ht="23.45" customHeight="1">
      <c r="B248" s="411"/>
      <c r="C248" s="412"/>
      <c r="D248" s="1671"/>
      <c r="E248" s="1131"/>
      <c r="F248" s="389"/>
      <c r="G248" s="403"/>
      <c r="H248" s="403"/>
      <c r="I248" s="404"/>
      <c r="J248" s="409"/>
      <c r="K248" s="1670" t="s">
        <v>4539</v>
      </c>
      <c r="L248" s="2762"/>
      <c r="M248" s="2762"/>
      <c r="N248" s="2762"/>
      <c r="O248" s="2762"/>
      <c r="P248" s="2762"/>
      <c r="Q248" s="2762"/>
      <c r="R248" s="2764"/>
      <c r="S248" s="2764"/>
      <c r="T248" s="1673">
        <v>500000</v>
      </c>
      <c r="U248" s="2764" t="s">
        <v>3370</v>
      </c>
      <c r="V248" s="2764"/>
      <c r="W248" s="2764">
        <v>12</v>
      </c>
      <c r="X248" s="2764" t="s">
        <v>4528</v>
      </c>
      <c r="Y248" s="1140" t="s">
        <v>3372</v>
      </c>
      <c r="Z248" s="406">
        <f t="shared" si="53"/>
        <v>6000</v>
      </c>
      <c r="AA248" s="1310">
        <f>T248*W248</f>
        <v>6000000</v>
      </c>
      <c r="AB248" s="301"/>
      <c r="AC248" s="301"/>
    </row>
    <row r="249" spans="1:29" ht="21.75" customHeight="1">
      <c r="B249" s="411"/>
      <c r="C249" s="412"/>
      <c r="D249" s="1671"/>
      <c r="E249" s="1131"/>
      <c r="F249" s="389"/>
      <c r="G249" s="403"/>
      <c r="H249" s="403"/>
      <c r="I249" s="404"/>
      <c r="J249" s="409"/>
      <c r="K249" s="1670" t="s">
        <v>4540</v>
      </c>
      <c r="L249" s="2762"/>
      <c r="M249" s="2762"/>
      <c r="N249" s="2762"/>
      <c r="O249" s="2762"/>
      <c r="P249" s="2762"/>
      <c r="Q249" s="2762"/>
      <c r="R249" s="2764"/>
      <c r="S249" s="2764"/>
      <c r="T249" s="1673">
        <v>1200000</v>
      </c>
      <c r="U249" s="2764" t="s">
        <v>3370</v>
      </c>
      <c r="V249" s="2764"/>
      <c r="W249" s="2764">
        <v>12</v>
      </c>
      <c r="X249" s="2764" t="s">
        <v>4356</v>
      </c>
      <c r="Y249" s="1140" t="s">
        <v>3372</v>
      </c>
      <c r="Z249" s="406">
        <f t="shared" si="53"/>
        <v>14400</v>
      </c>
      <c r="AA249" s="1310">
        <f>T249*W249</f>
        <v>14400000</v>
      </c>
      <c r="AB249" s="301"/>
      <c r="AC249" s="301"/>
    </row>
    <row r="250" spans="1:29" ht="21.75" customHeight="1">
      <c r="B250" s="411"/>
      <c r="C250" s="412"/>
      <c r="D250" s="1671"/>
      <c r="E250" s="1131"/>
      <c r="F250" s="1134"/>
      <c r="G250" s="403"/>
      <c r="H250" s="403"/>
      <c r="I250" s="404"/>
      <c r="J250" s="409"/>
      <c r="K250" s="1670" t="s">
        <v>4541</v>
      </c>
      <c r="L250" s="2762"/>
      <c r="M250" s="2762"/>
      <c r="N250" s="2762"/>
      <c r="O250" s="2762"/>
      <c r="P250" s="2762"/>
      <c r="Q250" s="2762"/>
      <c r="R250" s="2764">
        <v>14</v>
      </c>
      <c r="S250" s="2764" t="s">
        <v>4482</v>
      </c>
      <c r="T250" s="1673">
        <v>600000</v>
      </c>
      <c r="U250" s="2764" t="s">
        <v>3370</v>
      </c>
      <c r="V250" s="2764"/>
      <c r="W250" s="2764">
        <v>12</v>
      </c>
      <c r="X250" s="2764" t="s">
        <v>4528</v>
      </c>
      <c r="Y250" s="1140" t="s">
        <v>3372</v>
      </c>
      <c r="Z250" s="406">
        <f t="shared" si="53"/>
        <v>100800</v>
      </c>
      <c r="AA250" s="1310">
        <f>R250*T250*W250</f>
        <v>100800000</v>
      </c>
      <c r="AB250" s="301"/>
      <c r="AC250" s="301"/>
    </row>
    <row r="251" spans="1:29" ht="21.75" customHeight="1">
      <c r="B251" s="411"/>
      <c r="C251" s="412"/>
      <c r="D251" s="1671"/>
      <c r="E251" s="1131"/>
      <c r="F251" s="1134"/>
      <c r="G251" s="403"/>
      <c r="H251" s="403"/>
      <c r="I251" s="404"/>
      <c r="J251" s="409"/>
      <c r="K251" s="1670" t="s">
        <v>4542</v>
      </c>
      <c r="L251" s="2762"/>
      <c r="M251" s="2762"/>
      <c r="N251" s="2762"/>
      <c r="O251" s="2762"/>
      <c r="P251" s="2762"/>
      <c r="Q251" s="2762"/>
      <c r="R251" s="2764"/>
      <c r="S251" s="2764"/>
      <c r="T251" s="1673">
        <v>1000000</v>
      </c>
      <c r="U251" s="2764" t="s">
        <v>3370</v>
      </c>
      <c r="V251" s="2764"/>
      <c r="W251" s="2764">
        <v>12</v>
      </c>
      <c r="X251" s="2764" t="s">
        <v>4528</v>
      </c>
      <c r="Y251" s="1140" t="s">
        <v>3372</v>
      </c>
      <c r="Z251" s="406">
        <f t="shared" si="53"/>
        <v>12000</v>
      </c>
      <c r="AA251" s="1310">
        <f t="shared" ref="AA251" si="59">T251*W251</f>
        <v>12000000</v>
      </c>
      <c r="AB251" s="301"/>
      <c r="AC251" s="301"/>
    </row>
    <row r="252" spans="1:29" ht="21.75" customHeight="1">
      <c r="B252" s="411"/>
      <c r="C252" s="412"/>
      <c r="D252" s="1671"/>
      <c r="E252" s="1131"/>
      <c r="F252" s="389" t="s">
        <v>4384</v>
      </c>
      <c r="G252" s="403">
        <f t="shared" ref="G252:G254" si="60">Z252</f>
        <v>7200</v>
      </c>
      <c r="H252" s="403">
        <v>7200</v>
      </c>
      <c r="I252" s="404"/>
      <c r="J252" s="409"/>
      <c r="K252" s="1670" t="s">
        <v>4543</v>
      </c>
      <c r="L252" s="2762"/>
      <c r="M252" s="2762"/>
      <c r="N252" s="2762"/>
      <c r="O252" s="2762"/>
      <c r="P252" s="2762"/>
      <c r="Q252" s="2762"/>
      <c r="R252" s="2764">
        <v>12</v>
      </c>
      <c r="S252" s="2764" t="s">
        <v>4381</v>
      </c>
      <c r="T252" s="1673">
        <v>50000</v>
      </c>
      <c r="U252" s="2764" t="s">
        <v>3370</v>
      </c>
      <c r="V252" s="2764"/>
      <c r="W252" s="2764">
        <v>12</v>
      </c>
      <c r="X252" s="2764" t="s">
        <v>4356</v>
      </c>
      <c r="Y252" s="1140" t="s">
        <v>3372</v>
      </c>
      <c r="Z252" s="406">
        <f t="shared" si="53"/>
        <v>7200</v>
      </c>
      <c r="AA252" s="1310">
        <f>T252*W252*R252</f>
        <v>7200000</v>
      </c>
      <c r="AB252" s="301"/>
      <c r="AC252" s="301"/>
    </row>
    <row r="253" spans="1:29" ht="21.75" customHeight="1">
      <c r="B253" s="411"/>
      <c r="C253" s="412"/>
      <c r="D253" s="1671"/>
      <c r="E253" s="1131"/>
      <c r="F253" s="389" t="s">
        <v>4499</v>
      </c>
      <c r="G253" s="403">
        <f t="shared" si="60"/>
        <v>12768</v>
      </c>
      <c r="H253" s="403">
        <v>12768</v>
      </c>
      <c r="I253" s="404"/>
      <c r="J253" s="409"/>
      <c r="K253" s="1670" t="s">
        <v>4544</v>
      </c>
      <c r="L253" s="2762"/>
      <c r="M253" s="2762"/>
      <c r="N253" s="2762"/>
      <c r="O253" s="2762"/>
      <c r="P253" s="2762"/>
      <c r="Q253" s="2762"/>
      <c r="R253" s="2764"/>
      <c r="S253" s="2764"/>
      <c r="T253" s="1673">
        <v>1064000</v>
      </c>
      <c r="U253" s="2764" t="s">
        <v>3370</v>
      </c>
      <c r="V253" s="2764"/>
      <c r="W253" s="2764">
        <v>12</v>
      </c>
      <c r="X253" s="2764" t="s">
        <v>4528</v>
      </c>
      <c r="Y253" s="1140" t="s">
        <v>3372</v>
      </c>
      <c r="Z253" s="406">
        <f t="shared" si="53"/>
        <v>12768</v>
      </c>
      <c r="AA253" s="1310">
        <f>T253*W253</f>
        <v>12768000</v>
      </c>
      <c r="AB253" s="301"/>
      <c r="AC253" s="301"/>
    </row>
    <row r="254" spans="1:29" ht="21.75" customHeight="1">
      <c r="B254" s="411"/>
      <c r="C254" s="412"/>
      <c r="D254" s="1671"/>
      <c r="E254" s="1131"/>
      <c r="F254" s="1134" t="s">
        <v>4545</v>
      </c>
      <c r="G254" s="403">
        <f t="shared" si="60"/>
        <v>15900</v>
      </c>
      <c r="H254" s="403">
        <v>15900</v>
      </c>
      <c r="I254" s="404"/>
      <c r="J254" s="409"/>
      <c r="K254" s="2763" t="s">
        <v>3368</v>
      </c>
      <c r="L254" s="2762"/>
      <c r="M254" s="2762"/>
      <c r="N254" s="2762"/>
      <c r="O254" s="2762"/>
      <c r="P254" s="2762"/>
      <c r="Q254" s="2762"/>
      <c r="R254" s="1673" t="s">
        <v>4546</v>
      </c>
      <c r="S254" s="405" t="s">
        <v>4546</v>
      </c>
      <c r="T254" s="1672"/>
      <c r="U254" s="2764"/>
      <c r="V254" s="2764"/>
      <c r="W254" s="2764"/>
      <c r="X254" s="2764"/>
      <c r="Y254" s="1140"/>
      <c r="Z254" s="406">
        <f t="shared" si="53"/>
        <v>15900</v>
      </c>
      <c r="AA254" s="407">
        <f>+AA255+AA256+AA257</f>
        <v>15900000</v>
      </c>
      <c r="AB254" s="301"/>
      <c r="AC254" s="301"/>
    </row>
    <row r="255" spans="1:29" ht="21.75" customHeight="1">
      <c r="B255" s="411"/>
      <c r="C255" s="412"/>
      <c r="D255" s="1671"/>
      <c r="E255" s="1131"/>
      <c r="F255" s="1134"/>
      <c r="G255" s="403"/>
      <c r="H255" s="403"/>
      <c r="I255" s="404"/>
      <c r="J255" s="409"/>
      <c r="K255" s="2763" t="s">
        <v>4547</v>
      </c>
      <c r="L255" s="2762"/>
      <c r="M255" s="2762"/>
      <c r="N255" s="2762"/>
      <c r="O255" s="2762"/>
      <c r="P255" s="2762"/>
      <c r="Q255" s="2762"/>
      <c r="R255" s="2764"/>
      <c r="S255" s="2764"/>
      <c r="T255" s="1672">
        <v>100000</v>
      </c>
      <c r="U255" s="2764" t="s">
        <v>3370</v>
      </c>
      <c r="V255" s="2764"/>
      <c r="W255" s="2764">
        <v>53</v>
      </c>
      <c r="X255" s="2764" t="s">
        <v>4478</v>
      </c>
      <c r="Y255" s="1140" t="s">
        <v>3372</v>
      </c>
      <c r="Z255" s="406">
        <f t="shared" si="53"/>
        <v>5300</v>
      </c>
      <c r="AA255" s="1310">
        <f>T255*W255</f>
        <v>5300000</v>
      </c>
      <c r="AB255" s="301"/>
      <c r="AC255" s="301"/>
    </row>
    <row r="256" spans="1:29" ht="21.75" customHeight="1">
      <c r="B256" s="411"/>
      <c r="C256" s="412"/>
      <c r="D256" s="1671"/>
      <c r="E256" s="1131"/>
      <c r="F256" s="1134"/>
      <c r="G256" s="403"/>
      <c r="H256" s="403"/>
      <c r="I256" s="404"/>
      <c r="J256" s="409"/>
      <c r="K256" s="2763" t="s">
        <v>4548</v>
      </c>
      <c r="L256" s="2762"/>
      <c r="M256" s="2762"/>
      <c r="N256" s="2762"/>
      <c r="O256" s="2762"/>
      <c r="P256" s="2762"/>
      <c r="Q256" s="2762"/>
      <c r="R256" s="1673"/>
      <c r="S256" s="405"/>
      <c r="T256" s="1672">
        <v>100000</v>
      </c>
      <c r="U256" s="2764" t="s">
        <v>3376</v>
      </c>
      <c r="V256" s="2764"/>
      <c r="W256" s="2764">
        <v>53</v>
      </c>
      <c r="X256" s="2764" t="s">
        <v>4472</v>
      </c>
      <c r="Y256" s="1140" t="s">
        <v>3378</v>
      </c>
      <c r="Z256" s="406">
        <f t="shared" si="53"/>
        <v>5300</v>
      </c>
      <c r="AA256" s="1310">
        <f>T256*W256</f>
        <v>5300000</v>
      </c>
      <c r="AB256" s="301"/>
      <c r="AC256" s="301"/>
    </row>
    <row r="257" spans="1:30" ht="21.75" customHeight="1">
      <c r="B257" s="411"/>
      <c r="C257" s="412"/>
      <c r="D257" s="1671"/>
      <c r="E257" s="1131"/>
      <c r="F257" s="1134"/>
      <c r="G257" s="403"/>
      <c r="H257" s="403"/>
      <c r="I257" s="404"/>
      <c r="J257" s="409"/>
      <c r="K257" s="2763" t="s">
        <v>4549</v>
      </c>
      <c r="L257" s="2762"/>
      <c r="M257" s="2762"/>
      <c r="N257" s="2762"/>
      <c r="O257" s="2762"/>
      <c r="P257" s="2762"/>
      <c r="Q257" s="2762"/>
      <c r="R257" s="867"/>
      <c r="S257" s="2760"/>
      <c r="T257" s="2764">
        <v>100000</v>
      </c>
      <c r="U257" s="2764" t="s">
        <v>3376</v>
      </c>
      <c r="V257" s="2764"/>
      <c r="W257" s="2764">
        <v>53</v>
      </c>
      <c r="X257" s="2764" t="s">
        <v>4472</v>
      </c>
      <c r="Y257" s="1140" t="s">
        <v>1</v>
      </c>
      <c r="Z257" s="406">
        <f>AA257/1000</f>
        <v>5300</v>
      </c>
      <c r="AA257" s="1310">
        <f>T257*W257</f>
        <v>5300000</v>
      </c>
      <c r="AB257" s="301"/>
      <c r="AC257" s="301"/>
    </row>
    <row r="258" spans="1:30" ht="21.75" customHeight="1">
      <c r="B258" s="411"/>
      <c r="C258" s="412"/>
      <c r="D258" s="1671"/>
      <c r="E258" s="1131"/>
      <c r="F258" s="389" t="s">
        <v>4550</v>
      </c>
      <c r="G258" s="403">
        <f>Z258</f>
        <v>2000</v>
      </c>
      <c r="H258" s="403">
        <v>2000</v>
      </c>
      <c r="I258" s="404"/>
      <c r="J258" s="409"/>
      <c r="K258" s="2763" t="s">
        <v>4551</v>
      </c>
      <c r="L258" s="2762"/>
      <c r="M258" s="2762"/>
      <c r="N258" s="2762"/>
      <c r="O258" s="2762"/>
      <c r="P258" s="2762"/>
      <c r="Q258" s="2762"/>
      <c r="R258" s="2764"/>
      <c r="S258" s="2764"/>
      <c r="T258" s="2764">
        <v>100000</v>
      </c>
      <c r="U258" s="2764" t="s">
        <v>4391</v>
      </c>
      <c r="V258" s="2764"/>
      <c r="W258" s="2764">
        <v>20</v>
      </c>
      <c r="X258" s="2764" t="s">
        <v>4400</v>
      </c>
      <c r="Y258" s="1140" t="s">
        <v>4393</v>
      </c>
      <c r="Z258" s="406">
        <f t="shared" ref="Z258" si="61">AA258/1000</f>
        <v>2000</v>
      </c>
      <c r="AA258" s="1310">
        <f>T258*W258</f>
        <v>2000000</v>
      </c>
      <c r="AB258" s="301"/>
      <c r="AC258" s="301"/>
    </row>
    <row r="259" spans="1:30" s="2558" customFormat="1" ht="21.75" customHeight="1">
      <c r="A259" s="2553"/>
      <c r="B259" s="396"/>
      <c r="C259" s="762" t="s">
        <v>4552</v>
      </c>
      <c r="D259" s="864"/>
      <c r="E259" s="462"/>
      <c r="F259" s="1447"/>
      <c r="G259" s="1683">
        <f>+G260</f>
        <v>300000</v>
      </c>
      <c r="H259" s="1683">
        <f>+H260</f>
        <v>300000</v>
      </c>
      <c r="I259" s="468">
        <f t="shared" ref="I259" si="62">G259-H259</f>
        <v>0</v>
      </c>
      <c r="J259" s="409"/>
      <c r="K259" s="394"/>
      <c r="L259" s="2753"/>
      <c r="M259" s="2753"/>
      <c r="N259" s="2753"/>
      <c r="O259" s="2753"/>
      <c r="P259" s="2753"/>
      <c r="Q259" s="2753"/>
      <c r="R259" s="2753"/>
      <c r="S259" s="2753"/>
      <c r="T259" s="2753"/>
      <c r="U259" s="2753"/>
      <c r="V259" s="2753"/>
      <c r="W259" s="2753"/>
      <c r="X259" s="2753"/>
      <c r="Y259" s="430"/>
      <c r="Z259" s="442"/>
      <c r="AA259" s="440"/>
      <c r="AB259" s="301"/>
      <c r="AC259" s="301"/>
    </row>
    <row r="260" spans="1:30" s="592" customFormat="1" ht="21.75" customHeight="1">
      <c r="A260" s="2553" t="s">
        <v>4553</v>
      </c>
      <c r="B260" s="411"/>
      <c r="C260" s="412"/>
      <c r="D260" s="762" t="s">
        <v>4552</v>
      </c>
      <c r="E260" s="864"/>
      <c r="F260" s="462"/>
      <c r="G260" s="600">
        <f>G261+G293+G301+G277</f>
        <v>300000</v>
      </c>
      <c r="H260" s="600">
        <f>H261+H293+H301+H277</f>
        <v>300000</v>
      </c>
      <c r="I260" s="1382">
        <f>G260-H260</f>
        <v>0</v>
      </c>
      <c r="J260" s="409"/>
      <c r="K260" s="1135"/>
      <c r="L260" s="2753"/>
      <c r="M260" s="2753"/>
      <c r="N260" s="2753"/>
      <c r="O260" s="2753"/>
      <c r="P260" s="2753"/>
      <c r="Q260" s="2753"/>
      <c r="R260" s="462"/>
      <c r="S260" s="395"/>
      <c r="T260" s="399"/>
      <c r="U260" s="1136"/>
      <c r="V260" s="1136"/>
      <c r="W260" s="1136"/>
      <c r="X260" s="1136"/>
      <c r="Y260" s="1138"/>
      <c r="Z260" s="431"/>
      <c r="AA260" s="463"/>
      <c r="AB260" s="301"/>
      <c r="AC260" s="301"/>
      <c r="AD260" s="271"/>
    </row>
    <row r="261" spans="1:30" s="592" customFormat="1" ht="21.75" customHeight="1">
      <c r="A261" s="608"/>
      <c r="B261" s="411"/>
      <c r="C261" s="412"/>
      <c r="D261" s="1671"/>
      <c r="E261" s="3266" t="s">
        <v>4554</v>
      </c>
      <c r="F261" s="3267"/>
      <c r="G261" s="1683">
        <f>SUM(G262:G276)</f>
        <v>130420</v>
      </c>
      <c r="H261" s="1683">
        <f>SUM(H262:H276)</f>
        <v>130420</v>
      </c>
      <c r="I261" s="461">
        <f>G261-H261</f>
        <v>0</v>
      </c>
      <c r="J261" s="409"/>
      <c r="K261" s="1135"/>
      <c r="L261" s="2753"/>
      <c r="M261" s="2753"/>
      <c r="N261" s="2753"/>
      <c r="O261" s="2753"/>
      <c r="P261" s="2753"/>
      <c r="Q261" s="2753"/>
      <c r="R261" s="2753"/>
      <c r="S261" s="395"/>
      <c r="T261" s="1136"/>
      <c r="U261" s="1136"/>
      <c r="V261" s="1136"/>
      <c r="W261" s="1136"/>
      <c r="X261" s="1136"/>
      <c r="Y261" s="1138"/>
      <c r="Z261" s="431"/>
      <c r="AA261" s="463"/>
      <c r="AB261" s="301"/>
      <c r="AC261" s="301"/>
      <c r="AD261" s="271"/>
    </row>
    <row r="262" spans="1:30" ht="21.75" customHeight="1">
      <c r="B262" s="464"/>
      <c r="C262" s="412"/>
      <c r="D262" s="412"/>
      <c r="E262" s="412"/>
      <c r="F262" s="1134" t="s">
        <v>4440</v>
      </c>
      <c r="G262" s="403">
        <f>Z262</f>
        <v>108000</v>
      </c>
      <c r="H262" s="873">
        <v>108000</v>
      </c>
      <c r="I262" s="404"/>
      <c r="J262" s="409"/>
      <c r="K262" s="2643" t="s">
        <v>4397</v>
      </c>
      <c r="L262" s="2624"/>
      <c r="M262" s="2624"/>
      <c r="N262" s="2624"/>
      <c r="O262" s="2624"/>
      <c r="P262" s="2624"/>
      <c r="Q262" s="2624"/>
      <c r="R262" s="2644"/>
      <c r="S262" s="2644"/>
      <c r="T262" s="1673"/>
      <c r="U262" s="2644"/>
      <c r="V262" s="2644"/>
      <c r="W262" s="2644"/>
      <c r="X262" s="2644"/>
      <c r="Y262" s="1140"/>
      <c r="Z262" s="406">
        <f t="shared" ref="Z262:Z264" si="63">AA262/1000</f>
        <v>108000</v>
      </c>
      <c r="AA262" s="407">
        <f>SUM(AA263:AA265)</f>
        <v>108000000</v>
      </c>
    </row>
    <row r="263" spans="1:30" ht="21.75" customHeight="1">
      <c r="B263" s="464"/>
      <c r="C263" s="412"/>
      <c r="D263" s="412"/>
      <c r="E263" s="412"/>
      <c r="F263" s="1134"/>
      <c r="G263" s="403"/>
      <c r="H263" s="873"/>
      <c r="I263" s="404"/>
      <c r="J263" s="409"/>
      <c r="K263" s="1670" t="s">
        <v>4555</v>
      </c>
      <c r="L263" s="2624"/>
      <c r="M263" s="2624"/>
      <c r="N263" s="2624"/>
      <c r="O263" s="2624"/>
      <c r="P263" s="2624"/>
      <c r="Q263" s="2624"/>
      <c r="R263" s="2644">
        <v>3</v>
      </c>
      <c r="S263" s="2644" t="s">
        <v>4399</v>
      </c>
      <c r="T263" s="1673">
        <v>2500000</v>
      </c>
      <c r="U263" s="2644" t="s">
        <v>4391</v>
      </c>
      <c r="V263" s="2644"/>
      <c r="W263" s="2644">
        <v>12</v>
      </c>
      <c r="X263" s="2644" t="s">
        <v>4442</v>
      </c>
      <c r="Y263" s="1140" t="s">
        <v>4393</v>
      </c>
      <c r="Z263" s="406">
        <f t="shared" si="63"/>
        <v>90000</v>
      </c>
      <c r="AA263" s="1310">
        <f>W263*T263*R263</f>
        <v>90000000</v>
      </c>
    </row>
    <row r="264" spans="1:30" ht="21.75" customHeight="1">
      <c r="B264" s="464"/>
      <c r="C264" s="412"/>
      <c r="D264" s="412"/>
      <c r="E264" s="412"/>
      <c r="F264" s="1134"/>
      <c r="G264" s="403"/>
      <c r="H264" s="873"/>
      <c r="I264" s="404"/>
      <c r="J264" s="409"/>
      <c r="K264" s="1670" t="s">
        <v>4556</v>
      </c>
      <c r="L264" s="2624"/>
      <c r="M264" s="2624"/>
      <c r="N264" s="2624"/>
      <c r="O264" s="2624"/>
      <c r="P264" s="2624"/>
      <c r="Q264" s="2624"/>
      <c r="R264" s="2644"/>
      <c r="S264" s="2644"/>
      <c r="T264" s="1673">
        <v>3000000</v>
      </c>
      <c r="U264" s="2644" t="s">
        <v>4391</v>
      </c>
      <c r="V264" s="2644"/>
      <c r="W264" s="2644">
        <v>3</v>
      </c>
      <c r="X264" s="2644" t="s">
        <v>4402</v>
      </c>
      <c r="Y264" s="1140" t="s">
        <v>4393</v>
      </c>
      <c r="Z264" s="406">
        <f t="shared" si="63"/>
        <v>9000</v>
      </c>
      <c r="AA264" s="1310">
        <f>W264*T264</f>
        <v>9000000</v>
      </c>
    </row>
    <row r="265" spans="1:30" ht="21.75" customHeight="1">
      <c r="B265" s="464"/>
      <c r="C265" s="412"/>
      <c r="D265" s="412"/>
      <c r="E265" s="412"/>
      <c r="F265" s="1134"/>
      <c r="G265" s="403"/>
      <c r="H265" s="873"/>
      <c r="I265" s="404"/>
      <c r="J265" s="409"/>
      <c r="K265" s="1670" t="s">
        <v>4557</v>
      </c>
      <c r="L265" s="2624"/>
      <c r="M265" s="2624"/>
      <c r="N265" s="2624"/>
      <c r="O265" s="2624"/>
      <c r="P265" s="2624"/>
      <c r="Q265" s="2624"/>
      <c r="R265" s="2644"/>
      <c r="S265" s="2644"/>
      <c r="T265" s="1672">
        <v>90000000</v>
      </c>
      <c r="U265" s="2644" t="s">
        <v>0</v>
      </c>
      <c r="V265" s="2644"/>
      <c r="W265" s="2644">
        <v>10</v>
      </c>
      <c r="X265" s="2644" t="s">
        <v>4558</v>
      </c>
      <c r="Y265" s="1140" t="s">
        <v>4393</v>
      </c>
      <c r="Z265" s="406">
        <f>AA265/1000</f>
        <v>9000</v>
      </c>
      <c r="AA265" s="407">
        <f>T265*10%</f>
        <v>9000000</v>
      </c>
    </row>
    <row r="266" spans="1:30" ht="21.75" customHeight="1">
      <c r="B266" s="464"/>
      <c r="C266" s="412"/>
      <c r="D266" s="412"/>
      <c r="E266" s="412"/>
      <c r="F266" s="1134" t="s">
        <v>4425</v>
      </c>
      <c r="G266" s="403">
        <f>Z266</f>
        <v>2000</v>
      </c>
      <c r="H266" s="873">
        <v>2000</v>
      </c>
      <c r="I266" s="404"/>
      <c r="J266" s="409"/>
      <c r="K266" s="2643" t="s">
        <v>4559</v>
      </c>
      <c r="L266" s="2624"/>
      <c r="M266" s="2624"/>
      <c r="N266" s="2624"/>
      <c r="O266" s="2624"/>
      <c r="P266" s="2624"/>
      <c r="Q266" s="2624"/>
      <c r="R266" s="2644"/>
      <c r="S266" s="2644"/>
      <c r="T266" s="2644">
        <v>10000</v>
      </c>
      <c r="U266" s="2644" t="s">
        <v>4391</v>
      </c>
      <c r="V266" s="2644"/>
      <c r="W266" s="2644">
        <v>200</v>
      </c>
      <c r="X266" s="2644" t="s">
        <v>4427</v>
      </c>
      <c r="Y266" s="1140" t="s">
        <v>4393</v>
      </c>
      <c r="Z266" s="406">
        <f t="shared" ref="Z266:Z270" si="64">AA266/1000</f>
        <v>2000</v>
      </c>
      <c r="AA266" s="1310">
        <f>W266*T266</f>
        <v>2000000</v>
      </c>
    </row>
    <row r="267" spans="1:30" ht="21.75" customHeight="1">
      <c r="B267" s="464"/>
      <c r="C267" s="412"/>
      <c r="D267" s="412"/>
      <c r="E267" s="412"/>
      <c r="F267" s="1134" t="s">
        <v>4414</v>
      </c>
      <c r="G267" s="403">
        <f>Z267</f>
        <v>1000</v>
      </c>
      <c r="H267" s="873">
        <v>1000</v>
      </c>
      <c r="I267" s="404"/>
      <c r="J267" s="409"/>
      <c r="K267" s="2643" t="s">
        <v>4560</v>
      </c>
      <c r="L267" s="2624"/>
      <c r="M267" s="2624"/>
      <c r="N267" s="2624"/>
      <c r="O267" s="2624"/>
      <c r="P267" s="2624"/>
      <c r="Q267" s="2624"/>
      <c r="R267" s="2644"/>
      <c r="S267" s="2644"/>
      <c r="T267" s="2644">
        <v>1000000</v>
      </c>
      <c r="U267" s="2644" t="s">
        <v>4391</v>
      </c>
      <c r="V267" s="2644"/>
      <c r="W267" s="2644">
        <v>1</v>
      </c>
      <c r="X267" s="2644" t="s">
        <v>4392</v>
      </c>
      <c r="Y267" s="1140" t="s">
        <v>4393</v>
      </c>
      <c r="Z267" s="406">
        <f t="shared" si="64"/>
        <v>1000</v>
      </c>
      <c r="AA267" s="1310">
        <f t="shared" ref="AA267" si="65">W267*T267</f>
        <v>1000000</v>
      </c>
    </row>
    <row r="268" spans="1:30" ht="21.75" customHeight="1">
      <c r="B268" s="464"/>
      <c r="C268" s="412"/>
      <c r="D268" s="412"/>
      <c r="E268" s="412"/>
      <c r="F268" s="1134" t="s">
        <v>4561</v>
      </c>
      <c r="G268" s="403">
        <f>Z268</f>
        <v>3600</v>
      </c>
      <c r="H268" s="873">
        <v>3600</v>
      </c>
      <c r="I268" s="404"/>
      <c r="J268" s="409"/>
      <c r="K268" s="2643" t="s">
        <v>4562</v>
      </c>
      <c r="L268" s="2624"/>
      <c r="M268" s="2624"/>
      <c r="N268" s="2624"/>
      <c r="O268" s="2624"/>
      <c r="P268" s="2624"/>
      <c r="Q268" s="2624"/>
      <c r="R268" s="2644">
        <v>3</v>
      </c>
      <c r="S268" s="2644" t="s">
        <v>4399</v>
      </c>
      <c r="T268" s="2644">
        <v>100000</v>
      </c>
      <c r="U268" s="2644" t="s">
        <v>4391</v>
      </c>
      <c r="V268" s="2644"/>
      <c r="W268" s="2644">
        <v>12</v>
      </c>
      <c r="X268" s="2644" t="s">
        <v>4442</v>
      </c>
      <c r="Y268" s="1140" t="s">
        <v>4393</v>
      </c>
      <c r="Z268" s="406">
        <f t="shared" si="64"/>
        <v>3600</v>
      </c>
      <c r="AA268" s="1310">
        <f>W268*T268*R268</f>
        <v>3600000</v>
      </c>
    </row>
    <row r="269" spans="1:30" ht="21.75" customHeight="1">
      <c r="B269" s="464"/>
      <c r="C269" s="412"/>
      <c r="D269" s="412"/>
      <c r="E269" s="412"/>
      <c r="F269" s="1134" t="s">
        <v>4396</v>
      </c>
      <c r="G269" s="403">
        <f>Z269</f>
        <v>6100</v>
      </c>
      <c r="H269" s="873">
        <v>6100</v>
      </c>
      <c r="I269" s="404"/>
      <c r="J269" s="409"/>
      <c r="K269" s="2643" t="s">
        <v>4397</v>
      </c>
      <c r="L269" s="2624"/>
      <c r="M269" s="2624"/>
      <c r="N269" s="2624"/>
      <c r="O269" s="2624"/>
      <c r="P269" s="2624"/>
      <c r="Q269" s="2624"/>
      <c r="R269" s="2624"/>
      <c r="S269" s="405"/>
      <c r="T269" s="1672"/>
      <c r="U269" s="2644"/>
      <c r="V269" s="2644"/>
      <c r="W269" s="2644"/>
      <c r="X269" s="2644"/>
      <c r="Y269" s="1140" t="s">
        <v>4410</v>
      </c>
      <c r="Z269" s="406">
        <f t="shared" si="64"/>
        <v>6100</v>
      </c>
      <c r="AA269" s="407">
        <f>+AA270+AA271</f>
        <v>6100000</v>
      </c>
    </row>
    <row r="270" spans="1:30" ht="21.75" customHeight="1">
      <c r="B270" s="464"/>
      <c r="C270" s="412"/>
      <c r="D270" s="412"/>
      <c r="E270" s="412"/>
      <c r="F270" s="1134"/>
      <c r="G270" s="403"/>
      <c r="H270" s="873"/>
      <c r="I270" s="404"/>
      <c r="J270" s="409"/>
      <c r="K270" s="1670" t="s">
        <v>4563</v>
      </c>
      <c r="L270" s="2624"/>
      <c r="M270" s="2624"/>
      <c r="N270" s="2624"/>
      <c r="O270" s="2624"/>
      <c r="P270" s="2624"/>
      <c r="Q270" s="2624"/>
      <c r="R270" s="2644"/>
      <c r="S270" s="2644"/>
      <c r="T270" s="1673">
        <v>100000</v>
      </c>
      <c r="U270" s="2644" t="s">
        <v>4391</v>
      </c>
      <c r="V270" s="2644"/>
      <c r="W270" s="2644">
        <v>1</v>
      </c>
      <c r="X270" s="2644" t="s">
        <v>4564</v>
      </c>
      <c r="Y270" s="1140" t="s">
        <v>4393</v>
      </c>
      <c r="Z270" s="406">
        <f t="shared" si="64"/>
        <v>100</v>
      </c>
      <c r="AA270" s="1310">
        <f>T270*W270</f>
        <v>100000</v>
      </c>
    </row>
    <row r="271" spans="1:30" ht="21.75" customHeight="1">
      <c r="B271" s="464"/>
      <c r="C271" s="412"/>
      <c r="D271" s="412"/>
      <c r="E271" s="412"/>
      <c r="F271" s="1134"/>
      <c r="G271" s="403"/>
      <c r="H271" s="873"/>
      <c r="I271" s="404"/>
      <c r="J271" s="409"/>
      <c r="K271" s="1670" t="s">
        <v>4565</v>
      </c>
      <c r="L271" s="2624"/>
      <c r="M271" s="2624"/>
      <c r="N271" s="2624"/>
      <c r="O271" s="2624"/>
      <c r="P271" s="2624"/>
      <c r="Q271" s="2624"/>
      <c r="R271" s="2644"/>
      <c r="S271" s="2644"/>
      <c r="T271" s="1672">
        <v>300000000</v>
      </c>
      <c r="U271" s="2644" t="s">
        <v>0</v>
      </c>
      <c r="V271" s="2644"/>
      <c r="W271" s="2644">
        <v>2</v>
      </c>
      <c r="X271" s="2644" t="s">
        <v>4558</v>
      </c>
      <c r="Y271" s="1140" t="s">
        <v>4393</v>
      </c>
      <c r="Z271" s="406">
        <f>AA271/1000</f>
        <v>6000</v>
      </c>
      <c r="AA271" s="407">
        <f>T271*W271/100</f>
        <v>6000000</v>
      </c>
    </row>
    <row r="272" spans="1:30" ht="21.75" customHeight="1">
      <c r="B272" s="464"/>
      <c r="C272" s="412"/>
      <c r="D272" s="412"/>
      <c r="E272" s="412"/>
      <c r="F272" s="1134" t="s">
        <v>4566</v>
      </c>
      <c r="G272" s="403">
        <f>Z272</f>
        <v>3720</v>
      </c>
      <c r="H272" s="873">
        <v>3720</v>
      </c>
      <c r="I272" s="404"/>
      <c r="J272" s="409"/>
      <c r="K272" s="2643" t="s">
        <v>4567</v>
      </c>
      <c r="L272" s="2624"/>
      <c r="M272" s="2624"/>
      <c r="N272" s="2624"/>
      <c r="O272" s="2624"/>
      <c r="P272" s="2624"/>
      <c r="Q272" s="2624"/>
      <c r="R272" s="2644"/>
      <c r="S272" s="2644"/>
      <c r="T272" s="2644">
        <v>1240000</v>
      </c>
      <c r="U272" s="2644" t="s">
        <v>4391</v>
      </c>
      <c r="V272" s="2644"/>
      <c r="W272" s="2644">
        <v>3</v>
      </c>
      <c r="X272" s="2644" t="s">
        <v>4568</v>
      </c>
      <c r="Y272" s="1140" t="s">
        <v>4393</v>
      </c>
      <c r="Z272" s="406">
        <f t="shared" ref="Z272:Z274" si="66">AA272/1000</f>
        <v>3720</v>
      </c>
      <c r="AA272" s="1310">
        <f t="shared" ref="AA272" si="67">W272*T272</f>
        <v>3720000</v>
      </c>
    </row>
    <row r="273" spans="1:30" ht="21.75" customHeight="1">
      <c r="B273" s="411"/>
      <c r="C273" s="412"/>
      <c r="D273" s="412"/>
      <c r="E273" s="412"/>
      <c r="F273" s="1134" t="s">
        <v>4428</v>
      </c>
      <c r="G273" s="403">
        <f>Z273</f>
        <v>4000</v>
      </c>
      <c r="H273" s="873">
        <v>4000</v>
      </c>
      <c r="I273" s="404"/>
      <c r="J273" s="409"/>
      <c r="K273" s="2643" t="s">
        <v>4397</v>
      </c>
      <c r="L273" s="2624"/>
      <c r="M273" s="2624"/>
      <c r="N273" s="2624"/>
      <c r="O273" s="2624"/>
      <c r="P273" s="2624"/>
      <c r="Q273" s="2624"/>
      <c r="R273" s="2624"/>
      <c r="S273" s="405"/>
      <c r="T273" s="1672"/>
      <c r="U273" s="2644"/>
      <c r="V273" s="2644"/>
      <c r="W273" s="2644"/>
      <c r="X273" s="2644"/>
      <c r="Y273" s="1140" t="s">
        <v>4410</v>
      </c>
      <c r="Z273" s="406">
        <f t="shared" si="66"/>
        <v>4000</v>
      </c>
      <c r="AA273" s="407">
        <f>+AA274+AA275</f>
        <v>4000000</v>
      </c>
    </row>
    <row r="274" spans="1:30" ht="21.75" customHeight="1">
      <c r="B274" s="411"/>
      <c r="C274" s="412"/>
      <c r="D274" s="412"/>
      <c r="E274" s="412"/>
      <c r="F274" s="1134"/>
      <c r="G274" s="403"/>
      <c r="H274" s="873"/>
      <c r="I274" s="404"/>
      <c r="J274" s="409"/>
      <c r="K274" s="1670" t="s">
        <v>4569</v>
      </c>
      <c r="L274" s="2624"/>
      <c r="M274" s="2624"/>
      <c r="N274" s="2624"/>
      <c r="O274" s="2624"/>
      <c r="P274" s="2624"/>
      <c r="Q274" s="2624"/>
      <c r="R274" s="2644"/>
      <c r="S274" s="2644"/>
      <c r="T274" s="1673">
        <v>50000</v>
      </c>
      <c r="U274" s="2644" t="s">
        <v>4391</v>
      </c>
      <c r="V274" s="2644"/>
      <c r="W274" s="2644">
        <v>40</v>
      </c>
      <c r="X274" s="2644" t="s">
        <v>4570</v>
      </c>
      <c r="Y274" s="1140" t="s">
        <v>4393</v>
      </c>
      <c r="Z274" s="406">
        <f t="shared" si="66"/>
        <v>2000</v>
      </c>
      <c r="AA274" s="1310">
        <f>T274*W274</f>
        <v>2000000</v>
      </c>
    </row>
    <row r="275" spans="1:30" ht="21.75" customHeight="1">
      <c r="B275" s="411"/>
      <c r="C275" s="412"/>
      <c r="D275" s="412"/>
      <c r="E275" s="412"/>
      <c r="F275" s="1134"/>
      <c r="G275" s="403"/>
      <c r="H275" s="873"/>
      <c r="I275" s="404"/>
      <c r="J275" s="409"/>
      <c r="K275" s="1670" t="s">
        <v>4571</v>
      </c>
      <c r="L275" s="2624"/>
      <c r="M275" s="2624"/>
      <c r="N275" s="2624"/>
      <c r="O275" s="2624"/>
      <c r="P275" s="2624"/>
      <c r="Q275" s="2624"/>
      <c r="R275" s="2644"/>
      <c r="S275" s="2644"/>
      <c r="T275" s="1672">
        <v>500000</v>
      </c>
      <c r="U275" s="2644" t="s">
        <v>0</v>
      </c>
      <c r="V275" s="2644"/>
      <c r="W275" s="2644">
        <v>4</v>
      </c>
      <c r="X275" s="2644" t="s">
        <v>4400</v>
      </c>
      <c r="Y275" s="1140" t="s">
        <v>4393</v>
      </c>
      <c r="Z275" s="406">
        <f>AA275/1000</f>
        <v>2000</v>
      </c>
      <c r="AA275" s="407">
        <f>W275*T275</f>
        <v>2000000</v>
      </c>
    </row>
    <row r="276" spans="1:30" ht="21.75" customHeight="1">
      <c r="B276" s="411"/>
      <c r="C276" s="412"/>
      <c r="D276" s="412"/>
      <c r="E276" s="412"/>
      <c r="F276" s="1134" t="s">
        <v>4408</v>
      </c>
      <c r="G276" s="403">
        <f>Z276</f>
        <v>2000</v>
      </c>
      <c r="H276" s="873">
        <v>2000</v>
      </c>
      <c r="I276" s="404"/>
      <c r="J276" s="409"/>
      <c r="K276" s="2643" t="s">
        <v>4551</v>
      </c>
      <c r="L276" s="2624"/>
      <c r="M276" s="2624"/>
      <c r="N276" s="2624"/>
      <c r="O276" s="2624"/>
      <c r="P276" s="2624"/>
      <c r="Q276" s="2624"/>
      <c r="R276" s="2644">
        <v>10</v>
      </c>
      <c r="S276" s="2644" t="s">
        <v>4399</v>
      </c>
      <c r="T276" s="2644">
        <v>20000</v>
      </c>
      <c r="U276" s="2644" t="s">
        <v>4391</v>
      </c>
      <c r="V276" s="2644"/>
      <c r="W276" s="2644">
        <v>10</v>
      </c>
      <c r="X276" s="2644" t="s">
        <v>4400</v>
      </c>
      <c r="Y276" s="1140" t="s">
        <v>4393</v>
      </c>
      <c r="Z276" s="406">
        <f t="shared" ref="Z276" si="68">AA276/1000</f>
        <v>2000</v>
      </c>
      <c r="AA276" s="1310">
        <f>W276*T276*R276</f>
        <v>2000000</v>
      </c>
    </row>
    <row r="277" spans="1:30" s="592" customFormat="1" ht="21.75" customHeight="1">
      <c r="A277" s="608"/>
      <c r="B277" s="411"/>
      <c r="C277" s="412"/>
      <c r="D277" s="1671"/>
      <c r="E277" s="3266" t="s">
        <v>4572</v>
      </c>
      <c r="F277" s="3267"/>
      <c r="G277" s="1683">
        <f>SUM(G278:G292)</f>
        <v>71200</v>
      </c>
      <c r="H277" s="1683">
        <f>SUM(H278:H292)</f>
        <v>71200</v>
      </c>
      <c r="I277" s="461">
        <f>G277-H277</f>
        <v>0</v>
      </c>
      <c r="J277" s="409"/>
      <c r="K277" s="1135"/>
      <c r="L277" s="2598"/>
      <c r="M277" s="2598"/>
      <c r="N277" s="2598"/>
      <c r="O277" s="2598"/>
      <c r="P277" s="2598"/>
      <c r="Q277" s="2598"/>
      <c r="R277" s="2598"/>
      <c r="S277" s="395"/>
      <c r="T277" s="1136"/>
      <c r="U277" s="1136"/>
      <c r="V277" s="1136"/>
      <c r="W277" s="1136"/>
      <c r="X277" s="1136"/>
      <c r="Y277" s="1138"/>
      <c r="Z277" s="431"/>
      <c r="AA277" s="463"/>
      <c r="AB277" s="301"/>
      <c r="AC277" s="301"/>
      <c r="AD277" s="271"/>
    </row>
    <row r="278" spans="1:30" ht="21.75" customHeight="1">
      <c r="B278" s="464"/>
      <c r="C278" s="412"/>
      <c r="D278" s="412"/>
      <c r="E278" s="412"/>
      <c r="F278" s="1134" t="s">
        <v>4573</v>
      </c>
      <c r="G278" s="403">
        <f>Z278</f>
        <v>1000</v>
      </c>
      <c r="H278" s="873">
        <v>1000</v>
      </c>
      <c r="I278" s="404"/>
      <c r="J278" s="409"/>
      <c r="K278" s="2643" t="s">
        <v>4574</v>
      </c>
      <c r="L278" s="2624"/>
      <c r="M278" s="2624"/>
      <c r="N278" s="2624"/>
      <c r="O278" s="2624"/>
      <c r="P278" s="2624"/>
      <c r="Q278" s="2624"/>
      <c r="R278" s="2644"/>
      <c r="S278" s="2644"/>
      <c r="T278" s="2644">
        <v>50000</v>
      </c>
      <c r="U278" s="2644" t="s">
        <v>4391</v>
      </c>
      <c r="V278" s="2644"/>
      <c r="W278" s="2644">
        <v>20</v>
      </c>
      <c r="X278" s="2644" t="s">
        <v>4400</v>
      </c>
      <c r="Y278" s="1140" t="s">
        <v>4393</v>
      </c>
      <c r="Z278" s="406">
        <f t="shared" ref="Z278:Z284" si="69">AA278/1000</f>
        <v>1000</v>
      </c>
      <c r="AA278" s="1310">
        <f>W278*T278</f>
        <v>1000000</v>
      </c>
    </row>
    <row r="279" spans="1:30" ht="21.75" customHeight="1">
      <c r="B279" s="464"/>
      <c r="C279" s="412"/>
      <c r="D279" s="412"/>
      <c r="E279" s="412"/>
      <c r="F279" s="1134" t="s">
        <v>4425</v>
      </c>
      <c r="G279" s="403">
        <f>Z279</f>
        <v>2000</v>
      </c>
      <c r="H279" s="873">
        <v>2000</v>
      </c>
      <c r="I279" s="404"/>
      <c r="J279" s="409"/>
      <c r="K279" s="2643" t="s">
        <v>4559</v>
      </c>
      <c r="L279" s="2624"/>
      <c r="M279" s="2624"/>
      <c r="N279" s="2624"/>
      <c r="O279" s="2624"/>
      <c r="P279" s="2624"/>
      <c r="Q279" s="2624"/>
      <c r="R279" s="2644"/>
      <c r="S279" s="2644"/>
      <c r="T279" s="2644">
        <v>10000</v>
      </c>
      <c r="U279" s="2644" t="s">
        <v>4391</v>
      </c>
      <c r="V279" s="2644"/>
      <c r="W279" s="2644">
        <v>200</v>
      </c>
      <c r="X279" s="2644" t="s">
        <v>4427</v>
      </c>
      <c r="Y279" s="1140" t="s">
        <v>4393</v>
      </c>
      <c r="Z279" s="406">
        <f t="shared" si="69"/>
        <v>2000</v>
      </c>
      <c r="AA279" s="1310">
        <f>W279*T279</f>
        <v>2000000</v>
      </c>
    </row>
    <row r="280" spans="1:30" ht="21.75" customHeight="1">
      <c r="B280" s="464"/>
      <c r="C280" s="412"/>
      <c r="D280" s="412"/>
      <c r="E280" s="412"/>
      <c r="F280" s="1134" t="s">
        <v>4414</v>
      </c>
      <c r="G280" s="403">
        <f>Z280</f>
        <v>400</v>
      </c>
      <c r="H280" s="873">
        <v>400</v>
      </c>
      <c r="I280" s="404"/>
      <c r="J280" s="409"/>
      <c r="K280" s="2643" t="s">
        <v>4575</v>
      </c>
      <c r="L280" s="2624"/>
      <c r="M280" s="2624"/>
      <c r="N280" s="2624"/>
      <c r="O280" s="2624"/>
      <c r="P280" s="2624"/>
      <c r="Q280" s="2624"/>
      <c r="R280" s="2644"/>
      <c r="S280" s="2644"/>
      <c r="T280" s="2644">
        <v>400000</v>
      </c>
      <c r="U280" s="2644" t="s">
        <v>4391</v>
      </c>
      <c r="V280" s="2644"/>
      <c r="W280" s="2644">
        <v>1</v>
      </c>
      <c r="X280" s="2644" t="s">
        <v>4392</v>
      </c>
      <c r="Y280" s="1140" t="s">
        <v>4393</v>
      </c>
      <c r="Z280" s="406">
        <f t="shared" si="69"/>
        <v>400</v>
      </c>
      <c r="AA280" s="1310">
        <f>T280*W280</f>
        <v>400000</v>
      </c>
    </row>
    <row r="281" spans="1:30" ht="21.75" customHeight="1">
      <c r="B281" s="464"/>
      <c r="C281" s="412"/>
      <c r="D281" s="412"/>
      <c r="E281" s="412"/>
      <c r="F281" s="1134" t="s">
        <v>4396</v>
      </c>
      <c r="G281" s="403">
        <f>Z281</f>
        <v>29300</v>
      </c>
      <c r="H281" s="873">
        <v>29300</v>
      </c>
      <c r="I281" s="404"/>
      <c r="J281" s="409"/>
      <c r="K281" s="2643" t="s">
        <v>4397</v>
      </c>
      <c r="L281" s="2624"/>
      <c r="M281" s="2624"/>
      <c r="N281" s="2624"/>
      <c r="O281" s="2624"/>
      <c r="P281" s="2624"/>
      <c r="Q281" s="2624"/>
      <c r="R281" s="2624"/>
      <c r="S281" s="405"/>
      <c r="T281" s="1672"/>
      <c r="U281" s="2644"/>
      <c r="V281" s="2644"/>
      <c r="W281" s="2644"/>
      <c r="X281" s="2644"/>
      <c r="Y281" s="1140" t="s">
        <v>4410</v>
      </c>
      <c r="Z281" s="406">
        <f t="shared" si="69"/>
        <v>29300</v>
      </c>
      <c r="AA281" s="407">
        <f>SUM(AA282:AA286)</f>
        <v>29300000</v>
      </c>
    </row>
    <row r="282" spans="1:30" ht="21.75" customHeight="1">
      <c r="B282" s="464"/>
      <c r="C282" s="412"/>
      <c r="D282" s="412"/>
      <c r="E282" s="412"/>
      <c r="F282" s="1134"/>
      <c r="G282" s="403"/>
      <c r="H282" s="873"/>
      <c r="I282" s="404"/>
      <c r="J282" s="409"/>
      <c r="K282" s="1670" t="s">
        <v>4576</v>
      </c>
      <c r="L282" s="2624"/>
      <c r="M282" s="2624"/>
      <c r="N282" s="2624"/>
      <c r="O282" s="2624"/>
      <c r="P282" s="2624"/>
      <c r="Q282" s="2624"/>
      <c r="R282" s="2644">
        <v>3</v>
      </c>
      <c r="S282" s="2644" t="s">
        <v>4399</v>
      </c>
      <c r="T282" s="1673">
        <v>50000</v>
      </c>
      <c r="U282" s="2644" t="s">
        <v>4391</v>
      </c>
      <c r="V282" s="2644"/>
      <c r="W282" s="2644">
        <v>80</v>
      </c>
      <c r="X282" s="2644" t="s">
        <v>4577</v>
      </c>
      <c r="Y282" s="1140" t="s">
        <v>4393</v>
      </c>
      <c r="Z282" s="406">
        <f t="shared" si="69"/>
        <v>12000</v>
      </c>
      <c r="AA282" s="1310">
        <f>W282*T282*R282</f>
        <v>12000000</v>
      </c>
    </row>
    <row r="283" spans="1:30" ht="21.75" customHeight="1">
      <c r="B283" s="464"/>
      <c r="C283" s="412"/>
      <c r="D283" s="412"/>
      <c r="E283" s="412"/>
      <c r="F283" s="1134"/>
      <c r="G283" s="403"/>
      <c r="H283" s="873"/>
      <c r="I283" s="404"/>
      <c r="J283" s="409"/>
      <c r="K283" s="1670" t="s">
        <v>4578</v>
      </c>
      <c r="L283" s="2624"/>
      <c r="M283" s="2624"/>
      <c r="N283" s="2624"/>
      <c r="O283" s="2624"/>
      <c r="P283" s="2624"/>
      <c r="Q283" s="2624"/>
      <c r="R283" s="2644"/>
      <c r="S283" s="2644"/>
      <c r="T283" s="1673">
        <v>440000</v>
      </c>
      <c r="U283" s="2644" t="s">
        <v>4391</v>
      </c>
      <c r="V283" s="2644"/>
      <c r="W283" s="2644">
        <v>20</v>
      </c>
      <c r="X283" s="2644" t="s">
        <v>4570</v>
      </c>
      <c r="Y283" s="1140" t="s">
        <v>4393</v>
      </c>
      <c r="Z283" s="406">
        <f t="shared" si="69"/>
        <v>8800</v>
      </c>
      <c r="AA283" s="1310">
        <f t="shared" ref="AA283" si="70">T283*W283</f>
        <v>8800000</v>
      </c>
    </row>
    <row r="284" spans="1:30" ht="21.75" customHeight="1">
      <c r="B284" s="464"/>
      <c r="C284" s="412"/>
      <c r="D284" s="412"/>
      <c r="E284" s="412"/>
      <c r="F284" s="1134"/>
      <c r="G284" s="403"/>
      <c r="H284" s="873"/>
      <c r="I284" s="404"/>
      <c r="J284" s="409"/>
      <c r="K284" s="1670" t="s">
        <v>4579</v>
      </c>
      <c r="L284" s="2624"/>
      <c r="M284" s="2624"/>
      <c r="N284" s="2624"/>
      <c r="O284" s="2624"/>
      <c r="P284" s="2624"/>
      <c r="Q284" s="2624"/>
      <c r="R284" s="2644"/>
      <c r="S284" s="2644"/>
      <c r="T284" s="1673">
        <v>300000</v>
      </c>
      <c r="U284" s="2644" t="s">
        <v>4391</v>
      </c>
      <c r="V284" s="2644"/>
      <c r="W284" s="2644">
        <v>5</v>
      </c>
      <c r="X284" s="2644" t="s">
        <v>4570</v>
      </c>
      <c r="Y284" s="1140" t="s">
        <v>4393</v>
      </c>
      <c r="Z284" s="406">
        <f t="shared" si="69"/>
        <v>1500</v>
      </c>
      <c r="AA284" s="1310">
        <f>T284*W284</f>
        <v>1500000</v>
      </c>
    </row>
    <row r="285" spans="1:30" ht="21.75" customHeight="1">
      <c r="B285" s="464"/>
      <c r="C285" s="412"/>
      <c r="D285" s="412"/>
      <c r="E285" s="412"/>
      <c r="F285" s="1134"/>
      <c r="G285" s="403"/>
      <c r="H285" s="873"/>
      <c r="I285" s="404"/>
      <c r="J285" s="409"/>
      <c r="K285" s="1670" t="s">
        <v>4580</v>
      </c>
      <c r="L285" s="2624"/>
      <c r="M285" s="2624"/>
      <c r="N285" s="2624"/>
      <c r="O285" s="2624"/>
      <c r="P285" s="2624"/>
      <c r="Q285" s="2624"/>
      <c r="R285" s="2644"/>
      <c r="S285" s="2644"/>
      <c r="T285" s="1672">
        <v>2000000</v>
      </c>
      <c r="U285" s="2644" t="s">
        <v>0</v>
      </c>
      <c r="V285" s="2644"/>
      <c r="W285" s="2644">
        <v>3</v>
      </c>
      <c r="X285" s="2644" t="s">
        <v>4570</v>
      </c>
      <c r="Y285" s="1140" t="s">
        <v>4393</v>
      </c>
      <c r="Z285" s="406">
        <f>AA285/1000</f>
        <v>6000</v>
      </c>
      <c r="AA285" s="407">
        <f>T285*W285</f>
        <v>6000000</v>
      </c>
    </row>
    <row r="286" spans="1:30" ht="21.75" customHeight="1">
      <c r="B286" s="464"/>
      <c r="C286" s="412"/>
      <c r="D286" s="412"/>
      <c r="E286" s="412"/>
      <c r="F286" s="1134"/>
      <c r="G286" s="403"/>
      <c r="H286" s="873"/>
      <c r="I286" s="404"/>
      <c r="J286" s="409"/>
      <c r="K286" s="1670" t="s">
        <v>4581</v>
      </c>
      <c r="L286" s="2624"/>
      <c r="M286" s="2624"/>
      <c r="N286" s="2624"/>
      <c r="O286" s="2624"/>
      <c r="P286" s="2624"/>
      <c r="Q286" s="2624"/>
      <c r="R286" s="2644"/>
      <c r="S286" s="2644"/>
      <c r="T286" s="1672">
        <v>200000</v>
      </c>
      <c r="U286" s="2644" t="s">
        <v>0</v>
      </c>
      <c r="V286" s="2644"/>
      <c r="W286" s="2644">
        <v>5</v>
      </c>
      <c r="X286" s="2644" t="s">
        <v>4570</v>
      </c>
      <c r="Y286" s="1140" t="s">
        <v>4393</v>
      </c>
      <c r="Z286" s="406">
        <f>AA286/1000</f>
        <v>1000</v>
      </c>
      <c r="AA286" s="407">
        <f>T286*W286</f>
        <v>1000000</v>
      </c>
    </row>
    <row r="287" spans="1:30" ht="21.75" customHeight="1">
      <c r="B287" s="464"/>
      <c r="C287" s="412"/>
      <c r="D287" s="412"/>
      <c r="E287" s="412"/>
      <c r="F287" s="1134" t="s">
        <v>4403</v>
      </c>
      <c r="G287" s="403">
        <f>Z287</f>
        <v>20000</v>
      </c>
      <c r="H287" s="873">
        <v>20000</v>
      </c>
      <c r="I287" s="404"/>
      <c r="J287" s="409"/>
      <c r="K287" s="2643" t="s">
        <v>4582</v>
      </c>
      <c r="L287" s="2624"/>
      <c r="M287" s="2624"/>
      <c r="N287" s="2624"/>
      <c r="O287" s="2624"/>
      <c r="P287" s="2624"/>
      <c r="Q287" s="2624"/>
      <c r="R287" s="2644"/>
      <c r="S287" s="2644"/>
      <c r="T287" s="2644">
        <v>20000000</v>
      </c>
      <c r="U287" s="2644" t="s">
        <v>4391</v>
      </c>
      <c r="V287" s="2644"/>
      <c r="W287" s="2644">
        <v>1</v>
      </c>
      <c r="X287" s="2644" t="s">
        <v>4392</v>
      </c>
      <c r="Y287" s="1140" t="s">
        <v>4393</v>
      </c>
      <c r="Z287" s="406">
        <f t="shared" ref="Z287:Z290" si="71">AA287/1000</f>
        <v>20000</v>
      </c>
      <c r="AA287" s="1310">
        <f t="shared" ref="AA287" si="72">W287*T287</f>
        <v>20000000</v>
      </c>
    </row>
    <row r="288" spans="1:30" ht="21.75" customHeight="1">
      <c r="B288" s="464"/>
      <c r="C288" s="412"/>
      <c r="D288" s="412"/>
      <c r="E288" s="412"/>
      <c r="F288" s="1134" t="s">
        <v>4566</v>
      </c>
      <c r="G288" s="403">
        <f>Z288</f>
        <v>6000</v>
      </c>
      <c r="H288" s="873">
        <v>6000</v>
      </c>
      <c r="I288" s="404"/>
      <c r="J288" s="409"/>
      <c r="K288" s="2643" t="s">
        <v>4583</v>
      </c>
      <c r="L288" s="2624"/>
      <c r="M288" s="2624"/>
      <c r="N288" s="2624"/>
      <c r="O288" s="2624"/>
      <c r="P288" s="2624"/>
      <c r="Q288" s="2624"/>
      <c r="R288" s="2644">
        <v>2</v>
      </c>
      <c r="S288" s="2644" t="s">
        <v>4584</v>
      </c>
      <c r="T288" s="2644">
        <v>500000</v>
      </c>
      <c r="U288" s="2644" t="s">
        <v>4391</v>
      </c>
      <c r="V288" s="2644"/>
      <c r="W288" s="2644">
        <v>6</v>
      </c>
      <c r="X288" s="2644" t="s">
        <v>4400</v>
      </c>
      <c r="Y288" s="1140" t="s">
        <v>4393</v>
      </c>
      <c r="Z288" s="406">
        <f t="shared" si="71"/>
        <v>6000</v>
      </c>
      <c r="AA288" s="1310">
        <f>W288*T288*R288</f>
        <v>6000000</v>
      </c>
    </row>
    <row r="289" spans="1:30" ht="21.75" customHeight="1">
      <c r="B289" s="411"/>
      <c r="C289" s="412"/>
      <c r="D289" s="412"/>
      <c r="E289" s="412"/>
      <c r="F289" s="1134" t="s">
        <v>4428</v>
      </c>
      <c r="G289" s="403">
        <f>Z289</f>
        <v>12500</v>
      </c>
      <c r="H289" s="873">
        <v>12500</v>
      </c>
      <c r="I289" s="404"/>
      <c r="J289" s="409"/>
      <c r="K289" s="2643" t="s">
        <v>4397</v>
      </c>
      <c r="L289" s="2624"/>
      <c r="M289" s="2624"/>
      <c r="N289" s="2624"/>
      <c r="O289" s="2624"/>
      <c r="P289" s="2624"/>
      <c r="Q289" s="2624"/>
      <c r="R289" s="2624"/>
      <c r="S289" s="405"/>
      <c r="T289" s="1672"/>
      <c r="U289" s="2644"/>
      <c r="V289" s="2644"/>
      <c r="W289" s="2644"/>
      <c r="X289" s="2644"/>
      <c r="Y289" s="1140" t="s">
        <v>4410</v>
      </c>
      <c r="Z289" s="406">
        <f t="shared" si="71"/>
        <v>12500</v>
      </c>
      <c r="AA289" s="407">
        <f>SUM(AA290:AA292)</f>
        <v>12500000</v>
      </c>
    </row>
    <row r="290" spans="1:30" ht="21.75" customHeight="1">
      <c r="B290" s="411"/>
      <c r="C290" s="412"/>
      <c r="D290" s="412"/>
      <c r="E290" s="412"/>
      <c r="F290" s="1134"/>
      <c r="G290" s="403"/>
      <c r="H290" s="873"/>
      <c r="I290" s="404"/>
      <c r="J290" s="409"/>
      <c r="K290" s="1670" t="s">
        <v>4585</v>
      </c>
      <c r="L290" s="2624"/>
      <c r="M290" s="2624"/>
      <c r="N290" s="2624"/>
      <c r="O290" s="2624"/>
      <c r="P290" s="2624"/>
      <c r="Q290" s="2624"/>
      <c r="R290" s="2644"/>
      <c r="S290" s="2644"/>
      <c r="T290" s="1673">
        <v>500000</v>
      </c>
      <c r="U290" s="2644" t="s">
        <v>4391</v>
      </c>
      <c r="V290" s="2644"/>
      <c r="W290" s="2644">
        <v>16</v>
      </c>
      <c r="X290" s="2644" t="s">
        <v>4586</v>
      </c>
      <c r="Y290" s="1140" t="s">
        <v>4393</v>
      </c>
      <c r="Z290" s="406">
        <f t="shared" si="71"/>
        <v>8000</v>
      </c>
      <c r="AA290" s="1310">
        <f>T290*W290</f>
        <v>8000000</v>
      </c>
    </row>
    <row r="291" spans="1:30" ht="21.75" customHeight="1">
      <c r="B291" s="411"/>
      <c r="C291" s="412"/>
      <c r="D291" s="412"/>
      <c r="E291" s="412"/>
      <c r="F291" s="1134"/>
      <c r="G291" s="403"/>
      <c r="H291" s="873"/>
      <c r="I291" s="404"/>
      <c r="J291" s="409"/>
      <c r="K291" s="1670" t="s">
        <v>4587</v>
      </c>
      <c r="L291" s="2624"/>
      <c r="M291" s="2624"/>
      <c r="N291" s="2624"/>
      <c r="O291" s="2624"/>
      <c r="P291" s="2624"/>
      <c r="Q291" s="2624"/>
      <c r="R291" s="2644"/>
      <c r="S291" s="2644"/>
      <c r="T291" s="1672">
        <v>500000</v>
      </c>
      <c r="U291" s="2644" t="s">
        <v>0</v>
      </c>
      <c r="V291" s="2644"/>
      <c r="W291" s="2644">
        <v>8</v>
      </c>
      <c r="X291" s="2644" t="s">
        <v>4400</v>
      </c>
      <c r="Y291" s="1140" t="s">
        <v>4393</v>
      </c>
      <c r="Z291" s="406">
        <f>AA291/1000</f>
        <v>4000</v>
      </c>
      <c r="AA291" s="407">
        <f>W291*T291</f>
        <v>4000000</v>
      </c>
    </row>
    <row r="292" spans="1:30" ht="21.75" customHeight="1">
      <c r="B292" s="411"/>
      <c r="C292" s="412"/>
      <c r="D292" s="412"/>
      <c r="E292" s="412"/>
      <c r="F292" s="1134"/>
      <c r="G292" s="403"/>
      <c r="H292" s="873"/>
      <c r="I292" s="404"/>
      <c r="J292" s="409"/>
      <c r="K292" s="1670" t="s">
        <v>4588</v>
      </c>
      <c r="L292" s="2624"/>
      <c r="M292" s="2624"/>
      <c r="N292" s="2624"/>
      <c r="O292" s="2624"/>
      <c r="P292" s="2624"/>
      <c r="Q292" s="2624"/>
      <c r="R292" s="2644"/>
      <c r="S292" s="2644"/>
      <c r="T292" s="1672">
        <v>500000</v>
      </c>
      <c r="U292" s="2644" t="s">
        <v>0</v>
      </c>
      <c r="V292" s="2644"/>
      <c r="W292" s="2644">
        <v>1</v>
      </c>
      <c r="X292" s="2644" t="s">
        <v>4400</v>
      </c>
      <c r="Y292" s="1140" t="s">
        <v>4393</v>
      </c>
      <c r="Z292" s="406">
        <f>AA292/1000</f>
        <v>500</v>
      </c>
      <c r="AA292" s="407">
        <f>W292*T292</f>
        <v>500000</v>
      </c>
    </row>
    <row r="293" spans="1:30" s="592" customFormat="1" ht="21.75" customHeight="1">
      <c r="A293" s="608"/>
      <c r="B293" s="411"/>
      <c r="C293" s="412"/>
      <c r="D293" s="1671"/>
      <c r="E293" s="3266" t="s">
        <v>4589</v>
      </c>
      <c r="F293" s="3267"/>
      <c r="G293" s="1683">
        <f>SUM(G294:G300)</f>
        <v>63380</v>
      </c>
      <c r="H293" s="1683">
        <f>SUM(H294:H300)</f>
        <v>63380</v>
      </c>
      <c r="I293" s="461">
        <f>G293-H293</f>
        <v>0</v>
      </c>
      <c r="J293" s="409"/>
      <c r="K293" s="1135"/>
      <c r="L293" s="2598"/>
      <c r="M293" s="2598"/>
      <c r="N293" s="2598"/>
      <c r="O293" s="2598"/>
      <c r="P293" s="2598"/>
      <c r="Q293" s="2598"/>
      <c r="R293" s="2598"/>
      <c r="S293" s="395"/>
      <c r="T293" s="1136"/>
      <c r="U293" s="1136"/>
      <c r="V293" s="1136"/>
      <c r="W293" s="1136"/>
      <c r="X293" s="1136"/>
      <c r="Y293" s="1138"/>
      <c r="Z293" s="431"/>
      <c r="AA293" s="463"/>
      <c r="AB293" s="301"/>
      <c r="AC293" s="301"/>
      <c r="AD293" s="271"/>
    </row>
    <row r="294" spans="1:30" s="592" customFormat="1" ht="21.75" customHeight="1">
      <c r="A294" s="608"/>
      <c r="B294" s="464"/>
      <c r="C294" s="412"/>
      <c r="D294" s="1671"/>
      <c r="E294" s="433"/>
      <c r="F294" s="1134" t="s">
        <v>4590</v>
      </c>
      <c r="G294" s="403">
        <f>Z294</f>
        <v>5430</v>
      </c>
      <c r="H294" s="873">
        <v>5430</v>
      </c>
      <c r="I294" s="404"/>
      <c r="J294" s="409"/>
      <c r="K294" s="2643" t="s">
        <v>4397</v>
      </c>
      <c r="L294" s="2624"/>
      <c r="M294" s="2624"/>
      <c r="N294" s="2624"/>
      <c r="O294" s="2624"/>
      <c r="P294" s="2624"/>
      <c r="Q294" s="2624"/>
      <c r="R294" s="2624"/>
      <c r="S294" s="405"/>
      <c r="T294" s="1672"/>
      <c r="U294" s="2644"/>
      <c r="V294" s="2644"/>
      <c r="W294" s="2644"/>
      <c r="X294" s="2644"/>
      <c r="Y294" s="1140" t="s">
        <v>4410</v>
      </c>
      <c r="Z294" s="406">
        <f t="shared" ref="Z294:Z300" si="73">AA294/1000</f>
        <v>5430</v>
      </c>
      <c r="AA294" s="407">
        <f>+AA295+AA296</f>
        <v>5430000</v>
      </c>
      <c r="AB294" s="301"/>
      <c r="AC294" s="301"/>
      <c r="AD294" s="271"/>
    </row>
    <row r="295" spans="1:30" s="592" customFormat="1" ht="21.75" customHeight="1">
      <c r="A295" s="608"/>
      <c r="B295" s="464"/>
      <c r="C295" s="412"/>
      <c r="D295" s="1671"/>
      <c r="E295" s="433"/>
      <c r="F295" s="1134"/>
      <c r="G295" s="403"/>
      <c r="H295" s="873"/>
      <c r="I295" s="404"/>
      <c r="J295" s="409"/>
      <c r="K295" s="1670" t="s">
        <v>4591</v>
      </c>
      <c r="L295" s="2624"/>
      <c r="M295" s="2624"/>
      <c r="N295" s="2624"/>
      <c r="O295" s="2624"/>
      <c r="P295" s="2624"/>
      <c r="Q295" s="2624"/>
      <c r="R295" s="2644"/>
      <c r="S295" s="2644"/>
      <c r="T295" s="1673">
        <v>4000000</v>
      </c>
      <c r="U295" s="2644" t="s">
        <v>4391</v>
      </c>
      <c r="V295" s="2644"/>
      <c r="W295" s="2644">
        <v>1</v>
      </c>
      <c r="X295" s="2644" t="s">
        <v>4564</v>
      </c>
      <c r="Y295" s="1140" t="s">
        <v>4393</v>
      </c>
      <c r="Z295" s="406">
        <f t="shared" si="73"/>
        <v>4000</v>
      </c>
      <c r="AA295" s="1310">
        <f>T295*W295</f>
        <v>4000000</v>
      </c>
      <c r="AB295" s="301"/>
      <c r="AC295" s="301"/>
      <c r="AD295" s="271"/>
    </row>
    <row r="296" spans="1:30" s="592" customFormat="1" ht="21.75" customHeight="1">
      <c r="A296" s="608"/>
      <c r="B296" s="464"/>
      <c r="C296" s="412"/>
      <c r="D296" s="1671"/>
      <c r="E296" s="433"/>
      <c r="F296" s="1134"/>
      <c r="G296" s="403"/>
      <c r="H296" s="873"/>
      <c r="I296" s="404"/>
      <c r="J296" s="409"/>
      <c r="K296" s="1670" t="s">
        <v>4592</v>
      </c>
      <c r="L296" s="2624"/>
      <c r="M296" s="2624"/>
      <c r="N296" s="2624"/>
      <c r="O296" s="2624"/>
      <c r="P296" s="2624"/>
      <c r="Q296" s="2624"/>
      <c r="R296" s="2644"/>
      <c r="S296" s="2644"/>
      <c r="T296" s="1673">
        <v>130000</v>
      </c>
      <c r="U296" s="2644" t="s">
        <v>4391</v>
      </c>
      <c r="V296" s="2644"/>
      <c r="W296" s="2644">
        <v>11</v>
      </c>
      <c r="X296" s="2644" t="s">
        <v>4593</v>
      </c>
      <c r="Y296" s="1140" t="s">
        <v>4393</v>
      </c>
      <c r="Z296" s="406">
        <f t="shared" si="73"/>
        <v>1430</v>
      </c>
      <c r="AA296" s="1310">
        <f>T296*W296</f>
        <v>1430000</v>
      </c>
      <c r="AB296" s="301"/>
      <c r="AC296" s="301"/>
      <c r="AD296" s="271"/>
    </row>
    <row r="297" spans="1:30" ht="21.75" customHeight="1">
      <c r="B297" s="464"/>
      <c r="C297" s="412"/>
      <c r="D297" s="412"/>
      <c r="E297" s="412"/>
      <c r="F297" s="1134" t="s">
        <v>4403</v>
      </c>
      <c r="G297" s="403">
        <f>Z297</f>
        <v>53000</v>
      </c>
      <c r="H297" s="873">
        <v>53000</v>
      </c>
      <c r="I297" s="404"/>
      <c r="J297" s="409"/>
      <c r="K297" s="2643" t="s">
        <v>4397</v>
      </c>
      <c r="L297" s="2624"/>
      <c r="M297" s="2624"/>
      <c r="N297" s="2624"/>
      <c r="O297" s="2624"/>
      <c r="P297" s="2624"/>
      <c r="Q297" s="2624"/>
      <c r="R297" s="2624"/>
      <c r="S297" s="405"/>
      <c r="T297" s="1672"/>
      <c r="U297" s="2644"/>
      <c r="V297" s="2644"/>
      <c r="W297" s="2644"/>
      <c r="X297" s="2644"/>
      <c r="Y297" s="1140" t="s">
        <v>4410</v>
      </c>
      <c r="Z297" s="406">
        <f t="shared" si="73"/>
        <v>53000</v>
      </c>
      <c r="AA297" s="407">
        <f>+AA298+AA299</f>
        <v>53000000</v>
      </c>
    </row>
    <row r="298" spans="1:30" ht="21.75" customHeight="1">
      <c r="B298" s="464"/>
      <c r="C298" s="412"/>
      <c r="D298" s="412"/>
      <c r="E298" s="412"/>
      <c r="F298" s="1134"/>
      <c r="G298" s="403"/>
      <c r="H298" s="873"/>
      <c r="I298" s="404"/>
      <c r="J298" s="409"/>
      <c r="K298" s="1670" t="s">
        <v>4594</v>
      </c>
      <c r="L298" s="2624"/>
      <c r="M298" s="2624"/>
      <c r="N298" s="2624"/>
      <c r="O298" s="2624"/>
      <c r="P298" s="2624"/>
      <c r="Q298" s="2624"/>
      <c r="R298" s="2644"/>
      <c r="S298" s="2644"/>
      <c r="T298" s="1673">
        <v>800000</v>
      </c>
      <c r="U298" s="2644" t="s">
        <v>4391</v>
      </c>
      <c r="V298" s="2644"/>
      <c r="W298" s="2644">
        <v>60</v>
      </c>
      <c r="X298" s="2644" t="s">
        <v>4595</v>
      </c>
      <c r="Y298" s="1140" t="s">
        <v>4393</v>
      </c>
      <c r="Z298" s="406">
        <f t="shared" si="73"/>
        <v>48000</v>
      </c>
      <c r="AA298" s="1310">
        <f>T298*W298</f>
        <v>48000000</v>
      </c>
    </row>
    <row r="299" spans="1:30" ht="21.75" customHeight="1">
      <c r="B299" s="464"/>
      <c r="C299" s="412"/>
      <c r="D299" s="412"/>
      <c r="E299" s="412"/>
      <c r="F299" s="1134"/>
      <c r="G299" s="403"/>
      <c r="H299" s="873"/>
      <c r="I299" s="404"/>
      <c r="J299" s="409"/>
      <c r="K299" s="1670" t="s">
        <v>4596</v>
      </c>
      <c r="L299" s="2624"/>
      <c r="M299" s="2624"/>
      <c r="N299" s="2624"/>
      <c r="O299" s="2624"/>
      <c r="P299" s="2624"/>
      <c r="Q299" s="2624"/>
      <c r="R299" s="2644"/>
      <c r="S299" s="2644"/>
      <c r="T299" s="1673">
        <v>5000000</v>
      </c>
      <c r="U299" s="2644" t="s">
        <v>4391</v>
      </c>
      <c r="V299" s="2644"/>
      <c r="W299" s="2644">
        <v>1</v>
      </c>
      <c r="X299" s="2644" t="s">
        <v>4564</v>
      </c>
      <c r="Y299" s="1140" t="s">
        <v>4393</v>
      </c>
      <c r="Z299" s="406">
        <f t="shared" si="73"/>
        <v>5000</v>
      </c>
      <c r="AA299" s="1310">
        <f>T299*W299</f>
        <v>5000000</v>
      </c>
    </row>
    <row r="300" spans="1:30" ht="21.75" customHeight="1">
      <c r="B300" s="464"/>
      <c r="C300" s="412"/>
      <c r="D300" s="412"/>
      <c r="E300" s="412"/>
      <c r="F300" s="1134" t="s">
        <v>4566</v>
      </c>
      <c r="G300" s="403">
        <f>Z300</f>
        <v>4950</v>
      </c>
      <c r="H300" s="873">
        <v>4950</v>
      </c>
      <c r="I300" s="404"/>
      <c r="J300" s="409"/>
      <c r="K300" s="2643" t="s">
        <v>4597</v>
      </c>
      <c r="L300" s="2624"/>
      <c r="M300" s="2624"/>
      <c r="N300" s="2624"/>
      <c r="O300" s="2624"/>
      <c r="P300" s="2624"/>
      <c r="Q300" s="2624"/>
      <c r="R300" s="2644">
        <v>1</v>
      </c>
      <c r="S300" s="2644" t="s">
        <v>4584</v>
      </c>
      <c r="T300" s="2644">
        <v>450000</v>
      </c>
      <c r="U300" s="2644" t="s">
        <v>4391</v>
      </c>
      <c r="V300" s="2644"/>
      <c r="W300" s="2644">
        <v>11</v>
      </c>
      <c r="X300" s="2644" t="s">
        <v>4442</v>
      </c>
      <c r="Y300" s="1140" t="s">
        <v>4393</v>
      </c>
      <c r="Z300" s="406">
        <f t="shared" si="73"/>
        <v>4950</v>
      </c>
      <c r="AA300" s="1310">
        <f>W300*T300*R300</f>
        <v>4950000</v>
      </c>
    </row>
    <row r="301" spans="1:30" s="592" customFormat="1" ht="24" customHeight="1">
      <c r="A301" s="608"/>
      <c r="B301" s="411"/>
      <c r="C301" s="412"/>
      <c r="D301" s="1671"/>
      <c r="E301" s="3266" t="s">
        <v>4598</v>
      </c>
      <c r="F301" s="3267"/>
      <c r="G301" s="1683">
        <f>SUM(G302:G316)</f>
        <v>35000</v>
      </c>
      <c r="H301" s="1683">
        <f>SUM(H302:H316)</f>
        <v>35000</v>
      </c>
      <c r="I301" s="461">
        <f>G301-H301</f>
        <v>0</v>
      </c>
      <c r="J301" s="409"/>
      <c r="K301" s="1135"/>
      <c r="L301" s="2598"/>
      <c r="M301" s="2598"/>
      <c r="N301" s="2598"/>
      <c r="O301" s="2598"/>
      <c r="P301" s="2598"/>
      <c r="Q301" s="2598"/>
      <c r="R301" s="2598"/>
      <c r="S301" s="395"/>
      <c r="T301" s="1136"/>
      <c r="U301" s="1136"/>
      <c r="V301" s="1136"/>
      <c r="W301" s="1136"/>
      <c r="X301" s="1136"/>
      <c r="Y301" s="1138"/>
      <c r="Z301" s="431"/>
      <c r="AA301" s="463"/>
      <c r="AB301" s="301"/>
      <c r="AC301" s="301"/>
      <c r="AD301" s="271"/>
    </row>
    <row r="302" spans="1:30" ht="24" customHeight="1">
      <c r="B302" s="464"/>
      <c r="C302" s="412"/>
      <c r="D302" s="412"/>
      <c r="E302" s="412"/>
      <c r="F302" s="1134" t="s">
        <v>4425</v>
      </c>
      <c r="G302" s="403">
        <f>Z302</f>
        <v>5000</v>
      </c>
      <c r="H302" s="873">
        <v>5000</v>
      </c>
      <c r="I302" s="404"/>
      <c r="J302" s="409"/>
      <c r="K302" s="2643" t="s">
        <v>4397</v>
      </c>
      <c r="L302" s="2624"/>
      <c r="M302" s="2624"/>
      <c r="N302" s="2624"/>
      <c r="O302" s="2624"/>
      <c r="P302" s="2624"/>
      <c r="Q302" s="2624"/>
      <c r="R302" s="2624"/>
      <c r="S302" s="405"/>
      <c r="T302" s="1672"/>
      <c r="U302" s="2644"/>
      <c r="V302" s="2644"/>
      <c r="W302" s="2644"/>
      <c r="X302" s="2644"/>
      <c r="Y302" s="1140" t="s">
        <v>4410</v>
      </c>
      <c r="Z302" s="406">
        <f t="shared" ref="Z302:Z303" si="74">AA302/1000</f>
        <v>5000</v>
      </c>
      <c r="AA302" s="407">
        <f>+AA303+AA304</f>
        <v>5000000</v>
      </c>
    </row>
    <row r="303" spans="1:30" ht="24" customHeight="1">
      <c r="B303" s="464"/>
      <c r="C303" s="412"/>
      <c r="D303" s="412"/>
      <c r="E303" s="412"/>
      <c r="F303" s="1134"/>
      <c r="G303" s="403"/>
      <c r="H303" s="873"/>
      <c r="I303" s="404"/>
      <c r="J303" s="409"/>
      <c r="K303" s="1670" t="s">
        <v>4599</v>
      </c>
      <c r="L303" s="2624"/>
      <c r="M303" s="2624"/>
      <c r="N303" s="2624"/>
      <c r="O303" s="2624"/>
      <c r="P303" s="2624"/>
      <c r="Q303" s="2624"/>
      <c r="R303" s="2644"/>
      <c r="S303" s="2644"/>
      <c r="T303" s="1673">
        <v>2000000</v>
      </c>
      <c r="U303" s="2644" t="s">
        <v>4391</v>
      </c>
      <c r="V303" s="2644"/>
      <c r="W303" s="2644">
        <v>1</v>
      </c>
      <c r="X303" s="2644" t="s">
        <v>4564</v>
      </c>
      <c r="Y303" s="1140" t="s">
        <v>4393</v>
      </c>
      <c r="Z303" s="406">
        <f t="shared" si="74"/>
        <v>2000</v>
      </c>
      <c r="AA303" s="1310">
        <f>T303*W303</f>
        <v>2000000</v>
      </c>
    </row>
    <row r="304" spans="1:30" ht="24" customHeight="1">
      <c r="B304" s="464"/>
      <c r="C304" s="412"/>
      <c r="D304" s="412"/>
      <c r="E304" s="412"/>
      <c r="F304" s="1134"/>
      <c r="G304" s="403"/>
      <c r="H304" s="873"/>
      <c r="I304" s="404"/>
      <c r="J304" s="409"/>
      <c r="K304" s="1670" t="s">
        <v>4600</v>
      </c>
      <c r="L304" s="2624"/>
      <c r="M304" s="2624"/>
      <c r="N304" s="2624"/>
      <c r="O304" s="2624"/>
      <c r="P304" s="2624"/>
      <c r="Q304" s="2624"/>
      <c r="R304" s="2644"/>
      <c r="S304" s="2644"/>
      <c r="T304" s="1672">
        <v>2000</v>
      </c>
      <c r="U304" s="2644" t="s">
        <v>0</v>
      </c>
      <c r="V304" s="2644"/>
      <c r="W304" s="2644">
        <v>1500</v>
      </c>
      <c r="X304" s="2644" t="s">
        <v>4601</v>
      </c>
      <c r="Y304" s="1140" t="s">
        <v>4393</v>
      </c>
      <c r="Z304" s="406">
        <f>AA304/1000</f>
        <v>3000</v>
      </c>
      <c r="AA304" s="407">
        <f>T304*W304</f>
        <v>3000000</v>
      </c>
    </row>
    <row r="305" spans="1:30" ht="24" customHeight="1">
      <c r="B305" s="464"/>
      <c r="C305" s="412"/>
      <c r="D305" s="412"/>
      <c r="E305" s="412"/>
      <c r="F305" s="1134" t="s">
        <v>4411</v>
      </c>
      <c r="G305" s="403">
        <f>Z305</f>
        <v>1800</v>
      </c>
      <c r="H305" s="873">
        <v>1800</v>
      </c>
      <c r="I305" s="404"/>
      <c r="J305" s="409"/>
      <c r="K305" s="2643" t="s">
        <v>4602</v>
      </c>
      <c r="L305" s="2624"/>
      <c r="M305" s="2624"/>
      <c r="N305" s="2624"/>
      <c r="O305" s="2624"/>
      <c r="P305" s="2624"/>
      <c r="Q305" s="2624"/>
      <c r="R305" s="2644"/>
      <c r="S305" s="2644"/>
      <c r="T305" s="2644">
        <v>150000</v>
      </c>
      <c r="U305" s="2644" t="s">
        <v>4391</v>
      </c>
      <c r="V305" s="2644"/>
      <c r="W305" s="2644">
        <v>12</v>
      </c>
      <c r="X305" s="2644" t="s">
        <v>4442</v>
      </c>
      <c r="Y305" s="1140" t="s">
        <v>4393</v>
      </c>
      <c r="Z305" s="406">
        <f t="shared" ref="Z305:Z316" si="75">AA305/1000</f>
        <v>1800</v>
      </c>
      <c r="AA305" s="1310">
        <f t="shared" ref="AA305" si="76">W305*T305</f>
        <v>1800000</v>
      </c>
    </row>
    <row r="306" spans="1:30" ht="22.5" customHeight="1">
      <c r="B306" s="464"/>
      <c r="C306" s="412"/>
      <c r="D306" s="412"/>
      <c r="E306" s="412"/>
      <c r="F306" s="1134" t="s">
        <v>4396</v>
      </c>
      <c r="G306" s="403">
        <f>Z306</f>
        <v>4200</v>
      </c>
      <c r="H306" s="873">
        <v>4200</v>
      </c>
      <c r="I306" s="404"/>
      <c r="J306" s="409"/>
      <c r="K306" s="2643" t="s">
        <v>4397</v>
      </c>
      <c r="L306" s="2624"/>
      <c r="M306" s="2624"/>
      <c r="N306" s="2624"/>
      <c r="O306" s="2624"/>
      <c r="P306" s="2624"/>
      <c r="Q306" s="2624"/>
      <c r="R306" s="2624"/>
      <c r="S306" s="405"/>
      <c r="T306" s="1672"/>
      <c r="U306" s="2644"/>
      <c r="V306" s="2644"/>
      <c r="W306" s="2644"/>
      <c r="X306" s="2644"/>
      <c r="Y306" s="1140" t="s">
        <v>4410</v>
      </c>
      <c r="Z306" s="406">
        <f t="shared" si="75"/>
        <v>4200</v>
      </c>
      <c r="AA306" s="407">
        <f>SUM(AA307:AA309)</f>
        <v>4200000</v>
      </c>
    </row>
    <row r="307" spans="1:30" ht="22.5" customHeight="1">
      <c r="B307" s="464"/>
      <c r="C307" s="412"/>
      <c r="D307" s="412"/>
      <c r="E307" s="412"/>
      <c r="F307" s="1134"/>
      <c r="G307" s="403"/>
      <c r="H307" s="873"/>
      <c r="I307" s="404"/>
      <c r="J307" s="409"/>
      <c r="K307" s="1670" t="s">
        <v>4603</v>
      </c>
      <c r="L307" s="2624"/>
      <c r="M307" s="2624"/>
      <c r="N307" s="2624"/>
      <c r="O307" s="2624"/>
      <c r="P307" s="2624"/>
      <c r="Q307" s="2624"/>
      <c r="R307" s="2644"/>
      <c r="S307" s="2644"/>
      <c r="T307" s="1673">
        <v>2000000</v>
      </c>
      <c r="U307" s="2644" t="s">
        <v>4391</v>
      </c>
      <c r="V307" s="2644"/>
      <c r="W307" s="2644">
        <v>1</v>
      </c>
      <c r="X307" s="2644" t="s">
        <v>4564</v>
      </c>
      <c r="Y307" s="1140" t="s">
        <v>4393</v>
      </c>
      <c r="Z307" s="406">
        <f t="shared" si="75"/>
        <v>2000</v>
      </c>
      <c r="AA307" s="1310">
        <f>T307*W307</f>
        <v>2000000</v>
      </c>
    </row>
    <row r="308" spans="1:30" ht="22.5" customHeight="1">
      <c r="B308" s="464"/>
      <c r="C308" s="412"/>
      <c r="D308" s="412"/>
      <c r="E308" s="412"/>
      <c r="F308" s="1134"/>
      <c r="G308" s="403"/>
      <c r="H308" s="873"/>
      <c r="I308" s="404"/>
      <c r="J308" s="409"/>
      <c r="K308" s="1670" t="s">
        <v>4604</v>
      </c>
      <c r="L308" s="2624"/>
      <c r="M308" s="2624"/>
      <c r="N308" s="2624"/>
      <c r="O308" s="2624"/>
      <c r="P308" s="2624"/>
      <c r="Q308" s="2624"/>
      <c r="R308" s="2644"/>
      <c r="S308" s="2644"/>
      <c r="T308" s="1673">
        <v>1000000</v>
      </c>
      <c r="U308" s="2644" t="s">
        <v>4391</v>
      </c>
      <c r="V308" s="2644"/>
      <c r="W308" s="2644">
        <v>1</v>
      </c>
      <c r="X308" s="2644" t="s">
        <v>4564</v>
      </c>
      <c r="Y308" s="1140" t="s">
        <v>4393</v>
      </c>
      <c r="Z308" s="406">
        <f t="shared" si="75"/>
        <v>1000</v>
      </c>
      <c r="AA308" s="1310">
        <f>T308*W308</f>
        <v>1000000</v>
      </c>
    </row>
    <row r="309" spans="1:30" ht="22.5" customHeight="1">
      <c r="B309" s="464"/>
      <c r="C309" s="412"/>
      <c r="D309" s="412"/>
      <c r="E309" s="412"/>
      <c r="F309" s="1134"/>
      <c r="G309" s="403"/>
      <c r="H309" s="873"/>
      <c r="I309" s="404"/>
      <c r="J309" s="409"/>
      <c r="K309" s="1670" t="s">
        <v>4605</v>
      </c>
      <c r="L309" s="2624"/>
      <c r="M309" s="2624"/>
      <c r="N309" s="2624"/>
      <c r="O309" s="2624"/>
      <c r="P309" s="2624"/>
      <c r="Q309" s="2624"/>
      <c r="R309" s="2644"/>
      <c r="S309" s="2644"/>
      <c r="T309" s="1673">
        <v>300000</v>
      </c>
      <c r="U309" s="2644" t="s">
        <v>4391</v>
      </c>
      <c r="V309" s="2644"/>
      <c r="W309" s="2644">
        <v>4</v>
      </c>
      <c r="X309" s="2644" t="s">
        <v>4570</v>
      </c>
      <c r="Y309" s="1140" t="s">
        <v>4393</v>
      </c>
      <c r="Z309" s="406">
        <f t="shared" si="75"/>
        <v>1200</v>
      </c>
      <c r="AA309" s="1310">
        <f>T309*W309</f>
        <v>1200000</v>
      </c>
    </row>
    <row r="310" spans="1:30" ht="22.5" customHeight="1">
      <c r="B310" s="464"/>
      <c r="C310" s="412"/>
      <c r="D310" s="412"/>
      <c r="E310" s="412"/>
      <c r="F310" s="1134" t="s">
        <v>4403</v>
      </c>
      <c r="G310" s="403">
        <f>Z310</f>
        <v>15000</v>
      </c>
      <c r="H310" s="873">
        <v>15000</v>
      </c>
      <c r="I310" s="404"/>
      <c r="J310" s="409"/>
      <c r="K310" s="2643" t="s">
        <v>4397</v>
      </c>
      <c r="L310" s="2624"/>
      <c r="M310" s="2624"/>
      <c r="N310" s="2624"/>
      <c r="O310" s="2624"/>
      <c r="P310" s="2624"/>
      <c r="Q310" s="2624"/>
      <c r="R310" s="2624"/>
      <c r="S310" s="405"/>
      <c r="T310" s="1672"/>
      <c r="U310" s="2644"/>
      <c r="V310" s="2644"/>
      <c r="W310" s="2644"/>
      <c r="X310" s="2644"/>
      <c r="Y310" s="1140" t="s">
        <v>4410</v>
      </c>
      <c r="Z310" s="406">
        <f t="shared" si="75"/>
        <v>15000</v>
      </c>
      <c r="AA310" s="407">
        <f>+AA311+AA312+AA313</f>
        <v>15000000</v>
      </c>
    </row>
    <row r="311" spans="1:30" ht="22.5" customHeight="1">
      <c r="B311" s="411"/>
      <c r="C311" s="412"/>
      <c r="D311" s="412"/>
      <c r="E311" s="412"/>
      <c r="F311" s="1134"/>
      <c r="G311" s="403"/>
      <c r="H311" s="873"/>
      <c r="I311" s="404"/>
      <c r="J311" s="409"/>
      <c r="K311" s="1670" t="s">
        <v>4606</v>
      </c>
      <c r="L311" s="2624"/>
      <c r="M311" s="2624"/>
      <c r="N311" s="2624"/>
      <c r="O311" s="2624"/>
      <c r="P311" s="2624"/>
      <c r="Q311" s="2624"/>
      <c r="R311" s="2644"/>
      <c r="S311" s="2644"/>
      <c r="T311" s="1673">
        <v>4000000</v>
      </c>
      <c r="U311" s="2644" t="s">
        <v>4391</v>
      </c>
      <c r="V311" s="2644"/>
      <c r="W311" s="2644">
        <v>1</v>
      </c>
      <c r="X311" s="2644" t="s">
        <v>4564</v>
      </c>
      <c r="Y311" s="1140" t="s">
        <v>4393</v>
      </c>
      <c r="Z311" s="406">
        <f t="shared" si="75"/>
        <v>4000</v>
      </c>
      <c r="AA311" s="1310">
        <f>T311*W311</f>
        <v>4000000</v>
      </c>
    </row>
    <row r="312" spans="1:30" ht="22.5" customHeight="1">
      <c r="B312" s="411"/>
      <c r="C312" s="412"/>
      <c r="D312" s="412"/>
      <c r="E312" s="412"/>
      <c r="F312" s="1134"/>
      <c r="G312" s="403"/>
      <c r="H312" s="873"/>
      <c r="I312" s="404"/>
      <c r="J312" s="409"/>
      <c r="K312" s="1670" t="s">
        <v>4607</v>
      </c>
      <c r="L312" s="2624"/>
      <c r="M312" s="2624"/>
      <c r="N312" s="2624"/>
      <c r="O312" s="2624"/>
      <c r="P312" s="2624"/>
      <c r="Q312" s="2624"/>
      <c r="R312" s="2644"/>
      <c r="S312" s="2644"/>
      <c r="T312" s="1673">
        <v>8000000</v>
      </c>
      <c r="U312" s="2644" t="s">
        <v>4391</v>
      </c>
      <c r="V312" s="2644"/>
      <c r="W312" s="2644">
        <v>1</v>
      </c>
      <c r="X312" s="2644" t="s">
        <v>4564</v>
      </c>
      <c r="Y312" s="1140" t="s">
        <v>4393</v>
      </c>
      <c r="Z312" s="406">
        <f t="shared" si="75"/>
        <v>8000</v>
      </c>
      <c r="AA312" s="1310">
        <f>T312*W312</f>
        <v>8000000</v>
      </c>
    </row>
    <row r="313" spans="1:30" ht="22.5" customHeight="1">
      <c r="B313" s="411"/>
      <c r="C313" s="412"/>
      <c r="D313" s="412"/>
      <c r="E313" s="412"/>
      <c r="F313" s="1134"/>
      <c r="G313" s="403"/>
      <c r="H313" s="873"/>
      <c r="I313" s="404"/>
      <c r="J313" s="409"/>
      <c r="K313" s="1670" t="s">
        <v>4608</v>
      </c>
      <c r="L313" s="2624"/>
      <c r="M313" s="2624"/>
      <c r="N313" s="2624"/>
      <c r="O313" s="2624"/>
      <c r="P313" s="2624"/>
      <c r="Q313" s="2624"/>
      <c r="R313" s="2644"/>
      <c r="S313" s="2644"/>
      <c r="T313" s="1673">
        <v>3000000</v>
      </c>
      <c r="U313" s="2644" t="s">
        <v>4391</v>
      </c>
      <c r="V313" s="2644"/>
      <c r="W313" s="2644">
        <v>1</v>
      </c>
      <c r="X313" s="2644" t="s">
        <v>4564</v>
      </c>
      <c r="Y313" s="1140" t="s">
        <v>4393</v>
      </c>
      <c r="Z313" s="406">
        <f t="shared" si="75"/>
        <v>3000</v>
      </c>
      <c r="AA313" s="1310">
        <f>T313*W313</f>
        <v>3000000</v>
      </c>
    </row>
    <row r="314" spans="1:30" ht="22.5" customHeight="1">
      <c r="B314" s="411"/>
      <c r="C314" s="412"/>
      <c r="D314" s="412"/>
      <c r="E314" s="412"/>
      <c r="F314" s="1134" t="s">
        <v>4428</v>
      </c>
      <c r="G314" s="403">
        <f>Z314</f>
        <v>9000</v>
      </c>
      <c r="H314" s="873">
        <v>9000</v>
      </c>
      <c r="I314" s="404"/>
      <c r="J314" s="409"/>
      <c r="K314" s="2643" t="s">
        <v>4397</v>
      </c>
      <c r="L314" s="2624"/>
      <c r="M314" s="2624"/>
      <c r="N314" s="2624"/>
      <c r="O314" s="2624"/>
      <c r="P314" s="2624"/>
      <c r="Q314" s="2624"/>
      <c r="R314" s="2624"/>
      <c r="S314" s="405"/>
      <c r="T314" s="1672"/>
      <c r="U314" s="2644"/>
      <c r="V314" s="2644"/>
      <c r="W314" s="2644"/>
      <c r="X314" s="2644"/>
      <c r="Y314" s="1140" t="s">
        <v>4410</v>
      </c>
      <c r="Z314" s="406">
        <f t="shared" si="75"/>
        <v>9000</v>
      </c>
      <c r="AA314" s="407">
        <f>AA315+AA316</f>
        <v>9000000</v>
      </c>
    </row>
    <row r="315" spans="1:30" ht="22.5" customHeight="1">
      <c r="B315" s="411"/>
      <c r="C315" s="412"/>
      <c r="D315" s="412"/>
      <c r="E315" s="412"/>
      <c r="F315" s="1134"/>
      <c r="G315" s="403"/>
      <c r="H315" s="873"/>
      <c r="I315" s="404"/>
      <c r="J315" s="409"/>
      <c r="K315" s="1670" t="s">
        <v>4609</v>
      </c>
      <c r="L315" s="2624"/>
      <c r="M315" s="2624"/>
      <c r="N315" s="2624"/>
      <c r="O315" s="2624"/>
      <c r="P315" s="2624"/>
      <c r="Q315" s="2624"/>
      <c r="R315" s="2644"/>
      <c r="S315" s="2644"/>
      <c r="T315" s="1673">
        <v>5000000</v>
      </c>
      <c r="U315" s="2644" t="s">
        <v>4391</v>
      </c>
      <c r="V315" s="2644"/>
      <c r="W315" s="2644">
        <v>1</v>
      </c>
      <c r="X315" s="2644" t="s">
        <v>4564</v>
      </c>
      <c r="Y315" s="1140" t="s">
        <v>4393</v>
      </c>
      <c r="Z315" s="406">
        <f t="shared" si="75"/>
        <v>5000</v>
      </c>
      <c r="AA315" s="1310">
        <f>T315*W315</f>
        <v>5000000</v>
      </c>
    </row>
    <row r="316" spans="1:30" ht="22.5" customHeight="1">
      <c r="B316" s="411"/>
      <c r="C316" s="412"/>
      <c r="D316" s="2701"/>
      <c r="E316" s="2701"/>
      <c r="F316" s="855"/>
      <c r="G316" s="403"/>
      <c r="H316" s="873"/>
      <c r="I316" s="404"/>
      <c r="J316" s="409"/>
      <c r="K316" s="1670" t="s">
        <v>4610</v>
      </c>
      <c r="L316" s="2624"/>
      <c r="M316" s="2624"/>
      <c r="N316" s="2624"/>
      <c r="O316" s="2624"/>
      <c r="P316" s="2624"/>
      <c r="Q316" s="2624"/>
      <c r="R316" s="2644"/>
      <c r="S316" s="2644"/>
      <c r="T316" s="1673">
        <v>1000000</v>
      </c>
      <c r="U316" s="2644" t="s">
        <v>4391</v>
      </c>
      <c r="V316" s="2644"/>
      <c r="W316" s="2644">
        <v>4</v>
      </c>
      <c r="X316" s="2644" t="s">
        <v>4586</v>
      </c>
      <c r="Y316" s="1140" t="s">
        <v>4393</v>
      </c>
      <c r="Z316" s="406">
        <f t="shared" si="75"/>
        <v>4000</v>
      </c>
      <c r="AA316" s="1310">
        <f>T316*W316</f>
        <v>4000000</v>
      </c>
    </row>
    <row r="317" spans="1:30" s="1635" customFormat="1" ht="24" customHeight="1">
      <c r="A317" s="1634"/>
      <c r="B317" s="396"/>
      <c r="C317" s="762" t="s">
        <v>5810</v>
      </c>
      <c r="D317" s="864"/>
      <c r="E317" s="462"/>
      <c r="F317" s="1447"/>
      <c r="G317" s="1683">
        <f>+G318</f>
        <v>900000</v>
      </c>
      <c r="H317" s="1683">
        <f>+H318</f>
        <v>0</v>
      </c>
      <c r="I317" s="468">
        <f t="shared" ref="I317" si="77">G317-H317</f>
        <v>900000</v>
      </c>
      <c r="J317" s="409"/>
      <c r="K317" s="394"/>
      <c r="L317" s="2598"/>
      <c r="M317" s="2598"/>
      <c r="N317" s="2598"/>
      <c r="O317" s="2598"/>
      <c r="P317" s="2598"/>
      <c r="Q317" s="2598"/>
      <c r="R317" s="2598"/>
      <c r="S317" s="2598"/>
      <c r="T317" s="2598"/>
      <c r="U317" s="2598"/>
      <c r="V317" s="2598"/>
      <c r="W317" s="2598"/>
      <c r="X317" s="2598"/>
      <c r="Y317" s="430"/>
      <c r="Z317" s="442"/>
      <c r="AA317" s="440"/>
      <c r="AB317" s="1633"/>
      <c r="AC317" s="1633"/>
    </row>
    <row r="318" spans="1:30" s="1638" customFormat="1" ht="24" customHeight="1">
      <c r="A318" s="1634" t="s">
        <v>4553</v>
      </c>
      <c r="B318" s="411"/>
      <c r="C318" s="412"/>
      <c r="D318" s="3455" t="s">
        <v>5810</v>
      </c>
      <c r="E318" s="3455"/>
      <c r="F318" s="3339"/>
      <c r="G318" s="600">
        <f>G319+G321</f>
        <v>900000</v>
      </c>
      <c r="H318" s="600">
        <f>H319+H321</f>
        <v>0</v>
      </c>
      <c r="I318" s="1382">
        <f>G318-H318</f>
        <v>900000</v>
      </c>
      <c r="J318" s="409"/>
      <c r="K318" s="1135"/>
      <c r="L318" s="2598"/>
      <c r="M318" s="2598"/>
      <c r="N318" s="2598"/>
      <c r="O318" s="2598"/>
      <c r="P318" s="2598"/>
      <c r="Q318" s="2598"/>
      <c r="R318" s="462"/>
      <c r="S318" s="395"/>
      <c r="T318" s="399"/>
      <c r="U318" s="1136"/>
      <c r="V318" s="1136"/>
      <c r="W318" s="1136"/>
      <c r="X318" s="1136"/>
      <c r="Y318" s="1138"/>
      <c r="Z318" s="431"/>
      <c r="AA318" s="463"/>
      <c r="AB318" s="1633"/>
      <c r="AC318" s="1633"/>
      <c r="AD318" s="1639"/>
    </row>
    <row r="319" spans="1:30" s="1638" customFormat="1" ht="24" customHeight="1">
      <c r="A319" s="1637"/>
      <c r="B319" s="411"/>
      <c r="C319" s="412"/>
      <c r="D319" s="1671"/>
      <c r="E319" s="3266" t="s">
        <v>5027</v>
      </c>
      <c r="F319" s="3267"/>
      <c r="G319" s="1683">
        <f>G320</f>
        <v>600000</v>
      </c>
      <c r="H319" s="1683">
        <f>H320</f>
        <v>0</v>
      </c>
      <c r="I319" s="461">
        <f>G319-H319</f>
        <v>600000</v>
      </c>
      <c r="J319" s="409"/>
      <c r="K319" s="1135"/>
      <c r="L319" s="2598"/>
      <c r="M319" s="2598"/>
      <c r="N319" s="2598"/>
      <c r="O319" s="2598"/>
      <c r="P319" s="2598"/>
      <c r="Q319" s="2598"/>
      <c r="R319" s="2598"/>
      <c r="S319" s="395"/>
      <c r="T319" s="1136"/>
      <c r="U319" s="1136"/>
      <c r="V319" s="1136"/>
      <c r="W319" s="1136"/>
      <c r="X319" s="1136"/>
      <c r="Y319" s="1138"/>
      <c r="Z319" s="431"/>
      <c r="AA319" s="463"/>
      <c r="AB319" s="1633"/>
      <c r="AC319" s="1633"/>
      <c r="AD319" s="1639"/>
    </row>
    <row r="320" spans="1:30" s="1643" customFormat="1" ht="24" customHeight="1">
      <c r="A320" s="1640"/>
      <c r="B320" s="464"/>
      <c r="C320" s="412"/>
      <c r="D320" s="412"/>
      <c r="E320" s="412"/>
      <c r="F320" s="1134" t="s">
        <v>5027</v>
      </c>
      <c r="G320" s="403">
        <v>600000</v>
      </c>
      <c r="H320" s="873">
        <v>0</v>
      </c>
      <c r="I320" s="404">
        <f>G320-H320</f>
        <v>600000</v>
      </c>
      <c r="J320" s="409"/>
      <c r="K320" s="2643"/>
      <c r="L320" s="2624"/>
      <c r="M320" s="2624"/>
      <c r="N320" s="2624"/>
      <c r="O320" s="2624"/>
      <c r="P320" s="2624"/>
      <c r="Q320" s="2624"/>
      <c r="R320" s="2644"/>
      <c r="S320" s="2644"/>
      <c r="T320" s="1673"/>
      <c r="U320" s="2644"/>
      <c r="V320" s="2644"/>
      <c r="W320" s="2644"/>
      <c r="X320" s="2644"/>
      <c r="Y320" s="1140"/>
      <c r="Z320" s="406"/>
      <c r="AA320" s="407"/>
      <c r="AB320" s="1641"/>
      <c r="AC320" s="1642"/>
    </row>
    <row r="321" spans="1:30" s="1638" customFormat="1" ht="24" customHeight="1">
      <c r="A321" s="1637"/>
      <c r="B321" s="411"/>
      <c r="C321" s="412"/>
      <c r="D321" s="1671"/>
      <c r="E321" s="3266" t="s">
        <v>5028</v>
      </c>
      <c r="F321" s="3267"/>
      <c r="G321" s="1683">
        <f>G322</f>
        <v>300000</v>
      </c>
      <c r="H321" s="1683">
        <f>H322</f>
        <v>0</v>
      </c>
      <c r="I321" s="461">
        <f>G321-H321</f>
        <v>300000</v>
      </c>
      <c r="J321" s="409"/>
      <c r="K321" s="1135"/>
      <c r="L321" s="2598"/>
      <c r="M321" s="2598"/>
      <c r="N321" s="2598"/>
      <c r="O321" s="2598"/>
      <c r="P321" s="2598"/>
      <c r="Q321" s="2598"/>
      <c r="R321" s="2598"/>
      <c r="S321" s="395"/>
      <c r="T321" s="1136"/>
      <c r="U321" s="1136"/>
      <c r="V321" s="1136"/>
      <c r="W321" s="1136"/>
      <c r="X321" s="1136"/>
      <c r="Y321" s="1138"/>
      <c r="Z321" s="431"/>
      <c r="AA321" s="463"/>
      <c r="AB321" s="1633"/>
      <c r="AC321" s="1633"/>
      <c r="AD321" s="1639"/>
    </row>
    <row r="322" spans="1:30" s="1643" customFormat="1" ht="24" customHeight="1">
      <c r="A322" s="1640"/>
      <c r="B322" s="3087"/>
      <c r="C322" s="2701"/>
      <c r="D322" s="2701"/>
      <c r="E322" s="2701"/>
      <c r="F322" s="1134" t="s">
        <v>5028</v>
      </c>
      <c r="G322" s="600">
        <v>300000</v>
      </c>
      <c r="H322" s="1392">
        <v>0</v>
      </c>
      <c r="I322" s="820">
        <f>G322-H322</f>
        <v>300000</v>
      </c>
      <c r="J322" s="3088"/>
      <c r="K322" s="1627"/>
      <c r="L322" s="2883"/>
      <c r="M322" s="2883"/>
      <c r="N322" s="2883"/>
      <c r="O322" s="2883"/>
      <c r="P322" s="2883"/>
      <c r="Q322" s="2883"/>
      <c r="R322" s="459"/>
      <c r="S322" s="459"/>
      <c r="T322" s="368"/>
      <c r="U322" s="459"/>
      <c r="V322" s="459"/>
      <c r="W322" s="459"/>
      <c r="X322" s="459"/>
      <c r="Y322" s="460"/>
      <c r="Z322" s="549"/>
      <c r="AA322" s="400"/>
      <c r="AB322" s="1641"/>
      <c r="AC322" s="1642"/>
    </row>
    <row r="658" spans="7:7">
      <c r="G658" s="156"/>
    </row>
    <row r="671" spans="7:7">
      <c r="G671" s="156"/>
    </row>
  </sheetData>
  <mergeCells count="21">
    <mergeCell ref="B1:Z1"/>
    <mergeCell ref="B3:F3"/>
    <mergeCell ref="G3:G4"/>
    <mergeCell ref="H3:H4"/>
    <mergeCell ref="I3:I4"/>
    <mergeCell ref="K3:Z4"/>
    <mergeCell ref="D52:F52"/>
    <mergeCell ref="D77:F77"/>
    <mergeCell ref="D108:F108"/>
    <mergeCell ref="D159:F159"/>
    <mergeCell ref="D163:F163"/>
    <mergeCell ref="I184:I187"/>
    <mergeCell ref="E301:F301"/>
    <mergeCell ref="D318:F318"/>
    <mergeCell ref="E319:F319"/>
    <mergeCell ref="E321:F321"/>
    <mergeCell ref="D209:F209"/>
    <mergeCell ref="E210:F210"/>
    <mergeCell ref="E261:F261"/>
    <mergeCell ref="E277:F277"/>
    <mergeCell ref="E293:F293"/>
  </mergeCells>
  <phoneticPr fontId="19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fitToHeight="100" orientation="landscape" useFirstPageNumber="1" r:id="rId1"/>
  <headerFooter scaleWithDoc="0" alignWithMargins="0"/>
  <rowBreaks count="2" manualBreakCount="2">
    <brk id="23" min="1" max="25" man="1"/>
    <brk id="231" min="1" max="2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09"/>
  <sheetViews>
    <sheetView view="pageBreakPreview" zoomScale="70" zoomScaleNormal="55" zoomScaleSheetLayoutView="70" workbookViewId="0">
      <pane ySplit="4" topLeftCell="A5" activePane="bottomLeft" state="frozen"/>
      <selection activeCell="A3" sqref="A3:F3"/>
      <selection pane="bottomLeft" activeCell="O28" sqref="O28"/>
    </sheetView>
  </sheetViews>
  <sheetFormatPr defaultRowHeight="21.75" customHeight="1"/>
  <cols>
    <col min="1" max="1" width="6.77734375" style="17" customWidth="1"/>
    <col min="2" max="2" width="8" style="17" customWidth="1"/>
    <col min="3" max="4" width="6.77734375" style="17" customWidth="1"/>
    <col min="5" max="5" width="16" style="17" customWidth="1"/>
    <col min="6" max="7" width="13.77734375" style="129" customWidth="1"/>
    <col min="8" max="8" width="13.77734375" style="310" customWidth="1"/>
    <col min="9" max="9" width="1.77734375" style="324" customWidth="1"/>
    <col min="10" max="10" width="18.88671875" style="94" customWidth="1"/>
    <col min="11" max="11" width="2" style="94" customWidth="1"/>
    <col min="12" max="12" width="2.5546875" style="94" customWidth="1"/>
    <col min="13" max="13" width="8.77734375" style="94" customWidth="1"/>
    <col min="14" max="14" width="10.77734375" style="94" customWidth="1"/>
    <col min="15" max="16" width="7.77734375" style="94" customWidth="1"/>
    <col min="17" max="17" width="9.5546875" style="95" customWidth="1"/>
    <col min="18" max="18" width="6.88671875" style="17" customWidth="1"/>
    <col min="19" max="19" width="14.77734375" style="17" customWidth="1"/>
    <col min="20" max="21" width="6.88671875" style="17" customWidth="1"/>
    <col min="22" max="22" width="7.44140625" style="17" customWidth="1"/>
    <col min="23" max="23" width="6.88671875" style="17" customWidth="1"/>
    <col min="24" max="24" width="3" style="17" customWidth="1"/>
    <col min="25" max="25" width="14.77734375" style="96" customWidth="1"/>
    <col min="26" max="26" width="15.77734375" style="17" customWidth="1"/>
    <col min="27" max="27" width="15.44140625" style="17" bestFit="1" customWidth="1"/>
    <col min="28" max="28" width="17.5546875" style="312" bestFit="1" customWidth="1"/>
    <col min="29" max="29" width="12.77734375" style="17" bestFit="1" customWidth="1"/>
    <col min="30" max="30" width="14.21875" style="17" bestFit="1" customWidth="1"/>
    <col min="31" max="31" width="12.77734375" style="17" bestFit="1" customWidth="1"/>
    <col min="32" max="32" width="10" style="17" bestFit="1" customWidth="1"/>
    <col min="33" max="33" width="12.77734375" style="17" bestFit="1" customWidth="1"/>
    <col min="34" max="34" width="11.33203125" style="17" bestFit="1" customWidth="1"/>
    <col min="35" max="35" width="9.6640625" style="17" bestFit="1" customWidth="1"/>
    <col min="36" max="256" width="8.88671875" style="17"/>
    <col min="257" max="260" width="6.77734375" style="17" customWidth="1"/>
    <col min="261" max="261" width="16" style="17" customWidth="1"/>
    <col min="262" max="264" width="13.77734375" style="17" customWidth="1"/>
    <col min="265" max="265" width="1.77734375" style="17" customWidth="1"/>
    <col min="266" max="266" width="2.88671875" style="17" customWidth="1"/>
    <col min="267" max="267" width="2" style="17" customWidth="1"/>
    <col min="268" max="269" width="8.77734375" style="17" customWidth="1"/>
    <col min="270" max="270" width="10.77734375" style="17" customWidth="1"/>
    <col min="271" max="272" width="7.77734375" style="17" customWidth="1"/>
    <col min="273" max="273" width="8.109375" style="17" customWidth="1"/>
    <col min="274" max="274" width="6.88671875" style="17" customWidth="1"/>
    <col min="275" max="275" width="14.77734375" style="17" customWidth="1"/>
    <col min="276" max="277" width="6.88671875" style="17" customWidth="1"/>
    <col min="278" max="278" width="7.44140625" style="17" customWidth="1"/>
    <col min="279" max="279" width="6.88671875" style="17" customWidth="1"/>
    <col min="280" max="280" width="3" style="17" customWidth="1"/>
    <col min="281" max="281" width="14.77734375" style="17" customWidth="1"/>
    <col min="282" max="282" width="15.77734375" style="17" customWidth="1"/>
    <col min="283" max="283" width="15.44140625" style="17" bestFit="1" customWidth="1"/>
    <col min="284" max="284" width="17.5546875" style="17" bestFit="1" customWidth="1"/>
    <col min="285" max="285" width="12.21875" style="17" bestFit="1" customWidth="1"/>
    <col min="286" max="286" width="9" style="17" bestFit="1" customWidth="1"/>
    <col min="287" max="287" width="8.88671875" style="17"/>
    <col min="288" max="288" width="9.44140625" style="17" bestFit="1" customWidth="1"/>
    <col min="289" max="512" width="8.88671875" style="17"/>
    <col min="513" max="516" width="6.77734375" style="17" customWidth="1"/>
    <col min="517" max="517" width="16" style="17" customWidth="1"/>
    <col min="518" max="520" width="13.77734375" style="17" customWidth="1"/>
    <col min="521" max="521" width="1.77734375" style="17" customWidth="1"/>
    <col min="522" max="522" width="2.88671875" style="17" customWidth="1"/>
    <col min="523" max="523" width="2" style="17" customWidth="1"/>
    <col min="524" max="525" width="8.77734375" style="17" customWidth="1"/>
    <col min="526" max="526" width="10.77734375" style="17" customWidth="1"/>
    <col min="527" max="528" width="7.77734375" style="17" customWidth="1"/>
    <col min="529" max="529" width="8.109375" style="17" customWidth="1"/>
    <col min="530" max="530" width="6.88671875" style="17" customWidth="1"/>
    <col min="531" max="531" width="14.77734375" style="17" customWidth="1"/>
    <col min="532" max="533" width="6.88671875" style="17" customWidth="1"/>
    <col min="534" max="534" width="7.44140625" style="17" customWidth="1"/>
    <col min="535" max="535" width="6.88671875" style="17" customWidth="1"/>
    <col min="536" max="536" width="3" style="17" customWidth="1"/>
    <col min="537" max="537" width="14.77734375" style="17" customWidth="1"/>
    <col min="538" max="538" width="15.77734375" style="17" customWidth="1"/>
    <col min="539" max="539" width="15.44140625" style="17" bestFit="1" customWidth="1"/>
    <col min="540" max="540" width="17.5546875" style="17" bestFit="1" customWidth="1"/>
    <col min="541" max="541" width="12.21875" style="17" bestFit="1" customWidth="1"/>
    <col min="542" max="542" width="9" style="17" bestFit="1" customWidth="1"/>
    <col min="543" max="543" width="8.88671875" style="17"/>
    <col min="544" max="544" width="9.44140625" style="17" bestFit="1" customWidth="1"/>
    <col min="545" max="768" width="8.88671875" style="17"/>
    <col min="769" max="772" width="6.77734375" style="17" customWidth="1"/>
    <col min="773" max="773" width="16" style="17" customWidth="1"/>
    <col min="774" max="776" width="13.77734375" style="17" customWidth="1"/>
    <col min="777" max="777" width="1.77734375" style="17" customWidth="1"/>
    <col min="778" max="778" width="2.88671875" style="17" customWidth="1"/>
    <col min="779" max="779" width="2" style="17" customWidth="1"/>
    <col min="780" max="781" width="8.77734375" style="17" customWidth="1"/>
    <col min="782" max="782" width="10.77734375" style="17" customWidth="1"/>
    <col min="783" max="784" width="7.77734375" style="17" customWidth="1"/>
    <col min="785" max="785" width="8.109375" style="17" customWidth="1"/>
    <col min="786" max="786" width="6.88671875" style="17" customWidth="1"/>
    <col min="787" max="787" width="14.77734375" style="17" customWidth="1"/>
    <col min="788" max="789" width="6.88671875" style="17" customWidth="1"/>
    <col min="790" max="790" width="7.44140625" style="17" customWidth="1"/>
    <col min="791" max="791" width="6.88671875" style="17" customWidth="1"/>
    <col min="792" max="792" width="3" style="17" customWidth="1"/>
    <col min="793" max="793" width="14.77734375" style="17" customWidth="1"/>
    <col min="794" max="794" width="15.77734375" style="17" customWidth="1"/>
    <col min="795" max="795" width="15.44140625" style="17" bestFit="1" customWidth="1"/>
    <col min="796" max="796" width="17.5546875" style="17" bestFit="1" customWidth="1"/>
    <col min="797" max="797" width="12.21875" style="17" bestFit="1" customWidth="1"/>
    <col min="798" max="798" width="9" style="17" bestFit="1" customWidth="1"/>
    <col min="799" max="799" width="8.88671875" style="17"/>
    <col min="800" max="800" width="9.44140625" style="17" bestFit="1" customWidth="1"/>
    <col min="801" max="1024" width="8.88671875" style="17"/>
    <col min="1025" max="1028" width="6.77734375" style="17" customWidth="1"/>
    <col min="1029" max="1029" width="16" style="17" customWidth="1"/>
    <col min="1030" max="1032" width="13.77734375" style="17" customWidth="1"/>
    <col min="1033" max="1033" width="1.77734375" style="17" customWidth="1"/>
    <col min="1034" max="1034" width="2.88671875" style="17" customWidth="1"/>
    <col min="1035" max="1035" width="2" style="17" customWidth="1"/>
    <col min="1036" max="1037" width="8.77734375" style="17" customWidth="1"/>
    <col min="1038" max="1038" width="10.77734375" style="17" customWidth="1"/>
    <col min="1039" max="1040" width="7.77734375" style="17" customWidth="1"/>
    <col min="1041" max="1041" width="8.109375" style="17" customWidth="1"/>
    <col min="1042" max="1042" width="6.88671875" style="17" customWidth="1"/>
    <col min="1043" max="1043" width="14.77734375" style="17" customWidth="1"/>
    <col min="1044" max="1045" width="6.88671875" style="17" customWidth="1"/>
    <col min="1046" max="1046" width="7.44140625" style="17" customWidth="1"/>
    <col min="1047" max="1047" width="6.88671875" style="17" customWidth="1"/>
    <col min="1048" max="1048" width="3" style="17" customWidth="1"/>
    <col min="1049" max="1049" width="14.77734375" style="17" customWidth="1"/>
    <col min="1050" max="1050" width="15.77734375" style="17" customWidth="1"/>
    <col min="1051" max="1051" width="15.44140625" style="17" bestFit="1" customWidth="1"/>
    <col min="1052" max="1052" width="17.5546875" style="17" bestFit="1" customWidth="1"/>
    <col min="1053" max="1053" width="12.21875" style="17" bestFit="1" customWidth="1"/>
    <col min="1054" max="1054" width="9" style="17" bestFit="1" customWidth="1"/>
    <col min="1055" max="1055" width="8.88671875" style="17"/>
    <col min="1056" max="1056" width="9.44140625" style="17" bestFit="1" customWidth="1"/>
    <col min="1057" max="1280" width="8.88671875" style="17"/>
    <col min="1281" max="1284" width="6.77734375" style="17" customWidth="1"/>
    <col min="1285" max="1285" width="16" style="17" customWidth="1"/>
    <col min="1286" max="1288" width="13.77734375" style="17" customWidth="1"/>
    <col min="1289" max="1289" width="1.77734375" style="17" customWidth="1"/>
    <col min="1290" max="1290" width="2.88671875" style="17" customWidth="1"/>
    <col min="1291" max="1291" width="2" style="17" customWidth="1"/>
    <col min="1292" max="1293" width="8.77734375" style="17" customWidth="1"/>
    <col min="1294" max="1294" width="10.77734375" style="17" customWidth="1"/>
    <col min="1295" max="1296" width="7.77734375" style="17" customWidth="1"/>
    <col min="1297" max="1297" width="8.109375" style="17" customWidth="1"/>
    <col min="1298" max="1298" width="6.88671875" style="17" customWidth="1"/>
    <col min="1299" max="1299" width="14.77734375" style="17" customWidth="1"/>
    <col min="1300" max="1301" width="6.88671875" style="17" customWidth="1"/>
    <col min="1302" max="1302" width="7.44140625" style="17" customWidth="1"/>
    <col min="1303" max="1303" width="6.88671875" style="17" customWidth="1"/>
    <col min="1304" max="1304" width="3" style="17" customWidth="1"/>
    <col min="1305" max="1305" width="14.77734375" style="17" customWidth="1"/>
    <col min="1306" max="1306" width="15.77734375" style="17" customWidth="1"/>
    <col min="1307" max="1307" width="15.44140625" style="17" bestFit="1" customWidth="1"/>
    <col min="1308" max="1308" width="17.5546875" style="17" bestFit="1" customWidth="1"/>
    <col min="1309" max="1309" width="12.21875" style="17" bestFit="1" customWidth="1"/>
    <col min="1310" max="1310" width="9" style="17" bestFit="1" customWidth="1"/>
    <col min="1311" max="1311" width="8.88671875" style="17"/>
    <col min="1312" max="1312" width="9.44140625" style="17" bestFit="1" customWidth="1"/>
    <col min="1313" max="1536" width="8.88671875" style="17"/>
    <col min="1537" max="1540" width="6.77734375" style="17" customWidth="1"/>
    <col min="1541" max="1541" width="16" style="17" customWidth="1"/>
    <col min="1542" max="1544" width="13.77734375" style="17" customWidth="1"/>
    <col min="1545" max="1545" width="1.77734375" style="17" customWidth="1"/>
    <col min="1546" max="1546" width="2.88671875" style="17" customWidth="1"/>
    <col min="1547" max="1547" width="2" style="17" customWidth="1"/>
    <col min="1548" max="1549" width="8.77734375" style="17" customWidth="1"/>
    <col min="1550" max="1550" width="10.77734375" style="17" customWidth="1"/>
    <col min="1551" max="1552" width="7.77734375" style="17" customWidth="1"/>
    <col min="1553" max="1553" width="8.109375" style="17" customWidth="1"/>
    <col min="1554" max="1554" width="6.88671875" style="17" customWidth="1"/>
    <col min="1555" max="1555" width="14.77734375" style="17" customWidth="1"/>
    <col min="1556" max="1557" width="6.88671875" style="17" customWidth="1"/>
    <col min="1558" max="1558" width="7.44140625" style="17" customWidth="1"/>
    <col min="1559" max="1559" width="6.88671875" style="17" customWidth="1"/>
    <col min="1560" max="1560" width="3" style="17" customWidth="1"/>
    <col min="1561" max="1561" width="14.77734375" style="17" customWidth="1"/>
    <col min="1562" max="1562" width="15.77734375" style="17" customWidth="1"/>
    <col min="1563" max="1563" width="15.44140625" style="17" bestFit="1" customWidth="1"/>
    <col min="1564" max="1564" width="17.5546875" style="17" bestFit="1" customWidth="1"/>
    <col min="1565" max="1565" width="12.21875" style="17" bestFit="1" customWidth="1"/>
    <col min="1566" max="1566" width="9" style="17" bestFit="1" customWidth="1"/>
    <col min="1567" max="1567" width="8.88671875" style="17"/>
    <col min="1568" max="1568" width="9.44140625" style="17" bestFit="1" customWidth="1"/>
    <col min="1569" max="1792" width="8.88671875" style="17"/>
    <col min="1793" max="1796" width="6.77734375" style="17" customWidth="1"/>
    <col min="1797" max="1797" width="16" style="17" customWidth="1"/>
    <col min="1798" max="1800" width="13.77734375" style="17" customWidth="1"/>
    <col min="1801" max="1801" width="1.77734375" style="17" customWidth="1"/>
    <col min="1802" max="1802" width="2.88671875" style="17" customWidth="1"/>
    <col min="1803" max="1803" width="2" style="17" customWidth="1"/>
    <col min="1804" max="1805" width="8.77734375" style="17" customWidth="1"/>
    <col min="1806" max="1806" width="10.77734375" style="17" customWidth="1"/>
    <col min="1807" max="1808" width="7.77734375" style="17" customWidth="1"/>
    <col min="1809" max="1809" width="8.109375" style="17" customWidth="1"/>
    <col min="1810" max="1810" width="6.88671875" style="17" customWidth="1"/>
    <col min="1811" max="1811" width="14.77734375" style="17" customWidth="1"/>
    <col min="1812" max="1813" width="6.88671875" style="17" customWidth="1"/>
    <col min="1814" max="1814" width="7.44140625" style="17" customWidth="1"/>
    <col min="1815" max="1815" width="6.88671875" style="17" customWidth="1"/>
    <col min="1816" max="1816" width="3" style="17" customWidth="1"/>
    <col min="1817" max="1817" width="14.77734375" style="17" customWidth="1"/>
    <col min="1818" max="1818" width="15.77734375" style="17" customWidth="1"/>
    <col min="1819" max="1819" width="15.44140625" style="17" bestFit="1" customWidth="1"/>
    <col min="1820" max="1820" width="17.5546875" style="17" bestFit="1" customWidth="1"/>
    <col min="1821" max="1821" width="12.21875" style="17" bestFit="1" customWidth="1"/>
    <col min="1822" max="1822" width="9" style="17" bestFit="1" customWidth="1"/>
    <col min="1823" max="1823" width="8.88671875" style="17"/>
    <col min="1824" max="1824" width="9.44140625" style="17" bestFit="1" customWidth="1"/>
    <col min="1825" max="2048" width="8.88671875" style="17"/>
    <col min="2049" max="2052" width="6.77734375" style="17" customWidth="1"/>
    <col min="2053" max="2053" width="16" style="17" customWidth="1"/>
    <col min="2054" max="2056" width="13.77734375" style="17" customWidth="1"/>
    <col min="2057" max="2057" width="1.77734375" style="17" customWidth="1"/>
    <col min="2058" max="2058" width="2.88671875" style="17" customWidth="1"/>
    <col min="2059" max="2059" width="2" style="17" customWidth="1"/>
    <col min="2060" max="2061" width="8.77734375" style="17" customWidth="1"/>
    <col min="2062" max="2062" width="10.77734375" style="17" customWidth="1"/>
    <col min="2063" max="2064" width="7.77734375" style="17" customWidth="1"/>
    <col min="2065" max="2065" width="8.109375" style="17" customWidth="1"/>
    <col min="2066" max="2066" width="6.88671875" style="17" customWidth="1"/>
    <col min="2067" max="2067" width="14.77734375" style="17" customWidth="1"/>
    <col min="2068" max="2069" width="6.88671875" style="17" customWidth="1"/>
    <col min="2070" max="2070" width="7.44140625" style="17" customWidth="1"/>
    <col min="2071" max="2071" width="6.88671875" style="17" customWidth="1"/>
    <col min="2072" max="2072" width="3" style="17" customWidth="1"/>
    <col min="2073" max="2073" width="14.77734375" style="17" customWidth="1"/>
    <col min="2074" max="2074" width="15.77734375" style="17" customWidth="1"/>
    <col min="2075" max="2075" width="15.44140625" style="17" bestFit="1" customWidth="1"/>
    <col min="2076" max="2076" width="17.5546875" style="17" bestFit="1" customWidth="1"/>
    <col min="2077" max="2077" width="12.21875" style="17" bestFit="1" customWidth="1"/>
    <col min="2078" max="2078" width="9" style="17" bestFit="1" customWidth="1"/>
    <col min="2079" max="2079" width="8.88671875" style="17"/>
    <col min="2080" max="2080" width="9.44140625" style="17" bestFit="1" customWidth="1"/>
    <col min="2081" max="2304" width="8.88671875" style="17"/>
    <col min="2305" max="2308" width="6.77734375" style="17" customWidth="1"/>
    <col min="2309" max="2309" width="16" style="17" customWidth="1"/>
    <col min="2310" max="2312" width="13.77734375" style="17" customWidth="1"/>
    <col min="2313" max="2313" width="1.77734375" style="17" customWidth="1"/>
    <col min="2314" max="2314" width="2.88671875" style="17" customWidth="1"/>
    <col min="2315" max="2315" width="2" style="17" customWidth="1"/>
    <col min="2316" max="2317" width="8.77734375" style="17" customWidth="1"/>
    <col min="2318" max="2318" width="10.77734375" style="17" customWidth="1"/>
    <col min="2319" max="2320" width="7.77734375" style="17" customWidth="1"/>
    <col min="2321" max="2321" width="8.109375" style="17" customWidth="1"/>
    <col min="2322" max="2322" width="6.88671875" style="17" customWidth="1"/>
    <col min="2323" max="2323" width="14.77734375" style="17" customWidth="1"/>
    <col min="2324" max="2325" width="6.88671875" style="17" customWidth="1"/>
    <col min="2326" max="2326" width="7.44140625" style="17" customWidth="1"/>
    <col min="2327" max="2327" width="6.88671875" style="17" customWidth="1"/>
    <col min="2328" max="2328" width="3" style="17" customWidth="1"/>
    <col min="2329" max="2329" width="14.77734375" style="17" customWidth="1"/>
    <col min="2330" max="2330" width="15.77734375" style="17" customWidth="1"/>
    <col min="2331" max="2331" width="15.44140625" style="17" bestFit="1" customWidth="1"/>
    <col min="2332" max="2332" width="17.5546875" style="17" bestFit="1" customWidth="1"/>
    <col min="2333" max="2333" width="12.21875" style="17" bestFit="1" customWidth="1"/>
    <col min="2334" max="2334" width="9" style="17" bestFit="1" customWidth="1"/>
    <col min="2335" max="2335" width="8.88671875" style="17"/>
    <col min="2336" max="2336" width="9.44140625" style="17" bestFit="1" customWidth="1"/>
    <col min="2337" max="2560" width="8.88671875" style="17"/>
    <col min="2561" max="2564" width="6.77734375" style="17" customWidth="1"/>
    <col min="2565" max="2565" width="16" style="17" customWidth="1"/>
    <col min="2566" max="2568" width="13.77734375" style="17" customWidth="1"/>
    <col min="2569" max="2569" width="1.77734375" style="17" customWidth="1"/>
    <col min="2570" max="2570" width="2.88671875" style="17" customWidth="1"/>
    <col min="2571" max="2571" width="2" style="17" customWidth="1"/>
    <col min="2572" max="2573" width="8.77734375" style="17" customWidth="1"/>
    <col min="2574" max="2574" width="10.77734375" style="17" customWidth="1"/>
    <col min="2575" max="2576" width="7.77734375" style="17" customWidth="1"/>
    <col min="2577" max="2577" width="8.109375" style="17" customWidth="1"/>
    <col min="2578" max="2578" width="6.88671875" style="17" customWidth="1"/>
    <col min="2579" max="2579" width="14.77734375" style="17" customWidth="1"/>
    <col min="2580" max="2581" width="6.88671875" style="17" customWidth="1"/>
    <col min="2582" max="2582" width="7.44140625" style="17" customWidth="1"/>
    <col min="2583" max="2583" width="6.88671875" style="17" customWidth="1"/>
    <col min="2584" max="2584" width="3" style="17" customWidth="1"/>
    <col min="2585" max="2585" width="14.77734375" style="17" customWidth="1"/>
    <col min="2586" max="2586" width="15.77734375" style="17" customWidth="1"/>
    <col min="2587" max="2587" width="15.44140625" style="17" bestFit="1" customWidth="1"/>
    <col min="2588" max="2588" width="17.5546875" style="17" bestFit="1" customWidth="1"/>
    <col min="2589" max="2589" width="12.21875" style="17" bestFit="1" customWidth="1"/>
    <col min="2590" max="2590" width="9" style="17" bestFit="1" customWidth="1"/>
    <col min="2591" max="2591" width="8.88671875" style="17"/>
    <col min="2592" max="2592" width="9.44140625" style="17" bestFit="1" customWidth="1"/>
    <col min="2593" max="2816" width="8.88671875" style="17"/>
    <col min="2817" max="2820" width="6.77734375" style="17" customWidth="1"/>
    <col min="2821" max="2821" width="16" style="17" customWidth="1"/>
    <col min="2822" max="2824" width="13.77734375" style="17" customWidth="1"/>
    <col min="2825" max="2825" width="1.77734375" style="17" customWidth="1"/>
    <col min="2826" max="2826" width="2.88671875" style="17" customWidth="1"/>
    <col min="2827" max="2827" width="2" style="17" customWidth="1"/>
    <col min="2828" max="2829" width="8.77734375" style="17" customWidth="1"/>
    <col min="2830" max="2830" width="10.77734375" style="17" customWidth="1"/>
    <col min="2831" max="2832" width="7.77734375" style="17" customWidth="1"/>
    <col min="2833" max="2833" width="8.109375" style="17" customWidth="1"/>
    <col min="2834" max="2834" width="6.88671875" style="17" customWidth="1"/>
    <col min="2835" max="2835" width="14.77734375" style="17" customWidth="1"/>
    <col min="2836" max="2837" width="6.88671875" style="17" customWidth="1"/>
    <col min="2838" max="2838" width="7.44140625" style="17" customWidth="1"/>
    <col min="2839" max="2839" width="6.88671875" style="17" customWidth="1"/>
    <col min="2840" max="2840" width="3" style="17" customWidth="1"/>
    <col min="2841" max="2841" width="14.77734375" style="17" customWidth="1"/>
    <col min="2842" max="2842" width="15.77734375" style="17" customWidth="1"/>
    <col min="2843" max="2843" width="15.44140625" style="17" bestFit="1" customWidth="1"/>
    <col min="2844" max="2844" width="17.5546875" style="17" bestFit="1" customWidth="1"/>
    <col min="2845" max="2845" width="12.21875" style="17" bestFit="1" customWidth="1"/>
    <col min="2846" max="2846" width="9" style="17" bestFit="1" customWidth="1"/>
    <col min="2847" max="2847" width="8.88671875" style="17"/>
    <col min="2848" max="2848" width="9.44140625" style="17" bestFit="1" customWidth="1"/>
    <col min="2849" max="3072" width="8.88671875" style="17"/>
    <col min="3073" max="3076" width="6.77734375" style="17" customWidth="1"/>
    <col min="3077" max="3077" width="16" style="17" customWidth="1"/>
    <col min="3078" max="3080" width="13.77734375" style="17" customWidth="1"/>
    <col min="3081" max="3081" width="1.77734375" style="17" customWidth="1"/>
    <col min="3082" max="3082" width="2.88671875" style="17" customWidth="1"/>
    <col min="3083" max="3083" width="2" style="17" customWidth="1"/>
    <col min="3084" max="3085" width="8.77734375" style="17" customWidth="1"/>
    <col min="3086" max="3086" width="10.77734375" style="17" customWidth="1"/>
    <col min="3087" max="3088" width="7.77734375" style="17" customWidth="1"/>
    <col min="3089" max="3089" width="8.109375" style="17" customWidth="1"/>
    <col min="3090" max="3090" width="6.88671875" style="17" customWidth="1"/>
    <col min="3091" max="3091" width="14.77734375" style="17" customWidth="1"/>
    <col min="3092" max="3093" width="6.88671875" style="17" customWidth="1"/>
    <col min="3094" max="3094" width="7.44140625" style="17" customWidth="1"/>
    <col min="3095" max="3095" width="6.88671875" style="17" customWidth="1"/>
    <col min="3096" max="3096" width="3" style="17" customWidth="1"/>
    <col min="3097" max="3097" width="14.77734375" style="17" customWidth="1"/>
    <col min="3098" max="3098" width="15.77734375" style="17" customWidth="1"/>
    <col min="3099" max="3099" width="15.44140625" style="17" bestFit="1" customWidth="1"/>
    <col min="3100" max="3100" width="17.5546875" style="17" bestFit="1" customWidth="1"/>
    <col min="3101" max="3101" width="12.21875" style="17" bestFit="1" customWidth="1"/>
    <col min="3102" max="3102" width="9" style="17" bestFit="1" customWidth="1"/>
    <col min="3103" max="3103" width="8.88671875" style="17"/>
    <col min="3104" max="3104" width="9.44140625" style="17" bestFit="1" customWidth="1"/>
    <col min="3105" max="3328" width="8.88671875" style="17"/>
    <col min="3329" max="3332" width="6.77734375" style="17" customWidth="1"/>
    <col min="3333" max="3333" width="16" style="17" customWidth="1"/>
    <col min="3334" max="3336" width="13.77734375" style="17" customWidth="1"/>
    <col min="3337" max="3337" width="1.77734375" style="17" customWidth="1"/>
    <col min="3338" max="3338" width="2.88671875" style="17" customWidth="1"/>
    <col min="3339" max="3339" width="2" style="17" customWidth="1"/>
    <col min="3340" max="3341" width="8.77734375" style="17" customWidth="1"/>
    <col min="3342" max="3342" width="10.77734375" style="17" customWidth="1"/>
    <col min="3343" max="3344" width="7.77734375" style="17" customWidth="1"/>
    <col min="3345" max="3345" width="8.109375" style="17" customWidth="1"/>
    <col min="3346" max="3346" width="6.88671875" style="17" customWidth="1"/>
    <col min="3347" max="3347" width="14.77734375" style="17" customWidth="1"/>
    <col min="3348" max="3349" width="6.88671875" style="17" customWidth="1"/>
    <col min="3350" max="3350" width="7.44140625" style="17" customWidth="1"/>
    <col min="3351" max="3351" width="6.88671875" style="17" customWidth="1"/>
    <col min="3352" max="3352" width="3" style="17" customWidth="1"/>
    <col min="3353" max="3353" width="14.77734375" style="17" customWidth="1"/>
    <col min="3354" max="3354" width="15.77734375" style="17" customWidth="1"/>
    <col min="3355" max="3355" width="15.44140625" style="17" bestFit="1" customWidth="1"/>
    <col min="3356" max="3356" width="17.5546875" style="17" bestFit="1" customWidth="1"/>
    <col min="3357" max="3357" width="12.21875" style="17" bestFit="1" customWidth="1"/>
    <col min="3358" max="3358" width="9" style="17" bestFit="1" customWidth="1"/>
    <col min="3359" max="3359" width="8.88671875" style="17"/>
    <col min="3360" max="3360" width="9.44140625" style="17" bestFit="1" customWidth="1"/>
    <col min="3361" max="3584" width="8.88671875" style="17"/>
    <col min="3585" max="3588" width="6.77734375" style="17" customWidth="1"/>
    <col min="3589" max="3589" width="16" style="17" customWidth="1"/>
    <col min="3590" max="3592" width="13.77734375" style="17" customWidth="1"/>
    <col min="3593" max="3593" width="1.77734375" style="17" customWidth="1"/>
    <col min="3594" max="3594" width="2.88671875" style="17" customWidth="1"/>
    <col min="3595" max="3595" width="2" style="17" customWidth="1"/>
    <col min="3596" max="3597" width="8.77734375" style="17" customWidth="1"/>
    <col min="3598" max="3598" width="10.77734375" style="17" customWidth="1"/>
    <col min="3599" max="3600" width="7.77734375" style="17" customWidth="1"/>
    <col min="3601" max="3601" width="8.109375" style="17" customWidth="1"/>
    <col min="3602" max="3602" width="6.88671875" style="17" customWidth="1"/>
    <col min="3603" max="3603" width="14.77734375" style="17" customWidth="1"/>
    <col min="3604" max="3605" width="6.88671875" style="17" customWidth="1"/>
    <col min="3606" max="3606" width="7.44140625" style="17" customWidth="1"/>
    <col min="3607" max="3607" width="6.88671875" style="17" customWidth="1"/>
    <col min="3608" max="3608" width="3" style="17" customWidth="1"/>
    <col min="3609" max="3609" width="14.77734375" style="17" customWidth="1"/>
    <col min="3610" max="3610" width="15.77734375" style="17" customWidth="1"/>
    <col min="3611" max="3611" width="15.44140625" style="17" bestFit="1" customWidth="1"/>
    <col min="3612" max="3612" width="17.5546875" style="17" bestFit="1" customWidth="1"/>
    <col min="3613" max="3613" width="12.21875" style="17" bestFit="1" customWidth="1"/>
    <col min="3614" max="3614" width="9" style="17" bestFit="1" customWidth="1"/>
    <col min="3615" max="3615" width="8.88671875" style="17"/>
    <col min="3616" max="3616" width="9.44140625" style="17" bestFit="1" customWidth="1"/>
    <col min="3617" max="3840" width="8.88671875" style="17"/>
    <col min="3841" max="3844" width="6.77734375" style="17" customWidth="1"/>
    <col min="3845" max="3845" width="16" style="17" customWidth="1"/>
    <col min="3846" max="3848" width="13.77734375" style="17" customWidth="1"/>
    <col min="3849" max="3849" width="1.77734375" style="17" customWidth="1"/>
    <col min="3850" max="3850" width="2.88671875" style="17" customWidth="1"/>
    <col min="3851" max="3851" width="2" style="17" customWidth="1"/>
    <col min="3852" max="3853" width="8.77734375" style="17" customWidth="1"/>
    <col min="3854" max="3854" width="10.77734375" style="17" customWidth="1"/>
    <col min="3855" max="3856" width="7.77734375" style="17" customWidth="1"/>
    <col min="3857" max="3857" width="8.109375" style="17" customWidth="1"/>
    <col min="3858" max="3858" width="6.88671875" style="17" customWidth="1"/>
    <col min="3859" max="3859" width="14.77734375" style="17" customWidth="1"/>
    <col min="3860" max="3861" width="6.88671875" style="17" customWidth="1"/>
    <col min="3862" max="3862" width="7.44140625" style="17" customWidth="1"/>
    <col min="3863" max="3863" width="6.88671875" style="17" customWidth="1"/>
    <col min="3864" max="3864" width="3" style="17" customWidth="1"/>
    <col min="3865" max="3865" width="14.77734375" style="17" customWidth="1"/>
    <col min="3866" max="3866" width="15.77734375" style="17" customWidth="1"/>
    <col min="3867" max="3867" width="15.44140625" style="17" bestFit="1" customWidth="1"/>
    <col min="3868" max="3868" width="17.5546875" style="17" bestFit="1" customWidth="1"/>
    <col min="3869" max="3869" width="12.21875" style="17" bestFit="1" customWidth="1"/>
    <col min="3870" max="3870" width="9" style="17" bestFit="1" customWidth="1"/>
    <col min="3871" max="3871" width="8.88671875" style="17"/>
    <col min="3872" max="3872" width="9.44140625" style="17" bestFit="1" customWidth="1"/>
    <col min="3873" max="4096" width="8.88671875" style="17"/>
    <col min="4097" max="4100" width="6.77734375" style="17" customWidth="1"/>
    <col min="4101" max="4101" width="16" style="17" customWidth="1"/>
    <col min="4102" max="4104" width="13.77734375" style="17" customWidth="1"/>
    <col min="4105" max="4105" width="1.77734375" style="17" customWidth="1"/>
    <col min="4106" max="4106" width="2.88671875" style="17" customWidth="1"/>
    <col min="4107" max="4107" width="2" style="17" customWidth="1"/>
    <col min="4108" max="4109" width="8.77734375" style="17" customWidth="1"/>
    <col min="4110" max="4110" width="10.77734375" style="17" customWidth="1"/>
    <col min="4111" max="4112" width="7.77734375" style="17" customWidth="1"/>
    <col min="4113" max="4113" width="8.109375" style="17" customWidth="1"/>
    <col min="4114" max="4114" width="6.88671875" style="17" customWidth="1"/>
    <col min="4115" max="4115" width="14.77734375" style="17" customWidth="1"/>
    <col min="4116" max="4117" width="6.88671875" style="17" customWidth="1"/>
    <col min="4118" max="4118" width="7.44140625" style="17" customWidth="1"/>
    <col min="4119" max="4119" width="6.88671875" style="17" customWidth="1"/>
    <col min="4120" max="4120" width="3" style="17" customWidth="1"/>
    <col min="4121" max="4121" width="14.77734375" style="17" customWidth="1"/>
    <col min="4122" max="4122" width="15.77734375" style="17" customWidth="1"/>
    <col min="4123" max="4123" width="15.44140625" style="17" bestFit="1" customWidth="1"/>
    <col min="4124" max="4124" width="17.5546875" style="17" bestFit="1" customWidth="1"/>
    <col min="4125" max="4125" width="12.21875" style="17" bestFit="1" customWidth="1"/>
    <col min="4126" max="4126" width="9" style="17" bestFit="1" customWidth="1"/>
    <col min="4127" max="4127" width="8.88671875" style="17"/>
    <col min="4128" max="4128" width="9.44140625" style="17" bestFit="1" customWidth="1"/>
    <col min="4129" max="4352" width="8.88671875" style="17"/>
    <col min="4353" max="4356" width="6.77734375" style="17" customWidth="1"/>
    <col min="4357" max="4357" width="16" style="17" customWidth="1"/>
    <col min="4358" max="4360" width="13.77734375" style="17" customWidth="1"/>
    <col min="4361" max="4361" width="1.77734375" style="17" customWidth="1"/>
    <col min="4362" max="4362" width="2.88671875" style="17" customWidth="1"/>
    <col min="4363" max="4363" width="2" style="17" customWidth="1"/>
    <col min="4364" max="4365" width="8.77734375" style="17" customWidth="1"/>
    <col min="4366" max="4366" width="10.77734375" style="17" customWidth="1"/>
    <col min="4367" max="4368" width="7.77734375" style="17" customWidth="1"/>
    <col min="4369" max="4369" width="8.109375" style="17" customWidth="1"/>
    <col min="4370" max="4370" width="6.88671875" style="17" customWidth="1"/>
    <col min="4371" max="4371" width="14.77734375" style="17" customWidth="1"/>
    <col min="4372" max="4373" width="6.88671875" style="17" customWidth="1"/>
    <col min="4374" max="4374" width="7.44140625" style="17" customWidth="1"/>
    <col min="4375" max="4375" width="6.88671875" style="17" customWidth="1"/>
    <col min="4376" max="4376" width="3" style="17" customWidth="1"/>
    <col min="4377" max="4377" width="14.77734375" style="17" customWidth="1"/>
    <col min="4378" max="4378" width="15.77734375" style="17" customWidth="1"/>
    <col min="4379" max="4379" width="15.44140625" style="17" bestFit="1" customWidth="1"/>
    <col min="4380" max="4380" width="17.5546875" style="17" bestFit="1" customWidth="1"/>
    <col min="4381" max="4381" width="12.21875" style="17" bestFit="1" customWidth="1"/>
    <col min="4382" max="4382" width="9" style="17" bestFit="1" customWidth="1"/>
    <col min="4383" max="4383" width="8.88671875" style="17"/>
    <col min="4384" max="4384" width="9.44140625" style="17" bestFit="1" customWidth="1"/>
    <col min="4385" max="4608" width="8.88671875" style="17"/>
    <col min="4609" max="4612" width="6.77734375" style="17" customWidth="1"/>
    <col min="4613" max="4613" width="16" style="17" customWidth="1"/>
    <col min="4614" max="4616" width="13.77734375" style="17" customWidth="1"/>
    <col min="4617" max="4617" width="1.77734375" style="17" customWidth="1"/>
    <col min="4618" max="4618" width="2.88671875" style="17" customWidth="1"/>
    <col min="4619" max="4619" width="2" style="17" customWidth="1"/>
    <col min="4620" max="4621" width="8.77734375" style="17" customWidth="1"/>
    <col min="4622" max="4622" width="10.77734375" style="17" customWidth="1"/>
    <col min="4623" max="4624" width="7.77734375" style="17" customWidth="1"/>
    <col min="4625" max="4625" width="8.109375" style="17" customWidth="1"/>
    <col min="4626" max="4626" width="6.88671875" style="17" customWidth="1"/>
    <col min="4627" max="4627" width="14.77734375" style="17" customWidth="1"/>
    <col min="4628" max="4629" width="6.88671875" style="17" customWidth="1"/>
    <col min="4630" max="4630" width="7.44140625" style="17" customWidth="1"/>
    <col min="4631" max="4631" width="6.88671875" style="17" customWidth="1"/>
    <col min="4632" max="4632" width="3" style="17" customWidth="1"/>
    <col min="4633" max="4633" width="14.77734375" style="17" customWidth="1"/>
    <col min="4634" max="4634" width="15.77734375" style="17" customWidth="1"/>
    <col min="4635" max="4635" width="15.44140625" style="17" bestFit="1" customWidth="1"/>
    <col min="4636" max="4636" width="17.5546875" style="17" bestFit="1" customWidth="1"/>
    <col min="4637" max="4637" width="12.21875" style="17" bestFit="1" customWidth="1"/>
    <col min="4638" max="4638" width="9" style="17" bestFit="1" customWidth="1"/>
    <col min="4639" max="4639" width="8.88671875" style="17"/>
    <col min="4640" max="4640" width="9.44140625" style="17" bestFit="1" customWidth="1"/>
    <col min="4641" max="4864" width="8.88671875" style="17"/>
    <col min="4865" max="4868" width="6.77734375" style="17" customWidth="1"/>
    <col min="4869" max="4869" width="16" style="17" customWidth="1"/>
    <col min="4870" max="4872" width="13.77734375" style="17" customWidth="1"/>
    <col min="4873" max="4873" width="1.77734375" style="17" customWidth="1"/>
    <col min="4874" max="4874" width="2.88671875" style="17" customWidth="1"/>
    <col min="4875" max="4875" width="2" style="17" customWidth="1"/>
    <col min="4876" max="4877" width="8.77734375" style="17" customWidth="1"/>
    <col min="4878" max="4878" width="10.77734375" style="17" customWidth="1"/>
    <col min="4879" max="4880" width="7.77734375" style="17" customWidth="1"/>
    <col min="4881" max="4881" width="8.109375" style="17" customWidth="1"/>
    <col min="4882" max="4882" width="6.88671875" style="17" customWidth="1"/>
    <col min="4883" max="4883" width="14.77734375" style="17" customWidth="1"/>
    <col min="4884" max="4885" width="6.88671875" style="17" customWidth="1"/>
    <col min="4886" max="4886" width="7.44140625" style="17" customWidth="1"/>
    <col min="4887" max="4887" width="6.88671875" style="17" customWidth="1"/>
    <col min="4888" max="4888" width="3" style="17" customWidth="1"/>
    <col min="4889" max="4889" width="14.77734375" style="17" customWidth="1"/>
    <col min="4890" max="4890" width="15.77734375" style="17" customWidth="1"/>
    <col min="4891" max="4891" width="15.44140625" style="17" bestFit="1" customWidth="1"/>
    <col min="4892" max="4892" width="17.5546875" style="17" bestFit="1" customWidth="1"/>
    <col min="4893" max="4893" width="12.21875" style="17" bestFit="1" customWidth="1"/>
    <col min="4894" max="4894" width="9" style="17" bestFit="1" customWidth="1"/>
    <col min="4895" max="4895" width="8.88671875" style="17"/>
    <col min="4896" max="4896" width="9.44140625" style="17" bestFit="1" customWidth="1"/>
    <col min="4897" max="5120" width="8.88671875" style="17"/>
    <col min="5121" max="5124" width="6.77734375" style="17" customWidth="1"/>
    <col min="5125" max="5125" width="16" style="17" customWidth="1"/>
    <col min="5126" max="5128" width="13.77734375" style="17" customWidth="1"/>
    <col min="5129" max="5129" width="1.77734375" style="17" customWidth="1"/>
    <col min="5130" max="5130" width="2.88671875" style="17" customWidth="1"/>
    <col min="5131" max="5131" width="2" style="17" customWidth="1"/>
    <col min="5132" max="5133" width="8.77734375" style="17" customWidth="1"/>
    <col min="5134" max="5134" width="10.77734375" style="17" customWidth="1"/>
    <col min="5135" max="5136" width="7.77734375" style="17" customWidth="1"/>
    <col min="5137" max="5137" width="8.109375" style="17" customWidth="1"/>
    <col min="5138" max="5138" width="6.88671875" style="17" customWidth="1"/>
    <col min="5139" max="5139" width="14.77734375" style="17" customWidth="1"/>
    <col min="5140" max="5141" width="6.88671875" style="17" customWidth="1"/>
    <col min="5142" max="5142" width="7.44140625" style="17" customWidth="1"/>
    <col min="5143" max="5143" width="6.88671875" style="17" customWidth="1"/>
    <col min="5144" max="5144" width="3" style="17" customWidth="1"/>
    <col min="5145" max="5145" width="14.77734375" style="17" customWidth="1"/>
    <col min="5146" max="5146" width="15.77734375" style="17" customWidth="1"/>
    <col min="5147" max="5147" width="15.44140625" style="17" bestFit="1" customWidth="1"/>
    <col min="5148" max="5148" width="17.5546875" style="17" bestFit="1" customWidth="1"/>
    <col min="5149" max="5149" width="12.21875" style="17" bestFit="1" customWidth="1"/>
    <col min="5150" max="5150" width="9" style="17" bestFit="1" customWidth="1"/>
    <col min="5151" max="5151" width="8.88671875" style="17"/>
    <col min="5152" max="5152" width="9.44140625" style="17" bestFit="1" customWidth="1"/>
    <col min="5153" max="5376" width="8.88671875" style="17"/>
    <col min="5377" max="5380" width="6.77734375" style="17" customWidth="1"/>
    <col min="5381" max="5381" width="16" style="17" customWidth="1"/>
    <col min="5382" max="5384" width="13.77734375" style="17" customWidth="1"/>
    <col min="5385" max="5385" width="1.77734375" style="17" customWidth="1"/>
    <col min="5386" max="5386" width="2.88671875" style="17" customWidth="1"/>
    <col min="5387" max="5387" width="2" style="17" customWidth="1"/>
    <col min="5388" max="5389" width="8.77734375" style="17" customWidth="1"/>
    <col min="5390" max="5390" width="10.77734375" style="17" customWidth="1"/>
    <col min="5391" max="5392" width="7.77734375" style="17" customWidth="1"/>
    <col min="5393" max="5393" width="8.109375" style="17" customWidth="1"/>
    <col min="5394" max="5394" width="6.88671875" style="17" customWidth="1"/>
    <col min="5395" max="5395" width="14.77734375" style="17" customWidth="1"/>
    <col min="5396" max="5397" width="6.88671875" style="17" customWidth="1"/>
    <col min="5398" max="5398" width="7.44140625" style="17" customWidth="1"/>
    <col min="5399" max="5399" width="6.88671875" style="17" customWidth="1"/>
    <col min="5400" max="5400" width="3" style="17" customWidth="1"/>
    <col min="5401" max="5401" width="14.77734375" style="17" customWidth="1"/>
    <col min="5402" max="5402" width="15.77734375" style="17" customWidth="1"/>
    <col min="5403" max="5403" width="15.44140625" style="17" bestFit="1" customWidth="1"/>
    <col min="5404" max="5404" width="17.5546875" style="17" bestFit="1" customWidth="1"/>
    <col min="5405" max="5405" width="12.21875" style="17" bestFit="1" customWidth="1"/>
    <col min="5406" max="5406" width="9" style="17" bestFit="1" customWidth="1"/>
    <col min="5407" max="5407" width="8.88671875" style="17"/>
    <col min="5408" max="5408" width="9.44140625" style="17" bestFit="1" customWidth="1"/>
    <col min="5409" max="5632" width="8.88671875" style="17"/>
    <col min="5633" max="5636" width="6.77734375" style="17" customWidth="1"/>
    <col min="5637" max="5637" width="16" style="17" customWidth="1"/>
    <col min="5638" max="5640" width="13.77734375" style="17" customWidth="1"/>
    <col min="5641" max="5641" width="1.77734375" style="17" customWidth="1"/>
    <col min="5642" max="5642" width="2.88671875" style="17" customWidth="1"/>
    <col min="5643" max="5643" width="2" style="17" customWidth="1"/>
    <col min="5644" max="5645" width="8.77734375" style="17" customWidth="1"/>
    <col min="5646" max="5646" width="10.77734375" style="17" customWidth="1"/>
    <col min="5647" max="5648" width="7.77734375" style="17" customWidth="1"/>
    <col min="5649" max="5649" width="8.109375" style="17" customWidth="1"/>
    <col min="5650" max="5650" width="6.88671875" style="17" customWidth="1"/>
    <col min="5651" max="5651" width="14.77734375" style="17" customWidth="1"/>
    <col min="5652" max="5653" width="6.88671875" style="17" customWidth="1"/>
    <col min="5654" max="5654" width="7.44140625" style="17" customWidth="1"/>
    <col min="5655" max="5655" width="6.88671875" style="17" customWidth="1"/>
    <col min="5656" max="5656" width="3" style="17" customWidth="1"/>
    <col min="5657" max="5657" width="14.77734375" style="17" customWidth="1"/>
    <col min="5658" max="5658" width="15.77734375" style="17" customWidth="1"/>
    <col min="5659" max="5659" width="15.44140625" style="17" bestFit="1" customWidth="1"/>
    <col min="5660" max="5660" width="17.5546875" style="17" bestFit="1" customWidth="1"/>
    <col min="5661" max="5661" width="12.21875" style="17" bestFit="1" customWidth="1"/>
    <col min="5662" max="5662" width="9" style="17" bestFit="1" customWidth="1"/>
    <col min="5663" max="5663" width="8.88671875" style="17"/>
    <col min="5664" max="5664" width="9.44140625" style="17" bestFit="1" customWidth="1"/>
    <col min="5665" max="5888" width="8.88671875" style="17"/>
    <col min="5889" max="5892" width="6.77734375" style="17" customWidth="1"/>
    <col min="5893" max="5893" width="16" style="17" customWidth="1"/>
    <col min="5894" max="5896" width="13.77734375" style="17" customWidth="1"/>
    <col min="5897" max="5897" width="1.77734375" style="17" customWidth="1"/>
    <col min="5898" max="5898" width="2.88671875" style="17" customWidth="1"/>
    <col min="5899" max="5899" width="2" style="17" customWidth="1"/>
    <col min="5900" max="5901" width="8.77734375" style="17" customWidth="1"/>
    <col min="5902" max="5902" width="10.77734375" style="17" customWidth="1"/>
    <col min="5903" max="5904" width="7.77734375" style="17" customWidth="1"/>
    <col min="5905" max="5905" width="8.109375" style="17" customWidth="1"/>
    <col min="5906" max="5906" width="6.88671875" style="17" customWidth="1"/>
    <col min="5907" max="5907" width="14.77734375" style="17" customWidth="1"/>
    <col min="5908" max="5909" width="6.88671875" style="17" customWidth="1"/>
    <col min="5910" max="5910" width="7.44140625" style="17" customWidth="1"/>
    <col min="5911" max="5911" width="6.88671875" style="17" customWidth="1"/>
    <col min="5912" max="5912" width="3" style="17" customWidth="1"/>
    <col min="5913" max="5913" width="14.77734375" style="17" customWidth="1"/>
    <col min="5914" max="5914" width="15.77734375" style="17" customWidth="1"/>
    <col min="5915" max="5915" width="15.44140625" style="17" bestFit="1" customWidth="1"/>
    <col min="5916" max="5916" width="17.5546875" style="17" bestFit="1" customWidth="1"/>
    <col min="5917" max="5917" width="12.21875" style="17" bestFit="1" customWidth="1"/>
    <col min="5918" max="5918" width="9" style="17" bestFit="1" customWidth="1"/>
    <col min="5919" max="5919" width="8.88671875" style="17"/>
    <col min="5920" max="5920" width="9.44140625" style="17" bestFit="1" customWidth="1"/>
    <col min="5921" max="6144" width="8.88671875" style="17"/>
    <col min="6145" max="6148" width="6.77734375" style="17" customWidth="1"/>
    <col min="6149" max="6149" width="16" style="17" customWidth="1"/>
    <col min="6150" max="6152" width="13.77734375" style="17" customWidth="1"/>
    <col min="6153" max="6153" width="1.77734375" style="17" customWidth="1"/>
    <col min="6154" max="6154" width="2.88671875" style="17" customWidth="1"/>
    <col min="6155" max="6155" width="2" style="17" customWidth="1"/>
    <col min="6156" max="6157" width="8.77734375" style="17" customWidth="1"/>
    <col min="6158" max="6158" width="10.77734375" style="17" customWidth="1"/>
    <col min="6159" max="6160" width="7.77734375" style="17" customWidth="1"/>
    <col min="6161" max="6161" width="8.109375" style="17" customWidth="1"/>
    <col min="6162" max="6162" width="6.88671875" style="17" customWidth="1"/>
    <col min="6163" max="6163" width="14.77734375" style="17" customWidth="1"/>
    <col min="6164" max="6165" width="6.88671875" style="17" customWidth="1"/>
    <col min="6166" max="6166" width="7.44140625" style="17" customWidth="1"/>
    <col min="6167" max="6167" width="6.88671875" style="17" customWidth="1"/>
    <col min="6168" max="6168" width="3" style="17" customWidth="1"/>
    <col min="6169" max="6169" width="14.77734375" style="17" customWidth="1"/>
    <col min="6170" max="6170" width="15.77734375" style="17" customWidth="1"/>
    <col min="6171" max="6171" width="15.44140625" style="17" bestFit="1" customWidth="1"/>
    <col min="6172" max="6172" width="17.5546875" style="17" bestFit="1" customWidth="1"/>
    <col min="6173" max="6173" width="12.21875" style="17" bestFit="1" customWidth="1"/>
    <col min="6174" max="6174" width="9" style="17" bestFit="1" customWidth="1"/>
    <col min="6175" max="6175" width="8.88671875" style="17"/>
    <col min="6176" max="6176" width="9.44140625" style="17" bestFit="1" customWidth="1"/>
    <col min="6177" max="6400" width="8.88671875" style="17"/>
    <col min="6401" max="6404" width="6.77734375" style="17" customWidth="1"/>
    <col min="6405" max="6405" width="16" style="17" customWidth="1"/>
    <col min="6406" max="6408" width="13.77734375" style="17" customWidth="1"/>
    <col min="6409" max="6409" width="1.77734375" style="17" customWidth="1"/>
    <col min="6410" max="6410" width="2.88671875" style="17" customWidth="1"/>
    <col min="6411" max="6411" width="2" style="17" customWidth="1"/>
    <col min="6412" max="6413" width="8.77734375" style="17" customWidth="1"/>
    <col min="6414" max="6414" width="10.77734375" style="17" customWidth="1"/>
    <col min="6415" max="6416" width="7.77734375" style="17" customWidth="1"/>
    <col min="6417" max="6417" width="8.109375" style="17" customWidth="1"/>
    <col min="6418" max="6418" width="6.88671875" style="17" customWidth="1"/>
    <col min="6419" max="6419" width="14.77734375" style="17" customWidth="1"/>
    <col min="6420" max="6421" width="6.88671875" style="17" customWidth="1"/>
    <col min="6422" max="6422" width="7.44140625" style="17" customWidth="1"/>
    <col min="6423" max="6423" width="6.88671875" style="17" customWidth="1"/>
    <col min="6424" max="6424" width="3" style="17" customWidth="1"/>
    <col min="6425" max="6425" width="14.77734375" style="17" customWidth="1"/>
    <col min="6426" max="6426" width="15.77734375" style="17" customWidth="1"/>
    <col min="6427" max="6427" width="15.44140625" style="17" bestFit="1" customWidth="1"/>
    <col min="6428" max="6428" width="17.5546875" style="17" bestFit="1" customWidth="1"/>
    <col min="6429" max="6429" width="12.21875" style="17" bestFit="1" customWidth="1"/>
    <col min="6430" max="6430" width="9" style="17" bestFit="1" customWidth="1"/>
    <col min="6431" max="6431" width="8.88671875" style="17"/>
    <col min="6432" max="6432" width="9.44140625" style="17" bestFit="1" customWidth="1"/>
    <col min="6433" max="6656" width="8.88671875" style="17"/>
    <col min="6657" max="6660" width="6.77734375" style="17" customWidth="1"/>
    <col min="6661" max="6661" width="16" style="17" customWidth="1"/>
    <col min="6662" max="6664" width="13.77734375" style="17" customWidth="1"/>
    <col min="6665" max="6665" width="1.77734375" style="17" customWidth="1"/>
    <col min="6666" max="6666" width="2.88671875" style="17" customWidth="1"/>
    <col min="6667" max="6667" width="2" style="17" customWidth="1"/>
    <col min="6668" max="6669" width="8.77734375" style="17" customWidth="1"/>
    <col min="6670" max="6670" width="10.77734375" style="17" customWidth="1"/>
    <col min="6671" max="6672" width="7.77734375" style="17" customWidth="1"/>
    <col min="6673" max="6673" width="8.109375" style="17" customWidth="1"/>
    <col min="6674" max="6674" width="6.88671875" style="17" customWidth="1"/>
    <col min="6675" max="6675" width="14.77734375" style="17" customWidth="1"/>
    <col min="6676" max="6677" width="6.88671875" style="17" customWidth="1"/>
    <col min="6678" max="6678" width="7.44140625" style="17" customWidth="1"/>
    <col min="6679" max="6679" width="6.88671875" style="17" customWidth="1"/>
    <col min="6680" max="6680" width="3" style="17" customWidth="1"/>
    <col min="6681" max="6681" width="14.77734375" style="17" customWidth="1"/>
    <col min="6682" max="6682" width="15.77734375" style="17" customWidth="1"/>
    <col min="6683" max="6683" width="15.44140625" style="17" bestFit="1" customWidth="1"/>
    <col min="6684" max="6684" width="17.5546875" style="17" bestFit="1" customWidth="1"/>
    <col min="6685" max="6685" width="12.21875" style="17" bestFit="1" customWidth="1"/>
    <col min="6686" max="6686" width="9" style="17" bestFit="1" customWidth="1"/>
    <col min="6687" max="6687" width="8.88671875" style="17"/>
    <col min="6688" max="6688" width="9.44140625" style="17" bestFit="1" customWidth="1"/>
    <col min="6689" max="6912" width="8.88671875" style="17"/>
    <col min="6913" max="6916" width="6.77734375" style="17" customWidth="1"/>
    <col min="6917" max="6917" width="16" style="17" customWidth="1"/>
    <col min="6918" max="6920" width="13.77734375" style="17" customWidth="1"/>
    <col min="6921" max="6921" width="1.77734375" style="17" customWidth="1"/>
    <col min="6922" max="6922" width="2.88671875" style="17" customWidth="1"/>
    <col min="6923" max="6923" width="2" style="17" customWidth="1"/>
    <col min="6924" max="6925" width="8.77734375" style="17" customWidth="1"/>
    <col min="6926" max="6926" width="10.77734375" style="17" customWidth="1"/>
    <col min="6927" max="6928" width="7.77734375" style="17" customWidth="1"/>
    <col min="6929" max="6929" width="8.109375" style="17" customWidth="1"/>
    <col min="6930" max="6930" width="6.88671875" style="17" customWidth="1"/>
    <col min="6931" max="6931" width="14.77734375" style="17" customWidth="1"/>
    <col min="6932" max="6933" width="6.88671875" style="17" customWidth="1"/>
    <col min="6934" max="6934" width="7.44140625" style="17" customWidth="1"/>
    <col min="6935" max="6935" width="6.88671875" style="17" customWidth="1"/>
    <col min="6936" max="6936" width="3" style="17" customWidth="1"/>
    <col min="6937" max="6937" width="14.77734375" style="17" customWidth="1"/>
    <col min="6938" max="6938" width="15.77734375" style="17" customWidth="1"/>
    <col min="6939" max="6939" width="15.44140625" style="17" bestFit="1" customWidth="1"/>
    <col min="6940" max="6940" width="17.5546875" style="17" bestFit="1" customWidth="1"/>
    <col min="6941" max="6941" width="12.21875" style="17" bestFit="1" customWidth="1"/>
    <col min="6942" max="6942" width="9" style="17" bestFit="1" customWidth="1"/>
    <col min="6943" max="6943" width="8.88671875" style="17"/>
    <col min="6944" max="6944" width="9.44140625" style="17" bestFit="1" customWidth="1"/>
    <col min="6945" max="7168" width="8.88671875" style="17"/>
    <col min="7169" max="7172" width="6.77734375" style="17" customWidth="1"/>
    <col min="7173" max="7173" width="16" style="17" customWidth="1"/>
    <col min="7174" max="7176" width="13.77734375" style="17" customWidth="1"/>
    <col min="7177" max="7177" width="1.77734375" style="17" customWidth="1"/>
    <col min="7178" max="7178" width="2.88671875" style="17" customWidth="1"/>
    <col min="7179" max="7179" width="2" style="17" customWidth="1"/>
    <col min="7180" max="7181" width="8.77734375" style="17" customWidth="1"/>
    <col min="7182" max="7182" width="10.77734375" style="17" customWidth="1"/>
    <col min="7183" max="7184" width="7.77734375" style="17" customWidth="1"/>
    <col min="7185" max="7185" width="8.109375" style="17" customWidth="1"/>
    <col min="7186" max="7186" width="6.88671875" style="17" customWidth="1"/>
    <col min="7187" max="7187" width="14.77734375" style="17" customWidth="1"/>
    <col min="7188" max="7189" width="6.88671875" style="17" customWidth="1"/>
    <col min="7190" max="7190" width="7.44140625" style="17" customWidth="1"/>
    <col min="7191" max="7191" width="6.88671875" style="17" customWidth="1"/>
    <col min="7192" max="7192" width="3" style="17" customWidth="1"/>
    <col min="7193" max="7193" width="14.77734375" style="17" customWidth="1"/>
    <col min="7194" max="7194" width="15.77734375" style="17" customWidth="1"/>
    <col min="7195" max="7195" width="15.44140625" style="17" bestFit="1" customWidth="1"/>
    <col min="7196" max="7196" width="17.5546875" style="17" bestFit="1" customWidth="1"/>
    <col min="7197" max="7197" width="12.21875" style="17" bestFit="1" customWidth="1"/>
    <col min="7198" max="7198" width="9" style="17" bestFit="1" customWidth="1"/>
    <col min="7199" max="7199" width="8.88671875" style="17"/>
    <col min="7200" max="7200" width="9.44140625" style="17" bestFit="1" customWidth="1"/>
    <col min="7201" max="7424" width="8.88671875" style="17"/>
    <col min="7425" max="7428" width="6.77734375" style="17" customWidth="1"/>
    <col min="7429" max="7429" width="16" style="17" customWidth="1"/>
    <col min="7430" max="7432" width="13.77734375" style="17" customWidth="1"/>
    <col min="7433" max="7433" width="1.77734375" style="17" customWidth="1"/>
    <col min="7434" max="7434" width="2.88671875" style="17" customWidth="1"/>
    <col min="7435" max="7435" width="2" style="17" customWidth="1"/>
    <col min="7436" max="7437" width="8.77734375" style="17" customWidth="1"/>
    <col min="7438" max="7438" width="10.77734375" style="17" customWidth="1"/>
    <col min="7439" max="7440" width="7.77734375" style="17" customWidth="1"/>
    <col min="7441" max="7441" width="8.109375" style="17" customWidth="1"/>
    <col min="7442" max="7442" width="6.88671875" style="17" customWidth="1"/>
    <col min="7443" max="7443" width="14.77734375" style="17" customWidth="1"/>
    <col min="7444" max="7445" width="6.88671875" style="17" customWidth="1"/>
    <col min="7446" max="7446" width="7.44140625" style="17" customWidth="1"/>
    <col min="7447" max="7447" width="6.88671875" style="17" customWidth="1"/>
    <col min="7448" max="7448" width="3" style="17" customWidth="1"/>
    <col min="7449" max="7449" width="14.77734375" style="17" customWidth="1"/>
    <col min="7450" max="7450" width="15.77734375" style="17" customWidth="1"/>
    <col min="7451" max="7451" width="15.44140625" style="17" bestFit="1" customWidth="1"/>
    <col min="7452" max="7452" width="17.5546875" style="17" bestFit="1" customWidth="1"/>
    <col min="7453" max="7453" width="12.21875" style="17" bestFit="1" customWidth="1"/>
    <col min="7454" max="7454" width="9" style="17" bestFit="1" customWidth="1"/>
    <col min="7455" max="7455" width="8.88671875" style="17"/>
    <col min="7456" max="7456" width="9.44140625" style="17" bestFit="1" customWidth="1"/>
    <col min="7457" max="7680" width="8.88671875" style="17"/>
    <col min="7681" max="7684" width="6.77734375" style="17" customWidth="1"/>
    <col min="7685" max="7685" width="16" style="17" customWidth="1"/>
    <col min="7686" max="7688" width="13.77734375" style="17" customWidth="1"/>
    <col min="7689" max="7689" width="1.77734375" style="17" customWidth="1"/>
    <col min="7690" max="7690" width="2.88671875" style="17" customWidth="1"/>
    <col min="7691" max="7691" width="2" style="17" customWidth="1"/>
    <col min="7692" max="7693" width="8.77734375" style="17" customWidth="1"/>
    <col min="7694" max="7694" width="10.77734375" style="17" customWidth="1"/>
    <col min="7695" max="7696" width="7.77734375" style="17" customWidth="1"/>
    <col min="7697" max="7697" width="8.109375" style="17" customWidth="1"/>
    <col min="7698" max="7698" width="6.88671875" style="17" customWidth="1"/>
    <col min="7699" max="7699" width="14.77734375" style="17" customWidth="1"/>
    <col min="7700" max="7701" width="6.88671875" style="17" customWidth="1"/>
    <col min="7702" max="7702" width="7.44140625" style="17" customWidth="1"/>
    <col min="7703" max="7703" width="6.88671875" style="17" customWidth="1"/>
    <col min="7704" max="7704" width="3" style="17" customWidth="1"/>
    <col min="7705" max="7705" width="14.77734375" style="17" customWidth="1"/>
    <col min="7706" max="7706" width="15.77734375" style="17" customWidth="1"/>
    <col min="7707" max="7707" width="15.44140625" style="17" bestFit="1" customWidth="1"/>
    <col min="7708" max="7708" width="17.5546875" style="17" bestFit="1" customWidth="1"/>
    <col min="7709" max="7709" width="12.21875" style="17" bestFit="1" customWidth="1"/>
    <col min="7710" max="7710" width="9" style="17" bestFit="1" customWidth="1"/>
    <col min="7711" max="7711" width="8.88671875" style="17"/>
    <col min="7712" max="7712" width="9.44140625" style="17" bestFit="1" customWidth="1"/>
    <col min="7713" max="7936" width="8.88671875" style="17"/>
    <col min="7937" max="7940" width="6.77734375" style="17" customWidth="1"/>
    <col min="7941" max="7941" width="16" style="17" customWidth="1"/>
    <col min="7942" max="7944" width="13.77734375" style="17" customWidth="1"/>
    <col min="7945" max="7945" width="1.77734375" style="17" customWidth="1"/>
    <col min="7946" max="7946" width="2.88671875" style="17" customWidth="1"/>
    <col min="7947" max="7947" width="2" style="17" customWidth="1"/>
    <col min="7948" max="7949" width="8.77734375" style="17" customWidth="1"/>
    <col min="7950" max="7950" width="10.77734375" style="17" customWidth="1"/>
    <col min="7951" max="7952" width="7.77734375" style="17" customWidth="1"/>
    <col min="7953" max="7953" width="8.109375" style="17" customWidth="1"/>
    <col min="7954" max="7954" width="6.88671875" style="17" customWidth="1"/>
    <col min="7955" max="7955" width="14.77734375" style="17" customWidth="1"/>
    <col min="7956" max="7957" width="6.88671875" style="17" customWidth="1"/>
    <col min="7958" max="7958" width="7.44140625" style="17" customWidth="1"/>
    <col min="7959" max="7959" width="6.88671875" style="17" customWidth="1"/>
    <col min="7960" max="7960" width="3" style="17" customWidth="1"/>
    <col min="7961" max="7961" width="14.77734375" style="17" customWidth="1"/>
    <col min="7962" max="7962" width="15.77734375" style="17" customWidth="1"/>
    <col min="7963" max="7963" width="15.44140625" style="17" bestFit="1" customWidth="1"/>
    <col min="7964" max="7964" width="17.5546875" style="17" bestFit="1" customWidth="1"/>
    <col min="7965" max="7965" width="12.21875" style="17" bestFit="1" customWidth="1"/>
    <col min="7966" max="7966" width="9" style="17" bestFit="1" customWidth="1"/>
    <col min="7967" max="7967" width="8.88671875" style="17"/>
    <col min="7968" max="7968" width="9.44140625" style="17" bestFit="1" customWidth="1"/>
    <col min="7969" max="8192" width="8.88671875" style="17"/>
    <col min="8193" max="8196" width="6.77734375" style="17" customWidth="1"/>
    <col min="8197" max="8197" width="16" style="17" customWidth="1"/>
    <col min="8198" max="8200" width="13.77734375" style="17" customWidth="1"/>
    <col min="8201" max="8201" width="1.77734375" style="17" customWidth="1"/>
    <col min="8202" max="8202" width="2.88671875" style="17" customWidth="1"/>
    <col min="8203" max="8203" width="2" style="17" customWidth="1"/>
    <col min="8204" max="8205" width="8.77734375" style="17" customWidth="1"/>
    <col min="8206" max="8206" width="10.77734375" style="17" customWidth="1"/>
    <col min="8207" max="8208" width="7.77734375" style="17" customWidth="1"/>
    <col min="8209" max="8209" width="8.109375" style="17" customWidth="1"/>
    <col min="8210" max="8210" width="6.88671875" style="17" customWidth="1"/>
    <col min="8211" max="8211" width="14.77734375" style="17" customWidth="1"/>
    <col min="8212" max="8213" width="6.88671875" style="17" customWidth="1"/>
    <col min="8214" max="8214" width="7.44140625" style="17" customWidth="1"/>
    <col min="8215" max="8215" width="6.88671875" style="17" customWidth="1"/>
    <col min="8216" max="8216" width="3" style="17" customWidth="1"/>
    <col min="8217" max="8217" width="14.77734375" style="17" customWidth="1"/>
    <col min="8218" max="8218" width="15.77734375" style="17" customWidth="1"/>
    <col min="8219" max="8219" width="15.44140625" style="17" bestFit="1" customWidth="1"/>
    <col min="8220" max="8220" width="17.5546875" style="17" bestFit="1" customWidth="1"/>
    <col min="8221" max="8221" width="12.21875" style="17" bestFit="1" customWidth="1"/>
    <col min="8222" max="8222" width="9" style="17" bestFit="1" customWidth="1"/>
    <col min="8223" max="8223" width="8.88671875" style="17"/>
    <col min="8224" max="8224" width="9.44140625" style="17" bestFit="1" customWidth="1"/>
    <col min="8225" max="8448" width="8.88671875" style="17"/>
    <col min="8449" max="8452" width="6.77734375" style="17" customWidth="1"/>
    <col min="8453" max="8453" width="16" style="17" customWidth="1"/>
    <col min="8454" max="8456" width="13.77734375" style="17" customWidth="1"/>
    <col min="8457" max="8457" width="1.77734375" style="17" customWidth="1"/>
    <col min="8458" max="8458" width="2.88671875" style="17" customWidth="1"/>
    <col min="8459" max="8459" width="2" style="17" customWidth="1"/>
    <col min="8460" max="8461" width="8.77734375" style="17" customWidth="1"/>
    <col min="8462" max="8462" width="10.77734375" style="17" customWidth="1"/>
    <col min="8463" max="8464" width="7.77734375" style="17" customWidth="1"/>
    <col min="8465" max="8465" width="8.109375" style="17" customWidth="1"/>
    <col min="8466" max="8466" width="6.88671875" style="17" customWidth="1"/>
    <col min="8467" max="8467" width="14.77734375" style="17" customWidth="1"/>
    <col min="8468" max="8469" width="6.88671875" style="17" customWidth="1"/>
    <col min="8470" max="8470" width="7.44140625" style="17" customWidth="1"/>
    <col min="8471" max="8471" width="6.88671875" style="17" customWidth="1"/>
    <col min="8472" max="8472" width="3" style="17" customWidth="1"/>
    <col min="8473" max="8473" width="14.77734375" style="17" customWidth="1"/>
    <col min="8474" max="8474" width="15.77734375" style="17" customWidth="1"/>
    <col min="8475" max="8475" width="15.44140625" style="17" bestFit="1" customWidth="1"/>
    <col min="8476" max="8476" width="17.5546875" style="17" bestFit="1" customWidth="1"/>
    <col min="8477" max="8477" width="12.21875" style="17" bestFit="1" customWidth="1"/>
    <col min="8478" max="8478" width="9" style="17" bestFit="1" customWidth="1"/>
    <col min="8479" max="8479" width="8.88671875" style="17"/>
    <col min="8480" max="8480" width="9.44140625" style="17" bestFit="1" customWidth="1"/>
    <col min="8481" max="8704" width="8.88671875" style="17"/>
    <col min="8705" max="8708" width="6.77734375" style="17" customWidth="1"/>
    <col min="8709" max="8709" width="16" style="17" customWidth="1"/>
    <col min="8710" max="8712" width="13.77734375" style="17" customWidth="1"/>
    <col min="8713" max="8713" width="1.77734375" style="17" customWidth="1"/>
    <col min="8714" max="8714" width="2.88671875" style="17" customWidth="1"/>
    <col min="8715" max="8715" width="2" style="17" customWidth="1"/>
    <col min="8716" max="8717" width="8.77734375" style="17" customWidth="1"/>
    <col min="8718" max="8718" width="10.77734375" style="17" customWidth="1"/>
    <col min="8719" max="8720" width="7.77734375" style="17" customWidth="1"/>
    <col min="8721" max="8721" width="8.109375" style="17" customWidth="1"/>
    <col min="8722" max="8722" width="6.88671875" style="17" customWidth="1"/>
    <col min="8723" max="8723" width="14.77734375" style="17" customWidth="1"/>
    <col min="8724" max="8725" width="6.88671875" style="17" customWidth="1"/>
    <col min="8726" max="8726" width="7.44140625" style="17" customWidth="1"/>
    <col min="8727" max="8727" width="6.88671875" style="17" customWidth="1"/>
    <col min="8728" max="8728" width="3" style="17" customWidth="1"/>
    <col min="8729" max="8729" width="14.77734375" style="17" customWidth="1"/>
    <col min="8730" max="8730" width="15.77734375" style="17" customWidth="1"/>
    <col min="8731" max="8731" width="15.44140625" style="17" bestFit="1" customWidth="1"/>
    <col min="8732" max="8732" width="17.5546875" style="17" bestFit="1" customWidth="1"/>
    <col min="8733" max="8733" width="12.21875" style="17" bestFit="1" customWidth="1"/>
    <col min="8734" max="8734" width="9" style="17" bestFit="1" customWidth="1"/>
    <col min="8735" max="8735" width="8.88671875" style="17"/>
    <col min="8736" max="8736" width="9.44140625" style="17" bestFit="1" customWidth="1"/>
    <col min="8737" max="8960" width="8.88671875" style="17"/>
    <col min="8961" max="8964" width="6.77734375" style="17" customWidth="1"/>
    <col min="8965" max="8965" width="16" style="17" customWidth="1"/>
    <col min="8966" max="8968" width="13.77734375" style="17" customWidth="1"/>
    <col min="8969" max="8969" width="1.77734375" style="17" customWidth="1"/>
    <col min="8970" max="8970" width="2.88671875" style="17" customWidth="1"/>
    <col min="8971" max="8971" width="2" style="17" customWidth="1"/>
    <col min="8972" max="8973" width="8.77734375" style="17" customWidth="1"/>
    <col min="8974" max="8974" width="10.77734375" style="17" customWidth="1"/>
    <col min="8975" max="8976" width="7.77734375" style="17" customWidth="1"/>
    <col min="8977" max="8977" width="8.109375" style="17" customWidth="1"/>
    <col min="8978" max="8978" width="6.88671875" style="17" customWidth="1"/>
    <col min="8979" max="8979" width="14.77734375" style="17" customWidth="1"/>
    <col min="8980" max="8981" width="6.88671875" style="17" customWidth="1"/>
    <col min="8982" max="8982" width="7.44140625" style="17" customWidth="1"/>
    <col min="8983" max="8983" width="6.88671875" style="17" customWidth="1"/>
    <col min="8984" max="8984" width="3" style="17" customWidth="1"/>
    <col min="8985" max="8985" width="14.77734375" style="17" customWidth="1"/>
    <col min="8986" max="8986" width="15.77734375" style="17" customWidth="1"/>
    <col min="8987" max="8987" width="15.44140625" style="17" bestFit="1" customWidth="1"/>
    <col min="8988" max="8988" width="17.5546875" style="17" bestFit="1" customWidth="1"/>
    <col min="8989" max="8989" width="12.21875" style="17" bestFit="1" customWidth="1"/>
    <col min="8990" max="8990" width="9" style="17" bestFit="1" customWidth="1"/>
    <col min="8991" max="8991" width="8.88671875" style="17"/>
    <col min="8992" max="8992" width="9.44140625" style="17" bestFit="1" customWidth="1"/>
    <col min="8993" max="9216" width="8.88671875" style="17"/>
    <col min="9217" max="9220" width="6.77734375" style="17" customWidth="1"/>
    <col min="9221" max="9221" width="16" style="17" customWidth="1"/>
    <col min="9222" max="9224" width="13.77734375" style="17" customWidth="1"/>
    <col min="9225" max="9225" width="1.77734375" style="17" customWidth="1"/>
    <col min="9226" max="9226" width="2.88671875" style="17" customWidth="1"/>
    <col min="9227" max="9227" width="2" style="17" customWidth="1"/>
    <col min="9228" max="9229" width="8.77734375" style="17" customWidth="1"/>
    <col min="9230" max="9230" width="10.77734375" style="17" customWidth="1"/>
    <col min="9231" max="9232" width="7.77734375" style="17" customWidth="1"/>
    <col min="9233" max="9233" width="8.109375" style="17" customWidth="1"/>
    <col min="9234" max="9234" width="6.88671875" style="17" customWidth="1"/>
    <col min="9235" max="9235" width="14.77734375" style="17" customWidth="1"/>
    <col min="9236" max="9237" width="6.88671875" style="17" customWidth="1"/>
    <col min="9238" max="9238" width="7.44140625" style="17" customWidth="1"/>
    <col min="9239" max="9239" width="6.88671875" style="17" customWidth="1"/>
    <col min="9240" max="9240" width="3" style="17" customWidth="1"/>
    <col min="9241" max="9241" width="14.77734375" style="17" customWidth="1"/>
    <col min="9242" max="9242" width="15.77734375" style="17" customWidth="1"/>
    <col min="9243" max="9243" width="15.44140625" style="17" bestFit="1" customWidth="1"/>
    <col min="9244" max="9244" width="17.5546875" style="17" bestFit="1" customWidth="1"/>
    <col min="9245" max="9245" width="12.21875" style="17" bestFit="1" customWidth="1"/>
    <col min="9246" max="9246" width="9" style="17" bestFit="1" customWidth="1"/>
    <col min="9247" max="9247" width="8.88671875" style="17"/>
    <col min="9248" max="9248" width="9.44140625" style="17" bestFit="1" customWidth="1"/>
    <col min="9249" max="9472" width="8.88671875" style="17"/>
    <col min="9473" max="9476" width="6.77734375" style="17" customWidth="1"/>
    <col min="9477" max="9477" width="16" style="17" customWidth="1"/>
    <col min="9478" max="9480" width="13.77734375" style="17" customWidth="1"/>
    <col min="9481" max="9481" width="1.77734375" style="17" customWidth="1"/>
    <col min="9482" max="9482" width="2.88671875" style="17" customWidth="1"/>
    <col min="9483" max="9483" width="2" style="17" customWidth="1"/>
    <col min="9484" max="9485" width="8.77734375" style="17" customWidth="1"/>
    <col min="9486" max="9486" width="10.77734375" style="17" customWidth="1"/>
    <col min="9487" max="9488" width="7.77734375" style="17" customWidth="1"/>
    <col min="9489" max="9489" width="8.109375" style="17" customWidth="1"/>
    <col min="9490" max="9490" width="6.88671875" style="17" customWidth="1"/>
    <col min="9491" max="9491" width="14.77734375" style="17" customWidth="1"/>
    <col min="9492" max="9493" width="6.88671875" style="17" customWidth="1"/>
    <col min="9494" max="9494" width="7.44140625" style="17" customWidth="1"/>
    <col min="9495" max="9495" width="6.88671875" style="17" customWidth="1"/>
    <col min="9496" max="9496" width="3" style="17" customWidth="1"/>
    <col min="9497" max="9497" width="14.77734375" style="17" customWidth="1"/>
    <col min="9498" max="9498" width="15.77734375" style="17" customWidth="1"/>
    <col min="9499" max="9499" width="15.44140625" style="17" bestFit="1" customWidth="1"/>
    <col min="9500" max="9500" width="17.5546875" style="17" bestFit="1" customWidth="1"/>
    <col min="9501" max="9501" width="12.21875" style="17" bestFit="1" customWidth="1"/>
    <col min="9502" max="9502" width="9" style="17" bestFit="1" customWidth="1"/>
    <col min="9503" max="9503" width="8.88671875" style="17"/>
    <col min="9504" max="9504" width="9.44140625" style="17" bestFit="1" customWidth="1"/>
    <col min="9505" max="9728" width="8.88671875" style="17"/>
    <col min="9729" max="9732" width="6.77734375" style="17" customWidth="1"/>
    <col min="9733" max="9733" width="16" style="17" customWidth="1"/>
    <col min="9734" max="9736" width="13.77734375" style="17" customWidth="1"/>
    <col min="9737" max="9737" width="1.77734375" style="17" customWidth="1"/>
    <col min="9738" max="9738" width="2.88671875" style="17" customWidth="1"/>
    <col min="9739" max="9739" width="2" style="17" customWidth="1"/>
    <col min="9740" max="9741" width="8.77734375" style="17" customWidth="1"/>
    <col min="9742" max="9742" width="10.77734375" style="17" customWidth="1"/>
    <col min="9743" max="9744" width="7.77734375" style="17" customWidth="1"/>
    <col min="9745" max="9745" width="8.109375" style="17" customWidth="1"/>
    <col min="9746" max="9746" width="6.88671875" style="17" customWidth="1"/>
    <col min="9747" max="9747" width="14.77734375" style="17" customWidth="1"/>
    <col min="9748" max="9749" width="6.88671875" style="17" customWidth="1"/>
    <col min="9750" max="9750" width="7.44140625" style="17" customWidth="1"/>
    <col min="9751" max="9751" width="6.88671875" style="17" customWidth="1"/>
    <col min="9752" max="9752" width="3" style="17" customWidth="1"/>
    <col min="9753" max="9753" width="14.77734375" style="17" customWidth="1"/>
    <col min="9754" max="9754" width="15.77734375" style="17" customWidth="1"/>
    <col min="9755" max="9755" width="15.44140625" style="17" bestFit="1" customWidth="1"/>
    <col min="9756" max="9756" width="17.5546875" style="17" bestFit="1" customWidth="1"/>
    <col min="9757" max="9757" width="12.21875" style="17" bestFit="1" customWidth="1"/>
    <col min="9758" max="9758" width="9" style="17" bestFit="1" customWidth="1"/>
    <col min="9759" max="9759" width="8.88671875" style="17"/>
    <col min="9760" max="9760" width="9.44140625" style="17" bestFit="1" customWidth="1"/>
    <col min="9761" max="9984" width="8.88671875" style="17"/>
    <col min="9985" max="9988" width="6.77734375" style="17" customWidth="1"/>
    <col min="9989" max="9989" width="16" style="17" customWidth="1"/>
    <col min="9990" max="9992" width="13.77734375" style="17" customWidth="1"/>
    <col min="9993" max="9993" width="1.77734375" style="17" customWidth="1"/>
    <col min="9994" max="9994" width="2.88671875" style="17" customWidth="1"/>
    <col min="9995" max="9995" width="2" style="17" customWidth="1"/>
    <col min="9996" max="9997" width="8.77734375" style="17" customWidth="1"/>
    <col min="9998" max="9998" width="10.77734375" style="17" customWidth="1"/>
    <col min="9999" max="10000" width="7.77734375" style="17" customWidth="1"/>
    <col min="10001" max="10001" width="8.109375" style="17" customWidth="1"/>
    <col min="10002" max="10002" width="6.88671875" style="17" customWidth="1"/>
    <col min="10003" max="10003" width="14.77734375" style="17" customWidth="1"/>
    <col min="10004" max="10005" width="6.88671875" style="17" customWidth="1"/>
    <col min="10006" max="10006" width="7.44140625" style="17" customWidth="1"/>
    <col min="10007" max="10007" width="6.88671875" style="17" customWidth="1"/>
    <col min="10008" max="10008" width="3" style="17" customWidth="1"/>
    <col min="10009" max="10009" width="14.77734375" style="17" customWidth="1"/>
    <col min="10010" max="10010" width="15.77734375" style="17" customWidth="1"/>
    <col min="10011" max="10011" width="15.44140625" style="17" bestFit="1" customWidth="1"/>
    <col min="10012" max="10012" width="17.5546875" style="17" bestFit="1" customWidth="1"/>
    <col min="10013" max="10013" width="12.21875" style="17" bestFit="1" customWidth="1"/>
    <col min="10014" max="10014" width="9" style="17" bestFit="1" customWidth="1"/>
    <col min="10015" max="10015" width="8.88671875" style="17"/>
    <col min="10016" max="10016" width="9.44140625" style="17" bestFit="1" customWidth="1"/>
    <col min="10017" max="10240" width="8.88671875" style="17"/>
    <col min="10241" max="10244" width="6.77734375" style="17" customWidth="1"/>
    <col min="10245" max="10245" width="16" style="17" customWidth="1"/>
    <col min="10246" max="10248" width="13.77734375" style="17" customWidth="1"/>
    <col min="10249" max="10249" width="1.77734375" style="17" customWidth="1"/>
    <col min="10250" max="10250" width="2.88671875" style="17" customWidth="1"/>
    <col min="10251" max="10251" width="2" style="17" customWidth="1"/>
    <col min="10252" max="10253" width="8.77734375" style="17" customWidth="1"/>
    <col min="10254" max="10254" width="10.77734375" style="17" customWidth="1"/>
    <col min="10255" max="10256" width="7.77734375" style="17" customWidth="1"/>
    <col min="10257" max="10257" width="8.109375" style="17" customWidth="1"/>
    <col min="10258" max="10258" width="6.88671875" style="17" customWidth="1"/>
    <col min="10259" max="10259" width="14.77734375" style="17" customWidth="1"/>
    <col min="10260" max="10261" width="6.88671875" style="17" customWidth="1"/>
    <col min="10262" max="10262" width="7.44140625" style="17" customWidth="1"/>
    <col min="10263" max="10263" width="6.88671875" style="17" customWidth="1"/>
    <col min="10264" max="10264" width="3" style="17" customWidth="1"/>
    <col min="10265" max="10265" width="14.77734375" style="17" customWidth="1"/>
    <col min="10266" max="10266" width="15.77734375" style="17" customWidth="1"/>
    <col min="10267" max="10267" width="15.44140625" style="17" bestFit="1" customWidth="1"/>
    <col min="10268" max="10268" width="17.5546875" style="17" bestFit="1" customWidth="1"/>
    <col min="10269" max="10269" width="12.21875" style="17" bestFit="1" customWidth="1"/>
    <col min="10270" max="10270" width="9" style="17" bestFit="1" customWidth="1"/>
    <col min="10271" max="10271" width="8.88671875" style="17"/>
    <col min="10272" max="10272" width="9.44140625" style="17" bestFit="1" customWidth="1"/>
    <col min="10273" max="10496" width="8.88671875" style="17"/>
    <col min="10497" max="10500" width="6.77734375" style="17" customWidth="1"/>
    <col min="10501" max="10501" width="16" style="17" customWidth="1"/>
    <col min="10502" max="10504" width="13.77734375" style="17" customWidth="1"/>
    <col min="10505" max="10505" width="1.77734375" style="17" customWidth="1"/>
    <col min="10506" max="10506" width="2.88671875" style="17" customWidth="1"/>
    <col min="10507" max="10507" width="2" style="17" customWidth="1"/>
    <col min="10508" max="10509" width="8.77734375" style="17" customWidth="1"/>
    <col min="10510" max="10510" width="10.77734375" style="17" customWidth="1"/>
    <col min="10511" max="10512" width="7.77734375" style="17" customWidth="1"/>
    <col min="10513" max="10513" width="8.109375" style="17" customWidth="1"/>
    <col min="10514" max="10514" width="6.88671875" style="17" customWidth="1"/>
    <col min="10515" max="10515" width="14.77734375" style="17" customWidth="1"/>
    <col min="10516" max="10517" width="6.88671875" style="17" customWidth="1"/>
    <col min="10518" max="10518" width="7.44140625" style="17" customWidth="1"/>
    <col min="10519" max="10519" width="6.88671875" style="17" customWidth="1"/>
    <col min="10520" max="10520" width="3" style="17" customWidth="1"/>
    <col min="10521" max="10521" width="14.77734375" style="17" customWidth="1"/>
    <col min="10522" max="10522" width="15.77734375" style="17" customWidth="1"/>
    <col min="10523" max="10523" width="15.44140625" style="17" bestFit="1" customWidth="1"/>
    <col min="10524" max="10524" width="17.5546875" style="17" bestFit="1" customWidth="1"/>
    <col min="10525" max="10525" width="12.21875" style="17" bestFit="1" customWidth="1"/>
    <col min="10526" max="10526" width="9" style="17" bestFit="1" customWidth="1"/>
    <col min="10527" max="10527" width="8.88671875" style="17"/>
    <col min="10528" max="10528" width="9.44140625" style="17" bestFit="1" customWidth="1"/>
    <col min="10529" max="10752" width="8.88671875" style="17"/>
    <col min="10753" max="10756" width="6.77734375" style="17" customWidth="1"/>
    <col min="10757" max="10757" width="16" style="17" customWidth="1"/>
    <col min="10758" max="10760" width="13.77734375" style="17" customWidth="1"/>
    <col min="10761" max="10761" width="1.77734375" style="17" customWidth="1"/>
    <col min="10762" max="10762" width="2.88671875" style="17" customWidth="1"/>
    <col min="10763" max="10763" width="2" style="17" customWidth="1"/>
    <col min="10764" max="10765" width="8.77734375" style="17" customWidth="1"/>
    <col min="10766" max="10766" width="10.77734375" style="17" customWidth="1"/>
    <col min="10767" max="10768" width="7.77734375" style="17" customWidth="1"/>
    <col min="10769" max="10769" width="8.109375" style="17" customWidth="1"/>
    <col min="10770" max="10770" width="6.88671875" style="17" customWidth="1"/>
    <col min="10771" max="10771" width="14.77734375" style="17" customWidth="1"/>
    <col min="10772" max="10773" width="6.88671875" style="17" customWidth="1"/>
    <col min="10774" max="10774" width="7.44140625" style="17" customWidth="1"/>
    <col min="10775" max="10775" width="6.88671875" style="17" customWidth="1"/>
    <col min="10776" max="10776" width="3" style="17" customWidth="1"/>
    <col min="10777" max="10777" width="14.77734375" style="17" customWidth="1"/>
    <col min="10778" max="10778" width="15.77734375" style="17" customWidth="1"/>
    <col min="10779" max="10779" width="15.44140625" style="17" bestFit="1" customWidth="1"/>
    <col min="10780" max="10780" width="17.5546875" style="17" bestFit="1" customWidth="1"/>
    <col min="10781" max="10781" width="12.21875" style="17" bestFit="1" customWidth="1"/>
    <col min="10782" max="10782" width="9" style="17" bestFit="1" customWidth="1"/>
    <col min="10783" max="10783" width="8.88671875" style="17"/>
    <col min="10784" max="10784" width="9.44140625" style="17" bestFit="1" customWidth="1"/>
    <col min="10785" max="11008" width="8.88671875" style="17"/>
    <col min="11009" max="11012" width="6.77734375" style="17" customWidth="1"/>
    <col min="11013" max="11013" width="16" style="17" customWidth="1"/>
    <col min="11014" max="11016" width="13.77734375" style="17" customWidth="1"/>
    <col min="11017" max="11017" width="1.77734375" style="17" customWidth="1"/>
    <col min="11018" max="11018" width="2.88671875" style="17" customWidth="1"/>
    <col min="11019" max="11019" width="2" style="17" customWidth="1"/>
    <col min="11020" max="11021" width="8.77734375" style="17" customWidth="1"/>
    <col min="11022" max="11022" width="10.77734375" style="17" customWidth="1"/>
    <col min="11023" max="11024" width="7.77734375" style="17" customWidth="1"/>
    <col min="11025" max="11025" width="8.109375" style="17" customWidth="1"/>
    <col min="11026" max="11026" width="6.88671875" style="17" customWidth="1"/>
    <col min="11027" max="11027" width="14.77734375" style="17" customWidth="1"/>
    <col min="11028" max="11029" width="6.88671875" style="17" customWidth="1"/>
    <col min="11030" max="11030" width="7.44140625" style="17" customWidth="1"/>
    <col min="11031" max="11031" width="6.88671875" style="17" customWidth="1"/>
    <col min="11032" max="11032" width="3" style="17" customWidth="1"/>
    <col min="11033" max="11033" width="14.77734375" style="17" customWidth="1"/>
    <col min="11034" max="11034" width="15.77734375" style="17" customWidth="1"/>
    <col min="11035" max="11035" width="15.44140625" style="17" bestFit="1" customWidth="1"/>
    <col min="11036" max="11036" width="17.5546875" style="17" bestFit="1" customWidth="1"/>
    <col min="11037" max="11037" width="12.21875" style="17" bestFit="1" customWidth="1"/>
    <col min="11038" max="11038" width="9" style="17" bestFit="1" customWidth="1"/>
    <col min="11039" max="11039" width="8.88671875" style="17"/>
    <col min="11040" max="11040" width="9.44140625" style="17" bestFit="1" customWidth="1"/>
    <col min="11041" max="11264" width="8.88671875" style="17"/>
    <col min="11265" max="11268" width="6.77734375" style="17" customWidth="1"/>
    <col min="11269" max="11269" width="16" style="17" customWidth="1"/>
    <col min="11270" max="11272" width="13.77734375" style="17" customWidth="1"/>
    <col min="11273" max="11273" width="1.77734375" style="17" customWidth="1"/>
    <col min="11274" max="11274" width="2.88671875" style="17" customWidth="1"/>
    <col min="11275" max="11275" width="2" style="17" customWidth="1"/>
    <col min="11276" max="11277" width="8.77734375" style="17" customWidth="1"/>
    <col min="11278" max="11278" width="10.77734375" style="17" customWidth="1"/>
    <col min="11279" max="11280" width="7.77734375" style="17" customWidth="1"/>
    <col min="11281" max="11281" width="8.109375" style="17" customWidth="1"/>
    <col min="11282" max="11282" width="6.88671875" style="17" customWidth="1"/>
    <col min="11283" max="11283" width="14.77734375" style="17" customWidth="1"/>
    <col min="11284" max="11285" width="6.88671875" style="17" customWidth="1"/>
    <col min="11286" max="11286" width="7.44140625" style="17" customWidth="1"/>
    <col min="11287" max="11287" width="6.88671875" style="17" customWidth="1"/>
    <col min="11288" max="11288" width="3" style="17" customWidth="1"/>
    <col min="11289" max="11289" width="14.77734375" style="17" customWidth="1"/>
    <col min="11290" max="11290" width="15.77734375" style="17" customWidth="1"/>
    <col min="11291" max="11291" width="15.44140625" style="17" bestFit="1" customWidth="1"/>
    <col min="11292" max="11292" width="17.5546875" style="17" bestFit="1" customWidth="1"/>
    <col min="11293" max="11293" width="12.21875" style="17" bestFit="1" customWidth="1"/>
    <col min="11294" max="11294" width="9" style="17" bestFit="1" customWidth="1"/>
    <col min="11295" max="11295" width="8.88671875" style="17"/>
    <col min="11296" max="11296" width="9.44140625" style="17" bestFit="1" customWidth="1"/>
    <col min="11297" max="11520" width="8.88671875" style="17"/>
    <col min="11521" max="11524" width="6.77734375" style="17" customWidth="1"/>
    <col min="11525" max="11525" width="16" style="17" customWidth="1"/>
    <col min="11526" max="11528" width="13.77734375" style="17" customWidth="1"/>
    <col min="11529" max="11529" width="1.77734375" style="17" customWidth="1"/>
    <col min="11530" max="11530" width="2.88671875" style="17" customWidth="1"/>
    <col min="11531" max="11531" width="2" style="17" customWidth="1"/>
    <col min="11532" max="11533" width="8.77734375" style="17" customWidth="1"/>
    <col min="11534" max="11534" width="10.77734375" style="17" customWidth="1"/>
    <col min="11535" max="11536" width="7.77734375" style="17" customWidth="1"/>
    <col min="11537" max="11537" width="8.109375" style="17" customWidth="1"/>
    <col min="11538" max="11538" width="6.88671875" style="17" customWidth="1"/>
    <col min="11539" max="11539" width="14.77734375" style="17" customWidth="1"/>
    <col min="11540" max="11541" width="6.88671875" style="17" customWidth="1"/>
    <col min="11542" max="11542" width="7.44140625" style="17" customWidth="1"/>
    <col min="11543" max="11543" width="6.88671875" style="17" customWidth="1"/>
    <col min="11544" max="11544" width="3" style="17" customWidth="1"/>
    <col min="11545" max="11545" width="14.77734375" style="17" customWidth="1"/>
    <col min="11546" max="11546" width="15.77734375" style="17" customWidth="1"/>
    <col min="11547" max="11547" width="15.44140625" style="17" bestFit="1" customWidth="1"/>
    <col min="11548" max="11548" width="17.5546875" style="17" bestFit="1" customWidth="1"/>
    <col min="11549" max="11549" width="12.21875" style="17" bestFit="1" customWidth="1"/>
    <col min="11550" max="11550" width="9" style="17" bestFit="1" customWidth="1"/>
    <col min="11551" max="11551" width="8.88671875" style="17"/>
    <col min="11552" max="11552" width="9.44140625" style="17" bestFit="1" customWidth="1"/>
    <col min="11553" max="11776" width="8.88671875" style="17"/>
    <col min="11777" max="11780" width="6.77734375" style="17" customWidth="1"/>
    <col min="11781" max="11781" width="16" style="17" customWidth="1"/>
    <col min="11782" max="11784" width="13.77734375" style="17" customWidth="1"/>
    <col min="11785" max="11785" width="1.77734375" style="17" customWidth="1"/>
    <col min="11786" max="11786" width="2.88671875" style="17" customWidth="1"/>
    <col min="11787" max="11787" width="2" style="17" customWidth="1"/>
    <col min="11788" max="11789" width="8.77734375" style="17" customWidth="1"/>
    <col min="11790" max="11790" width="10.77734375" style="17" customWidth="1"/>
    <col min="11791" max="11792" width="7.77734375" style="17" customWidth="1"/>
    <col min="11793" max="11793" width="8.109375" style="17" customWidth="1"/>
    <col min="11794" max="11794" width="6.88671875" style="17" customWidth="1"/>
    <col min="11795" max="11795" width="14.77734375" style="17" customWidth="1"/>
    <col min="11796" max="11797" width="6.88671875" style="17" customWidth="1"/>
    <col min="11798" max="11798" width="7.44140625" style="17" customWidth="1"/>
    <col min="11799" max="11799" width="6.88671875" style="17" customWidth="1"/>
    <col min="11800" max="11800" width="3" style="17" customWidth="1"/>
    <col min="11801" max="11801" width="14.77734375" style="17" customWidth="1"/>
    <col min="11802" max="11802" width="15.77734375" style="17" customWidth="1"/>
    <col min="11803" max="11803" width="15.44140625" style="17" bestFit="1" customWidth="1"/>
    <col min="11804" max="11804" width="17.5546875" style="17" bestFit="1" customWidth="1"/>
    <col min="11805" max="11805" width="12.21875" style="17" bestFit="1" customWidth="1"/>
    <col min="11806" max="11806" width="9" style="17" bestFit="1" customWidth="1"/>
    <col min="11807" max="11807" width="8.88671875" style="17"/>
    <col min="11808" max="11808" width="9.44140625" style="17" bestFit="1" customWidth="1"/>
    <col min="11809" max="12032" width="8.88671875" style="17"/>
    <col min="12033" max="12036" width="6.77734375" style="17" customWidth="1"/>
    <col min="12037" max="12037" width="16" style="17" customWidth="1"/>
    <col min="12038" max="12040" width="13.77734375" style="17" customWidth="1"/>
    <col min="12041" max="12041" width="1.77734375" style="17" customWidth="1"/>
    <col min="12042" max="12042" width="2.88671875" style="17" customWidth="1"/>
    <col min="12043" max="12043" width="2" style="17" customWidth="1"/>
    <col min="12044" max="12045" width="8.77734375" style="17" customWidth="1"/>
    <col min="12046" max="12046" width="10.77734375" style="17" customWidth="1"/>
    <col min="12047" max="12048" width="7.77734375" style="17" customWidth="1"/>
    <col min="12049" max="12049" width="8.109375" style="17" customWidth="1"/>
    <col min="12050" max="12050" width="6.88671875" style="17" customWidth="1"/>
    <col min="12051" max="12051" width="14.77734375" style="17" customWidth="1"/>
    <col min="12052" max="12053" width="6.88671875" style="17" customWidth="1"/>
    <col min="12054" max="12054" width="7.44140625" style="17" customWidth="1"/>
    <col min="12055" max="12055" width="6.88671875" style="17" customWidth="1"/>
    <col min="12056" max="12056" width="3" style="17" customWidth="1"/>
    <col min="12057" max="12057" width="14.77734375" style="17" customWidth="1"/>
    <col min="12058" max="12058" width="15.77734375" style="17" customWidth="1"/>
    <col min="12059" max="12059" width="15.44140625" style="17" bestFit="1" customWidth="1"/>
    <col min="12060" max="12060" width="17.5546875" style="17" bestFit="1" customWidth="1"/>
    <col min="12061" max="12061" width="12.21875" style="17" bestFit="1" customWidth="1"/>
    <col min="12062" max="12062" width="9" style="17" bestFit="1" customWidth="1"/>
    <col min="12063" max="12063" width="8.88671875" style="17"/>
    <col min="12064" max="12064" width="9.44140625" style="17" bestFit="1" customWidth="1"/>
    <col min="12065" max="12288" width="8.88671875" style="17"/>
    <col min="12289" max="12292" width="6.77734375" style="17" customWidth="1"/>
    <col min="12293" max="12293" width="16" style="17" customWidth="1"/>
    <col min="12294" max="12296" width="13.77734375" style="17" customWidth="1"/>
    <col min="12297" max="12297" width="1.77734375" style="17" customWidth="1"/>
    <col min="12298" max="12298" width="2.88671875" style="17" customWidth="1"/>
    <col min="12299" max="12299" width="2" style="17" customWidth="1"/>
    <col min="12300" max="12301" width="8.77734375" style="17" customWidth="1"/>
    <col min="12302" max="12302" width="10.77734375" style="17" customWidth="1"/>
    <col min="12303" max="12304" width="7.77734375" style="17" customWidth="1"/>
    <col min="12305" max="12305" width="8.109375" style="17" customWidth="1"/>
    <col min="12306" max="12306" width="6.88671875" style="17" customWidth="1"/>
    <col min="12307" max="12307" width="14.77734375" style="17" customWidth="1"/>
    <col min="12308" max="12309" width="6.88671875" style="17" customWidth="1"/>
    <col min="12310" max="12310" width="7.44140625" style="17" customWidth="1"/>
    <col min="12311" max="12311" width="6.88671875" style="17" customWidth="1"/>
    <col min="12312" max="12312" width="3" style="17" customWidth="1"/>
    <col min="12313" max="12313" width="14.77734375" style="17" customWidth="1"/>
    <col min="12314" max="12314" width="15.77734375" style="17" customWidth="1"/>
    <col min="12315" max="12315" width="15.44140625" style="17" bestFit="1" customWidth="1"/>
    <col min="12316" max="12316" width="17.5546875" style="17" bestFit="1" customWidth="1"/>
    <col min="12317" max="12317" width="12.21875" style="17" bestFit="1" customWidth="1"/>
    <col min="12318" max="12318" width="9" style="17" bestFit="1" customWidth="1"/>
    <col min="12319" max="12319" width="8.88671875" style="17"/>
    <col min="12320" max="12320" width="9.44140625" style="17" bestFit="1" customWidth="1"/>
    <col min="12321" max="12544" width="8.88671875" style="17"/>
    <col min="12545" max="12548" width="6.77734375" style="17" customWidth="1"/>
    <col min="12549" max="12549" width="16" style="17" customWidth="1"/>
    <col min="12550" max="12552" width="13.77734375" style="17" customWidth="1"/>
    <col min="12553" max="12553" width="1.77734375" style="17" customWidth="1"/>
    <col min="12554" max="12554" width="2.88671875" style="17" customWidth="1"/>
    <col min="12555" max="12555" width="2" style="17" customWidth="1"/>
    <col min="12556" max="12557" width="8.77734375" style="17" customWidth="1"/>
    <col min="12558" max="12558" width="10.77734375" style="17" customWidth="1"/>
    <col min="12559" max="12560" width="7.77734375" style="17" customWidth="1"/>
    <col min="12561" max="12561" width="8.109375" style="17" customWidth="1"/>
    <col min="12562" max="12562" width="6.88671875" style="17" customWidth="1"/>
    <col min="12563" max="12563" width="14.77734375" style="17" customWidth="1"/>
    <col min="12564" max="12565" width="6.88671875" style="17" customWidth="1"/>
    <col min="12566" max="12566" width="7.44140625" style="17" customWidth="1"/>
    <col min="12567" max="12567" width="6.88671875" style="17" customWidth="1"/>
    <col min="12568" max="12568" width="3" style="17" customWidth="1"/>
    <col min="12569" max="12569" width="14.77734375" style="17" customWidth="1"/>
    <col min="12570" max="12570" width="15.77734375" style="17" customWidth="1"/>
    <col min="12571" max="12571" width="15.44140625" style="17" bestFit="1" customWidth="1"/>
    <col min="12572" max="12572" width="17.5546875" style="17" bestFit="1" customWidth="1"/>
    <col min="12573" max="12573" width="12.21875" style="17" bestFit="1" customWidth="1"/>
    <col min="12574" max="12574" width="9" style="17" bestFit="1" customWidth="1"/>
    <col min="12575" max="12575" width="8.88671875" style="17"/>
    <col min="12576" max="12576" width="9.44140625" style="17" bestFit="1" customWidth="1"/>
    <col min="12577" max="12800" width="8.88671875" style="17"/>
    <col min="12801" max="12804" width="6.77734375" style="17" customWidth="1"/>
    <col min="12805" max="12805" width="16" style="17" customWidth="1"/>
    <col min="12806" max="12808" width="13.77734375" style="17" customWidth="1"/>
    <col min="12809" max="12809" width="1.77734375" style="17" customWidth="1"/>
    <col min="12810" max="12810" width="2.88671875" style="17" customWidth="1"/>
    <col min="12811" max="12811" width="2" style="17" customWidth="1"/>
    <col min="12812" max="12813" width="8.77734375" style="17" customWidth="1"/>
    <col min="12814" max="12814" width="10.77734375" style="17" customWidth="1"/>
    <col min="12815" max="12816" width="7.77734375" style="17" customWidth="1"/>
    <col min="12817" max="12817" width="8.109375" style="17" customWidth="1"/>
    <col min="12818" max="12818" width="6.88671875" style="17" customWidth="1"/>
    <col min="12819" max="12819" width="14.77734375" style="17" customWidth="1"/>
    <col min="12820" max="12821" width="6.88671875" style="17" customWidth="1"/>
    <col min="12822" max="12822" width="7.44140625" style="17" customWidth="1"/>
    <col min="12823" max="12823" width="6.88671875" style="17" customWidth="1"/>
    <col min="12824" max="12824" width="3" style="17" customWidth="1"/>
    <col min="12825" max="12825" width="14.77734375" style="17" customWidth="1"/>
    <col min="12826" max="12826" width="15.77734375" style="17" customWidth="1"/>
    <col min="12827" max="12827" width="15.44140625" style="17" bestFit="1" customWidth="1"/>
    <col min="12828" max="12828" width="17.5546875" style="17" bestFit="1" customWidth="1"/>
    <col min="12829" max="12829" width="12.21875" style="17" bestFit="1" customWidth="1"/>
    <col min="12830" max="12830" width="9" style="17" bestFit="1" customWidth="1"/>
    <col min="12831" max="12831" width="8.88671875" style="17"/>
    <col min="12832" max="12832" width="9.44140625" style="17" bestFit="1" customWidth="1"/>
    <col min="12833" max="13056" width="8.88671875" style="17"/>
    <col min="13057" max="13060" width="6.77734375" style="17" customWidth="1"/>
    <col min="13061" max="13061" width="16" style="17" customWidth="1"/>
    <col min="13062" max="13064" width="13.77734375" style="17" customWidth="1"/>
    <col min="13065" max="13065" width="1.77734375" style="17" customWidth="1"/>
    <col min="13066" max="13066" width="2.88671875" style="17" customWidth="1"/>
    <col min="13067" max="13067" width="2" style="17" customWidth="1"/>
    <col min="13068" max="13069" width="8.77734375" style="17" customWidth="1"/>
    <col min="13070" max="13070" width="10.77734375" style="17" customWidth="1"/>
    <col min="13071" max="13072" width="7.77734375" style="17" customWidth="1"/>
    <col min="13073" max="13073" width="8.109375" style="17" customWidth="1"/>
    <col min="13074" max="13074" width="6.88671875" style="17" customWidth="1"/>
    <col min="13075" max="13075" width="14.77734375" style="17" customWidth="1"/>
    <col min="13076" max="13077" width="6.88671875" style="17" customWidth="1"/>
    <col min="13078" max="13078" width="7.44140625" style="17" customWidth="1"/>
    <col min="13079" max="13079" width="6.88671875" style="17" customWidth="1"/>
    <col min="13080" max="13080" width="3" style="17" customWidth="1"/>
    <col min="13081" max="13081" width="14.77734375" style="17" customWidth="1"/>
    <col min="13082" max="13082" width="15.77734375" style="17" customWidth="1"/>
    <col min="13083" max="13083" width="15.44140625" style="17" bestFit="1" customWidth="1"/>
    <col min="13084" max="13084" width="17.5546875" style="17" bestFit="1" customWidth="1"/>
    <col min="13085" max="13085" width="12.21875" style="17" bestFit="1" customWidth="1"/>
    <col min="13086" max="13086" width="9" style="17" bestFit="1" customWidth="1"/>
    <col min="13087" max="13087" width="8.88671875" style="17"/>
    <col min="13088" max="13088" width="9.44140625" style="17" bestFit="1" customWidth="1"/>
    <col min="13089" max="13312" width="8.88671875" style="17"/>
    <col min="13313" max="13316" width="6.77734375" style="17" customWidth="1"/>
    <col min="13317" max="13317" width="16" style="17" customWidth="1"/>
    <col min="13318" max="13320" width="13.77734375" style="17" customWidth="1"/>
    <col min="13321" max="13321" width="1.77734375" style="17" customWidth="1"/>
    <col min="13322" max="13322" width="2.88671875" style="17" customWidth="1"/>
    <col min="13323" max="13323" width="2" style="17" customWidth="1"/>
    <col min="13324" max="13325" width="8.77734375" style="17" customWidth="1"/>
    <col min="13326" max="13326" width="10.77734375" style="17" customWidth="1"/>
    <col min="13327" max="13328" width="7.77734375" style="17" customWidth="1"/>
    <col min="13329" max="13329" width="8.109375" style="17" customWidth="1"/>
    <col min="13330" max="13330" width="6.88671875" style="17" customWidth="1"/>
    <col min="13331" max="13331" width="14.77734375" style="17" customWidth="1"/>
    <col min="13332" max="13333" width="6.88671875" style="17" customWidth="1"/>
    <col min="13334" max="13334" width="7.44140625" style="17" customWidth="1"/>
    <col min="13335" max="13335" width="6.88671875" style="17" customWidth="1"/>
    <col min="13336" max="13336" width="3" style="17" customWidth="1"/>
    <col min="13337" max="13337" width="14.77734375" style="17" customWidth="1"/>
    <col min="13338" max="13338" width="15.77734375" style="17" customWidth="1"/>
    <col min="13339" max="13339" width="15.44140625" style="17" bestFit="1" customWidth="1"/>
    <col min="13340" max="13340" width="17.5546875" style="17" bestFit="1" customWidth="1"/>
    <col min="13341" max="13341" width="12.21875" style="17" bestFit="1" customWidth="1"/>
    <col min="13342" max="13342" width="9" style="17" bestFit="1" customWidth="1"/>
    <col min="13343" max="13343" width="8.88671875" style="17"/>
    <col min="13344" max="13344" width="9.44140625" style="17" bestFit="1" customWidth="1"/>
    <col min="13345" max="13568" width="8.88671875" style="17"/>
    <col min="13569" max="13572" width="6.77734375" style="17" customWidth="1"/>
    <col min="13573" max="13573" width="16" style="17" customWidth="1"/>
    <col min="13574" max="13576" width="13.77734375" style="17" customWidth="1"/>
    <col min="13577" max="13577" width="1.77734375" style="17" customWidth="1"/>
    <col min="13578" max="13578" width="2.88671875" style="17" customWidth="1"/>
    <col min="13579" max="13579" width="2" style="17" customWidth="1"/>
    <col min="13580" max="13581" width="8.77734375" style="17" customWidth="1"/>
    <col min="13582" max="13582" width="10.77734375" style="17" customWidth="1"/>
    <col min="13583" max="13584" width="7.77734375" style="17" customWidth="1"/>
    <col min="13585" max="13585" width="8.109375" style="17" customWidth="1"/>
    <col min="13586" max="13586" width="6.88671875" style="17" customWidth="1"/>
    <col min="13587" max="13587" width="14.77734375" style="17" customWidth="1"/>
    <col min="13588" max="13589" width="6.88671875" style="17" customWidth="1"/>
    <col min="13590" max="13590" width="7.44140625" style="17" customWidth="1"/>
    <col min="13591" max="13591" width="6.88671875" style="17" customWidth="1"/>
    <col min="13592" max="13592" width="3" style="17" customWidth="1"/>
    <col min="13593" max="13593" width="14.77734375" style="17" customWidth="1"/>
    <col min="13594" max="13594" width="15.77734375" style="17" customWidth="1"/>
    <col min="13595" max="13595" width="15.44140625" style="17" bestFit="1" customWidth="1"/>
    <col min="13596" max="13596" width="17.5546875" style="17" bestFit="1" customWidth="1"/>
    <col min="13597" max="13597" width="12.21875" style="17" bestFit="1" customWidth="1"/>
    <col min="13598" max="13598" width="9" style="17" bestFit="1" customWidth="1"/>
    <col min="13599" max="13599" width="8.88671875" style="17"/>
    <col min="13600" max="13600" width="9.44140625" style="17" bestFit="1" customWidth="1"/>
    <col min="13601" max="13824" width="8.88671875" style="17"/>
    <col min="13825" max="13828" width="6.77734375" style="17" customWidth="1"/>
    <col min="13829" max="13829" width="16" style="17" customWidth="1"/>
    <col min="13830" max="13832" width="13.77734375" style="17" customWidth="1"/>
    <col min="13833" max="13833" width="1.77734375" style="17" customWidth="1"/>
    <col min="13834" max="13834" width="2.88671875" style="17" customWidth="1"/>
    <col min="13835" max="13835" width="2" style="17" customWidth="1"/>
    <col min="13836" max="13837" width="8.77734375" style="17" customWidth="1"/>
    <col min="13838" max="13838" width="10.77734375" style="17" customWidth="1"/>
    <col min="13839" max="13840" width="7.77734375" style="17" customWidth="1"/>
    <col min="13841" max="13841" width="8.109375" style="17" customWidth="1"/>
    <col min="13842" max="13842" width="6.88671875" style="17" customWidth="1"/>
    <col min="13843" max="13843" width="14.77734375" style="17" customWidth="1"/>
    <col min="13844" max="13845" width="6.88671875" style="17" customWidth="1"/>
    <col min="13846" max="13846" width="7.44140625" style="17" customWidth="1"/>
    <col min="13847" max="13847" width="6.88671875" style="17" customWidth="1"/>
    <col min="13848" max="13848" width="3" style="17" customWidth="1"/>
    <col min="13849" max="13849" width="14.77734375" style="17" customWidth="1"/>
    <col min="13850" max="13850" width="15.77734375" style="17" customWidth="1"/>
    <col min="13851" max="13851" width="15.44140625" style="17" bestFit="1" customWidth="1"/>
    <col min="13852" max="13852" width="17.5546875" style="17" bestFit="1" customWidth="1"/>
    <col min="13853" max="13853" width="12.21875" style="17" bestFit="1" customWidth="1"/>
    <col min="13854" max="13854" width="9" style="17" bestFit="1" customWidth="1"/>
    <col min="13855" max="13855" width="8.88671875" style="17"/>
    <col min="13856" max="13856" width="9.44140625" style="17" bestFit="1" customWidth="1"/>
    <col min="13857" max="14080" width="8.88671875" style="17"/>
    <col min="14081" max="14084" width="6.77734375" style="17" customWidth="1"/>
    <col min="14085" max="14085" width="16" style="17" customWidth="1"/>
    <col min="14086" max="14088" width="13.77734375" style="17" customWidth="1"/>
    <col min="14089" max="14089" width="1.77734375" style="17" customWidth="1"/>
    <col min="14090" max="14090" width="2.88671875" style="17" customWidth="1"/>
    <col min="14091" max="14091" width="2" style="17" customWidth="1"/>
    <col min="14092" max="14093" width="8.77734375" style="17" customWidth="1"/>
    <col min="14094" max="14094" width="10.77734375" style="17" customWidth="1"/>
    <col min="14095" max="14096" width="7.77734375" style="17" customWidth="1"/>
    <col min="14097" max="14097" width="8.109375" style="17" customWidth="1"/>
    <col min="14098" max="14098" width="6.88671875" style="17" customWidth="1"/>
    <col min="14099" max="14099" width="14.77734375" style="17" customWidth="1"/>
    <col min="14100" max="14101" width="6.88671875" style="17" customWidth="1"/>
    <col min="14102" max="14102" width="7.44140625" style="17" customWidth="1"/>
    <col min="14103" max="14103" width="6.88671875" style="17" customWidth="1"/>
    <col min="14104" max="14104" width="3" style="17" customWidth="1"/>
    <col min="14105" max="14105" width="14.77734375" style="17" customWidth="1"/>
    <col min="14106" max="14106" width="15.77734375" style="17" customWidth="1"/>
    <col min="14107" max="14107" width="15.44140625" style="17" bestFit="1" customWidth="1"/>
    <col min="14108" max="14108" width="17.5546875" style="17" bestFit="1" customWidth="1"/>
    <col min="14109" max="14109" width="12.21875" style="17" bestFit="1" customWidth="1"/>
    <col min="14110" max="14110" width="9" style="17" bestFit="1" customWidth="1"/>
    <col min="14111" max="14111" width="8.88671875" style="17"/>
    <col min="14112" max="14112" width="9.44140625" style="17" bestFit="1" customWidth="1"/>
    <col min="14113" max="14336" width="8.88671875" style="17"/>
    <col min="14337" max="14340" width="6.77734375" style="17" customWidth="1"/>
    <col min="14341" max="14341" width="16" style="17" customWidth="1"/>
    <col min="14342" max="14344" width="13.77734375" style="17" customWidth="1"/>
    <col min="14345" max="14345" width="1.77734375" style="17" customWidth="1"/>
    <col min="14346" max="14346" width="2.88671875" style="17" customWidth="1"/>
    <col min="14347" max="14347" width="2" style="17" customWidth="1"/>
    <col min="14348" max="14349" width="8.77734375" style="17" customWidth="1"/>
    <col min="14350" max="14350" width="10.77734375" style="17" customWidth="1"/>
    <col min="14351" max="14352" width="7.77734375" style="17" customWidth="1"/>
    <col min="14353" max="14353" width="8.109375" style="17" customWidth="1"/>
    <col min="14354" max="14354" width="6.88671875" style="17" customWidth="1"/>
    <col min="14355" max="14355" width="14.77734375" style="17" customWidth="1"/>
    <col min="14356" max="14357" width="6.88671875" style="17" customWidth="1"/>
    <col min="14358" max="14358" width="7.44140625" style="17" customWidth="1"/>
    <col min="14359" max="14359" width="6.88671875" style="17" customWidth="1"/>
    <col min="14360" max="14360" width="3" style="17" customWidth="1"/>
    <col min="14361" max="14361" width="14.77734375" style="17" customWidth="1"/>
    <col min="14362" max="14362" width="15.77734375" style="17" customWidth="1"/>
    <col min="14363" max="14363" width="15.44140625" style="17" bestFit="1" customWidth="1"/>
    <col min="14364" max="14364" width="17.5546875" style="17" bestFit="1" customWidth="1"/>
    <col min="14365" max="14365" width="12.21875" style="17" bestFit="1" customWidth="1"/>
    <col min="14366" max="14366" width="9" style="17" bestFit="1" customWidth="1"/>
    <col min="14367" max="14367" width="8.88671875" style="17"/>
    <col min="14368" max="14368" width="9.44140625" style="17" bestFit="1" customWidth="1"/>
    <col min="14369" max="14592" width="8.88671875" style="17"/>
    <col min="14593" max="14596" width="6.77734375" style="17" customWidth="1"/>
    <col min="14597" max="14597" width="16" style="17" customWidth="1"/>
    <col min="14598" max="14600" width="13.77734375" style="17" customWidth="1"/>
    <col min="14601" max="14601" width="1.77734375" style="17" customWidth="1"/>
    <col min="14602" max="14602" width="2.88671875" style="17" customWidth="1"/>
    <col min="14603" max="14603" width="2" style="17" customWidth="1"/>
    <col min="14604" max="14605" width="8.77734375" style="17" customWidth="1"/>
    <col min="14606" max="14606" width="10.77734375" style="17" customWidth="1"/>
    <col min="14607" max="14608" width="7.77734375" style="17" customWidth="1"/>
    <col min="14609" max="14609" width="8.109375" style="17" customWidth="1"/>
    <col min="14610" max="14610" width="6.88671875" style="17" customWidth="1"/>
    <col min="14611" max="14611" width="14.77734375" style="17" customWidth="1"/>
    <col min="14612" max="14613" width="6.88671875" style="17" customWidth="1"/>
    <col min="14614" max="14614" width="7.44140625" style="17" customWidth="1"/>
    <col min="14615" max="14615" width="6.88671875" style="17" customWidth="1"/>
    <col min="14616" max="14616" width="3" style="17" customWidth="1"/>
    <col min="14617" max="14617" width="14.77734375" style="17" customWidth="1"/>
    <col min="14618" max="14618" width="15.77734375" style="17" customWidth="1"/>
    <col min="14619" max="14619" width="15.44140625" style="17" bestFit="1" customWidth="1"/>
    <col min="14620" max="14620" width="17.5546875" style="17" bestFit="1" customWidth="1"/>
    <col min="14621" max="14621" width="12.21875" style="17" bestFit="1" customWidth="1"/>
    <col min="14622" max="14622" width="9" style="17" bestFit="1" customWidth="1"/>
    <col min="14623" max="14623" width="8.88671875" style="17"/>
    <col min="14624" max="14624" width="9.44140625" style="17" bestFit="1" customWidth="1"/>
    <col min="14625" max="14848" width="8.88671875" style="17"/>
    <col min="14849" max="14852" width="6.77734375" style="17" customWidth="1"/>
    <col min="14853" max="14853" width="16" style="17" customWidth="1"/>
    <col min="14854" max="14856" width="13.77734375" style="17" customWidth="1"/>
    <col min="14857" max="14857" width="1.77734375" style="17" customWidth="1"/>
    <col min="14858" max="14858" width="2.88671875" style="17" customWidth="1"/>
    <col min="14859" max="14859" width="2" style="17" customWidth="1"/>
    <col min="14860" max="14861" width="8.77734375" style="17" customWidth="1"/>
    <col min="14862" max="14862" width="10.77734375" style="17" customWidth="1"/>
    <col min="14863" max="14864" width="7.77734375" style="17" customWidth="1"/>
    <col min="14865" max="14865" width="8.109375" style="17" customWidth="1"/>
    <col min="14866" max="14866" width="6.88671875" style="17" customWidth="1"/>
    <col min="14867" max="14867" width="14.77734375" style="17" customWidth="1"/>
    <col min="14868" max="14869" width="6.88671875" style="17" customWidth="1"/>
    <col min="14870" max="14870" width="7.44140625" style="17" customWidth="1"/>
    <col min="14871" max="14871" width="6.88671875" style="17" customWidth="1"/>
    <col min="14872" max="14872" width="3" style="17" customWidth="1"/>
    <col min="14873" max="14873" width="14.77734375" style="17" customWidth="1"/>
    <col min="14874" max="14874" width="15.77734375" style="17" customWidth="1"/>
    <col min="14875" max="14875" width="15.44140625" style="17" bestFit="1" customWidth="1"/>
    <col min="14876" max="14876" width="17.5546875" style="17" bestFit="1" customWidth="1"/>
    <col min="14877" max="14877" width="12.21875" style="17" bestFit="1" customWidth="1"/>
    <col min="14878" max="14878" width="9" style="17" bestFit="1" customWidth="1"/>
    <col min="14879" max="14879" width="8.88671875" style="17"/>
    <col min="14880" max="14880" width="9.44140625" style="17" bestFit="1" customWidth="1"/>
    <col min="14881" max="15104" width="8.88671875" style="17"/>
    <col min="15105" max="15108" width="6.77734375" style="17" customWidth="1"/>
    <col min="15109" max="15109" width="16" style="17" customWidth="1"/>
    <col min="15110" max="15112" width="13.77734375" style="17" customWidth="1"/>
    <col min="15113" max="15113" width="1.77734375" style="17" customWidth="1"/>
    <col min="15114" max="15114" width="2.88671875" style="17" customWidth="1"/>
    <col min="15115" max="15115" width="2" style="17" customWidth="1"/>
    <col min="15116" max="15117" width="8.77734375" style="17" customWidth="1"/>
    <col min="15118" max="15118" width="10.77734375" style="17" customWidth="1"/>
    <col min="15119" max="15120" width="7.77734375" style="17" customWidth="1"/>
    <col min="15121" max="15121" width="8.109375" style="17" customWidth="1"/>
    <col min="15122" max="15122" width="6.88671875" style="17" customWidth="1"/>
    <col min="15123" max="15123" width="14.77734375" style="17" customWidth="1"/>
    <col min="15124" max="15125" width="6.88671875" style="17" customWidth="1"/>
    <col min="15126" max="15126" width="7.44140625" style="17" customWidth="1"/>
    <col min="15127" max="15127" width="6.88671875" style="17" customWidth="1"/>
    <col min="15128" max="15128" width="3" style="17" customWidth="1"/>
    <col min="15129" max="15129" width="14.77734375" style="17" customWidth="1"/>
    <col min="15130" max="15130" width="15.77734375" style="17" customWidth="1"/>
    <col min="15131" max="15131" width="15.44140625" style="17" bestFit="1" customWidth="1"/>
    <col min="15132" max="15132" width="17.5546875" style="17" bestFit="1" customWidth="1"/>
    <col min="15133" max="15133" width="12.21875" style="17" bestFit="1" customWidth="1"/>
    <col min="15134" max="15134" width="9" style="17" bestFit="1" customWidth="1"/>
    <col min="15135" max="15135" width="8.88671875" style="17"/>
    <col min="15136" max="15136" width="9.44140625" style="17" bestFit="1" customWidth="1"/>
    <col min="15137" max="15360" width="8.88671875" style="17"/>
    <col min="15361" max="15364" width="6.77734375" style="17" customWidth="1"/>
    <col min="15365" max="15365" width="16" style="17" customWidth="1"/>
    <col min="15366" max="15368" width="13.77734375" style="17" customWidth="1"/>
    <col min="15369" max="15369" width="1.77734375" style="17" customWidth="1"/>
    <col min="15370" max="15370" width="2.88671875" style="17" customWidth="1"/>
    <col min="15371" max="15371" width="2" style="17" customWidth="1"/>
    <col min="15372" max="15373" width="8.77734375" style="17" customWidth="1"/>
    <col min="15374" max="15374" width="10.77734375" style="17" customWidth="1"/>
    <col min="15375" max="15376" width="7.77734375" style="17" customWidth="1"/>
    <col min="15377" max="15377" width="8.109375" style="17" customWidth="1"/>
    <col min="15378" max="15378" width="6.88671875" style="17" customWidth="1"/>
    <col min="15379" max="15379" width="14.77734375" style="17" customWidth="1"/>
    <col min="15380" max="15381" width="6.88671875" style="17" customWidth="1"/>
    <col min="15382" max="15382" width="7.44140625" style="17" customWidth="1"/>
    <col min="15383" max="15383" width="6.88671875" style="17" customWidth="1"/>
    <col min="15384" max="15384" width="3" style="17" customWidth="1"/>
    <col min="15385" max="15385" width="14.77734375" style="17" customWidth="1"/>
    <col min="15386" max="15386" width="15.77734375" style="17" customWidth="1"/>
    <col min="15387" max="15387" width="15.44140625" style="17" bestFit="1" customWidth="1"/>
    <col min="15388" max="15388" width="17.5546875" style="17" bestFit="1" customWidth="1"/>
    <col min="15389" max="15389" width="12.21875" style="17" bestFit="1" customWidth="1"/>
    <col min="15390" max="15390" width="9" style="17" bestFit="1" customWidth="1"/>
    <col min="15391" max="15391" width="8.88671875" style="17"/>
    <col min="15392" max="15392" width="9.44140625" style="17" bestFit="1" customWidth="1"/>
    <col min="15393" max="15616" width="8.88671875" style="17"/>
    <col min="15617" max="15620" width="6.77734375" style="17" customWidth="1"/>
    <col min="15621" max="15621" width="16" style="17" customWidth="1"/>
    <col min="15622" max="15624" width="13.77734375" style="17" customWidth="1"/>
    <col min="15625" max="15625" width="1.77734375" style="17" customWidth="1"/>
    <col min="15626" max="15626" width="2.88671875" style="17" customWidth="1"/>
    <col min="15627" max="15627" width="2" style="17" customWidth="1"/>
    <col min="15628" max="15629" width="8.77734375" style="17" customWidth="1"/>
    <col min="15630" max="15630" width="10.77734375" style="17" customWidth="1"/>
    <col min="15631" max="15632" width="7.77734375" style="17" customWidth="1"/>
    <col min="15633" max="15633" width="8.109375" style="17" customWidth="1"/>
    <col min="15634" max="15634" width="6.88671875" style="17" customWidth="1"/>
    <col min="15635" max="15635" width="14.77734375" style="17" customWidth="1"/>
    <col min="15636" max="15637" width="6.88671875" style="17" customWidth="1"/>
    <col min="15638" max="15638" width="7.44140625" style="17" customWidth="1"/>
    <col min="15639" max="15639" width="6.88671875" style="17" customWidth="1"/>
    <col min="15640" max="15640" width="3" style="17" customWidth="1"/>
    <col min="15641" max="15641" width="14.77734375" style="17" customWidth="1"/>
    <col min="15642" max="15642" width="15.77734375" style="17" customWidth="1"/>
    <col min="15643" max="15643" width="15.44140625" style="17" bestFit="1" customWidth="1"/>
    <col min="15644" max="15644" width="17.5546875" style="17" bestFit="1" customWidth="1"/>
    <col min="15645" max="15645" width="12.21875" style="17" bestFit="1" customWidth="1"/>
    <col min="15646" max="15646" width="9" style="17" bestFit="1" customWidth="1"/>
    <col min="15647" max="15647" width="8.88671875" style="17"/>
    <col min="15648" max="15648" width="9.44140625" style="17" bestFit="1" customWidth="1"/>
    <col min="15649" max="15872" width="8.88671875" style="17"/>
    <col min="15873" max="15876" width="6.77734375" style="17" customWidth="1"/>
    <col min="15877" max="15877" width="16" style="17" customWidth="1"/>
    <col min="15878" max="15880" width="13.77734375" style="17" customWidth="1"/>
    <col min="15881" max="15881" width="1.77734375" style="17" customWidth="1"/>
    <col min="15882" max="15882" width="2.88671875" style="17" customWidth="1"/>
    <col min="15883" max="15883" width="2" style="17" customWidth="1"/>
    <col min="15884" max="15885" width="8.77734375" style="17" customWidth="1"/>
    <col min="15886" max="15886" width="10.77734375" style="17" customWidth="1"/>
    <col min="15887" max="15888" width="7.77734375" style="17" customWidth="1"/>
    <col min="15889" max="15889" width="8.109375" style="17" customWidth="1"/>
    <col min="15890" max="15890" width="6.88671875" style="17" customWidth="1"/>
    <col min="15891" max="15891" width="14.77734375" style="17" customWidth="1"/>
    <col min="15892" max="15893" width="6.88671875" style="17" customWidth="1"/>
    <col min="15894" max="15894" width="7.44140625" style="17" customWidth="1"/>
    <col min="15895" max="15895" width="6.88671875" style="17" customWidth="1"/>
    <col min="15896" max="15896" width="3" style="17" customWidth="1"/>
    <col min="15897" max="15897" width="14.77734375" style="17" customWidth="1"/>
    <col min="15898" max="15898" width="15.77734375" style="17" customWidth="1"/>
    <col min="15899" max="15899" width="15.44140625" style="17" bestFit="1" customWidth="1"/>
    <col min="15900" max="15900" width="17.5546875" style="17" bestFit="1" customWidth="1"/>
    <col min="15901" max="15901" width="12.21875" style="17" bestFit="1" customWidth="1"/>
    <col min="15902" max="15902" width="9" style="17" bestFit="1" customWidth="1"/>
    <col min="15903" max="15903" width="8.88671875" style="17"/>
    <col min="15904" max="15904" width="9.44140625" style="17" bestFit="1" customWidth="1"/>
    <col min="15905" max="16128" width="8.88671875" style="17"/>
    <col min="16129" max="16132" width="6.77734375" style="17" customWidth="1"/>
    <col min="16133" max="16133" width="16" style="17" customWidth="1"/>
    <col min="16134" max="16136" width="13.77734375" style="17" customWidth="1"/>
    <col min="16137" max="16137" width="1.77734375" style="17" customWidth="1"/>
    <col min="16138" max="16138" width="2.88671875" style="17" customWidth="1"/>
    <col min="16139" max="16139" width="2" style="17" customWidth="1"/>
    <col min="16140" max="16141" width="8.77734375" style="17" customWidth="1"/>
    <col min="16142" max="16142" width="10.77734375" style="17" customWidth="1"/>
    <col min="16143" max="16144" width="7.77734375" style="17" customWidth="1"/>
    <col min="16145" max="16145" width="8.109375" style="17" customWidth="1"/>
    <col min="16146" max="16146" width="6.88671875" style="17" customWidth="1"/>
    <col min="16147" max="16147" width="14.77734375" style="17" customWidth="1"/>
    <col min="16148" max="16149" width="6.88671875" style="17" customWidth="1"/>
    <col min="16150" max="16150" width="7.44140625" style="17" customWidth="1"/>
    <col min="16151" max="16151" width="6.88671875" style="17" customWidth="1"/>
    <col min="16152" max="16152" width="3" style="17" customWidth="1"/>
    <col min="16153" max="16153" width="14.77734375" style="17" customWidth="1"/>
    <col min="16154" max="16154" width="15.77734375" style="17" customWidth="1"/>
    <col min="16155" max="16155" width="15.44140625" style="17" bestFit="1" customWidth="1"/>
    <col min="16156" max="16156" width="17.5546875" style="17" bestFit="1" customWidth="1"/>
    <col min="16157" max="16157" width="12.21875" style="17" bestFit="1" customWidth="1"/>
    <col min="16158" max="16158" width="9" style="17" bestFit="1" customWidth="1"/>
    <col min="16159" max="16159" width="8.88671875" style="17"/>
    <col min="16160" max="16160" width="9.44140625" style="17" bestFit="1" customWidth="1"/>
    <col min="16161" max="16384" width="8.88671875" style="17"/>
  </cols>
  <sheetData>
    <row r="1" spans="1:29" ht="27" customHeight="1">
      <c r="A1" s="3174" t="s">
        <v>5814</v>
      </c>
      <c r="B1" s="3174"/>
      <c r="C1" s="3174"/>
      <c r="D1" s="3174"/>
      <c r="E1" s="3174"/>
      <c r="F1" s="3174"/>
      <c r="G1" s="3174"/>
      <c r="H1" s="3174"/>
      <c r="I1" s="3174"/>
      <c r="J1" s="3174"/>
      <c r="K1" s="3174"/>
      <c r="L1" s="3174"/>
      <c r="M1" s="3174"/>
      <c r="N1" s="3174"/>
      <c r="O1" s="3174"/>
      <c r="P1" s="3174"/>
      <c r="Q1" s="3174"/>
      <c r="R1" s="3174"/>
      <c r="S1" s="3174"/>
      <c r="T1" s="3174"/>
      <c r="U1" s="3174"/>
      <c r="V1" s="3174"/>
      <c r="W1" s="3174"/>
      <c r="X1" s="3174"/>
      <c r="Y1" s="3174"/>
      <c r="Z1" s="79"/>
      <c r="AA1" s="324"/>
    </row>
    <row r="2" spans="1:29" s="324" customFormat="1" ht="22.5" customHeight="1" thickBot="1">
      <c r="A2" s="306"/>
      <c r="B2" s="306"/>
      <c r="C2" s="306"/>
      <c r="D2" s="306" t="s">
        <v>44</v>
      </c>
      <c r="E2" s="306"/>
      <c r="F2" s="305"/>
      <c r="G2" s="12"/>
      <c r="H2" s="310" t="s">
        <v>171</v>
      </c>
      <c r="J2" s="306" t="s">
        <v>44</v>
      </c>
      <c r="K2" s="306"/>
      <c r="L2" s="80" t="s">
        <v>44</v>
      </c>
      <c r="M2" s="306"/>
      <c r="N2" s="306"/>
      <c r="O2" s="306"/>
      <c r="P2" s="81"/>
      <c r="Q2" s="82"/>
      <c r="Y2" s="9" t="s">
        <v>171</v>
      </c>
      <c r="Z2" s="9"/>
      <c r="AB2" s="305"/>
    </row>
    <row r="3" spans="1:29" ht="22.5" customHeight="1">
      <c r="A3" s="3587" t="s">
        <v>188</v>
      </c>
      <c r="B3" s="3588"/>
      <c r="C3" s="3588"/>
      <c r="D3" s="3588"/>
      <c r="E3" s="3589"/>
      <c r="F3" s="3590" t="s">
        <v>151</v>
      </c>
      <c r="G3" s="3567" t="s">
        <v>423</v>
      </c>
      <c r="H3" s="3593" t="s">
        <v>11</v>
      </c>
      <c r="I3" s="315"/>
      <c r="J3" s="3595" t="s">
        <v>190</v>
      </c>
      <c r="K3" s="3596"/>
      <c r="L3" s="3596"/>
      <c r="M3" s="3596"/>
      <c r="N3" s="3596"/>
      <c r="O3" s="3596"/>
      <c r="P3" s="3596"/>
      <c r="Q3" s="3596"/>
      <c r="R3" s="3596"/>
      <c r="S3" s="3596"/>
      <c r="T3" s="3596"/>
      <c r="U3" s="3596"/>
      <c r="V3" s="3596"/>
      <c r="W3" s="3596"/>
      <c r="X3" s="3596"/>
      <c r="Y3" s="3597"/>
      <c r="Z3" s="10"/>
      <c r="AA3" s="324"/>
    </row>
    <row r="4" spans="1:29" s="83" customFormat="1" ht="22.5" customHeight="1" thickBot="1">
      <c r="A4" s="308" t="s">
        <v>12</v>
      </c>
      <c r="B4" s="314" t="s">
        <v>448</v>
      </c>
      <c r="C4" s="309" t="s">
        <v>449</v>
      </c>
      <c r="D4" s="309" t="s">
        <v>450</v>
      </c>
      <c r="E4" s="309" t="s">
        <v>45</v>
      </c>
      <c r="F4" s="3591"/>
      <c r="G4" s="3592"/>
      <c r="H4" s="3594"/>
      <c r="I4" s="313"/>
      <c r="J4" s="3598"/>
      <c r="K4" s="3599"/>
      <c r="L4" s="3599"/>
      <c r="M4" s="3599"/>
      <c r="N4" s="3599"/>
      <c r="O4" s="3599"/>
      <c r="P4" s="3599"/>
      <c r="Q4" s="3599"/>
      <c r="R4" s="3599"/>
      <c r="S4" s="3599"/>
      <c r="T4" s="3599"/>
      <c r="U4" s="3599"/>
      <c r="V4" s="3599"/>
      <c r="W4" s="3599"/>
      <c r="X4" s="3599"/>
      <c r="Y4" s="3600"/>
      <c r="Z4" s="15"/>
      <c r="AA4" s="569"/>
      <c r="AB4" s="312"/>
    </row>
    <row r="5" spans="1:29" s="83" customFormat="1" ht="22.5" customHeight="1" thickBot="1">
      <c r="A5" s="3579" t="s">
        <v>434</v>
      </c>
      <c r="B5" s="3580"/>
      <c r="C5" s="3580"/>
      <c r="D5" s="3580"/>
      <c r="E5" s="3581"/>
      <c r="F5" s="128"/>
      <c r="G5" s="987"/>
      <c r="H5" s="988"/>
      <c r="I5" s="313"/>
      <c r="J5" s="994"/>
      <c r="K5" s="995"/>
      <c r="L5" s="995"/>
      <c r="M5" s="995"/>
      <c r="N5" s="995"/>
      <c r="O5" s="995"/>
      <c r="P5" s="995"/>
      <c r="Q5" s="995"/>
      <c r="R5" s="995"/>
      <c r="S5" s="995"/>
      <c r="T5" s="995"/>
      <c r="U5" s="995"/>
      <c r="V5" s="995"/>
      <c r="W5" s="995"/>
      <c r="X5" s="995"/>
      <c r="Y5" s="996"/>
      <c r="Z5" s="15"/>
      <c r="AA5" s="569"/>
      <c r="AB5" s="312"/>
    </row>
    <row r="6" spans="1:29" s="182" customFormat="1" ht="22.5" customHeight="1" thickBot="1">
      <c r="A6" s="235"/>
      <c r="B6" s="236" t="s">
        <v>434</v>
      </c>
      <c r="C6" s="197"/>
      <c r="D6" s="197"/>
      <c r="E6" s="237"/>
      <c r="F6" s="238">
        <f>+F7</f>
        <v>448626.46600000007</v>
      </c>
      <c r="G6" s="238">
        <f>+G7</f>
        <v>448626</v>
      </c>
      <c r="H6" s="239">
        <f>+H7</f>
        <v>0.46600000007310882</v>
      </c>
      <c r="I6" s="240"/>
      <c r="J6" s="241"/>
      <c r="K6" s="242"/>
      <c r="L6" s="242"/>
      <c r="M6" s="242"/>
      <c r="N6" s="242"/>
      <c r="O6" s="242"/>
      <c r="P6" s="243"/>
      <c r="Q6" s="244"/>
      <c r="R6" s="245"/>
      <c r="S6" s="246"/>
      <c r="T6" s="247"/>
      <c r="U6" s="246"/>
      <c r="V6" s="247"/>
      <c r="W6" s="247"/>
      <c r="X6" s="246"/>
      <c r="Y6" s="248"/>
      <c r="Z6" s="249"/>
      <c r="AB6" s="205"/>
    </row>
    <row r="7" spans="1:29" s="195" customFormat="1" ht="22.5" customHeight="1">
      <c r="A7" s="215"/>
      <c r="B7" s="194"/>
      <c r="C7" s="3582" t="s">
        <v>434</v>
      </c>
      <c r="D7" s="3583"/>
      <c r="E7" s="3584"/>
      <c r="F7" s="992">
        <f>+F8</f>
        <v>448626.46600000007</v>
      </c>
      <c r="G7" s="992">
        <f>+G8</f>
        <v>448626</v>
      </c>
      <c r="H7" s="993">
        <f>F7-G7</f>
        <v>0.46600000007310882</v>
      </c>
      <c r="I7" s="206"/>
      <c r="J7" s="250"/>
      <c r="K7" s="251"/>
      <c r="L7" s="251"/>
      <c r="M7" s="251"/>
      <c r="N7" s="251"/>
      <c r="O7" s="251"/>
      <c r="P7" s="252"/>
      <c r="Q7" s="253"/>
      <c r="R7" s="254"/>
      <c r="S7" s="255"/>
      <c r="T7" s="256"/>
      <c r="U7" s="255"/>
      <c r="V7" s="256"/>
      <c r="W7" s="256"/>
      <c r="X7" s="255"/>
      <c r="Y7" s="257"/>
      <c r="Z7" s="216"/>
      <c r="AA7" s="182"/>
      <c r="AB7" s="205"/>
    </row>
    <row r="8" spans="1:29" s="195" customFormat="1" ht="22.5" customHeight="1">
      <c r="A8" s="215"/>
      <c r="B8" s="643"/>
      <c r="C8" s="181"/>
      <c r="D8" s="3585" t="s">
        <v>434</v>
      </c>
      <c r="E8" s="3586"/>
      <c r="F8" s="187">
        <f>+F9</f>
        <v>448626.46600000007</v>
      </c>
      <c r="G8" s="187">
        <f>+G9</f>
        <v>448626</v>
      </c>
      <c r="H8" s="186">
        <f>+H9</f>
        <v>0.46600000007310882</v>
      </c>
      <c r="I8" s="204"/>
      <c r="J8" s="198"/>
      <c r="K8" s="199"/>
      <c r="L8" s="199"/>
      <c r="M8" s="199"/>
      <c r="N8" s="199"/>
      <c r="O8" s="199"/>
      <c r="P8" s="258"/>
      <c r="Q8" s="185"/>
      <c r="R8" s="642"/>
      <c r="S8" s="259"/>
      <c r="T8" s="641"/>
      <c r="U8" s="259"/>
      <c r="V8" s="641"/>
      <c r="W8" s="641"/>
      <c r="X8" s="259"/>
      <c r="Y8" s="184"/>
      <c r="Z8" s="183"/>
      <c r="AA8" s="200"/>
      <c r="AB8" s="205"/>
      <c r="AC8" s="261"/>
    </row>
    <row r="9" spans="1:29" s="195" customFormat="1" ht="22.5" customHeight="1">
      <c r="A9" s="215"/>
      <c r="B9" s="643"/>
      <c r="C9" s="181"/>
      <c r="D9" s="181"/>
      <c r="E9" s="188" t="s">
        <v>434</v>
      </c>
      <c r="F9" s="180">
        <f>+Y9</f>
        <v>448626.46600000007</v>
      </c>
      <c r="G9" s="180">
        <v>448626</v>
      </c>
      <c r="H9" s="191">
        <f>F9-G9</f>
        <v>0.46600000007310882</v>
      </c>
      <c r="I9" s="204"/>
      <c r="J9" s="190" t="s">
        <v>442</v>
      </c>
      <c r="K9" s="192"/>
      <c r="L9" s="192"/>
      <c r="M9" s="192"/>
      <c r="N9" s="193"/>
      <c r="O9" s="193"/>
      <c r="P9" s="192"/>
      <c r="Q9" s="189"/>
      <c r="R9" s="179"/>
      <c r="S9" s="179">
        <f>SUM(S10:S20)</f>
        <v>448626466</v>
      </c>
      <c r="T9" s="179" t="s">
        <v>273</v>
      </c>
      <c r="U9" s="179"/>
      <c r="V9" s="179"/>
      <c r="W9" s="179"/>
      <c r="X9" s="214" t="s">
        <v>5</v>
      </c>
      <c r="Y9" s="213">
        <f>SUM(Y10:Y20)</f>
        <v>448626.46600000007</v>
      </c>
      <c r="Z9" s="178"/>
      <c r="AA9" s="262"/>
      <c r="AB9" s="205"/>
      <c r="AC9" s="261"/>
    </row>
    <row r="10" spans="1:29" s="357" customFormat="1" ht="22.5" customHeight="1">
      <c r="A10" s="989"/>
      <c r="B10" s="469"/>
      <c r="C10" s="336"/>
      <c r="D10" s="469"/>
      <c r="E10" s="465"/>
      <c r="F10" s="598"/>
      <c r="G10" s="598"/>
      <c r="H10" s="404"/>
      <c r="I10" s="339"/>
      <c r="J10" s="1670" t="s">
        <v>1680</v>
      </c>
      <c r="K10" s="340"/>
      <c r="L10" s="340"/>
      <c r="M10" s="340"/>
      <c r="N10" s="341"/>
      <c r="O10" s="340"/>
      <c r="P10" s="340"/>
      <c r="Q10" s="342"/>
      <c r="R10" s="340"/>
      <c r="S10" s="341">
        <v>7262170</v>
      </c>
      <c r="T10" s="340" t="s">
        <v>273</v>
      </c>
      <c r="U10" s="346"/>
      <c r="V10" s="340"/>
      <c r="W10" s="340"/>
      <c r="X10" s="214" t="s">
        <v>5</v>
      </c>
      <c r="Y10" s="349">
        <f>S10/1000</f>
        <v>7262.17</v>
      </c>
      <c r="Z10" s="275">
        <f>S10</f>
        <v>7262170</v>
      </c>
      <c r="AA10" s="414"/>
      <c r="AB10" s="205"/>
      <c r="AC10" s="358"/>
    </row>
    <row r="11" spans="1:29" s="357" customFormat="1" ht="22.5" customHeight="1">
      <c r="A11" s="2274"/>
      <c r="B11" s="1145"/>
      <c r="C11" s="1126"/>
      <c r="D11" s="1145"/>
      <c r="E11" s="465"/>
      <c r="F11" s="598"/>
      <c r="G11" s="598"/>
      <c r="H11" s="404"/>
      <c r="I11" s="1127"/>
      <c r="J11" s="1670" t="s">
        <v>1681</v>
      </c>
      <c r="K11" s="1671"/>
      <c r="L11" s="1671"/>
      <c r="M11" s="1671"/>
      <c r="N11" s="1672"/>
      <c r="O11" s="1671"/>
      <c r="P11" s="1671"/>
      <c r="Q11" s="1673"/>
      <c r="R11" s="1671"/>
      <c r="S11" s="1672">
        <v>9009232</v>
      </c>
      <c r="T11" s="1671" t="s">
        <v>273</v>
      </c>
      <c r="U11" s="1675"/>
      <c r="V11" s="1671"/>
      <c r="W11" s="1671"/>
      <c r="X11" s="214" t="s">
        <v>5</v>
      </c>
      <c r="Y11" s="1674">
        <f>S11/1000</f>
        <v>9009.232</v>
      </c>
      <c r="Z11" s="275">
        <f>S11</f>
        <v>9009232</v>
      </c>
      <c r="AA11" s="1143"/>
      <c r="AB11" s="205"/>
      <c r="AC11" s="358"/>
    </row>
    <row r="12" spans="1:29" s="357" customFormat="1" ht="22.5" customHeight="1">
      <c r="A12" s="2274"/>
      <c r="B12" s="1145"/>
      <c r="C12" s="1126"/>
      <c r="D12" s="1145"/>
      <c r="E12" s="465"/>
      <c r="F12" s="598"/>
      <c r="G12" s="598"/>
      <c r="H12" s="404"/>
      <c r="I12" s="1127"/>
      <c r="J12" s="1670" t="s">
        <v>1682</v>
      </c>
      <c r="K12" s="1671"/>
      <c r="L12" s="1671"/>
      <c r="M12" s="1671"/>
      <c r="N12" s="1672"/>
      <c r="O12" s="1671"/>
      <c r="P12" s="1671"/>
      <c r="Q12" s="1673"/>
      <c r="R12" s="1671"/>
      <c r="S12" s="1672">
        <v>241678049</v>
      </c>
      <c r="T12" s="1671" t="s">
        <v>273</v>
      </c>
      <c r="U12" s="1675"/>
      <c r="V12" s="1671"/>
      <c r="W12" s="1671"/>
      <c r="X12" s="214" t="s">
        <v>5</v>
      </c>
      <c r="Y12" s="1674">
        <f>S12/1000</f>
        <v>241678.049</v>
      </c>
      <c r="Z12" s="275">
        <f>S12</f>
        <v>241678049</v>
      </c>
      <c r="AA12" s="1143"/>
      <c r="AB12" s="205"/>
      <c r="AC12" s="358"/>
    </row>
    <row r="13" spans="1:29" s="357" customFormat="1" ht="22.5" customHeight="1">
      <c r="A13" s="989"/>
      <c r="B13" s="469"/>
      <c r="C13" s="336"/>
      <c r="D13" s="469"/>
      <c r="E13" s="465"/>
      <c r="F13" s="598"/>
      <c r="G13" s="598"/>
      <c r="H13" s="404"/>
      <c r="I13" s="339"/>
      <c r="J13" s="1670" t="s">
        <v>1683</v>
      </c>
      <c r="K13" s="340"/>
      <c r="L13" s="340"/>
      <c r="M13" s="340"/>
      <c r="N13" s="341"/>
      <c r="O13" s="340"/>
      <c r="P13" s="340"/>
      <c r="Q13" s="342"/>
      <c r="R13" s="340"/>
      <c r="S13" s="341">
        <v>41697452</v>
      </c>
      <c r="T13" s="340" t="s">
        <v>273</v>
      </c>
      <c r="U13" s="346"/>
      <c r="V13" s="340"/>
      <c r="W13" s="340"/>
      <c r="X13" s="214" t="s">
        <v>5</v>
      </c>
      <c r="Y13" s="349">
        <f t="shared" ref="Y13:Y20" si="0">S13/1000</f>
        <v>41697.451999999997</v>
      </c>
      <c r="Z13" s="275">
        <f t="shared" ref="Z13:Z20" si="1">S13</f>
        <v>41697452</v>
      </c>
      <c r="AA13" s="414"/>
      <c r="AB13" s="205"/>
      <c r="AC13" s="358"/>
    </row>
    <row r="14" spans="1:29" s="357" customFormat="1" ht="22.5" customHeight="1">
      <c r="A14" s="2274"/>
      <c r="B14" s="1145"/>
      <c r="C14" s="1126"/>
      <c r="D14" s="1145"/>
      <c r="E14" s="465"/>
      <c r="F14" s="598"/>
      <c r="G14" s="598"/>
      <c r="H14" s="404"/>
      <c r="I14" s="1127"/>
      <c r="J14" s="1670" t="s">
        <v>1684</v>
      </c>
      <c r="K14" s="1671"/>
      <c r="L14" s="1671"/>
      <c r="M14" s="1671"/>
      <c r="N14" s="1672"/>
      <c r="O14" s="1671"/>
      <c r="P14" s="1671"/>
      <c r="Q14" s="1673"/>
      <c r="R14" s="1671"/>
      <c r="S14" s="1672">
        <v>144554975</v>
      </c>
      <c r="T14" s="1671" t="s">
        <v>273</v>
      </c>
      <c r="U14" s="1675"/>
      <c r="V14" s="1671"/>
      <c r="W14" s="1671"/>
      <c r="X14" s="214" t="s">
        <v>5</v>
      </c>
      <c r="Y14" s="1674">
        <f t="shared" ref="Y14" si="2">S14/1000</f>
        <v>144554.97500000001</v>
      </c>
      <c r="Z14" s="275">
        <f t="shared" ref="Z14" si="3">S14</f>
        <v>144554975</v>
      </c>
      <c r="AA14" s="1143"/>
      <c r="AB14" s="205"/>
      <c r="AC14" s="358"/>
    </row>
    <row r="15" spans="1:29" s="357" customFormat="1" ht="22.5" customHeight="1">
      <c r="A15" s="989"/>
      <c r="B15" s="469"/>
      <c r="C15" s="336"/>
      <c r="D15" s="469"/>
      <c r="E15" s="465"/>
      <c r="F15" s="598"/>
      <c r="G15" s="598"/>
      <c r="H15" s="404"/>
      <c r="I15" s="339"/>
      <c r="J15" s="1670" t="s">
        <v>1685</v>
      </c>
      <c r="K15" s="340"/>
      <c r="L15" s="340"/>
      <c r="M15" s="340"/>
      <c r="N15" s="341"/>
      <c r="O15" s="340"/>
      <c r="P15" s="340"/>
      <c r="Q15" s="342"/>
      <c r="R15" s="340"/>
      <c r="S15" s="341">
        <v>137597</v>
      </c>
      <c r="T15" s="340" t="s">
        <v>273</v>
      </c>
      <c r="U15" s="346"/>
      <c r="V15" s="340"/>
      <c r="W15" s="340"/>
      <c r="X15" s="214" t="s">
        <v>5</v>
      </c>
      <c r="Y15" s="349">
        <f t="shared" si="0"/>
        <v>137.59700000000001</v>
      </c>
      <c r="Z15" s="275">
        <f t="shared" si="1"/>
        <v>137597</v>
      </c>
      <c r="AA15" s="414"/>
      <c r="AB15" s="205"/>
      <c r="AC15" s="358"/>
    </row>
    <row r="16" spans="1:29" s="357" customFormat="1" ht="22.5" customHeight="1">
      <c r="A16" s="989"/>
      <c r="B16" s="469"/>
      <c r="C16" s="336"/>
      <c r="D16" s="469"/>
      <c r="E16" s="465"/>
      <c r="F16" s="598"/>
      <c r="G16" s="598"/>
      <c r="H16" s="404"/>
      <c r="I16" s="339"/>
      <c r="J16" s="1670" t="s">
        <v>1686</v>
      </c>
      <c r="K16" s="340"/>
      <c r="L16" s="340"/>
      <c r="M16" s="340"/>
      <c r="N16" s="341"/>
      <c r="O16" s="340"/>
      <c r="P16" s="340"/>
      <c r="Q16" s="342"/>
      <c r="R16" s="340"/>
      <c r="S16" s="341">
        <v>1054425</v>
      </c>
      <c r="T16" s="340" t="s">
        <v>273</v>
      </c>
      <c r="U16" s="346"/>
      <c r="V16" s="340"/>
      <c r="W16" s="340"/>
      <c r="X16" s="214" t="s">
        <v>5</v>
      </c>
      <c r="Y16" s="349">
        <f t="shared" si="0"/>
        <v>1054.425</v>
      </c>
      <c r="Z16" s="275">
        <f t="shared" si="1"/>
        <v>1054425</v>
      </c>
      <c r="AA16" s="414"/>
      <c r="AB16" s="205"/>
      <c r="AC16" s="358"/>
    </row>
    <row r="17" spans="1:29" s="357" customFormat="1" ht="22.5" customHeight="1">
      <c r="A17" s="989"/>
      <c r="B17" s="469"/>
      <c r="C17" s="336"/>
      <c r="D17" s="469"/>
      <c r="E17" s="465"/>
      <c r="F17" s="598"/>
      <c r="G17" s="598"/>
      <c r="H17" s="404"/>
      <c r="I17" s="339"/>
      <c r="J17" s="1670" t="s">
        <v>1687</v>
      </c>
      <c r="K17" s="340"/>
      <c r="L17" s="340"/>
      <c r="M17" s="340"/>
      <c r="N17" s="341"/>
      <c r="O17" s="340"/>
      <c r="P17" s="340"/>
      <c r="Q17" s="342"/>
      <c r="R17" s="340"/>
      <c r="S17" s="341">
        <v>1540696</v>
      </c>
      <c r="T17" s="340" t="s">
        <v>273</v>
      </c>
      <c r="U17" s="346"/>
      <c r="V17" s="340"/>
      <c r="W17" s="340"/>
      <c r="X17" s="214" t="s">
        <v>5</v>
      </c>
      <c r="Y17" s="349">
        <f t="shared" si="0"/>
        <v>1540.6959999999999</v>
      </c>
      <c r="Z17" s="275">
        <f t="shared" si="1"/>
        <v>1540696</v>
      </c>
      <c r="AA17" s="414"/>
      <c r="AB17" s="205"/>
      <c r="AC17" s="358"/>
    </row>
    <row r="18" spans="1:29" s="357" customFormat="1" ht="22.5" customHeight="1">
      <c r="A18" s="989"/>
      <c r="B18" s="469"/>
      <c r="C18" s="336"/>
      <c r="D18" s="469"/>
      <c r="E18" s="465"/>
      <c r="F18" s="598"/>
      <c r="G18" s="598"/>
      <c r="H18" s="404"/>
      <c r="I18" s="339"/>
      <c r="J18" s="1670" t="s">
        <v>1688</v>
      </c>
      <c r="K18" s="340"/>
      <c r="L18" s="340"/>
      <c r="M18" s="340"/>
      <c r="N18" s="341"/>
      <c r="O18" s="340"/>
      <c r="P18" s="340"/>
      <c r="Q18" s="342"/>
      <c r="R18" s="340"/>
      <c r="S18" s="341">
        <v>6732</v>
      </c>
      <c r="T18" s="340" t="s">
        <v>273</v>
      </c>
      <c r="U18" s="346"/>
      <c r="V18" s="340"/>
      <c r="W18" s="340"/>
      <c r="X18" s="214" t="s">
        <v>5</v>
      </c>
      <c r="Y18" s="349">
        <f t="shared" si="0"/>
        <v>6.7320000000000002</v>
      </c>
      <c r="Z18" s="275">
        <f t="shared" si="1"/>
        <v>6732</v>
      </c>
      <c r="AA18" s="414"/>
      <c r="AB18" s="205"/>
      <c r="AC18" s="358"/>
    </row>
    <row r="19" spans="1:29" s="357" customFormat="1" ht="22.5" customHeight="1">
      <c r="A19" s="989"/>
      <c r="B19" s="469"/>
      <c r="C19" s="336"/>
      <c r="D19" s="469"/>
      <c r="E19" s="465"/>
      <c r="F19" s="598"/>
      <c r="G19" s="598"/>
      <c r="H19" s="404"/>
      <c r="I19" s="339"/>
      <c r="J19" s="1670" t="s">
        <v>1689</v>
      </c>
      <c r="K19" s="340"/>
      <c r="L19" s="340"/>
      <c r="M19" s="340"/>
      <c r="N19" s="341"/>
      <c r="O19" s="340"/>
      <c r="P19" s="340"/>
      <c r="Q19" s="342"/>
      <c r="R19" s="340"/>
      <c r="S19" s="341">
        <v>580276</v>
      </c>
      <c r="T19" s="340" t="s">
        <v>273</v>
      </c>
      <c r="U19" s="346"/>
      <c r="V19" s="340"/>
      <c r="W19" s="340"/>
      <c r="X19" s="214" t="s">
        <v>5</v>
      </c>
      <c r="Y19" s="349">
        <f t="shared" si="0"/>
        <v>580.27599999999995</v>
      </c>
      <c r="Z19" s="275">
        <f t="shared" si="1"/>
        <v>580276</v>
      </c>
      <c r="AA19" s="414"/>
      <c r="AB19" s="205"/>
      <c r="AC19" s="358"/>
    </row>
    <row r="20" spans="1:29" s="357" customFormat="1" ht="22.5" customHeight="1">
      <c r="A20" s="989"/>
      <c r="B20" s="469"/>
      <c r="C20" s="336"/>
      <c r="D20" s="469"/>
      <c r="E20" s="465"/>
      <c r="F20" s="598"/>
      <c r="G20" s="598"/>
      <c r="H20" s="404"/>
      <c r="I20" s="339"/>
      <c r="J20" s="1670" t="s">
        <v>1690</v>
      </c>
      <c r="K20" s="340"/>
      <c r="L20" s="340"/>
      <c r="M20" s="340"/>
      <c r="N20" s="341"/>
      <c r="O20" s="340"/>
      <c r="P20" s="340"/>
      <c r="Q20" s="342"/>
      <c r="R20" s="340"/>
      <c r="S20" s="341">
        <v>1104862</v>
      </c>
      <c r="T20" s="340" t="s">
        <v>273</v>
      </c>
      <c r="U20" s="346"/>
      <c r="V20" s="340"/>
      <c r="W20" s="340"/>
      <c r="X20" s="214" t="s">
        <v>5</v>
      </c>
      <c r="Y20" s="349">
        <f t="shared" si="0"/>
        <v>1104.8620000000001</v>
      </c>
      <c r="Z20" s="275">
        <f t="shared" si="1"/>
        <v>1104862</v>
      </c>
      <c r="AA20" s="414"/>
      <c r="AB20" s="205"/>
      <c r="AC20" s="358"/>
    </row>
    <row r="102" ht="21.75" hidden="1" customHeight="1"/>
    <row r="103" ht="21.75" hidden="1" customHeight="1"/>
    <row r="104" ht="21.75" hidden="1" customHeight="1"/>
    <row r="105" ht="21.75" hidden="1" customHeight="1"/>
    <row r="106" ht="21.75" hidden="1" customHeight="1"/>
    <row r="107" ht="21.75" hidden="1" customHeight="1"/>
    <row r="108" ht="21.75" hidden="1" customHeight="1"/>
    <row r="109" ht="21.75" hidden="1" customHeight="1"/>
  </sheetData>
  <autoFilter ref="A4:AJ9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9">
    <mergeCell ref="A5:E5"/>
    <mergeCell ref="C7:E7"/>
    <mergeCell ref="D8:E8"/>
    <mergeCell ref="A1:Y1"/>
    <mergeCell ref="A3:E3"/>
    <mergeCell ref="F3:F4"/>
    <mergeCell ref="G3:G4"/>
    <mergeCell ref="H3:H4"/>
    <mergeCell ref="J3:Y4"/>
  </mergeCells>
  <phoneticPr fontId="19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10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M139"/>
  <sheetViews>
    <sheetView view="pageBreakPreview" topLeftCell="A55" zoomScale="85" zoomScaleNormal="90" zoomScaleSheetLayoutView="85" workbookViewId="0">
      <selection activeCell="G68" sqref="G68:I72"/>
    </sheetView>
  </sheetViews>
  <sheetFormatPr defaultRowHeight="16.5"/>
  <cols>
    <col min="1" max="1" width="8.44140625" style="2226" customWidth="1"/>
    <col min="2" max="2" width="9.44140625" style="2226" customWidth="1"/>
    <col min="3" max="3" width="11.21875" style="2226" customWidth="1"/>
    <col min="4" max="4" width="13.33203125" style="2226" customWidth="1"/>
    <col min="5" max="5" width="11.21875" style="2233" customWidth="1"/>
    <col min="6" max="6" width="13.88671875" style="2226" customWidth="1"/>
    <col min="7" max="9" width="22.77734375" style="2226" customWidth="1"/>
    <col min="10" max="10" width="8.88671875" style="2233"/>
    <col min="11" max="11" width="12.21875" style="2300" bestFit="1" customWidth="1"/>
    <col min="12" max="12" width="15.21875" style="2300" bestFit="1" customWidth="1"/>
    <col min="13" max="13" width="18.44140625" style="2226" customWidth="1"/>
    <col min="14" max="16384" width="8.88671875" style="2226"/>
  </cols>
  <sheetData>
    <row r="1" spans="1:10" ht="16.5" customHeight="1">
      <c r="A1" s="3637" t="s">
        <v>1646</v>
      </c>
      <c r="B1" s="3637"/>
      <c r="C1" s="3637"/>
      <c r="D1" s="3637"/>
      <c r="E1" s="3637"/>
      <c r="F1" s="3637"/>
      <c r="G1" s="3637"/>
      <c r="H1" s="3637"/>
      <c r="I1" s="3637"/>
      <c r="J1" s="3637"/>
    </row>
    <row r="2" spans="1:10" ht="9.75" customHeight="1">
      <c r="A2" s="3637"/>
      <c r="B2" s="3637"/>
      <c r="C2" s="3637"/>
      <c r="D2" s="3637"/>
      <c r="E2" s="3637"/>
      <c r="F2" s="3637"/>
      <c r="G2" s="3637"/>
      <c r="H2" s="3637"/>
      <c r="I2" s="3637"/>
      <c r="J2" s="3637"/>
    </row>
    <row r="3" spans="1:10" ht="24">
      <c r="A3" s="2218" t="s">
        <v>1606</v>
      </c>
      <c r="I3" s="2226" t="s">
        <v>1459</v>
      </c>
    </row>
    <row r="4" spans="1:10">
      <c r="A4" s="3601" t="s">
        <v>1460</v>
      </c>
      <c r="B4" s="3601"/>
      <c r="C4" s="3601"/>
      <c r="D4" s="3601"/>
      <c r="E4" s="3601"/>
      <c r="F4" s="3641" t="s">
        <v>6116</v>
      </c>
      <c r="G4" s="3601" t="s">
        <v>1461</v>
      </c>
      <c r="H4" s="3601"/>
      <c r="I4" s="3601"/>
      <c r="J4" s="3601" t="s">
        <v>1579</v>
      </c>
    </row>
    <row r="5" spans="1:10">
      <c r="A5" s="2230" t="s">
        <v>1462</v>
      </c>
      <c r="B5" s="2230" t="s">
        <v>1463</v>
      </c>
      <c r="C5" s="2230" t="s">
        <v>1464</v>
      </c>
      <c r="D5" s="2230" t="s">
        <v>1465</v>
      </c>
      <c r="E5" s="2230" t="s">
        <v>1466</v>
      </c>
      <c r="F5" s="3642"/>
      <c r="G5" s="3601"/>
      <c r="H5" s="3601"/>
      <c r="I5" s="3601"/>
      <c r="J5" s="3601"/>
    </row>
    <row r="6" spans="1:10">
      <c r="A6" s="3624" t="s">
        <v>1610</v>
      </c>
      <c r="B6" s="3625"/>
      <c r="C6" s="3625"/>
      <c r="D6" s="3625"/>
      <c r="E6" s="3626"/>
      <c r="F6" s="2299">
        <f>+F7+F15+F26+F60+F65+F67</f>
        <v>2360008493</v>
      </c>
      <c r="G6" s="3624"/>
      <c r="H6" s="3625"/>
      <c r="I6" s="3626"/>
      <c r="J6" s="2238"/>
    </row>
    <row r="7" spans="1:10">
      <c r="A7" s="3601" t="s">
        <v>1467</v>
      </c>
      <c r="B7" s="3601"/>
      <c r="C7" s="3601"/>
      <c r="D7" s="3601"/>
      <c r="E7" s="3601"/>
      <c r="F7" s="2219">
        <f>SUM(F8:F14)</f>
        <v>582934000</v>
      </c>
      <c r="G7" s="3602"/>
      <c r="H7" s="3602"/>
      <c r="I7" s="3602"/>
      <c r="J7" s="2230"/>
    </row>
    <row r="8" spans="1:10" ht="30" customHeight="1">
      <c r="A8" s="3603" t="s">
        <v>1468</v>
      </c>
      <c r="B8" s="3603" t="s">
        <v>1468</v>
      </c>
      <c r="C8" s="3603" t="s">
        <v>1469</v>
      </c>
      <c r="D8" s="3603" t="s">
        <v>1470</v>
      </c>
      <c r="E8" s="2232" t="s">
        <v>1471</v>
      </c>
      <c r="F8" s="2227">
        <v>262000</v>
      </c>
      <c r="G8" s="3635" t="s">
        <v>1607</v>
      </c>
      <c r="H8" s="3635"/>
      <c r="I8" s="3635"/>
      <c r="J8" s="3611" t="s">
        <v>1581</v>
      </c>
    </row>
    <row r="9" spans="1:10" ht="30" customHeight="1">
      <c r="A9" s="3603"/>
      <c r="B9" s="3603"/>
      <c r="C9" s="3603"/>
      <c r="D9" s="3603"/>
      <c r="E9" s="2232" t="s">
        <v>1472</v>
      </c>
      <c r="F9" s="2227">
        <v>3432000</v>
      </c>
      <c r="G9" s="3635"/>
      <c r="H9" s="3635"/>
      <c r="I9" s="3635"/>
      <c r="J9" s="3611"/>
    </row>
    <row r="10" spans="1:10" ht="30" customHeight="1">
      <c r="A10" s="3603"/>
      <c r="B10" s="3603"/>
      <c r="C10" s="3603"/>
      <c r="D10" s="3603"/>
      <c r="E10" s="2232" t="s">
        <v>1473</v>
      </c>
      <c r="F10" s="2227">
        <v>640000</v>
      </c>
      <c r="G10" s="3635"/>
      <c r="H10" s="3635"/>
      <c r="I10" s="3635"/>
      <c r="J10" s="3611"/>
    </row>
    <row r="11" spans="1:10" ht="86.25" customHeight="1">
      <c r="A11" s="3603"/>
      <c r="B11" s="3603"/>
      <c r="C11" s="3603"/>
      <c r="D11" s="2237" t="s">
        <v>1474</v>
      </c>
      <c r="E11" s="2241" t="s">
        <v>1475</v>
      </c>
      <c r="F11" s="2243">
        <v>8600000</v>
      </c>
      <c r="G11" s="3635" t="s">
        <v>1608</v>
      </c>
      <c r="H11" s="3636"/>
      <c r="I11" s="3636"/>
      <c r="J11" s="2239" t="s">
        <v>1581</v>
      </c>
    </row>
    <row r="12" spans="1:10" ht="16.5" customHeight="1">
      <c r="A12" s="3603"/>
      <c r="B12" s="3603"/>
      <c r="C12" s="3603" t="s">
        <v>1476</v>
      </c>
      <c r="D12" s="3603" t="s">
        <v>1477</v>
      </c>
      <c r="E12" s="3611" t="s">
        <v>1478</v>
      </c>
      <c r="F12" s="3634">
        <v>540000000</v>
      </c>
      <c r="G12" s="3635" t="s">
        <v>1609</v>
      </c>
      <c r="H12" s="3635"/>
      <c r="I12" s="3635"/>
      <c r="J12" s="3611" t="s">
        <v>1589</v>
      </c>
    </row>
    <row r="13" spans="1:10" ht="16.5" customHeight="1">
      <c r="A13" s="3603"/>
      <c r="B13" s="3603"/>
      <c r="C13" s="3603"/>
      <c r="D13" s="3603"/>
      <c r="E13" s="3611"/>
      <c r="F13" s="3634"/>
      <c r="G13" s="3635"/>
      <c r="H13" s="3635"/>
      <c r="I13" s="3635"/>
      <c r="J13" s="3611"/>
    </row>
    <row r="14" spans="1:10" ht="34.5" customHeight="1">
      <c r="A14" s="3603"/>
      <c r="B14" s="3603"/>
      <c r="C14" s="3603"/>
      <c r="D14" s="2231" t="s">
        <v>1479</v>
      </c>
      <c r="E14" s="2234" t="s">
        <v>1478</v>
      </c>
      <c r="F14" s="2243">
        <v>30000000</v>
      </c>
      <c r="G14" s="3635" t="s">
        <v>1575</v>
      </c>
      <c r="H14" s="3636"/>
      <c r="I14" s="3636"/>
      <c r="J14" s="2239" t="s">
        <v>1581</v>
      </c>
    </row>
    <row r="15" spans="1:10">
      <c r="A15" s="3601" t="s">
        <v>1480</v>
      </c>
      <c r="B15" s="3601"/>
      <c r="C15" s="3601"/>
      <c r="D15" s="3601"/>
      <c r="E15" s="3601"/>
      <c r="F15" s="2219">
        <f>SUM(F16:F25)</f>
        <v>200543295</v>
      </c>
      <c r="G15" s="3602"/>
      <c r="H15" s="3602"/>
      <c r="I15" s="3602"/>
      <c r="J15" s="2230"/>
    </row>
    <row r="16" spans="1:10" ht="16.5" customHeight="1">
      <c r="A16" s="3603" t="s">
        <v>1481</v>
      </c>
      <c r="B16" s="3603" t="s">
        <v>1482</v>
      </c>
      <c r="C16" s="3603" t="s">
        <v>1483</v>
      </c>
      <c r="D16" s="3603" t="s">
        <v>1484</v>
      </c>
      <c r="E16" s="3611" t="s">
        <v>1478</v>
      </c>
      <c r="F16" s="3634">
        <v>44418000</v>
      </c>
      <c r="G16" s="3635" t="s">
        <v>1485</v>
      </c>
      <c r="H16" s="3635"/>
      <c r="I16" s="3635"/>
      <c r="J16" s="3611" t="s">
        <v>1582</v>
      </c>
    </row>
    <row r="17" spans="1:10" ht="16.5" customHeight="1">
      <c r="A17" s="3603"/>
      <c r="B17" s="3603"/>
      <c r="C17" s="3603"/>
      <c r="D17" s="3603"/>
      <c r="E17" s="3611"/>
      <c r="F17" s="3634"/>
      <c r="G17" s="3635"/>
      <c r="H17" s="3635"/>
      <c r="I17" s="3635"/>
      <c r="J17" s="3611"/>
    </row>
    <row r="18" spans="1:10" ht="16.5" customHeight="1">
      <c r="A18" s="3603"/>
      <c r="B18" s="3603"/>
      <c r="C18" s="3611" t="s">
        <v>1486</v>
      </c>
      <c r="D18" s="3603" t="s">
        <v>1487</v>
      </c>
      <c r="E18" s="2232" t="s">
        <v>1472</v>
      </c>
      <c r="F18" s="2227">
        <v>16000000</v>
      </c>
      <c r="G18" s="3635" t="s">
        <v>1488</v>
      </c>
      <c r="H18" s="3636"/>
      <c r="I18" s="3636"/>
      <c r="J18" s="3611" t="s">
        <v>1586</v>
      </c>
    </row>
    <row r="19" spans="1:10">
      <c r="A19" s="3603"/>
      <c r="B19" s="3603"/>
      <c r="C19" s="3611"/>
      <c r="D19" s="3603"/>
      <c r="E19" s="2718" t="s">
        <v>4668</v>
      </c>
      <c r="F19" s="2227">
        <v>8000000</v>
      </c>
      <c r="G19" s="3636"/>
      <c r="H19" s="3636"/>
      <c r="I19" s="3636"/>
      <c r="J19" s="3611"/>
    </row>
    <row r="20" spans="1:10">
      <c r="A20" s="3603"/>
      <c r="B20" s="3603"/>
      <c r="C20" s="3611"/>
      <c r="D20" s="3603"/>
      <c r="E20" s="2718" t="s">
        <v>4669</v>
      </c>
      <c r="F20" s="2227">
        <v>2000000</v>
      </c>
      <c r="G20" s="3636"/>
      <c r="H20" s="3636"/>
      <c r="I20" s="3636"/>
      <c r="J20" s="3611"/>
    </row>
    <row r="21" spans="1:10" ht="16.5" customHeight="1">
      <c r="A21" s="3603"/>
      <c r="B21" s="3603" t="s">
        <v>1490</v>
      </c>
      <c r="C21" s="3603" t="s">
        <v>1491</v>
      </c>
      <c r="D21" s="3603" t="s">
        <v>1492</v>
      </c>
      <c r="E21" s="3611" t="s">
        <v>1478</v>
      </c>
      <c r="F21" s="3634">
        <v>42289295</v>
      </c>
      <c r="G21" s="3635" t="s">
        <v>1576</v>
      </c>
      <c r="H21" s="3636"/>
      <c r="I21" s="3636"/>
      <c r="J21" s="3611" t="s">
        <v>1583</v>
      </c>
    </row>
    <row r="22" spans="1:10" ht="16.5" customHeight="1">
      <c r="A22" s="3603"/>
      <c r="B22" s="3603"/>
      <c r="C22" s="3603"/>
      <c r="D22" s="3603"/>
      <c r="E22" s="3611"/>
      <c r="F22" s="3634"/>
      <c r="G22" s="3636"/>
      <c r="H22" s="3636"/>
      <c r="I22" s="3636"/>
      <c r="J22" s="3611"/>
    </row>
    <row r="23" spans="1:10" ht="16.5" customHeight="1">
      <c r="A23" s="3603"/>
      <c r="B23" s="3603"/>
      <c r="C23" s="3603"/>
      <c r="D23" s="3603" t="s">
        <v>1493</v>
      </c>
      <c r="E23" s="3611" t="s">
        <v>1478</v>
      </c>
      <c r="F23" s="3634">
        <v>39200000</v>
      </c>
      <c r="G23" s="3635" t="s">
        <v>1577</v>
      </c>
      <c r="H23" s="3635"/>
      <c r="I23" s="3635"/>
      <c r="J23" s="3611" t="s">
        <v>1582</v>
      </c>
    </row>
    <row r="24" spans="1:10" ht="16.5" customHeight="1">
      <c r="A24" s="3603"/>
      <c r="B24" s="3603"/>
      <c r="C24" s="3603"/>
      <c r="D24" s="3603"/>
      <c r="E24" s="3611"/>
      <c r="F24" s="3634"/>
      <c r="G24" s="3635"/>
      <c r="H24" s="3635"/>
      <c r="I24" s="3635"/>
      <c r="J24" s="3611"/>
    </row>
    <row r="25" spans="1:10" ht="33">
      <c r="A25" s="3603"/>
      <c r="B25" s="3603"/>
      <c r="C25" s="3603"/>
      <c r="D25" s="2237" t="s">
        <v>1494</v>
      </c>
      <c r="E25" s="2239" t="s">
        <v>1478</v>
      </c>
      <c r="F25" s="2240">
        <v>48636000</v>
      </c>
      <c r="G25" s="3635" t="s">
        <v>1578</v>
      </c>
      <c r="H25" s="3635"/>
      <c r="I25" s="3635"/>
      <c r="J25" s="2239" t="s">
        <v>1582</v>
      </c>
    </row>
    <row r="26" spans="1:10">
      <c r="A26" s="3601" t="s">
        <v>1499</v>
      </c>
      <c r="B26" s="3601"/>
      <c r="C26" s="3601"/>
      <c r="D26" s="3601"/>
      <c r="E26" s="3601"/>
      <c r="F26" s="2219">
        <f>SUM(F27:F59)</f>
        <v>1454305000</v>
      </c>
      <c r="G26" s="3602"/>
      <c r="H26" s="3602"/>
      <c r="I26" s="3602"/>
      <c r="J26" s="2230"/>
    </row>
    <row r="27" spans="1:10" ht="16.5" customHeight="1">
      <c r="A27" s="3603" t="s">
        <v>1593</v>
      </c>
      <c r="B27" s="3603" t="s">
        <v>1500</v>
      </c>
      <c r="C27" s="3603" t="s">
        <v>1501</v>
      </c>
      <c r="D27" s="3603" t="s">
        <v>1502</v>
      </c>
      <c r="E27" s="2232" t="s">
        <v>1503</v>
      </c>
      <c r="F27" s="2227">
        <v>14000000</v>
      </c>
      <c r="G27" s="3609" t="s">
        <v>1611</v>
      </c>
      <c r="H27" s="3609"/>
      <c r="I27" s="3609"/>
      <c r="J27" s="3611" t="s">
        <v>1584</v>
      </c>
    </row>
    <row r="28" spans="1:10" ht="16.5" customHeight="1">
      <c r="A28" s="3603"/>
      <c r="B28" s="3603"/>
      <c r="C28" s="3603"/>
      <c r="D28" s="3603"/>
      <c r="E28" s="2232" t="s">
        <v>1504</v>
      </c>
      <c r="F28" s="2227">
        <v>2000000</v>
      </c>
      <c r="G28" s="3609"/>
      <c r="H28" s="3609"/>
      <c r="I28" s="3609"/>
      <c r="J28" s="3611"/>
    </row>
    <row r="29" spans="1:10" ht="16.5" customHeight="1">
      <c r="A29" s="3603"/>
      <c r="B29" s="3603"/>
      <c r="C29" s="3603"/>
      <c r="D29" s="3603"/>
      <c r="E29" s="2232" t="s">
        <v>1505</v>
      </c>
      <c r="F29" s="2227">
        <v>2000000</v>
      </c>
      <c r="G29" s="3609"/>
      <c r="H29" s="3609"/>
      <c r="I29" s="3609"/>
      <c r="J29" s="3611"/>
    </row>
    <row r="30" spans="1:10" ht="16.5" customHeight="1">
      <c r="A30" s="3603"/>
      <c r="B30" s="3603"/>
      <c r="C30" s="3603"/>
      <c r="D30" s="3603"/>
      <c r="E30" s="2232" t="s">
        <v>1506</v>
      </c>
      <c r="F30" s="2227">
        <v>600000</v>
      </c>
      <c r="G30" s="3609"/>
      <c r="H30" s="3609"/>
      <c r="I30" s="3609"/>
      <c r="J30" s="3611"/>
    </row>
    <row r="31" spans="1:10" ht="16.5" customHeight="1">
      <c r="A31" s="3603"/>
      <c r="B31" s="3603"/>
      <c r="C31" s="3603"/>
      <c r="D31" s="3603"/>
      <c r="E31" s="2232" t="s">
        <v>1507</v>
      </c>
      <c r="F31" s="2227">
        <v>3000000</v>
      </c>
      <c r="G31" s="3609"/>
      <c r="H31" s="3609"/>
      <c r="I31" s="3609"/>
      <c r="J31" s="3611"/>
    </row>
    <row r="32" spans="1:10" ht="16.5" customHeight="1">
      <c r="A32" s="3603"/>
      <c r="B32" s="3603"/>
      <c r="C32" s="3603"/>
      <c r="D32" s="3603"/>
      <c r="E32" s="2232" t="s">
        <v>1508</v>
      </c>
      <c r="F32" s="2227">
        <v>4000000</v>
      </c>
      <c r="G32" s="3609"/>
      <c r="H32" s="3609"/>
      <c r="I32" s="3609"/>
      <c r="J32" s="3611"/>
    </row>
    <row r="33" spans="1:10" ht="16.5" customHeight="1">
      <c r="A33" s="3603"/>
      <c r="B33" s="3603"/>
      <c r="C33" s="3603"/>
      <c r="D33" s="3603"/>
      <c r="E33" s="2239" t="s">
        <v>711</v>
      </c>
      <c r="F33" s="2227">
        <v>232800000</v>
      </c>
      <c r="G33" s="3609"/>
      <c r="H33" s="3609"/>
      <c r="I33" s="3609"/>
      <c r="J33" s="3611"/>
    </row>
    <row r="34" spans="1:10" ht="16.5" customHeight="1">
      <c r="A34" s="3603"/>
      <c r="B34" s="3603"/>
      <c r="C34" s="3603"/>
      <c r="D34" s="3603"/>
      <c r="E34" s="2232" t="s">
        <v>1509</v>
      </c>
      <c r="F34" s="2227">
        <v>1000000</v>
      </c>
      <c r="G34" s="3609"/>
      <c r="H34" s="3609"/>
      <c r="I34" s="3609"/>
      <c r="J34" s="3611"/>
    </row>
    <row r="35" spans="1:10" ht="37.5" customHeight="1">
      <c r="A35" s="3603"/>
      <c r="B35" s="3621" t="s">
        <v>1510</v>
      </c>
      <c r="C35" s="2231" t="s">
        <v>1511</v>
      </c>
      <c r="D35" s="2231" t="s">
        <v>1512</v>
      </c>
      <c r="E35" s="2234" t="s">
        <v>1497</v>
      </c>
      <c r="F35" s="2228">
        <v>14000000</v>
      </c>
      <c r="G35" s="3609" t="s">
        <v>1585</v>
      </c>
      <c r="H35" s="3610"/>
      <c r="I35" s="3610"/>
      <c r="J35" s="2232" t="s">
        <v>1581</v>
      </c>
    </row>
    <row r="36" spans="1:10" ht="16.5" customHeight="1">
      <c r="A36" s="3603"/>
      <c r="B36" s="3622"/>
      <c r="C36" s="3633" t="s">
        <v>1620</v>
      </c>
      <c r="D36" s="3633" t="s">
        <v>1621</v>
      </c>
      <c r="E36" s="2234" t="s">
        <v>1514</v>
      </c>
      <c r="F36" s="2240">
        <v>9300000</v>
      </c>
      <c r="G36" s="3609" t="s">
        <v>1515</v>
      </c>
      <c r="H36" s="3610"/>
      <c r="I36" s="3610"/>
      <c r="J36" s="3622" t="s">
        <v>1589</v>
      </c>
    </row>
    <row r="37" spans="1:10">
      <c r="A37" s="3603"/>
      <c r="B37" s="3622"/>
      <c r="C37" s="3633"/>
      <c r="D37" s="3633"/>
      <c r="E37" s="2239" t="s">
        <v>564</v>
      </c>
      <c r="F37" s="2240">
        <v>1700000</v>
      </c>
      <c r="G37" s="3609"/>
      <c r="H37" s="3610"/>
      <c r="I37" s="3610"/>
      <c r="J37" s="3622"/>
    </row>
    <row r="38" spans="1:10">
      <c r="A38" s="3603"/>
      <c r="B38" s="3622"/>
      <c r="C38" s="3633"/>
      <c r="D38" s="3633"/>
      <c r="E38" s="2234" t="s">
        <v>1497</v>
      </c>
      <c r="F38" s="2240">
        <v>9000000</v>
      </c>
      <c r="G38" s="3610"/>
      <c r="H38" s="3610"/>
      <c r="I38" s="3610"/>
      <c r="J38" s="3622"/>
    </row>
    <row r="39" spans="1:10">
      <c r="A39" s="3603"/>
      <c r="B39" s="3623"/>
      <c r="C39" s="3608"/>
      <c r="D39" s="3608"/>
      <c r="E39" s="2242" t="s">
        <v>1619</v>
      </c>
      <c r="F39" s="2228">
        <v>35000000</v>
      </c>
      <c r="G39" s="3610" t="s">
        <v>1587</v>
      </c>
      <c r="H39" s="3610"/>
      <c r="I39" s="3610"/>
      <c r="J39" s="2239" t="s">
        <v>1581</v>
      </c>
    </row>
    <row r="40" spans="1:10">
      <c r="A40" s="3603"/>
      <c r="B40" s="3611" t="s">
        <v>1516</v>
      </c>
      <c r="C40" s="3611" t="s">
        <v>1517</v>
      </c>
      <c r="D40" s="3603" t="s">
        <v>1518</v>
      </c>
      <c r="E40" s="2234" t="s">
        <v>1497</v>
      </c>
      <c r="F40" s="2243">
        <v>62700000</v>
      </c>
      <c r="G40" s="3609" t="s">
        <v>1612</v>
      </c>
      <c r="H40" s="3610"/>
      <c r="I40" s="3610"/>
      <c r="J40" s="2239" t="s">
        <v>1584</v>
      </c>
    </row>
    <row r="41" spans="1:10">
      <c r="A41" s="3603"/>
      <c r="B41" s="3611"/>
      <c r="C41" s="3611"/>
      <c r="D41" s="3611"/>
      <c r="E41" s="2232" t="s">
        <v>1519</v>
      </c>
      <c r="F41" s="2240">
        <v>7000000</v>
      </c>
      <c r="G41" s="3610" t="s">
        <v>1573</v>
      </c>
      <c r="H41" s="3610"/>
      <c r="I41" s="3610"/>
      <c r="J41" s="2239" t="s">
        <v>1584</v>
      </c>
    </row>
    <row r="42" spans="1:10" ht="16.5" customHeight="1">
      <c r="A42" s="3603"/>
      <c r="B42" s="3611"/>
      <c r="C42" s="3611"/>
      <c r="D42" s="3603" t="s">
        <v>1520</v>
      </c>
      <c r="E42" s="2239" t="s">
        <v>1613</v>
      </c>
      <c r="F42" s="2240">
        <v>80000000</v>
      </c>
      <c r="G42" s="3612" t="s">
        <v>1614</v>
      </c>
      <c r="H42" s="3613"/>
      <c r="I42" s="3614"/>
      <c r="J42" s="2239" t="s">
        <v>1583</v>
      </c>
    </row>
    <row r="43" spans="1:10" ht="35.25" customHeight="1">
      <c r="A43" s="3603"/>
      <c r="B43" s="3611"/>
      <c r="C43" s="3611"/>
      <c r="D43" s="3603"/>
      <c r="E43" s="2239" t="s">
        <v>1507</v>
      </c>
      <c r="F43" s="2240">
        <v>38000000</v>
      </c>
      <c r="G43" s="3612" t="s">
        <v>1622</v>
      </c>
      <c r="H43" s="3613"/>
      <c r="I43" s="3614"/>
      <c r="J43" s="2237" t="s">
        <v>1623</v>
      </c>
    </row>
    <row r="44" spans="1:10" ht="16.5" customHeight="1">
      <c r="A44" s="3603"/>
      <c r="B44" s="3611"/>
      <c r="C44" s="3611"/>
      <c r="D44" s="3603"/>
      <c r="E44" s="3621" t="s">
        <v>1497</v>
      </c>
      <c r="F44" s="3630">
        <v>597155000</v>
      </c>
      <c r="G44" s="3612" t="s">
        <v>1615</v>
      </c>
      <c r="H44" s="3613"/>
      <c r="I44" s="3614"/>
      <c r="J44" s="2296" t="s">
        <v>1584</v>
      </c>
    </row>
    <row r="45" spans="1:10">
      <c r="A45" s="3603"/>
      <c r="B45" s="3611"/>
      <c r="C45" s="3611"/>
      <c r="D45" s="3603"/>
      <c r="E45" s="3622"/>
      <c r="F45" s="3631"/>
      <c r="G45" s="3615"/>
      <c r="H45" s="3616"/>
      <c r="I45" s="3617"/>
      <c r="J45" s="2295" t="s">
        <v>1583</v>
      </c>
    </row>
    <row r="46" spans="1:10">
      <c r="A46" s="3603"/>
      <c r="B46" s="3611"/>
      <c r="C46" s="3611"/>
      <c r="D46" s="3603"/>
      <c r="E46" s="3622"/>
      <c r="F46" s="3631"/>
      <c r="G46" s="3615"/>
      <c r="H46" s="3616"/>
      <c r="I46" s="3617"/>
      <c r="J46" s="2295" t="s">
        <v>1584</v>
      </c>
    </row>
    <row r="47" spans="1:10">
      <c r="A47" s="3603"/>
      <c r="B47" s="3611"/>
      <c r="C47" s="3611"/>
      <c r="D47" s="3603"/>
      <c r="E47" s="3623"/>
      <c r="F47" s="3632"/>
      <c r="G47" s="3618"/>
      <c r="H47" s="3619"/>
      <c r="I47" s="3620"/>
      <c r="J47" s="2298" t="s">
        <v>1616</v>
      </c>
    </row>
    <row r="48" spans="1:10">
      <c r="A48" s="3603"/>
      <c r="B48" s="3611"/>
      <c r="C48" s="3611"/>
      <c r="D48" s="3603"/>
      <c r="E48" s="2232" t="s">
        <v>1513</v>
      </c>
      <c r="F48" s="2240">
        <v>40000000</v>
      </c>
      <c r="G48" s="3610" t="s">
        <v>1574</v>
      </c>
      <c r="H48" s="3610"/>
      <c r="I48" s="3610"/>
      <c r="J48" s="2232" t="s">
        <v>1588</v>
      </c>
    </row>
    <row r="49" spans="1:10">
      <c r="A49" s="3603"/>
      <c r="B49" s="3611"/>
      <c r="C49" s="3603" t="s">
        <v>1521</v>
      </c>
      <c r="D49" s="3603" t="s">
        <v>1522</v>
      </c>
      <c r="E49" s="3611" t="s">
        <v>1497</v>
      </c>
      <c r="F49" s="3634">
        <v>107300000</v>
      </c>
      <c r="G49" s="3638" t="s">
        <v>1624</v>
      </c>
      <c r="H49" s="3638"/>
      <c r="I49" s="3638"/>
      <c r="J49" s="2296"/>
    </row>
    <row r="50" spans="1:10">
      <c r="A50" s="3603"/>
      <c r="B50" s="3611"/>
      <c r="C50" s="3603"/>
      <c r="D50" s="3603"/>
      <c r="E50" s="3611"/>
      <c r="F50" s="3634"/>
      <c r="G50" s="3639" t="s">
        <v>1591</v>
      </c>
      <c r="H50" s="3639"/>
      <c r="I50" s="3639"/>
      <c r="J50" s="2295" t="s">
        <v>1589</v>
      </c>
    </row>
    <row r="51" spans="1:10">
      <c r="A51" s="3603"/>
      <c r="B51" s="3611"/>
      <c r="C51" s="3603"/>
      <c r="D51" s="3603"/>
      <c r="E51" s="3611"/>
      <c r="F51" s="3634"/>
      <c r="G51" s="3640" t="s">
        <v>1592</v>
      </c>
      <c r="H51" s="3640"/>
      <c r="I51" s="3640"/>
      <c r="J51" s="2298" t="s">
        <v>1590</v>
      </c>
    </row>
    <row r="52" spans="1:10" ht="16.5" customHeight="1">
      <c r="A52" s="3603"/>
      <c r="B52" s="3611"/>
      <c r="C52" s="3603"/>
      <c r="D52" s="3603" t="s">
        <v>1523</v>
      </c>
      <c r="E52" s="2232" t="s">
        <v>1514</v>
      </c>
      <c r="F52" s="2229">
        <v>46000000</v>
      </c>
      <c r="G52" s="3610" t="s">
        <v>1618</v>
      </c>
      <c r="H52" s="3610"/>
      <c r="I52" s="3610"/>
      <c r="J52" s="3611" t="s">
        <v>1617</v>
      </c>
    </row>
    <row r="53" spans="1:10">
      <c r="A53" s="3603"/>
      <c r="B53" s="3611"/>
      <c r="C53" s="3603"/>
      <c r="D53" s="3603"/>
      <c r="E53" s="2232" t="s">
        <v>1507</v>
      </c>
      <c r="F53" s="2229">
        <v>0</v>
      </c>
      <c r="G53" s="3610"/>
      <c r="H53" s="3610"/>
      <c r="I53" s="3610"/>
      <c r="J53" s="3611"/>
    </row>
    <row r="54" spans="1:10">
      <c r="A54" s="3603"/>
      <c r="B54" s="3611"/>
      <c r="C54" s="3603"/>
      <c r="D54" s="3603"/>
      <c r="E54" s="2232" t="s">
        <v>1497</v>
      </c>
      <c r="F54" s="2229">
        <v>0</v>
      </c>
      <c r="G54" s="3610"/>
      <c r="H54" s="3610"/>
      <c r="I54" s="3610"/>
      <c r="J54" s="2232"/>
    </row>
    <row r="55" spans="1:10" ht="16.5" customHeight="1">
      <c r="A55" s="3603"/>
      <c r="B55" s="3611"/>
      <c r="C55" s="3603"/>
      <c r="D55" s="3603" t="s">
        <v>1524</v>
      </c>
      <c r="E55" s="2232" t="s">
        <v>1478</v>
      </c>
      <c r="F55" s="2240">
        <v>17000000</v>
      </c>
      <c r="G55" s="3610" t="s">
        <v>1525</v>
      </c>
      <c r="H55" s="3610"/>
      <c r="I55" s="3610"/>
      <c r="J55" s="2239" t="s">
        <v>1583</v>
      </c>
    </row>
    <row r="56" spans="1:10">
      <c r="A56" s="3603"/>
      <c r="B56" s="3611"/>
      <c r="C56" s="3603"/>
      <c r="D56" s="3603"/>
      <c r="E56" s="2232" t="s">
        <v>1473</v>
      </c>
      <c r="F56" s="2240">
        <v>5000000</v>
      </c>
      <c r="G56" s="3610" t="s">
        <v>1526</v>
      </c>
      <c r="H56" s="3610"/>
      <c r="I56" s="3610"/>
      <c r="J56" s="2239" t="s">
        <v>1584</v>
      </c>
    </row>
    <row r="57" spans="1:10" ht="34.5" customHeight="1">
      <c r="A57" s="3603"/>
      <c r="B57" s="3611"/>
      <c r="C57" s="3603"/>
      <c r="D57" s="2231" t="s">
        <v>1527</v>
      </c>
      <c r="E57" s="2232" t="s">
        <v>1478</v>
      </c>
      <c r="F57" s="2240">
        <v>19800000</v>
      </c>
      <c r="G57" s="3610" t="s">
        <v>1458</v>
      </c>
      <c r="H57" s="3610"/>
      <c r="I57" s="3610"/>
      <c r="J57" s="2239" t="s">
        <v>1581</v>
      </c>
    </row>
    <row r="58" spans="1:10" ht="32.25" customHeight="1">
      <c r="A58" s="3603"/>
      <c r="B58" s="3611"/>
      <c r="C58" s="3603"/>
      <c r="D58" s="2231" t="s">
        <v>1528</v>
      </c>
      <c r="E58" s="2232" t="s">
        <v>65</v>
      </c>
      <c r="F58" s="2240">
        <v>85950000</v>
      </c>
      <c r="G58" s="3610" t="s">
        <v>1529</v>
      </c>
      <c r="H58" s="3610"/>
      <c r="I58" s="3610"/>
      <c r="J58" s="2239" t="s">
        <v>1583</v>
      </c>
    </row>
    <row r="59" spans="1:10" ht="33.75" customHeight="1">
      <c r="A59" s="3603"/>
      <c r="B59" s="3611"/>
      <c r="C59" s="3603"/>
      <c r="D59" s="2231" t="s">
        <v>1530</v>
      </c>
      <c r="E59" s="2232" t="s">
        <v>1478</v>
      </c>
      <c r="F59" s="2240">
        <v>20000000</v>
      </c>
      <c r="G59" s="3610" t="s">
        <v>1572</v>
      </c>
      <c r="H59" s="3610"/>
      <c r="I59" s="3610"/>
      <c r="J59" s="2239" t="s">
        <v>1584</v>
      </c>
    </row>
    <row r="60" spans="1:10">
      <c r="A60" s="3601" t="s">
        <v>1556</v>
      </c>
      <c r="B60" s="3601"/>
      <c r="C60" s="3601"/>
      <c r="D60" s="3601"/>
      <c r="E60" s="3601"/>
      <c r="F60" s="2219">
        <f>SUM(F61:F64)</f>
        <v>48500000</v>
      </c>
      <c r="G60" s="3602"/>
      <c r="H60" s="3602"/>
      <c r="I60" s="3602"/>
      <c r="J60" s="2230"/>
    </row>
    <row r="61" spans="1:10" ht="33">
      <c r="A61" s="3603" t="s">
        <v>1557</v>
      </c>
      <c r="B61" s="3603" t="s">
        <v>1557</v>
      </c>
      <c r="C61" s="2231" t="s">
        <v>1604</v>
      </c>
      <c r="D61" s="2231" t="s">
        <v>1558</v>
      </c>
      <c r="E61" s="2232" t="s">
        <v>1478</v>
      </c>
      <c r="F61" s="2227">
        <v>14000000</v>
      </c>
      <c r="G61" s="3609" t="s">
        <v>1601</v>
      </c>
      <c r="H61" s="3609"/>
      <c r="I61" s="3609"/>
      <c r="J61" s="2232" t="s">
        <v>1589</v>
      </c>
    </row>
    <row r="62" spans="1:10" ht="16.5" customHeight="1">
      <c r="A62" s="3603"/>
      <c r="B62" s="3603"/>
      <c r="C62" s="3603" t="s">
        <v>1559</v>
      </c>
      <c r="D62" s="3603" t="s">
        <v>1560</v>
      </c>
      <c r="E62" s="2234" t="s">
        <v>1471</v>
      </c>
      <c r="F62" s="2228">
        <v>2000000</v>
      </c>
      <c r="G62" s="3610" t="s">
        <v>1603</v>
      </c>
      <c r="H62" s="3610"/>
      <c r="I62" s="3610"/>
      <c r="J62" s="3611" t="s">
        <v>1584</v>
      </c>
    </row>
    <row r="63" spans="1:10">
      <c r="A63" s="3603"/>
      <c r="B63" s="3603"/>
      <c r="C63" s="3603"/>
      <c r="D63" s="3603"/>
      <c r="E63" s="2234" t="s">
        <v>1472</v>
      </c>
      <c r="F63" s="2228">
        <v>8500000</v>
      </c>
      <c r="G63" s="3610" t="s">
        <v>1602</v>
      </c>
      <c r="H63" s="3610"/>
      <c r="I63" s="3610"/>
      <c r="J63" s="3611"/>
    </row>
    <row r="64" spans="1:10" ht="16.5" customHeight="1">
      <c r="A64" s="3603"/>
      <c r="B64" s="3603"/>
      <c r="C64" s="3603"/>
      <c r="D64" s="3603"/>
      <c r="E64" s="2234" t="s">
        <v>1478</v>
      </c>
      <c r="F64" s="2240">
        <v>24000000</v>
      </c>
      <c r="G64" s="3610" t="s">
        <v>1625</v>
      </c>
      <c r="H64" s="3610"/>
      <c r="I64" s="3610"/>
      <c r="J64" s="3611"/>
    </row>
    <row r="65" spans="1:10">
      <c r="A65" s="3601" t="s">
        <v>1561</v>
      </c>
      <c r="B65" s="3601"/>
      <c r="C65" s="3601"/>
      <c r="D65" s="3601"/>
      <c r="E65" s="3601"/>
      <c r="F65" s="2219">
        <f>F66</f>
        <v>35600000</v>
      </c>
      <c r="G65" s="3602"/>
      <c r="H65" s="3602"/>
      <c r="I65" s="3602"/>
      <c r="J65" s="2238"/>
    </row>
    <row r="66" spans="1:10" ht="40.5" customHeight="1">
      <c r="A66" s="2237" t="s">
        <v>1562</v>
      </c>
      <c r="B66" s="2237" t="s">
        <v>1562</v>
      </c>
      <c r="C66" s="2237" t="s">
        <v>1604</v>
      </c>
      <c r="D66" s="2237" t="s">
        <v>1563</v>
      </c>
      <c r="E66" s="2239" t="s">
        <v>1478</v>
      </c>
      <c r="F66" s="2240">
        <v>35600000</v>
      </c>
      <c r="G66" s="3627" t="s">
        <v>1626</v>
      </c>
      <c r="H66" s="3628"/>
      <c r="I66" s="3629"/>
      <c r="J66" s="2239" t="s">
        <v>1589</v>
      </c>
    </row>
    <row r="67" spans="1:10">
      <c r="A67" s="3601" t="s">
        <v>1564</v>
      </c>
      <c r="B67" s="3601"/>
      <c r="C67" s="3601"/>
      <c r="D67" s="3601"/>
      <c r="E67" s="3601"/>
      <c r="F67" s="2219">
        <f>SUM(F68:F72)</f>
        <v>38126198</v>
      </c>
      <c r="G67" s="3602"/>
      <c r="H67" s="3602"/>
      <c r="I67" s="3602"/>
      <c r="J67" s="2238"/>
    </row>
    <row r="68" spans="1:10" ht="16.5" customHeight="1">
      <c r="A68" s="3603" t="s">
        <v>1565</v>
      </c>
      <c r="B68" s="3603" t="s">
        <v>1565</v>
      </c>
      <c r="C68" s="3603" t="s">
        <v>1566</v>
      </c>
      <c r="D68" s="3603" t="s">
        <v>1567</v>
      </c>
      <c r="E68" s="2235" t="s">
        <v>705</v>
      </c>
      <c r="F68" s="2227">
        <v>2200000</v>
      </c>
      <c r="G68" s="3609" t="s">
        <v>1568</v>
      </c>
      <c r="H68" s="3609"/>
      <c r="I68" s="3609"/>
      <c r="J68" s="3611" t="s">
        <v>1605</v>
      </c>
    </row>
    <row r="69" spans="1:10" ht="16.5" customHeight="1">
      <c r="A69" s="3603"/>
      <c r="B69" s="3603"/>
      <c r="C69" s="3603"/>
      <c r="D69" s="3603"/>
      <c r="E69" s="2242" t="s">
        <v>609</v>
      </c>
      <c r="F69" s="2227">
        <v>300000</v>
      </c>
      <c r="G69" s="3609"/>
      <c r="H69" s="3609"/>
      <c r="I69" s="3609"/>
      <c r="J69" s="3611"/>
    </row>
    <row r="70" spans="1:10" ht="16.5" customHeight="1">
      <c r="A70" s="3603"/>
      <c r="B70" s="3603"/>
      <c r="C70" s="3603"/>
      <c r="D70" s="3603"/>
      <c r="E70" s="2242" t="s">
        <v>1478</v>
      </c>
      <c r="F70" s="2227">
        <v>29177348</v>
      </c>
      <c r="G70" s="3609"/>
      <c r="H70" s="3609"/>
      <c r="I70" s="3609"/>
      <c r="J70" s="3611"/>
    </row>
    <row r="71" spans="1:10" ht="16.5" customHeight="1">
      <c r="A71" s="3603"/>
      <c r="B71" s="3603"/>
      <c r="C71" s="3603"/>
      <c r="D71" s="3603"/>
      <c r="E71" s="2242" t="s">
        <v>703</v>
      </c>
      <c r="F71" s="2227">
        <v>6041500</v>
      </c>
      <c r="G71" s="3609"/>
      <c r="H71" s="3609"/>
      <c r="I71" s="3609"/>
      <c r="J71" s="3611"/>
    </row>
    <row r="72" spans="1:10" ht="16.5" customHeight="1">
      <c r="A72" s="3603"/>
      <c r="B72" s="3603"/>
      <c r="C72" s="3603"/>
      <c r="D72" s="3603"/>
      <c r="E72" s="2242" t="s">
        <v>704</v>
      </c>
      <c r="F72" s="2227">
        <v>407350</v>
      </c>
      <c r="G72" s="3609"/>
      <c r="H72" s="3609"/>
      <c r="I72" s="3609"/>
      <c r="J72" s="3611"/>
    </row>
    <row r="74" spans="1:10" ht="24">
      <c r="A74" s="2218" t="s">
        <v>1627</v>
      </c>
      <c r="I74" s="2226" t="s">
        <v>1459</v>
      </c>
    </row>
    <row r="75" spans="1:10">
      <c r="A75" s="3601" t="s">
        <v>1460</v>
      </c>
      <c r="B75" s="3601"/>
      <c r="C75" s="3601"/>
      <c r="D75" s="3601"/>
      <c r="E75" s="3601"/>
      <c r="F75" s="3641" t="s">
        <v>6116</v>
      </c>
      <c r="G75" s="3601" t="s">
        <v>1461</v>
      </c>
      <c r="H75" s="3601"/>
      <c r="I75" s="3601"/>
      <c r="J75" s="3601" t="s">
        <v>1579</v>
      </c>
    </row>
    <row r="76" spans="1:10">
      <c r="A76" s="2230" t="s">
        <v>1462</v>
      </c>
      <c r="B76" s="2230" t="s">
        <v>1463</v>
      </c>
      <c r="C76" s="2230" t="s">
        <v>1464</v>
      </c>
      <c r="D76" s="2230" t="s">
        <v>1465</v>
      </c>
      <c r="E76" s="2230" t="s">
        <v>1466</v>
      </c>
      <c r="F76" s="3642"/>
      <c r="G76" s="3601"/>
      <c r="H76" s="3601"/>
      <c r="I76" s="3601"/>
      <c r="J76" s="3601"/>
    </row>
    <row r="77" spans="1:10">
      <c r="A77" s="3624" t="s">
        <v>1644</v>
      </c>
      <c r="B77" s="3625"/>
      <c r="C77" s="3625"/>
      <c r="D77" s="3625"/>
      <c r="E77" s="3626"/>
      <c r="F77" s="2299">
        <f>+F78+F81+F115+F120</f>
        <v>4056259123</v>
      </c>
      <c r="G77" s="3624"/>
      <c r="H77" s="3625"/>
      <c r="I77" s="3626"/>
      <c r="J77" s="2238"/>
    </row>
    <row r="78" spans="1:10">
      <c r="A78" s="3601" t="s">
        <v>1495</v>
      </c>
      <c r="B78" s="3601"/>
      <c r="C78" s="3601"/>
      <c r="D78" s="3601"/>
      <c r="E78" s="3601"/>
      <c r="F78" s="2219">
        <f>SUM(F79:F80)</f>
        <v>200000000</v>
      </c>
      <c r="G78" s="3602"/>
      <c r="H78" s="3602"/>
      <c r="I78" s="3602"/>
      <c r="J78" s="2238"/>
    </row>
    <row r="79" spans="1:10" ht="16.5" customHeight="1">
      <c r="A79" s="3603" t="s">
        <v>1481</v>
      </c>
      <c r="B79" s="3603" t="s">
        <v>1490</v>
      </c>
      <c r="C79" s="3603" t="s">
        <v>1496</v>
      </c>
      <c r="D79" s="3603" t="s">
        <v>1496</v>
      </c>
      <c r="E79" s="2239" t="s">
        <v>1478</v>
      </c>
      <c r="F79" s="2240">
        <v>192800000</v>
      </c>
      <c r="G79" s="3643" t="s">
        <v>1498</v>
      </c>
      <c r="H79" s="3644"/>
      <c r="I79" s="3645"/>
      <c r="J79" s="3611" t="s">
        <v>1582</v>
      </c>
    </row>
    <row r="80" spans="1:10">
      <c r="A80" s="3603"/>
      <c r="B80" s="3603"/>
      <c r="C80" s="3603"/>
      <c r="D80" s="3603"/>
      <c r="E80" s="2239" t="s">
        <v>1628</v>
      </c>
      <c r="F80" s="2240">
        <v>7200000</v>
      </c>
      <c r="G80" s="3646"/>
      <c r="H80" s="3647"/>
      <c r="I80" s="3648"/>
      <c r="J80" s="3611"/>
    </row>
    <row r="81" spans="1:10">
      <c r="A81" s="3601" t="s">
        <v>1531</v>
      </c>
      <c r="B81" s="3601"/>
      <c r="C81" s="3601"/>
      <c r="D81" s="3601"/>
      <c r="E81" s="3601"/>
      <c r="F81" s="2219">
        <f>SUM(F82:F114)</f>
        <v>3853057297</v>
      </c>
      <c r="G81" s="3602"/>
      <c r="H81" s="3602"/>
      <c r="I81" s="3602"/>
      <c r="J81" s="2230"/>
    </row>
    <row r="82" spans="1:10" ht="33" customHeight="1">
      <c r="A82" s="3603" t="s">
        <v>1598</v>
      </c>
      <c r="B82" s="3607" t="s">
        <v>1532</v>
      </c>
      <c r="C82" s="3607" t="s">
        <v>1533</v>
      </c>
      <c r="D82" s="2237" t="s">
        <v>1629</v>
      </c>
      <c r="E82" s="2239" t="s">
        <v>1630</v>
      </c>
      <c r="F82" s="2227">
        <v>17487673</v>
      </c>
      <c r="G82" s="3609" t="s">
        <v>1633</v>
      </c>
      <c r="H82" s="3610"/>
      <c r="I82" s="3610"/>
      <c r="J82" s="2239" t="s">
        <v>1634</v>
      </c>
    </row>
    <row r="83" spans="1:10">
      <c r="A83" s="3603"/>
      <c r="B83" s="3633"/>
      <c r="C83" s="3633"/>
      <c r="D83" s="3607" t="s">
        <v>1534</v>
      </c>
      <c r="E83" s="2239" t="s">
        <v>705</v>
      </c>
      <c r="F83" s="2227"/>
      <c r="G83" s="3612" t="s">
        <v>1632</v>
      </c>
      <c r="H83" s="3613"/>
      <c r="I83" s="3614"/>
      <c r="J83" s="3621" t="s">
        <v>1584</v>
      </c>
    </row>
    <row r="84" spans="1:10">
      <c r="A84" s="3603"/>
      <c r="B84" s="3633"/>
      <c r="C84" s="3633"/>
      <c r="D84" s="3608"/>
      <c r="E84" s="2239" t="s">
        <v>1631</v>
      </c>
      <c r="F84" s="2227">
        <v>5905000</v>
      </c>
      <c r="G84" s="3618"/>
      <c r="H84" s="3619"/>
      <c r="I84" s="3620"/>
      <c r="J84" s="3623"/>
    </row>
    <row r="85" spans="1:10" ht="49.5" customHeight="1">
      <c r="A85" s="3603"/>
      <c r="B85" s="3633"/>
      <c r="C85" s="3633"/>
      <c r="D85" s="3607" t="s">
        <v>1536</v>
      </c>
      <c r="E85" s="2232" t="s">
        <v>1535</v>
      </c>
      <c r="F85" s="2240">
        <v>8000000</v>
      </c>
      <c r="G85" s="3609" t="s">
        <v>1594</v>
      </c>
      <c r="H85" s="3610"/>
      <c r="I85" s="3610"/>
      <c r="J85" s="3621" t="s">
        <v>1634</v>
      </c>
    </row>
    <row r="86" spans="1:10">
      <c r="A86" s="3603"/>
      <c r="B86" s="3633"/>
      <c r="C86" s="3633"/>
      <c r="D86" s="3608"/>
      <c r="E86" s="2239" t="s">
        <v>1628</v>
      </c>
      <c r="F86" s="2240">
        <v>9887291</v>
      </c>
      <c r="G86" s="3604"/>
      <c r="H86" s="3605"/>
      <c r="I86" s="3606"/>
      <c r="J86" s="3623"/>
    </row>
    <row r="87" spans="1:10" ht="39" customHeight="1">
      <c r="A87" s="3603"/>
      <c r="B87" s="3633"/>
      <c r="C87" s="3633"/>
      <c r="D87" s="3607" t="s">
        <v>1537</v>
      </c>
      <c r="E87" s="2234" t="s">
        <v>1535</v>
      </c>
      <c r="F87" s="2228">
        <v>6000000</v>
      </c>
      <c r="G87" s="3609" t="s">
        <v>1595</v>
      </c>
      <c r="H87" s="3610"/>
      <c r="I87" s="3610"/>
      <c r="J87" s="3621" t="s">
        <v>1634</v>
      </c>
    </row>
    <row r="88" spans="1:10">
      <c r="A88" s="3603"/>
      <c r="B88" s="3608"/>
      <c r="C88" s="3608"/>
      <c r="D88" s="3608"/>
      <c r="E88" s="2242" t="s">
        <v>1628</v>
      </c>
      <c r="F88" s="2228">
        <v>2262240</v>
      </c>
      <c r="G88" s="3604"/>
      <c r="H88" s="3605"/>
      <c r="I88" s="3606"/>
      <c r="J88" s="3623"/>
    </row>
    <row r="89" spans="1:10" ht="33" customHeight="1">
      <c r="A89" s="3603"/>
      <c r="B89" s="3611" t="s">
        <v>1538</v>
      </c>
      <c r="C89" s="3607" t="s">
        <v>1539</v>
      </c>
      <c r="D89" s="3607" t="s">
        <v>1539</v>
      </c>
      <c r="E89" s="2234" t="s">
        <v>1535</v>
      </c>
      <c r="F89" s="2228">
        <v>14000000</v>
      </c>
      <c r="G89" s="3609" t="s">
        <v>1596</v>
      </c>
      <c r="H89" s="3610"/>
      <c r="I89" s="3610"/>
      <c r="J89" s="3621" t="s">
        <v>1634</v>
      </c>
    </row>
    <row r="90" spans="1:10">
      <c r="A90" s="3603"/>
      <c r="B90" s="3611"/>
      <c r="C90" s="3608"/>
      <c r="D90" s="3608"/>
      <c r="E90" s="2242" t="s">
        <v>1628</v>
      </c>
      <c r="F90" s="2228">
        <v>32420967</v>
      </c>
      <c r="G90" s="3604"/>
      <c r="H90" s="3605"/>
      <c r="I90" s="3606"/>
      <c r="J90" s="3623"/>
    </row>
    <row r="91" spans="1:10" ht="33" customHeight="1">
      <c r="A91" s="3603"/>
      <c r="B91" s="3611"/>
      <c r="C91" s="3607" t="s">
        <v>1540</v>
      </c>
      <c r="D91" s="3607" t="s">
        <v>1540</v>
      </c>
      <c r="E91" s="2234" t="s">
        <v>1535</v>
      </c>
      <c r="F91" s="2240">
        <v>7000000</v>
      </c>
      <c r="G91" s="3609" t="s">
        <v>1597</v>
      </c>
      <c r="H91" s="3610"/>
      <c r="I91" s="3610"/>
      <c r="J91" s="3621" t="s">
        <v>1584</v>
      </c>
    </row>
    <row r="92" spans="1:10">
      <c r="A92" s="3603"/>
      <c r="B92" s="3611"/>
      <c r="C92" s="3608"/>
      <c r="D92" s="3608"/>
      <c r="E92" s="2242" t="s">
        <v>1628</v>
      </c>
      <c r="F92" s="2240">
        <v>260000</v>
      </c>
      <c r="G92" s="3604"/>
      <c r="H92" s="3605"/>
      <c r="I92" s="3606"/>
      <c r="J92" s="3623"/>
    </row>
    <row r="93" spans="1:10" ht="33">
      <c r="A93" s="3603"/>
      <c r="B93" s="3611"/>
      <c r="C93" s="2231" t="s">
        <v>1541</v>
      </c>
      <c r="D93" s="2231" t="s">
        <v>1542</v>
      </c>
      <c r="E93" s="2234" t="s">
        <v>1473</v>
      </c>
      <c r="F93" s="2243">
        <v>3582510599</v>
      </c>
      <c r="G93" s="3610" t="s">
        <v>1543</v>
      </c>
      <c r="H93" s="3610"/>
      <c r="I93" s="3610"/>
      <c r="J93" s="2232" t="s">
        <v>1581</v>
      </c>
    </row>
    <row r="94" spans="1:10" ht="16.5" customHeight="1">
      <c r="A94" s="3603"/>
      <c r="B94" s="3611"/>
      <c r="C94" s="3603" t="s">
        <v>1544</v>
      </c>
      <c r="D94" s="3611" t="s">
        <v>1545</v>
      </c>
      <c r="E94" s="2231" t="s">
        <v>1546</v>
      </c>
      <c r="F94" s="2220">
        <v>300000</v>
      </c>
      <c r="G94" s="3610" t="s">
        <v>1600</v>
      </c>
      <c r="H94" s="3610"/>
      <c r="I94" s="3610"/>
      <c r="J94" s="3611" t="s">
        <v>1580</v>
      </c>
    </row>
    <row r="95" spans="1:10">
      <c r="A95" s="3603"/>
      <c r="B95" s="3611"/>
      <c r="C95" s="3603"/>
      <c r="D95" s="3611"/>
      <c r="E95" s="2231" t="s">
        <v>1471</v>
      </c>
      <c r="F95" s="2220">
        <v>2000000</v>
      </c>
      <c r="G95" s="3610"/>
      <c r="H95" s="3610"/>
      <c r="I95" s="3610"/>
      <c r="J95" s="3611"/>
    </row>
    <row r="96" spans="1:10">
      <c r="A96" s="3603"/>
      <c r="B96" s="3611"/>
      <c r="C96" s="3603"/>
      <c r="D96" s="3611"/>
      <c r="E96" s="2231" t="s">
        <v>1547</v>
      </c>
      <c r="F96" s="2220">
        <v>14300000</v>
      </c>
      <c r="G96" s="3610"/>
      <c r="H96" s="3610"/>
      <c r="I96" s="3610"/>
      <c r="J96" s="3611"/>
    </row>
    <row r="97" spans="1:12">
      <c r="A97" s="3603"/>
      <c r="B97" s="3611"/>
      <c r="C97" s="3603"/>
      <c r="D97" s="3611"/>
      <c r="E97" s="2231" t="s">
        <v>1548</v>
      </c>
      <c r="F97" s="2220">
        <v>700000</v>
      </c>
      <c r="G97" s="3610"/>
      <c r="H97" s="3610"/>
      <c r="I97" s="3610"/>
      <c r="J97" s="3611"/>
    </row>
    <row r="98" spans="1:12">
      <c r="A98" s="3603"/>
      <c r="B98" s="3611"/>
      <c r="C98" s="3603"/>
      <c r="D98" s="3611"/>
      <c r="E98" s="2231" t="s">
        <v>1549</v>
      </c>
      <c r="F98" s="2220">
        <v>4668802</v>
      </c>
      <c r="G98" s="3610"/>
      <c r="H98" s="3610"/>
      <c r="I98" s="3610"/>
      <c r="J98" s="3611"/>
    </row>
    <row r="99" spans="1:12">
      <c r="A99" s="3603"/>
      <c r="B99" s="3611"/>
      <c r="C99" s="3603"/>
      <c r="D99" s="3611"/>
      <c r="E99" s="2231" t="s">
        <v>1472</v>
      </c>
      <c r="F99" s="2220">
        <v>7550000</v>
      </c>
      <c r="G99" s="3610"/>
      <c r="H99" s="3610"/>
      <c r="I99" s="3610"/>
      <c r="J99" s="3611"/>
    </row>
    <row r="100" spans="1:12">
      <c r="A100" s="3603"/>
      <c r="B100" s="3611"/>
      <c r="C100" s="3603"/>
      <c r="D100" s="3611"/>
      <c r="E100" s="2231" t="s">
        <v>1478</v>
      </c>
      <c r="F100" s="2220">
        <v>63559380</v>
      </c>
      <c r="G100" s="3610"/>
      <c r="H100" s="3610"/>
      <c r="I100" s="3610"/>
      <c r="J100" s="3611"/>
    </row>
    <row r="101" spans="1:12">
      <c r="A101" s="3603"/>
      <c r="B101" s="3611"/>
      <c r="C101" s="3603"/>
      <c r="D101" s="3611"/>
      <c r="E101" s="2231" t="s">
        <v>1550</v>
      </c>
      <c r="F101" s="2220">
        <v>1700000</v>
      </c>
      <c r="G101" s="3610"/>
      <c r="H101" s="3610"/>
      <c r="I101" s="3610"/>
      <c r="J101" s="3611"/>
    </row>
    <row r="102" spans="1:12">
      <c r="A102" s="3603"/>
      <c r="B102" s="3611"/>
      <c r="C102" s="3603"/>
      <c r="D102" s="3611"/>
      <c r="E102" s="2231" t="s">
        <v>1551</v>
      </c>
      <c r="F102" s="2220">
        <v>900000</v>
      </c>
      <c r="G102" s="3610"/>
      <c r="H102" s="3610"/>
      <c r="I102" s="3610"/>
      <c r="J102" s="3611"/>
    </row>
    <row r="103" spans="1:12">
      <c r="A103" s="3603"/>
      <c r="B103" s="3611"/>
      <c r="C103" s="3603"/>
      <c r="D103" s="3611"/>
      <c r="E103" s="2231" t="s">
        <v>1489</v>
      </c>
      <c r="F103" s="2220">
        <v>1500000</v>
      </c>
      <c r="G103" s="3610"/>
      <c r="H103" s="3610"/>
      <c r="I103" s="3610"/>
      <c r="J103" s="3611"/>
    </row>
    <row r="104" spans="1:12">
      <c r="A104" s="3603"/>
      <c r="B104" s="3603" t="s">
        <v>1552</v>
      </c>
      <c r="C104" s="3603" t="s">
        <v>1553</v>
      </c>
      <c r="D104" s="3603" t="s">
        <v>1554</v>
      </c>
      <c r="E104" s="2231" t="s">
        <v>1555</v>
      </c>
      <c r="F104" s="2220">
        <v>745835</v>
      </c>
      <c r="G104" s="3610" t="s">
        <v>1599</v>
      </c>
      <c r="H104" s="3610"/>
      <c r="I104" s="3610"/>
      <c r="J104" s="3611" t="s">
        <v>1641</v>
      </c>
      <c r="L104" s="2301"/>
    </row>
    <row r="105" spans="1:12" ht="16.5" customHeight="1">
      <c r="A105" s="3603"/>
      <c r="B105" s="3603"/>
      <c r="C105" s="3603"/>
      <c r="D105" s="3603"/>
      <c r="E105" s="2235" t="s">
        <v>1535</v>
      </c>
      <c r="F105" s="2221">
        <v>8328000</v>
      </c>
      <c r="G105" s="3610"/>
      <c r="H105" s="3610"/>
      <c r="I105" s="3610"/>
      <c r="J105" s="3611"/>
    </row>
    <row r="106" spans="1:12">
      <c r="A106" s="3603"/>
      <c r="B106" s="3603"/>
      <c r="C106" s="3603"/>
      <c r="D106" s="3603"/>
      <c r="E106" s="2235" t="s">
        <v>1471</v>
      </c>
      <c r="F106" s="2220">
        <v>3227278</v>
      </c>
      <c r="G106" s="3610"/>
      <c r="H106" s="3610"/>
      <c r="I106" s="3610"/>
      <c r="J106" s="3611"/>
    </row>
    <row r="107" spans="1:12">
      <c r="A107" s="3603"/>
      <c r="B107" s="3603"/>
      <c r="C107" s="3603"/>
      <c r="D107" s="3603"/>
      <c r="E107" s="2236" t="s">
        <v>1548</v>
      </c>
      <c r="F107" s="2222">
        <v>680000</v>
      </c>
      <c r="G107" s="3610"/>
      <c r="H107" s="3610"/>
      <c r="I107" s="3610"/>
      <c r="J107" s="3611"/>
    </row>
    <row r="108" spans="1:12" ht="16.5" customHeight="1">
      <c r="A108" s="3603"/>
      <c r="B108" s="3603"/>
      <c r="C108" s="3603"/>
      <c r="D108" s="3603"/>
      <c r="E108" s="2235" t="s">
        <v>1549</v>
      </c>
      <c r="F108" s="2220">
        <v>610000</v>
      </c>
      <c r="G108" s="3610"/>
      <c r="H108" s="3610"/>
      <c r="I108" s="3610"/>
      <c r="J108" s="3611"/>
    </row>
    <row r="109" spans="1:12">
      <c r="A109" s="3603"/>
      <c r="B109" s="3603"/>
      <c r="C109" s="3603"/>
      <c r="D109" s="3603"/>
      <c r="E109" s="2235" t="s">
        <v>1472</v>
      </c>
      <c r="F109" s="2220">
        <v>20200000</v>
      </c>
      <c r="G109" s="3610"/>
      <c r="H109" s="3610"/>
      <c r="I109" s="3610"/>
      <c r="J109" s="3611"/>
    </row>
    <row r="110" spans="1:12">
      <c r="A110" s="3603"/>
      <c r="B110" s="3603"/>
      <c r="C110" s="3603"/>
      <c r="D110" s="3603"/>
      <c r="E110" s="2235" t="s">
        <v>1478</v>
      </c>
      <c r="F110" s="2220">
        <v>25900000</v>
      </c>
      <c r="G110" s="3610"/>
      <c r="H110" s="3610"/>
      <c r="I110" s="3610"/>
      <c r="J110" s="3611"/>
    </row>
    <row r="111" spans="1:12">
      <c r="A111" s="3603"/>
      <c r="B111" s="3603"/>
      <c r="C111" s="3603"/>
      <c r="D111" s="3603"/>
      <c r="E111" s="2235" t="s">
        <v>1550</v>
      </c>
      <c r="F111" s="2222">
        <v>585500</v>
      </c>
      <c r="G111" s="3610"/>
      <c r="H111" s="3610"/>
      <c r="I111" s="3610"/>
      <c r="J111" s="3611"/>
    </row>
    <row r="112" spans="1:12" ht="16.5" customHeight="1">
      <c r="A112" s="3603"/>
      <c r="B112" s="3603"/>
      <c r="C112" s="3603"/>
      <c r="D112" s="3603"/>
      <c r="E112" s="2235" t="s">
        <v>1551</v>
      </c>
      <c r="F112" s="2223">
        <v>961280</v>
      </c>
      <c r="G112" s="3610"/>
      <c r="H112" s="3610"/>
      <c r="I112" s="3610"/>
      <c r="J112" s="3611"/>
    </row>
    <row r="113" spans="1:13">
      <c r="A113" s="3603"/>
      <c r="B113" s="3603"/>
      <c r="C113" s="3603"/>
      <c r="D113" s="3603"/>
      <c r="E113" s="2235" t="s">
        <v>1473</v>
      </c>
      <c r="F113" s="2223">
        <v>8017952</v>
      </c>
      <c r="G113" s="3610"/>
      <c r="H113" s="3610"/>
      <c r="I113" s="3610"/>
      <c r="J113" s="3611"/>
    </row>
    <row r="114" spans="1:13">
      <c r="A114" s="3603"/>
      <c r="B114" s="3603"/>
      <c r="C114" s="3603"/>
      <c r="D114" s="3603"/>
      <c r="E114" s="2235" t="s">
        <v>1489</v>
      </c>
      <c r="F114" s="2223">
        <v>889500</v>
      </c>
      <c r="G114" s="3610"/>
      <c r="H114" s="3610"/>
      <c r="I114" s="3610"/>
      <c r="J114" s="3611"/>
    </row>
    <row r="115" spans="1:13">
      <c r="A115" s="3601" t="s">
        <v>1561</v>
      </c>
      <c r="B115" s="3601"/>
      <c r="C115" s="3601"/>
      <c r="D115" s="3601"/>
      <c r="E115" s="3601"/>
      <c r="F115" s="2219">
        <f>SUM(F116:F119)</f>
        <v>411358</v>
      </c>
      <c r="G115" s="3602"/>
      <c r="H115" s="3602"/>
      <c r="I115" s="3602"/>
      <c r="J115" s="2238"/>
    </row>
    <row r="116" spans="1:13" ht="25.5" customHeight="1">
      <c r="A116" s="3603" t="s">
        <v>1643</v>
      </c>
      <c r="B116" s="3603" t="s">
        <v>1643</v>
      </c>
      <c r="C116" s="3603" t="s">
        <v>1635</v>
      </c>
      <c r="D116" s="3603" t="s">
        <v>1637</v>
      </c>
      <c r="E116" s="2239" t="s">
        <v>606</v>
      </c>
      <c r="F116" s="2240">
        <v>33650</v>
      </c>
      <c r="G116" s="3612" t="s">
        <v>1640</v>
      </c>
      <c r="H116" s="3613"/>
      <c r="I116" s="3614"/>
      <c r="J116" s="3621" t="s">
        <v>1641</v>
      </c>
    </row>
    <row r="117" spans="1:13" ht="25.5" customHeight="1">
      <c r="A117" s="3603"/>
      <c r="B117" s="3603"/>
      <c r="C117" s="3603"/>
      <c r="D117" s="3603"/>
      <c r="E117" s="2239" t="s">
        <v>1639</v>
      </c>
      <c r="F117" s="2240">
        <v>118068</v>
      </c>
      <c r="G117" s="3615"/>
      <c r="H117" s="3616"/>
      <c r="I117" s="3617"/>
      <c r="J117" s="3622"/>
    </row>
    <row r="118" spans="1:13" ht="38.25" customHeight="1">
      <c r="A118" s="3603" t="s">
        <v>1643</v>
      </c>
      <c r="B118" s="3603" t="s">
        <v>1643</v>
      </c>
      <c r="C118" s="3603" t="s">
        <v>1636</v>
      </c>
      <c r="D118" s="3603" t="s">
        <v>1638</v>
      </c>
      <c r="E118" s="2239" t="s">
        <v>606</v>
      </c>
      <c r="F118" s="2240">
        <v>224000</v>
      </c>
      <c r="G118" s="3615"/>
      <c r="H118" s="3616"/>
      <c r="I118" s="3617"/>
      <c r="J118" s="3622"/>
    </row>
    <row r="119" spans="1:13" ht="38.25" customHeight="1">
      <c r="A119" s="3603"/>
      <c r="B119" s="3603"/>
      <c r="C119" s="3603"/>
      <c r="D119" s="3603"/>
      <c r="E119" s="2239" t="s">
        <v>610</v>
      </c>
      <c r="F119" s="2240">
        <v>35640</v>
      </c>
      <c r="G119" s="3618"/>
      <c r="H119" s="3619"/>
      <c r="I119" s="3620"/>
      <c r="J119" s="3623"/>
    </row>
    <row r="120" spans="1:13">
      <c r="A120" s="3601" t="s">
        <v>1564</v>
      </c>
      <c r="B120" s="3601"/>
      <c r="C120" s="3601"/>
      <c r="D120" s="3601"/>
      <c r="E120" s="3601"/>
      <c r="F120" s="2219">
        <f>SUM(F121:F123)</f>
        <v>2790468</v>
      </c>
      <c r="G120" s="3602"/>
      <c r="H120" s="3602"/>
      <c r="I120" s="3602"/>
      <c r="J120" s="2238"/>
    </row>
    <row r="121" spans="1:13" ht="16.5" customHeight="1">
      <c r="A121" s="3603" t="s">
        <v>1642</v>
      </c>
      <c r="B121" s="3603" t="s">
        <v>1642</v>
      </c>
      <c r="C121" s="3603" t="s">
        <v>1569</v>
      </c>
      <c r="D121" s="3603" t="s">
        <v>1570</v>
      </c>
      <c r="E121" s="2242" t="s">
        <v>609</v>
      </c>
      <c r="F121" s="2228">
        <v>2185750</v>
      </c>
      <c r="G121" s="3609" t="s">
        <v>1571</v>
      </c>
      <c r="H121" s="3610"/>
      <c r="I121" s="3610"/>
      <c r="J121" s="3611" t="s">
        <v>1584</v>
      </c>
    </row>
    <row r="122" spans="1:13">
      <c r="A122" s="3603"/>
      <c r="B122" s="3603"/>
      <c r="C122" s="3603"/>
      <c r="D122" s="3603"/>
      <c r="E122" s="2242" t="s">
        <v>606</v>
      </c>
      <c r="F122" s="2228">
        <v>603793</v>
      </c>
      <c r="G122" s="3610"/>
      <c r="H122" s="3610"/>
      <c r="I122" s="3610"/>
      <c r="J122" s="3611"/>
    </row>
    <row r="123" spans="1:13">
      <c r="A123" s="3603"/>
      <c r="B123" s="3603"/>
      <c r="C123" s="3603"/>
      <c r="D123" s="3603"/>
      <c r="E123" s="2242" t="s">
        <v>564</v>
      </c>
      <c r="F123" s="2240">
        <v>925</v>
      </c>
      <c r="G123" s="3610"/>
      <c r="H123" s="3610"/>
      <c r="I123" s="3610"/>
      <c r="J123" s="3611"/>
    </row>
    <row r="125" spans="1:13" ht="24">
      <c r="A125" s="2218" t="s">
        <v>4789</v>
      </c>
      <c r="G125" s="3167"/>
      <c r="H125" s="3167"/>
      <c r="I125" s="3167"/>
      <c r="J125" s="3167"/>
      <c r="K125" s="3167"/>
      <c r="L125" s="3167"/>
      <c r="M125" s="3167"/>
    </row>
    <row r="126" spans="1:13" ht="16.5" customHeight="1">
      <c r="A126" s="3601" t="s">
        <v>4790</v>
      </c>
      <c r="B126" s="3601"/>
      <c r="C126" s="3601" t="s">
        <v>4791</v>
      </c>
      <c r="D126" s="3601"/>
      <c r="E126" s="3601"/>
      <c r="F126" s="3641" t="s">
        <v>6116</v>
      </c>
      <c r="G126" s="3601" t="s">
        <v>4792</v>
      </c>
      <c r="H126" s="3167"/>
      <c r="I126" s="3167"/>
      <c r="J126" s="3167"/>
      <c r="K126" s="3167"/>
      <c r="L126" s="3167"/>
      <c r="M126" s="3167"/>
    </row>
    <row r="127" spans="1:13" ht="16.5" customHeight="1">
      <c r="A127" s="3601"/>
      <c r="B127" s="3601"/>
      <c r="C127" s="3601"/>
      <c r="D127" s="3601"/>
      <c r="E127" s="3601"/>
      <c r="F127" s="3642"/>
      <c r="G127" s="3601"/>
      <c r="H127" s="3167"/>
      <c r="I127" s="3167"/>
      <c r="J127" s="3167"/>
      <c r="K127" s="3167"/>
      <c r="L127" s="3167"/>
      <c r="M127" s="3167"/>
    </row>
    <row r="128" spans="1:13" ht="16.5" customHeight="1">
      <c r="A128" s="3601" t="s">
        <v>4793</v>
      </c>
      <c r="B128" s="3601"/>
      <c r="C128" s="3601"/>
      <c r="D128" s="3601"/>
      <c r="E128" s="3601"/>
      <c r="F128" s="2299">
        <f>F129+F131+F133</f>
        <v>1967408704</v>
      </c>
      <c r="G128" s="2750"/>
      <c r="H128" s="3167"/>
      <c r="I128" s="3167"/>
      <c r="J128" s="3167"/>
      <c r="K128" s="3167"/>
      <c r="L128" s="3167"/>
      <c r="M128" s="3167"/>
    </row>
    <row r="129" spans="1:13" ht="16.5" customHeight="1">
      <c r="A129" s="3601" t="s">
        <v>1480</v>
      </c>
      <c r="B129" s="3601"/>
      <c r="C129" s="3601"/>
      <c r="D129" s="3601"/>
      <c r="E129" s="3601"/>
      <c r="F129" s="2219">
        <f>SUM(F130:F130)</f>
        <v>28049152</v>
      </c>
      <c r="G129" s="2750"/>
      <c r="H129" s="3167"/>
      <c r="I129" s="3167"/>
      <c r="J129" s="3167"/>
      <c r="K129" s="3167"/>
      <c r="L129" s="3167"/>
      <c r="M129" s="3167"/>
    </row>
    <row r="130" spans="1:13" ht="16.5" customHeight="1">
      <c r="A130" s="3603" t="s">
        <v>1481</v>
      </c>
      <c r="B130" s="3603"/>
      <c r="C130" s="3603" t="s">
        <v>4794</v>
      </c>
      <c r="D130" s="3603"/>
      <c r="E130" s="3603"/>
      <c r="F130" s="2297">
        <v>28049152</v>
      </c>
      <c r="G130" s="3148" t="s">
        <v>4795</v>
      </c>
      <c r="H130" s="3167"/>
      <c r="I130" s="3167"/>
      <c r="J130" s="3167"/>
      <c r="K130" s="3167"/>
      <c r="L130" s="3167"/>
      <c r="M130" s="3167"/>
    </row>
    <row r="131" spans="1:13" ht="16.5" customHeight="1">
      <c r="A131" s="3601" t="s">
        <v>1499</v>
      </c>
      <c r="B131" s="3601"/>
      <c r="C131" s="3601"/>
      <c r="D131" s="3601"/>
      <c r="E131" s="3601"/>
      <c r="F131" s="2219">
        <f>F132</f>
        <v>4531742</v>
      </c>
      <c r="G131" s="2750"/>
      <c r="H131" s="3167"/>
      <c r="I131" s="3167"/>
      <c r="J131" s="3167"/>
      <c r="K131" s="3167"/>
      <c r="L131" s="3167"/>
      <c r="M131" s="3167"/>
    </row>
    <row r="132" spans="1:13" ht="16.5" customHeight="1">
      <c r="A132" s="3603" t="s">
        <v>373</v>
      </c>
      <c r="B132" s="3603"/>
      <c r="C132" s="3603" t="s">
        <v>4796</v>
      </c>
      <c r="D132" s="3603"/>
      <c r="E132" s="3603"/>
      <c r="F132" s="2228">
        <v>4531742</v>
      </c>
      <c r="G132" s="3148" t="s">
        <v>4795</v>
      </c>
      <c r="H132" s="3167"/>
      <c r="I132" s="3167"/>
      <c r="J132" s="3167"/>
      <c r="K132" s="3167"/>
      <c r="L132" s="3167"/>
      <c r="M132" s="3167"/>
    </row>
    <row r="133" spans="1:13" ht="16.5" customHeight="1">
      <c r="A133" s="3601" t="s">
        <v>4802</v>
      </c>
      <c r="B133" s="3601"/>
      <c r="C133" s="3601"/>
      <c r="D133" s="3601"/>
      <c r="E133" s="3601"/>
      <c r="F133" s="2219">
        <f>SUM(F134:F137)</f>
        <v>1934827810</v>
      </c>
      <c r="G133" s="2750"/>
      <c r="H133" s="3167"/>
      <c r="I133" s="3167"/>
      <c r="J133" s="3167"/>
      <c r="K133" s="3167"/>
      <c r="L133" s="3167"/>
      <c r="M133" s="3167"/>
    </row>
    <row r="134" spans="1:13" ht="16.5" customHeight="1">
      <c r="A134" s="3603" t="s">
        <v>373</v>
      </c>
      <c r="B134" s="3603"/>
      <c r="C134" s="3603" t="s">
        <v>4797</v>
      </c>
      <c r="D134" s="3603"/>
      <c r="E134" s="3603"/>
      <c r="F134" s="2751">
        <v>230040032</v>
      </c>
      <c r="G134" s="3148" t="s">
        <v>4795</v>
      </c>
      <c r="H134" s="3167"/>
      <c r="I134" s="3167"/>
      <c r="J134" s="3167"/>
      <c r="K134" s="3167"/>
      <c r="L134" s="3167"/>
      <c r="M134" s="3167"/>
    </row>
    <row r="135" spans="1:13" ht="16.5" customHeight="1">
      <c r="A135" s="3603"/>
      <c r="B135" s="3603"/>
      <c r="C135" s="3603" t="s">
        <v>4798</v>
      </c>
      <c r="D135" s="3603"/>
      <c r="E135" s="3603"/>
      <c r="F135" s="2752">
        <v>88201984</v>
      </c>
      <c r="G135" s="3148" t="s">
        <v>4795</v>
      </c>
      <c r="H135" s="3167"/>
      <c r="I135" s="3167"/>
      <c r="J135" s="3167"/>
      <c r="K135" s="3167"/>
      <c r="L135" s="3167"/>
      <c r="M135" s="3167"/>
    </row>
    <row r="136" spans="1:13" ht="16.5" customHeight="1">
      <c r="A136" s="3603"/>
      <c r="B136" s="3603"/>
      <c r="C136" s="3603" t="s">
        <v>4799</v>
      </c>
      <c r="D136" s="3603"/>
      <c r="E136" s="3603"/>
      <c r="F136" s="2752">
        <v>127408674</v>
      </c>
      <c r="G136" s="3148" t="s">
        <v>4795</v>
      </c>
      <c r="H136" s="3167"/>
      <c r="I136" s="3167"/>
      <c r="J136" s="3167"/>
      <c r="K136" s="3167"/>
      <c r="L136" s="3167"/>
      <c r="M136" s="3167"/>
    </row>
    <row r="137" spans="1:13" ht="16.5" customHeight="1">
      <c r="A137" s="3603"/>
      <c r="B137" s="3603"/>
      <c r="C137" s="3603" t="s">
        <v>4800</v>
      </c>
      <c r="D137" s="3603"/>
      <c r="E137" s="3603"/>
      <c r="F137" s="2752">
        <v>1489177120</v>
      </c>
      <c r="G137" s="3148" t="s">
        <v>4801</v>
      </c>
      <c r="H137" s="3167"/>
      <c r="I137" s="3167"/>
      <c r="J137" s="3167"/>
      <c r="K137" s="3167"/>
      <c r="L137" s="3167"/>
      <c r="M137" s="3167"/>
    </row>
    <row r="138" spans="1:13" ht="24">
      <c r="G138" s="3167"/>
      <c r="H138" s="3167"/>
      <c r="I138" s="3167"/>
      <c r="J138" s="3167"/>
      <c r="K138" s="3167"/>
      <c r="L138" s="3167"/>
      <c r="M138" s="3167"/>
    </row>
    <row r="139" spans="1:13" ht="24">
      <c r="G139" s="3167"/>
      <c r="H139" s="3167"/>
      <c r="I139" s="3167"/>
      <c r="J139" s="3167"/>
      <c r="K139" s="3167"/>
      <c r="L139" s="3167"/>
      <c r="M139" s="3167"/>
    </row>
  </sheetData>
  <mergeCells count="205">
    <mergeCell ref="F4:F5"/>
    <mergeCell ref="G126:G127"/>
    <mergeCell ref="G79:I80"/>
    <mergeCell ref="F75:F76"/>
    <mergeCell ref="A132:B132"/>
    <mergeCell ref="C132:E132"/>
    <mergeCell ref="A133:E133"/>
    <mergeCell ref="A134:B137"/>
    <mergeCell ref="C134:E134"/>
    <mergeCell ref="C135:E135"/>
    <mergeCell ref="C136:E136"/>
    <mergeCell ref="C137:E137"/>
    <mergeCell ref="A126:B127"/>
    <mergeCell ref="C126:E127"/>
    <mergeCell ref="F126:F127"/>
    <mergeCell ref="A128:E128"/>
    <mergeCell ref="A129:E129"/>
    <mergeCell ref="A130:B130"/>
    <mergeCell ref="C130:E130"/>
    <mergeCell ref="A131:E131"/>
    <mergeCell ref="G21:I22"/>
    <mergeCell ref="F16:F17"/>
    <mergeCell ref="F21:F22"/>
    <mergeCell ref="F23:F24"/>
    <mergeCell ref="A1:J2"/>
    <mergeCell ref="J75:J76"/>
    <mergeCell ref="J27:J34"/>
    <mergeCell ref="D49:D51"/>
    <mergeCell ref="E49:E51"/>
    <mergeCell ref="G49:I49"/>
    <mergeCell ref="G50:I50"/>
    <mergeCell ref="G51:I51"/>
    <mergeCell ref="J52:J53"/>
    <mergeCell ref="J62:J64"/>
    <mergeCell ref="J4:J5"/>
    <mergeCell ref="J8:J10"/>
    <mergeCell ref="J12:J13"/>
    <mergeCell ref="J18:J20"/>
    <mergeCell ref="J16:J17"/>
    <mergeCell ref="J23:J24"/>
    <mergeCell ref="J21:J22"/>
    <mergeCell ref="J68:J72"/>
    <mergeCell ref="G16:I17"/>
    <mergeCell ref="C18:C20"/>
    <mergeCell ref="G23:I24"/>
    <mergeCell ref="C21:C25"/>
    <mergeCell ref="D21:D22"/>
    <mergeCell ref="E21:E22"/>
    <mergeCell ref="J79:J80"/>
    <mergeCell ref="A4:E4"/>
    <mergeCell ref="G4:I5"/>
    <mergeCell ref="A7:E7"/>
    <mergeCell ref="G7:I7"/>
    <mergeCell ref="D12:D13"/>
    <mergeCell ref="E12:E13"/>
    <mergeCell ref="G12:I13"/>
    <mergeCell ref="G14:I14"/>
    <mergeCell ref="A8:A14"/>
    <mergeCell ref="B8:B14"/>
    <mergeCell ref="C8:C11"/>
    <mergeCell ref="D8:D10"/>
    <mergeCell ref="G8:I10"/>
    <mergeCell ref="G11:I11"/>
    <mergeCell ref="A16:A25"/>
    <mergeCell ref="B16:B20"/>
    <mergeCell ref="C16:C17"/>
    <mergeCell ref="D16:D17"/>
    <mergeCell ref="E16:E17"/>
    <mergeCell ref="G25:I25"/>
    <mergeCell ref="D18:D20"/>
    <mergeCell ref="G18:I20"/>
    <mergeCell ref="B21:B25"/>
    <mergeCell ref="A81:E81"/>
    <mergeCell ref="G81:I81"/>
    <mergeCell ref="G56:I56"/>
    <mergeCell ref="G57:I57"/>
    <mergeCell ref="G58:I58"/>
    <mergeCell ref="C49:C59"/>
    <mergeCell ref="D52:D54"/>
    <mergeCell ref="G52:I53"/>
    <mergeCell ref="G54:I54"/>
    <mergeCell ref="D55:D56"/>
    <mergeCell ref="G55:I55"/>
    <mergeCell ref="B40:B59"/>
    <mergeCell ref="A27:A59"/>
    <mergeCell ref="B27:B34"/>
    <mergeCell ref="C27:C34"/>
    <mergeCell ref="D27:D34"/>
    <mergeCell ref="G27:I34"/>
    <mergeCell ref="G35:I35"/>
    <mergeCell ref="F49:F51"/>
    <mergeCell ref="G48:I48"/>
    <mergeCell ref="G36:I38"/>
    <mergeCell ref="G59:I59"/>
    <mergeCell ref="C40:C48"/>
    <mergeCell ref="D40:D41"/>
    <mergeCell ref="A65:E65"/>
    <mergeCell ref="G65:I65"/>
    <mergeCell ref="C94:C103"/>
    <mergeCell ref="D94:D103"/>
    <mergeCell ref="G94:I103"/>
    <mergeCell ref="B104:B114"/>
    <mergeCell ref="C104:C114"/>
    <mergeCell ref="D104:D114"/>
    <mergeCell ref="G104:I114"/>
    <mergeCell ref="A82:A114"/>
    <mergeCell ref="G82:I82"/>
    <mergeCell ref="G85:I85"/>
    <mergeCell ref="G87:I87"/>
    <mergeCell ref="B89:B103"/>
    <mergeCell ref="G89:I89"/>
    <mergeCell ref="G91:I91"/>
    <mergeCell ref="G93:I93"/>
    <mergeCell ref="D83:D84"/>
    <mergeCell ref="G83:I84"/>
    <mergeCell ref="D85:D86"/>
    <mergeCell ref="C82:C88"/>
    <mergeCell ref="B82:B88"/>
    <mergeCell ref="D87:D88"/>
    <mergeCell ref="A75:E75"/>
    <mergeCell ref="G62:I62"/>
    <mergeCell ref="G63:I63"/>
    <mergeCell ref="G64:I64"/>
    <mergeCell ref="A60:E60"/>
    <mergeCell ref="G60:I60"/>
    <mergeCell ref="A61:A64"/>
    <mergeCell ref="B61:B64"/>
    <mergeCell ref="G61:I61"/>
    <mergeCell ref="C62:C64"/>
    <mergeCell ref="D62:D64"/>
    <mergeCell ref="A6:E6"/>
    <mergeCell ref="J36:J38"/>
    <mergeCell ref="G42:I42"/>
    <mergeCell ref="G43:I43"/>
    <mergeCell ref="G44:I47"/>
    <mergeCell ref="E44:E47"/>
    <mergeCell ref="F44:F47"/>
    <mergeCell ref="D36:D39"/>
    <mergeCell ref="C36:C39"/>
    <mergeCell ref="B35:B39"/>
    <mergeCell ref="G39:I39"/>
    <mergeCell ref="G40:I40"/>
    <mergeCell ref="G41:I41"/>
    <mergeCell ref="D23:D24"/>
    <mergeCell ref="E23:E24"/>
    <mergeCell ref="A26:E26"/>
    <mergeCell ref="G26:I26"/>
    <mergeCell ref="D42:D48"/>
    <mergeCell ref="A15:E15"/>
    <mergeCell ref="G15:I15"/>
    <mergeCell ref="G6:I6"/>
    <mergeCell ref="C12:C14"/>
    <mergeCell ref="F12:F13"/>
    <mergeCell ref="A78:E78"/>
    <mergeCell ref="G78:I78"/>
    <mergeCell ref="A79:A80"/>
    <mergeCell ref="B79:B80"/>
    <mergeCell ref="C79:C80"/>
    <mergeCell ref="D79:D80"/>
    <mergeCell ref="A77:E77"/>
    <mergeCell ref="G66:I66"/>
    <mergeCell ref="A67:E67"/>
    <mergeCell ref="G67:I67"/>
    <mergeCell ref="A68:A72"/>
    <mergeCell ref="B68:B72"/>
    <mergeCell ref="C68:C72"/>
    <mergeCell ref="D68:D72"/>
    <mergeCell ref="G68:I72"/>
    <mergeCell ref="G75:I76"/>
    <mergeCell ref="G77:I77"/>
    <mergeCell ref="J83:J84"/>
    <mergeCell ref="G90:I90"/>
    <mergeCell ref="J89:J90"/>
    <mergeCell ref="J87:J88"/>
    <mergeCell ref="J85:J86"/>
    <mergeCell ref="J94:J103"/>
    <mergeCell ref="J104:J114"/>
    <mergeCell ref="C91:C92"/>
    <mergeCell ref="D91:D92"/>
    <mergeCell ref="G92:I92"/>
    <mergeCell ref="J91:J92"/>
    <mergeCell ref="A120:E120"/>
    <mergeCell ref="G120:I120"/>
    <mergeCell ref="A121:A123"/>
    <mergeCell ref="B121:B123"/>
    <mergeCell ref="C121:C123"/>
    <mergeCell ref="D121:D123"/>
    <mergeCell ref="G121:I123"/>
    <mergeCell ref="J121:J123"/>
    <mergeCell ref="A118:A119"/>
    <mergeCell ref="B118:B119"/>
    <mergeCell ref="C118:C119"/>
    <mergeCell ref="D118:D119"/>
    <mergeCell ref="G116:I119"/>
    <mergeCell ref="J116:J119"/>
    <mergeCell ref="A115:E115"/>
    <mergeCell ref="G115:I115"/>
    <mergeCell ref="A116:A117"/>
    <mergeCell ref="B116:B117"/>
    <mergeCell ref="C116:C117"/>
    <mergeCell ref="D116:D117"/>
    <mergeCell ref="G86:I86"/>
    <mergeCell ref="G88:I88"/>
    <mergeCell ref="D89:D90"/>
    <mergeCell ref="C89:C90"/>
  </mergeCells>
  <phoneticPr fontId="19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17" fitToHeight="2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453"/>
  <sheetViews>
    <sheetView tabSelected="1" view="pageBreakPreview" zoomScale="80" zoomScaleNormal="80" zoomScaleSheetLayoutView="80" workbookViewId="0">
      <selection activeCell="N22" sqref="N22"/>
    </sheetView>
  </sheetViews>
  <sheetFormatPr defaultRowHeight="13.5"/>
  <cols>
    <col min="1" max="1" width="23.109375" style="33" customWidth="1"/>
    <col min="2" max="2" width="26.33203125" style="33" customWidth="1"/>
    <col min="3" max="4" width="22.33203125" style="75" customWidth="1"/>
    <col min="5" max="5" width="19.21875" style="75" bestFit="1" customWidth="1"/>
    <col min="6" max="6" width="12.33203125" style="76" bestFit="1" customWidth="1"/>
    <col min="7" max="7" width="16.44140625" style="1655" bestFit="1" customWidth="1"/>
    <col min="8" max="8" width="16.44140625" style="1656" bestFit="1" customWidth="1"/>
    <col min="9" max="9" width="16.6640625" style="1655" bestFit="1" customWidth="1"/>
    <col min="10" max="16384" width="8.88671875" style="33"/>
  </cols>
  <sheetData>
    <row r="1" spans="1:16" s="303" customFormat="1" ht="55.5" customHeight="1">
      <c r="A1" s="3174" t="s">
        <v>5049</v>
      </c>
      <c r="B1" s="3174"/>
      <c r="C1" s="3174"/>
      <c r="D1" s="3174"/>
      <c r="E1" s="3174"/>
      <c r="F1" s="3174"/>
      <c r="G1" s="1651"/>
      <c r="H1" s="1652"/>
      <c r="I1" s="1651"/>
      <c r="J1" s="56"/>
      <c r="K1" s="56"/>
      <c r="L1" s="56"/>
      <c r="M1" s="56"/>
      <c r="N1" s="56"/>
      <c r="O1" s="57"/>
      <c r="P1" s="304"/>
    </row>
    <row r="2" spans="1:16" s="17" customFormat="1" ht="24.75" customHeight="1">
      <c r="C2" s="310" t="s" ph="1">
        <v>44</v>
      </c>
      <c r="D2" s="310" ph="1"/>
      <c r="E2" s="310" ph="1"/>
      <c r="F2" s="277" t="s" ph="1">
        <v>171</v>
      </c>
      <c r="G2" s="1653" ph="1"/>
      <c r="H2" s="1654"/>
      <c r="I2" s="1653"/>
    </row>
    <row r="3" spans="1:16" s="59" customFormat="1" ht="18.75" customHeight="1">
      <c r="A3" s="1058" t="s">
        <v>541</v>
      </c>
      <c r="B3" s="1058" t="s">
        <v>401</v>
      </c>
      <c r="C3" s="1059" t="s">
        <v>317</v>
      </c>
      <c r="D3" s="1060" t="s">
        <v>5907</v>
      </c>
      <c r="E3" s="1059" t="s">
        <v>546</v>
      </c>
      <c r="F3" s="1061" t="s">
        <v>547</v>
      </c>
      <c r="G3" s="1653"/>
      <c r="H3" s="1653"/>
      <c r="I3" s="1653"/>
    </row>
    <row r="4" spans="1:16" s="59" customFormat="1" ht="18.75" customHeight="1">
      <c r="A4" s="3183" t="s">
        <v>544</v>
      </c>
      <c r="B4" s="3183"/>
      <c r="C4" s="1062">
        <f>C5+C17+C28+C32</f>
        <v>97087246.137000009</v>
      </c>
      <c r="D4" s="1062">
        <f>+D5+D17+D28+D32</f>
        <v>94338195.701999992</v>
      </c>
      <c r="E4" s="1062">
        <f t="shared" ref="E4" si="0">C4-D4</f>
        <v>2749050.4350000173</v>
      </c>
      <c r="F4" s="1034">
        <f t="shared" ref="F4:F31" si="1">(C4-D4)/D4</f>
        <v>2.914037537546138E-2</v>
      </c>
      <c r="G4" s="1653">
        <f t="shared" ref="G4:H19" si="2">C4*1000000</f>
        <v>97087246137000.016</v>
      </c>
      <c r="H4" s="1653">
        <f t="shared" si="2"/>
        <v>94338195701999.984</v>
      </c>
      <c r="I4" s="1653">
        <f>G4-H4</f>
        <v>2749050435000.0312</v>
      </c>
    </row>
    <row r="5" spans="1:16" s="59" customFormat="1" ht="18" customHeight="1">
      <c r="A5" s="3184" t="s">
        <v>536</v>
      </c>
      <c r="B5" s="1039" t="s">
        <v>545</v>
      </c>
      <c r="C5" s="1032">
        <f>SUM(C6:C16)</f>
        <v>53953290.969000004</v>
      </c>
      <c r="D5" s="1032">
        <f>SUM(D6:D16)</f>
        <v>53883091</v>
      </c>
      <c r="E5" s="1032">
        <f t="shared" ref="E5:E32" si="3">C5-D5</f>
        <v>70199.969000004232</v>
      </c>
      <c r="F5" s="1033">
        <f t="shared" si="1"/>
        <v>1.302820007115112E-3</v>
      </c>
      <c r="G5" s="1653">
        <f t="shared" si="2"/>
        <v>53953290969000.008</v>
      </c>
      <c r="H5" s="1653">
        <f t="shared" si="2"/>
        <v>53883091000000</v>
      </c>
      <c r="I5" s="1653">
        <f t="shared" ref="I5:I33" si="4">G5-H5</f>
        <v>70199969000.007812</v>
      </c>
    </row>
    <row r="6" spans="1:16" s="62" customFormat="1" ht="18" customHeight="1">
      <c r="A6" s="3184"/>
      <c r="B6" s="1041" t="s">
        <v>394</v>
      </c>
      <c r="C6" s="1042">
        <f>+'1.목적(지출총괄)'!D5</f>
        <v>7121000</v>
      </c>
      <c r="D6" s="1042">
        <f>+'1.목적(지출총괄)'!E5</f>
        <v>7121000</v>
      </c>
      <c r="E6" s="1043">
        <f t="shared" si="3"/>
        <v>0</v>
      </c>
      <c r="F6" s="1047">
        <f t="shared" si="1"/>
        <v>0</v>
      </c>
      <c r="G6" s="1653">
        <f t="shared" si="2"/>
        <v>7121000000000</v>
      </c>
      <c r="H6" s="1653">
        <f>D6*1000000</f>
        <v>7121000000000</v>
      </c>
      <c r="I6" s="1653">
        <f t="shared" si="4"/>
        <v>0</v>
      </c>
    </row>
    <row r="7" spans="1:16" s="62" customFormat="1" ht="18" customHeight="1">
      <c r="A7" s="3184"/>
      <c r="B7" s="1044" t="s">
        <v>349</v>
      </c>
      <c r="C7" s="1045">
        <f>+'1.목적(지출총괄)'!D7</f>
        <v>10542000</v>
      </c>
      <c r="D7" s="1045">
        <f>+'1.목적(지출총괄)'!E7</f>
        <v>10542000</v>
      </c>
      <c r="E7" s="1046">
        <f t="shared" si="3"/>
        <v>0</v>
      </c>
      <c r="F7" s="1047">
        <f t="shared" si="1"/>
        <v>0</v>
      </c>
      <c r="G7" s="1653">
        <f t="shared" si="2"/>
        <v>10542000000000</v>
      </c>
      <c r="H7" s="1653">
        <f t="shared" ref="H7:H32" si="5">D7*1000000</f>
        <v>10542000000000</v>
      </c>
      <c r="I7" s="1653">
        <f t="shared" si="4"/>
        <v>0</v>
      </c>
    </row>
    <row r="8" spans="1:16" s="14" customFormat="1" ht="18" customHeight="1">
      <c r="A8" s="3184"/>
      <c r="B8" s="1048" t="s">
        <v>373</v>
      </c>
      <c r="C8" s="1045">
        <f>+'1.목적(지출총괄)'!D13</f>
        <v>9658000</v>
      </c>
      <c r="D8" s="1045">
        <f>+'1.목적(지출총괄)'!E13</f>
        <v>10518000</v>
      </c>
      <c r="E8" s="1046">
        <f t="shared" si="3"/>
        <v>-860000</v>
      </c>
      <c r="F8" s="1047">
        <f t="shared" si="1"/>
        <v>-8.1764594029283127E-2</v>
      </c>
      <c r="G8" s="1653">
        <f t="shared" si="2"/>
        <v>9658000000000</v>
      </c>
      <c r="H8" s="1653">
        <f t="shared" si="5"/>
        <v>10518000000000</v>
      </c>
      <c r="I8" s="1653">
        <f t="shared" si="4"/>
        <v>-860000000000</v>
      </c>
    </row>
    <row r="9" spans="1:16" s="66" customFormat="1" ht="18" customHeight="1">
      <c r="A9" s="3184"/>
      <c r="B9" s="1048" t="s">
        <v>411</v>
      </c>
      <c r="C9" s="1045">
        <f>+'1.목적(지출총괄)'!D23</f>
        <v>5260000</v>
      </c>
      <c r="D9" s="1045">
        <f>+'1.목적(지출총괄)'!E23</f>
        <v>5260000</v>
      </c>
      <c r="E9" s="1046">
        <f t="shared" si="3"/>
        <v>0</v>
      </c>
      <c r="F9" s="1047">
        <f t="shared" si="1"/>
        <v>0</v>
      </c>
      <c r="G9" s="1653">
        <f t="shared" si="2"/>
        <v>5260000000000</v>
      </c>
      <c r="H9" s="1653">
        <f t="shared" si="5"/>
        <v>5260000000000</v>
      </c>
      <c r="I9" s="1653">
        <f>G9-H9</f>
        <v>0</v>
      </c>
    </row>
    <row r="10" spans="1:16" s="62" customFormat="1" ht="18" customHeight="1">
      <c r="A10" s="3184"/>
      <c r="B10" s="1048" t="s">
        <v>47</v>
      </c>
      <c r="C10" s="1045">
        <f>+'1.목적(지출총괄)'!D30</f>
        <v>4153000</v>
      </c>
      <c r="D10" s="1045">
        <f>+'1.목적(지출총괄)'!E30</f>
        <v>4153000</v>
      </c>
      <c r="E10" s="1046">
        <f t="shared" si="3"/>
        <v>0</v>
      </c>
      <c r="F10" s="1047">
        <f t="shared" si="1"/>
        <v>0</v>
      </c>
      <c r="G10" s="1653">
        <f t="shared" si="2"/>
        <v>4153000000000</v>
      </c>
      <c r="H10" s="1653">
        <f t="shared" si="5"/>
        <v>4153000000000</v>
      </c>
      <c r="I10" s="1653">
        <f t="shared" si="4"/>
        <v>0</v>
      </c>
    </row>
    <row r="11" spans="1:16" s="63" customFormat="1" ht="18" customHeight="1">
      <c r="A11" s="3184"/>
      <c r="B11" s="1048" t="s">
        <v>371</v>
      </c>
      <c r="C11" s="1045">
        <f>+'1.목적(지출총괄)'!D33</f>
        <v>4267200</v>
      </c>
      <c r="D11" s="1045">
        <f>+'1.목적(지출총괄)'!E33</f>
        <v>3402000</v>
      </c>
      <c r="E11" s="1046">
        <f t="shared" si="3"/>
        <v>865200</v>
      </c>
      <c r="F11" s="1047">
        <f t="shared" si="1"/>
        <v>0.25432098765432098</v>
      </c>
      <c r="G11" s="1653">
        <f t="shared" si="2"/>
        <v>4267200000000</v>
      </c>
      <c r="H11" s="1653">
        <f t="shared" si="5"/>
        <v>3402000000000</v>
      </c>
      <c r="I11" s="1653">
        <f t="shared" si="4"/>
        <v>865200000000</v>
      </c>
    </row>
    <row r="12" spans="1:16" s="69" customFormat="1" ht="18" customHeight="1">
      <c r="A12" s="3184"/>
      <c r="B12" s="1048" t="s">
        <v>206</v>
      </c>
      <c r="C12" s="1045">
        <f>+'1.목적(지출총괄)'!D36</f>
        <v>3407015.6</v>
      </c>
      <c r="D12" s="1045">
        <f>+'1.목적(지출총괄)'!E36</f>
        <v>3387016</v>
      </c>
      <c r="E12" s="1046">
        <f t="shared" si="3"/>
        <v>19999.600000000093</v>
      </c>
      <c r="F12" s="1047">
        <f t="shared" si="1"/>
        <v>5.9047846245781225E-3</v>
      </c>
      <c r="G12" s="1653">
        <f t="shared" si="2"/>
        <v>3407015600000</v>
      </c>
      <c r="H12" s="1653">
        <f t="shared" si="5"/>
        <v>3387016000000</v>
      </c>
      <c r="I12" s="1653">
        <f t="shared" si="4"/>
        <v>19999600000</v>
      </c>
    </row>
    <row r="13" spans="1:16" s="69" customFormat="1" ht="18" customHeight="1">
      <c r="A13" s="3184"/>
      <c r="B13" s="1048" t="s">
        <v>319</v>
      </c>
      <c r="C13" s="1045">
        <f>+'1.목적(지출총괄)'!D39</f>
        <v>2679000</v>
      </c>
      <c r="D13" s="1045">
        <f>+'1.목적(지출총괄)'!E39</f>
        <v>2679000</v>
      </c>
      <c r="E13" s="1046">
        <f t="shared" si="3"/>
        <v>0</v>
      </c>
      <c r="F13" s="1047">
        <f t="shared" si="1"/>
        <v>0</v>
      </c>
      <c r="G13" s="1653">
        <f t="shared" si="2"/>
        <v>2679000000000</v>
      </c>
      <c r="H13" s="1653">
        <f t="shared" si="5"/>
        <v>2679000000000</v>
      </c>
      <c r="I13" s="1653">
        <f t="shared" si="4"/>
        <v>0</v>
      </c>
    </row>
    <row r="14" spans="1:16" s="69" customFormat="1" ht="18" customHeight="1">
      <c r="A14" s="3184"/>
      <c r="B14" s="1048" t="s">
        <v>425</v>
      </c>
      <c r="C14" s="1045">
        <f>+'1.목적(지출총괄)'!D42</f>
        <v>3076000</v>
      </c>
      <c r="D14" s="1045">
        <f>+'1.목적(지출총괄)'!E42</f>
        <v>3076000</v>
      </c>
      <c r="E14" s="1046">
        <f t="shared" si="3"/>
        <v>0</v>
      </c>
      <c r="F14" s="1047">
        <f t="shared" si="1"/>
        <v>0</v>
      </c>
      <c r="G14" s="1653">
        <f t="shared" si="2"/>
        <v>3076000000000</v>
      </c>
      <c r="H14" s="1653">
        <f t="shared" si="5"/>
        <v>3076000000000</v>
      </c>
      <c r="I14" s="1653">
        <f t="shared" si="4"/>
        <v>0</v>
      </c>
    </row>
    <row r="15" spans="1:16" s="63" customFormat="1" ht="18" customHeight="1">
      <c r="A15" s="3184"/>
      <c r="B15" s="1048" t="s">
        <v>207</v>
      </c>
      <c r="C15" s="1045">
        <f>+'1.목적(지출총괄)'!D45</f>
        <v>3750000</v>
      </c>
      <c r="D15" s="1045">
        <f>+'1.목적(지출총괄)'!E45</f>
        <v>3705000</v>
      </c>
      <c r="E15" s="1046">
        <f t="shared" si="3"/>
        <v>45000</v>
      </c>
      <c r="F15" s="1047">
        <f t="shared" si="1"/>
        <v>1.2145748987854251E-2</v>
      </c>
      <c r="G15" s="1653">
        <f t="shared" si="2"/>
        <v>3750000000000</v>
      </c>
      <c r="H15" s="1653">
        <f t="shared" si="5"/>
        <v>3705000000000</v>
      </c>
      <c r="I15" s="1653">
        <f t="shared" si="4"/>
        <v>45000000000</v>
      </c>
    </row>
    <row r="16" spans="1:16" s="69" customFormat="1" ht="18" customHeight="1">
      <c r="A16" s="3184"/>
      <c r="B16" s="1049" t="s">
        <v>543</v>
      </c>
      <c r="C16" s="1050">
        <f>+'1.목적(지출총괄)'!D48</f>
        <v>40075.368999999999</v>
      </c>
      <c r="D16" s="1050">
        <f>+'1.목적(지출총괄)'!E48</f>
        <v>40075</v>
      </c>
      <c r="E16" s="1051">
        <f t="shared" si="3"/>
        <v>0.36899999999877764</v>
      </c>
      <c r="F16" s="1047">
        <f t="shared" si="1"/>
        <v>9.2077354959146013E-6</v>
      </c>
      <c r="G16" s="1653">
        <f t="shared" si="2"/>
        <v>40075369000</v>
      </c>
      <c r="H16" s="1653">
        <f t="shared" si="5"/>
        <v>40075000000</v>
      </c>
      <c r="I16" s="2875">
        <f t="shared" si="4"/>
        <v>369000</v>
      </c>
    </row>
    <row r="17" spans="1:16" s="1036" customFormat="1" ht="18" customHeight="1">
      <c r="A17" s="3185" t="s">
        <v>561</v>
      </c>
      <c r="B17" s="1039" t="s">
        <v>545</v>
      </c>
      <c r="C17" s="1032">
        <f>SUM(C18:C27)</f>
        <v>38132028.702</v>
      </c>
      <c r="D17" s="1032">
        <f>SUM(D18:D27)</f>
        <v>36453178.702</v>
      </c>
      <c r="E17" s="1032">
        <f t="shared" si="3"/>
        <v>1678850</v>
      </c>
      <c r="F17" s="1033">
        <f t="shared" si="1"/>
        <v>4.6054968586536189E-2</v>
      </c>
      <c r="G17" s="1653">
        <f t="shared" si="2"/>
        <v>38132028702000</v>
      </c>
      <c r="H17" s="1653">
        <f t="shared" si="5"/>
        <v>36453178702000</v>
      </c>
      <c r="I17" s="1653">
        <f t="shared" si="4"/>
        <v>1678850000000</v>
      </c>
    </row>
    <row r="18" spans="1:16" s="1036" customFormat="1" ht="18" customHeight="1">
      <c r="A18" s="3185"/>
      <c r="B18" s="1052" t="s">
        <v>394</v>
      </c>
      <c r="C18" s="1053"/>
      <c r="D18" s="1053"/>
      <c r="E18" s="1043"/>
      <c r="F18" s="1047"/>
      <c r="G18" s="1653">
        <f t="shared" si="2"/>
        <v>0</v>
      </c>
      <c r="H18" s="1653">
        <f t="shared" si="5"/>
        <v>0</v>
      </c>
      <c r="I18" s="1653">
        <f t="shared" si="4"/>
        <v>0</v>
      </c>
    </row>
    <row r="19" spans="1:16" s="1036" customFormat="1" ht="18" customHeight="1">
      <c r="A19" s="3185"/>
      <c r="B19" s="1075" t="s">
        <v>559</v>
      </c>
      <c r="C19" s="1076">
        <f>+'2-1외부지출(공기관,보조금,지원)'!G8</f>
        <v>100000</v>
      </c>
      <c r="D19" s="1076">
        <f>+'2-1외부지출(공기관,보조금,지원)'!H8</f>
        <v>100000</v>
      </c>
      <c r="E19" s="1046">
        <f t="shared" si="3"/>
        <v>0</v>
      </c>
      <c r="F19" s="1047">
        <f t="shared" si="1"/>
        <v>0</v>
      </c>
      <c r="G19" s="1653">
        <f t="shared" si="2"/>
        <v>100000000000</v>
      </c>
      <c r="H19" s="1653">
        <f t="shared" si="5"/>
        <v>100000000000</v>
      </c>
      <c r="I19" s="1653">
        <f t="shared" si="4"/>
        <v>0</v>
      </c>
    </row>
    <row r="20" spans="1:16" s="1036" customFormat="1" ht="18" customHeight="1">
      <c r="A20" s="3185"/>
      <c r="B20" s="1075" t="s">
        <v>558</v>
      </c>
      <c r="C20" s="1076">
        <f>+'2-1외부지출(공기관,보조금,지원)'!G13</f>
        <v>36615642</v>
      </c>
      <c r="D20" s="1076">
        <f>+'2-1외부지출(공기관,보조금,지원)'!H13</f>
        <v>35765642</v>
      </c>
      <c r="E20" s="1046">
        <f>C20-D20</f>
        <v>850000</v>
      </c>
      <c r="F20" s="1047">
        <f t="shared" si="1"/>
        <v>2.3765825313578882E-2</v>
      </c>
      <c r="G20" s="1653">
        <f t="shared" ref="G20:G33" si="6">C20*1000000</f>
        <v>36615642000000</v>
      </c>
      <c r="H20" s="1653">
        <f t="shared" si="5"/>
        <v>35765642000000</v>
      </c>
      <c r="I20" s="1653">
        <f t="shared" si="4"/>
        <v>850000000000</v>
      </c>
    </row>
    <row r="21" spans="1:16" s="1036" customFormat="1" ht="18" customHeight="1">
      <c r="A21" s="3185"/>
      <c r="B21" s="1075" t="s">
        <v>411</v>
      </c>
      <c r="C21" s="1076">
        <f>+'2-1외부지출(공기관,보조금,지원)'!G67</f>
        <v>1077500</v>
      </c>
      <c r="D21" s="1076">
        <f>+'2-1외부지출(공기관,보조금,지원)'!H67</f>
        <v>310000</v>
      </c>
      <c r="E21" s="1046">
        <f t="shared" si="3"/>
        <v>767500</v>
      </c>
      <c r="F21" s="1047">
        <f t="shared" si="1"/>
        <v>2.475806451612903</v>
      </c>
      <c r="G21" s="1653">
        <f t="shared" si="6"/>
        <v>1077500000000</v>
      </c>
      <c r="H21" s="1653">
        <f t="shared" si="5"/>
        <v>310000000000</v>
      </c>
      <c r="I21" s="1653">
        <f t="shared" si="4"/>
        <v>767500000000</v>
      </c>
    </row>
    <row r="22" spans="1:16" s="1036" customFormat="1" ht="18" customHeight="1">
      <c r="A22" s="3185"/>
      <c r="B22" s="1054" t="s">
        <v>542</v>
      </c>
      <c r="C22" s="1055">
        <f>+'2-1외부지출(공기관,보조금,지원)'!G86</f>
        <v>15000</v>
      </c>
      <c r="D22" s="1055">
        <f>+'2-1외부지출(공기관,보조금,지원)'!H86</f>
        <v>0</v>
      </c>
      <c r="E22" s="1046">
        <f t="shared" si="3"/>
        <v>15000</v>
      </c>
      <c r="F22" s="1047"/>
      <c r="G22" s="1653">
        <f t="shared" si="6"/>
        <v>15000000000</v>
      </c>
      <c r="H22" s="1653">
        <f t="shared" si="5"/>
        <v>0</v>
      </c>
      <c r="I22" s="1653">
        <f t="shared" si="4"/>
        <v>15000000000</v>
      </c>
    </row>
    <row r="23" spans="1:16" s="1036" customFormat="1" ht="18" customHeight="1">
      <c r="A23" s="3185"/>
      <c r="B23" s="1054" t="s">
        <v>371</v>
      </c>
      <c r="C23" s="1055">
        <f>+'2-1외부지출(공기관,보조금,지원)'!G90</f>
        <v>290000</v>
      </c>
      <c r="D23" s="1055">
        <f>+'2-1외부지출(공기관,보조금,지원)'!H90</f>
        <v>270000</v>
      </c>
      <c r="E23" s="1046">
        <f t="shared" si="3"/>
        <v>20000</v>
      </c>
      <c r="F23" s="1047">
        <f t="shared" si="1"/>
        <v>7.407407407407407E-2</v>
      </c>
      <c r="G23" s="1653">
        <f t="shared" si="6"/>
        <v>290000000000</v>
      </c>
      <c r="H23" s="1653">
        <f t="shared" si="5"/>
        <v>270000000000</v>
      </c>
      <c r="I23" s="1653">
        <f t="shared" si="4"/>
        <v>20000000000</v>
      </c>
    </row>
    <row r="24" spans="1:16" s="1036" customFormat="1" ht="18" customHeight="1">
      <c r="A24" s="3185"/>
      <c r="B24" s="1077" t="s">
        <v>206</v>
      </c>
      <c r="C24" s="1078">
        <f>+'2-1외부지출(공기관,보조금,지원)'!G98</f>
        <v>13886.702000000001</v>
      </c>
      <c r="D24" s="1078">
        <f>+'2-1외부지출(공기관,보조금,지원)'!H98</f>
        <v>7536.7020000000002</v>
      </c>
      <c r="E24" s="1046">
        <f t="shared" si="3"/>
        <v>6350.0000000000009</v>
      </c>
      <c r="F24" s="1047">
        <f t="shared" si="1"/>
        <v>0.84254359532856693</v>
      </c>
      <c r="G24" s="1653">
        <f t="shared" si="6"/>
        <v>13886702000.000002</v>
      </c>
      <c r="H24" s="1653">
        <f t="shared" si="5"/>
        <v>7536702000</v>
      </c>
      <c r="I24" s="1653">
        <f t="shared" si="4"/>
        <v>6350000000.0000019</v>
      </c>
    </row>
    <row r="25" spans="1:16" s="1036" customFormat="1" ht="18" customHeight="1">
      <c r="A25" s="3185"/>
      <c r="B25" s="1077" t="s">
        <v>319</v>
      </c>
      <c r="C25" s="1078">
        <f>+'2-1외부지출(공기관,보조금,지원)'!G106</f>
        <v>20000</v>
      </c>
      <c r="D25" s="1078">
        <f>+'2-1외부지출(공기관,보조금,지원)'!H106</f>
        <v>0</v>
      </c>
      <c r="E25" s="1046">
        <f t="shared" si="3"/>
        <v>20000</v>
      </c>
      <c r="F25" s="1047"/>
      <c r="G25" s="1653">
        <f t="shared" si="6"/>
        <v>20000000000</v>
      </c>
      <c r="H25" s="1653">
        <f t="shared" si="5"/>
        <v>0</v>
      </c>
      <c r="I25" s="1653">
        <f t="shared" si="4"/>
        <v>20000000000</v>
      </c>
    </row>
    <row r="26" spans="1:16" s="1036" customFormat="1" ht="18" customHeight="1">
      <c r="A26" s="3185"/>
      <c r="B26" s="1077" t="s">
        <v>560</v>
      </c>
      <c r="C26" s="1078"/>
      <c r="D26" s="1078"/>
      <c r="E26" s="1046"/>
      <c r="F26" s="1047"/>
      <c r="G26" s="1653">
        <f t="shared" si="6"/>
        <v>0</v>
      </c>
      <c r="H26" s="1653">
        <f t="shared" si="5"/>
        <v>0</v>
      </c>
      <c r="I26" s="1653">
        <f t="shared" si="4"/>
        <v>0</v>
      </c>
    </row>
    <row r="27" spans="1:16" s="1036" customFormat="1" ht="18" customHeight="1">
      <c r="A27" s="3185"/>
      <c r="B27" s="1056" t="s">
        <v>425</v>
      </c>
      <c r="C27" s="1057"/>
      <c r="D27" s="1057"/>
      <c r="E27" s="1046"/>
      <c r="F27" s="1047"/>
      <c r="G27" s="1653">
        <f t="shared" si="6"/>
        <v>0</v>
      </c>
      <c r="H27" s="1653">
        <f t="shared" si="5"/>
        <v>0</v>
      </c>
      <c r="I27" s="1653">
        <f t="shared" si="4"/>
        <v>0</v>
      </c>
    </row>
    <row r="28" spans="1:16" s="1036" customFormat="1" ht="18" customHeight="1">
      <c r="A28" s="3185" t="s">
        <v>548</v>
      </c>
      <c r="B28" s="1039" t="s">
        <v>545</v>
      </c>
      <c r="C28" s="1032">
        <f>SUM(C29:C31)</f>
        <v>4553300</v>
      </c>
      <c r="D28" s="1032">
        <f>SUM(D29:D31)</f>
        <v>3553300</v>
      </c>
      <c r="E28" s="1032">
        <f t="shared" si="3"/>
        <v>1000000</v>
      </c>
      <c r="F28" s="1033">
        <f t="shared" si="1"/>
        <v>0.28142853122449552</v>
      </c>
      <c r="G28" s="1653">
        <f t="shared" si="6"/>
        <v>4553300000000</v>
      </c>
      <c r="H28" s="1653">
        <f t="shared" si="5"/>
        <v>3553300000000</v>
      </c>
      <c r="I28" s="1653">
        <f t="shared" si="4"/>
        <v>1000000000000</v>
      </c>
    </row>
    <row r="29" spans="1:16" s="1036" customFormat="1" ht="18" customHeight="1">
      <c r="A29" s="3185"/>
      <c r="B29" s="1052" t="s">
        <v>349</v>
      </c>
      <c r="C29" s="1053">
        <f>+'2-2외부지출(위탁)'!G6</f>
        <v>1630000</v>
      </c>
      <c r="D29" s="1053">
        <f>+'2-2외부지출(위탁)'!H6</f>
        <v>1530000</v>
      </c>
      <c r="E29" s="1043">
        <f t="shared" si="3"/>
        <v>100000</v>
      </c>
      <c r="F29" s="1047">
        <f t="shared" si="1"/>
        <v>6.535947712418301E-2</v>
      </c>
      <c r="G29" s="1653">
        <f t="shared" si="6"/>
        <v>1630000000000</v>
      </c>
      <c r="H29" s="1653">
        <f t="shared" si="5"/>
        <v>1530000000000</v>
      </c>
      <c r="I29" s="1653">
        <f t="shared" si="4"/>
        <v>100000000000</v>
      </c>
    </row>
    <row r="30" spans="1:16" s="1036" customFormat="1" ht="18" customHeight="1">
      <c r="A30" s="3185"/>
      <c r="B30" s="1054" t="s">
        <v>373</v>
      </c>
      <c r="C30" s="1055"/>
      <c r="D30" s="1055"/>
      <c r="E30" s="1046"/>
      <c r="F30" s="1047"/>
      <c r="G30" s="1653">
        <f t="shared" si="6"/>
        <v>0</v>
      </c>
      <c r="H30" s="1653">
        <f t="shared" si="5"/>
        <v>0</v>
      </c>
      <c r="I30" s="1653">
        <f t="shared" si="4"/>
        <v>0</v>
      </c>
    </row>
    <row r="31" spans="1:16" s="1036" customFormat="1" ht="18" customHeight="1">
      <c r="A31" s="3185"/>
      <c r="B31" s="1056" t="s">
        <v>411</v>
      </c>
      <c r="C31" s="1057">
        <f>+'2-2외부지출(위탁)'!G38</f>
        <v>2923300</v>
      </c>
      <c r="D31" s="1057">
        <f>+'2-2외부지출(위탁)'!H38</f>
        <v>2023300</v>
      </c>
      <c r="E31" s="1051">
        <f t="shared" si="3"/>
        <v>900000</v>
      </c>
      <c r="F31" s="1047">
        <f t="shared" si="1"/>
        <v>0.44481787179360449</v>
      </c>
      <c r="G31" s="1653">
        <f t="shared" si="6"/>
        <v>2923300000000</v>
      </c>
      <c r="H31" s="1653">
        <f t="shared" si="5"/>
        <v>2023300000000</v>
      </c>
      <c r="I31" s="1653">
        <f t="shared" si="4"/>
        <v>900000000000</v>
      </c>
    </row>
    <row r="32" spans="1:16" s="1037" customFormat="1" ht="18" customHeight="1">
      <c r="A32" s="3182" t="s">
        <v>434</v>
      </c>
      <c r="B32" s="3182"/>
      <c r="C32" s="1040">
        <f>+'3.반납비'!F6</f>
        <v>448626.46600000007</v>
      </c>
      <c r="D32" s="1040">
        <v>448626</v>
      </c>
      <c r="E32" s="1040">
        <f t="shared" si="3"/>
        <v>0.46600000007310882</v>
      </c>
      <c r="F32" s="1040"/>
      <c r="G32" s="1653">
        <f t="shared" si="6"/>
        <v>448626466000.00006</v>
      </c>
      <c r="H32" s="1653">
        <f t="shared" si="5"/>
        <v>448626000000</v>
      </c>
      <c r="I32" s="1653">
        <f t="shared" si="4"/>
        <v>466000.00006103516</v>
      </c>
      <c r="J32" s="1038"/>
      <c r="K32" s="1038"/>
      <c r="L32" s="1038"/>
      <c r="M32" s="1038"/>
      <c r="N32" s="1038"/>
      <c r="O32" s="1038"/>
      <c r="P32" s="1038"/>
    </row>
    <row r="33" spans="6:16" s="75" customFormat="1">
      <c r="F33" s="76"/>
      <c r="G33" s="1653">
        <f t="shared" si="6"/>
        <v>0</v>
      </c>
      <c r="H33" s="1656"/>
      <c r="I33" s="1653">
        <f t="shared" si="4"/>
        <v>0</v>
      </c>
      <c r="J33" s="33"/>
      <c r="K33" s="33"/>
      <c r="L33" s="33"/>
      <c r="M33" s="33"/>
      <c r="N33" s="33"/>
      <c r="O33" s="33"/>
      <c r="P33" s="33"/>
    </row>
    <row r="34" spans="6:16" s="75" customFormat="1">
      <c r="F34" s="76"/>
      <c r="G34" s="1655"/>
      <c r="H34" s="1656"/>
      <c r="I34" s="1655"/>
      <c r="J34" s="33"/>
      <c r="K34" s="33"/>
      <c r="L34" s="33"/>
      <c r="M34" s="33"/>
      <c r="N34" s="33"/>
      <c r="O34" s="33"/>
      <c r="P34" s="33"/>
    </row>
    <row r="35" spans="6:16" s="75" customFormat="1">
      <c r="F35" s="76"/>
      <c r="G35" s="1655"/>
      <c r="H35" s="1656"/>
      <c r="I35" s="1655"/>
      <c r="J35" s="33"/>
      <c r="K35" s="33"/>
      <c r="L35" s="33"/>
      <c r="M35" s="33"/>
      <c r="N35" s="33"/>
      <c r="O35" s="33"/>
      <c r="P35" s="33"/>
    </row>
    <row r="36" spans="6:16" s="75" customFormat="1">
      <c r="F36" s="76"/>
      <c r="G36" s="1655"/>
      <c r="H36" s="1656"/>
      <c r="I36" s="1655"/>
      <c r="J36" s="33"/>
      <c r="K36" s="33"/>
      <c r="L36" s="33"/>
      <c r="M36" s="33"/>
      <c r="N36" s="33"/>
      <c r="O36" s="33"/>
      <c r="P36" s="33"/>
    </row>
    <row r="37" spans="6:16" s="75" customFormat="1">
      <c r="F37" s="76"/>
      <c r="G37" s="1655"/>
      <c r="H37" s="1656"/>
      <c r="I37" s="1655"/>
      <c r="J37" s="33"/>
      <c r="K37" s="33"/>
      <c r="L37" s="33"/>
      <c r="M37" s="33"/>
      <c r="N37" s="33"/>
      <c r="O37" s="33"/>
      <c r="P37" s="33"/>
    </row>
    <row r="38" spans="6:16" s="75" customFormat="1">
      <c r="F38" s="76"/>
      <c r="G38" s="1655"/>
      <c r="H38" s="1656"/>
      <c r="I38" s="1655"/>
      <c r="J38" s="33"/>
      <c r="K38" s="33"/>
      <c r="L38" s="33"/>
      <c r="M38" s="33"/>
      <c r="N38" s="33"/>
      <c r="O38" s="33"/>
      <c r="P38" s="33"/>
    </row>
    <row r="39" spans="6:16" s="75" customFormat="1">
      <c r="F39" s="76"/>
      <c r="G39" s="1655"/>
      <c r="H39" s="1656"/>
      <c r="I39" s="1655"/>
      <c r="J39" s="33"/>
      <c r="K39" s="33"/>
      <c r="L39" s="33"/>
      <c r="M39" s="33"/>
      <c r="N39" s="33"/>
      <c r="O39" s="33"/>
      <c r="P39" s="33"/>
    </row>
    <row r="40" spans="6:16" s="75" customFormat="1">
      <c r="F40" s="76"/>
      <c r="G40" s="1655"/>
      <c r="H40" s="1656"/>
      <c r="I40" s="1655"/>
      <c r="J40" s="33"/>
      <c r="K40" s="33"/>
      <c r="L40" s="33"/>
      <c r="M40" s="33"/>
      <c r="N40" s="33"/>
      <c r="O40" s="33"/>
      <c r="P40" s="33"/>
    </row>
    <row r="41" spans="6:16" s="75" customFormat="1">
      <c r="F41" s="76"/>
      <c r="G41" s="1655"/>
      <c r="H41" s="1656"/>
      <c r="I41" s="1655"/>
      <c r="J41" s="33"/>
      <c r="K41" s="33"/>
      <c r="L41" s="33"/>
      <c r="M41" s="33"/>
      <c r="N41" s="33"/>
      <c r="O41" s="33"/>
      <c r="P41" s="33"/>
    </row>
    <row r="42" spans="6:16" s="75" customFormat="1">
      <c r="F42" s="76"/>
      <c r="G42" s="1655"/>
      <c r="H42" s="1656"/>
      <c r="I42" s="1655"/>
      <c r="J42" s="33"/>
      <c r="K42" s="33"/>
      <c r="L42" s="33"/>
      <c r="M42" s="33"/>
      <c r="N42" s="33"/>
      <c r="O42" s="33"/>
      <c r="P42" s="33"/>
    </row>
    <row r="43" spans="6:16" s="75" customFormat="1">
      <c r="F43" s="76"/>
      <c r="G43" s="1655"/>
      <c r="H43" s="1656"/>
      <c r="I43" s="1655"/>
      <c r="J43" s="33"/>
      <c r="K43" s="33"/>
      <c r="L43" s="33"/>
      <c r="M43" s="33"/>
      <c r="N43" s="33"/>
      <c r="O43" s="33"/>
      <c r="P43" s="33"/>
    </row>
    <row r="44" spans="6:16" s="75" customFormat="1">
      <c r="F44" s="76"/>
      <c r="G44" s="1655"/>
      <c r="H44" s="1656"/>
      <c r="I44" s="1655"/>
      <c r="J44" s="33"/>
      <c r="K44" s="33"/>
      <c r="L44" s="33"/>
      <c r="M44" s="33"/>
      <c r="N44" s="33"/>
      <c r="O44" s="33"/>
      <c r="P44" s="33"/>
    </row>
    <row r="45" spans="6:16" s="75" customFormat="1">
      <c r="F45" s="76"/>
      <c r="G45" s="1655"/>
      <c r="H45" s="1656"/>
      <c r="I45" s="1655"/>
      <c r="J45" s="33"/>
      <c r="K45" s="33"/>
      <c r="L45" s="33"/>
      <c r="M45" s="33"/>
      <c r="N45" s="33"/>
      <c r="O45" s="33"/>
      <c r="P45" s="33"/>
    </row>
    <row r="46" spans="6:16" s="75" customFormat="1">
      <c r="F46" s="76"/>
      <c r="G46" s="1655"/>
      <c r="H46" s="1656"/>
      <c r="I46" s="1655"/>
      <c r="J46" s="33"/>
      <c r="K46" s="33"/>
      <c r="L46" s="33"/>
      <c r="M46" s="33"/>
      <c r="N46" s="33"/>
      <c r="O46" s="33"/>
      <c r="P46" s="33"/>
    </row>
    <row r="47" spans="6:16" s="75" customFormat="1">
      <c r="F47" s="76"/>
      <c r="G47" s="1655"/>
      <c r="H47" s="1656"/>
      <c r="I47" s="1655"/>
      <c r="J47" s="33"/>
      <c r="K47" s="33"/>
      <c r="L47" s="33"/>
      <c r="M47" s="33"/>
      <c r="N47" s="33"/>
      <c r="O47" s="33"/>
      <c r="P47" s="33"/>
    </row>
    <row r="48" spans="6:16" s="75" customFormat="1">
      <c r="F48" s="76"/>
      <c r="G48" s="1655"/>
      <c r="H48" s="1656"/>
      <c r="I48" s="1655"/>
      <c r="J48" s="33"/>
      <c r="K48" s="33"/>
      <c r="L48" s="33"/>
      <c r="M48" s="33"/>
      <c r="N48" s="33"/>
      <c r="O48" s="33"/>
      <c r="P48" s="33"/>
    </row>
    <row r="49" spans="6:16" s="75" customFormat="1">
      <c r="F49" s="76"/>
      <c r="G49" s="1655"/>
      <c r="H49" s="1656"/>
      <c r="I49" s="1655"/>
      <c r="J49" s="33"/>
      <c r="K49" s="33"/>
      <c r="L49" s="33"/>
      <c r="M49" s="33"/>
      <c r="N49" s="33"/>
      <c r="O49" s="33"/>
      <c r="P49" s="33"/>
    </row>
    <row r="50" spans="6:16" s="75" customFormat="1">
      <c r="F50" s="76"/>
      <c r="G50" s="1655"/>
      <c r="H50" s="1656"/>
      <c r="I50" s="1655"/>
      <c r="J50" s="33"/>
      <c r="K50" s="33"/>
      <c r="L50" s="33"/>
      <c r="M50" s="33"/>
      <c r="N50" s="33"/>
      <c r="O50" s="33"/>
      <c r="P50" s="33"/>
    </row>
    <row r="51" spans="6:16" s="75" customFormat="1">
      <c r="F51" s="76"/>
      <c r="G51" s="1655"/>
      <c r="H51" s="1656"/>
      <c r="I51" s="1655"/>
      <c r="J51" s="33"/>
      <c r="K51" s="33"/>
      <c r="L51" s="33"/>
      <c r="M51" s="33"/>
      <c r="N51" s="33"/>
      <c r="O51" s="33"/>
      <c r="P51" s="33"/>
    </row>
    <row r="52" spans="6:16" s="75" customFormat="1">
      <c r="F52" s="76"/>
      <c r="G52" s="1655"/>
      <c r="H52" s="1656"/>
      <c r="I52" s="1655"/>
      <c r="J52" s="33"/>
      <c r="K52" s="33"/>
      <c r="L52" s="33"/>
      <c r="M52" s="33"/>
      <c r="N52" s="33"/>
      <c r="O52" s="33"/>
      <c r="P52" s="33"/>
    </row>
    <row r="53" spans="6:16" s="75" customFormat="1">
      <c r="F53" s="76"/>
      <c r="G53" s="1655"/>
      <c r="H53" s="1656"/>
      <c r="I53" s="1655"/>
      <c r="J53" s="33"/>
      <c r="K53" s="33"/>
      <c r="L53" s="33"/>
      <c r="M53" s="33"/>
      <c r="N53" s="33"/>
      <c r="O53" s="33"/>
      <c r="P53" s="33"/>
    </row>
    <row r="54" spans="6:16" s="75" customFormat="1">
      <c r="F54" s="76"/>
      <c r="G54" s="1655"/>
      <c r="H54" s="1656"/>
      <c r="I54" s="1655"/>
      <c r="J54" s="33"/>
      <c r="K54" s="33"/>
      <c r="L54" s="33"/>
      <c r="M54" s="33"/>
      <c r="N54" s="33"/>
      <c r="O54" s="33"/>
      <c r="P54" s="33"/>
    </row>
    <row r="55" spans="6:16" s="75" customFormat="1">
      <c r="F55" s="76"/>
      <c r="G55" s="1655"/>
      <c r="H55" s="1656"/>
      <c r="I55" s="1655"/>
      <c r="J55" s="33"/>
      <c r="K55" s="33"/>
      <c r="L55" s="33"/>
      <c r="M55" s="33"/>
      <c r="N55" s="33"/>
      <c r="O55" s="33"/>
      <c r="P55" s="33"/>
    </row>
    <row r="56" spans="6:16" s="75" customFormat="1">
      <c r="F56" s="76"/>
      <c r="G56" s="1655"/>
      <c r="H56" s="1656"/>
      <c r="I56" s="1655"/>
      <c r="J56" s="33"/>
      <c r="K56" s="33"/>
      <c r="L56" s="33"/>
      <c r="M56" s="33"/>
      <c r="N56" s="33"/>
      <c r="O56" s="33"/>
      <c r="P56" s="33"/>
    </row>
    <row r="57" spans="6:16" s="75" customFormat="1">
      <c r="F57" s="76"/>
      <c r="G57" s="1655"/>
      <c r="H57" s="1656"/>
      <c r="I57" s="1655"/>
      <c r="J57" s="33"/>
      <c r="K57" s="33"/>
      <c r="L57" s="33"/>
      <c r="M57" s="33"/>
      <c r="N57" s="33"/>
      <c r="O57" s="33"/>
      <c r="P57" s="33"/>
    </row>
    <row r="58" spans="6:16" s="75" customFormat="1">
      <c r="F58" s="76"/>
      <c r="G58" s="1655"/>
      <c r="H58" s="1656"/>
      <c r="I58" s="1655"/>
      <c r="J58" s="33"/>
      <c r="K58" s="33"/>
      <c r="L58" s="33"/>
      <c r="M58" s="33"/>
      <c r="N58" s="33"/>
      <c r="O58" s="33"/>
      <c r="P58" s="33"/>
    </row>
    <row r="59" spans="6:16" s="75" customFormat="1">
      <c r="F59" s="76"/>
      <c r="G59" s="1655"/>
      <c r="H59" s="1656"/>
      <c r="I59" s="1655"/>
      <c r="J59" s="33"/>
      <c r="K59" s="33"/>
      <c r="L59" s="33"/>
      <c r="M59" s="33"/>
      <c r="N59" s="33"/>
      <c r="O59" s="33"/>
      <c r="P59" s="33"/>
    </row>
    <row r="60" spans="6:16" s="75" customFormat="1">
      <c r="F60" s="76"/>
      <c r="G60" s="1655"/>
      <c r="H60" s="1656"/>
      <c r="I60" s="1655"/>
      <c r="J60" s="33"/>
      <c r="K60" s="33"/>
      <c r="L60" s="33"/>
      <c r="M60" s="33"/>
      <c r="N60" s="33"/>
      <c r="O60" s="33"/>
      <c r="P60" s="33"/>
    </row>
    <row r="61" spans="6:16" s="75" customFormat="1">
      <c r="F61" s="76"/>
      <c r="G61" s="1655"/>
      <c r="H61" s="1656"/>
      <c r="I61" s="1655"/>
      <c r="J61" s="33"/>
      <c r="K61" s="33"/>
      <c r="L61" s="33"/>
      <c r="M61" s="33"/>
      <c r="N61" s="33"/>
      <c r="O61" s="33"/>
      <c r="P61" s="33"/>
    </row>
    <row r="62" spans="6:16" s="75" customFormat="1">
      <c r="F62" s="76"/>
      <c r="G62" s="1655"/>
      <c r="H62" s="1656"/>
      <c r="I62" s="1655"/>
      <c r="J62" s="33"/>
      <c r="K62" s="33"/>
      <c r="L62" s="33"/>
      <c r="M62" s="33"/>
      <c r="N62" s="33"/>
      <c r="O62" s="33"/>
      <c r="P62" s="33"/>
    </row>
    <row r="63" spans="6:16" s="75" customFormat="1">
      <c r="F63" s="76"/>
      <c r="G63" s="1655"/>
      <c r="H63" s="1656"/>
      <c r="I63" s="1655"/>
      <c r="J63" s="33"/>
      <c r="K63" s="33"/>
      <c r="L63" s="33"/>
      <c r="M63" s="33"/>
      <c r="N63" s="33"/>
      <c r="O63" s="33"/>
      <c r="P63" s="33"/>
    </row>
    <row r="64" spans="6:16" s="75" customFormat="1">
      <c r="F64" s="76"/>
      <c r="G64" s="1655"/>
      <c r="H64" s="1656"/>
      <c r="I64" s="1655"/>
      <c r="J64" s="33"/>
      <c r="K64" s="33"/>
      <c r="L64" s="33"/>
      <c r="M64" s="33"/>
      <c r="N64" s="33"/>
      <c r="O64" s="33"/>
      <c r="P64" s="33"/>
    </row>
    <row r="65" spans="6:16" s="75" customFormat="1">
      <c r="F65" s="76"/>
      <c r="G65" s="1655"/>
      <c r="H65" s="1656"/>
      <c r="I65" s="1655"/>
      <c r="J65" s="33"/>
      <c r="K65" s="33"/>
      <c r="L65" s="33"/>
      <c r="M65" s="33"/>
      <c r="N65" s="33"/>
      <c r="O65" s="33"/>
      <c r="P65" s="33"/>
    </row>
    <row r="66" spans="6:16" s="75" customFormat="1">
      <c r="F66" s="76"/>
      <c r="G66" s="1655"/>
      <c r="H66" s="1656"/>
      <c r="I66" s="1655"/>
      <c r="J66" s="33"/>
      <c r="K66" s="33"/>
      <c r="L66" s="33"/>
      <c r="M66" s="33"/>
      <c r="N66" s="33"/>
      <c r="O66" s="33"/>
      <c r="P66" s="33"/>
    </row>
    <row r="67" spans="6:16" s="75" customFormat="1">
      <c r="F67" s="76"/>
      <c r="G67" s="1655"/>
      <c r="H67" s="1656"/>
      <c r="I67" s="1655"/>
      <c r="J67" s="33"/>
      <c r="K67" s="33"/>
      <c r="L67" s="33"/>
      <c r="M67" s="33"/>
      <c r="N67" s="33"/>
      <c r="O67" s="33"/>
      <c r="P67" s="33"/>
    </row>
    <row r="68" spans="6:16" s="75" customFormat="1">
      <c r="F68" s="76"/>
      <c r="G68" s="1655"/>
      <c r="H68" s="1656"/>
      <c r="I68" s="1655"/>
      <c r="J68" s="33"/>
      <c r="K68" s="33"/>
      <c r="L68" s="33"/>
      <c r="M68" s="33"/>
      <c r="N68" s="33"/>
      <c r="O68" s="33"/>
      <c r="P68" s="33"/>
    </row>
    <row r="69" spans="6:16" s="75" customFormat="1">
      <c r="F69" s="76"/>
      <c r="G69" s="1655"/>
      <c r="H69" s="1656"/>
      <c r="I69" s="1655"/>
      <c r="J69" s="33"/>
      <c r="K69" s="33"/>
      <c r="L69" s="33"/>
      <c r="M69" s="33"/>
      <c r="N69" s="33"/>
      <c r="O69" s="33"/>
      <c r="P69" s="33"/>
    </row>
    <row r="70" spans="6:16" s="75" customFormat="1">
      <c r="F70" s="76"/>
      <c r="G70" s="1655"/>
      <c r="H70" s="1656"/>
      <c r="I70" s="1655"/>
      <c r="J70" s="33"/>
      <c r="K70" s="33"/>
      <c r="L70" s="33"/>
      <c r="M70" s="33"/>
      <c r="N70" s="33"/>
      <c r="O70" s="33"/>
      <c r="P70" s="33"/>
    </row>
    <row r="71" spans="6:16" s="75" customFormat="1">
      <c r="F71" s="76"/>
      <c r="G71" s="1655"/>
      <c r="H71" s="1656"/>
      <c r="I71" s="1655"/>
      <c r="J71" s="33"/>
      <c r="K71" s="33"/>
      <c r="L71" s="33"/>
      <c r="M71" s="33"/>
      <c r="N71" s="33"/>
      <c r="O71" s="33"/>
      <c r="P71" s="33"/>
    </row>
    <row r="72" spans="6:16" s="75" customFormat="1">
      <c r="F72" s="76"/>
      <c r="G72" s="1655"/>
      <c r="H72" s="1656"/>
      <c r="I72" s="1655"/>
      <c r="J72" s="33"/>
      <c r="K72" s="33"/>
      <c r="L72" s="33"/>
      <c r="M72" s="33"/>
      <c r="N72" s="33"/>
      <c r="O72" s="33"/>
      <c r="P72" s="33"/>
    </row>
    <row r="73" spans="6:16" s="75" customFormat="1">
      <c r="F73" s="76"/>
      <c r="G73" s="1655"/>
      <c r="H73" s="1656"/>
      <c r="I73" s="1655"/>
      <c r="J73" s="33"/>
      <c r="K73" s="33"/>
      <c r="L73" s="33"/>
      <c r="M73" s="33"/>
      <c r="N73" s="33"/>
      <c r="O73" s="33"/>
      <c r="P73" s="33"/>
    </row>
    <row r="74" spans="6:16" s="75" customFormat="1">
      <c r="F74" s="76"/>
      <c r="G74" s="1655"/>
      <c r="H74" s="1656"/>
      <c r="I74" s="1655"/>
      <c r="J74" s="33"/>
      <c r="K74" s="33"/>
      <c r="L74" s="33"/>
      <c r="M74" s="33"/>
      <c r="N74" s="33"/>
      <c r="O74" s="33"/>
      <c r="P74" s="33"/>
    </row>
    <row r="75" spans="6:16" s="75" customFormat="1">
      <c r="F75" s="76"/>
      <c r="G75" s="1655"/>
      <c r="H75" s="1656"/>
      <c r="I75" s="1655"/>
      <c r="J75" s="33"/>
      <c r="K75" s="33"/>
      <c r="L75" s="33"/>
      <c r="M75" s="33"/>
      <c r="N75" s="33"/>
      <c r="O75" s="33"/>
      <c r="P75" s="33"/>
    </row>
    <row r="76" spans="6:16" s="75" customFormat="1">
      <c r="F76" s="76"/>
      <c r="G76" s="1655"/>
      <c r="H76" s="1656"/>
      <c r="I76" s="1655"/>
      <c r="J76" s="33"/>
      <c r="K76" s="33"/>
      <c r="L76" s="33"/>
      <c r="M76" s="33"/>
      <c r="N76" s="33"/>
      <c r="O76" s="33"/>
      <c r="P76" s="33"/>
    </row>
    <row r="77" spans="6:16" s="75" customFormat="1">
      <c r="F77" s="76"/>
      <c r="G77" s="1655"/>
      <c r="H77" s="1656"/>
      <c r="I77" s="1655"/>
      <c r="J77" s="33"/>
      <c r="K77" s="33"/>
      <c r="L77" s="33"/>
      <c r="M77" s="33"/>
      <c r="N77" s="33"/>
      <c r="O77" s="33"/>
      <c r="P77" s="33"/>
    </row>
    <row r="78" spans="6:16" s="75" customFormat="1">
      <c r="F78" s="76"/>
      <c r="G78" s="1655"/>
      <c r="H78" s="1656"/>
      <c r="I78" s="1655"/>
      <c r="J78" s="33"/>
      <c r="K78" s="33"/>
      <c r="L78" s="33"/>
      <c r="M78" s="33"/>
      <c r="N78" s="33"/>
      <c r="O78" s="33"/>
      <c r="P78" s="33"/>
    </row>
    <row r="79" spans="6:16" s="75" customFormat="1">
      <c r="F79" s="76"/>
      <c r="G79" s="1655"/>
      <c r="H79" s="1656"/>
      <c r="I79" s="1655"/>
      <c r="J79" s="33"/>
      <c r="K79" s="33"/>
      <c r="L79" s="33"/>
      <c r="M79" s="33"/>
      <c r="N79" s="33"/>
      <c r="O79" s="33"/>
      <c r="P79" s="33"/>
    </row>
    <row r="80" spans="6:16" s="75" customFormat="1">
      <c r="F80" s="76"/>
      <c r="G80" s="1655"/>
      <c r="H80" s="1656"/>
      <c r="I80" s="1655"/>
      <c r="J80" s="33"/>
      <c r="K80" s="33"/>
      <c r="L80" s="33"/>
      <c r="M80" s="33"/>
      <c r="N80" s="33"/>
      <c r="O80" s="33"/>
      <c r="P80" s="33"/>
    </row>
    <row r="81" spans="6:16" s="75" customFormat="1">
      <c r="F81" s="76"/>
      <c r="G81" s="1655"/>
      <c r="H81" s="1656"/>
      <c r="I81" s="1655"/>
      <c r="J81" s="33"/>
      <c r="K81" s="33"/>
      <c r="L81" s="33"/>
      <c r="M81" s="33"/>
      <c r="N81" s="33"/>
      <c r="O81" s="33"/>
      <c r="P81" s="33"/>
    </row>
    <row r="82" spans="6:16" s="75" customFormat="1">
      <c r="F82" s="76"/>
      <c r="G82" s="1655"/>
      <c r="H82" s="1656"/>
      <c r="I82" s="1655"/>
      <c r="J82" s="33"/>
      <c r="K82" s="33"/>
      <c r="L82" s="33"/>
      <c r="M82" s="33"/>
      <c r="N82" s="33"/>
      <c r="O82" s="33"/>
      <c r="P82" s="33"/>
    </row>
    <row r="83" spans="6:16" s="75" customFormat="1">
      <c r="F83" s="76"/>
      <c r="G83" s="1655"/>
      <c r="H83" s="1656"/>
      <c r="I83" s="1655"/>
      <c r="J83" s="33"/>
      <c r="K83" s="33"/>
      <c r="L83" s="33"/>
      <c r="M83" s="33"/>
      <c r="N83" s="33"/>
      <c r="O83" s="33"/>
      <c r="P83" s="33"/>
    </row>
    <row r="84" spans="6:16" s="75" customFormat="1">
      <c r="F84" s="76"/>
      <c r="G84" s="1655"/>
      <c r="H84" s="1656"/>
      <c r="I84" s="1655"/>
      <c r="J84" s="33"/>
      <c r="K84" s="33"/>
      <c r="L84" s="33"/>
      <c r="M84" s="33"/>
      <c r="N84" s="33"/>
      <c r="O84" s="33"/>
      <c r="P84" s="33"/>
    </row>
    <row r="85" spans="6:16" s="75" customFormat="1">
      <c r="F85" s="76"/>
      <c r="G85" s="1655"/>
      <c r="H85" s="1656"/>
      <c r="I85" s="1655"/>
      <c r="J85" s="33"/>
      <c r="K85" s="33"/>
      <c r="L85" s="33"/>
      <c r="M85" s="33"/>
      <c r="N85" s="33"/>
      <c r="O85" s="33"/>
      <c r="P85" s="33"/>
    </row>
    <row r="86" spans="6:16" s="75" customFormat="1">
      <c r="F86" s="76"/>
      <c r="G86" s="1655"/>
      <c r="H86" s="1656"/>
      <c r="I86" s="1655"/>
      <c r="J86" s="33"/>
      <c r="K86" s="33"/>
      <c r="L86" s="33"/>
      <c r="M86" s="33"/>
      <c r="N86" s="33"/>
      <c r="O86" s="33"/>
      <c r="P86" s="33"/>
    </row>
    <row r="87" spans="6:16" s="75" customFormat="1">
      <c r="F87" s="76"/>
      <c r="G87" s="1655"/>
      <c r="H87" s="1656"/>
      <c r="I87" s="1655"/>
      <c r="J87" s="33"/>
      <c r="K87" s="33"/>
      <c r="L87" s="33"/>
      <c r="M87" s="33"/>
      <c r="N87" s="33"/>
      <c r="O87" s="33"/>
      <c r="P87" s="33"/>
    </row>
    <row r="88" spans="6:16" s="75" customFormat="1">
      <c r="F88" s="76"/>
      <c r="G88" s="1655"/>
      <c r="H88" s="1656"/>
      <c r="I88" s="1655"/>
      <c r="J88" s="33"/>
      <c r="K88" s="33"/>
      <c r="L88" s="33"/>
      <c r="M88" s="33"/>
      <c r="N88" s="33"/>
      <c r="O88" s="33"/>
      <c r="P88" s="33"/>
    </row>
    <row r="89" spans="6:16" s="75" customFormat="1">
      <c r="F89" s="76"/>
      <c r="G89" s="1655"/>
      <c r="H89" s="1656"/>
      <c r="I89" s="1655"/>
      <c r="J89" s="33"/>
      <c r="K89" s="33"/>
      <c r="L89" s="33"/>
      <c r="M89" s="33"/>
      <c r="N89" s="33"/>
      <c r="O89" s="33"/>
      <c r="P89" s="33"/>
    </row>
    <row r="90" spans="6:16" s="75" customFormat="1">
      <c r="F90" s="76"/>
      <c r="G90" s="1655"/>
      <c r="H90" s="1656"/>
      <c r="I90" s="1655"/>
      <c r="J90" s="33"/>
      <c r="K90" s="33"/>
      <c r="L90" s="33"/>
      <c r="M90" s="33"/>
      <c r="N90" s="33"/>
      <c r="O90" s="33"/>
      <c r="P90" s="33"/>
    </row>
    <row r="91" spans="6:16" s="75" customFormat="1">
      <c r="F91" s="76"/>
      <c r="G91" s="1655"/>
      <c r="H91" s="1656"/>
      <c r="I91" s="1655"/>
      <c r="J91" s="33"/>
      <c r="K91" s="33"/>
      <c r="L91" s="33"/>
      <c r="M91" s="33"/>
      <c r="N91" s="33"/>
      <c r="O91" s="33"/>
      <c r="P91" s="33"/>
    </row>
    <row r="92" spans="6:16" s="75" customFormat="1">
      <c r="F92" s="76"/>
      <c r="G92" s="1655"/>
      <c r="H92" s="1656"/>
      <c r="I92" s="1655"/>
      <c r="J92" s="33"/>
      <c r="K92" s="33"/>
      <c r="L92" s="33"/>
      <c r="M92" s="33"/>
      <c r="N92" s="33"/>
      <c r="O92" s="33"/>
      <c r="P92" s="33"/>
    </row>
    <row r="93" spans="6:16" s="75" customFormat="1">
      <c r="F93" s="76"/>
      <c r="G93" s="1655"/>
      <c r="H93" s="1656"/>
      <c r="I93" s="1655"/>
      <c r="J93" s="33"/>
      <c r="K93" s="33"/>
      <c r="L93" s="33"/>
      <c r="M93" s="33"/>
      <c r="N93" s="33"/>
      <c r="O93" s="33"/>
      <c r="P93" s="33"/>
    </row>
    <row r="94" spans="6:16" s="75" customFormat="1">
      <c r="F94" s="76"/>
      <c r="G94" s="1655"/>
      <c r="H94" s="1656"/>
      <c r="I94" s="1655"/>
      <c r="J94" s="33"/>
      <c r="K94" s="33"/>
      <c r="L94" s="33"/>
      <c r="M94" s="33"/>
      <c r="N94" s="33"/>
      <c r="O94" s="33"/>
      <c r="P94" s="33"/>
    </row>
    <row r="95" spans="6:16" s="75" customFormat="1">
      <c r="F95" s="76"/>
      <c r="G95" s="1655"/>
      <c r="H95" s="1656"/>
      <c r="I95" s="1655"/>
      <c r="J95" s="33"/>
      <c r="K95" s="33"/>
      <c r="L95" s="33"/>
      <c r="M95" s="33"/>
      <c r="N95" s="33"/>
      <c r="O95" s="33"/>
      <c r="P95" s="33"/>
    </row>
    <row r="96" spans="6:16" s="75" customFormat="1">
      <c r="F96" s="76"/>
      <c r="G96" s="1655"/>
      <c r="H96" s="1656"/>
      <c r="I96" s="1655"/>
      <c r="J96" s="33"/>
      <c r="K96" s="33"/>
      <c r="L96" s="33"/>
      <c r="M96" s="33"/>
      <c r="N96" s="33"/>
      <c r="O96" s="33"/>
      <c r="P96" s="33"/>
    </row>
    <row r="97" spans="6:16" s="75" customFormat="1">
      <c r="F97" s="76"/>
      <c r="G97" s="1655"/>
      <c r="H97" s="1656"/>
      <c r="I97" s="1655"/>
      <c r="J97" s="33"/>
      <c r="K97" s="33"/>
      <c r="L97" s="33"/>
      <c r="M97" s="33"/>
      <c r="N97" s="33"/>
      <c r="O97" s="33"/>
      <c r="P97" s="33"/>
    </row>
    <row r="98" spans="6:16" s="75" customFormat="1">
      <c r="F98" s="76"/>
      <c r="G98" s="1655"/>
      <c r="H98" s="1656"/>
      <c r="I98" s="1655"/>
      <c r="J98" s="33"/>
      <c r="K98" s="33"/>
      <c r="L98" s="33"/>
      <c r="M98" s="33"/>
      <c r="N98" s="33"/>
      <c r="O98" s="33"/>
      <c r="P98" s="33"/>
    </row>
    <row r="99" spans="6:16" s="75" customFormat="1">
      <c r="F99" s="76"/>
      <c r="G99" s="1655"/>
      <c r="H99" s="1656"/>
      <c r="I99" s="1655"/>
      <c r="J99" s="33"/>
      <c r="K99" s="33"/>
      <c r="L99" s="33"/>
      <c r="M99" s="33"/>
      <c r="N99" s="33"/>
      <c r="O99" s="33"/>
      <c r="P99" s="33"/>
    </row>
    <row r="100" spans="6:16" s="75" customFormat="1">
      <c r="F100" s="76"/>
      <c r="G100" s="1655"/>
      <c r="H100" s="1656"/>
      <c r="I100" s="1655"/>
      <c r="J100" s="33"/>
      <c r="K100" s="33"/>
      <c r="L100" s="33"/>
      <c r="M100" s="33"/>
      <c r="N100" s="33"/>
      <c r="O100" s="33"/>
      <c r="P100" s="33"/>
    </row>
    <row r="101" spans="6:16" s="75" customFormat="1">
      <c r="F101" s="76"/>
      <c r="G101" s="1655"/>
      <c r="H101" s="1656"/>
      <c r="I101" s="1655"/>
      <c r="J101" s="33"/>
      <c r="K101" s="33"/>
      <c r="L101" s="33"/>
      <c r="M101" s="33"/>
      <c r="N101" s="33"/>
      <c r="O101" s="33"/>
      <c r="P101" s="33"/>
    </row>
    <row r="102" spans="6:16" s="75" customFormat="1">
      <c r="F102" s="76"/>
      <c r="G102" s="1655"/>
      <c r="H102" s="1656"/>
      <c r="I102" s="1655"/>
      <c r="J102" s="33"/>
      <c r="K102" s="33"/>
      <c r="L102" s="33"/>
      <c r="M102" s="33"/>
      <c r="N102" s="33"/>
      <c r="O102" s="33"/>
      <c r="P102" s="33"/>
    </row>
    <row r="103" spans="6:16" s="75" customFormat="1">
      <c r="F103" s="76"/>
      <c r="G103" s="1655"/>
      <c r="H103" s="1656"/>
      <c r="I103" s="1655"/>
      <c r="J103" s="33"/>
      <c r="K103" s="33"/>
      <c r="L103" s="33"/>
      <c r="M103" s="33"/>
      <c r="N103" s="33"/>
      <c r="O103" s="33"/>
      <c r="P103" s="33"/>
    </row>
    <row r="104" spans="6:16" s="75" customFormat="1">
      <c r="F104" s="76"/>
      <c r="G104" s="1655"/>
      <c r="H104" s="1656"/>
      <c r="I104" s="1655"/>
      <c r="J104" s="33"/>
      <c r="K104" s="33"/>
      <c r="L104" s="33"/>
      <c r="M104" s="33"/>
      <c r="N104" s="33"/>
      <c r="O104" s="33"/>
      <c r="P104" s="33"/>
    </row>
    <row r="105" spans="6:16" s="75" customFormat="1">
      <c r="F105" s="76"/>
      <c r="G105" s="1655"/>
      <c r="H105" s="1656"/>
      <c r="I105" s="1655"/>
      <c r="J105" s="33"/>
      <c r="K105" s="33"/>
      <c r="L105" s="33"/>
      <c r="M105" s="33"/>
      <c r="N105" s="33"/>
      <c r="O105" s="33"/>
      <c r="P105" s="33"/>
    </row>
    <row r="106" spans="6:16" s="75" customFormat="1">
      <c r="F106" s="76"/>
      <c r="G106" s="1655"/>
      <c r="H106" s="1656"/>
      <c r="I106" s="1655"/>
      <c r="J106" s="33"/>
      <c r="K106" s="33"/>
      <c r="L106" s="33"/>
      <c r="M106" s="33"/>
      <c r="N106" s="33"/>
      <c r="O106" s="33"/>
      <c r="P106" s="33"/>
    </row>
    <row r="107" spans="6:16" s="75" customFormat="1">
      <c r="F107" s="76"/>
      <c r="G107" s="1655"/>
      <c r="H107" s="1656"/>
      <c r="I107" s="1655"/>
      <c r="J107" s="33"/>
      <c r="K107" s="33"/>
      <c r="L107" s="33"/>
      <c r="M107" s="33"/>
      <c r="N107" s="33"/>
      <c r="O107" s="33"/>
      <c r="P107" s="33"/>
    </row>
    <row r="108" spans="6:16" s="75" customFormat="1">
      <c r="F108" s="76"/>
      <c r="G108" s="1655"/>
      <c r="H108" s="1656"/>
      <c r="I108" s="1655"/>
      <c r="J108" s="33"/>
      <c r="K108" s="33"/>
      <c r="L108" s="33"/>
      <c r="M108" s="33"/>
      <c r="N108" s="33"/>
      <c r="O108" s="33"/>
      <c r="P108" s="33"/>
    </row>
    <row r="109" spans="6:16" s="75" customFormat="1">
      <c r="F109" s="76"/>
      <c r="G109" s="1655"/>
      <c r="H109" s="1656"/>
      <c r="I109" s="1655"/>
      <c r="J109" s="33"/>
      <c r="K109" s="33"/>
      <c r="L109" s="33"/>
      <c r="M109" s="33"/>
      <c r="N109" s="33"/>
      <c r="O109" s="33"/>
      <c r="P109" s="33"/>
    </row>
    <row r="110" spans="6:16" s="75" customFormat="1">
      <c r="F110" s="76"/>
      <c r="G110" s="1655"/>
      <c r="H110" s="1656"/>
      <c r="I110" s="1655"/>
      <c r="J110" s="33"/>
      <c r="K110" s="33"/>
      <c r="L110" s="33"/>
      <c r="M110" s="33"/>
      <c r="N110" s="33"/>
      <c r="O110" s="33"/>
      <c r="P110" s="33"/>
    </row>
    <row r="111" spans="6:16" s="75" customFormat="1">
      <c r="F111" s="76"/>
      <c r="G111" s="1655"/>
      <c r="H111" s="1656"/>
      <c r="I111" s="1655"/>
      <c r="J111" s="33"/>
      <c r="K111" s="33"/>
      <c r="L111" s="33"/>
      <c r="M111" s="33"/>
      <c r="N111" s="33"/>
      <c r="O111" s="33"/>
      <c r="P111" s="33"/>
    </row>
    <row r="112" spans="6:16" s="75" customFormat="1">
      <c r="F112" s="76"/>
      <c r="G112" s="1655"/>
      <c r="H112" s="1656"/>
      <c r="I112" s="1655"/>
      <c r="J112" s="33"/>
      <c r="K112" s="33"/>
      <c r="L112" s="33"/>
      <c r="M112" s="33"/>
      <c r="N112" s="33"/>
      <c r="O112" s="33"/>
      <c r="P112" s="33"/>
    </row>
    <row r="113" spans="6:16" s="75" customFormat="1">
      <c r="F113" s="76"/>
      <c r="G113" s="1655"/>
      <c r="H113" s="1656"/>
      <c r="I113" s="1655"/>
      <c r="J113" s="33"/>
      <c r="K113" s="33"/>
      <c r="L113" s="33"/>
      <c r="M113" s="33"/>
      <c r="N113" s="33"/>
      <c r="O113" s="33"/>
      <c r="P113" s="33"/>
    </row>
    <row r="114" spans="6:16" s="75" customFormat="1">
      <c r="F114" s="76"/>
      <c r="G114" s="1655"/>
      <c r="H114" s="1656"/>
      <c r="I114" s="1655"/>
      <c r="J114" s="33"/>
      <c r="K114" s="33"/>
      <c r="L114" s="33"/>
      <c r="M114" s="33"/>
      <c r="N114" s="33"/>
      <c r="O114" s="33"/>
      <c r="P114" s="33"/>
    </row>
    <row r="115" spans="6:16" s="75" customFormat="1">
      <c r="F115" s="76"/>
      <c r="G115" s="1655"/>
      <c r="H115" s="1656"/>
      <c r="I115" s="1655"/>
      <c r="J115" s="33"/>
      <c r="K115" s="33"/>
      <c r="L115" s="33"/>
      <c r="M115" s="33"/>
      <c r="N115" s="33"/>
      <c r="O115" s="33"/>
      <c r="P115" s="33"/>
    </row>
    <row r="116" spans="6:16" s="75" customFormat="1">
      <c r="F116" s="76"/>
      <c r="G116" s="1655"/>
      <c r="H116" s="1656"/>
      <c r="I116" s="1655"/>
      <c r="J116" s="33"/>
      <c r="K116" s="33"/>
      <c r="L116" s="33"/>
      <c r="M116" s="33"/>
      <c r="N116" s="33"/>
      <c r="O116" s="33"/>
      <c r="P116" s="33"/>
    </row>
    <row r="117" spans="6:16" s="75" customFormat="1">
      <c r="F117" s="76"/>
      <c r="G117" s="1655"/>
      <c r="H117" s="1656"/>
      <c r="I117" s="1655"/>
      <c r="J117" s="33"/>
      <c r="K117" s="33"/>
      <c r="L117" s="33"/>
      <c r="M117" s="33"/>
      <c r="N117" s="33"/>
      <c r="O117" s="33"/>
      <c r="P117" s="33"/>
    </row>
    <row r="118" spans="6:16" s="75" customFormat="1">
      <c r="F118" s="76"/>
      <c r="G118" s="1655"/>
      <c r="H118" s="1656"/>
      <c r="I118" s="1655"/>
      <c r="J118" s="33"/>
      <c r="K118" s="33"/>
      <c r="L118" s="33"/>
      <c r="M118" s="33"/>
      <c r="N118" s="33"/>
      <c r="O118" s="33"/>
      <c r="P118" s="33"/>
    </row>
    <row r="119" spans="6:16" s="75" customFormat="1">
      <c r="F119" s="76"/>
      <c r="G119" s="1655"/>
      <c r="H119" s="1656"/>
      <c r="I119" s="1655"/>
      <c r="J119" s="33"/>
      <c r="K119" s="33"/>
      <c r="L119" s="33"/>
      <c r="M119" s="33"/>
      <c r="N119" s="33"/>
      <c r="O119" s="33"/>
      <c r="P119" s="33"/>
    </row>
    <row r="120" spans="6:16" s="75" customFormat="1">
      <c r="F120" s="76"/>
      <c r="G120" s="1655"/>
      <c r="H120" s="1656"/>
      <c r="I120" s="1655"/>
      <c r="J120" s="33"/>
      <c r="K120" s="33"/>
      <c r="L120" s="33"/>
      <c r="M120" s="33"/>
      <c r="N120" s="33"/>
      <c r="O120" s="33"/>
      <c r="P120" s="33"/>
    </row>
    <row r="121" spans="6:16" s="75" customFormat="1">
      <c r="F121" s="76"/>
      <c r="G121" s="1655"/>
      <c r="H121" s="1656"/>
      <c r="I121" s="1655"/>
      <c r="J121" s="33"/>
      <c r="K121" s="33"/>
      <c r="L121" s="33"/>
      <c r="M121" s="33"/>
      <c r="N121" s="33"/>
      <c r="O121" s="33"/>
      <c r="P121" s="33"/>
    </row>
    <row r="122" spans="6:16" s="75" customFormat="1">
      <c r="F122" s="76"/>
      <c r="G122" s="1655"/>
      <c r="H122" s="1656"/>
      <c r="I122" s="1655"/>
      <c r="J122" s="33"/>
      <c r="K122" s="33"/>
      <c r="L122" s="33"/>
      <c r="M122" s="33"/>
      <c r="N122" s="33"/>
      <c r="O122" s="33"/>
      <c r="P122" s="33"/>
    </row>
    <row r="123" spans="6:16" s="75" customFormat="1">
      <c r="F123" s="76"/>
      <c r="G123" s="1655"/>
      <c r="H123" s="1656"/>
      <c r="I123" s="1655"/>
      <c r="J123" s="33"/>
      <c r="K123" s="33"/>
      <c r="L123" s="33"/>
      <c r="M123" s="33"/>
      <c r="N123" s="33"/>
      <c r="O123" s="33"/>
      <c r="P123" s="33"/>
    </row>
    <row r="124" spans="6:16" s="75" customFormat="1">
      <c r="F124" s="76"/>
      <c r="G124" s="1655"/>
      <c r="H124" s="1656"/>
      <c r="I124" s="1655"/>
      <c r="J124" s="33"/>
      <c r="K124" s="33"/>
      <c r="L124" s="33"/>
      <c r="M124" s="33"/>
      <c r="N124" s="33"/>
      <c r="O124" s="33"/>
      <c r="P124" s="33"/>
    </row>
    <row r="125" spans="6:16" s="75" customFormat="1">
      <c r="F125" s="76"/>
      <c r="G125" s="1655"/>
      <c r="H125" s="1656"/>
      <c r="I125" s="1655"/>
      <c r="J125" s="33"/>
      <c r="K125" s="33"/>
      <c r="L125" s="33"/>
      <c r="M125" s="33"/>
      <c r="N125" s="33"/>
      <c r="O125" s="33"/>
      <c r="P125" s="33"/>
    </row>
    <row r="126" spans="6:16" s="75" customFormat="1">
      <c r="F126" s="76"/>
      <c r="G126" s="1655"/>
      <c r="H126" s="1656"/>
      <c r="I126" s="1655"/>
      <c r="J126" s="33"/>
      <c r="K126" s="33"/>
      <c r="L126" s="33"/>
      <c r="M126" s="33"/>
      <c r="N126" s="33"/>
      <c r="O126" s="33"/>
      <c r="P126" s="33"/>
    </row>
    <row r="127" spans="6:16" s="75" customFormat="1">
      <c r="F127" s="76"/>
      <c r="G127" s="1655"/>
      <c r="H127" s="1656"/>
      <c r="I127" s="1655"/>
      <c r="J127" s="33"/>
      <c r="K127" s="33"/>
      <c r="L127" s="33"/>
      <c r="M127" s="33"/>
      <c r="N127" s="33"/>
      <c r="O127" s="33"/>
      <c r="P127" s="33"/>
    </row>
    <row r="128" spans="6:16" s="75" customFormat="1">
      <c r="F128" s="76"/>
      <c r="G128" s="1655"/>
      <c r="H128" s="1656"/>
      <c r="I128" s="1655"/>
      <c r="J128" s="33"/>
      <c r="K128" s="33"/>
      <c r="L128" s="33"/>
      <c r="M128" s="33"/>
      <c r="N128" s="33"/>
      <c r="O128" s="33"/>
      <c r="P128" s="33"/>
    </row>
    <row r="129" spans="6:16" s="75" customFormat="1">
      <c r="F129" s="76"/>
      <c r="G129" s="1655"/>
      <c r="H129" s="1656"/>
      <c r="I129" s="1655"/>
      <c r="J129" s="33"/>
      <c r="K129" s="33"/>
      <c r="L129" s="33"/>
      <c r="M129" s="33"/>
      <c r="N129" s="33"/>
      <c r="O129" s="33"/>
      <c r="P129" s="33"/>
    </row>
    <row r="130" spans="6:16" s="75" customFormat="1">
      <c r="F130" s="76"/>
      <c r="G130" s="1655"/>
      <c r="H130" s="1656"/>
      <c r="I130" s="1655"/>
      <c r="J130" s="33"/>
      <c r="K130" s="33"/>
      <c r="L130" s="33"/>
      <c r="M130" s="33"/>
      <c r="N130" s="33"/>
      <c r="O130" s="33"/>
      <c r="P130" s="33"/>
    </row>
    <row r="131" spans="6:16" s="75" customFormat="1">
      <c r="F131" s="76"/>
      <c r="G131" s="1655"/>
      <c r="H131" s="1656"/>
      <c r="I131" s="1655"/>
      <c r="J131" s="33"/>
      <c r="K131" s="33"/>
      <c r="L131" s="33"/>
      <c r="M131" s="33"/>
      <c r="N131" s="33"/>
      <c r="O131" s="33"/>
      <c r="P131" s="33"/>
    </row>
    <row r="132" spans="6:16" s="75" customFormat="1">
      <c r="F132" s="76"/>
      <c r="G132" s="1655"/>
      <c r="H132" s="1656"/>
      <c r="I132" s="1655"/>
      <c r="J132" s="33"/>
      <c r="K132" s="33"/>
      <c r="L132" s="33"/>
      <c r="M132" s="33"/>
      <c r="N132" s="33"/>
      <c r="O132" s="33"/>
      <c r="P132" s="33"/>
    </row>
    <row r="133" spans="6:16" s="75" customFormat="1">
      <c r="F133" s="76"/>
      <c r="G133" s="1655"/>
      <c r="H133" s="1656"/>
      <c r="I133" s="1655"/>
      <c r="J133" s="33"/>
      <c r="K133" s="33"/>
      <c r="L133" s="33"/>
      <c r="M133" s="33"/>
      <c r="N133" s="33"/>
      <c r="O133" s="33"/>
      <c r="P133" s="33"/>
    </row>
    <row r="134" spans="6:16" s="75" customFormat="1">
      <c r="F134" s="76"/>
      <c r="G134" s="1655"/>
      <c r="H134" s="1656"/>
      <c r="I134" s="1655"/>
      <c r="J134" s="33"/>
      <c r="K134" s="33"/>
      <c r="L134" s="33"/>
      <c r="M134" s="33"/>
      <c r="N134" s="33"/>
      <c r="O134" s="33"/>
      <c r="P134" s="33"/>
    </row>
    <row r="135" spans="6:16" s="75" customFormat="1">
      <c r="F135" s="76"/>
      <c r="G135" s="1655"/>
      <c r="H135" s="1656"/>
      <c r="I135" s="1655"/>
      <c r="J135" s="33"/>
      <c r="K135" s="33"/>
      <c r="L135" s="33"/>
      <c r="M135" s="33"/>
      <c r="N135" s="33"/>
      <c r="O135" s="33"/>
      <c r="P135" s="33"/>
    </row>
    <row r="136" spans="6:16" s="75" customFormat="1">
      <c r="F136" s="76"/>
      <c r="G136" s="1655"/>
      <c r="H136" s="1656"/>
      <c r="I136" s="1655"/>
      <c r="J136" s="33"/>
      <c r="K136" s="33"/>
      <c r="L136" s="33"/>
      <c r="M136" s="33"/>
      <c r="N136" s="33"/>
      <c r="O136" s="33"/>
      <c r="P136" s="33"/>
    </row>
    <row r="137" spans="6:16" s="75" customFormat="1">
      <c r="F137" s="76"/>
      <c r="G137" s="1655"/>
      <c r="H137" s="1656"/>
      <c r="I137" s="1655"/>
      <c r="J137" s="33"/>
      <c r="K137" s="33"/>
      <c r="L137" s="33"/>
      <c r="M137" s="33"/>
      <c r="N137" s="33"/>
      <c r="O137" s="33"/>
      <c r="P137" s="33"/>
    </row>
    <row r="138" spans="6:16" s="75" customFormat="1">
      <c r="F138" s="76"/>
      <c r="G138" s="1655"/>
      <c r="H138" s="1656"/>
      <c r="I138" s="1655"/>
      <c r="J138" s="33"/>
      <c r="K138" s="33"/>
      <c r="L138" s="33"/>
      <c r="M138" s="33"/>
      <c r="N138" s="33"/>
      <c r="O138" s="33"/>
      <c r="P138" s="33"/>
    </row>
    <row r="139" spans="6:16" s="75" customFormat="1">
      <c r="F139" s="76"/>
      <c r="G139" s="1655"/>
      <c r="H139" s="1656"/>
      <c r="I139" s="1655"/>
      <c r="J139" s="33"/>
      <c r="K139" s="33"/>
      <c r="L139" s="33"/>
      <c r="M139" s="33"/>
      <c r="N139" s="33"/>
      <c r="O139" s="33"/>
      <c r="P139" s="33"/>
    </row>
    <row r="140" spans="6:16" s="75" customFormat="1">
      <c r="F140" s="76"/>
      <c r="G140" s="1655"/>
      <c r="H140" s="1656"/>
      <c r="I140" s="1655"/>
      <c r="J140" s="33"/>
      <c r="K140" s="33"/>
      <c r="L140" s="33"/>
      <c r="M140" s="33"/>
      <c r="N140" s="33"/>
      <c r="O140" s="33"/>
      <c r="P140" s="33"/>
    </row>
    <row r="141" spans="6:16" s="75" customFormat="1">
      <c r="F141" s="76"/>
      <c r="G141" s="1655"/>
      <c r="H141" s="1656"/>
      <c r="I141" s="1655"/>
      <c r="J141" s="33"/>
      <c r="K141" s="33"/>
      <c r="L141" s="33"/>
      <c r="M141" s="33"/>
      <c r="N141" s="33"/>
      <c r="O141" s="33"/>
      <c r="P141" s="33"/>
    </row>
    <row r="142" spans="6:16" s="75" customFormat="1">
      <c r="F142" s="76"/>
      <c r="G142" s="1655"/>
      <c r="H142" s="1656"/>
      <c r="I142" s="1655"/>
      <c r="J142" s="33"/>
      <c r="K142" s="33"/>
      <c r="L142" s="33"/>
      <c r="M142" s="33"/>
      <c r="N142" s="33"/>
      <c r="O142" s="33"/>
      <c r="P142" s="33"/>
    </row>
    <row r="143" spans="6:16" s="75" customFormat="1">
      <c r="F143" s="76"/>
      <c r="G143" s="1655"/>
      <c r="H143" s="1656"/>
      <c r="I143" s="1655"/>
      <c r="J143" s="33"/>
      <c r="K143" s="33"/>
      <c r="L143" s="33"/>
      <c r="M143" s="33"/>
      <c r="N143" s="33"/>
      <c r="O143" s="33"/>
      <c r="P143" s="33"/>
    </row>
    <row r="144" spans="6:16" s="75" customFormat="1">
      <c r="F144" s="76"/>
      <c r="G144" s="1655"/>
      <c r="H144" s="1656"/>
      <c r="I144" s="1655"/>
      <c r="J144" s="33"/>
      <c r="K144" s="33"/>
      <c r="L144" s="33"/>
      <c r="M144" s="33"/>
      <c r="N144" s="33"/>
      <c r="O144" s="33"/>
      <c r="P144" s="33"/>
    </row>
    <row r="145" spans="6:16" s="75" customFormat="1">
      <c r="F145" s="76"/>
      <c r="G145" s="1655"/>
      <c r="H145" s="1656"/>
      <c r="I145" s="1655"/>
      <c r="J145" s="33"/>
      <c r="K145" s="33"/>
      <c r="L145" s="33"/>
      <c r="M145" s="33"/>
      <c r="N145" s="33"/>
      <c r="O145" s="33"/>
      <c r="P145" s="33"/>
    </row>
    <row r="146" spans="6:16" s="75" customFormat="1">
      <c r="F146" s="76"/>
      <c r="G146" s="1655"/>
      <c r="H146" s="1656"/>
      <c r="I146" s="1655"/>
      <c r="J146" s="33"/>
      <c r="K146" s="33"/>
      <c r="L146" s="33"/>
      <c r="M146" s="33"/>
      <c r="N146" s="33"/>
      <c r="O146" s="33"/>
      <c r="P146" s="33"/>
    </row>
    <row r="147" spans="6:16" s="75" customFormat="1">
      <c r="F147" s="76"/>
      <c r="G147" s="1655"/>
      <c r="H147" s="1656"/>
      <c r="I147" s="1655"/>
      <c r="J147" s="33"/>
      <c r="K147" s="33"/>
      <c r="L147" s="33"/>
      <c r="M147" s="33"/>
      <c r="N147" s="33"/>
      <c r="O147" s="33"/>
      <c r="P147" s="33"/>
    </row>
    <row r="148" spans="6:16" s="75" customFormat="1">
      <c r="F148" s="76"/>
      <c r="G148" s="1655"/>
      <c r="H148" s="1656"/>
      <c r="I148" s="1655"/>
      <c r="J148" s="33"/>
      <c r="K148" s="33"/>
      <c r="L148" s="33"/>
      <c r="M148" s="33"/>
      <c r="N148" s="33"/>
      <c r="O148" s="33"/>
      <c r="P148" s="33"/>
    </row>
    <row r="149" spans="6:16" s="75" customFormat="1">
      <c r="F149" s="76"/>
      <c r="G149" s="1655"/>
      <c r="H149" s="1656"/>
      <c r="I149" s="1655"/>
      <c r="J149" s="33"/>
      <c r="K149" s="33"/>
      <c r="L149" s="33"/>
      <c r="M149" s="33"/>
      <c r="N149" s="33"/>
      <c r="O149" s="33"/>
      <c r="P149" s="33"/>
    </row>
    <row r="150" spans="6:16" s="75" customFormat="1">
      <c r="F150" s="76"/>
      <c r="G150" s="1655"/>
      <c r="H150" s="1656"/>
      <c r="I150" s="1655"/>
      <c r="J150" s="33"/>
      <c r="K150" s="33"/>
      <c r="L150" s="33"/>
      <c r="M150" s="33"/>
      <c r="N150" s="33"/>
      <c r="O150" s="33"/>
      <c r="P150" s="33"/>
    </row>
    <row r="151" spans="6:16" s="75" customFormat="1">
      <c r="F151" s="76"/>
      <c r="G151" s="1655"/>
      <c r="H151" s="1656"/>
      <c r="I151" s="1655"/>
      <c r="J151" s="33"/>
      <c r="K151" s="33"/>
      <c r="L151" s="33"/>
      <c r="M151" s="33"/>
      <c r="N151" s="33"/>
      <c r="O151" s="33"/>
      <c r="P151" s="33"/>
    </row>
    <row r="152" spans="6:16" s="75" customFormat="1">
      <c r="F152" s="76"/>
      <c r="G152" s="1655"/>
      <c r="H152" s="1656"/>
      <c r="I152" s="1655"/>
      <c r="J152" s="33"/>
      <c r="K152" s="33"/>
      <c r="L152" s="33"/>
      <c r="M152" s="33"/>
      <c r="N152" s="33"/>
      <c r="O152" s="33"/>
      <c r="P152" s="33"/>
    </row>
    <row r="153" spans="6:16" s="75" customFormat="1">
      <c r="F153" s="76"/>
      <c r="G153" s="1655"/>
      <c r="H153" s="1656"/>
      <c r="I153" s="1655"/>
      <c r="J153" s="33"/>
      <c r="K153" s="33"/>
      <c r="L153" s="33"/>
      <c r="M153" s="33"/>
      <c r="N153" s="33"/>
      <c r="O153" s="33"/>
      <c r="P153" s="33"/>
    </row>
    <row r="154" spans="6:16" s="75" customFormat="1">
      <c r="F154" s="76"/>
      <c r="G154" s="1655"/>
      <c r="H154" s="1656"/>
      <c r="I154" s="1655"/>
      <c r="J154" s="33"/>
      <c r="K154" s="33"/>
      <c r="L154" s="33"/>
      <c r="M154" s="33"/>
      <c r="N154" s="33"/>
      <c r="O154" s="33"/>
      <c r="P154" s="33"/>
    </row>
    <row r="155" spans="6:16" s="75" customFormat="1">
      <c r="F155" s="76"/>
      <c r="G155" s="1655"/>
      <c r="H155" s="1656"/>
      <c r="I155" s="1655"/>
      <c r="J155" s="33"/>
      <c r="K155" s="33"/>
      <c r="L155" s="33"/>
      <c r="M155" s="33"/>
      <c r="N155" s="33"/>
      <c r="O155" s="33"/>
      <c r="P155" s="33"/>
    </row>
    <row r="156" spans="6:16" s="75" customFormat="1">
      <c r="F156" s="76"/>
      <c r="G156" s="1655"/>
      <c r="H156" s="1656"/>
      <c r="I156" s="1655"/>
      <c r="J156" s="33"/>
      <c r="K156" s="33"/>
      <c r="L156" s="33"/>
      <c r="M156" s="33"/>
      <c r="N156" s="33"/>
      <c r="O156" s="33"/>
      <c r="P156" s="33"/>
    </row>
    <row r="157" spans="6:16" s="75" customFormat="1">
      <c r="F157" s="76"/>
      <c r="G157" s="1655"/>
      <c r="H157" s="1656"/>
      <c r="I157" s="1655"/>
      <c r="J157" s="33"/>
      <c r="K157" s="33"/>
      <c r="L157" s="33"/>
      <c r="M157" s="33"/>
      <c r="N157" s="33"/>
      <c r="O157" s="33"/>
      <c r="P157" s="33"/>
    </row>
    <row r="158" spans="6:16" s="75" customFormat="1">
      <c r="F158" s="76"/>
      <c r="G158" s="1655"/>
      <c r="H158" s="1656"/>
      <c r="I158" s="1655"/>
      <c r="J158" s="33"/>
      <c r="K158" s="33"/>
      <c r="L158" s="33"/>
      <c r="M158" s="33"/>
      <c r="N158" s="33"/>
      <c r="O158" s="33"/>
      <c r="P158" s="33"/>
    </row>
    <row r="159" spans="6:16" s="75" customFormat="1">
      <c r="F159" s="76"/>
      <c r="G159" s="1655"/>
      <c r="H159" s="1656"/>
      <c r="I159" s="1655"/>
      <c r="J159" s="33"/>
      <c r="K159" s="33"/>
      <c r="L159" s="33"/>
      <c r="M159" s="33"/>
      <c r="N159" s="33"/>
      <c r="O159" s="33"/>
      <c r="P159" s="33"/>
    </row>
    <row r="160" spans="6:16" s="75" customFormat="1">
      <c r="F160" s="76"/>
      <c r="G160" s="1655"/>
      <c r="H160" s="1656"/>
      <c r="I160" s="1655"/>
      <c r="J160" s="33"/>
      <c r="K160" s="33"/>
      <c r="L160" s="33"/>
      <c r="M160" s="33"/>
      <c r="N160" s="33"/>
      <c r="O160" s="33"/>
      <c r="P160" s="33"/>
    </row>
    <row r="161" spans="6:16" s="75" customFormat="1">
      <c r="F161" s="76"/>
      <c r="G161" s="1655"/>
      <c r="H161" s="1656"/>
      <c r="I161" s="1655"/>
      <c r="J161" s="33"/>
      <c r="K161" s="33"/>
      <c r="L161" s="33"/>
      <c r="M161" s="33"/>
      <c r="N161" s="33"/>
      <c r="O161" s="33"/>
      <c r="P161" s="33"/>
    </row>
    <row r="162" spans="6:16" s="75" customFormat="1">
      <c r="F162" s="76"/>
      <c r="G162" s="1655"/>
      <c r="H162" s="1656"/>
      <c r="I162" s="1655"/>
      <c r="J162" s="33"/>
      <c r="K162" s="33"/>
      <c r="L162" s="33"/>
      <c r="M162" s="33"/>
      <c r="N162" s="33"/>
      <c r="O162" s="33"/>
      <c r="P162" s="33"/>
    </row>
    <row r="163" spans="6:16" s="75" customFormat="1">
      <c r="F163" s="76"/>
      <c r="G163" s="1655"/>
      <c r="H163" s="1656"/>
      <c r="I163" s="1655"/>
      <c r="J163" s="33"/>
      <c r="K163" s="33"/>
      <c r="L163" s="33"/>
      <c r="M163" s="33"/>
      <c r="N163" s="33"/>
      <c r="O163" s="33"/>
      <c r="P163" s="33"/>
    </row>
    <row r="164" spans="6:16" s="75" customFormat="1">
      <c r="F164" s="76"/>
      <c r="G164" s="1655"/>
      <c r="H164" s="1656"/>
      <c r="I164" s="1655"/>
      <c r="J164" s="33"/>
      <c r="K164" s="33"/>
      <c r="L164" s="33"/>
      <c r="M164" s="33"/>
      <c r="N164" s="33"/>
      <c r="O164" s="33"/>
      <c r="P164" s="33"/>
    </row>
    <row r="165" spans="6:16" s="75" customFormat="1">
      <c r="F165" s="76"/>
      <c r="G165" s="1655"/>
      <c r="H165" s="1656"/>
      <c r="I165" s="1655"/>
      <c r="J165" s="33"/>
      <c r="K165" s="33"/>
      <c r="L165" s="33"/>
      <c r="M165" s="33"/>
      <c r="N165" s="33"/>
      <c r="O165" s="33"/>
      <c r="P165" s="33"/>
    </row>
    <row r="166" spans="6:16" s="75" customFormat="1">
      <c r="F166" s="76"/>
      <c r="G166" s="1655"/>
      <c r="H166" s="1656"/>
      <c r="I166" s="1655"/>
      <c r="J166" s="33"/>
      <c r="K166" s="33"/>
      <c r="L166" s="33"/>
      <c r="M166" s="33"/>
      <c r="N166" s="33"/>
      <c r="O166" s="33"/>
      <c r="P166" s="33"/>
    </row>
    <row r="167" spans="6:16" s="75" customFormat="1">
      <c r="F167" s="76"/>
      <c r="G167" s="1655"/>
      <c r="H167" s="1656"/>
      <c r="I167" s="1655"/>
      <c r="J167" s="33"/>
      <c r="K167" s="33"/>
      <c r="L167" s="33"/>
      <c r="M167" s="33"/>
      <c r="N167" s="33"/>
      <c r="O167" s="33"/>
      <c r="P167" s="33"/>
    </row>
    <row r="168" spans="6:16" s="75" customFormat="1">
      <c r="F168" s="76"/>
      <c r="G168" s="1655"/>
      <c r="H168" s="1656"/>
      <c r="I168" s="1655"/>
      <c r="J168" s="33"/>
      <c r="K168" s="33"/>
      <c r="L168" s="33"/>
      <c r="M168" s="33"/>
      <c r="N168" s="33"/>
      <c r="O168" s="33"/>
      <c r="P168" s="33"/>
    </row>
    <row r="169" spans="6:16" s="75" customFormat="1">
      <c r="F169" s="76"/>
      <c r="G169" s="1655"/>
      <c r="H169" s="1656"/>
      <c r="I169" s="1655"/>
      <c r="J169" s="33"/>
      <c r="K169" s="33"/>
      <c r="L169" s="33"/>
      <c r="M169" s="33"/>
      <c r="N169" s="33"/>
      <c r="O169" s="33"/>
      <c r="P169" s="33"/>
    </row>
    <row r="170" spans="6:16" s="75" customFormat="1">
      <c r="F170" s="76"/>
      <c r="G170" s="1655"/>
      <c r="H170" s="1656"/>
      <c r="I170" s="1655"/>
      <c r="J170" s="33"/>
      <c r="K170" s="33"/>
      <c r="L170" s="33"/>
      <c r="M170" s="33"/>
      <c r="N170" s="33"/>
      <c r="O170" s="33"/>
      <c r="P170" s="33"/>
    </row>
    <row r="171" spans="6:16" s="75" customFormat="1">
      <c r="F171" s="76"/>
      <c r="G171" s="1655"/>
      <c r="H171" s="1656"/>
      <c r="I171" s="1655"/>
      <c r="J171" s="33"/>
      <c r="K171" s="33"/>
      <c r="L171" s="33"/>
      <c r="M171" s="33"/>
      <c r="N171" s="33"/>
      <c r="O171" s="33"/>
      <c r="P171" s="33"/>
    </row>
    <row r="172" spans="6:16" s="75" customFormat="1">
      <c r="F172" s="76"/>
      <c r="G172" s="1655"/>
      <c r="H172" s="1656"/>
      <c r="I172" s="1655"/>
      <c r="J172" s="33"/>
      <c r="K172" s="33"/>
      <c r="L172" s="33"/>
      <c r="M172" s="33"/>
      <c r="N172" s="33"/>
      <c r="O172" s="33"/>
      <c r="P172" s="33"/>
    </row>
    <row r="173" spans="6:16" s="75" customFormat="1">
      <c r="F173" s="76"/>
      <c r="G173" s="1655"/>
      <c r="H173" s="1656"/>
      <c r="I173" s="1655"/>
      <c r="J173" s="33"/>
      <c r="K173" s="33"/>
      <c r="L173" s="33"/>
      <c r="M173" s="33"/>
      <c r="N173" s="33"/>
      <c r="O173" s="33"/>
      <c r="P173" s="33"/>
    </row>
    <row r="174" spans="6:16" s="75" customFormat="1">
      <c r="F174" s="76"/>
      <c r="G174" s="1655"/>
      <c r="H174" s="1656"/>
      <c r="I174" s="1655"/>
      <c r="J174" s="33"/>
      <c r="K174" s="33"/>
      <c r="L174" s="33"/>
      <c r="M174" s="33"/>
      <c r="N174" s="33"/>
      <c r="O174" s="33"/>
      <c r="P174" s="33"/>
    </row>
    <row r="175" spans="6:16" s="75" customFormat="1">
      <c r="F175" s="76"/>
      <c r="G175" s="1655"/>
      <c r="H175" s="1656"/>
      <c r="I175" s="1655"/>
      <c r="J175" s="33"/>
      <c r="K175" s="33"/>
      <c r="L175" s="33"/>
      <c r="M175" s="33"/>
      <c r="N175" s="33"/>
      <c r="O175" s="33"/>
      <c r="P175" s="33"/>
    </row>
    <row r="176" spans="6:16" s="75" customFormat="1">
      <c r="F176" s="76"/>
      <c r="G176" s="1655"/>
      <c r="H176" s="1656"/>
      <c r="I176" s="1655"/>
      <c r="J176" s="33"/>
      <c r="K176" s="33"/>
      <c r="L176" s="33"/>
      <c r="M176" s="33"/>
      <c r="N176" s="33"/>
      <c r="O176" s="33"/>
      <c r="P176" s="33"/>
    </row>
    <row r="177" spans="6:16" s="75" customFormat="1">
      <c r="F177" s="76"/>
      <c r="G177" s="1655"/>
      <c r="H177" s="1656"/>
      <c r="I177" s="1655"/>
      <c r="J177" s="33"/>
      <c r="K177" s="33"/>
      <c r="L177" s="33"/>
      <c r="M177" s="33"/>
      <c r="N177" s="33"/>
      <c r="O177" s="33"/>
      <c r="P177" s="33"/>
    </row>
    <row r="178" spans="6:16" s="75" customFormat="1">
      <c r="F178" s="76"/>
      <c r="G178" s="1655"/>
      <c r="H178" s="1656"/>
      <c r="I178" s="1655"/>
      <c r="J178" s="33"/>
      <c r="K178" s="33"/>
      <c r="L178" s="33"/>
      <c r="M178" s="33"/>
      <c r="N178" s="33"/>
      <c r="O178" s="33"/>
      <c r="P178" s="33"/>
    </row>
    <row r="179" spans="6:16" s="75" customFormat="1">
      <c r="F179" s="76"/>
      <c r="G179" s="1655"/>
      <c r="H179" s="1656"/>
      <c r="I179" s="1655"/>
      <c r="J179" s="33"/>
      <c r="K179" s="33"/>
      <c r="L179" s="33"/>
      <c r="M179" s="33"/>
      <c r="N179" s="33"/>
      <c r="O179" s="33"/>
      <c r="P179" s="33"/>
    </row>
    <row r="180" spans="6:16" s="75" customFormat="1">
      <c r="F180" s="76"/>
      <c r="G180" s="1655"/>
      <c r="H180" s="1656"/>
      <c r="I180" s="1655"/>
      <c r="J180" s="33"/>
      <c r="K180" s="33"/>
      <c r="L180" s="33"/>
      <c r="M180" s="33"/>
      <c r="N180" s="33"/>
      <c r="O180" s="33"/>
      <c r="P180" s="33"/>
    </row>
    <row r="181" spans="6:16" s="75" customFormat="1">
      <c r="F181" s="76"/>
      <c r="G181" s="1655"/>
      <c r="H181" s="1656"/>
      <c r="I181" s="1655"/>
      <c r="J181" s="33"/>
      <c r="K181" s="33"/>
      <c r="L181" s="33"/>
      <c r="M181" s="33"/>
      <c r="N181" s="33"/>
      <c r="O181" s="33"/>
      <c r="P181" s="33"/>
    </row>
    <row r="182" spans="6:16" s="75" customFormat="1">
      <c r="F182" s="76"/>
      <c r="G182" s="1655"/>
      <c r="H182" s="1656"/>
      <c r="I182" s="1655"/>
      <c r="J182" s="33"/>
      <c r="K182" s="33"/>
      <c r="L182" s="33"/>
      <c r="M182" s="33"/>
      <c r="N182" s="33"/>
      <c r="O182" s="33"/>
      <c r="P182" s="33"/>
    </row>
    <row r="183" spans="6:16" s="75" customFormat="1">
      <c r="F183" s="76"/>
      <c r="G183" s="1655"/>
      <c r="H183" s="1656"/>
      <c r="I183" s="1655"/>
      <c r="J183" s="33"/>
      <c r="K183" s="33"/>
      <c r="L183" s="33"/>
      <c r="M183" s="33"/>
      <c r="N183" s="33"/>
      <c r="O183" s="33"/>
      <c r="P183" s="33"/>
    </row>
    <row r="184" spans="6:16" s="75" customFormat="1">
      <c r="F184" s="76"/>
      <c r="G184" s="1655"/>
      <c r="H184" s="1656"/>
      <c r="I184" s="1655"/>
      <c r="J184" s="33"/>
      <c r="K184" s="33"/>
      <c r="L184" s="33"/>
      <c r="M184" s="33"/>
      <c r="N184" s="33"/>
      <c r="O184" s="33"/>
      <c r="P184" s="33"/>
    </row>
    <row r="185" spans="6:16" s="75" customFormat="1">
      <c r="F185" s="76"/>
      <c r="G185" s="1655"/>
      <c r="H185" s="1656"/>
      <c r="I185" s="1655"/>
      <c r="J185" s="33"/>
      <c r="K185" s="33"/>
      <c r="L185" s="33"/>
      <c r="M185" s="33"/>
      <c r="N185" s="33"/>
      <c r="O185" s="33"/>
      <c r="P185" s="33"/>
    </row>
    <row r="186" spans="6:16" s="75" customFormat="1">
      <c r="F186" s="76"/>
      <c r="G186" s="1655"/>
      <c r="H186" s="1656"/>
      <c r="I186" s="1655"/>
      <c r="J186" s="33"/>
      <c r="K186" s="33"/>
      <c r="L186" s="33"/>
      <c r="M186" s="33"/>
      <c r="N186" s="33"/>
      <c r="O186" s="33"/>
      <c r="P186" s="33"/>
    </row>
    <row r="187" spans="6:16" s="75" customFormat="1">
      <c r="F187" s="76"/>
      <c r="G187" s="1655"/>
      <c r="H187" s="1656"/>
      <c r="I187" s="1655"/>
      <c r="J187" s="33"/>
      <c r="K187" s="33"/>
      <c r="L187" s="33"/>
      <c r="M187" s="33"/>
      <c r="N187" s="33"/>
      <c r="O187" s="33"/>
      <c r="P187" s="33"/>
    </row>
    <row r="188" spans="6:16" s="75" customFormat="1">
      <c r="F188" s="76"/>
      <c r="G188" s="1655"/>
      <c r="H188" s="1656"/>
      <c r="I188" s="1655"/>
      <c r="J188" s="33"/>
      <c r="K188" s="33"/>
      <c r="L188" s="33"/>
      <c r="M188" s="33"/>
      <c r="N188" s="33"/>
      <c r="O188" s="33"/>
      <c r="P188" s="33"/>
    </row>
    <row r="189" spans="6:16" s="75" customFormat="1">
      <c r="F189" s="76"/>
      <c r="G189" s="1655"/>
      <c r="H189" s="1656"/>
      <c r="I189" s="1655"/>
      <c r="J189" s="33"/>
      <c r="K189" s="33"/>
      <c r="L189" s="33"/>
      <c r="M189" s="33"/>
      <c r="N189" s="33"/>
      <c r="O189" s="33"/>
      <c r="P189" s="33"/>
    </row>
    <row r="190" spans="6:16" s="75" customFormat="1">
      <c r="F190" s="76"/>
      <c r="G190" s="1655"/>
      <c r="H190" s="1656"/>
      <c r="I190" s="1655"/>
      <c r="J190" s="33"/>
      <c r="K190" s="33"/>
      <c r="L190" s="33"/>
      <c r="M190" s="33"/>
      <c r="N190" s="33"/>
      <c r="O190" s="33"/>
      <c r="P190" s="33"/>
    </row>
    <row r="191" spans="6:16" s="75" customFormat="1">
      <c r="F191" s="76"/>
      <c r="G191" s="1655"/>
      <c r="H191" s="1656"/>
      <c r="I191" s="1655"/>
      <c r="J191" s="33"/>
      <c r="K191" s="33"/>
      <c r="L191" s="33"/>
      <c r="M191" s="33"/>
      <c r="N191" s="33"/>
      <c r="O191" s="33"/>
      <c r="P191" s="33"/>
    </row>
    <row r="192" spans="6:16" s="75" customFormat="1">
      <c r="F192" s="76"/>
      <c r="G192" s="1655"/>
      <c r="H192" s="1656"/>
      <c r="I192" s="1655"/>
      <c r="J192" s="33"/>
      <c r="K192" s="33"/>
      <c r="L192" s="33"/>
      <c r="M192" s="33"/>
      <c r="N192" s="33"/>
      <c r="O192" s="33"/>
      <c r="P192" s="33"/>
    </row>
    <row r="193" spans="6:16" s="75" customFormat="1">
      <c r="F193" s="76"/>
      <c r="G193" s="1655"/>
      <c r="H193" s="1656"/>
      <c r="I193" s="1655"/>
      <c r="J193" s="33"/>
      <c r="K193" s="33"/>
      <c r="L193" s="33"/>
      <c r="M193" s="33"/>
      <c r="N193" s="33"/>
      <c r="O193" s="33"/>
      <c r="P193" s="33"/>
    </row>
    <row r="194" spans="6:16" s="75" customFormat="1">
      <c r="F194" s="76"/>
      <c r="G194" s="1655"/>
      <c r="H194" s="1656"/>
      <c r="I194" s="1655"/>
      <c r="J194" s="33"/>
      <c r="K194" s="33"/>
      <c r="L194" s="33"/>
      <c r="M194" s="33"/>
      <c r="N194" s="33"/>
      <c r="O194" s="33"/>
      <c r="P194" s="33"/>
    </row>
    <row r="195" spans="6:16" s="75" customFormat="1">
      <c r="F195" s="76"/>
      <c r="G195" s="1655"/>
      <c r="H195" s="1656"/>
      <c r="I195" s="1655"/>
      <c r="J195" s="33"/>
      <c r="K195" s="33"/>
      <c r="L195" s="33"/>
      <c r="M195" s="33"/>
      <c r="N195" s="33"/>
      <c r="O195" s="33"/>
      <c r="P195" s="33"/>
    </row>
    <row r="196" spans="6:16" s="75" customFormat="1">
      <c r="F196" s="76"/>
      <c r="G196" s="1655"/>
      <c r="H196" s="1656"/>
      <c r="I196" s="1655"/>
      <c r="J196" s="33"/>
      <c r="K196" s="33"/>
      <c r="L196" s="33"/>
      <c r="M196" s="33"/>
      <c r="N196" s="33"/>
      <c r="O196" s="33"/>
      <c r="P196" s="33"/>
    </row>
    <row r="197" spans="6:16" s="75" customFormat="1">
      <c r="F197" s="76"/>
      <c r="G197" s="1655"/>
      <c r="H197" s="1656"/>
      <c r="I197" s="1655"/>
      <c r="J197" s="33"/>
      <c r="K197" s="33"/>
      <c r="L197" s="33"/>
      <c r="M197" s="33"/>
      <c r="N197" s="33"/>
      <c r="O197" s="33"/>
      <c r="P197" s="33"/>
    </row>
    <row r="198" spans="6:16" s="75" customFormat="1">
      <c r="F198" s="76"/>
      <c r="G198" s="1655"/>
      <c r="H198" s="1656"/>
      <c r="I198" s="1655"/>
      <c r="J198" s="33"/>
      <c r="K198" s="33"/>
      <c r="L198" s="33"/>
      <c r="M198" s="33"/>
      <c r="N198" s="33"/>
      <c r="O198" s="33"/>
      <c r="P198" s="33"/>
    </row>
    <row r="199" spans="6:16" s="75" customFormat="1">
      <c r="F199" s="76"/>
      <c r="G199" s="1655"/>
      <c r="H199" s="1656"/>
      <c r="I199" s="1655"/>
      <c r="J199" s="33"/>
      <c r="K199" s="33"/>
      <c r="L199" s="33"/>
      <c r="M199" s="33"/>
      <c r="N199" s="33"/>
      <c r="O199" s="33"/>
      <c r="P199" s="33"/>
    </row>
    <row r="200" spans="6:16" s="75" customFormat="1">
      <c r="F200" s="76"/>
      <c r="G200" s="1655"/>
      <c r="H200" s="1656"/>
      <c r="I200" s="1655"/>
      <c r="J200" s="33"/>
      <c r="K200" s="33"/>
      <c r="L200" s="33"/>
      <c r="M200" s="33"/>
      <c r="N200" s="33"/>
      <c r="O200" s="33"/>
      <c r="P200" s="33"/>
    </row>
    <row r="201" spans="6:16" s="75" customFormat="1">
      <c r="F201" s="76"/>
      <c r="G201" s="1655"/>
      <c r="H201" s="1656"/>
      <c r="I201" s="1655"/>
      <c r="J201" s="33"/>
      <c r="K201" s="33"/>
      <c r="L201" s="33"/>
      <c r="M201" s="33"/>
      <c r="N201" s="33"/>
      <c r="O201" s="33"/>
      <c r="P201" s="33"/>
    </row>
    <row r="202" spans="6:16" s="75" customFormat="1">
      <c r="F202" s="76"/>
      <c r="G202" s="1655"/>
      <c r="H202" s="1656"/>
      <c r="I202" s="1655"/>
      <c r="J202" s="33"/>
      <c r="K202" s="33"/>
      <c r="L202" s="33"/>
      <c r="M202" s="33"/>
      <c r="N202" s="33"/>
      <c r="O202" s="33"/>
      <c r="P202" s="33"/>
    </row>
    <row r="203" spans="6:16" s="75" customFormat="1">
      <c r="F203" s="76"/>
      <c r="G203" s="1655"/>
      <c r="H203" s="1656"/>
      <c r="I203" s="1655"/>
      <c r="J203" s="33"/>
      <c r="K203" s="33"/>
      <c r="L203" s="33"/>
      <c r="M203" s="33"/>
      <c r="N203" s="33"/>
      <c r="O203" s="33"/>
      <c r="P203" s="33"/>
    </row>
    <row r="204" spans="6:16" s="75" customFormat="1">
      <c r="F204" s="76"/>
      <c r="G204" s="1655"/>
      <c r="H204" s="1656"/>
      <c r="I204" s="1655"/>
      <c r="J204" s="33"/>
      <c r="K204" s="33"/>
      <c r="L204" s="33"/>
      <c r="M204" s="33"/>
      <c r="N204" s="33"/>
      <c r="O204" s="33"/>
      <c r="P204" s="33"/>
    </row>
    <row r="205" spans="6:16" s="75" customFormat="1">
      <c r="F205" s="76"/>
      <c r="G205" s="1655"/>
      <c r="H205" s="1656"/>
      <c r="I205" s="1655"/>
      <c r="J205" s="33"/>
      <c r="K205" s="33"/>
      <c r="L205" s="33"/>
      <c r="M205" s="33"/>
      <c r="N205" s="33"/>
      <c r="O205" s="33"/>
      <c r="P205" s="33"/>
    </row>
    <row r="206" spans="6:16" s="75" customFormat="1">
      <c r="F206" s="76"/>
      <c r="G206" s="1655"/>
      <c r="H206" s="1656"/>
      <c r="I206" s="1655"/>
      <c r="J206" s="33"/>
      <c r="K206" s="33"/>
      <c r="L206" s="33"/>
      <c r="M206" s="33"/>
      <c r="N206" s="33"/>
      <c r="O206" s="33"/>
      <c r="P206" s="33"/>
    </row>
    <row r="207" spans="6:16" s="75" customFormat="1">
      <c r="F207" s="76"/>
      <c r="G207" s="1655"/>
      <c r="H207" s="1656"/>
      <c r="I207" s="1655"/>
      <c r="J207" s="33"/>
      <c r="K207" s="33"/>
      <c r="L207" s="33"/>
      <c r="M207" s="33"/>
      <c r="N207" s="33"/>
      <c r="O207" s="33"/>
      <c r="P207" s="33"/>
    </row>
    <row r="208" spans="6:16" s="75" customFormat="1">
      <c r="F208" s="76"/>
      <c r="G208" s="1655"/>
      <c r="H208" s="1656"/>
      <c r="I208" s="1655"/>
      <c r="J208" s="33"/>
      <c r="K208" s="33"/>
      <c r="L208" s="33"/>
      <c r="M208" s="33"/>
      <c r="N208" s="33"/>
      <c r="O208" s="33"/>
      <c r="P208" s="33"/>
    </row>
    <row r="209" spans="6:16" s="75" customFormat="1">
      <c r="F209" s="76"/>
      <c r="G209" s="1655"/>
      <c r="H209" s="1656"/>
      <c r="I209" s="1655"/>
      <c r="J209" s="33"/>
      <c r="K209" s="33"/>
      <c r="L209" s="33"/>
      <c r="M209" s="33"/>
      <c r="N209" s="33"/>
      <c r="O209" s="33"/>
      <c r="P209" s="33"/>
    </row>
    <row r="210" spans="6:16" s="75" customFormat="1">
      <c r="F210" s="76"/>
      <c r="G210" s="1655"/>
      <c r="H210" s="1656"/>
      <c r="I210" s="1655"/>
      <c r="J210" s="33"/>
      <c r="K210" s="33"/>
      <c r="L210" s="33"/>
      <c r="M210" s="33"/>
      <c r="N210" s="33"/>
      <c r="O210" s="33"/>
      <c r="P210" s="33"/>
    </row>
    <row r="211" spans="6:16" s="75" customFormat="1">
      <c r="F211" s="76"/>
      <c r="G211" s="1655"/>
      <c r="H211" s="1656"/>
      <c r="I211" s="1655"/>
      <c r="J211" s="33"/>
      <c r="K211" s="33"/>
      <c r="L211" s="33"/>
      <c r="M211" s="33"/>
      <c r="N211" s="33"/>
      <c r="O211" s="33"/>
      <c r="P211" s="33"/>
    </row>
    <row r="212" spans="6:16" s="75" customFormat="1">
      <c r="F212" s="76"/>
      <c r="G212" s="1655"/>
      <c r="H212" s="1656"/>
      <c r="I212" s="1655"/>
      <c r="J212" s="33"/>
      <c r="K212" s="33"/>
      <c r="L212" s="33"/>
      <c r="M212" s="33"/>
      <c r="N212" s="33"/>
      <c r="O212" s="33"/>
      <c r="P212" s="33"/>
    </row>
    <row r="213" spans="6:16" s="75" customFormat="1">
      <c r="F213" s="76"/>
      <c r="G213" s="1655"/>
      <c r="H213" s="1656"/>
      <c r="I213" s="1655"/>
      <c r="J213" s="33"/>
      <c r="K213" s="33"/>
      <c r="L213" s="33"/>
      <c r="M213" s="33"/>
      <c r="N213" s="33"/>
      <c r="O213" s="33"/>
      <c r="P213" s="33"/>
    </row>
    <row r="214" spans="6:16" s="75" customFormat="1">
      <c r="F214" s="76"/>
      <c r="G214" s="1655"/>
      <c r="H214" s="1656"/>
      <c r="I214" s="1655"/>
      <c r="J214" s="33"/>
      <c r="K214" s="33"/>
      <c r="L214" s="33"/>
      <c r="M214" s="33"/>
      <c r="N214" s="33"/>
      <c r="O214" s="33"/>
      <c r="P214" s="33"/>
    </row>
    <row r="215" spans="6:16" s="75" customFormat="1">
      <c r="F215" s="76"/>
      <c r="G215" s="1655"/>
      <c r="H215" s="1656"/>
      <c r="I215" s="1655"/>
      <c r="J215" s="33"/>
      <c r="K215" s="33"/>
      <c r="L215" s="33"/>
      <c r="M215" s="33"/>
      <c r="N215" s="33"/>
      <c r="O215" s="33"/>
      <c r="P215" s="33"/>
    </row>
    <row r="216" spans="6:16" s="75" customFormat="1">
      <c r="F216" s="76"/>
      <c r="G216" s="1655"/>
      <c r="H216" s="1656"/>
      <c r="I216" s="1655"/>
      <c r="J216" s="33"/>
      <c r="K216" s="33"/>
      <c r="L216" s="33"/>
      <c r="M216" s="33"/>
      <c r="N216" s="33"/>
      <c r="O216" s="33"/>
      <c r="P216" s="33"/>
    </row>
    <row r="217" spans="6:16" s="75" customFormat="1">
      <c r="F217" s="76"/>
      <c r="G217" s="1655"/>
      <c r="H217" s="1656"/>
      <c r="I217" s="1655"/>
      <c r="J217" s="33"/>
      <c r="K217" s="33"/>
      <c r="L217" s="33"/>
      <c r="M217" s="33"/>
      <c r="N217" s="33"/>
      <c r="O217" s="33"/>
      <c r="P217" s="33"/>
    </row>
    <row r="218" spans="6:16" s="75" customFormat="1">
      <c r="F218" s="76"/>
      <c r="G218" s="1655"/>
      <c r="H218" s="1656"/>
      <c r="I218" s="1655"/>
      <c r="J218" s="33"/>
      <c r="K218" s="33"/>
      <c r="L218" s="33"/>
      <c r="M218" s="33"/>
      <c r="N218" s="33"/>
      <c r="O218" s="33"/>
      <c r="P218" s="33"/>
    </row>
    <row r="219" spans="6:16" s="75" customFormat="1">
      <c r="F219" s="76"/>
      <c r="G219" s="1655"/>
      <c r="H219" s="1656"/>
      <c r="I219" s="1655"/>
      <c r="J219" s="33"/>
      <c r="K219" s="33"/>
      <c r="L219" s="33"/>
      <c r="M219" s="33"/>
      <c r="N219" s="33"/>
      <c r="O219" s="33"/>
      <c r="P219" s="33"/>
    </row>
    <row r="220" spans="6:16" s="75" customFormat="1">
      <c r="F220" s="76"/>
      <c r="G220" s="1655"/>
      <c r="H220" s="1656"/>
      <c r="I220" s="1655"/>
      <c r="J220" s="33"/>
      <c r="K220" s="33"/>
      <c r="L220" s="33"/>
      <c r="M220" s="33"/>
      <c r="N220" s="33"/>
      <c r="O220" s="33"/>
      <c r="P220" s="33"/>
    </row>
    <row r="221" spans="6:16" s="75" customFormat="1">
      <c r="F221" s="76"/>
      <c r="G221" s="1655"/>
      <c r="H221" s="1656"/>
      <c r="I221" s="1655"/>
      <c r="J221" s="33"/>
      <c r="K221" s="33"/>
      <c r="L221" s="33"/>
      <c r="M221" s="33"/>
      <c r="N221" s="33"/>
      <c r="O221" s="33"/>
      <c r="P221" s="33"/>
    </row>
    <row r="222" spans="6:16" s="75" customFormat="1">
      <c r="F222" s="76"/>
      <c r="G222" s="1655"/>
      <c r="H222" s="1656"/>
      <c r="I222" s="1655"/>
      <c r="J222" s="33"/>
      <c r="K222" s="33"/>
      <c r="L222" s="33"/>
      <c r="M222" s="33"/>
      <c r="N222" s="33"/>
      <c r="O222" s="33"/>
      <c r="P222" s="33"/>
    </row>
    <row r="223" spans="6:16" s="75" customFormat="1">
      <c r="F223" s="76"/>
      <c r="G223" s="1655"/>
      <c r="H223" s="1656"/>
      <c r="I223" s="1655"/>
      <c r="J223" s="33"/>
      <c r="K223" s="33"/>
      <c r="L223" s="33"/>
      <c r="M223" s="33"/>
      <c r="N223" s="33"/>
      <c r="O223" s="33"/>
      <c r="P223" s="33"/>
    </row>
    <row r="224" spans="6:16" s="75" customFormat="1">
      <c r="F224" s="76"/>
      <c r="G224" s="1655"/>
      <c r="H224" s="1656"/>
      <c r="I224" s="1655"/>
      <c r="J224" s="33"/>
      <c r="K224" s="33"/>
      <c r="L224" s="33"/>
      <c r="M224" s="33"/>
      <c r="N224" s="33"/>
      <c r="O224" s="33"/>
      <c r="P224" s="33"/>
    </row>
    <row r="225" spans="6:16" s="75" customFormat="1">
      <c r="F225" s="76"/>
      <c r="G225" s="1655"/>
      <c r="H225" s="1656"/>
      <c r="I225" s="1655"/>
      <c r="J225" s="33"/>
      <c r="K225" s="33"/>
      <c r="L225" s="33"/>
      <c r="M225" s="33"/>
      <c r="N225" s="33"/>
      <c r="O225" s="33"/>
      <c r="P225" s="33"/>
    </row>
    <row r="226" spans="6:16" s="75" customFormat="1">
      <c r="F226" s="76"/>
      <c r="G226" s="1655"/>
      <c r="H226" s="1656"/>
      <c r="I226" s="1655"/>
      <c r="J226" s="33"/>
      <c r="K226" s="33"/>
      <c r="L226" s="33"/>
      <c r="M226" s="33"/>
      <c r="N226" s="33"/>
      <c r="O226" s="33"/>
      <c r="P226" s="33"/>
    </row>
    <row r="227" spans="6:16" s="75" customFormat="1">
      <c r="F227" s="76"/>
      <c r="G227" s="1655"/>
      <c r="H227" s="1656"/>
      <c r="I227" s="1655"/>
      <c r="J227" s="33"/>
      <c r="K227" s="33"/>
      <c r="L227" s="33"/>
      <c r="M227" s="33"/>
      <c r="N227" s="33"/>
      <c r="O227" s="33"/>
      <c r="P227" s="33"/>
    </row>
    <row r="228" spans="6:16" s="75" customFormat="1">
      <c r="F228" s="76"/>
      <c r="G228" s="1655"/>
      <c r="H228" s="1656"/>
      <c r="I228" s="1655"/>
      <c r="J228" s="33"/>
      <c r="K228" s="33"/>
      <c r="L228" s="33"/>
      <c r="M228" s="33"/>
      <c r="N228" s="33"/>
      <c r="O228" s="33"/>
      <c r="P228" s="33"/>
    </row>
    <row r="229" spans="6:16" s="75" customFormat="1">
      <c r="F229" s="76"/>
      <c r="G229" s="1655"/>
      <c r="H229" s="1656"/>
      <c r="I229" s="1655"/>
      <c r="J229" s="33"/>
      <c r="K229" s="33"/>
      <c r="L229" s="33"/>
      <c r="M229" s="33"/>
      <c r="N229" s="33"/>
      <c r="O229" s="33"/>
      <c r="P229" s="33"/>
    </row>
    <row r="230" spans="6:16" s="75" customFormat="1">
      <c r="F230" s="76"/>
      <c r="G230" s="1655"/>
      <c r="H230" s="1656"/>
      <c r="I230" s="1655"/>
      <c r="J230" s="33"/>
      <c r="K230" s="33"/>
      <c r="L230" s="33"/>
      <c r="M230" s="33"/>
      <c r="N230" s="33"/>
      <c r="O230" s="33"/>
      <c r="P230" s="33"/>
    </row>
    <row r="231" spans="6:16" s="75" customFormat="1">
      <c r="F231" s="76"/>
      <c r="G231" s="1655"/>
      <c r="H231" s="1656"/>
      <c r="I231" s="1655"/>
      <c r="J231" s="33"/>
      <c r="K231" s="33"/>
      <c r="L231" s="33"/>
      <c r="M231" s="33"/>
      <c r="N231" s="33"/>
      <c r="O231" s="33"/>
      <c r="P231" s="33"/>
    </row>
    <row r="232" spans="6:16" s="75" customFormat="1">
      <c r="F232" s="76"/>
      <c r="G232" s="1655"/>
      <c r="H232" s="1656"/>
      <c r="I232" s="1655"/>
      <c r="J232" s="33"/>
      <c r="K232" s="33"/>
      <c r="L232" s="33"/>
      <c r="M232" s="33"/>
      <c r="N232" s="33"/>
      <c r="O232" s="33"/>
      <c r="P232" s="33"/>
    </row>
    <row r="233" spans="6:16" s="75" customFormat="1">
      <c r="F233" s="76"/>
      <c r="G233" s="1655"/>
      <c r="H233" s="1656"/>
      <c r="I233" s="1655"/>
      <c r="J233" s="33"/>
      <c r="K233" s="33"/>
      <c r="L233" s="33"/>
      <c r="M233" s="33"/>
      <c r="N233" s="33"/>
      <c r="O233" s="33"/>
      <c r="P233" s="33"/>
    </row>
    <row r="234" spans="6:16" s="75" customFormat="1">
      <c r="F234" s="76"/>
      <c r="G234" s="1655"/>
      <c r="H234" s="1656"/>
      <c r="I234" s="1655"/>
      <c r="J234" s="33"/>
      <c r="K234" s="33"/>
      <c r="L234" s="33"/>
      <c r="M234" s="33"/>
      <c r="N234" s="33"/>
      <c r="O234" s="33"/>
      <c r="P234" s="33"/>
    </row>
    <row r="235" spans="6:16" s="75" customFormat="1">
      <c r="F235" s="76"/>
      <c r="G235" s="1655"/>
      <c r="H235" s="1656"/>
      <c r="I235" s="1655"/>
      <c r="J235" s="33"/>
      <c r="K235" s="33"/>
      <c r="L235" s="33"/>
      <c r="M235" s="33"/>
      <c r="N235" s="33"/>
      <c r="O235" s="33"/>
      <c r="P235" s="33"/>
    </row>
    <row r="236" spans="6:16" s="75" customFormat="1">
      <c r="F236" s="76"/>
      <c r="G236" s="1655"/>
      <c r="H236" s="1656"/>
      <c r="I236" s="1655"/>
      <c r="J236" s="33"/>
      <c r="K236" s="33"/>
      <c r="L236" s="33"/>
      <c r="M236" s="33"/>
      <c r="N236" s="33"/>
      <c r="O236" s="33"/>
      <c r="P236" s="33"/>
    </row>
    <row r="237" spans="6:16" s="75" customFormat="1">
      <c r="F237" s="76"/>
      <c r="G237" s="1655"/>
      <c r="H237" s="1656"/>
      <c r="I237" s="1655"/>
      <c r="J237" s="33"/>
      <c r="K237" s="33"/>
      <c r="L237" s="33"/>
      <c r="M237" s="33"/>
      <c r="N237" s="33"/>
      <c r="O237" s="33"/>
      <c r="P237" s="33"/>
    </row>
    <row r="238" spans="6:16" s="75" customFormat="1">
      <c r="F238" s="76"/>
      <c r="G238" s="1655"/>
      <c r="H238" s="1656"/>
      <c r="I238" s="1655"/>
      <c r="J238" s="33"/>
      <c r="K238" s="33"/>
      <c r="L238" s="33"/>
      <c r="M238" s="33"/>
      <c r="N238" s="33"/>
      <c r="O238" s="33"/>
      <c r="P238" s="33"/>
    </row>
    <row r="239" spans="6:16" s="75" customFormat="1">
      <c r="F239" s="76"/>
      <c r="G239" s="1655"/>
      <c r="H239" s="1656"/>
      <c r="I239" s="1655"/>
      <c r="J239" s="33"/>
      <c r="K239" s="33"/>
      <c r="L239" s="33"/>
      <c r="M239" s="33"/>
      <c r="N239" s="33"/>
      <c r="O239" s="33"/>
      <c r="P239" s="33"/>
    </row>
    <row r="240" spans="6:16" s="75" customFormat="1">
      <c r="F240" s="76"/>
      <c r="G240" s="1655"/>
      <c r="H240" s="1656"/>
      <c r="I240" s="1655"/>
      <c r="J240" s="33"/>
      <c r="K240" s="33"/>
      <c r="L240" s="33"/>
      <c r="M240" s="33"/>
      <c r="N240" s="33"/>
      <c r="O240" s="33"/>
      <c r="P240" s="33"/>
    </row>
    <row r="241" spans="6:16" s="75" customFormat="1">
      <c r="F241" s="76"/>
      <c r="G241" s="1655"/>
      <c r="H241" s="1656"/>
      <c r="I241" s="1655"/>
      <c r="J241" s="33"/>
      <c r="K241" s="33"/>
      <c r="L241" s="33"/>
      <c r="M241" s="33"/>
      <c r="N241" s="33"/>
      <c r="O241" s="33"/>
      <c r="P241" s="33"/>
    </row>
    <row r="242" spans="6:16" s="75" customFormat="1">
      <c r="F242" s="76"/>
      <c r="G242" s="1655"/>
      <c r="H242" s="1656"/>
      <c r="I242" s="1655"/>
      <c r="J242" s="33"/>
      <c r="K242" s="33"/>
      <c r="L242" s="33"/>
      <c r="M242" s="33"/>
      <c r="N242" s="33"/>
      <c r="O242" s="33"/>
      <c r="P242" s="33"/>
    </row>
    <row r="243" spans="6:16" s="75" customFormat="1">
      <c r="F243" s="76"/>
      <c r="G243" s="1655"/>
      <c r="H243" s="1656"/>
      <c r="I243" s="1655"/>
      <c r="J243" s="33"/>
      <c r="K243" s="33"/>
      <c r="L243" s="33"/>
      <c r="M243" s="33"/>
      <c r="N243" s="33"/>
      <c r="O243" s="33"/>
      <c r="P243" s="33"/>
    </row>
    <row r="244" spans="6:16" s="75" customFormat="1">
      <c r="F244" s="76"/>
      <c r="G244" s="1655"/>
      <c r="H244" s="1656"/>
      <c r="I244" s="1655"/>
      <c r="J244" s="33"/>
      <c r="K244" s="33"/>
      <c r="L244" s="33"/>
      <c r="M244" s="33"/>
      <c r="N244" s="33"/>
      <c r="O244" s="33"/>
      <c r="P244" s="33"/>
    </row>
    <row r="245" spans="6:16" s="75" customFormat="1">
      <c r="F245" s="76"/>
      <c r="G245" s="1655"/>
      <c r="H245" s="1656"/>
      <c r="I245" s="1655"/>
      <c r="J245" s="33"/>
      <c r="K245" s="33"/>
      <c r="L245" s="33"/>
      <c r="M245" s="33"/>
      <c r="N245" s="33"/>
      <c r="O245" s="33"/>
      <c r="P245" s="33"/>
    </row>
    <row r="246" spans="6:16" s="75" customFormat="1">
      <c r="F246" s="76"/>
      <c r="G246" s="1655"/>
      <c r="H246" s="1656"/>
      <c r="I246" s="1655"/>
      <c r="J246" s="33"/>
      <c r="K246" s="33"/>
      <c r="L246" s="33"/>
      <c r="M246" s="33"/>
      <c r="N246" s="33"/>
      <c r="O246" s="33"/>
      <c r="P246" s="33"/>
    </row>
    <row r="247" spans="6:16" s="75" customFormat="1">
      <c r="F247" s="76"/>
      <c r="G247" s="1655"/>
      <c r="H247" s="1656"/>
      <c r="I247" s="1655"/>
      <c r="J247" s="33"/>
      <c r="K247" s="33"/>
      <c r="L247" s="33"/>
      <c r="M247" s="33"/>
      <c r="N247" s="33"/>
      <c r="O247" s="33"/>
      <c r="P247" s="33"/>
    </row>
    <row r="248" spans="6:16" s="75" customFormat="1">
      <c r="F248" s="76"/>
      <c r="G248" s="1655"/>
      <c r="H248" s="1656"/>
      <c r="I248" s="1655"/>
      <c r="J248" s="33"/>
      <c r="K248" s="33"/>
      <c r="L248" s="33"/>
      <c r="M248" s="33"/>
      <c r="N248" s="33"/>
      <c r="O248" s="33"/>
      <c r="P248" s="33"/>
    </row>
    <row r="249" spans="6:16" s="75" customFormat="1">
      <c r="F249" s="76"/>
      <c r="G249" s="1655"/>
      <c r="H249" s="1656"/>
      <c r="I249" s="1655"/>
      <c r="J249" s="33"/>
      <c r="K249" s="33"/>
      <c r="L249" s="33"/>
      <c r="M249" s="33"/>
      <c r="N249" s="33"/>
      <c r="O249" s="33"/>
      <c r="P249" s="33"/>
    </row>
    <row r="250" spans="6:16" s="75" customFormat="1">
      <c r="F250" s="76"/>
      <c r="G250" s="1655"/>
      <c r="H250" s="1656"/>
      <c r="I250" s="1655"/>
      <c r="J250" s="33"/>
      <c r="K250" s="33"/>
      <c r="L250" s="33"/>
      <c r="M250" s="33"/>
      <c r="N250" s="33"/>
      <c r="O250" s="33"/>
      <c r="P250" s="33"/>
    </row>
    <row r="251" spans="6:16" s="75" customFormat="1">
      <c r="F251" s="76"/>
      <c r="G251" s="1655"/>
      <c r="H251" s="1656"/>
      <c r="I251" s="1655"/>
      <c r="J251" s="33"/>
      <c r="K251" s="33"/>
      <c r="L251" s="33"/>
      <c r="M251" s="33"/>
      <c r="N251" s="33"/>
      <c r="O251" s="33"/>
      <c r="P251" s="33"/>
    </row>
    <row r="252" spans="6:16" s="75" customFormat="1">
      <c r="F252" s="76"/>
      <c r="G252" s="1655"/>
      <c r="H252" s="1656"/>
      <c r="I252" s="1655"/>
      <c r="J252" s="33"/>
      <c r="K252" s="33"/>
      <c r="L252" s="33"/>
      <c r="M252" s="33"/>
      <c r="N252" s="33"/>
      <c r="O252" s="33"/>
      <c r="P252" s="33"/>
    </row>
    <row r="253" spans="6:16" s="75" customFormat="1">
      <c r="F253" s="76"/>
      <c r="G253" s="1655"/>
      <c r="H253" s="1656"/>
      <c r="I253" s="1655"/>
      <c r="J253" s="33"/>
      <c r="K253" s="33"/>
      <c r="L253" s="33"/>
      <c r="M253" s="33"/>
      <c r="N253" s="33"/>
      <c r="O253" s="33"/>
      <c r="P253" s="33"/>
    </row>
    <row r="254" spans="6:16" s="75" customFormat="1">
      <c r="F254" s="76"/>
      <c r="G254" s="1655"/>
      <c r="H254" s="1656"/>
      <c r="I254" s="1655"/>
      <c r="J254" s="33"/>
      <c r="K254" s="33"/>
      <c r="L254" s="33"/>
      <c r="M254" s="33"/>
      <c r="N254" s="33"/>
      <c r="O254" s="33"/>
      <c r="P254" s="33"/>
    </row>
    <row r="255" spans="6:16" s="75" customFormat="1">
      <c r="F255" s="76"/>
      <c r="G255" s="1655"/>
      <c r="H255" s="1656"/>
      <c r="I255" s="1655"/>
      <c r="J255" s="33"/>
      <c r="K255" s="33"/>
      <c r="L255" s="33"/>
      <c r="M255" s="33"/>
      <c r="N255" s="33"/>
      <c r="O255" s="33"/>
      <c r="P255" s="33"/>
    </row>
    <row r="256" spans="6:16" s="75" customFormat="1">
      <c r="F256" s="76"/>
      <c r="G256" s="1655"/>
      <c r="H256" s="1656"/>
      <c r="I256" s="1655"/>
      <c r="J256" s="33"/>
      <c r="K256" s="33"/>
      <c r="L256" s="33"/>
      <c r="M256" s="33"/>
      <c r="N256" s="33"/>
      <c r="O256" s="33"/>
      <c r="P256" s="33"/>
    </row>
    <row r="257" spans="6:16" s="75" customFormat="1">
      <c r="F257" s="76"/>
      <c r="G257" s="1655"/>
      <c r="H257" s="1656"/>
      <c r="I257" s="1655"/>
      <c r="J257" s="33"/>
      <c r="K257" s="33"/>
      <c r="L257" s="33"/>
      <c r="M257" s="33"/>
      <c r="N257" s="33"/>
      <c r="O257" s="33"/>
      <c r="P257" s="33"/>
    </row>
    <row r="258" spans="6:16" s="75" customFormat="1">
      <c r="F258" s="76"/>
      <c r="G258" s="1655"/>
      <c r="H258" s="1656"/>
      <c r="I258" s="1655"/>
      <c r="J258" s="33"/>
      <c r="K258" s="33"/>
      <c r="L258" s="33"/>
      <c r="M258" s="33"/>
      <c r="N258" s="33"/>
      <c r="O258" s="33"/>
      <c r="P258" s="33"/>
    </row>
    <row r="259" spans="6:16" s="75" customFormat="1">
      <c r="F259" s="76"/>
      <c r="G259" s="1655"/>
      <c r="H259" s="1656"/>
      <c r="I259" s="1655"/>
      <c r="J259" s="33"/>
      <c r="K259" s="33"/>
      <c r="L259" s="33"/>
      <c r="M259" s="33"/>
      <c r="N259" s="33"/>
      <c r="O259" s="33"/>
      <c r="P259" s="33"/>
    </row>
    <row r="260" spans="6:16" s="75" customFormat="1">
      <c r="F260" s="76"/>
      <c r="G260" s="1655"/>
      <c r="H260" s="1656"/>
      <c r="I260" s="1655"/>
      <c r="J260" s="33"/>
      <c r="K260" s="33"/>
      <c r="L260" s="33"/>
      <c r="M260" s="33"/>
      <c r="N260" s="33"/>
      <c r="O260" s="33"/>
      <c r="P260" s="33"/>
    </row>
    <row r="261" spans="6:16" s="75" customFormat="1">
      <c r="F261" s="76"/>
      <c r="G261" s="1655"/>
      <c r="H261" s="1656"/>
      <c r="I261" s="1655"/>
      <c r="J261" s="33"/>
      <c r="K261" s="33"/>
      <c r="L261" s="33"/>
      <c r="M261" s="33"/>
      <c r="N261" s="33"/>
      <c r="O261" s="33"/>
      <c r="P261" s="33"/>
    </row>
    <row r="262" spans="6:16" s="75" customFormat="1">
      <c r="F262" s="76"/>
      <c r="G262" s="1655"/>
      <c r="H262" s="1656"/>
      <c r="I262" s="1655"/>
      <c r="J262" s="33"/>
      <c r="K262" s="33"/>
      <c r="L262" s="33"/>
      <c r="M262" s="33"/>
      <c r="N262" s="33"/>
      <c r="O262" s="33"/>
      <c r="P262" s="33"/>
    </row>
    <row r="263" spans="6:16" s="75" customFormat="1">
      <c r="F263" s="76"/>
      <c r="G263" s="1655"/>
      <c r="H263" s="1656"/>
      <c r="I263" s="1655"/>
      <c r="J263" s="33"/>
      <c r="K263" s="33"/>
      <c r="L263" s="33"/>
      <c r="M263" s="33"/>
      <c r="N263" s="33"/>
      <c r="O263" s="33"/>
      <c r="P263" s="33"/>
    </row>
    <row r="264" spans="6:16" s="75" customFormat="1">
      <c r="F264" s="76"/>
      <c r="G264" s="1655"/>
      <c r="H264" s="1656"/>
      <c r="I264" s="1655"/>
      <c r="J264" s="33"/>
      <c r="K264" s="33"/>
      <c r="L264" s="33"/>
      <c r="M264" s="33"/>
      <c r="N264" s="33"/>
      <c r="O264" s="33"/>
      <c r="P264" s="33"/>
    </row>
    <row r="265" spans="6:16" s="75" customFormat="1">
      <c r="F265" s="76"/>
      <c r="G265" s="1655"/>
      <c r="H265" s="1656"/>
      <c r="I265" s="1655"/>
      <c r="J265" s="33"/>
      <c r="K265" s="33"/>
      <c r="L265" s="33"/>
      <c r="M265" s="33"/>
      <c r="N265" s="33"/>
      <c r="O265" s="33"/>
      <c r="P265" s="33"/>
    </row>
    <row r="266" spans="6:16" s="75" customFormat="1">
      <c r="F266" s="76"/>
      <c r="G266" s="1655"/>
      <c r="H266" s="1656"/>
      <c r="I266" s="1655"/>
      <c r="J266" s="33"/>
      <c r="K266" s="33"/>
      <c r="L266" s="33"/>
      <c r="M266" s="33"/>
      <c r="N266" s="33"/>
      <c r="O266" s="33"/>
      <c r="P266" s="33"/>
    </row>
    <row r="267" spans="6:16" s="75" customFormat="1">
      <c r="F267" s="76"/>
      <c r="G267" s="1655"/>
      <c r="H267" s="1656"/>
      <c r="I267" s="1655"/>
      <c r="J267" s="33"/>
      <c r="K267" s="33"/>
      <c r="L267" s="33"/>
      <c r="M267" s="33"/>
      <c r="N267" s="33"/>
      <c r="O267" s="33"/>
      <c r="P267" s="33"/>
    </row>
    <row r="268" spans="6:16" s="75" customFormat="1">
      <c r="F268" s="76"/>
      <c r="G268" s="1655"/>
      <c r="H268" s="1656"/>
      <c r="I268" s="1655"/>
      <c r="J268" s="33"/>
      <c r="K268" s="33"/>
      <c r="L268" s="33"/>
      <c r="M268" s="33"/>
      <c r="N268" s="33"/>
      <c r="O268" s="33"/>
      <c r="P268" s="33"/>
    </row>
    <row r="269" spans="6:16" s="75" customFormat="1">
      <c r="F269" s="76"/>
      <c r="G269" s="1655"/>
      <c r="H269" s="1656"/>
      <c r="I269" s="1655"/>
      <c r="J269" s="33"/>
      <c r="K269" s="33"/>
      <c r="L269" s="33"/>
      <c r="M269" s="33"/>
      <c r="N269" s="33"/>
      <c r="O269" s="33"/>
      <c r="P269" s="33"/>
    </row>
    <row r="270" spans="6:16" s="75" customFormat="1">
      <c r="F270" s="76"/>
      <c r="G270" s="1655"/>
      <c r="H270" s="1656"/>
      <c r="I270" s="1655"/>
      <c r="J270" s="33"/>
      <c r="K270" s="33"/>
      <c r="L270" s="33"/>
      <c r="M270" s="33"/>
      <c r="N270" s="33"/>
      <c r="O270" s="33"/>
      <c r="P270" s="33"/>
    </row>
    <row r="271" spans="6:16" s="75" customFormat="1">
      <c r="F271" s="76"/>
      <c r="G271" s="1655"/>
      <c r="H271" s="1656"/>
      <c r="I271" s="1655"/>
      <c r="J271" s="33"/>
      <c r="K271" s="33"/>
      <c r="L271" s="33"/>
      <c r="M271" s="33"/>
      <c r="N271" s="33"/>
      <c r="O271" s="33"/>
      <c r="P271" s="33"/>
    </row>
    <row r="272" spans="6:16" s="75" customFormat="1">
      <c r="F272" s="76"/>
      <c r="G272" s="1655"/>
      <c r="H272" s="1656"/>
      <c r="I272" s="1655"/>
      <c r="J272" s="33"/>
      <c r="K272" s="33"/>
      <c r="L272" s="33"/>
      <c r="M272" s="33"/>
      <c r="N272" s="33"/>
      <c r="O272" s="33"/>
      <c r="P272" s="33"/>
    </row>
    <row r="273" spans="6:16" s="75" customFormat="1">
      <c r="F273" s="76"/>
      <c r="G273" s="1655"/>
      <c r="H273" s="1656"/>
      <c r="I273" s="1655"/>
      <c r="J273" s="33"/>
      <c r="K273" s="33"/>
      <c r="L273" s="33"/>
      <c r="M273" s="33"/>
      <c r="N273" s="33"/>
      <c r="O273" s="33"/>
      <c r="P273" s="33"/>
    </row>
    <row r="274" spans="6:16" s="75" customFormat="1">
      <c r="F274" s="76"/>
      <c r="G274" s="1655"/>
      <c r="H274" s="1656"/>
      <c r="I274" s="1655"/>
      <c r="J274" s="33"/>
      <c r="K274" s="33"/>
      <c r="L274" s="33"/>
      <c r="M274" s="33"/>
      <c r="N274" s="33"/>
      <c r="O274" s="33"/>
      <c r="P274" s="33"/>
    </row>
    <row r="275" spans="6:16" s="75" customFormat="1">
      <c r="F275" s="76"/>
      <c r="G275" s="1655"/>
      <c r="H275" s="1656"/>
      <c r="I275" s="1655"/>
      <c r="J275" s="33"/>
      <c r="K275" s="33"/>
      <c r="L275" s="33"/>
      <c r="M275" s="33"/>
      <c r="N275" s="33"/>
      <c r="O275" s="33"/>
      <c r="P275" s="33"/>
    </row>
    <row r="276" spans="6:16" s="75" customFormat="1">
      <c r="F276" s="76"/>
      <c r="G276" s="1655"/>
      <c r="H276" s="1656"/>
      <c r="I276" s="1655"/>
      <c r="J276" s="33"/>
      <c r="K276" s="33"/>
      <c r="L276" s="33"/>
      <c r="M276" s="33"/>
      <c r="N276" s="33"/>
      <c r="O276" s="33"/>
      <c r="P276" s="33"/>
    </row>
    <row r="277" spans="6:16" s="75" customFormat="1">
      <c r="F277" s="76"/>
      <c r="G277" s="1655"/>
      <c r="H277" s="1656"/>
      <c r="I277" s="1655"/>
      <c r="J277" s="33"/>
      <c r="K277" s="33"/>
      <c r="L277" s="33"/>
      <c r="M277" s="33"/>
      <c r="N277" s="33"/>
      <c r="O277" s="33"/>
      <c r="P277" s="33"/>
    </row>
    <row r="278" spans="6:16" s="75" customFormat="1">
      <c r="F278" s="76"/>
      <c r="G278" s="1655"/>
      <c r="H278" s="1656"/>
      <c r="I278" s="1655"/>
      <c r="J278" s="33"/>
      <c r="K278" s="33"/>
      <c r="L278" s="33"/>
      <c r="M278" s="33"/>
      <c r="N278" s="33"/>
      <c r="O278" s="33"/>
      <c r="P278" s="33"/>
    </row>
    <row r="279" spans="6:16" s="75" customFormat="1">
      <c r="F279" s="76"/>
      <c r="G279" s="1655"/>
      <c r="H279" s="1656"/>
      <c r="I279" s="1655"/>
      <c r="J279" s="33"/>
      <c r="K279" s="33"/>
      <c r="L279" s="33"/>
      <c r="M279" s="33"/>
      <c r="N279" s="33"/>
      <c r="O279" s="33"/>
      <c r="P279" s="33"/>
    </row>
    <row r="280" spans="6:16" s="75" customFormat="1">
      <c r="F280" s="76"/>
      <c r="G280" s="1655"/>
      <c r="H280" s="1656"/>
      <c r="I280" s="1655"/>
      <c r="J280" s="33"/>
      <c r="K280" s="33"/>
      <c r="L280" s="33"/>
      <c r="M280" s="33"/>
      <c r="N280" s="33"/>
      <c r="O280" s="33"/>
      <c r="P280" s="33"/>
    </row>
    <row r="281" spans="6:16" s="75" customFormat="1">
      <c r="F281" s="76"/>
      <c r="G281" s="1655"/>
      <c r="H281" s="1656"/>
      <c r="I281" s="1655"/>
      <c r="J281" s="33"/>
      <c r="K281" s="33"/>
      <c r="L281" s="33"/>
      <c r="M281" s="33"/>
      <c r="N281" s="33"/>
      <c r="O281" s="33"/>
      <c r="P281" s="33"/>
    </row>
    <row r="282" spans="6:16" s="75" customFormat="1">
      <c r="F282" s="76"/>
      <c r="G282" s="1655"/>
      <c r="H282" s="1656"/>
      <c r="I282" s="1655"/>
      <c r="J282" s="33"/>
      <c r="K282" s="33"/>
      <c r="L282" s="33"/>
      <c r="M282" s="33"/>
      <c r="N282" s="33"/>
      <c r="O282" s="33"/>
      <c r="P282" s="33"/>
    </row>
    <row r="283" spans="6:16" s="75" customFormat="1">
      <c r="F283" s="76"/>
      <c r="G283" s="1655"/>
      <c r="H283" s="1656"/>
      <c r="I283" s="1655"/>
      <c r="J283" s="33"/>
      <c r="K283" s="33"/>
      <c r="L283" s="33"/>
      <c r="M283" s="33"/>
      <c r="N283" s="33"/>
      <c r="O283" s="33"/>
      <c r="P283" s="33"/>
    </row>
    <row r="284" spans="6:16" s="75" customFormat="1">
      <c r="F284" s="76"/>
      <c r="G284" s="1655"/>
      <c r="H284" s="1656"/>
      <c r="I284" s="1655"/>
      <c r="J284" s="33"/>
      <c r="K284" s="33"/>
      <c r="L284" s="33"/>
      <c r="M284" s="33"/>
      <c r="N284" s="33"/>
      <c r="O284" s="33"/>
      <c r="P284" s="33"/>
    </row>
    <row r="285" spans="6:16" s="75" customFormat="1">
      <c r="F285" s="76"/>
      <c r="G285" s="1655"/>
      <c r="H285" s="1656"/>
      <c r="I285" s="1655"/>
      <c r="J285" s="33"/>
      <c r="K285" s="33"/>
      <c r="L285" s="33"/>
      <c r="M285" s="33"/>
      <c r="N285" s="33"/>
      <c r="O285" s="33"/>
      <c r="P285" s="33"/>
    </row>
    <row r="286" spans="6:16" s="75" customFormat="1">
      <c r="F286" s="76"/>
      <c r="G286" s="1655"/>
      <c r="H286" s="1656"/>
      <c r="I286" s="1655"/>
      <c r="J286" s="33"/>
      <c r="K286" s="33"/>
      <c r="L286" s="33"/>
      <c r="M286" s="33"/>
      <c r="N286" s="33"/>
      <c r="O286" s="33"/>
      <c r="P286" s="33"/>
    </row>
    <row r="287" spans="6:16" s="75" customFormat="1">
      <c r="F287" s="76"/>
      <c r="G287" s="1655"/>
      <c r="H287" s="1656"/>
      <c r="I287" s="1655"/>
      <c r="J287" s="33"/>
      <c r="K287" s="33"/>
      <c r="L287" s="33"/>
      <c r="M287" s="33"/>
      <c r="N287" s="33"/>
      <c r="O287" s="33"/>
      <c r="P287" s="33"/>
    </row>
    <row r="288" spans="6:16" s="75" customFormat="1">
      <c r="F288" s="76"/>
      <c r="G288" s="1655"/>
      <c r="H288" s="1656"/>
      <c r="I288" s="1655"/>
      <c r="J288" s="33"/>
      <c r="K288" s="33"/>
      <c r="L288" s="33"/>
      <c r="M288" s="33"/>
      <c r="N288" s="33"/>
      <c r="O288" s="33"/>
      <c r="P288" s="33"/>
    </row>
    <row r="289" spans="6:16" s="75" customFormat="1">
      <c r="F289" s="76"/>
      <c r="G289" s="1655"/>
      <c r="H289" s="1656"/>
      <c r="I289" s="1655"/>
      <c r="J289" s="33"/>
      <c r="K289" s="33"/>
      <c r="L289" s="33"/>
      <c r="M289" s="33"/>
      <c r="N289" s="33"/>
      <c r="O289" s="33"/>
      <c r="P289" s="33"/>
    </row>
    <row r="290" spans="6:16" s="75" customFormat="1">
      <c r="F290" s="76"/>
      <c r="G290" s="1655"/>
      <c r="H290" s="1656"/>
      <c r="I290" s="1655"/>
      <c r="J290" s="33"/>
      <c r="K290" s="33"/>
      <c r="L290" s="33"/>
      <c r="M290" s="33"/>
      <c r="N290" s="33"/>
      <c r="O290" s="33"/>
      <c r="P290" s="33"/>
    </row>
    <row r="291" spans="6:16" s="75" customFormat="1">
      <c r="F291" s="76"/>
      <c r="G291" s="1655"/>
      <c r="H291" s="1656"/>
      <c r="I291" s="1655"/>
      <c r="J291" s="33"/>
      <c r="K291" s="33"/>
      <c r="L291" s="33"/>
      <c r="M291" s="33"/>
      <c r="N291" s="33"/>
      <c r="O291" s="33"/>
      <c r="P291" s="33"/>
    </row>
    <row r="292" spans="6:16" s="75" customFormat="1">
      <c r="F292" s="76"/>
      <c r="G292" s="1655"/>
      <c r="H292" s="1656"/>
      <c r="I292" s="1655"/>
      <c r="J292" s="33"/>
      <c r="K292" s="33"/>
      <c r="L292" s="33"/>
      <c r="M292" s="33"/>
      <c r="N292" s="33"/>
      <c r="O292" s="33"/>
      <c r="P292" s="33"/>
    </row>
    <row r="293" spans="6:16" s="75" customFormat="1">
      <c r="F293" s="76"/>
      <c r="G293" s="1655"/>
      <c r="H293" s="1656"/>
      <c r="I293" s="1655"/>
      <c r="J293" s="33"/>
      <c r="K293" s="33"/>
      <c r="L293" s="33"/>
      <c r="M293" s="33"/>
      <c r="N293" s="33"/>
      <c r="O293" s="33"/>
      <c r="P293" s="33"/>
    </row>
    <row r="294" spans="6:16" s="75" customFormat="1">
      <c r="F294" s="76"/>
      <c r="G294" s="1655"/>
      <c r="H294" s="1656"/>
      <c r="I294" s="1655"/>
      <c r="J294" s="33"/>
      <c r="K294" s="33"/>
      <c r="L294" s="33"/>
      <c r="M294" s="33"/>
      <c r="N294" s="33"/>
      <c r="O294" s="33"/>
      <c r="P294" s="33"/>
    </row>
    <row r="295" spans="6:16" s="75" customFormat="1">
      <c r="F295" s="76"/>
      <c r="G295" s="1655"/>
      <c r="H295" s="1656"/>
      <c r="I295" s="1655"/>
      <c r="J295" s="33"/>
      <c r="K295" s="33"/>
      <c r="L295" s="33"/>
      <c r="M295" s="33"/>
      <c r="N295" s="33"/>
      <c r="O295" s="33"/>
      <c r="P295" s="33"/>
    </row>
    <row r="296" spans="6:16" s="75" customFormat="1">
      <c r="F296" s="76"/>
      <c r="G296" s="1655"/>
      <c r="H296" s="1656"/>
      <c r="I296" s="1655"/>
      <c r="J296" s="33"/>
      <c r="K296" s="33"/>
      <c r="L296" s="33"/>
      <c r="M296" s="33"/>
      <c r="N296" s="33"/>
      <c r="O296" s="33"/>
      <c r="P296" s="33"/>
    </row>
    <row r="297" spans="6:16" s="75" customFormat="1">
      <c r="F297" s="76"/>
      <c r="G297" s="1655"/>
      <c r="H297" s="1656"/>
      <c r="I297" s="1655"/>
      <c r="J297" s="33"/>
      <c r="K297" s="33"/>
      <c r="L297" s="33"/>
      <c r="M297" s="33"/>
      <c r="N297" s="33"/>
      <c r="O297" s="33"/>
      <c r="P297" s="33"/>
    </row>
    <row r="298" spans="6:16" s="75" customFormat="1">
      <c r="F298" s="76"/>
      <c r="G298" s="1655"/>
      <c r="H298" s="1656"/>
      <c r="I298" s="1655"/>
      <c r="J298" s="33"/>
      <c r="K298" s="33"/>
      <c r="L298" s="33"/>
      <c r="M298" s="33"/>
      <c r="N298" s="33"/>
      <c r="O298" s="33"/>
      <c r="P298" s="33"/>
    </row>
    <row r="299" spans="6:16" s="75" customFormat="1">
      <c r="F299" s="76"/>
      <c r="G299" s="1655"/>
      <c r="H299" s="1656"/>
      <c r="I299" s="1655"/>
      <c r="J299" s="33"/>
      <c r="K299" s="33"/>
      <c r="L299" s="33"/>
      <c r="M299" s="33"/>
      <c r="N299" s="33"/>
      <c r="O299" s="33"/>
      <c r="P299" s="33"/>
    </row>
    <row r="300" spans="6:16" s="75" customFormat="1">
      <c r="F300" s="76"/>
      <c r="G300" s="1655"/>
      <c r="H300" s="1656"/>
      <c r="I300" s="1655"/>
      <c r="J300" s="33"/>
      <c r="K300" s="33"/>
      <c r="L300" s="33"/>
      <c r="M300" s="33"/>
      <c r="N300" s="33"/>
      <c r="O300" s="33"/>
      <c r="P300" s="33"/>
    </row>
    <row r="301" spans="6:16" s="75" customFormat="1">
      <c r="F301" s="76"/>
      <c r="G301" s="1655"/>
      <c r="H301" s="1656"/>
      <c r="I301" s="1655"/>
      <c r="J301" s="33"/>
      <c r="K301" s="33"/>
      <c r="L301" s="33"/>
      <c r="M301" s="33"/>
      <c r="N301" s="33"/>
      <c r="O301" s="33"/>
      <c r="P301" s="33"/>
    </row>
    <row r="302" spans="6:16" s="75" customFormat="1">
      <c r="F302" s="76"/>
      <c r="G302" s="1655"/>
      <c r="H302" s="1656"/>
      <c r="I302" s="1655"/>
      <c r="J302" s="33"/>
      <c r="K302" s="33"/>
      <c r="L302" s="33"/>
      <c r="M302" s="33"/>
      <c r="N302" s="33"/>
      <c r="O302" s="33"/>
      <c r="P302" s="33"/>
    </row>
    <row r="303" spans="6:16" s="75" customFormat="1">
      <c r="F303" s="76"/>
      <c r="G303" s="1655"/>
      <c r="H303" s="1656"/>
      <c r="I303" s="1655"/>
      <c r="J303" s="33"/>
      <c r="K303" s="33"/>
      <c r="L303" s="33"/>
      <c r="M303" s="33"/>
      <c r="N303" s="33"/>
      <c r="O303" s="33"/>
      <c r="P303" s="33"/>
    </row>
    <row r="304" spans="6:16" s="75" customFormat="1">
      <c r="F304" s="76"/>
      <c r="G304" s="1655"/>
      <c r="H304" s="1656"/>
      <c r="I304" s="1655"/>
      <c r="J304" s="33"/>
      <c r="K304" s="33"/>
      <c r="L304" s="33"/>
      <c r="M304" s="33"/>
      <c r="N304" s="33"/>
      <c r="O304" s="33"/>
      <c r="P304" s="33"/>
    </row>
    <row r="305" spans="6:16" s="75" customFormat="1">
      <c r="F305" s="76"/>
      <c r="G305" s="1655"/>
      <c r="H305" s="1656"/>
      <c r="I305" s="1655"/>
      <c r="J305" s="33"/>
      <c r="K305" s="33"/>
      <c r="L305" s="33"/>
      <c r="M305" s="33"/>
      <c r="N305" s="33"/>
      <c r="O305" s="33"/>
      <c r="P305" s="33"/>
    </row>
    <row r="306" spans="6:16" s="75" customFormat="1">
      <c r="F306" s="76"/>
      <c r="G306" s="1655"/>
      <c r="H306" s="1656"/>
      <c r="I306" s="1655"/>
      <c r="J306" s="33"/>
      <c r="K306" s="33"/>
      <c r="L306" s="33"/>
      <c r="M306" s="33"/>
      <c r="N306" s="33"/>
      <c r="O306" s="33"/>
      <c r="P306" s="33"/>
    </row>
    <row r="307" spans="6:16" s="75" customFormat="1">
      <c r="F307" s="76"/>
      <c r="G307" s="1655"/>
      <c r="H307" s="1656"/>
      <c r="I307" s="1655"/>
      <c r="J307" s="33"/>
      <c r="K307" s="33"/>
      <c r="L307" s="33"/>
      <c r="M307" s="33"/>
      <c r="N307" s="33"/>
      <c r="O307" s="33"/>
      <c r="P307" s="33"/>
    </row>
    <row r="308" spans="6:16" s="75" customFormat="1">
      <c r="F308" s="76"/>
      <c r="G308" s="1655"/>
      <c r="H308" s="1656"/>
      <c r="I308" s="1655"/>
      <c r="J308" s="33"/>
      <c r="K308" s="33"/>
      <c r="L308" s="33"/>
      <c r="M308" s="33"/>
      <c r="N308" s="33"/>
      <c r="O308" s="33"/>
      <c r="P308" s="33"/>
    </row>
    <row r="309" spans="6:16" s="75" customFormat="1">
      <c r="F309" s="76"/>
      <c r="G309" s="1655"/>
      <c r="H309" s="1656"/>
      <c r="I309" s="1655"/>
      <c r="J309" s="33"/>
      <c r="K309" s="33"/>
      <c r="L309" s="33"/>
      <c r="M309" s="33"/>
      <c r="N309" s="33"/>
      <c r="O309" s="33"/>
      <c r="P309" s="33"/>
    </row>
    <row r="310" spans="6:16" s="75" customFormat="1">
      <c r="F310" s="76"/>
      <c r="G310" s="1655"/>
      <c r="H310" s="1656"/>
      <c r="I310" s="1655"/>
      <c r="J310" s="33"/>
      <c r="K310" s="33"/>
      <c r="L310" s="33"/>
      <c r="M310" s="33"/>
      <c r="N310" s="33"/>
      <c r="O310" s="33"/>
      <c r="P310" s="33"/>
    </row>
    <row r="311" spans="6:16" s="75" customFormat="1">
      <c r="F311" s="76"/>
      <c r="G311" s="1655"/>
      <c r="H311" s="1656"/>
      <c r="I311" s="1655"/>
      <c r="J311" s="33"/>
      <c r="K311" s="33"/>
      <c r="L311" s="33"/>
      <c r="M311" s="33"/>
      <c r="N311" s="33"/>
      <c r="O311" s="33"/>
      <c r="P311" s="33"/>
    </row>
    <row r="312" spans="6:16" s="75" customFormat="1">
      <c r="F312" s="76"/>
      <c r="G312" s="1655"/>
      <c r="H312" s="1656"/>
      <c r="I312" s="1655"/>
      <c r="J312" s="33"/>
      <c r="K312" s="33"/>
      <c r="L312" s="33"/>
      <c r="M312" s="33"/>
      <c r="N312" s="33"/>
      <c r="O312" s="33"/>
      <c r="P312" s="33"/>
    </row>
    <row r="313" spans="6:16" s="75" customFormat="1">
      <c r="F313" s="76"/>
      <c r="G313" s="1655"/>
      <c r="H313" s="1656"/>
      <c r="I313" s="1655"/>
      <c r="J313" s="33"/>
      <c r="K313" s="33"/>
      <c r="L313" s="33"/>
      <c r="M313" s="33"/>
      <c r="N313" s="33"/>
      <c r="O313" s="33"/>
      <c r="P313" s="33"/>
    </row>
    <row r="314" spans="6:16" s="75" customFormat="1">
      <c r="F314" s="76"/>
      <c r="G314" s="1655"/>
      <c r="H314" s="1656"/>
      <c r="I314" s="1655"/>
      <c r="J314" s="33"/>
      <c r="K314" s="33"/>
      <c r="L314" s="33"/>
      <c r="M314" s="33"/>
      <c r="N314" s="33"/>
      <c r="O314" s="33"/>
      <c r="P314" s="33"/>
    </row>
    <row r="315" spans="6:16" s="75" customFormat="1">
      <c r="F315" s="76"/>
      <c r="G315" s="1655"/>
      <c r="H315" s="1656"/>
      <c r="I315" s="1655"/>
      <c r="J315" s="33"/>
      <c r="K315" s="33"/>
      <c r="L315" s="33"/>
      <c r="M315" s="33"/>
      <c r="N315" s="33"/>
      <c r="O315" s="33"/>
      <c r="P315" s="33"/>
    </row>
    <row r="316" spans="6:16" s="75" customFormat="1">
      <c r="F316" s="76"/>
      <c r="G316" s="1655"/>
      <c r="H316" s="1656"/>
      <c r="I316" s="1655"/>
      <c r="J316" s="33"/>
      <c r="K316" s="33"/>
      <c r="L316" s="33"/>
      <c r="M316" s="33"/>
      <c r="N316" s="33"/>
      <c r="O316" s="33"/>
      <c r="P316" s="33"/>
    </row>
    <row r="317" spans="6:16" s="75" customFormat="1">
      <c r="F317" s="76"/>
      <c r="G317" s="1655"/>
      <c r="H317" s="1656"/>
      <c r="I317" s="1655"/>
      <c r="J317" s="33"/>
      <c r="K317" s="33"/>
      <c r="L317" s="33"/>
      <c r="M317" s="33"/>
      <c r="N317" s="33"/>
      <c r="O317" s="33"/>
      <c r="P317" s="33"/>
    </row>
    <row r="318" spans="6:16" s="75" customFormat="1">
      <c r="F318" s="76"/>
      <c r="G318" s="1655"/>
      <c r="H318" s="1656"/>
      <c r="I318" s="1655"/>
      <c r="J318" s="33"/>
      <c r="K318" s="33"/>
      <c r="L318" s="33"/>
      <c r="M318" s="33"/>
      <c r="N318" s="33"/>
      <c r="O318" s="33"/>
      <c r="P318" s="33"/>
    </row>
    <row r="319" spans="6:16" s="75" customFormat="1">
      <c r="F319" s="76"/>
      <c r="G319" s="1655"/>
      <c r="H319" s="1656"/>
      <c r="I319" s="1655"/>
      <c r="J319" s="33"/>
      <c r="K319" s="33"/>
      <c r="L319" s="33"/>
      <c r="M319" s="33"/>
      <c r="N319" s="33"/>
      <c r="O319" s="33"/>
      <c r="P319" s="33"/>
    </row>
    <row r="320" spans="6:16" s="75" customFormat="1">
      <c r="F320" s="76"/>
      <c r="G320" s="1655"/>
      <c r="H320" s="1656"/>
      <c r="I320" s="1655"/>
      <c r="J320" s="33"/>
      <c r="K320" s="33"/>
      <c r="L320" s="33"/>
      <c r="M320" s="33"/>
      <c r="N320" s="33"/>
      <c r="O320" s="33"/>
      <c r="P320" s="33"/>
    </row>
    <row r="321" spans="6:16" s="75" customFormat="1">
      <c r="F321" s="76"/>
      <c r="G321" s="1655"/>
      <c r="H321" s="1656"/>
      <c r="I321" s="1655"/>
      <c r="J321" s="33"/>
      <c r="K321" s="33"/>
      <c r="L321" s="33"/>
      <c r="M321" s="33"/>
      <c r="N321" s="33"/>
      <c r="O321" s="33"/>
      <c r="P321" s="33"/>
    </row>
    <row r="322" spans="6:16" s="75" customFormat="1">
      <c r="F322" s="76"/>
      <c r="G322" s="1655"/>
      <c r="H322" s="1656"/>
      <c r="I322" s="1655"/>
      <c r="J322" s="33"/>
      <c r="K322" s="33"/>
      <c r="L322" s="33"/>
      <c r="M322" s="33"/>
      <c r="N322" s="33"/>
      <c r="O322" s="33"/>
      <c r="P322" s="33"/>
    </row>
    <row r="323" spans="6:16" s="75" customFormat="1">
      <c r="F323" s="76"/>
      <c r="G323" s="1655"/>
      <c r="H323" s="1656"/>
      <c r="I323" s="1655"/>
      <c r="J323" s="33"/>
      <c r="K323" s="33"/>
      <c r="L323" s="33"/>
      <c r="M323" s="33"/>
      <c r="N323" s="33"/>
      <c r="O323" s="33"/>
      <c r="P323" s="33"/>
    </row>
    <row r="324" spans="6:16" s="75" customFormat="1">
      <c r="F324" s="76"/>
      <c r="G324" s="1655"/>
      <c r="H324" s="1656"/>
      <c r="I324" s="1655"/>
      <c r="J324" s="33"/>
      <c r="K324" s="33"/>
      <c r="L324" s="33"/>
      <c r="M324" s="33"/>
      <c r="N324" s="33"/>
      <c r="O324" s="33"/>
      <c r="P324" s="33"/>
    </row>
    <row r="325" spans="6:16" s="75" customFormat="1">
      <c r="F325" s="76"/>
      <c r="G325" s="1655"/>
      <c r="H325" s="1656"/>
      <c r="I325" s="1655"/>
      <c r="J325" s="33"/>
      <c r="K325" s="33"/>
      <c r="L325" s="33"/>
      <c r="M325" s="33"/>
      <c r="N325" s="33"/>
      <c r="O325" s="33"/>
      <c r="P325" s="33"/>
    </row>
    <row r="326" spans="6:16" s="75" customFormat="1">
      <c r="F326" s="76"/>
      <c r="G326" s="1655"/>
      <c r="H326" s="1656"/>
      <c r="I326" s="1655"/>
      <c r="J326" s="33"/>
      <c r="K326" s="33"/>
      <c r="L326" s="33"/>
      <c r="M326" s="33"/>
      <c r="N326" s="33"/>
      <c r="O326" s="33"/>
      <c r="P326" s="33"/>
    </row>
    <row r="327" spans="6:16" s="75" customFormat="1">
      <c r="F327" s="76"/>
      <c r="G327" s="1655"/>
      <c r="H327" s="1656"/>
      <c r="I327" s="1655"/>
      <c r="J327" s="33"/>
      <c r="K327" s="33"/>
      <c r="L327" s="33"/>
      <c r="M327" s="33"/>
      <c r="N327" s="33"/>
      <c r="O327" s="33"/>
      <c r="P327" s="33"/>
    </row>
    <row r="328" spans="6:16" s="75" customFormat="1">
      <c r="F328" s="76"/>
      <c r="G328" s="1655"/>
      <c r="H328" s="1656"/>
      <c r="I328" s="1655"/>
      <c r="J328" s="33"/>
      <c r="K328" s="33"/>
      <c r="L328" s="33"/>
      <c r="M328" s="33"/>
      <c r="N328" s="33"/>
      <c r="O328" s="33"/>
      <c r="P328" s="33"/>
    </row>
    <row r="329" spans="6:16" s="75" customFormat="1">
      <c r="F329" s="76"/>
      <c r="G329" s="1655"/>
      <c r="H329" s="1656"/>
      <c r="I329" s="1655"/>
      <c r="J329" s="33"/>
      <c r="K329" s="33"/>
      <c r="L329" s="33"/>
      <c r="M329" s="33"/>
      <c r="N329" s="33"/>
      <c r="O329" s="33"/>
      <c r="P329" s="33"/>
    </row>
    <row r="330" spans="6:16" s="75" customFormat="1">
      <c r="F330" s="76"/>
      <c r="G330" s="1655"/>
      <c r="H330" s="1656"/>
      <c r="I330" s="1655"/>
      <c r="J330" s="33"/>
      <c r="K330" s="33"/>
      <c r="L330" s="33"/>
      <c r="M330" s="33"/>
      <c r="N330" s="33"/>
      <c r="O330" s="33"/>
      <c r="P330" s="33"/>
    </row>
    <row r="331" spans="6:16" s="75" customFormat="1">
      <c r="F331" s="76"/>
      <c r="G331" s="1655"/>
      <c r="H331" s="1656"/>
      <c r="I331" s="1655"/>
      <c r="J331" s="33"/>
      <c r="K331" s="33"/>
      <c r="L331" s="33"/>
      <c r="M331" s="33"/>
      <c r="N331" s="33"/>
      <c r="O331" s="33"/>
      <c r="P331" s="33"/>
    </row>
    <row r="332" spans="6:16" s="75" customFormat="1">
      <c r="F332" s="76"/>
      <c r="G332" s="1655"/>
      <c r="H332" s="1656"/>
      <c r="I332" s="1655"/>
      <c r="J332" s="33"/>
      <c r="K332" s="33"/>
      <c r="L332" s="33"/>
      <c r="M332" s="33"/>
      <c r="N332" s="33"/>
      <c r="O332" s="33"/>
      <c r="P332" s="33"/>
    </row>
    <row r="333" spans="6:16" s="75" customFormat="1">
      <c r="F333" s="76"/>
      <c r="G333" s="1655"/>
      <c r="H333" s="1656"/>
      <c r="I333" s="1655"/>
      <c r="J333" s="33"/>
      <c r="K333" s="33"/>
      <c r="L333" s="33"/>
      <c r="M333" s="33"/>
      <c r="N333" s="33"/>
      <c r="O333" s="33"/>
      <c r="P333" s="33"/>
    </row>
    <row r="334" spans="6:16" s="75" customFormat="1">
      <c r="F334" s="76"/>
      <c r="G334" s="1655"/>
      <c r="H334" s="1656"/>
      <c r="I334" s="1655"/>
      <c r="J334" s="33"/>
      <c r="K334" s="33"/>
      <c r="L334" s="33"/>
      <c r="M334" s="33"/>
      <c r="N334" s="33"/>
      <c r="O334" s="33"/>
      <c r="P334" s="33"/>
    </row>
    <row r="335" spans="6:16" s="75" customFormat="1">
      <c r="F335" s="76"/>
      <c r="G335" s="1655"/>
      <c r="H335" s="1656"/>
      <c r="I335" s="1655"/>
      <c r="J335" s="33"/>
      <c r="K335" s="33"/>
      <c r="L335" s="33"/>
      <c r="M335" s="33"/>
      <c r="N335" s="33"/>
      <c r="O335" s="33"/>
      <c r="P335" s="33"/>
    </row>
    <row r="336" spans="6:16" s="75" customFormat="1">
      <c r="F336" s="76"/>
      <c r="G336" s="1655"/>
      <c r="H336" s="1656"/>
      <c r="I336" s="1655"/>
      <c r="J336" s="33"/>
      <c r="K336" s="33"/>
      <c r="L336" s="33"/>
      <c r="M336" s="33"/>
      <c r="N336" s="33"/>
      <c r="O336" s="33"/>
      <c r="P336" s="33"/>
    </row>
    <row r="337" spans="6:16" s="75" customFormat="1">
      <c r="F337" s="76"/>
      <c r="G337" s="1655"/>
      <c r="H337" s="1656"/>
      <c r="I337" s="1655"/>
      <c r="J337" s="33"/>
      <c r="K337" s="33"/>
      <c r="L337" s="33"/>
      <c r="M337" s="33"/>
      <c r="N337" s="33"/>
      <c r="O337" s="33"/>
      <c r="P337" s="33"/>
    </row>
    <row r="338" spans="6:16" s="75" customFormat="1">
      <c r="F338" s="76"/>
      <c r="G338" s="1655"/>
      <c r="H338" s="1656"/>
      <c r="I338" s="1655"/>
      <c r="J338" s="33"/>
      <c r="K338" s="33"/>
      <c r="L338" s="33"/>
      <c r="M338" s="33"/>
      <c r="N338" s="33"/>
      <c r="O338" s="33"/>
      <c r="P338" s="33"/>
    </row>
    <row r="339" spans="6:16" s="75" customFormat="1">
      <c r="F339" s="76"/>
      <c r="G339" s="1655"/>
      <c r="H339" s="1656"/>
      <c r="I339" s="1655"/>
      <c r="J339" s="33"/>
      <c r="K339" s="33"/>
      <c r="L339" s="33"/>
      <c r="M339" s="33"/>
      <c r="N339" s="33"/>
      <c r="O339" s="33"/>
      <c r="P339" s="33"/>
    </row>
    <row r="340" spans="6:16" s="75" customFormat="1">
      <c r="F340" s="76"/>
      <c r="G340" s="1655"/>
      <c r="H340" s="1656"/>
      <c r="I340" s="1655"/>
      <c r="J340" s="33"/>
      <c r="K340" s="33"/>
      <c r="L340" s="33"/>
      <c r="M340" s="33"/>
      <c r="N340" s="33"/>
      <c r="O340" s="33"/>
      <c r="P340" s="33"/>
    </row>
    <row r="341" spans="6:16" s="75" customFormat="1">
      <c r="F341" s="76"/>
      <c r="G341" s="1655"/>
      <c r="H341" s="1656"/>
      <c r="I341" s="1655"/>
      <c r="J341" s="33"/>
      <c r="K341" s="33"/>
      <c r="L341" s="33"/>
      <c r="M341" s="33"/>
      <c r="N341" s="33"/>
      <c r="O341" s="33"/>
      <c r="P341" s="33"/>
    </row>
    <row r="342" spans="6:16" s="75" customFormat="1">
      <c r="F342" s="76"/>
      <c r="G342" s="1655"/>
      <c r="H342" s="1656"/>
      <c r="I342" s="1655"/>
      <c r="J342" s="33"/>
      <c r="K342" s="33"/>
      <c r="L342" s="33"/>
      <c r="M342" s="33"/>
      <c r="N342" s="33"/>
      <c r="O342" s="33"/>
      <c r="P342" s="33"/>
    </row>
    <row r="343" spans="6:16" s="75" customFormat="1">
      <c r="F343" s="76"/>
      <c r="G343" s="1655"/>
      <c r="H343" s="1656"/>
      <c r="I343" s="1655"/>
      <c r="J343" s="33"/>
      <c r="K343" s="33"/>
      <c r="L343" s="33"/>
      <c r="M343" s="33"/>
      <c r="N343" s="33"/>
      <c r="O343" s="33"/>
      <c r="P343" s="33"/>
    </row>
    <row r="344" spans="6:16" s="75" customFormat="1">
      <c r="F344" s="76"/>
      <c r="G344" s="1655"/>
      <c r="H344" s="1656"/>
      <c r="I344" s="1655"/>
      <c r="J344" s="33"/>
      <c r="K344" s="33"/>
      <c r="L344" s="33"/>
      <c r="M344" s="33"/>
      <c r="N344" s="33"/>
      <c r="O344" s="33"/>
      <c r="P344" s="33"/>
    </row>
    <row r="345" spans="6:16" s="75" customFormat="1">
      <c r="F345" s="76"/>
      <c r="G345" s="1655"/>
      <c r="H345" s="1656"/>
      <c r="I345" s="1655"/>
      <c r="J345" s="33"/>
      <c r="K345" s="33"/>
      <c r="L345" s="33"/>
      <c r="M345" s="33"/>
      <c r="N345" s="33"/>
      <c r="O345" s="33"/>
      <c r="P345" s="33"/>
    </row>
    <row r="346" spans="6:16" s="75" customFormat="1">
      <c r="F346" s="76"/>
      <c r="G346" s="1655"/>
      <c r="H346" s="1656"/>
      <c r="I346" s="1655"/>
      <c r="J346" s="33"/>
      <c r="K346" s="33"/>
      <c r="L346" s="33"/>
      <c r="M346" s="33"/>
      <c r="N346" s="33"/>
      <c r="O346" s="33"/>
      <c r="P346" s="33"/>
    </row>
    <row r="347" spans="6:16" s="75" customFormat="1">
      <c r="F347" s="76"/>
      <c r="G347" s="1655"/>
      <c r="H347" s="1656"/>
      <c r="I347" s="1655"/>
      <c r="J347" s="33"/>
      <c r="K347" s="33"/>
      <c r="L347" s="33"/>
      <c r="M347" s="33"/>
      <c r="N347" s="33"/>
      <c r="O347" s="33"/>
      <c r="P347" s="33"/>
    </row>
    <row r="348" spans="6:16" s="75" customFormat="1">
      <c r="F348" s="76"/>
      <c r="G348" s="1655"/>
      <c r="H348" s="1656"/>
      <c r="I348" s="1655"/>
      <c r="J348" s="33"/>
      <c r="K348" s="33"/>
      <c r="L348" s="33"/>
      <c r="M348" s="33"/>
      <c r="N348" s="33"/>
      <c r="O348" s="33"/>
      <c r="P348" s="33"/>
    </row>
    <row r="349" spans="6:16" s="75" customFormat="1">
      <c r="F349" s="76"/>
      <c r="G349" s="1655"/>
      <c r="H349" s="1656"/>
      <c r="I349" s="1655"/>
      <c r="J349" s="33"/>
      <c r="K349" s="33"/>
      <c r="L349" s="33"/>
      <c r="M349" s="33"/>
      <c r="N349" s="33"/>
      <c r="O349" s="33"/>
      <c r="P349" s="33"/>
    </row>
    <row r="350" spans="6:16" s="75" customFormat="1">
      <c r="F350" s="76"/>
      <c r="G350" s="1655"/>
      <c r="H350" s="1656"/>
      <c r="I350" s="1655"/>
      <c r="J350" s="33"/>
      <c r="K350" s="33"/>
      <c r="L350" s="33"/>
      <c r="M350" s="33"/>
      <c r="N350" s="33"/>
      <c r="O350" s="33"/>
      <c r="P350" s="33"/>
    </row>
    <row r="351" spans="6:16" s="75" customFormat="1">
      <c r="F351" s="76"/>
      <c r="G351" s="1655"/>
      <c r="H351" s="1656"/>
      <c r="I351" s="1655"/>
      <c r="J351" s="33"/>
      <c r="K351" s="33"/>
      <c r="L351" s="33"/>
      <c r="M351" s="33"/>
      <c r="N351" s="33"/>
      <c r="O351" s="33"/>
      <c r="P351" s="33"/>
    </row>
    <row r="352" spans="6:16" s="75" customFormat="1">
      <c r="F352" s="76"/>
      <c r="G352" s="1655"/>
      <c r="H352" s="1656"/>
      <c r="I352" s="1655"/>
      <c r="J352" s="33"/>
      <c r="K352" s="33"/>
      <c r="L352" s="33"/>
      <c r="M352" s="33"/>
      <c r="N352" s="33"/>
      <c r="O352" s="33"/>
      <c r="P352" s="33"/>
    </row>
    <row r="353" spans="6:16" s="75" customFormat="1">
      <c r="F353" s="76"/>
      <c r="G353" s="1655"/>
      <c r="H353" s="1656"/>
      <c r="I353" s="1655"/>
      <c r="J353" s="33"/>
      <c r="K353" s="33"/>
      <c r="L353" s="33"/>
      <c r="M353" s="33"/>
      <c r="N353" s="33"/>
      <c r="O353" s="33"/>
      <c r="P353" s="33"/>
    </row>
    <row r="354" spans="6:16" s="75" customFormat="1">
      <c r="F354" s="76"/>
      <c r="G354" s="1655"/>
      <c r="H354" s="1656"/>
      <c r="I354" s="1655"/>
      <c r="J354" s="33"/>
      <c r="K354" s="33"/>
      <c r="L354" s="33"/>
      <c r="M354" s="33"/>
      <c r="N354" s="33"/>
      <c r="O354" s="33"/>
      <c r="P354" s="33"/>
    </row>
    <row r="355" spans="6:16" s="75" customFormat="1">
      <c r="F355" s="76"/>
      <c r="G355" s="1655"/>
      <c r="H355" s="1656"/>
      <c r="I355" s="1655"/>
      <c r="J355" s="33"/>
      <c r="K355" s="33"/>
      <c r="L355" s="33"/>
      <c r="M355" s="33"/>
      <c r="N355" s="33"/>
      <c r="O355" s="33"/>
      <c r="P355" s="33"/>
    </row>
    <row r="356" spans="6:16" s="75" customFormat="1">
      <c r="F356" s="76"/>
      <c r="G356" s="1655"/>
      <c r="H356" s="1656"/>
      <c r="I356" s="1655"/>
      <c r="J356" s="33"/>
      <c r="K356" s="33"/>
      <c r="L356" s="33"/>
      <c r="M356" s="33"/>
      <c r="N356" s="33"/>
      <c r="O356" s="33"/>
      <c r="P356" s="33"/>
    </row>
    <row r="357" spans="6:16" s="75" customFormat="1">
      <c r="F357" s="76"/>
      <c r="G357" s="1655"/>
      <c r="H357" s="1656"/>
      <c r="I357" s="1655"/>
      <c r="J357" s="33"/>
      <c r="K357" s="33"/>
      <c r="L357" s="33"/>
      <c r="M357" s="33"/>
      <c r="N357" s="33"/>
      <c r="O357" s="33"/>
      <c r="P357" s="33"/>
    </row>
    <row r="358" spans="6:16" s="75" customFormat="1">
      <c r="F358" s="76"/>
      <c r="G358" s="1655"/>
      <c r="H358" s="1656"/>
      <c r="I358" s="1655"/>
      <c r="J358" s="33"/>
      <c r="K358" s="33"/>
      <c r="L358" s="33"/>
      <c r="M358" s="33"/>
      <c r="N358" s="33"/>
      <c r="O358" s="33"/>
      <c r="P358" s="33"/>
    </row>
    <row r="359" spans="6:16" s="75" customFormat="1">
      <c r="F359" s="76"/>
      <c r="G359" s="1655"/>
      <c r="H359" s="1656"/>
      <c r="I359" s="1655"/>
      <c r="J359" s="33"/>
      <c r="K359" s="33"/>
      <c r="L359" s="33"/>
      <c r="M359" s="33"/>
      <c r="N359" s="33"/>
      <c r="O359" s="33"/>
      <c r="P359" s="33"/>
    </row>
    <row r="360" spans="6:16" s="75" customFormat="1">
      <c r="F360" s="76"/>
      <c r="G360" s="1655"/>
      <c r="H360" s="1656"/>
      <c r="I360" s="1655"/>
      <c r="J360" s="33"/>
      <c r="K360" s="33"/>
      <c r="L360" s="33"/>
      <c r="M360" s="33"/>
      <c r="N360" s="33"/>
      <c r="O360" s="33"/>
      <c r="P360" s="33"/>
    </row>
    <row r="361" spans="6:16" s="75" customFormat="1">
      <c r="F361" s="76"/>
      <c r="G361" s="1655"/>
      <c r="H361" s="1656"/>
      <c r="I361" s="1655"/>
      <c r="J361" s="33"/>
      <c r="K361" s="33"/>
      <c r="L361" s="33"/>
      <c r="M361" s="33"/>
      <c r="N361" s="33"/>
      <c r="O361" s="33"/>
      <c r="P361" s="33"/>
    </row>
    <row r="362" spans="6:16" s="75" customFormat="1">
      <c r="F362" s="76"/>
      <c r="G362" s="1655"/>
      <c r="H362" s="1656"/>
      <c r="I362" s="1655"/>
      <c r="J362" s="33"/>
      <c r="K362" s="33"/>
      <c r="L362" s="33"/>
      <c r="M362" s="33"/>
      <c r="N362" s="33"/>
      <c r="O362" s="33"/>
      <c r="P362" s="33"/>
    </row>
    <row r="363" spans="6:16" s="75" customFormat="1">
      <c r="F363" s="76"/>
      <c r="G363" s="1655"/>
      <c r="H363" s="1656"/>
      <c r="I363" s="1655"/>
      <c r="J363" s="33"/>
      <c r="K363" s="33"/>
      <c r="L363" s="33"/>
      <c r="M363" s="33"/>
      <c r="N363" s="33"/>
      <c r="O363" s="33"/>
      <c r="P363" s="33"/>
    </row>
    <row r="364" spans="6:16" s="75" customFormat="1">
      <c r="F364" s="76"/>
      <c r="G364" s="1655"/>
      <c r="H364" s="1656"/>
      <c r="I364" s="1655"/>
      <c r="J364" s="33"/>
      <c r="K364" s="33"/>
      <c r="L364" s="33"/>
      <c r="M364" s="33"/>
      <c r="N364" s="33"/>
      <c r="O364" s="33"/>
      <c r="P364" s="33"/>
    </row>
    <row r="365" spans="6:16" s="75" customFormat="1">
      <c r="F365" s="76"/>
      <c r="G365" s="1655"/>
      <c r="H365" s="1656"/>
      <c r="I365" s="1655"/>
      <c r="J365" s="33"/>
      <c r="K365" s="33"/>
      <c r="L365" s="33"/>
      <c r="M365" s="33"/>
      <c r="N365" s="33"/>
      <c r="O365" s="33"/>
      <c r="P365" s="33"/>
    </row>
    <row r="366" spans="6:16" s="75" customFormat="1">
      <c r="F366" s="76"/>
      <c r="G366" s="1655"/>
      <c r="H366" s="1656"/>
      <c r="I366" s="1655"/>
      <c r="J366" s="33"/>
      <c r="K366" s="33"/>
      <c r="L366" s="33"/>
      <c r="M366" s="33"/>
      <c r="N366" s="33"/>
      <c r="O366" s="33"/>
      <c r="P366" s="33"/>
    </row>
    <row r="367" spans="6:16" s="75" customFormat="1">
      <c r="F367" s="76"/>
      <c r="G367" s="1655"/>
      <c r="H367" s="1656"/>
      <c r="I367" s="1655"/>
      <c r="J367" s="33"/>
      <c r="K367" s="33"/>
      <c r="L367" s="33"/>
      <c r="M367" s="33"/>
      <c r="N367" s="33"/>
      <c r="O367" s="33"/>
      <c r="P367" s="33"/>
    </row>
    <row r="368" spans="6:16" s="75" customFormat="1">
      <c r="F368" s="76"/>
      <c r="G368" s="1655"/>
      <c r="H368" s="1656"/>
      <c r="I368" s="1655"/>
      <c r="J368" s="33"/>
      <c r="K368" s="33"/>
      <c r="L368" s="33"/>
      <c r="M368" s="33"/>
      <c r="N368" s="33"/>
      <c r="O368" s="33"/>
      <c r="P368" s="33"/>
    </row>
    <row r="369" spans="6:16" s="75" customFormat="1">
      <c r="F369" s="76"/>
      <c r="G369" s="1655"/>
      <c r="H369" s="1656"/>
      <c r="I369" s="1655"/>
      <c r="J369" s="33"/>
      <c r="K369" s="33"/>
      <c r="L369" s="33"/>
      <c r="M369" s="33"/>
      <c r="N369" s="33"/>
      <c r="O369" s="33"/>
      <c r="P369" s="33"/>
    </row>
    <row r="370" spans="6:16" s="75" customFormat="1">
      <c r="F370" s="76"/>
      <c r="G370" s="1655"/>
      <c r="H370" s="1656"/>
      <c r="I370" s="1655"/>
      <c r="J370" s="33"/>
      <c r="K370" s="33"/>
      <c r="L370" s="33"/>
      <c r="M370" s="33"/>
      <c r="N370" s="33"/>
      <c r="O370" s="33"/>
      <c r="P370" s="33"/>
    </row>
    <row r="371" spans="6:16" s="75" customFormat="1">
      <c r="F371" s="76"/>
      <c r="G371" s="1655"/>
      <c r="H371" s="1656"/>
      <c r="I371" s="1655"/>
      <c r="J371" s="33"/>
      <c r="K371" s="33"/>
      <c r="L371" s="33"/>
      <c r="M371" s="33"/>
      <c r="N371" s="33"/>
      <c r="O371" s="33"/>
      <c r="P371" s="33"/>
    </row>
    <row r="372" spans="6:16" s="75" customFormat="1">
      <c r="F372" s="76"/>
      <c r="G372" s="1655"/>
      <c r="H372" s="1656"/>
      <c r="I372" s="1655"/>
      <c r="J372" s="33"/>
      <c r="K372" s="33"/>
      <c r="L372" s="33"/>
      <c r="M372" s="33"/>
      <c r="N372" s="33"/>
      <c r="O372" s="33"/>
      <c r="P372" s="33"/>
    </row>
    <row r="373" spans="6:16" s="75" customFormat="1">
      <c r="F373" s="76"/>
      <c r="G373" s="1655"/>
      <c r="H373" s="1656"/>
      <c r="I373" s="1655"/>
      <c r="J373" s="33"/>
      <c r="K373" s="33"/>
      <c r="L373" s="33"/>
      <c r="M373" s="33"/>
      <c r="N373" s="33"/>
      <c r="O373" s="33"/>
      <c r="P373" s="33"/>
    </row>
    <row r="374" spans="6:16" s="75" customFormat="1">
      <c r="F374" s="76"/>
      <c r="G374" s="1655"/>
      <c r="H374" s="1656"/>
      <c r="I374" s="1655"/>
      <c r="J374" s="33"/>
      <c r="K374" s="33"/>
      <c r="L374" s="33"/>
      <c r="M374" s="33"/>
      <c r="N374" s="33"/>
      <c r="O374" s="33"/>
      <c r="P374" s="33"/>
    </row>
    <row r="375" spans="6:16" s="75" customFormat="1">
      <c r="F375" s="76"/>
      <c r="G375" s="1655"/>
      <c r="H375" s="1656"/>
      <c r="I375" s="1655"/>
      <c r="J375" s="33"/>
      <c r="K375" s="33"/>
      <c r="L375" s="33"/>
      <c r="M375" s="33"/>
      <c r="N375" s="33"/>
      <c r="O375" s="33"/>
      <c r="P375" s="33"/>
    </row>
    <row r="376" spans="6:16" s="75" customFormat="1">
      <c r="F376" s="76"/>
      <c r="G376" s="1655"/>
      <c r="H376" s="1656"/>
      <c r="I376" s="1655"/>
      <c r="J376" s="33"/>
      <c r="K376" s="33"/>
      <c r="L376" s="33"/>
      <c r="M376" s="33"/>
      <c r="N376" s="33"/>
      <c r="O376" s="33"/>
      <c r="P376" s="33"/>
    </row>
    <row r="377" spans="6:16" s="75" customFormat="1">
      <c r="F377" s="76"/>
      <c r="G377" s="1655"/>
      <c r="H377" s="1656"/>
      <c r="I377" s="1655"/>
      <c r="J377" s="33"/>
      <c r="K377" s="33"/>
      <c r="L377" s="33"/>
      <c r="M377" s="33"/>
      <c r="N377" s="33"/>
      <c r="O377" s="33"/>
      <c r="P377" s="33"/>
    </row>
    <row r="378" spans="6:16" s="75" customFormat="1">
      <c r="F378" s="76"/>
      <c r="G378" s="1655"/>
      <c r="H378" s="1656"/>
      <c r="I378" s="1655"/>
      <c r="J378" s="33"/>
      <c r="K378" s="33"/>
      <c r="L378" s="33"/>
      <c r="M378" s="33"/>
      <c r="N378" s="33"/>
      <c r="O378" s="33"/>
      <c r="P378" s="33"/>
    </row>
    <row r="379" spans="6:16" s="75" customFormat="1">
      <c r="F379" s="76"/>
      <c r="G379" s="1655"/>
      <c r="H379" s="1656"/>
      <c r="I379" s="1655"/>
      <c r="J379" s="33"/>
      <c r="K379" s="33"/>
      <c r="L379" s="33"/>
      <c r="M379" s="33"/>
      <c r="N379" s="33"/>
      <c r="O379" s="33"/>
      <c r="P379" s="33"/>
    </row>
    <row r="380" spans="6:16" s="75" customFormat="1">
      <c r="F380" s="76"/>
      <c r="G380" s="1655"/>
      <c r="H380" s="1656"/>
      <c r="I380" s="1655"/>
      <c r="J380" s="33"/>
      <c r="K380" s="33"/>
      <c r="L380" s="33"/>
      <c r="M380" s="33"/>
      <c r="N380" s="33"/>
      <c r="O380" s="33"/>
      <c r="P380" s="33"/>
    </row>
    <row r="381" spans="6:16" s="75" customFormat="1">
      <c r="F381" s="76"/>
      <c r="G381" s="1655"/>
      <c r="H381" s="1656"/>
      <c r="I381" s="1655"/>
      <c r="J381" s="33"/>
      <c r="K381" s="33"/>
      <c r="L381" s="33"/>
      <c r="M381" s="33"/>
      <c r="N381" s="33"/>
      <c r="O381" s="33"/>
      <c r="P381" s="33"/>
    </row>
    <row r="382" spans="6:16" s="75" customFormat="1">
      <c r="F382" s="76"/>
      <c r="G382" s="1655"/>
      <c r="H382" s="1656"/>
      <c r="I382" s="1655"/>
      <c r="J382" s="33"/>
      <c r="K382" s="33"/>
      <c r="L382" s="33"/>
      <c r="M382" s="33"/>
      <c r="N382" s="33"/>
      <c r="O382" s="33"/>
      <c r="P382" s="33"/>
    </row>
    <row r="383" spans="6:16" s="75" customFormat="1">
      <c r="F383" s="76"/>
      <c r="G383" s="1655"/>
      <c r="H383" s="1656"/>
      <c r="I383" s="1655"/>
      <c r="J383" s="33"/>
      <c r="K383" s="33"/>
      <c r="L383" s="33"/>
      <c r="M383" s="33"/>
      <c r="N383" s="33"/>
      <c r="O383" s="33"/>
      <c r="P383" s="33"/>
    </row>
    <row r="384" spans="6:16" s="75" customFormat="1">
      <c r="F384" s="76"/>
      <c r="G384" s="1655"/>
      <c r="H384" s="1656"/>
      <c r="I384" s="1655"/>
      <c r="J384" s="33"/>
      <c r="K384" s="33"/>
      <c r="L384" s="33"/>
      <c r="M384" s="33"/>
      <c r="N384" s="33"/>
      <c r="O384" s="33"/>
      <c r="P384" s="33"/>
    </row>
    <row r="385" spans="6:16" s="75" customFormat="1">
      <c r="F385" s="76"/>
      <c r="G385" s="1655"/>
      <c r="H385" s="1656"/>
      <c r="I385" s="1655"/>
      <c r="J385" s="33"/>
      <c r="K385" s="33"/>
      <c r="L385" s="33"/>
      <c r="M385" s="33"/>
      <c r="N385" s="33"/>
      <c r="O385" s="33"/>
      <c r="P385" s="33"/>
    </row>
    <row r="386" spans="6:16" s="75" customFormat="1">
      <c r="F386" s="76"/>
      <c r="G386" s="1655"/>
      <c r="H386" s="1656"/>
      <c r="I386" s="1655"/>
      <c r="J386" s="33"/>
      <c r="K386" s="33"/>
      <c r="L386" s="33"/>
      <c r="M386" s="33"/>
      <c r="N386" s="33"/>
      <c r="O386" s="33"/>
      <c r="P386" s="33"/>
    </row>
    <row r="387" spans="6:16" s="75" customFormat="1">
      <c r="F387" s="76"/>
      <c r="G387" s="1655"/>
      <c r="H387" s="1656"/>
      <c r="I387" s="1655"/>
      <c r="J387" s="33"/>
      <c r="K387" s="33"/>
      <c r="L387" s="33"/>
      <c r="M387" s="33"/>
      <c r="N387" s="33"/>
      <c r="O387" s="33"/>
      <c r="P387" s="33"/>
    </row>
    <row r="388" spans="6:16" s="75" customFormat="1">
      <c r="F388" s="76"/>
      <c r="G388" s="1655"/>
      <c r="H388" s="1656"/>
      <c r="I388" s="1655"/>
      <c r="J388" s="33"/>
      <c r="K388" s="33"/>
      <c r="L388" s="33"/>
      <c r="M388" s="33"/>
      <c r="N388" s="33"/>
      <c r="O388" s="33"/>
      <c r="P388" s="33"/>
    </row>
    <row r="389" spans="6:16" s="75" customFormat="1">
      <c r="F389" s="76"/>
      <c r="G389" s="1655"/>
      <c r="H389" s="1656"/>
      <c r="I389" s="1655"/>
      <c r="J389" s="33"/>
      <c r="K389" s="33"/>
      <c r="L389" s="33"/>
      <c r="M389" s="33"/>
      <c r="N389" s="33"/>
      <c r="O389" s="33"/>
      <c r="P389" s="33"/>
    </row>
    <row r="390" spans="6:16" s="75" customFormat="1">
      <c r="F390" s="76"/>
      <c r="G390" s="1655"/>
      <c r="H390" s="1656"/>
      <c r="I390" s="1655"/>
      <c r="J390" s="33"/>
      <c r="K390" s="33"/>
      <c r="L390" s="33"/>
      <c r="M390" s="33"/>
      <c r="N390" s="33"/>
      <c r="O390" s="33"/>
      <c r="P390" s="33"/>
    </row>
    <row r="391" spans="6:16" s="75" customFormat="1">
      <c r="F391" s="76"/>
      <c r="G391" s="1655"/>
      <c r="H391" s="1656"/>
      <c r="I391" s="1655"/>
      <c r="J391" s="33"/>
      <c r="K391" s="33"/>
      <c r="L391" s="33"/>
      <c r="M391" s="33"/>
      <c r="N391" s="33"/>
      <c r="O391" s="33"/>
      <c r="P391" s="33"/>
    </row>
    <row r="392" spans="6:16" s="75" customFormat="1">
      <c r="F392" s="76"/>
      <c r="G392" s="1655"/>
      <c r="H392" s="1656"/>
      <c r="I392" s="1655"/>
      <c r="J392" s="33"/>
      <c r="K392" s="33"/>
      <c r="L392" s="33"/>
      <c r="M392" s="33"/>
      <c r="N392" s="33"/>
      <c r="O392" s="33"/>
      <c r="P392" s="33"/>
    </row>
    <row r="393" spans="6:16" s="75" customFormat="1">
      <c r="F393" s="76"/>
      <c r="G393" s="1655"/>
      <c r="H393" s="1656"/>
      <c r="I393" s="1655"/>
      <c r="J393" s="33"/>
      <c r="K393" s="33"/>
      <c r="L393" s="33"/>
      <c r="M393" s="33"/>
      <c r="N393" s="33"/>
      <c r="O393" s="33"/>
      <c r="P393" s="33"/>
    </row>
    <row r="394" spans="6:16" s="75" customFormat="1">
      <c r="F394" s="76"/>
      <c r="G394" s="1655"/>
      <c r="H394" s="1656"/>
      <c r="I394" s="1655"/>
      <c r="J394" s="33"/>
      <c r="K394" s="33"/>
      <c r="L394" s="33"/>
      <c r="M394" s="33"/>
      <c r="N394" s="33"/>
      <c r="O394" s="33"/>
      <c r="P394" s="33"/>
    </row>
    <row r="395" spans="6:16" s="75" customFormat="1">
      <c r="F395" s="76"/>
      <c r="G395" s="1655"/>
      <c r="H395" s="1656"/>
      <c r="I395" s="1655"/>
      <c r="J395" s="33"/>
      <c r="K395" s="33"/>
      <c r="L395" s="33"/>
      <c r="M395" s="33"/>
      <c r="N395" s="33"/>
      <c r="O395" s="33"/>
      <c r="P395" s="33"/>
    </row>
    <row r="396" spans="6:16" s="75" customFormat="1">
      <c r="F396" s="76"/>
      <c r="G396" s="1655"/>
      <c r="H396" s="1656"/>
      <c r="I396" s="1655"/>
      <c r="J396" s="33"/>
      <c r="K396" s="33"/>
      <c r="L396" s="33"/>
      <c r="M396" s="33"/>
      <c r="N396" s="33"/>
      <c r="O396" s="33"/>
      <c r="P396" s="33"/>
    </row>
    <row r="397" spans="6:16" s="75" customFormat="1">
      <c r="F397" s="76"/>
      <c r="G397" s="1655"/>
      <c r="H397" s="1656"/>
      <c r="I397" s="1655"/>
      <c r="J397" s="33"/>
      <c r="K397" s="33"/>
      <c r="L397" s="33"/>
      <c r="M397" s="33"/>
      <c r="N397" s="33"/>
      <c r="O397" s="33"/>
      <c r="P397" s="33"/>
    </row>
    <row r="398" spans="6:16" s="75" customFormat="1">
      <c r="F398" s="76"/>
      <c r="G398" s="1655"/>
      <c r="H398" s="1656"/>
      <c r="I398" s="1655"/>
      <c r="J398" s="33"/>
      <c r="K398" s="33"/>
      <c r="L398" s="33"/>
      <c r="M398" s="33"/>
      <c r="N398" s="33"/>
      <c r="O398" s="33"/>
      <c r="P398" s="33"/>
    </row>
    <row r="399" spans="6:16" s="75" customFormat="1">
      <c r="F399" s="76"/>
      <c r="G399" s="1655"/>
      <c r="H399" s="1656"/>
      <c r="I399" s="1655"/>
      <c r="J399" s="33"/>
      <c r="K399" s="33"/>
      <c r="L399" s="33"/>
      <c r="M399" s="33"/>
      <c r="N399" s="33"/>
      <c r="O399" s="33"/>
      <c r="P399" s="33"/>
    </row>
    <row r="400" spans="6:16" s="75" customFormat="1">
      <c r="F400" s="76"/>
      <c r="G400" s="1655"/>
      <c r="H400" s="1656"/>
      <c r="I400" s="1655"/>
      <c r="J400" s="33"/>
      <c r="K400" s="33"/>
      <c r="L400" s="33"/>
      <c r="M400" s="33"/>
      <c r="N400" s="33"/>
      <c r="O400" s="33"/>
      <c r="P400" s="33"/>
    </row>
    <row r="401" spans="6:16" s="75" customFormat="1">
      <c r="F401" s="76"/>
      <c r="G401" s="1655"/>
      <c r="H401" s="1656"/>
      <c r="I401" s="1655"/>
      <c r="J401" s="33"/>
      <c r="K401" s="33"/>
      <c r="L401" s="33"/>
      <c r="M401" s="33"/>
      <c r="N401" s="33"/>
      <c r="O401" s="33"/>
      <c r="P401" s="33"/>
    </row>
    <row r="402" spans="6:16" s="75" customFormat="1">
      <c r="F402" s="76"/>
      <c r="G402" s="1655"/>
      <c r="H402" s="1656"/>
      <c r="I402" s="1655"/>
      <c r="J402" s="33"/>
      <c r="K402" s="33"/>
      <c r="L402" s="33"/>
      <c r="M402" s="33"/>
      <c r="N402" s="33"/>
      <c r="O402" s="33"/>
      <c r="P402" s="33"/>
    </row>
    <row r="403" spans="6:16" s="75" customFormat="1">
      <c r="F403" s="76"/>
      <c r="G403" s="1655"/>
      <c r="H403" s="1656"/>
      <c r="I403" s="1655"/>
      <c r="J403" s="33"/>
      <c r="K403" s="33"/>
      <c r="L403" s="33"/>
      <c r="M403" s="33"/>
      <c r="N403" s="33"/>
      <c r="O403" s="33"/>
      <c r="P403" s="33"/>
    </row>
    <row r="404" spans="6:16" s="75" customFormat="1">
      <c r="F404" s="76"/>
      <c r="G404" s="1655"/>
      <c r="H404" s="1656"/>
      <c r="I404" s="1655"/>
      <c r="J404" s="33"/>
      <c r="K404" s="33"/>
      <c r="L404" s="33"/>
      <c r="M404" s="33"/>
      <c r="N404" s="33"/>
      <c r="O404" s="33"/>
      <c r="P404" s="33"/>
    </row>
    <row r="405" spans="6:16" s="75" customFormat="1">
      <c r="F405" s="76"/>
      <c r="G405" s="1655"/>
      <c r="H405" s="1656"/>
      <c r="I405" s="1655"/>
      <c r="J405" s="33"/>
      <c r="K405" s="33"/>
      <c r="L405" s="33"/>
      <c r="M405" s="33"/>
      <c r="N405" s="33"/>
      <c r="O405" s="33"/>
      <c r="P405" s="33"/>
    </row>
    <row r="406" spans="6:16" s="75" customFormat="1">
      <c r="F406" s="76"/>
      <c r="G406" s="1655"/>
      <c r="H406" s="1656"/>
      <c r="I406" s="1655"/>
      <c r="J406" s="33"/>
      <c r="K406" s="33"/>
      <c r="L406" s="33"/>
      <c r="M406" s="33"/>
      <c r="N406" s="33"/>
      <c r="O406" s="33"/>
      <c r="P406" s="33"/>
    </row>
    <row r="407" spans="6:16" s="75" customFormat="1">
      <c r="F407" s="76"/>
      <c r="G407" s="1655"/>
      <c r="H407" s="1656"/>
      <c r="I407" s="1655"/>
      <c r="J407" s="33"/>
      <c r="K407" s="33"/>
      <c r="L407" s="33"/>
      <c r="M407" s="33"/>
      <c r="N407" s="33"/>
      <c r="O407" s="33"/>
      <c r="P407" s="33"/>
    </row>
    <row r="408" spans="6:16" s="75" customFormat="1">
      <c r="F408" s="76"/>
      <c r="G408" s="1655"/>
      <c r="H408" s="1656"/>
      <c r="I408" s="1655"/>
      <c r="J408" s="33"/>
      <c r="K408" s="33"/>
      <c r="L408" s="33"/>
      <c r="M408" s="33"/>
      <c r="N408" s="33"/>
      <c r="O408" s="33"/>
      <c r="P408" s="33"/>
    </row>
    <row r="409" spans="6:16" s="75" customFormat="1">
      <c r="F409" s="76"/>
      <c r="G409" s="1655"/>
      <c r="H409" s="1656"/>
      <c r="I409" s="1655"/>
      <c r="J409" s="33"/>
      <c r="K409" s="33"/>
      <c r="L409" s="33"/>
      <c r="M409" s="33"/>
      <c r="N409" s="33"/>
      <c r="O409" s="33"/>
      <c r="P409" s="33"/>
    </row>
    <row r="410" spans="6:16" s="75" customFormat="1">
      <c r="F410" s="76"/>
      <c r="G410" s="1655"/>
      <c r="H410" s="1656"/>
      <c r="I410" s="1655"/>
      <c r="J410" s="33"/>
      <c r="K410" s="33"/>
      <c r="L410" s="33"/>
      <c r="M410" s="33"/>
      <c r="N410" s="33"/>
      <c r="O410" s="33"/>
      <c r="P410" s="33"/>
    </row>
    <row r="411" spans="6:16" s="75" customFormat="1">
      <c r="F411" s="76"/>
      <c r="G411" s="1655"/>
      <c r="H411" s="1656"/>
      <c r="I411" s="1655"/>
      <c r="J411" s="33"/>
      <c r="K411" s="33"/>
      <c r="L411" s="33"/>
      <c r="M411" s="33"/>
      <c r="N411" s="33"/>
      <c r="O411" s="33"/>
      <c r="P411" s="33"/>
    </row>
    <row r="412" spans="6:16" s="75" customFormat="1">
      <c r="F412" s="76"/>
      <c r="G412" s="1655"/>
      <c r="H412" s="1656"/>
      <c r="I412" s="1655"/>
      <c r="J412" s="33"/>
      <c r="K412" s="33"/>
      <c r="L412" s="33"/>
      <c r="M412" s="33"/>
      <c r="N412" s="33"/>
      <c r="O412" s="33"/>
      <c r="P412" s="33"/>
    </row>
    <row r="413" spans="6:16" s="75" customFormat="1">
      <c r="F413" s="76"/>
      <c r="G413" s="1655"/>
      <c r="H413" s="1656"/>
      <c r="I413" s="1655"/>
      <c r="J413" s="33"/>
      <c r="K413" s="33"/>
      <c r="L413" s="33"/>
      <c r="M413" s="33"/>
      <c r="N413" s="33"/>
      <c r="O413" s="33"/>
      <c r="P413" s="33"/>
    </row>
    <row r="414" spans="6:16" s="75" customFormat="1">
      <c r="F414" s="76"/>
      <c r="G414" s="1655"/>
      <c r="H414" s="1656"/>
      <c r="I414" s="1655"/>
      <c r="J414" s="33"/>
      <c r="K414" s="33"/>
      <c r="L414" s="33"/>
      <c r="M414" s="33"/>
      <c r="N414" s="33"/>
      <c r="O414" s="33"/>
      <c r="P414" s="33"/>
    </row>
    <row r="415" spans="6:16" s="75" customFormat="1">
      <c r="F415" s="76"/>
      <c r="G415" s="1655"/>
      <c r="H415" s="1656"/>
      <c r="I415" s="1655"/>
      <c r="J415" s="33"/>
      <c r="K415" s="33"/>
      <c r="L415" s="33"/>
      <c r="M415" s="33"/>
      <c r="N415" s="33"/>
      <c r="O415" s="33"/>
      <c r="P415" s="33"/>
    </row>
    <row r="416" spans="6:16" s="75" customFormat="1">
      <c r="F416" s="76"/>
      <c r="G416" s="1655"/>
      <c r="H416" s="1656"/>
      <c r="I416" s="1655"/>
      <c r="J416" s="33"/>
      <c r="K416" s="33"/>
      <c r="L416" s="33"/>
      <c r="M416" s="33"/>
      <c r="N416" s="33"/>
      <c r="O416" s="33"/>
      <c r="P416" s="33"/>
    </row>
    <row r="417" spans="6:16" s="75" customFormat="1">
      <c r="F417" s="76"/>
      <c r="G417" s="1655"/>
      <c r="H417" s="1656"/>
      <c r="I417" s="1655"/>
      <c r="J417" s="33"/>
      <c r="K417" s="33"/>
      <c r="L417" s="33"/>
      <c r="M417" s="33"/>
      <c r="N417" s="33"/>
      <c r="O417" s="33"/>
      <c r="P417" s="33"/>
    </row>
    <row r="418" spans="6:16" s="75" customFormat="1">
      <c r="F418" s="76"/>
      <c r="G418" s="1655"/>
      <c r="H418" s="1656"/>
      <c r="I418" s="1655"/>
      <c r="J418" s="33"/>
      <c r="K418" s="33"/>
      <c r="L418" s="33"/>
      <c r="M418" s="33"/>
      <c r="N418" s="33"/>
      <c r="O418" s="33"/>
      <c r="P418" s="33"/>
    </row>
    <row r="419" spans="6:16" s="75" customFormat="1">
      <c r="F419" s="76"/>
      <c r="G419" s="1655"/>
      <c r="H419" s="1656"/>
      <c r="I419" s="1655"/>
      <c r="J419" s="33"/>
      <c r="K419" s="33"/>
      <c r="L419" s="33"/>
      <c r="M419" s="33"/>
      <c r="N419" s="33"/>
      <c r="O419" s="33"/>
      <c r="P419" s="33"/>
    </row>
    <row r="420" spans="6:16" s="75" customFormat="1">
      <c r="F420" s="76"/>
      <c r="G420" s="1655"/>
      <c r="H420" s="1656"/>
      <c r="I420" s="1655"/>
      <c r="J420" s="33"/>
      <c r="K420" s="33"/>
      <c r="L420" s="33"/>
      <c r="M420" s="33"/>
      <c r="N420" s="33"/>
      <c r="O420" s="33"/>
      <c r="P420" s="33"/>
    </row>
    <row r="421" spans="6:16" s="75" customFormat="1">
      <c r="F421" s="76"/>
      <c r="G421" s="1655"/>
      <c r="H421" s="1656"/>
      <c r="I421" s="1655"/>
      <c r="J421" s="33"/>
      <c r="K421" s="33"/>
      <c r="L421" s="33"/>
      <c r="M421" s="33"/>
      <c r="N421" s="33"/>
      <c r="O421" s="33"/>
      <c r="P421" s="33"/>
    </row>
    <row r="422" spans="6:16" s="75" customFormat="1">
      <c r="F422" s="76"/>
      <c r="G422" s="1655"/>
      <c r="H422" s="1656"/>
      <c r="I422" s="1655"/>
      <c r="J422" s="33"/>
      <c r="K422" s="33"/>
      <c r="L422" s="33"/>
      <c r="M422" s="33"/>
      <c r="N422" s="33"/>
      <c r="O422" s="33"/>
      <c r="P422" s="33"/>
    </row>
    <row r="423" spans="6:16" s="75" customFormat="1">
      <c r="F423" s="76"/>
      <c r="G423" s="1655"/>
      <c r="H423" s="1656"/>
      <c r="I423" s="1655"/>
      <c r="J423" s="33"/>
      <c r="K423" s="33"/>
      <c r="L423" s="33"/>
      <c r="M423" s="33"/>
      <c r="N423" s="33"/>
      <c r="O423" s="33"/>
      <c r="P423" s="33"/>
    </row>
    <row r="424" spans="6:16" s="75" customFormat="1">
      <c r="F424" s="76"/>
      <c r="G424" s="1655"/>
      <c r="H424" s="1656"/>
      <c r="I424" s="1655"/>
      <c r="J424" s="33"/>
      <c r="K424" s="33"/>
      <c r="L424" s="33"/>
      <c r="M424" s="33"/>
      <c r="N424" s="33"/>
      <c r="O424" s="33"/>
      <c r="P424" s="33"/>
    </row>
    <row r="425" spans="6:16" s="75" customFormat="1">
      <c r="F425" s="76"/>
      <c r="G425" s="1655"/>
      <c r="H425" s="1656"/>
      <c r="I425" s="1655"/>
      <c r="J425" s="33"/>
      <c r="K425" s="33"/>
      <c r="L425" s="33"/>
      <c r="M425" s="33"/>
      <c r="N425" s="33"/>
      <c r="O425" s="33"/>
      <c r="P425" s="33"/>
    </row>
    <row r="426" spans="6:16" s="75" customFormat="1">
      <c r="F426" s="76"/>
      <c r="G426" s="1655"/>
      <c r="H426" s="1656"/>
      <c r="I426" s="1655"/>
      <c r="J426" s="33"/>
      <c r="K426" s="33"/>
      <c r="L426" s="33"/>
      <c r="M426" s="33"/>
      <c r="N426" s="33"/>
      <c r="O426" s="33"/>
      <c r="P426" s="33"/>
    </row>
    <row r="427" spans="6:16" s="75" customFormat="1">
      <c r="F427" s="76"/>
      <c r="G427" s="1655"/>
      <c r="H427" s="1656"/>
      <c r="I427" s="1655"/>
      <c r="J427" s="33"/>
      <c r="K427" s="33"/>
      <c r="L427" s="33"/>
      <c r="M427" s="33"/>
      <c r="N427" s="33"/>
      <c r="O427" s="33"/>
      <c r="P427" s="33"/>
    </row>
    <row r="428" spans="6:16" s="75" customFormat="1">
      <c r="F428" s="76"/>
      <c r="G428" s="1655"/>
      <c r="H428" s="1656"/>
      <c r="I428" s="1655"/>
      <c r="J428" s="33"/>
      <c r="K428" s="33"/>
      <c r="L428" s="33"/>
      <c r="M428" s="33"/>
      <c r="N428" s="33"/>
      <c r="O428" s="33"/>
      <c r="P428" s="33"/>
    </row>
    <row r="429" spans="6:16" s="75" customFormat="1">
      <c r="F429" s="76"/>
      <c r="G429" s="1655"/>
      <c r="H429" s="1656"/>
      <c r="I429" s="1655"/>
      <c r="J429" s="33"/>
      <c r="K429" s="33"/>
      <c r="L429" s="33"/>
      <c r="M429" s="33"/>
      <c r="N429" s="33"/>
      <c r="O429" s="33"/>
      <c r="P429" s="33"/>
    </row>
    <row r="430" spans="6:16" s="75" customFormat="1">
      <c r="F430" s="76"/>
      <c r="G430" s="1655"/>
      <c r="H430" s="1656"/>
      <c r="I430" s="1655"/>
      <c r="J430" s="33"/>
      <c r="K430" s="33"/>
      <c r="L430" s="33"/>
      <c r="M430" s="33"/>
      <c r="N430" s="33"/>
      <c r="O430" s="33"/>
      <c r="P430" s="33"/>
    </row>
    <row r="431" spans="6:16" s="75" customFormat="1">
      <c r="F431" s="76"/>
      <c r="G431" s="1655"/>
      <c r="H431" s="1656"/>
      <c r="I431" s="1655"/>
      <c r="J431" s="33"/>
      <c r="K431" s="33"/>
      <c r="L431" s="33"/>
      <c r="M431" s="33"/>
      <c r="N431" s="33"/>
      <c r="O431" s="33"/>
      <c r="P431" s="33"/>
    </row>
    <row r="432" spans="6:16" s="75" customFormat="1">
      <c r="F432" s="76"/>
      <c r="G432" s="1655"/>
      <c r="H432" s="1656"/>
      <c r="I432" s="1655"/>
      <c r="J432" s="33"/>
      <c r="K432" s="33"/>
      <c r="L432" s="33"/>
      <c r="M432" s="33"/>
      <c r="N432" s="33"/>
      <c r="O432" s="33"/>
      <c r="P432" s="33"/>
    </row>
    <row r="433" spans="6:16" s="75" customFormat="1">
      <c r="F433" s="76"/>
      <c r="G433" s="1655"/>
      <c r="H433" s="1656"/>
      <c r="I433" s="1655"/>
      <c r="J433" s="33"/>
      <c r="K433" s="33"/>
      <c r="L433" s="33"/>
      <c r="M433" s="33"/>
      <c r="N433" s="33"/>
      <c r="O433" s="33"/>
      <c r="P433" s="33"/>
    </row>
    <row r="434" spans="6:16" s="75" customFormat="1">
      <c r="F434" s="76"/>
      <c r="G434" s="1655"/>
      <c r="H434" s="1656"/>
      <c r="I434" s="1655"/>
      <c r="J434" s="33"/>
      <c r="K434" s="33"/>
      <c r="L434" s="33"/>
      <c r="M434" s="33"/>
      <c r="N434" s="33"/>
      <c r="O434" s="33"/>
      <c r="P434" s="33"/>
    </row>
    <row r="435" spans="6:16" s="75" customFormat="1">
      <c r="F435" s="76"/>
      <c r="G435" s="1655"/>
      <c r="H435" s="1656"/>
      <c r="I435" s="1655"/>
      <c r="J435" s="33"/>
      <c r="K435" s="33"/>
      <c r="L435" s="33"/>
      <c r="M435" s="33"/>
      <c r="N435" s="33"/>
      <c r="O435" s="33"/>
      <c r="P435" s="33"/>
    </row>
    <row r="436" spans="6:16" s="75" customFormat="1">
      <c r="F436" s="76"/>
      <c r="G436" s="1655"/>
      <c r="H436" s="1656"/>
      <c r="I436" s="1655"/>
      <c r="J436" s="33"/>
      <c r="K436" s="33"/>
      <c r="L436" s="33"/>
      <c r="M436" s="33"/>
      <c r="N436" s="33"/>
      <c r="O436" s="33"/>
      <c r="P436" s="33"/>
    </row>
    <row r="437" spans="6:16" s="75" customFormat="1">
      <c r="F437" s="76"/>
      <c r="G437" s="1655"/>
      <c r="H437" s="1656"/>
      <c r="I437" s="1655"/>
      <c r="J437" s="33"/>
      <c r="K437" s="33"/>
      <c r="L437" s="33"/>
      <c r="M437" s="33"/>
      <c r="N437" s="33"/>
      <c r="O437" s="33"/>
      <c r="P437" s="33"/>
    </row>
    <row r="438" spans="6:16" s="75" customFormat="1">
      <c r="F438" s="76"/>
      <c r="G438" s="1655"/>
      <c r="H438" s="1656"/>
      <c r="I438" s="1655"/>
      <c r="J438" s="33"/>
      <c r="K438" s="33"/>
      <c r="L438" s="33"/>
      <c r="M438" s="33"/>
      <c r="N438" s="33"/>
      <c r="O438" s="33"/>
      <c r="P438" s="33"/>
    </row>
    <row r="439" spans="6:16" s="75" customFormat="1">
      <c r="F439" s="76"/>
      <c r="G439" s="1655"/>
      <c r="H439" s="1656"/>
      <c r="I439" s="1655"/>
      <c r="J439" s="33"/>
      <c r="K439" s="33"/>
      <c r="L439" s="33"/>
      <c r="M439" s="33"/>
      <c r="N439" s="33"/>
      <c r="O439" s="33"/>
      <c r="P439" s="33"/>
    </row>
    <row r="440" spans="6:16" s="75" customFormat="1">
      <c r="F440" s="76"/>
      <c r="G440" s="1655"/>
      <c r="H440" s="1656"/>
      <c r="I440" s="1655"/>
      <c r="J440" s="33"/>
      <c r="K440" s="33"/>
      <c r="L440" s="33"/>
      <c r="M440" s="33"/>
      <c r="N440" s="33"/>
      <c r="O440" s="33"/>
      <c r="P440" s="33"/>
    </row>
    <row r="441" spans="6:16" s="75" customFormat="1">
      <c r="F441" s="76"/>
      <c r="G441" s="1655"/>
      <c r="H441" s="1656"/>
      <c r="I441" s="1655"/>
      <c r="J441" s="33"/>
      <c r="K441" s="33"/>
      <c r="L441" s="33"/>
      <c r="M441" s="33"/>
      <c r="N441" s="33"/>
      <c r="O441" s="33"/>
      <c r="P441" s="33"/>
    </row>
    <row r="442" spans="6:16" s="75" customFormat="1">
      <c r="F442" s="76"/>
      <c r="G442" s="1655"/>
      <c r="H442" s="1656"/>
      <c r="I442" s="1655"/>
      <c r="J442" s="33"/>
      <c r="K442" s="33"/>
      <c r="L442" s="33"/>
      <c r="M442" s="33"/>
      <c r="N442" s="33"/>
      <c r="O442" s="33"/>
      <c r="P442" s="33"/>
    </row>
    <row r="443" spans="6:16" s="75" customFormat="1">
      <c r="F443" s="76"/>
      <c r="G443" s="1655"/>
      <c r="H443" s="1656"/>
      <c r="I443" s="1655"/>
      <c r="J443" s="33"/>
      <c r="K443" s="33"/>
      <c r="L443" s="33"/>
      <c r="M443" s="33"/>
      <c r="N443" s="33"/>
      <c r="O443" s="33"/>
      <c r="P443" s="33"/>
    </row>
    <row r="444" spans="6:16" s="75" customFormat="1">
      <c r="F444" s="76"/>
      <c r="G444" s="1655"/>
      <c r="H444" s="1656"/>
      <c r="I444" s="1655"/>
      <c r="J444" s="33"/>
      <c r="K444" s="33"/>
      <c r="L444" s="33"/>
      <c r="M444" s="33"/>
      <c r="N444" s="33"/>
      <c r="O444" s="33"/>
      <c r="P444" s="33"/>
    </row>
    <row r="445" spans="6:16" s="75" customFormat="1">
      <c r="F445" s="76"/>
      <c r="G445" s="1655"/>
      <c r="H445" s="1656"/>
      <c r="I445" s="1655"/>
      <c r="J445" s="33"/>
      <c r="K445" s="33"/>
      <c r="L445" s="33"/>
      <c r="M445" s="33"/>
      <c r="N445" s="33"/>
      <c r="O445" s="33"/>
      <c r="P445" s="33"/>
    </row>
    <row r="446" spans="6:16" s="75" customFormat="1">
      <c r="F446" s="76"/>
      <c r="G446" s="1655"/>
      <c r="H446" s="1656"/>
      <c r="I446" s="1655"/>
      <c r="J446" s="33"/>
      <c r="K446" s="33"/>
      <c r="L446" s="33"/>
      <c r="M446" s="33"/>
      <c r="N446" s="33"/>
      <c r="O446" s="33"/>
      <c r="P446" s="33"/>
    </row>
    <row r="447" spans="6:16" s="75" customFormat="1">
      <c r="F447" s="76"/>
      <c r="G447" s="1655"/>
      <c r="H447" s="1656"/>
      <c r="I447" s="1655"/>
      <c r="J447" s="33"/>
      <c r="K447" s="33"/>
      <c r="L447" s="33"/>
      <c r="M447" s="33"/>
      <c r="N447" s="33"/>
      <c r="O447" s="33"/>
      <c r="P447" s="33"/>
    </row>
    <row r="448" spans="6:16" s="75" customFormat="1">
      <c r="F448" s="76"/>
      <c r="G448" s="1655"/>
      <c r="H448" s="1656"/>
      <c r="I448" s="1655"/>
      <c r="J448" s="33"/>
      <c r="K448" s="33"/>
      <c r="L448" s="33"/>
      <c r="M448" s="33"/>
      <c r="N448" s="33"/>
      <c r="O448" s="33"/>
      <c r="P448" s="33"/>
    </row>
    <row r="449" spans="6:16" s="75" customFormat="1">
      <c r="F449" s="76"/>
      <c r="G449" s="1655"/>
      <c r="H449" s="1656"/>
      <c r="I449" s="1655"/>
      <c r="J449" s="33"/>
      <c r="K449" s="33"/>
      <c r="L449" s="33"/>
      <c r="M449" s="33"/>
      <c r="N449" s="33"/>
      <c r="O449" s="33"/>
      <c r="P449" s="33"/>
    </row>
    <row r="450" spans="6:16" s="75" customFormat="1">
      <c r="F450" s="76"/>
      <c r="G450" s="1655"/>
      <c r="H450" s="1656"/>
      <c r="I450" s="1655"/>
      <c r="J450" s="33"/>
      <c r="K450" s="33"/>
      <c r="L450" s="33"/>
      <c r="M450" s="33"/>
      <c r="N450" s="33"/>
      <c r="O450" s="33"/>
      <c r="P450" s="33"/>
    </row>
    <row r="451" spans="6:16" s="75" customFormat="1">
      <c r="F451" s="76"/>
      <c r="G451" s="1655"/>
      <c r="H451" s="1656"/>
      <c r="I451" s="1655"/>
      <c r="J451" s="33"/>
      <c r="K451" s="33"/>
      <c r="L451" s="33"/>
      <c r="M451" s="33"/>
      <c r="N451" s="33"/>
      <c r="O451" s="33"/>
      <c r="P451" s="33"/>
    </row>
    <row r="452" spans="6:16" s="75" customFormat="1">
      <c r="F452" s="76"/>
      <c r="G452" s="1655"/>
      <c r="H452" s="1656"/>
      <c r="I452" s="1655"/>
      <c r="J452" s="33"/>
      <c r="K452" s="33"/>
      <c r="L452" s="33"/>
      <c r="M452" s="33"/>
      <c r="N452" s="33"/>
      <c r="O452" s="33"/>
      <c r="P452" s="33"/>
    </row>
    <row r="453" spans="6:16" s="75" customFormat="1">
      <c r="F453" s="76"/>
      <c r="G453" s="1655"/>
      <c r="H453" s="1656"/>
      <c r="I453" s="1655"/>
      <c r="J453" s="33"/>
      <c r="K453" s="33"/>
      <c r="L453" s="33"/>
      <c r="M453" s="33"/>
      <c r="N453" s="33"/>
      <c r="O453" s="33"/>
      <c r="P453" s="33"/>
    </row>
  </sheetData>
  <mergeCells count="6">
    <mergeCell ref="A1:F1"/>
    <mergeCell ref="A32:B32"/>
    <mergeCell ref="A4:B4"/>
    <mergeCell ref="A5:A16"/>
    <mergeCell ref="A17:A27"/>
    <mergeCell ref="A28:A31"/>
  </mergeCells>
  <phoneticPr fontId="19" type="noConversion"/>
  <printOptions horizontalCentered="1"/>
  <pageMargins left="0.59055118110236227" right="0.55118110236220474" top="0.74803149606299213" bottom="0.74803149606299213" header="0.51181102362204722" footer="0.35433070866141736"/>
  <pageSetup paperSize="9" scale="75" firstPageNumber="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67"/>
  <sheetViews>
    <sheetView view="pageBreakPreview" topLeftCell="A10" zoomScale="60" zoomScaleNormal="70" workbookViewId="0">
      <selection activeCell="V19" sqref="V19:V20"/>
    </sheetView>
  </sheetViews>
  <sheetFormatPr defaultRowHeight="18.75"/>
  <cols>
    <col min="1" max="2" width="8.33203125" style="14" customWidth="1"/>
    <col min="3" max="3" width="7" style="14" customWidth="1"/>
    <col min="4" max="4" width="21" style="14" customWidth="1"/>
    <col min="5" max="6" width="16" style="141" customWidth="1"/>
    <col min="7" max="7" width="16" style="152" customWidth="1"/>
    <col min="8" max="8" width="1.5546875" style="14" customWidth="1"/>
    <col min="9" max="9" width="19.6640625" style="14" customWidth="1"/>
    <col min="10" max="10" width="24.109375" style="14" customWidth="1"/>
    <col min="11" max="11" width="3.44140625" style="276" customWidth="1"/>
    <col min="12" max="12" width="18" style="14" customWidth="1"/>
    <col min="13" max="13" width="7.21875" style="14" customWidth="1"/>
    <col min="14" max="14" width="8.6640625" style="14" customWidth="1"/>
    <col min="15" max="15" width="7.44140625" style="14" customWidth="1"/>
    <col min="16" max="16" width="9.109375" style="14" customWidth="1"/>
    <col min="17" max="17" width="19.5546875" style="14" customWidth="1"/>
    <col min="18" max="18" width="19.33203125" style="14" customWidth="1"/>
    <col min="19" max="19" width="3.5546875" style="14" customWidth="1"/>
    <col min="20" max="20" width="18.5546875" style="14" customWidth="1"/>
    <col min="21" max="21" width="22.109375" style="572" bestFit="1" customWidth="1"/>
    <col min="22" max="22" width="29.5546875" style="153" customWidth="1"/>
    <col min="23" max="23" width="16.77734375" style="311" bestFit="1" customWidth="1"/>
    <col min="24" max="24" width="11.77734375" style="311" bestFit="1" customWidth="1"/>
    <col min="25" max="16384" width="8.88671875" style="4"/>
  </cols>
  <sheetData>
    <row r="1" spans="1:24" ht="18.75" customHeight="1">
      <c r="A1" s="3195" t="s">
        <v>5055</v>
      </c>
      <c r="B1" s="3195"/>
      <c r="C1" s="3196"/>
      <c r="D1" s="3196"/>
      <c r="E1" s="3196"/>
      <c r="F1" s="3196"/>
      <c r="G1" s="3196"/>
      <c r="H1" s="3196"/>
      <c r="I1" s="3196"/>
      <c r="J1" s="3196"/>
      <c r="K1" s="3196"/>
      <c r="L1" s="3196"/>
      <c r="M1" s="3196"/>
      <c r="N1" s="3196"/>
      <c r="O1" s="3196"/>
      <c r="P1" s="3196"/>
      <c r="Q1" s="3196"/>
      <c r="R1" s="3196"/>
      <c r="S1" s="3196"/>
      <c r="T1" s="3196"/>
    </row>
    <row r="2" spans="1:24" ht="18.75" customHeight="1">
      <c r="A2" s="3196"/>
      <c r="B2" s="3196"/>
      <c r="C2" s="3196"/>
      <c r="D2" s="3196"/>
      <c r="E2" s="3196"/>
      <c r="F2" s="3196"/>
      <c r="G2" s="3196"/>
      <c r="H2" s="3196"/>
      <c r="I2" s="3196"/>
      <c r="J2" s="3196"/>
      <c r="K2" s="3196"/>
      <c r="L2" s="3196"/>
      <c r="M2" s="3196"/>
      <c r="N2" s="3196"/>
      <c r="O2" s="3196"/>
      <c r="P2" s="3196"/>
      <c r="Q2" s="3196"/>
      <c r="R2" s="3196"/>
      <c r="S2" s="3196"/>
      <c r="T2" s="3196"/>
    </row>
    <row r="3" spans="1:24" ht="19.5" thickBot="1">
      <c r="A3" s="1495"/>
      <c r="B3" s="1495"/>
      <c r="C3" s="1495"/>
      <c r="D3" s="1495" t="s">
        <v>267</v>
      </c>
      <c r="E3" s="1496"/>
      <c r="F3" s="1497"/>
      <c r="G3" s="1498" t="s">
        <v>187</v>
      </c>
      <c r="H3" s="1495" t="s">
        <v>267</v>
      </c>
      <c r="I3" s="1499" t="s">
        <v>267</v>
      </c>
      <c r="J3" s="1495"/>
      <c r="K3" s="1500"/>
      <c r="L3" s="1495"/>
      <c r="M3" s="1501"/>
      <c r="N3" s="1495"/>
      <c r="O3" s="1495"/>
      <c r="P3" s="1495"/>
      <c r="Q3" s="1495"/>
      <c r="R3" s="1495"/>
      <c r="S3" s="1495"/>
      <c r="T3" s="1497" t="s">
        <v>187</v>
      </c>
    </row>
    <row r="4" spans="1:24">
      <c r="A4" s="3197" t="s">
        <v>372</v>
      </c>
      <c r="B4" s="3198"/>
      <c r="C4" s="3198"/>
      <c r="D4" s="3199"/>
      <c r="E4" s="3200" t="s">
        <v>337</v>
      </c>
      <c r="F4" s="3202" t="s">
        <v>423</v>
      </c>
      <c r="G4" s="3204" t="s">
        <v>11</v>
      </c>
      <c r="H4" s="1502"/>
      <c r="I4" s="3206" t="s">
        <v>347</v>
      </c>
      <c r="J4" s="3207"/>
      <c r="K4" s="3207"/>
      <c r="L4" s="3207"/>
      <c r="M4" s="3207"/>
      <c r="N4" s="3207"/>
      <c r="O4" s="3207"/>
      <c r="P4" s="3207"/>
      <c r="Q4" s="3207"/>
      <c r="R4" s="3207"/>
      <c r="S4" s="3207"/>
      <c r="T4" s="3208"/>
      <c r="U4" s="150"/>
    </row>
    <row r="5" spans="1:24" ht="42.75" customHeight="1" thickBot="1">
      <c r="A5" s="1503" t="s">
        <v>216</v>
      </c>
      <c r="B5" s="1504" t="s">
        <v>444</v>
      </c>
      <c r="C5" s="1505" t="s">
        <v>191</v>
      </c>
      <c r="D5" s="1505" t="s">
        <v>205</v>
      </c>
      <c r="E5" s="3201"/>
      <c r="F5" s="3203"/>
      <c r="G5" s="3205"/>
      <c r="H5" s="1502"/>
      <c r="I5" s="3209"/>
      <c r="J5" s="3210"/>
      <c r="K5" s="3210"/>
      <c r="L5" s="3210"/>
      <c r="M5" s="3210"/>
      <c r="N5" s="3210"/>
      <c r="O5" s="3210"/>
      <c r="P5" s="3210"/>
      <c r="Q5" s="3210"/>
      <c r="R5" s="3210"/>
      <c r="S5" s="3210"/>
      <c r="T5" s="3211"/>
      <c r="U5" s="150"/>
    </row>
    <row r="6" spans="1:24" s="93" customFormat="1" ht="22.5" customHeight="1" thickBot="1">
      <c r="A6" s="3216" t="s">
        <v>473</v>
      </c>
      <c r="B6" s="3217"/>
      <c r="C6" s="1506"/>
      <c r="D6" s="1507"/>
      <c r="E6" s="1508">
        <f>E7+E35</f>
        <v>53953290.968999989</v>
      </c>
      <c r="F6" s="1508">
        <f>F7+F35</f>
        <v>53883091</v>
      </c>
      <c r="G6" s="1509">
        <f t="shared" ref="G6:G11" si="0">E6-F6</f>
        <v>70199.968999989331</v>
      </c>
      <c r="H6" s="1510"/>
      <c r="I6" s="1511"/>
      <c r="J6" s="1512"/>
      <c r="K6" s="1513"/>
      <c r="L6" s="1514"/>
      <c r="M6" s="1514"/>
      <c r="N6" s="1514"/>
      <c r="O6" s="1514"/>
      <c r="P6" s="1514"/>
      <c r="Q6" s="1514"/>
      <c r="R6" s="1514"/>
      <c r="S6" s="1514"/>
      <c r="T6" s="1515"/>
      <c r="U6" s="1079"/>
      <c r="V6" s="1035"/>
      <c r="W6" s="121"/>
      <c r="X6" s="121"/>
    </row>
    <row r="7" spans="1:24" s="93" customFormat="1" ht="22.5" customHeight="1" thickBot="1">
      <c r="A7" s="1516"/>
      <c r="B7" s="1517" t="s">
        <v>445</v>
      </c>
      <c r="C7" s="1518"/>
      <c r="D7" s="1507" t="s">
        <v>19</v>
      </c>
      <c r="E7" s="1508">
        <f>E8</f>
        <v>46757000</v>
      </c>
      <c r="F7" s="1508">
        <f>F8</f>
        <v>46712000</v>
      </c>
      <c r="G7" s="1509">
        <f t="shared" si="0"/>
        <v>45000</v>
      </c>
      <c r="H7" s="1510"/>
      <c r="I7" s="1511"/>
      <c r="J7" s="1514"/>
      <c r="K7" s="1513"/>
      <c r="L7" s="1514"/>
      <c r="M7" s="1514"/>
      <c r="N7" s="1514"/>
      <c r="O7" s="1514"/>
      <c r="P7" s="1514"/>
      <c r="Q7" s="1514"/>
      <c r="R7" s="1514"/>
      <c r="S7" s="1514"/>
      <c r="T7" s="1515"/>
      <c r="U7" s="1079"/>
      <c r="V7" s="1035"/>
      <c r="W7" s="121"/>
      <c r="X7" s="121"/>
    </row>
    <row r="8" spans="1:24" ht="22.5" customHeight="1">
      <c r="A8" s="1519"/>
      <c r="B8" s="1495"/>
      <c r="C8" s="1520" t="s">
        <v>181</v>
      </c>
      <c r="D8" s="1521"/>
      <c r="E8" s="1522">
        <f>SUM(E9:E31)</f>
        <v>46757000</v>
      </c>
      <c r="F8" s="1522">
        <f>SUM(F9:F31)</f>
        <v>46712000</v>
      </c>
      <c r="G8" s="1523">
        <f t="shared" si="0"/>
        <v>45000</v>
      </c>
      <c r="H8" s="1524"/>
      <c r="I8" s="1525"/>
      <c r="J8" s="1526"/>
      <c r="K8" s="1527"/>
      <c r="L8" s="1526"/>
      <c r="M8" s="1526"/>
      <c r="N8" s="1526"/>
      <c r="O8" s="1526"/>
      <c r="P8" s="1526"/>
      <c r="Q8" s="1526"/>
      <c r="R8" s="1526"/>
      <c r="S8" s="1526"/>
      <c r="T8" s="1528"/>
      <c r="U8" s="150"/>
    </row>
    <row r="9" spans="1:24" ht="22.5" customHeight="1">
      <c r="A9" s="1519"/>
      <c r="B9" s="1529"/>
      <c r="C9" s="1530"/>
      <c r="D9" s="1531" t="s">
        <v>155</v>
      </c>
      <c r="E9" s="1532">
        <f>T9</f>
        <v>3100000</v>
      </c>
      <c r="F9" s="1533">
        <v>3100000</v>
      </c>
      <c r="G9" s="1534">
        <f t="shared" si="0"/>
        <v>0</v>
      </c>
      <c r="H9" s="1524"/>
      <c r="I9" s="1535" t="s">
        <v>375</v>
      </c>
      <c r="J9" s="2246"/>
      <c r="K9" s="3212">
        <v>105111774000</v>
      </c>
      <c r="L9" s="3212"/>
      <c r="M9" s="2246" t="s">
        <v>34</v>
      </c>
      <c r="N9" s="1536">
        <v>3.48610099614E-2</v>
      </c>
      <c r="O9" s="3213" t="s">
        <v>192</v>
      </c>
      <c r="P9" s="3213"/>
      <c r="Q9" s="1537">
        <v>0.154</v>
      </c>
      <c r="R9" s="1538" t="s">
        <v>376</v>
      </c>
      <c r="S9" s="2246" t="s">
        <v>5</v>
      </c>
      <c r="T9" s="1436">
        <f>ROUND(U9/1000,0)</f>
        <v>3100000</v>
      </c>
      <c r="U9" s="1770">
        <f>(K9*N9)-(K9*N9*Q9)</f>
        <v>3100000000.0013638</v>
      </c>
      <c r="W9" s="1772"/>
      <c r="X9" s="1771"/>
    </row>
    <row r="10" spans="1:24" ht="22.5" customHeight="1">
      <c r="A10" s="1519"/>
      <c r="B10" s="1529"/>
      <c r="C10" s="1530"/>
      <c r="D10" s="1531" t="s">
        <v>156</v>
      </c>
      <c r="E10" s="1532">
        <f>T10</f>
        <v>2500000</v>
      </c>
      <c r="F10" s="1533">
        <v>2500000</v>
      </c>
      <c r="G10" s="1534">
        <f t="shared" si="0"/>
        <v>0</v>
      </c>
      <c r="H10" s="1524"/>
      <c r="I10" s="1539" t="s">
        <v>422</v>
      </c>
      <c r="J10" s="1540"/>
      <c r="K10" s="1541"/>
      <c r="L10" s="1542"/>
      <c r="M10" s="1542"/>
      <c r="N10" s="1542"/>
      <c r="O10" s="1542"/>
      <c r="P10" s="1542"/>
      <c r="Q10" s="1542"/>
      <c r="R10" s="1542"/>
      <c r="S10" s="1542" t="s">
        <v>5</v>
      </c>
      <c r="T10" s="1543">
        <v>2500000</v>
      </c>
      <c r="U10" s="150"/>
    </row>
    <row r="11" spans="1:24" ht="22.5" customHeight="1">
      <c r="A11" s="1519"/>
      <c r="B11" s="1529"/>
      <c r="C11" s="1530"/>
      <c r="D11" s="1530" t="s">
        <v>377</v>
      </c>
      <c r="E11" s="1544">
        <f>T11</f>
        <v>39677000</v>
      </c>
      <c r="F11" s="1545">
        <v>39677000</v>
      </c>
      <c r="G11" s="1546">
        <f t="shared" si="0"/>
        <v>0</v>
      </c>
      <c r="H11" s="1524"/>
      <c r="I11" s="2245" t="s">
        <v>193</v>
      </c>
      <c r="J11" s="1547"/>
      <c r="K11" s="3192" t="s">
        <v>267</v>
      </c>
      <c r="L11" s="3192"/>
      <c r="M11" s="3192"/>
      <c r="N11" s="3192"/>
      <c r="O11" s="3192"/>
      <c r="P11" s="3192"/>
      <c r="Q11" s="3192"/>
      <c r="R11" s="3192"/>
      <c r="S11" s="2246"/>
      <c r="T11" s="1436">
        <f>SUM(L12:L17,T12:T17)</f>
        <v>39677000</v>
      </c>
      <c r="U11" s="150"/>
    </row>
    <row r="12" spans="1:24" s="14" customFormat="1" ht="22.5" customHeight="1">
      <c r="A12" s="1519"/>
      <c r="B12" s="1529"/>
      <c r="C12" s="1530"/>
      <c r="D12" s="1530"/>
      <c r="E12" s="1545"/>
      <c r="F12" s="1545"/>
      <c r="G12" s="1546"/>
      <c r="H12" s="1524"/>
      <c r="I12" s="3214" t="s">
        <v>421</v>
      </c>
      <c r="J12" s="3215"/>
      <c r="K12" s="1548" t="s">
        <v>5</v>
      </c>
      <c r="L12" s="2246">
        <v>5036000</v>
      </c>
      <c r="M12" s="2246"/>
      <c r="N12" s="2246" t="s">
        <v>420</v>
      </c>
      <c r="O12" s="1549"/>
      <c r="P12" s="1547"/>
      <c r="Q12" s="1550"/>
      <c r="R12" s="2246"/>
      <c r="S12" s="2246" t="s">
        <v>5</v>
      </c>
      <c r="T12" s="1436">
        <v>4404000</v>
      </c>
      <c r="U12" s="150"/>
      <c r="V12" s="153"/>
      <c r="W12" s="153"/>
      <c r="X12" s="153"/>
    </row>
    <row r="13" spans="1:24" s="14" customFormat="1" ht="22.5" customHeight="1">
      <c r="A13" s="1519"/>
      <c r="B13" s="1529"/>
      <c r="C13" s="1530"/>
      <c r="D13" s="1530"/>
      <c r="E13" s="1545"/>
      <c r="F13" s="1545"/>
      <c r="G13" s="1546"/>
      <c r="H13" s="1524"/>
      <c r="I13" s="3193" t="s">
        <v>5075</v>
      </c>
      <c r="J13" s="3194"/>
      <c r="K13" s="1548" t="s">
        <v>5</v>
      </c>
      <c r="L13" s="2246">
        <v>5735000</v>
      </c>
      <c r="M13" s="2246"/>
      <c r="N13" s="2246" t="s">
        <v>640</v>
      </c>
      <c r="O13" s="1549"/>
      <c r="P13" s="1547"/>
      <c r="Q13" s="1550"/>
      <c r="R13" s="2246"/>
      <c r="S13" s="2246" t="s">
        <v>5</v>
      </c>
      <c r="T13" s="1436">
        <v>1355000</v>
      </c>
      <c r="U13" s="150"/>
      <c r="V13" s="153"/>
      <c r="W13" s="153"/>
      <c r="X13" s="153"/>
    </row>
    <row r="14" spans="1:24" s="14" customFormat="1" ht="22.5" customHeight="1">
      <c r="A14" s="1519"/>
      <c r="B14" s="1529"/>
      <c r="C14" s="1530"/>
      <c r="D14" s="1551"/>
      <c r="E14" s="1545"/>
      <c r="F14" s="1545"/>
      <c r="G14" s="1546"/>
      <c r="H14" s="1524"/>
      <c r="I14" s="2245" t="s">
        <v>158</v>
      </c>
      <c r="J14" s="1549"/>
      <c r="K14" s="1548" t="s">
        <v>5</v>
      </c>
      <c r="L14" s="2246">
        <v>2277000</v>
      </c>
      <c r="M14" s="2246"/>
      <c r="N14" s="2246" t="s">
        <v>419</v>
      </c>
      <c r="O14" s="1549"/>
      <c r="P14" s="1549"/>
      <c r="Q14" s="2246"/>
      <c r="R14" s="2246"/>
      <c r="S14" s="2246" t="s">
        <v>418</v>
      </c>
      <c r="T14" s="1436">
        <v>2479000</v>
      </c>
      <c r="U14" s="150"/>
      <c r="V14" s="153"/>
      <c r="W14" s="153"/>
      <c r="X14" s="153"/>
    </row>
    <row r="15" spans="1:24" s="14" customFormat="1" ht="22.5" customHeight="1">
      <c r="A15" s="1519"/>
      <c r="B15" s="1529"/>
      <c r="C15" s="1530"/>
      <c r="D15" s="1530"/>
      <c r="E15" s="1545"/>
      <c r="F15" s="1545"/>
      <c r="G15" s="1546"/>
      <c r="H15" s="1524"/>
      <c r="I15" s="2245" t="s">
        <v>413</v>
      </c>
      <c r="J15" s="1547"/>
      <c r="K15" s="1548" t="s">
        <v>5</v>
      </c>
      <c r="L15" s="2246">
        <v>3802000</v>
      </c>
      <c r="M15" s="2246"/>
      <c r="N15" s="2246" t="s">
        <v>412</v>
      </c>
      <c r="O15" s="1549"/>
      <c r="P15" s="1549"/>
      <c r="Q15" s="2248"/>
      <c r="R15" s="2248"/>
      <c r="S15" s="2246" t="s">
        <v>5</v>
      </c>
      <c r="T15" s="1436">
        <v>3042000</v>
      </c>
      <c r="U15" s="150"/>
      <c r="V15" s="153"/>
      <c r="W15" s="153"/>
      <c r="X15" s="153"/>
    </row>
    <row r="16" spans="1:24" s="14" customFormat="1" ht="22.5" customHeight="1">
      <c r="A16" s="1519"/>
      <c r="B16" s="1529"/>
      <c r="C16" s="1530"/>
      <c r="D16" s="1530"/>
      <c r="E16" s="1545"/>
      <c r="F16" s="1545"/>
      <c r="G16" s="1546"/>
      <c r="H16" s="1524"/>
      <c r="I16" s="2245" t="s">
        <v>414</v>
      </c>
      <c r="J16" s="1547"/>
      <c r="K16" s="1548" t="s">
        <v>5</v>
      </c>
      <c r="L16" s="2246">
        <v>3029000</v>
      </c>
      <c r="M16" s="2246"/>
      <c r="N16" s="2246" t="s">
        <v>415</v>
      </c>
      <c r="O16" s="1549"/>
      <c r="P16" s="1549"/>
      <c r="Q16" s="2248"/>
      <c r="R16" s="2248"/>
      <c r="S16" s="2246" t="s">
        <v>5</v>
      </c>
      <c r="T16" s="1436">
        <v>2474000</v>
      </c>
      <c r="U16" s="150"/>
      <c r="V16" s="153"/>
      <c r="W16" s="153"/>
      <c r="X16" s="153"/>
    </row>
    <row r="17" spans="1:24" s="14" customFormat="1" ht="22.5" customHeight="1">
      <c r="A17" s="1519"/>
      <c r="B17" s="1529"/>
      <c r="C17" s="1530"/>
      <c r="D17" s="1530"/>
      <c r="E17" s="1545"/>
      <c r="F17" s="1545"/>
      <c r="G17" s="1546"/>
      <c r="H17" s="1524"/>
      <c r="I17" s="2245" t="s">
        <v>416</v>
      </c>
      <c r="J17" s="1547"/>
      <c r="K17" s="1548" t="s">
        <v>5</v>
      </c>
      <c r="L17" s="2246">
        <v>2746000</v>
      </c>
      <c r="M17" s="2246"/>
      <c r="N17" s="2246" t="s">
        <v>417</v>
      </c>
      <c r="O17" s="1549"/>
      <c r="P17" s="1549"/>
      <c r="Q17" s="2248"/>
      <c r="R17" s="2248"/>
      <c r="S17" s="2246" t="s">
        <v>5</v>
      </c>
      <c r="T17" s="1436">
        <v>3298000</v>
      </c>
      <c r="U17" s="150"/>
      <c r="V17" s="153"/>
      <c r="W17" s="153"/>
      <c r="X17" s="153"/>
    </row>
    <row r="18" spans="1:24" ht="22.5" customHeight="1">
      <c r="A18" s="1552"/>
      <c r="B18" s="1553"/>
      <c r="C18" s="1554"/>
      <c r="D18" s="1555" t="s">
        <v>379</v>
      </c>
      <c r="E18" s="1556">
        <f>T18</f>
        <v>510000</v>
      </c>
      <c r="F18" s="1556">
        <v>465000</v>
      </c>
      <c r="G18" s="1557">
        <f>E18-F18</f>
        <v>45000</v>
      </c>
      <c r="H18" s="1558"/>
      <c r="I18" s="1559" t="s">
        <v>159</v>
      </c>
      <c r="J18" s="1560"/>
      <c r="K18" s="1561" t="s">
        <v>267</v>
      </c>
      <c r="L18" s="1562"/>
      <c r="M18" s="1562"/>
      <c r="N18" s="1562"/>
      <c r="O18" s="1562"/>
      <c r="P18" s="1562"/>
      <c r="Q18" s="1562"/>
      <c r="R18" s="1562"/>
      <c r="S18" s="1563"/>
      <c r="T18" s="1564">
        <f>+L19+L20+L21+T19+T20+T21</f>
        <v>510000</v>
      </c>
      <c r="U18" s="150"/>
    </row>
    <row r="19" spans="1:24" s="14" customFormat="1" ht="22.5" customHeight="1">
      <c r="A19" s="1519"/>
      <c r="B19" s="1529"/>
      <c r="C19" s="1530"/>
      <c r="D19" s="1530"/>
      <c r="E19" s="1545"/>
      <c r="F19" s="1545"/>
      <c r="G19" s="1546"/>
      <c r="H19" s="1524"/>
      <c r="I19" s="2245" t="s">
        <v>413</v>
      </c>
      <c r="J19" s="1547"/>
      <c r="K19" s="1548" t="s">
        <v>5</v>
      </c>
      <c r="L19" s="2246">
        <v>50000</v>
      </c>
      <c r="M19" s="2246"/>
      <c r="N19" s="1501"/>
      <c r="O19" s="1501"/>
      <c r="P19" s="2246" t="s">
        <v>415</v>
      </c>
      <c r="Q19" s="1501"/>
      <c r="R19" s="1501"/>
      <c r="S19" s="1548" t="s">
        <v>5</v>
      </c>
      <c r="T19" s="1436">
        <v>65000</v>
      </c>
      <c r="U19" s="150"/>
      <c r="V19" s="153"/>
      <c r="W19" s="153"/>
      <c r="X19" s="153"/>
    </row>
    <row r="20" spans="1:24" s="14" customFormat="1" ht="22.5" customHeight="1">
      <c r="A20" s="1519"/>
      <c r="B20" s="1529"/>
      <c r="C20" s="1530"/>
      <c r="D20" s="1530"/>
      <c r="E20" s="1545"/>
      <c r="F20" s="1545"/>
      <c r="G20" s="1546"/>
      <c r="H20" s="1524"/>
      <c r="I20" s="2245" t="s">
        <v>412</v>
      </c>
      <c r="J20" s="1547"/>
      <c r="K20" s="1548" t="s">
        <v>5</v>
      </c>
      <c r="L20" s="2246">
        <v>35000</v>
      </c>
      <c r="M20" s="2246"/>
      <c r="N20" s="1501"/>
      <c r="O20" s="1501"/>
      <c r="P20" s="2246" t="s">
        <v>416</v>
      </c>
      <c r="Q20" s="1549"/>
      <c r="R20" s="1549"/>
      <c r="S20" s="1548" t="s">
        <v>5</v>
      </c>
      <c r="T20" s="1436">
        <v>160000</v>
      </c>
      <c r="U20" s="150"/>
      <c r="V20" s="153"/>
      <c r="W20" s="153"/>
      <c r="X20" s="153"/>
    </row>
    <row r="21" spans="1:24" s="14" customFormat="1" ht="22.5" customHeight="1">
      <c r="A21" s="1519"/>
      <c r="B21" s="1529"/>
      <c r="C21" s="1530"/>
      <c r="D21" s="1530"/>
      <c r="E21" s="1545"/>
      <c r="F21" s="1545"/>
      <c r="G21" s="1546"/>
      <c r="H21" s="1524"/>
      <c r="I21" s="2245" t="s">
        <v>414</v>
      </c>
      <c r="J21" s="1547"/>
      <c r="K21" s="1548" t="s">
        <v>5</v>
      </c>
      <c r="L21" s="2246">
        <v>80000</v>
      </c>
      <c r="M21" s="2246"/>
      <c r="N21" s="1501"/>
      <c r="O21" s="1501"/>
      <c r="P21" s="2246" t="s">
        <v>417</v>
      </c>
      <c r="Q21" s="1501"/>
      <c r="R21" s="1501"/>
      <c r="S21" s="1548" t="s">
        <v>5</v>
      </c>
      <c r="T21" s="1436">
        <v>120000</v>
      </c>
      <c r="U21" s="150"/>
      <c r="V21" s="153"/>
      <c r="W21" s="153"/>
      <c r="X21" s="153"/>
    </row>
    <row r="22" spans="1:24" s="16" customFormat="1" ht="22.5" customHeight="1">
      <c r="A22" s="1552"/>
      <c r="B22" s="1553"/>
      <c r="C22" s="1554"/>
      <c r="D22" s="1565" t="s">
        <v>160</v>
      </c>
      <c r="E22" s="1556">
        <f>T22</f>
        <v>120000</v>
      </c>
      <c r="F22" s="1556">
        <v>120000</v>
      </c>
      <c r="G22" s="1557">
        <f>E22-F22</f>
        <v>0</v>
      </c>
      <c r="H22" s="1524"/>
      <c r="I22" s="1566" t="s">
        <v>159</v>
      </c>
      <c r="J22" s="1567"/>
      <c r="K22" s="1568"/>
      <c r="L22" s="1569"/>
      <c r="M22" s="1569"/>
      <c r="N22" s="1570"/>
      <c r="O22" s="1570"/>
      <c r="P22" s="1570"/>
      <c r="Q22" s="1570"/>
      <c r="R22" s="1570"/>
      <c r="S22" s="1568"/>
      <c r="T22" s="1437">
        <f>SUM(T23:T24)</f>
        <v>120000</v>
      </c>
      <c r="U22" s="150"/>
      <c r="V22" s="153"/>
      <c r="W22" s="321"/>
      <c r="X22" s="321"/>
    </row>
    <row r="23" spans="1:24" s="16" customFormat="1" ht="22.5" customHeight="1">
      <c r="A23" s="1552"/>
      <c r="B23" s="1553"/>
      <c r="C23" s="1554"/>
      <c r="D23" s="1554"/>
      <c r="E23" s="1544"/>
      <c r="F23" s="1544"/>
      <c r="G23" s="1571"/>
      <c r="H23" s="1524"/>
      <c r="I23" s="2245" t="s">
        <v>1652</v>
      </c>
      <c r="J23" s="1547"/>
      <c r="K23" s="1548"/>
      <c r="L23" s="2246"/>
      <c r="M23" s="2246"/>
      <c r="N23" s="2248"/>
      <c r="O23" s="2248"/>
      <c r="P23" s="2248"/>
      <c r="Q23" s="2248"/>
      <c r="R23" s="2248"/>
      <c r="S23" s="1548" t="s">
        <v>1651</v>
      </c>
      <c r="T23" s="1436">
        <v>50000</v>
      </c>
      <c r="U23" s="150"/>
      <c r="V23" s="153"/>
      <c r="W23" s="321"/>
      <c r="X23" s="321"/>
    </row>
    <row r="24" spans="1:24" s="16" customFormat="1" ht="20.25" customHeight="1">
      <c r="A24" s="1552"/>
      <c r="B24" s="1553"/>
      <c r="C24" s="1554"/>
      <c r="D24" s="1554"/>
      <c r="E24" s="1544"/>
      <c r="F24" s="1544"/>
      <c r="G24" s="1571"/>
      <c r="H24" s="1524"/>
      <c r="I24" s="1525" t="s">
        <v>412</v>
      </c>
      <c r="J24" s="1572"/>
      <c r="K24" s="1527"/>
      <c r="L24" s="1526"/>
      <c r="M24" s="1526"/>
      <c r="N24" s="1573"/>
      <c r="O24" s="1573"/>
      <c r="P24" s="1573"/>
      <c r="Q24" s="1573"/>
      <c r="R24" s="1573"/>
      <c r="S24" s="1527" t="s">
        <v>5</v>
      </c>
      <c r="T24" s="1528">
        <v>70000</v>
      </c>
      <c r="U24" s="150"/>
      <c r="V24" s="153"/>
      <c r="W24" s="321"/>
      <c r="X24" s="321"/>
    </row>
    <row r="25" spans="1:24" s="16" customFormat="1" ht="22.5" customHeight="1">
      <c r="A25" s="1519"/>
      <c r="B25" s="1529"/>
      <c r="C25" s="1530"/>
      <c r="D25" s="1574" t="s">
        <v>380</v>
      </c>
      <c r="E25" s="1556">
        <f>T25</f>
        <v>700000</v>
      </c>
      <c r="F25" s="1575">
        <v>700000</v>
      </c>
      <c r="G25" s="1576">
        <f>E25-F25</f>
        <v>0</v>
      </c>
      <c r="H25" s="1524"/>
      <c r="I25" s="2245" t="s">
        <v>193</v>
      </c>
      <c r="J25" s="1547"/>
      <c r="K25" s="3192" t="s">
        <v>267</v>
      </c>
      <c r="L25" s="3192"/>
      <c r="M25" s="3192"/>
      <c r="N25" s="3192"/>
      <c r="O25" s="3192"/>
      <c r="P25" s="3192"/>
      <c r="Q25" s="3192"/>
      <c r="R25" s="3192"/>
      <c r="S25" s="1548"/>
      <c r="T25" s="1436">
        <f>+T26</f>
        <v>700000</v>
      </c>
      <c r="U25" s="150"/>
      <c r="V25" s="153"/>
      <c r="W25" s="321"/>
      <c r="X25" s="321"/>
    </row>
    <row r="26" spans="1:24" s="14" customFormat="1" ht="22.5" customHeight="1">
      <c r="A26" s="1519"/>
      <c r="B26" s="1529"/>
      <c r="C26" s="1530"/>
      <c r="D26" s="1530"/>
      <c r="E26" s="1545"/>
      <c r="F26" s="1545"/>
      <c r="G26" s="1546"/>
      <c r="H26" s="1524"/>
      <c r="I26" s="2245" t="s">
        <v>664</v>
      </c>
      <c r="J26" s="1547"/>
      <c r="K26" s="1548"/>
      <c r="L26" s="2246"/>
      <c r="M26" s="2246"/>
      <c r="N26" s="1549"/>
      <c r="O26" s="1550"/>
      <c r="P26" s="2246"/>
      <c r="Q26" s="2246"/>
      <c r="R26" s="2246"/>
      <c r="S26" s="1548" t="s">
        <v>5</v>
      </c>
      <c r="T26" s="1436">
        <v>700000</v>
      </c>
      <c r="U26" s="150"/>
      <c r="V26" s="153"/>
      <c r="W26" s="153"/>
      <c r="X26" s="153"/>
    </row>
    <row r="27" spans="1:24" s="16" customFormat="1" ht="22.5" customHeight="1">
      <c r="A27" s="1552"/>
      <c r="B27" s="1553"/>
      <c r="C27" s="1554"/>
      <c r="D27" s="1565" t="s">
        <v>161</v>
      </c>
      <c r="E27" s="1556">
        <f>T27</f>
        <v>150000</v>
      </c>
      <c r="F27" s="1556">
        <v>150000</v>
      </c>
      <c r="G27" s="1557">
        <f>E27-F27</f>
        <v>0</v>
      </c>
      <c r="H27" s="1558"/>
      <c r="I27" s="3190" t="s">
        <v>381</v>
      </c>
      <c r="J27" s="3191"/>
      <c r="K27" s="3191"/>
      <c r="L27" s="3191"/>
      <c r="M27" s="3191"/>
      <c r="N27" s="3191"/>
      <c r="O27" s="3191"/>
      <c r="P27" s="3191"/>
      <c r="Q27" s="3191"/>
      <c r="R27" s="3191"/>
      <c r="S27" s="1568"/>
      <c r="T27" s="1577">
        <f>SUM(L28:L30,T28:T30)</f>
        <v>150000</v>
      </c>
      <c r="U27" s="150"/>
      <c r="V27" s="153"/>
      <c r="W27" s="321"/>
      <c r="X27" s="321"/>
    </row>
    <row r="28" spans="1:24" s="14" customFormat="1" ht="20.25" customHeight="1">
      <c r="A28" s="1519"/>
      <c r="B28" s="1529"/>
      <c r="C28" s="1530"/>
      <c r="D28" s="1530"/>
      <c r="E28" s="1545"/>
      <c r="F28" s="1545"/>
      <c r="G28" s="1546"/>
      <c r="H28" s="1524"/>
      <c r="I28" s="2245" t="s">
        <v>158</v>
      </c>
      <c r="J28" s="1547"/>
      <c r="K28" s="1548" t="s">
        <v>5</v>
      </c>
      <c r="L28" s="2246">
        <v>75000</v>
      </c>
      <c r="M28" s="2246"/>
      <c r="N28" s="1549"/>
      <c r="O28" s="1550"/>
      <c r="P28" s="2246" t="s">
        <v>414</v>
      </c>
      <c r="Q28" s="2246"/>
      <c r="R28" s="2246"/>
      <c r="S28" s="1548" t="s">
        <v>5</v>
      </c>
      <c r="T28" s="1436">
        <v>5000</v>
      </c>
      <c r="U28" s="150"/>
      <c r="V28" s="153"/>
      <c r="W28" s="153"/>
      <c r="X28" s="153"/>
    </row>
    <row r="29" spans="1:24" s="14" customFormat="1" ht="20.25" customHeight="1">
      <c r="A29" s="1519"/>
      <c r="B29" s="1529"/>
      <c r="C29" s="1530"/>
      <c r="D29" s="1530"/>
      <c r="E29" s="1545"/>
      <c r="F29" s="1545"/>
      <c r="G29" s="1546"/>
      <c r="H29" s="1524"/>
      <c r="I29" s="2245" t="s">
        <v>413</v>
      </c>
      <c r="J29" s="1547"/>
      <c r="K29" s="1548" t="s">
        <v>5</v>
      </c>
      <c r="L29" s="2246">
        <v>30000</v>
      </c>
      <c r="M29" s="2246"/>
      <c r="N29" s="2248"/>
      <c r="O29" s="1550"/>
      <c r="P29" s="2246" t="s">
        <v>415</v>
      </c>
      <c r="Q29" s="2246"/>
      <c r="R29" s="2246"/>
      <c r="S29" s="1548" t="s">
        <v>5</v>
      </c>
      <c r="T29" s="1436">
        <v>25000</v>
      </c>
      <c r="U29" s="150"/>
      <c r="V29" s="153"/>
      <c r="W29" s="153"/>
      <c r="X29" s="153"/>
    </row>
    <row r="30" spans="1:24" s="14" customFormat="1" ht="20.25" customHeight="1">
      <c r="A30" s="1519"/>
      <c r="B30" s="1529"/>
      <c r="C30" s="1530"/>
      <c r="D30" s="1530"/>
      <c r="E30" s="1545"/>
      <c r="F30" s="1545"/>
      <c r="G30" s="1546"/>
      <c r="H30" s="1524"/>
      <c r="I30" s="2245"/>
      <c r="J30" s="1547"/>
      <c r="K30" s="1548"/>
      <c r="L30" s="2246"/>
      <c r="M30" s="2246"/>
      <c r="N30" s="2248"/>
      <c r="O30" s="1550"/>
      <c r="P30" s="2246" t="s">
        <v>417</v>
      </c>
      <c r="Q30" s="2248"/>
      <c r="R30" s="2248"/>
      <c r="S30" s="1548" t="s">
        <v>5</v>
      </c>
      <c r="T30" s="1436">
        <v>15000</v>
      </c>
      <c r="U30" s="150"/>
      <c r="V30" s="153"/>
      <c r="W30" s="153"/>
      <c r="X30" s="153"/>
    </row>
    <row r="31" spans="1:24" s="986" customFormat="1" ht="22.5" hidden="1" customHeight="1">
      <c r="A31" s="1552"/>
      <c r="B31" s="1553"/>
      <c r="C31" s="1554"/>
      <c r="D31" s="1565" t="s">
        <v>552</v>
      </c>
      <c r="E31" s="1556">
        <f>T31</f>
        <v>0</v>
      </c>
      <c r="F31" s="1556">
        <v>0</v>
      </c>
      <c r="G31" s="1576"/>
      <c r="H31" s="1558"/>
      <c r="I31" s="3190" t="s">
        <v>381</v>
      </c>
      <c r="J31" s="3191"/>
      <c r="K31" s="3191"/>
      <c r="L31" s="3191"/>
      <c r="M31" s="3191"/>
      <c r="N31" s="3191"/>
      <c r="O31" s="3191"/>
      <c r="P31" s="3191"/>
      <c r="Q31" s="3191"/>
      <c r="R31" s="3191"/>
      <c r="S31" s="1568"/>
      <c r="T31" s="1577">
        <f>U31/1000</f>
        <v>0</v>
      </c>
      <c r="U31" s="150">
        <f>SUM(U32:U34)</f>
        <v>0</v>
      </c>
      <c r="V31" s="153"/>
      <c r="W31" s="321"/>
      <c r="X31" s="321"/>
    </row>
    <row r="32" spans="1:24" s="14" customFormat="1" ht="20.25" hidden="1" customHeight="1">
      <c r="A32" s="1519"/>
      <c r="B32" s="1529"/>
      <c r="C32" s="1530"/>
      <c r="D32" s="1530"/>
      <c r="E32" s="1545"/>
      <c r="F32" s="1545"/>
      <c r="G32" s="1546"/>
      <c r="H32" s="1524"/>
      <c r="I32" s="2245"/>
      <c r="J32" s="1547"/>
      <c r="K32" s="1548"/>
      <c r="L32" s="2246"/>
      <c r="M32" s="2246"/>
      <c r="N32" s="1549"/>
      <c r="O32" s="1550"/>
      <c r="P32" s="2246"/>
      <c r="Q32" s="2246"/>
      <c r="R32" s="2246"/>
      <c r="S32" s="1548" t="s">
        <v>5</v>
      </c>
      <c r="T32" s="1436"/>
      <c r="U32" s="150">
        <f>T32*1000</f>
        <v>0</v>
      </c>
      <c r="V32" s="153"/>
      <c r="W32" s="153"/>
      <c r="X32" s="153"/>
    </row>
    <row r="33" spans="1:24" s="14" customFormat="1" ht="20.25" hidden="1" customHeight="1">
      <c r="A33" s="1519"/>
      <c r="B33" s="1529"/>
      <c r="C33" s="1530"/>
      <c r="D33" s="1530"/>
      <c r="E33" s="1545"/>
      <c r="F33" s="1545"/>
      <c r="G33" s="1546"/>
      <c r="H33" s="1524"/>
      <c r="I33" s="2245"/>
      <c r="J33" s="1547"/>
      <c r="K33" s="1548"/>
      <c r="L33" s="2246"/>
      <c r="M33" s="2246"/>
      <c r="N33" s="2248"/>
      <c r="O33" s="1550"/>
      <c r="P33" s="2246"/>
      <c r="Q33" s="2246"/>
      <c r="R33" s="2246"/>
      <c r="S33" s="1548" t="s">
        <v>5</v>
      </c>
      <c r="T33" s="1436"/>
      <c r="U33" s="150">
        <f>T33*1000</f>
        <v>0</v>
      </c>
      <c r="V33" s="153"/>
      <c r="W33" s="153"/>
      <c r="X33" s="153"/>
    </row>
    <row r="34" spans="1:24" s="14" customFormat="1" ht="20.25" hidden="1" customHeight="1">
      <c r="A34" s="1519"/>
      <c r="B34" s="1529"/>
      <c r="C34" s="1530"/>
      <c r="D34" s="1530"/>
      <c r="E34" s="1545"/>
      <c r="F34" s="1545"/>
      <c r="G34" s="1546"/>
      <c r="H34" s="1524"/>
      <c r="I34" s="2245"/>
      <c r="J34" s="1547"/>
      <c r="K34" s="1548"/>
      <c r="L34" s="2246"/>
      <c r="M34" s="2246"/>
      <c r="N34" s="2248"/>
      <c r="O34" s="1550"/>
      <c r="P34" s="2246"/>
      <c r="Q34" s="2246"/>
      <c r="R34" s="2246"/>
      <c r="S34" s="1548" t="s">
        <v>5</v>
      </c>
      <c r="T34" s="1436"/>
      <c r="U34" s="150">
        <f>T34*1000</f>
        <v>0</v>
      </c>
      <c r="V34" s="153"/>
      <c r="W34" s="153"/>
      <c r="X34" s="153"/>
    </row>
    <row r="35" spans="1:24" s="126" customFormat="1" ht="22.5" customHeight="1">
      <c r="A35" s="1578"/>
      <c r="B35" s="1579" t="s">
        <v>446</v>
      </c>
      <c r="C35" s="1580"/>
      <c r="D35" s="1581"/>
      <c r="E35" s="1582">
        <f>+E36</f>
        <v>7196290.9689999912</v>
      </c>
      <c r="F35" s="1582">
        <f>+F36</f>
        <v>7171091</v>
      </c>
      <c r="G35" s="1583">
        <f>E35-F35</f>
        <v>25199.968999991193</v>
      </c>
      <c r="H35" s="1558"/>
      <c r="I35" s="1584"/>
      <c r="J35" s="1585"/>
      <c r="K35" s="1586"/>
      <c r="L35" s="1587"/>
      <c r="M35" s="1588"/>
      <c r="N35" s="1588"/>
      <c r="O35" s="1588"/>
      <c r="P35" s="1589"/>
      <c r="Q35" s="1588"/>
      <c r="R35" s="1588"/>
      <c r="S35" s="1585"/>
      <c r="T35" s="1590"/>
      <c r="U35" s="1079"/>
      <c r="V35" s="153"/>
      <c r="W35" s="965"/>
      <c r="X35" s="965"/>
    </row>
    <row r="36" spans="1:24" ht="22.5" customHeight="1">
      <c r="A36" s="1552"/>
      <c r="B36" s="1591"/>
      <c r="C36" s="3186" t="s">
        <v>162</v>
      </c>
      <c r="D36" s="3187"/>
      <c r="E36" s="1592">
        <f>SUM(E37:E53)</f>
        <v>7196290.9689999912</v>
      </c>
      <c r="F36" s="1592">
        <f>SUM(F37:F53)</f>
        <v>7171091</v>
      </c>
      <c r="G36" s="1523">
        <f>E36-F36</f>
        <v>25199.968999991193</v>
      </c>
      <c r="H36" s="1558"/>
      <c r="I36" s="3188"/>
      <c r="J36" s="3189"/>
      <c r="K36" s="3189"/>
      <c r="L36" s="1593"/>
      <c r="M36" s="1594"/>
      <c r="N36" s="1595"/>
      <c r="O36" s="1594"/>
      <c r="P36" s="1594"/>
      <c r="Q36" s="1594"/>
      <c r="R36" s="1594"/>
      <c r="S36" s="2247"/>
      <c r="T36" s="1596"/>
      <c r="U36" s="150"/>
    </row>
    <row r="37" spans="1:24" ht="22.5" customHeight="1">
      <c r="A37" s="1552"/>
      <c r="B37" s="1553"/>
      <c r="C37" s="1554"/>
      <c r="D37" s="1554" t="s">
        <v>382</v>
      </c>
      <c r="E37" s="1597">
        <f>T37</f>
        <v>150000</v>
      </c>
      <c r="F37" s="1544">
        <v>150000</v>
      </c>
      <c r="G37" s="1571">
        <f>E37-F37</f>
        <v>0</v>
      </c>
      <c r="H37" s="1558"/>
      <c r="I37" s="1598" t="s">
        <v>383</v>
      </c>
      <c r="J37" s="1549"/>
      <c r="K37" s="1548"/>
      <c r="L37" s="1599"/>
      <c r="M37" s="1549"/>
      <c r="N37" s="1549"/>
      <c r="O37" s="1549"/>
      <c r="P37" s="1549"/>
      <c r="Q37" s="1549"/>
      <c r="R37" s="1549"/>
      <c r="S37" s="1563" t="s">
        <v>5</v>
      </c>
      <c r="T37" s="1600">
        <v>150000</v>
      </c>
      <c r="U37" s="150"/>
    </row>
    <row r="38" spans="1:24" s="16" customFormat="1" ht="22.5" customHeight="1">
      <c r="A38" s="1552"/>
      <c r="B38" s="1553"/>
      <c r="C38" s="1554"/>
      <c r="D38" s="1565" t="s">
        <v>228</v>
      </c>
      <c r="E38" s="1556">
        <f>+T38</f>
        <v>5086075.3689999999</v>
      </c>
      <c r="F38" s="1556">
        <v>5086075</v>
      </c>
      <c r="G38" s="1557">
        <f>E38-F38</f>
        <v>0.36899999994784594</v>
      </c>
      <c r="H38" s="1558"/>
      <c r="I38" s="1601" t="s">
        <v>665</v>
      </c>
      <c r="J38" s="1602"/>
      <c r="K38" s="1602"/>
      <c r="L38" s="2308">
        <v>5086075369</v>
      </c>
      <c r="M38" s="1602" t="s">
        <v>429</v>
      </c>
      <c r="N38" s="1602"/>
      <c r="O38" s="1602"/>
      <c r="P38" s="1602"/>
      <c r="Q38" s="1602"/>
      <c r="R38" s="1602"/>
      <c r="S38" s="1568" t="s">
        <v>5</v>
      </c>
      <c r="T38" s="1577">
        <f>L38/1000</f>
        <v>5086075.3689999999</v>
      </c>
      <c r="U38" s="150"/>
      <c r="V38" s="153"/>
      <c r="W38" s="321"/>
      <c r="X38" s="321"/>
    </row>
    <row r="39" spans="1:24" ht="22.5" customHeight="1">
      <c r="A39" s="1552"/>
      <c r="B39" s="1553"/>
      <c r="C39" s="1554"/>
      <c r="D39" s="1565" t="s">
        <v>384</v>
      </c>
      <c r="E39" s="1556">
        <f>+T39</f>
        <v>914999.99999999208</v>
      </c>
      <c r="F39" s="1556">
        <v>915000</v>
      </c>
      <c r="G39" s="1557">
        <f>E39-F39</f>
        <v>-7.9162418842315674E-9</v>
      </c>
      <c r="H39" s="1558"/>
      <c r="I39" s="1559" t="s">
        <v>472</v>
      </c>
      <c r="J39" s="1560"/>
      <c r="K39" s="1568"/>
      <c r="L39" s="1603"/>
      <c r="M39" s="1604"/>
      <c r="N39" s="1604"/>
      <c r="O39" s="1604"/>
      <c r="P39" s="1604"/>
      <c r="Q39" s="1604"/>
      <c r="R39" s="1604"/>
      <c r="S39" s="1563"/>
      <c r="T39" s="1564">
        <f>+T40+T41+L42+T42+L43+T43+L44</f>
        <v>914999.99999999208</v>
      </c>
      <c r="U39" s="150"/>
    </row>
    <row r="40" spans="1:24" ht="22.5" customHeight="1">
      <c r="A40" s="1552"/>
      <c r="B40" s="1553"/>
      <c r="C40" s="1554"/>
      <c r="D40" s="1554"/>
      <c r="E40" s="1544"/>
      <c r="F40" s="1544"/>
      <c r="G40" s="1571"/>
      <c r="H40" s="1558"/>
      <c r="I40" s="1605" t="s">
        <v>385</v>
      </c>
      <c r="J40" s="1606"/>
      <c r="K40" s="1548"/>
      <c r="L40" s="1599">
        <v>39166666.666666001</v>
      </c>
      <c r="M40" s="1549" t="s">
        <v>34</v>
      </c>
      <c r="N40" s="1549">
        <v>12</v>
      </c>
      <c r="O40" s="1549" t="s">
        <v>272</v>
      </c>
      <c r="P40" s="1549"/>
      <c r="Q40" s="1549"/>
      <c r="R40" s="1549"/>
      <c r="S40" s="1607" t="s">
        <v>5</v>
      </c>
      <c r="T40" s="1436">
        <f>L40*N40/1000</f>
        <v>469999.99999999203</v>
      </c>
      <c r="U40" s="150"/>
    </row>
    <row r="41" spans="1:24" s="16" customFormat="1" ht="22.5" customHeight="1">
      <c r="A41" s="1552"/>
      <c r="B41" s="1553"/>
      <c r="C41" s="1554"/>
      <c r="D41" s="1554"/>
      <c r="E41" s="1544"/>
      <c r="F41" s="1544"/>
      <c r="G41" s="1571"/>
      <c r="H41" s="1558"/>
      <c r="I41" s="1605" t="s">
        <v>165</v>
      </c>
      <c r="J41" s="1606"/>
      <c r="K41" s="1548"/>
      <c r="L41" s="1599">
        <v>6666666.666666667</v>
      </c>
      <c r="M41" s="1549" t="s">
        <v>34</v>
      </c>
      <c r="N41" s="1549">
        <v>12</v>
      </c>
      <c r="O41" s="1549" t="s">
        <v>272</v>
      </c>
      <c r="P41" s="1549"/>
      <c r="Q41" s="1549"/>
      <c r="R41" s="1549"/>
      <c r="S41" s="1607" t="s">
        <v>5</v>
      </c>
      <c r="T41" s="1600">
        <f>L41*N41/1000</f>
        <v>80000</v>
      </c>
      <c r="U41" s="150"/>
      <c r="V41" s="153"/>
      <c r="W41" s="321"/>
      <c r="X41" s="321"/>
    </row>
    <row r="42" spans="1:24" s="14" customFormat="1" ht="20.25" customHeight="1">
      <c r="A42" s="1519"/>
      <c r="B42" s="1529"/>
      <c r="C42" s="1530"/>
      <c r="D42" s="1530"/>
      <c r="E42" s="1545"/>
      <c r="F42" s="1545"/>
      <c r="G42" s="1546"/>
      <c r="H42" s="1524"/>
      <c r="I42" s="1605" t="s">
        <v>158</v>
      </c>
      <c r="J42" s="1547"/>
      <c r="K42" s="1548" t="s">
        <v>5</v>
      </c>
      <c r="L42" s="2246">
        <v>20000</v>
      </c>
      <c r="M42" s="2246"/>
      <c r="N42" s="1549"/>
      <c r="O42" s="1550"/>
      <c r="P42" s="1591" t="s">
        <v>413</v>
      </c>
      <c r="Q42" s="2246"/>
      <c r="R42" s="2246"/>
      <c r="S42" s="1548" t="s">
        <v>5</v>
      </c>
      <c r="T42" s="1436">
        <f>25000+85000</f>
        <v>110000</v>
      </c>
      <c r="U42" s="150"/>
      <c r="V42" s="153"/>
      <c r="W42" s="153"/>
      <c r="X42" s="153"/>
    </row>
    <row r="43" spans="1:24" s="14" customFormat="1" ht="20.25" customHeight="1">
      <c r="A43" s="1519"/>
      <c r="B43" s="1529"/>
      <c r="C43" s="1530"/>
      <c r="D43" s="1530"/>
      <c r="E43" s="1545"/>
      <c r="F43" s="1545"/>
      <c r="G43" s="1546"/>
      <c r="H43" s="1524"/>
      <c r="I43" s="1605" t="s">
        <v>412</v>
      </c>
      <c r="J43" s="1547"/>
      <c r="K43" s="1548" t="s">
        <v>5</v>
      </c>
      <c r="L43" s="2246">
        <v>40000</v>
      </c>
      <c r="M43" s="2246"/>
      <c r="N43" s="2248"/>
      <c r="O43" s="1550"/>
      <c r="P43" s="1591" t="s">
        <v>1647</v>
      </c>
      <c r="Q43" s="2246"/>
      <c r="R43" s="2246"/>
      <c r="S43" s="1548" t="s">
        <v>5</v>
      </c>
      <c r="T43" s="1436">
        <v>70000</v>
      </c>
      <c r="U43" s="150"/>
      <c r="V43" s="153"/>
      <c r="W43" s="153"/>
      <c r="X43" s="153"/>
    </row>
    <row r="44" spans="1:24" s="14" customFormat="1" ht="20.25" customHeight="1">
      <c r="A44" s="1519"/>
      <c r="B44" s="1529"/>
      <c r="C44" s="1530"/>
      <c r="D44" s="1530"/>
      <c r="E44" s="1545"/>
      <c r="F44" s="1545"/>
      <c r="G44" s="1546"/>
      <c r="H44" s="1524"/>
      <c r="I44" s="1605" t="s">
        <v>1648</v>
      </c>
      <c r="J44" s="1547"/>
      <c r="K44" s="1548" t="s">
        <v>5</v>
      </c>
      <c r="L44" s="2246">
        <v>125000</v>
      </c>
      <c r="M44" s="2246"/>
      <c r="N44" s="2248"/>
      <c r="O44" s="1550"/>
      <c r="P44" s="1591"/>
      <c r="Q44" s="2248"/>
      <c r="R44" s="2248"/>
      <c r="S44" s="1548"/>
      <c r="T44" s="1436"/>
      <c r="U44" s="150"/>
      <c r="V44" s="153"/>
      <c r="W44" s="153"/>
      <c r="X44" s="153"/>
    </row>
    <row r="45" spans="1:24" ht="22.5" customHeight="1">
      <c r="A45" s="1552"/>
      <c r="B45" s="1553"/>
      <c r="C45" s="1554"/>
      <c r="D45" s="1565" t="s">
        <v>386</v>
      </c>
      <c r="E45" s="1556">
        <f>T45</f>
        <v>392000</v>
      </c>
      <c r="F45" s="1556">
        <v>392000</v>
      </c>
      <c r="G45" s="1557">
        <f>E45-F45</f>
        <v>0</v>
      </c>
      <c r="H45" s="1558"/>
      <c r="I45" s="1559" t="s">
        <v>472</v>
      </c>
      <c r="J45" s="1560"/>
      <c r="K45" s="1568"/>
      <c r="L45" s="1603"/>
      <c r="M45" s="1604"/>
      <c r="N45" s="1604"/>
      <c r="O45" s="1604"/>
      <c r="P45" s="1604"/>
      <c r="Q45" s="1604"/>
      <c r="R45" s="1604"/>
      <c r="S45" s="1563"/>
      <c r="T45" s="1564">
        <f>T46+T47</f>
        <v>392000</v>
      </c>
      <c r="U45" s="150"/>
    </row>
    <row r="46" spans="1:24" ht="22.5" customHeight="1">
      <c r="A46" s="1552"/>
      <c r="B46" s="1553"/>
      <c r="C46" s="1554"/>
      <c r="D46" s="1554"/>
      <c r="E46" s="1544"/>
      <c r="F46" s="1544"/>
      <c r="G46" s="1571"/>
      <c r="H46" s="1558"/>
      <c r="I46" s="1605" t="s">
        <v>167</v>
      </c>
      <c r="J46" s="1606"/>
      <c r="K46" s="1548"/>
      <c r="L46" s="1599"/>
      <c r="M46" s="1549"/>
      <c r="N46" s="1549"/>
      <c r="O46" s="1549"/>
      <c r="P46" s="1549"/>
      <c r="Q46" s="1549"/>
      <c r="R46" s="1549"/>
      <c r="S46" s="1607" t="s">
        <v>5</v>
      </c>
      <c r="T46" s="1608">
        <v>360000</v>
      </c>
      <c r="U46" s="150"/>
    </row>
    <row r="47" spans="1:24" ht="18.75" customHeight="1">
      <c r="A47" s="1552"/>
      <c r="B47" s="1553"/>
      <c r="C47" s="1554"/>
      <c r="D47" s="1609"/>
      <c r="E47" s="1592"/>
      <c r="F47" s="1592"/>
      <c r="G47" s="1610"/>
      <c r="H47" s="1558"/>
      <c r="I47" s="1611" t="s">
        <v>1649</v>
      </c>
      <c r="J47" s="2247"/>
      <c r="K47" s="1527"/>
      <c r="L47" s="1593"/>
      <c r="M47" s="1594"/>
      <c r="N47" s="1594"/>
      <c r="O47" s="1594"/>
      <c r="P47" s="1594"/>
      <c r="Q47" s="1594"/>
      <c r="R47" s="1594"/>
      <c r="S47" s="1612" t="s">
        <v>5</v>
      </c>
      <c r="T47" s="1613">
        <f>5000+17000+4000+6000</f>
        <v>32000</v>
      </c>
      <c r="U47" s="150"/>
    </row>
    <row r="48" spans="1:24" s="16" customFormat="1" ht="22.5" customHeight="1">
      <c r="A48" s="1552"/>
      <c r="B48" s="1553"/>
      <c r="C48" s="1554"/>
      <c r="D48" s="1614" t="s">
        <v>387</v>
      </c>
      <c r="E48" s="1532">
        <f>T48</f>
        <v>600000</v>
      </c>
      <c r="F48" s="1532">
        <v>600000</v>
      </c>
      <c r="G48" s="1557">
        <f>E48-F48</f>
        <v>0</v>
      </c>
      <c r="H48" s="1615"/>
      <c r="I48" s="1616" t="s">
        <v>169</v>
      </c>
      <c r="J48" s="1617"/>
      <c r="K48" s="1618"/>
      <c r="L48" s="1619"/>
      <c r="M48" s="1620"/>
      <c r="N48" s="1621"/>
      <c r="O48" s="1620"/>
      <c r="P48" s="1620"/>
      <c r="Q48" s="1620"/>
      <c r="R48" s="1620"/>
      <c r="S48" s="1618" t="s">
        <v>5</v>
      </c>
      <c r="T48" s="1622">
        <v>600000</v>
      </c>
      <c r="U48" s="150"/>
      <c r="V48" s="153"/>
      <c r="W48" s="321"/>
      <c r="X48" s="321"/>
    </row>
    <row r="49" spans="1:24" s="16" customFormat="1" ht="22.5" customHeight="1">
      <c r="A49" s="1552"/>
      <c r="B49" s="1553"/>
      <c r="C49" s="1554"/>
      <c r="D49" s="1565" t="s">
        <v>388</v>
      </c>
      <c r="E49" s="1556">
        <f>T49</f>
        <v>25000</v>
      </c>
      <c r="F49" s="1556">
        <v>25000</v>
      </c>
      <c r="G49" s="1557">
        <f>E49-F49</f>
        <v>0</v>
      </c>
      <c r="H49" s="1615"/>
      <c r="I49" s="1623" t="s">
        <v>170</v>
      </c>
      <c r="J49" s="1624"/>
      <c r="K49" s="1563"/>
      <c r="L49" s="1603"/>
      <c r="M49" s="1604"/>
      <c r="N49" s="1604"/>
      <c r="O49" s="1604"/>
      <c r="P49" s="1604"/>
      <c r="Q49" s="1604"/>
      <c r="R49" s="1604"/>
      <c r="S49" s="1563" t="s">
        <v>1</v>
      </c>
      <c r="T49" s="1564">
        <v>25000</v>
      </c>
      <c r="U49" s="150"/>
      <c r="V49" s="153"/>
      <c r="W49" s="321"/>
      <c r="X49" s="321"/>
    </row>
    <row r="50" spans="1:24" s="16" customFormat="1" ht="22.5" customHeight="1">
      <c r="A50" s="1552"/>
      <c r="B50" s="1553"/>
      <c r="C50" s="1554"/>
      <c r="D50" s="1565" t="s">
        <v>389</v>
      </c>
      <c r="E50" s="1556">
        <f>T50</f>
        <v>28215.599999999999</v>
      </c>
      <c r="F50" s="1556">
        <v>3016</v>
      </c>
      <c r="G50" s="1557">
        <f>E50-F50</f>
        <v>25199.599999999999</v>
      </c>
      <c r="H50" s="1615"/>
      <c r="I50" s="1559" t="s">
        <v>472</v>
      </c>
      <c r="J50" s="1560"/>
      <c r="K50" s="1568"/>
      <c r="L50" s="1603"/>
      <c r="M50" s="1604"/>
      <c r="N50" s="1604"/>
      <c r="O50" s="1604"/>
      <c r="P50" s="1604"/>
      <c r="Q50" s="1604"/>
      <c r="R50" s="1604"/>
      <c r="S50" s="1563"/>
      <c r="T50" s="1564">
        <f>T53+T51+T52</f>
        <v>28215.599999999999</v>
      </c>
      <c r="U50" s="150"/>
      <c r="V50" s="153"/>
      <c r="W50" s="321"/>
      <c r="X50" s="321"/>
    </row>
    <row r="51" spans="1:24" s="986" customFormat="1" ht="22.5" customHeight="1">
      <c r="A51" s="1552"/>
      <c r="B51" s="1553"/>
      <c r="C51" s="1554"/>
      <c r="D51" s="1554"/>
      <c r="E51" s="1544"/>
      <c r="F51" s="1544"/>
      <c r="G51" s="1571"/>
      <c r="H51" s="1615"/>
      <c r="I51" s="1605" t="s">
        <v>5034</v>
      </c>
      <c r="J51" s="1606"/>
      <c r="K51" s="1548"/>
      <c r="L51" s="1599"/>
      <c r="M51" s="1549"/>
      <c r="N51" s="1549"/>
      <c r="O51" s="1549"/>
      <c r="P51" s="1549"/>
      <c r="Q51" s="1549"/>
      <c r="R51" s="1549"/>
      <c r="S51" s="1607" t="s">
        <v>5</v>
      </c>
      <c r="T51" s="1608">
        <v>5200</v>
      </c>
      <c r="U51" s="150"/>
      <c r="V51" s="153"/>
      <c r="W51" s="321"/>
      <c r="X51" s="321"/>
    </row>
    <row r="52" spans="1:24" s="986" customFormat="1" ht="22.5" customHeight="1">
      <c r="A52" s="1552"/>
      <c r="B52" s="1553"/>
      <c r="C52" s="1554"/>
      <c r="D52" s="1554"/>
      <c r="E52" s="1544"/>
      <c r="F52" s="1544"/>
      <c r="G52" s="1571"/>
      <c r="H52" s="1615"/>
      <c r="I52" s="1605" t="s">
        <v>1650</v>
      </c>
      <c r="J52" s="1606"/>
      <c r="K52" s="1548"/>
      <c r="L52" s="1599"/>
      <c r="M52" s="1549"/>
      <c r="N52" s="1549"/>
      <c r="O52" s="1549"/>
      <c r="P52" s="1549"/>
      <c r="Q52" s="1549"/>
      <c r="R52" s="1549"/>
      <c r="S52" s="1607" t="s">
        <v>5</v>
      </c>
      <c r="T52" s="1608">
        <v>3015.6</v>
      </c>
      <c r="U52" s="150"/>
      <c r="V52" s="153"/>
      <c r="W52" s="321"/>
      <c r="X52" s="321"/>
    </row>
    <row r="53" spans="1:24" s="16" customFormat="1" ht="18.75" customHeight="1" thickBot="1">
      <c r="A53" s="2200"/>
      <c r="B53" s="2201"/>
      <c r="C53" s="2202"/>
      <c r="D53" s="2202"/>
      <c r="E53" s="2309"/>
      <c r="F53" s="2309"/>
      <c r="G53" s="2310"/>
      <c r="H53" s="1615"/>
      <c r="I53" s="1605" t="s">
        <v>5033</v>
      </c>
      <c r="J53" s="1606"/>
      <c r="K53" s="1548"/>
      <c r="L53" s="1599"/>
      <c r="M53" s="1549"/>
      <c r="N53" s="1549"/>
      <c r="O53" s="1549"/>
      <c r="P53" s="1549"/>
      <c r="Q53" s="1549"/>
      <c r="R53" s="1549"/>
      <c r="S53" s="1607" t="s">
        <v>5</v>
      </c>
      <c r="T53" s="1608">
        <v>20000</v>
      </c>
      <c r="U53" s="150"/>
      <c r="V53" s="153"/>
      <c r="W53" s="321"/>
      <c r="X53" s="321"/>
    </row>
    <row r="54" spans="1:24" s="16" customFormat="1" ht="30" customHeight="1">
      <c r="A54" s="51"/>
      <c r="B54" s="51"/>
      <c r="C54" s="51"/>
      <c r="D54" s="51"/>
      <c r="E54" s="52"/>
      <c r="F54" s="52"/>
      <c r="G54" s="36"/>
      <c r="H54" s="53"/>
      <c r="I54" s="53"/>
      <c r="J54" s="48"/>
      <c r="K54" s="151"/>
      <c r="L54" s="49"/>
      <c r="M54" s="2"/>
      <c r="N54" s="2"/>
      <c r="O54" s="2"/>
      <c r="P54" s="2"/>
      <c r="Q54" s="2"/>
      <c r="R54" s="2"/>
      <c r="S54" s="2"/>
      <c r="T54" s="54"/>
      <c r="U54" s="150"/>
      <c r="V54" s="1073"/>
      <c r="W54" s="321"/>
      <c r="X54" s="321"/>
    </row>
    <row r="58" spans="1:24">
      <c r="J58" s="153"/>
    </row>
    <row r="59" spans="1:24">
      <c r="J59" s="153"/>
      <c r="O59" s="14" t="s">
        <v>267</v>
      </c>
    </row>
    <row r="60" spans="1:24">
      <c r="J60" s="153"/>
    </row>
    <row r="61" spans="1:24">
      <c r="J61" s="153"/>
    </row>
    <row r="62" spans="1:24">
      <c r="J62" s="153"/>
    </row>
    <row r="63" spans="1:24">
      <c r="J63" s="153"/>
    </row>
    <row r="64" spans="1:24">
      <c r="J64" s="153"/>
    </row>
    <row r="65" spans="10:10">
      <c r="J65" s="153"/>
    </row>
    <row r="67" spans="10:10">
      <c r="J67" s="154"/>
    </row>
  </sheetData>
  <mergeCells count="17">
    <mergeCell ref="I13:J13"/>
    <mergeCell ref="A1:T2"/>
    <mergeCell ref="A4:D4"/>
    <mergeCell ref="E4:E5"/>
    <mergeCell ref="F4:F5"/>
    <mergeCell ref="G4:G5"/>
    <mergeCell ref="I4:T5"/>
    <mergeCell ref="K9:L9"/>
    <mergeCell ref="O9:P9"/>
    <mergeCell ref="K11:R11"/>
    <mergeCell ref="I12:J12"/>
    <mergeCell ref="A6:B6"/>
    <mergeCell ref="C36:D36"/>
    <mergeCell ref="I36:K36"/>
    <mergeCell ref="I27:R27"/>
    <mergeCell ref="I31:R31"/>
    <mergeCell ref="K25:R25"/>
  </mergeCells>
  <phoneticPr fontId="19" type="noConversion"/>
  <printOptions horizontalCentered="1"/>
  <pageMargins left="0.59055118110236227" right="0.59055118110236227" top="0.74803149606299213" bottom="0.47244094488188981" header="0.51181102362204722" footer="0.31496062992125984"/>
  <pageSetup paperSize="9" scale="43" firstPageNumber="3" orientation="landscape" useFirstPageNumber="1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522"/>
  <sheetViews>
    <sheetView view="pageBreakPreview" zoomScale="70" zoomScaleNormal="80" zoomScaleSheetLayoutView="70" workbookViewId="0">
      <selection activeCell="E59" sqref="E59"/>
    </sheetView>
  </sheetViews>
  <sheetFormatPr defaultRowHeight="14.25"/>
  <cols>
    <col min="1" max="1" width="13.44140625" style="33" customWidth="1"/>
    <col min="2" max="2" width="4" style="33" customWidth="1"/>
    <col min="3" max="3" width="37.6640625" style="33" customWidth="1"/>
    <col min="4" max="5" width="22.33203125" style="75" customWidth="1"/>
    <col min="6" max="6" width="19.21875" style="75" bestFit="1" customWidth="1"/>
    <col min="7" max="7" width="12.21875" style="76" bestFit="1" customWidth="1"/>
    <col min="8" max="8" width="27.5546875" style="77" bestFit="1" customWidth="1"/>
    <col min="9" max="9" width="29.88671875" style="299" bestFit="1" customWidth="1"/>
    <col min="10" max="10" width="33.6640625" style="77" bestFit="1" customWidth="1"/>
    <col min="11" max="16384" width="8.88671875" style="33"/>
  </cols>
  <sheetData>
    <row r="1" spans="1:17" s="4" customFormat="1" ht="29.25" customHeight="1">
      <c r="A1" s="3237" t="s">
        <v>5056</v>
      </c>
      <c r="B1" s="3237"/>
      <c r="C1" s="3237"/>
      <c r="D1" s="3237"/>
      <c r="E1" s="3237"/>
      <c r="F1" s="3237"/>
      <c r="G1" s="3237"/>
      <c r="H1" s="55"/>
      <c r="I1" s="297"/>
      <c r="J1" s="55"/>
      <c r="K1" s="56"/>
      <c r="L1" s="56"/>
      <c r="M1" s="56"/>
      <c r="N1" s="56"/>
      <c r="O1" s="56"/>
      <c r="P1" s="57"/>
      <c r="Q1" s="5"/>
    </row>
    <row r="2" spans="1:17" s="17" customFormat="1" ht="24" thickBot="1">
      <c r="B2" s="7" ph="1"/>
      <c r="C2" s="7" ph="1"/>
      <c r="D2" s="8" t="s" ph="1">
        <v>44</v>
      </c>
      <c r="E2" s="8" ph="1"/>
      <c r="F2" s="8" ph="1"/>
      <c r="G2" s="277" t="s" ph="1">
        <v>171</v>
      </c>
      <c r="H2" s="312" ph="1"/>
      <c r="I2" s="58"/>
      <c r="J2" s="13"/>
    </row>
    <row r="3" spans="1:17" s="59" customFormat="1" ht="21.75" customHeight="1">
      <c r="A3" s="3238" t="s">
        <v>401</v>
      </c>
      <c r="B3" s="3240" t="s">
        <v>5908</v>
      </c>
      <c r="C3" s="3241"/>
      <c r="D3" s="278" t="s">
        <v>151</v>
      </c>
      <c r="E3" s="279" t="s">
        <v>5907</v>
      </c>
      <c r="F3" s="278" t="s">
        <v>172</v>
      </c>
      <c r="G3" s="280" t="s">
        <v>173</v>
      </c>
      <c r="H3" s="312"/>
      <c r="I3" s="58"/>
      <c r="J3" s="58"/>
    </row>
    <row r="4" spans="1:17" s="59" customFormat="1" ht="21.75" customHeight="1">
      <c r="A4" s="3239"/>
      <c r="B4" s="3242" t="s">
        <v>453</v>
      </c>
      <c r="C4" s="3243"/>
      <c r="D4" s="2854">
        <f>D5+D7+D13+D23+D30+D33+D36+D39+D42+D45+D48</f>
        <v>53953290.969000004</v>
      </c>
      <c r="E4" s="2854">
        <f>E5+E7+E13+E23+E30+E33+E36+E39+E42+E45+E48</f>
        <v>53883091</v>
      </c>
      <c r="F4" s="281">
        <f>D4-E4</f>
        <v>70199.969000004232</v>
      </c>
      <c r="G4" s="296">
        <f t="shared" ref="G4:G30" si="0">(D4-E4)/E4</f>
        <v>1.302820007115112E-3</v>
      </c>
      <c r="H4" s="312">
        <f>D4*1000000000</f>
        <v>5.3953290969000008E+16</v>
      </c>
      <c r="I4" s="312">
        <f t="shared" ref="H4:I48" si="1">E4*1000000000</f>
        <v>5.3883091E+16</v>
      </c>
      <c r="J4" s="58"/>
    </row>
    <row r="5" spans="1:17" s="62" customFormat="1" ht="21.75" customHeight="1">
      <c r="A5" s="3247" t="s">
        <v>394</v>
      </c>
      <c r="B5" s="3222" t="s">
        <v>539</v>
      </c>
      <c r="C5" s="3222"/>
      <c r="D5" s="101">
        <f>+D6</f>
        <v>7121000</v>
      </c>
      <c r="E5" s="101">
        <f>+E6</f>
        <v>7121000</v>
      </c>
      <c r="F5" s="61">
        <f>D5-E5</f>
        <v>0</v>
      </c>
      <c r="G5" s="98">
        <f t="shared" ref="G5:G6" si="2">(D5-E5)/E5</f>
        <v>0</v>
      </c>
      <c r="H5" s="312">
        <f t="shared" si="1"/>
        <v>7121000000000000</v>
      </c>
      <c r="I5" s="312">
        <f t="shared" si="1"/>
        <v>7121000000000000</v>
      </c>
      <c r="J5" s="58"/>
    </row>
    <row r="6" spans="1:17" s="59" customFormat="1" ht="21.75" customHeight="1">
      <c r="A6" s="3248"/>
      <c r="B6" s="3245" t="s">
        <v>395</v>
      </c>
      <c r="C6" s="3246"/>
      <c r="D6" s="102">
        <f>+'1-1목적(정책실)'!F6</f>
        <v>7121000</v>
      </c>
      <c r="E6" s="102">
        <f>+'1-1목적(정책실)'!G6</f>
        <v>7121000</v>
      </c>
      <c r="F6" s="60">
        <f t="shared" ref="F6" si="3">D6-E6</f>
        <v>0</v>
      </c>
      <c r="G6" s="97">
        <f t="shared" si="2"/>
        <v>0</v>
      </c>
      <c r="H6" s="312">
        <f t="shared" si="1"/>
        <v>7121000000000000</v>
      </c>
      <c r="I6" s="312">
        <f t="shared" si="1"/>
        <v>7121000000000000</v>
      </c>
      <c r="J6" s="58"/>
    </row>
    <row r="7" spans="1:17" s="62" customFormat="1" ht="21.75" customHeight="1">
      <c r="A7" s="3244" t="s">
        <v>134</v>
      </c>
      <c r="B7" s="3222" t="s">
        <v>539</v>
      </c>
      <c r="C7" s="3222"/>
      <c r="D7" s="101">
        <f>SUM(D8:D12)</f>
        <v>10542000</v>
      </c>
      <c r="E7" s="101">
        <f>SUM(E8:E12)</f>
        <v>10542000</v>
      </c>
      <c r="F7" s="61">
        <f>D7-E7</f>
        <v>0</v>
      </c>
      <c r="G7" s="98">
        <f t="shared" si="0"/>
        <v>0</v>
      </c>
      <c r="H7" s="312">
        <f t="shared" si="1"/>
        <v>1.0542E+16</v>
      </c>
      <c r="I7" s="312">
        <f t="shared" si="1"/>
        <v>1.0542E+16</v>
      </c>
      <c r="J7" s="58"/>
    </row>
    <row r="8" spans="1:17" s="59" customFormat="1" ht="21.75" customHeight="1">
      <c r="A8" s="3244"/>
      <c r="B8" s="3245" t="s">
        <v>3004</v>
      </c>
      <c r="C8" s="3246"/>
      <c r="D8" s="102">
        <f>+'1-2목적(경영관리비)'!F6</f>
        <v>7516000</v>
      </c>
      <c r="E8" s="102">
        <f>+'1-2목적(경영관리비)'!G6</f>
        <v>7516000</v>
      </c>
      <c r="F8" s="60">
        <f t="shared" ref="F8:F20" si="4">D8-E8</f>
        <v>0</v>
      </c>
      <c r="G8" s="97">
        <f t="shared" si="0"/>
        <v>0</v>
      </c>
      <c r="H8" s="312">
        <f t="shared" si="1"/>
        <v>7516000000000000</v>
      </c>
      <c r="I8" s="312">
        <f t="shared" si="1"/>
        <v>7516000000000000</v>
      </c>
      <c r="J8" s="58"/>
    </row>
    <row r="9" spans="1:17" s="59" customFormat="1" ht="21.75" customHeight="1">
      <c r="A9" s="3244"/>
      <c r="B9" s="3245" t="s">
        <v>396</v>
      </c>
      <c r="C9" s="3246"/>
      <c r="D9" s="208">
        <f>+'1-3목적(경영본부사업)'!F7</f>
        <v>270000</v>
      </c>
      <c r="E9" s="208">
        <f>+'1-3목적(경영본부사업)'!G7</f>
        <v>270000</v>
      </c>
      <c r="F9" s="60">
        <f t="shared" si="4"/>
        <v>0</v>
      </c>
      <c r="G9" s="97">
        <f t="shared" si="0"/>
        <v>0</v>
      </c>
      <c r="H9" s="312">
        <f t="shared" si="1"/>
        <v>270000000000000</v>
      </c>
      <c r="I9" s="312">
        <f t="shared" si="1"/>
        <v>270000000000000</v>
      </c>
      <c r="J9" s="58"/>
    </row>
    <row r="10" spans="1:17" s="59" customFormat="1" ht="21.75" customHeight="1">
      <c r="A10" s="3244"/>
      <c r="B10" s="3245" t="s">
        <v>428</v>
      </c>
      <c r="C10" s="3246"/>
      <c r="D10" s="208">
        <f>+'1-3목적(경영본부사업)'!F21</f>
        <v>118000</v>
      </c>
      <c r="E10" s="208">
        <f>+'1-3목적(경영본부사업)'!G21</f>
        <v>118000</v>
      </c>
      <c r="F10" s="60">
        <f t="shared" si="4"/>
        <v>0</v>
      </c>
      <c r="G10" s="97">
        <f t="shared" si="0"/>
        <v>0</v>
      </c>
      <c r="H10" s="312">
        <f t="shared" si="1"/>
        <v>118000000000000</v>
      </c>
      <c r="I10" s="312">
        <f t="shared" si="1"/>
        <v>118000000000000</v>
      </c>
      <c r="J10" s="58"/>
    </row>
    <row r="11" spans="1:17" s="59" customFormat="1" ht="21.75" customHeight="1">
      <c r="A11" s="3244"/>
      <c r="B11" s="3245" t="s">
        <v>338</v>
      </c>
      <c r="C11" s="3246"/>
      <c r="D11" s="208">
        <f>'1-3목적(경영본부사업)'!F47</f>
        <v>250000</v>
      </c>
      <c r="E11" s="208">
        <f>'1-3목적(경영본부사업)'!G47</f>
        <v>250000</v>
      </c>
      <c r="F11" s="60">
        <f t="shared" ref="F11" si="5">D11-E11</f>
        <v>0</v>
      </c>
      <c r="G11" s="97">
        <f t="shared" si="0"/>
        <v>0</v>
      </c>
      <c r="H11" s="312">
        <f t="shared" si="1"/>
        <v>250000000000000</v>
      </c>
      <c r="I11" s="312">
        <f t="shared" si="1"/>
        <v>250000000000000</v>
      </c>
      <c r="J11" s="58"/>
    </row>
    <row r="12" spans="1:17" s="59" customFormat="1" ht="21.75" customHeight="1">
      <c r="A12" s="3244"/>
      <c r="B12" s="3245" t="s">
        <v>397</v>
      </c>
      <c r="C12" s="3246"/>
      <c r="D12" s="208">
        <f>+'1-3목적(경영본부사업)'!F66</f>
        <v>2388000</v>
      </c>
      <c r="E12" s="208">
        <f>+'1-3목적(경영본부사업)'!G66</f>
        <v>2388000</v>
      </c>
      <c r="F12" s="60">
        <f t="shared" si="4"/>
        <v>0</v>
      </c>
      <c r="G12" s="97">
        <f t="shared" si="0"/>
        <v>0</v>
      </c>
      <c r="H12" s="312">
        <f t="shared" si="1"/>
        <v>2388000000000000</v>
      </c>
      <c r="I12" s="312">
        <f t="shared" si="1"/>
        <v>2388000000000000</v>
      </c>
      <c r="J12" s="58"/>
    </row>
    <row r="13" spans="1:17" s="14" customFormat="1" ht="21.75" customHeight="1">
      <c r="A13" s="3223" t="s">
        <v>174</v>
      </c>
      <c r="B13" s="3222" t="s">
        <v>539</v>
      </c>
      <c r="C13" s="3222"/>
      <c r="D13" s="104">
        <f>SUM(D14:D17,D20)</f>
        <v>9658000</v>
      </c>
      <c r="E13" s="104">
        <f>SUM(E14:E17,E20)</f>
        <v>10518000</v>
      </c>
      <c r="F13" s="61">
        <f>D13-E13</f>
        <v>-860000</v>
      </c>
      <c r="G13" s="98">
        <f t="shared" si="0"/>
        <v>-8.1764594029283127E-2</v>
      </c>
      <c r="H13" s="312">
        <f t="shared" si="1"/>
        <v>9658000000000000</v>
      </c>
      <c r="I13" s="312">
        <f t="shared" si="1"/>
        <v>1.0518E+16</v>
      </c>
      <c r="J13" s="58"/>
    </row>
    <row r="14" spans="1:17" s="59" customFormat="1" ht="21.75" customHeight="1">
      <c r="A14" s="3224"/>
      <c r="B14" s="3229" t="s">
        <v>398</v>
      </c>
      <c r="C14" s="3229"/>
      <c r="D14" s="105">
        <f>+'1-4목적(문예본부)'!F6</f>
        <v>1555000</v>
      </c>
      <c r="E14" s="105">
        <f>+'1-4목적(문예본부)'!G6</f>
        <v>1555000</v>
      </c>
      <c r="F14" s="60">
        <f t="shared" si="4"/>
        <v>0</v>
      </c>
      <c r="G14" s="97">
        <f t="shared" si="0"/>
        <v>0</v>
      </c>
      <c r="H14" s="312">
        <f t="shared" si="1"/>
        <v>1555000000000000</v>
      </c>
      <c r="I14" s="312">
        <f t="shared" si="1"/>
        <v>1555000000000000</v>
      </c>
      <c r="J14" s="58"/>
    </row>
    <row r="15" spans="1:17" s="59" customFormat="1" ht="21.75" customHeight="1">
      <c r="A15" s="3224"/>
      <c r="B15" s="3229" t="s">
        <v>399</v>
      </c>
      <c r="C15" s="3229"/>
      <c r="D15" s="105">
        <f>+'1-4목적(문예본부)'!F117</f>
        <v>2370000</v>
      </c>
      <c r="E15" s="105">
        <f>+'1-4목적(문예본부)'!G117</f>
        <v>2260000</v>
      </c>
      <c r="F15" s="60">
        <f t="shared" si="4"/>
        <v>110000</v>
      </c>
      <c r="G15" s="97">
        <f t="shared" si="0"/>
        <v>4.8672566371681415E-2</v>
      </c>
      <c r="H15" s="312">
        <f t="shared" si="1"/>
        <v>2370000000000000</v>
      </c>
      <c r="I15" s="312">
        <f t="shared" si="1"/>
        <v>2260000000000000</v>
      </c>
      <c r="J15" s="58"/>
    </row>
    <row r="16" spans="1:17" s="59" customFormat="1" ht="21.75" customHeight="1">
      <c r="A16" s="3224"/>
      <c r="B16" s="3229" t="s">
        <v>400</v>
      </c>
      <c r="C16" s="3229"/>
      <c r="D16" s="105">
        <f>+'1-4목적(문예본부)'!F262</f>
        <v>1666000</v>
      </c>
      <c r="E16" s="105">
        <f>+'1-4목적(문예본부)'!G262</f>
        <v>2636000</v>
      </c>
      <c r="F16" s="60">
        <f t="shared" si="4"/>
        <v>-970000</v>
      </c>
      <c r="G16" s="97">
        <f t="shared" si="0"/>
        <v>-0.36798179059180575</v>
      </c>
      <c r="H16" s="312">
        <f t="shared" si="1"/>
        <v>1666000000000000</v>
      </c>
      <c r="I16" s="312">
        <f t="shared" si="1"/>
        <v>2636000000000000</v>
      </c>
      <c r="J16" s="58"/>
    </row>
    <row r="17" spans="1:10" s="59" customFormat="1" ht="21.75" customHeight="1">
      <c r="A17" s="3224"/>
      <c r="B17" s="3229" t="s">
        <v>215</v>
      </c>
      <c r="C17" s="3229"/>
      <c r="D17" s="105">
        <f>+D18+D19</f>
        <v>1385000</v>
      </c>
      <c r="E17" s="105">
        <f>+E18+E19</f>
        <v>1385000</v>
      </c>
      <c r="F17" s="60">
        <f t="shared" si="4"/>
        <v>0</v>
      </c>
      <c r="G17" s="97">
        <f t="shared" si="0"/>
        <v>0</v>
      </c>
      <c r="H17" s="312">
        <f t="shared" si="1"/>
        <v>1385000000000000</v>
      </c>
      <c r="I17" s="312">
        <f t="shared" si="1"/>
        <v>1385000000000000</v>
      </c>
      <c r="J17" s="58"/>
    </row>
    <row r="18" spans="1:10" s="59" customFormat="1" ht="21.75" customHeight="1">
      <c r="A18" s="3224"/>
      <c r="B18" s="3227"/>
      <c r="C18" s="64" t="s">
        <v>13</v>
      </c>
      <c r="D18" s="209">
        <f>+'1-4목적(문예본부)'!F349</f>
        <v>130000</v>
      </c>
      <c r="E18" s="209">
        <f>+'1-4목적(문예본부)'!G349</f>
        <v>130000</v>
      </c>
      <c r="F18" s="65">
        <f t="shared" si="4"/>
        <v>0</v>
      </c>
      <c r="G18" s="99">
        <f t="shared" ref="G18:G19" si="6">(D18-E18)/E18</f>
        <v>0</v>
      </c>
      <c r="H18" s="312"/>
      <c r="I18" s="312"/>
      <c r="J18" s="58"/>
    </row>
    <row r="19" spans="1:10" s="59" customFormat="1" ht="21.75" customHeight="1">
      <c r="A19" s="3224"/>
      <c r="B19" s="3228"/>
      <c r="C19" s="67" t="s">
        <v>177</v>
      </c>
      <c r="D19" s="210">
        <f>+'1-4목적(문예본부)'!F385</f>
        <v>1255000</v>
      </c>
      <c r="E19" s="210">
        <f>+'1-4목적(문예본부)'!G385</f>
        <v>1255000</v>
      </c>
      <c r="F19" s="68">
        <f t="shared" si="4"/>
        <v>0</v>
      </c>
      <c r="G19" s="100">
        <f t="shared" si="6"/>
        <v>0</v>
      </c>
      <c r="H19" s="312"/>
      <c r="I19" s="312"/>
      <c r="J19" s="58"/>
    </row>
    <row r="20" spans="1:10" s="63" customFormat="1" ht="21.75" customHeight="1">
      <c r="A20" s="3224"/>
      <c r="B20" s="3230" t="s">
        <v>175</v>
      </c>
      <c r="C20" s="3231"/>
      <c r="D20" s="287">
        <f>SUM(D21:D22)</f>
        <v>2682000</v>
      </c>
      <c r="E20" s="287">
        <f>SUM(E21:E22)</f>
        <v>2682000</v>
      </c>
      <c r="F20" s="288">
        <f t="shared" si="4"/>
        <v>0</v>
      </c>
      <c r="G20" s="1843">
        <f t="shared" si="0"/>
        <v>0</v>
      </c>
      <c r="H20" s="312">
        <f t="shared" si="1"/>
        <v>2682000000000000</v>
      </c>
      <c r="I20" s="312">
        <f t="shared" si="1"/>
        <v>2682000000000000</v>
      </c>
      <c r="J20" s="58"/>
    </row>
    <row r="21" spans="1:10" s="66" customFormat="1" ht="21.75" customHeight="1">
      <c r="A21" s="3224"/>
      <c r="B21" s="3227"/>
      <c r="C21" s="64" t="s">
        <v>176</v>
      </c>
      <c r="D21" s="209">
        <f>+'1-4목적(문예본부)'!F539</f>
        <v>1653000</v>
      </c>
      <c r="E21" s="209">
        <f>+'1-4목적(문예본부)'!G539</f>
        <v>1653000</v>
      </c>
      <c r="F21" s="65">
        <f t="shared" ref="F21:F48" si="7">D21-E21</f>
        <v>0</v>
      </c>
      <c r="G21" s="99">
        <f t="shared" si="0"/>
        <v>0</v>
      </c>
      <c r="H21" s="312">
        <f t="shared" si="1"/>
        <v>1653000000000000</v>
      </c>
      <c r="I21" s="312">
        <f t="shared" si="1"/>
        <v>1653000000000000</v>
      </c>
      <c r="J21" s="58"/>
    </row>
    <row r="22" spans="1:10" s="66" customFormat="1" ht="21.75" customHeight="1">
      <c r="A22" s="3225"/>
      <c r="B22" s="3228"/>
      <c r="C22" s="67" t="s">
        <v>177</v>
      </c>
      <c r="D22" s="210">
        <f>+'1-4목적(문예본부)'!F616</f>
        <v>1029000</v>
      </c>
      <c r="E22" s="210">
        <f>+'1-4목적(문예본부)'!G616</f>
        <v>1029000</v>
      </c>
      <c r="F22" s="68">
        <f t="shared" si="7"/>
        <v>0</v>
      </c>
      <c r="G22" s="100">
        <f t="shared" si="0"/>
        <v>0</v>
      </c>
      <c r="H22" s="312">
        <f t="shared" si="1"/>
        <v>1029000000000000</v>
      </c>
      <c r="I22" s="312">
        <f t="shared" si="1"/>
        <v>1029000000000000</v>
      </c>
      <c r="J22" s="58"/>
    </row>
    <row r="23" spans="1:10" s="66" customFormat="1" ht="21.75" customHeight="1">
      <c r="A23" s="3223" t="s">
        <v>402</v>
      </c>
      <c r="B23" s="3222" t="s">
        <v>539</v>
      </c>
      <c r="C23" s="3222"/>
      <c r="D23" s="294">
        <f>+D24+D25+D26+D27</f>
        <v>5260000</v>
      </c>
      <c r="E23" s="294">
        <f>+E24+E25+E26+E27</f>
        <v>5260000</v>
      </c>
      <c r="F23" s="295">
        <f>D23-E23</f>
        <v>0</v>
      </c>
      <c r="G23" s="296">
        <f t="shared" si="0"/>
        <v>0</v>
      </c>
      <c r="H23" s="312">
        <f t="shared" si="1"/>
        <v>5260000000000000</v>
      </c>
      <c r="I23" s="312">
        <f t="shared" si="1"/>
        <v>5260000000000000</v>
      </c>
      <c r="J23" s="58"/>
    </row>
    <row r="24" spans="1:10" s="66" customFormat="1" ht="21.75" customHeight="1">
      <c r="A24" s="3224"/>
      <c r="B24" s="3232" t="s">
        <v>13</v>
      </c>
      <c r="C24" s="3233"/>
      <c r="D24" s="2179">
        <f>+'1-5목적(연구원)'!F6</f>
        <v>2227000</v>
      </c>
      <c r="E24" s="2179">
        <f>+'1-5목적(연구원)'!G6</f>
        <v>2227000</v>
      </c>
      <c r="F24" s="2180">
        <f>D24-E24</f>
        <v>0</v>
      </c>
      <c r="G24" s="2181">
        <f>(D24-E24)/E24</f>
        <v>0</v>
      </c>
      <c r="H24" s="312">
        <f>D24*1000000000</f>
        <v>2227000000000000</v>
      </c>
      <c r="I24" s="312">
        <f>E24*1000000000</f>
        <v>2227000000000000</v>
      </c>
      <c r="J24" s="58"/>
    </row>
    <row r="25" spans="1:10" s="63" customFormat="1" ht="21.75" customHeight="1">
      <c r="A25" s="3224"/>
      <c r="B25" s="2182" t="s">
        <v>737</v>
      </c>
      <c r="C25" s="2183"/>
      <c r="D25" s="2184">
        <f>+'1-5목적(연구원)'!F92</f>
        <v>1808000</v>
      </c>
      <c r="E25" s="2184">
        <f>+'1-5목적(연구원)'!G92</f>
        <v>1808000</v>
      </c>
      <c r="F25" s="23">
        <f>D25-E25</f>
        <v>0</v>
      </c>
      <c r="G25" s="1064">
        <f>(D25-E25)/E25</f>
        <v>0</v>
      </c>
      <c r="H25" s="312">
        <f t="shared" si="1"/>
        <v>1808000000000000</v>
      </c>
      <c r="I25" s="312">
        <f t="shared" si="1"/>
        <v>1808000000000000</v>
      </c>
      <c r="J25" s="58"/>
    </row>
    <row r="26" spans="1:10" s="62" customFormat="1" ht="21.75" customHeight="1">
      <c r="A26" s="3224"/>
      <c r="B26" s="3220" t="s">
        <v>736</v>
      </c>
      <c r="C26" s="3221"/>
      <c r="D26" s="103">
        <f>+'1-5목적(연구원)'!F198</f>
        <v>940000</v>
      </c>
      <c r="E26" s="103">
        <f>+'1-5목적(연구원)'!G198</f>
        <v>940000</v>
      </c>
      <c r="F26" s="23">
        <f t="shared" ref="F26:F27" si="8">D26-E26</f>
        <v>0</v>
      </c>
      <c r="G26" s="97">
        <f t="shared" ref="G26" si="9">(D26-E26)/E26</f>
        <v>0</v>
      </c>
      <c r="H26" s="312">
        <f>D26*1000000000</f>
        <v>940000000000000</v>
      </c>
      <c r="I26" s="312">
        <f>E26*1000000000</f>
        <v>940000000000000</v>
      </c>
      <c r="J26" s="58"/>
    </row>
    <row r="27" spans="1:10" s="62" customFormat="1" ht="21.75" customHeight="1">
      <c r="A27" s="3224"/>
      <c r="B27" s="3220" t="s">
        <v>720</v>
      </c>
      <c r="C27" s="3226"/>
      <c r="D27" s="103">
        <f>+D28+D29</f>
        <v>285000</v>
      </c>
      <c r="E27" s="103">
        <f t="shared" ref="E27" si="10">+E28+E29</f>
        <v>285000</v>
      </c>
      <c r="F27" s="23">
        <f t="shared" si="8"/>
        <v>0</v>
      </c>
      <c r="G27" s="97">
        <f t="shared" si="0"/>
        <v>0</v>
      </c>
      <c r="H27" s="312">
        <f t="shared" si="1"/>
        <v>285000000000000</v>
      </c>
      <c r="I27" s="312">
        <f t="shared" si="1"/>
        <v>285000000000000</v>
      </c>
      <c r="J27" s="58"/>
    </row>
    <row r="28" spans="1:10" s="62" customFormat="1" ht="21.75" customHeight="1">
      <c r="A28" s="3224"/>
      <c r="B28" s="997"/>
      <c r="C28" s="998" t="s">
        <v>176</v>
      </c>
      <c r="D28" s="999">
        <f>+'1-5목적(연구원)'!F299</f>
        <v>75000</v>
      </c>
      <c r="E28" s="999">
        <f>+'1-5목적(연구원)'!G299</f>
        <v>75000</v>
      </c>
      <c r="F28" s="1000">
        <f t="shared" si="7"/>
        <v>0</v>
      </c>
      <c r="G28" s="1001">
        <f t="shared" si="0"/>
        <v>0</v>
      </c>
      <c r="H28" s="312">
        <f t="shared" si="1"/>
        <v>75000000000000</v>
      </c>
      <c r="I28" s="312">
        <f t="shared" si="1"/>
        <v>75000000000000</v>
      </c>
      <c r="J28" s="58"/>
    </row>
    <row r="29" spans="1:10" s="62" customFormat="1" ht="21.75" customHeight="1">
      <c r="A29" s="3225"/>
      <c r="B29" s="2203"/>
      <c r="C29" s="211" t="s">
        <v>177</v>
      </c>
      <c r="D29" s="2204">
        <f>+'1-5목적(연구원)'!F322</f>
        <v>210000</v>
      </c>
      <c r="E29" s="2204">
        <f>+'1-5목적(연구원)'!G322</f>
        <v>210000</v>
      </c>
      <c r="F29" s="285">
        <f t="shared" si="7"/>
        <v>0</v>
      </c>
      <c r="G29" s="2205"/>
      <c r="H29" s="312">
        <f t="shared" si="1"/>
        <v>210000000000000</v>
      </c>
      <c r="I29" s="312">
        <f t="shared" si="1"/>
        <v>210000000000000</v>
      </c>
      <c r="J29" s="58"/>
    </row>
    <row r="30" spans="1:10" s="62" customFormat="1" ht="21" customHeight="1">
      <c r="A30" s="3224" t="s">
        <v>403</v>
      </c>
      <c r="B30" s="3222" t="s">
        <v>539</v>
      </c>
      <c r="C30" s="3222"/>
      <c r="D30" s="104">
        <f>+D31+D32</f>
        <v>4153000</v>
      </c>
      <c r="E30" s="104">
        <f>+E31+E32</f>
        <v>4153000</v>
      </c>
      <c r="F30" s="2210">
        <f t="shared" si="7"/>
        <v>0</v>
      </c>
      <c r="G30" s="296">
        <f t="shared" si="0"/>
        <v>0</v>
      </c>
      <c r="H30" s="312">
        <f t="shared" si="1"/>
        <v>4153000000000000</v>
      </c>
      <c r="I30" s="312">
        <f t="shared" si="1"/>
        <v>4153000000000000</v>
      </c>
      <c r="J30" s="58"/>
    </row>
    <row r="31" spans="1:10" s="62" customFormat="1" ht="21" customHeight="1">
      <c r="A31" s="3224"/>
      <c r="B31" s="3219"/>
      <c r="C31" s="2206" t="s">
        <v>176</v>
      </c>
      <c r="D31" s="2207">
        <f>+'1-6목적(도박)'!F7</f>
        <v>2820000</v>
      </c>
      <c r="E31" s="2207">
        <f>+'1-6목적(도박)'!G7</f>
        <v>2820000</v>
      </c>
      <c r="F31" s="2208">
        <f>D31-E31</f>
        <v>0</v>
      </c>
      <c r="G31" s="2209">
        <f>(D31-E31)/E31</f>
        <v>0</v>
      </c>
      <c r="H31" s="312">
        <f t="shared" si="1"/>
        <v>2820000000000000</v>
      </c>
      <c r="I31" s="312">
        <f t="shared" si="1"/>
        <v>2820000000000000</v>
      </c>
      <c r="J31" s="58"/>
    </row>
    <row r="32" spans="1:10" s="62" customFormat="1" ht="21" customHeight="1">
      <c r="A32" s="3224"/>
      <c r="B32" s="3249"/>
      <c r="C32" s="67" t="s">
        <v>177</v>
      </c>
      <c r="D32" s="107">
        <f>+'1-6목적(도박)'!F116</f>
        <v>1333000</v>
      </c>
      <c r="E32" s="107">
        <f>+'1-6목적(도박)'!G116</f>
        <v>1333000</v>
      </c>
      <c r="F32" s="68">
        <f>D32-E32</f>
        <v>0</v>
      </c>
      <c r="G32" s="100">
        <f>(D32-E32)/E32</f>
        <v>0</v>
      </c>
      <c r="H32" s="312">
        <f t="shared" si="1"/>
        <v>1333000000000000</v>
      </c>
      <c r="I32" s="312">
        <f t="shared" si="1"/>
        <v>1333000000000000</v>
      </c>
      <c r="J32" s="58"/>
    </row>
    <row r="33" spans="1:10" s="63" customFormat="1" ht="21" customHeight="1">
      <c r="A33" s="3236" t="s">
        <v>404</v>
      </c>
      <c r="B33" s="3222" t="s">
        <v>539</v>
      </c>
      <c r="C33" s="3222"/>
      <c r="D33" s="292">
        <f>SUM(D34:D35)</f>
        <v>4267200</v>
      </c>
      <c r="E33" s="292">
        <f>SUM(E34:E35)</f>
        <v>3402000</v>
      </c>
      <c r="F33" s="293">
        <f>D33-E33</f>
        <v>865200</v>
      </c>
      <c r="G33" s="98">
        <f t="shared" ref="G33:G48" si="11">(D33-E33)/E33</f>
        <v>0.25432098765432098</v>
      </c>
      <c r="H33" s="312">
        <f t="shared" si="1"/>
        <v>4267200000000000</v>
      </c>
      <c r="I33" s="312">
        <f t="shared" si="1"/>
        <v>3402000000000000</v>
      </c>
      <c r="J33" s="58"/>
    </row>
    <row r="34" spans="1:10" s="66" customFormat="1" ht="21" customHeight="1">
      <c r="A34" s="3236"/>
      <c r="B34" s="3218"/>
      <c r="C34" s="64" t="s">
        <v>176</v>
      </c>
      <c r="D34" s="106">
        <f>+'1-7목적(미술관)'!F7</f>
        <v>2142000</v>
      </c>
      <c r="E34" s="106">
        <f>+'1-7목적(미술관)'!G7</f>
        <v>2142000</v>
      </c>
      <c r="F34" s="65">
        <f t="shared" si="7"/>
        <v>0</v>
      </c>
      <c r="G34" s="99">
        <f t="shared" si="11"/>
        <v>0</v>
      </c>
      <c r="H34" s="312">
        <f t="shared" si="1"/>
        <v>2142000000000000</v>
      </c>
      <c r="I34" s="312">
        <f t="shared" si="1"/>
        <v>2142000000000000</v>
      </c>
      <c r="J34" s="58"/>
    </row>
    <row r="35" spans="1:10" s="62" customFormat="1" ht="21" customHeight="1">
      <c r="A35" s="3236"/>
      <c r="B35" s="3219"/>
      <c r="C35" s="283" t="s">
        <v>177</v>
      </c>
      <c r="D35" s="107">
        <f>+'1-7목적(미술관)'!F110</f>
        <v>2125200</v>
      </c>
      <c r="E35" s="107">
        <f>+'1-7목적(미술관)'!G110</f>
        <v>1260000</v>
      </c>
      <c r="F35" s="68">
        <f t="shared" si="7"/>
        <v>865200</v>
      </c>
      <c r="G35" s="100">
        <f t="shared" si="11"/>
        <v>0.68666666666666665</v>
      </c>
      <c r="H35" s="312">
        <f t="shared" si="1"/>
        <v>2125200000000000</v>
      </c>
      <c r="I35" s="312">
        <f t="shared" si="1"/>
        <v>1260000000000000</v>
      </c>
      <c r="J35" s="58"/>
    </row>
    <row r="36" spans="1:10" s="69" customFormat="1" ht="21" customHeight="1">
      <c r="A36" s="3236" t="s">
        <v>405</v>
      </c>
      <c r="B36" s="3222" t="s">
        <v>539</v>
      </c>
      <c r="C36" s="3222"/>
      <c r="D36" s="292">
        <f>SUM(D37:D38)</f>
        <v>3407015.6</v>
      </c>
      <c r="E36" s="292">
        <f>SUM(E37:E38)</f>
        <v>3387016</v>
      </c>
      <c r="F36" s="293">
        <f>D36-E36</f>
        <v>19999.600000000093</v>
      </c>
      <c r="G36" s="98">
        <f t="shared" si="11"/>
        <v>5.9047846245781225E-3</v>
      </c>
      <c r="H36" s="312">
        <f t="shared" si="1"/>
        <v>3407015600000000</v>
      </c>
      <c r="I36" s="312">
        <f t="shared" si="1"/>
        <v>3387016000000000</v>
      </c>
      <c r="J36" s="58"/>
    </row>
    <row r="37" spans="1:10" s="66" customFormat="1" ht="21" customHeight="1">
      <c r="A37" s="3236"/>
      <c r="B37" s="3218"/>
      <c r="C37" s="64" t="s">
        <v>176</v>
      </c>
      <c r="D37" s="209">
        <f>+'1-8목적(백남준)'!F7</f>
        <v>2099000</v>
      </c>
      <c r="E37" s="209">
        <f>+'1-8목적(백남준)'!G7</f>
        <v>2099000</v>
      </c>
      <c r="F37" s="65">
        <f t="shared" si="7"/>
        <v>0</v>
      </c>
      <c r="G37" s="99">
        <f t="shared" si="11"/>
        <v>0</v>
      </c>
      <c r="H37" s="312">
        <f t="shared" si="1"/>
        <v>2099000000000000</v>
      </c>
      <c r="I37" s="312">
        <f t="shared" si="1"/>
        <v>2099000000000000</v>
      </c>
      <c r="J37" s="58"/>
    </row>
    <row r="38" spans="1:10" s="66" customFormat="1" ht="21" customHeight="1">
      <c r="A38" s="3236"/>
      <c r="B38" s="3219"/>
      <c r="C38" s="211" t="s">
        <v>177</v>
      </c>
      <c r="D38" s="212">
        <f>+'1-8목적(백남준)'!F89</f>
        <v>1308015.6000000001</v>
      </c>
      <c r="E38" s="212">
        <f>+'1-8목적(백남준)'!G89</f>
        <v>1288016</v>
      </c>
      <c r="F38" s="68">
        <f t="shared" si="7"/>
        <v>19999.600000000093</v>
      </c>
      <c r="G38" s="100">
        <f t="shared" si="11"/>
        <v>1.5527446864014183E-2</v>
      </c>
      <c r="H38" s="312">
        <f t="shared" si="1"/>
        <v>1308015600000000</v>
      </c>
      <c r="I38" s="312">
        <f t="shared" si="1"/>
        <v>1288016000000000</v>
      </c>
      <c r="J38" s="58"/>
    </row>
    <row r="39" spans="1:10" s="69" customFormat="1" ht="21" customHeight="1">
      <c r="A39" s="3236" t="s">
        <v>406</v>
      </c>
      <c r="B39" s="3222" t="s">
        <v>539</v>
      </c>
      <c r="C39" s="3222"/>
      <c r="D39" s="292">
        <f>SUM(D40:D41)</f>
        <v>2679000</v>
      </c>
      <c r="E39" s="292">
        <f>SUM(E40:E41)</f>
        <v>2679000</v>
      </c>
      <c r="F39" s="293">
        <f t="shared" si="7"/>
        <v>0</v>
      </c>
      <c r="G39" s="98">
        <f t="shared" si="11"/>
        <v>0</v>
      </c>
      <c r="H39" s="312">
        <f t="shared" si="1"/>
        <v>2679000000000000</v>
      </c>
      <c r="I39" s="312">
        <f t="shared" si="1"/>
        <v>2679000000000000</v>
      </c>
      <c r="J39" s="58"/>
    </row>
    <row r="40" spans="1:10" s="66" customFormat="1" ht="21" customHeight="1">
      <c r="A40" s="3236"/>
      <c r="B40" s="3218"/>
      <c r="C40" s="64" t="s">
        <v>176</v>
      </c>
      <c r="D40" s="108">
        <f>+'1-9목적(실학)'!F7</f>
        <v>1848000</v>
      </c>
      <c r="E40" s="108">
        <f>+'1-9목적(실학)'!G7</f>
        <v>1848000</v>
      </c>
      <c r="F40" s="65">
        <f t="shared" si="7"/>
        <v>0</v>
      </c>
      <c r="G40" s="99">
        <f t="shared" si="11"/>
        <v>0</v>
      </c>
      <c r="H40" s="312">
        <f t="shared" si="1"/>
        <v>1848000000000000</v>
      </c>
      <c r="I40" s="312">
        <f t="shared" si="1"/>
        <v>1848000000000000</v>
      </c>
      <c r="J40" s="58"/>
    </row>
    <row r="41" spans="1:10" s="62" customFormat="1" ht="21" customHeight="1">
      <c r="A41" s="3236"/>
      <c r="B41" s="3219"/>
      <c r="C41" s="211" t="s">
        <v>177</v>
      </c>
      <c r="D41" s="109">
        <f>+'1-9목적(실학)'!F93</f>
        <v>831000</v>
      </c>
      <c r="E41" s="109">
        <f>+'1-9목적(실학)'!G93</f>
        <v>831000</v>
      </c>
      <c r="F41" s="68">
        <f t="shared" si="7"/>
        <v>0</v>
      </c>
      <c r="G41" s="100">
        <f t="shared" si="11"/>
        <v>0</v>
      </c>
      <c r="H41" s="312">
        <f t="shared" si="1"/>
        <v>831000000000000</v>
      </c>
      <c r="I41" s="312">
        <f t="shared" si="1"/>
        <v>831000000000000</v>
      </c>
      <c r="J41" s="58"/>
    </row>
    <row r="42" spans="1:10" s="69" customFormat="1" ht="21" customHeight="1">
      <c r="A42" s="3236" t="s">
        <v>407</v>
      </c>
      <c r="B42" s="3222" t="s">
        <v>539</v>
      </c>
      <c r="C42" s="3222"/>
      <c r="D42" s="292">
        <f>SUM(D43:D44)</f>
        <v>3076000</v>
      </c>
      <c r="E42" s="292">
        <f>SUM(E43:E44)</f>
        <v>3076000</v>
      </c>
      <c r="F42" s="293">
        <f t="shared" si="7"/>
        <v>0</v>
      </c>
      <c r="G42" s="98">
        <f t="shared" si="11"/>
        <v>0</v>
      </c>
      <c r="H42" s="312">
        <f t="shared" si="1"/>
        <v>3076000000000000</v>
      </c>
      <c r="I42" s="312">
        <f t="shared" si="1"/>
        <v>3076000000000000</v>
      </c>
      <c r="J42" s="58"/>
    </row>
    <row r="43" spans="1:10" s="66" customFormat="1" ht="21" customHeight="1">
      <c r="A43" s="3236"/>
      <c r="B43" s="3218"/>
      <c r="C43" s="64" t="s">
        <v>176</v>
      </c>
      <c r="D43" s="106">
        <f>+'1-10목적(선사)'!F7</f>
        <v>1948000</v>
      </c>
      <c r="E43" s="106">
        <f>+'1-10목적(선사)'!G7</f>
        <v>1948000</v>
      </c>
      <c r="F43" s="65">
        <f t="shared" si="7"/>
        <v>0</v>
      </c>
      <c r="G43" s="99">
        <f t="shared" si="11"/>
        <v>0</v>
      </c>
      <c r="H43" s="312">
        <f t="shared" si="1"/>
        <v>1948000000000000</v>
      </c>
      <c r="I43" s="312">
        <f t="shared" si="1"/>
        <v>1948000000000000</v>
      </c>
      <c r="J43" s="58"/>
    </row>
    <row r="44" spans="1:10" s="66" customFormat="1" ht="21" customHeight="1">
      <c r="A44" s="3236"/>
      <c r="B44" s="3219"/>
      <c r="C44" s="211" t="s">
        <v>177</v>
      </c>
      <c r="D44" s="107">
        <f>+'1-10목적(선사)'!F118</f>
        <v>1128000</v>
      </c>
      <c r="E44" s="107">
        <f>+'1-10목적(선사)'!G118</f>
        <v>1128000</v>
      </c>
      <c r="F44" s="68">
        <f t="shared" si="7"/>
        <v>0</v>
      </c>
      <c r="G44" s="100">
        <f t="shared" si="11"/>
        <v>0</v>
      </c>
      <c r="H44" s="312">
        <f t="shared" si="1"/>
        <v>1128000000000000</v>
      </c>
      <c r="I44" s="312">
        <f t="shared" si="1"/>
        <v>1128000000000000</v>
      </c>
      <c r="J44" s="58"/>
    </row>
    <row r="45" spans="1:10" s="63" customFormat="1" ht="21" customHeight="1">
      <c r="A45" s="3236" t="s">
        <v>408</v>
      </c>
      <c r="B45" s="3222" t="s">
        <v>539</v>
      </c>
      <c r="C45" s="3222"/>
      <c r="D45" s="292">
        <f>SUM(D46:D47)</f>
        <v>3750000</v>
      </c>
      <c r="E45" s="292">
        <f>SUM(E46:E47)</f>
        <v>3705000</v>
      </c>
      <c r="F45" s="293">
        <f t="shared" si="7"/>
        <v>45000</v>
      </c>
      <c r="G45" s="98">
        <f t="shared" si="11"/>
        <v>1.2145748987854251E-2</v>
      </c>
      <c r="H45" s="312">
        <f t="shared" si="1"/>
        <v>3750000000000000</v>
      </c>
      <c r="I45" s="312">
        <f t="shared" si="1"/>
        <v>3705000000000000</v>
      </c>
      <c r="J45" s="58"/>
    </row>
    <row r="46" spans="1:10" s="66" customFormat="1" ht="21" customHeight="1">
      <c r="A46" s="3236"/>
      <c r="B46" s="3218"/>
      <c r="C46" s="64" t="s">
        <v>176</v>
      </c>
      <c r="D46" s="106">
        <f>+'1-11목적(어박)'!F7</f>
        <v>2267200</v>
      </c>
      <c r="E46" s="106">
        <f>+'1-11목적(어박)'!G7</f>
        <v>2267200</v>
      </c>
      <c r="F46" s="65">
        <f t="shared" si="7"/>
        <v>0</v>
      </c>
      <c r="G46" s="99">
        <f t="shared" si="11"/>
        <v>0</v>
      </c>
      <c r="H46" s="312">
        <f t="shared" si="1"/>
        <v>2267200000000000</v>
      </c>
      <c r="I46" s="312">
        <f t="shared" si="1"/>
        <v>2267200000000000</v>
      </c>
      <c r="J46" s="58"/>
    </row>
    <row r="47" spans="1:10" s="62" customFormat="1" ht="21" customHeight="1">
      <c r="A47" s="3223"/>
      <c r="B47" s="3219"/>
      <c r="C47" s="211" t="s">
        <v>177</v>
      </c>
      <c r="D47" s="284">
        <f>+'1-11목적(어박)'!F84</f>
        <v>1482800</v>
      </c>
      <c r="E47" s="284">
        <f>+'1-11목적(어박)'!G84</f>
        <v>1437800</v>
      </c>
      <c r="F47" s="285">
        <f t="shared" si="7"/>
        <v>45000</v>
      </c>
      <c r="G47" s="286">
        <f t="shared" si="11"/>
        <v>3.1297816107942689E-2</v>
      </c>
      <c r="H47" s="312">
        <f t="shared" si="1"/>
        <v>1482800000000000</v>
      </c>
      <c r="I47" s="312">
        <f t="shared" si="1"/>
        <v>1437800000000000</v>
      </c>
      <c r="J47" s="58"/>
    </row>
    <row r="48" spans="1:10" s="70" customFormat="1" ht="21" customHeight="1" thickBot="1">
      <c r="A48" s="3234" t="s">
        <v>178</v>
      </c>
      <c r="B48" s="3235"/>
      <c r="C48" s="3235"/>
      <c r="D48" s="289">
        <f>+'1-12예비비'!F6</f>
        <v>40075.368999999999</v>
      </c>
      <c r="E48" s="289">
        <v>40075</v>
      </c>
      <c r="F48" s="290">
        <f t="shared" si="7"/>
        <v>0.36899999999877764</v>
      </c>
      <c r="G48" s="291">
        <f t="shared" si="11"/>
        <v>9.2077354959146013E-6</v>
      </c>
      <c r="H48" s="312">
        <f t="shared" si="1"/>
        <v>40075369000000</v>
      </c>
      <c r="I48" s="312">
        <f t="shared" si="1"/>
        <v>40075000000000</v>
      </c>
      <c r="J48" s="58"/>
    </row>
    <row r="49" spans="3:10" s="110" customFormat="1" ht="18.75">
      <c r="C49" s="111"/>
      <c r="D49" s="71"/>
      <c r="E49" s="71"/>
      <c r="F49" s="72"/>
      <c r="G49" s="73"/>
      <c r="H49" s="74"/>
      <c r="I49" s="298"/>
      <c r="J49" s="74"/>
    </row>
    <row r="50" spans="3:10" s="110" customFormat="1" ht="18.75">
      <c r="C50" s="111"/>
      <c r="D50" s="71"/>
      <c r="E50" s="71"/>
      <c r="F50" s="72"/>
      <c r="G50" s="73"/>
      <c r="H50" s="74"/>
      <c r="I50" s="298"/>
      <c r="J50" s="74"/>
    </row>
    <row r="51" spans="3:10" s="110" customFormat="1">
      <c r="D51" s="72"/>
      <c r="E51" s="75"/>
      <c r="F51" s="72"/>
      <c r="G51" s="73"/>
      <c r="H51" s="74"/>
      <c r="I51" s="298"/>
      <c r="J51" s="74"/>
    </row>
    <row r="52" spans="3:10" s="110" customFormat="1">
      <c r="D52" s="72"/>
      <c r="E52" s="72"/>
      <c r="F52" s="72"/>
      <c r="G52" s="73"/>
      <c r="H52" s="74"/>
      <c r="I52" s="298"/>
      <c r="J52" s="74"/>
    </row>
    <row r="53" spans="3:10" s="110" customFormat="1">
      <c r="D53" s="72"/>
      <c r="E53" s="72"/>
      <c r="F53" s="72"/>
      <c r="G53" s="73"/>
      <c r="H53" s="74"/>
      <c r="I53" s="298"/>
      <c r="J53" s="74"/>
    </row>
    <row r="54" spans="3:10" s="110" customFormat="1">
      <c r="D54" s="72"/>
      <c r="E54" s="72"/>
      <c r="F54" s="72"/>
      <c r="G54" s="73"/>
      <c r="H54" s="74"/>
      <c r="I54" s="298"/>
      <c r="J54" s="74"/>
    </row>
    <row r="55" spans="3:10" s="110" customFormat="1">
      <c r="D55" s="72"/>
      <c r="E55" s="72"/>
      <c r="F55" s="72"/>
      <c r="G55" s="73"/>
      <c r="H55" s="74"/>
      <c r="I55" s="298"/>
      <c r="J55" s="74"/>
    </row>
    <row r="56" spans="3:10" s="110" customFormat="1">
      <c r="D56" s="72"/>
      <c r="E56" s="72"/>
      <c r="F56" s="72"/>
      <c r="G56" s="73"/>
      <c r="H56" s="74"/>
      <c r="I56" s="298"/>
      <c r="J56" s="74"/>
    </row>
    <row r="57" spans="3:10" s="110" customFormat="1">
      <c r="D57" s="72"/>
      <c r="E57" s="72"/>
      <c r="F57" s="72"/>
      <c r="G57" s="73"/>
      <c r="H57" s="74"/>
      <c r="I57" s="298"/>
      <c r="J57" s="74"/>
    </row>
    <row r="58" spans="3:10" s="110" customFormat="1">
      <c r="D58" s="72"/>
      <c r="E58" s="72"/>
      <c r="F58" s="72"/>
      <c r="G58" s="73"/>
      <c r="H58" s="74"/>
      <c r="I58" s="298"/>
      <c r="J58" s="74"/>
    </row>
    <row r="59" spans="3:10" s="110" customFormat="1">
      <c r="D59" s="72"/>
      <c r="E59" s="72"/>
      <c r="F59" s="72"/>
      <c r="G59" s="73"/>
      <c r="H59" s="74"/>
      <c r="I59" s="298"/>
      <c r="J59" s="74"/>
    </row>
    <row r="60" spans="3:10" s="110" customFormat="1">
      <c r="D60" s="72"/>
      <c r="E60" s="72"/>
      <c r="F60" s="72"/>
      <c r="G60" s="73"/>
      <c r="H60" s="74"/>
      <c r="I60" s="298"/>
      <c r="J60" s="74"/>
    </row>
    <row r="67" spans="2:17" s="75" customFormat="1">
      <c r="B67" s="33"/>
      <c r="C67" s="33"/>
      <c r="G67" s="76"/>
      <c r="H67" s="77"/>
      <c r="I67" s="299"/>
      <c r="J67" s="77"/>
      <c r="K67" s="33"/>
      <c r="L67" s="33"/>
      <c r="M67" s="33"/>
      <c r="N67" s="33"/>
      <c r="O67" s="33"/>
      <c r="P67" s="33"/>
      <c r="Q67" s="33"/>
    </row>
    <row r="68" spans="2:17" s="75" customFormat="1">
      <c r="B68" s="33"/>
      <c r="C68" s="33"/>
      <c r="G68" s="76"/>
      <c r="H68" s="77"/>
      <c r="I68" s="299"/>
      <c r="J68" s="77"/>
      <c r="K68" s="33"/>
      <c r="L68" s="33"/>
      <c r="M68" s="33"/>
      <c r="N68" s="33"/>
      <c r="O68" s="33"/>
      <c r="P68" s="33"/>
      <c r="Q68" s="33"/>
    </row>
    <row r="69" spans="2:17" s="75" customFormat="1">
      <c r="B69" s="33"/>
      <c r="C69" s="33"/>
      <c r="G69" s="76"/>
      <c r="H69" s="77"/>
      <c r="I69" s="299"/>
      <c r="J69" s="77"/>
      <c r="K69" s="33"/>
      <c r="L69" s="33"/>
      <c r="M69" s="33"/>
      <c r="N69" s="33"/>
      <c r="O69" s="33"/>
      <c r="P69" s="33"/>
      <c r="Q69" s="33"/>
    </row>
    <row r="70" spans="2:17" s="75" customFormat="1">
      <c r="B70" s="33"/>
      <c r="C70" s="33"/>
      <c r="G70" s="76"/>
      <c r="H70" s="77"/>
      <c r="I70" s="299"/>
      <c r="J70" s="77"/>
      <c r="K70" s="33"/>
      <c r="L70" s="33"/>
      <c r="M70" s="33"/>
      <c r="N70" s="33"/>
      <c r="O70" s="33"/>
      <c r="P70" s="33"/>
      <c r="Q70" s="33"/>
    </row>
    <row r="71" spans="2:17" s="75" customFormat="1">
      <c r="B71" s="33"/>
      <c r="C71" s="33"/>
      <c r="G71" s="76"/>
      <c r="H71" s="77"/>
      <c r="I71" s="299"/>
      <c r="J71" s="77"/>
      <c r="K71" s="33"/>
      <c r="L71" s="33"/>
      <c r="M71" s="33"/>
      <c r="N71" s="33"/>
      <c r="O71" s="33"/>
      <c r="P71" s="33"/>
      <c r="Q71" s="33"/>
    </row>
    <row r="72" spans="2:17" s="75" customFormat="1">
      <c r="B72" s="33"/>
      <c r="C72" s="33"/>
      <c r="G72" s="76"/>
      <c r="H72" s="77"/>
      <c r="I72" s="299"/>
      <c r="J72" s="77"/>
      <c r="K72" s="33"/>
      <c r="L72" s="33"/>
      <c r="M72" s="33"/>
      <c r="N72" s="33"/>
      <c r="O72" s="33"/>
      <c r="P72" s="33"/>
      <c r="Q72" s="33"/>
    </row>
    <row r="73" spans="2:17" s="75" customFormat="1">
      <c r="B73" s="33"/>
      <c r="C73" s="33"/>
      <c r="G73" s="76"/>
      <c r="H73" s="77"/>
      <c r="I73" s="299"/>
      <c r="J73" s="77"/>
      <c r="K73" s="33"/>
      <c r="L73" s="33"/>
      <c r="M73" s="33"/>
      <c r="N73" s="33"/>
      <c r="O73" s="33"/>
      <c r="P73" s="33"/>
      <c r="Q73" s="33"/>
    </row>
    <row r="74" spans="2:17" s="75" customFormat="1">
      <c r="B74" s="33"/>
      <c r="C74" s="33"/>
      <c r="G74" s="76"/>
      <c r="H74" s="77"/>
      <c r="I74" s="299"/>
      <c r="J74" s="77"/>
      <c r="K74" s="33"/>
      <c r="L74" s="33"/>
      <c r="M74" s="33"/>
      <c r="N74" s="33"/>
      <c r="O74" s="33"/>
      <c r="P74" s="33"/>
      <c r="Q74" s="33"/>
    </row>
    <row r="75" spans="2:17" s="75" customFormat="1">
      <c r="B75" s="33"/>
      <c r="C75" s="33"/>
      <c r="G75" s="76"/>
      <c r="H75" s="77"/>
      <c r="I75" s="299"/>
      <c r="J75" s="77"/>
      <c r="K75" s="33"/>
      <c r="L75" s="33"/>
      <c r="M75" s="33"/>
      <c r="N75" s="33"/>
      <c r="O75" s="33"/>
      <c r="P75" s="33"/>
      <c r="Q75" s="33"/>
    </row>
    <row r="76" spans="2:17" s="75" customFormat="1">
      <c r="B76" s="33"/>
      <c r="C76" s="33"/>
      <c r="G76" s="76"/>
      <c r="H76" s="77"/>
      <c r="I76" s="299"/>
      <c r="J76" s="77"/>
      <c r="K76" s="33"/>
      <c r="L76" s="33"/>
      <c r="M76" s="33"/>
      <c r="N76" s="33"/>
      <c r="O76" s="33"/>
      <c r="P76" s="33"/>
      <c r="Q76" s="33"/>
    </row>
    <row r="77" spans="2:17" s="75" customFormat="1">
      <c r="B77" s="33"/>
      <c r="C77" s="33"/>
      <c r="G77" s="76"/>
      <c r="H77" s="77"/>
      <c r="I77" s="299"/>
      <c r="J77" s="77"/>
      <c r="K77" s="33"/>
      <c r="L77" s="33"/>
      <c r="M77" s="33"/>
      <c r="N77" s="33"/>
      <c r="O77" s="33"/>
      <c r="P77" s="33"/>
      <c r="Q77" s="33"/>
    </row>
    <row r="78" spans="2:17" s="75" customFormat="1">
      <c r="B78" s="33"/>
      <c r="C78" s="33"/>
      <c r="G78" s="76"/>
      <c r="H78" s="77"/>
      <c r="I78" s="299"/>
      <c r="J78" s="77"/>
      <c r="K78" s="33"/>
      <c r="L78" s="33"/>
      <c r="M78" s="33"/>
      <c r="N78" s="33"/>
      <c r="O78" s="33"/>
      <c r="P78" s="33"/>
      <c r="Q78" s="33"/>
    </row>
    <row r="79" spans="2:17" s="75" customFormat="1">
      <c r="B79" s="33"/>
      <c r="C79" s="33"/>
      <c r="G79" s="76"/>
      <c r="H79" s="77"/>
      <c r="I79" s="299"/>
      <c r="J79" s="77"/>
      <c r="K79" s="33"/>
      <c r="L79" s="33"/>
      <c r="M79" s="33"/>
      <c r="N79" s="33"/>
      <c r="O79" s="33"/>
      <c r="P79" s="33"/>
      <c r="Q79" s="33"/>
    </row>
    <row r="80" spans="2:17" s="75" customFormat="1">
      <c r="B80" s="33"/>
      <c r="C80" s="33"/>
      <c r="G80" s="76"/>
      <c r="H80" s="77"/>
      <c r="I80" s="299"/>
      <c r="J80" s="77"/>
      <c r="K80" s="33"/>
      <c r="L80" s="33"/>
      <c r="M80" s="33"/>
      <c r="N80" s="33"/>
      <c r="O80" s="33"/>
      <c r="P80" s="33"/>
      <c r="Q80" s="33"/>
    </row>
    <row r="81" spans="2:17" s="75" customFormat="1">
      <c r="B81" s="33"/>
      <c r="C81" s="33"/>
      <c r="G81" s="76"/>
      <c r="H81" s="77"/>
      <c r="I81" s="299"/>
      <c r="J81" s="77"/>
      <c r="K81" s="33"/>
      <c r="L81" s="33"/>
      <c r="M81" s="33"/>
      <c r="N81" s="33"/>
      <c r="O81" s="33"/>
      <c r="P81" s="33"/>
      <c r="Q81" s="33"/>
    </row>
    <row r="82" spans="2:17" s="75" customFormat="1">
      <c r="B82" s="33"/>
      <c r="C82" s="33"/>
      <c r="G82" s="76"/>
      <c r="H82" s="77"/>
      <c r="I82" s="299"/>
      <c r="J82" s="77"/>
      <c r="K82" s="33"/>
      <c r="L82" s="33"/>
      <c r="M82" s="33"/>
      <c r="N82" s="33"/>
      <c r="O82" s="33"/>
      <c r="P82" s="33"/>
      <c r="Q82" s="33"/>
    </row>
    <row r="83" spans="2:17" s="75" customFormat="1">
      <c r="B83" s="33"/>
      <c r="C83" s="33"/>
      <c r="G83" s="76"/>
      <c r="H83" s="77"/>
      <c r="I83" s="299"/>
      <c r="J83" s="77"/>
      <c r="K83" s="33"/>
      <c r="L83" s="33"/>
      <c r="M83" s="33"/>
      <c r="N83" s="33"/>
      <c r="O83" s="33"/>
      <c r="P83" s="33"/>
      <c r="Q83" s="33"/>
    </row>
    <row r="84" spans="2:17" s="75" customFormat="1">
      <c r="B84" s="33"/>
      <c r="C84" s="33"/>
      <c r="G84" s="76"/>
      <c r="H84" s="77"/>
      <c r="I84" s="299"/>
      <c r="J84" s="77"/>
      <c r="K84" s="33"/>
      <c r="L84" s="33"/>
      <c r="M84" s="33"/>
      <c r="N84" s="33"/>
      <c r="O84" s="33"/>
      <c r="P84" s="33"/>
      <c r="Q84" s="33"/>
    </row>
    <row r="85" spans="2:17" s="75" customFormat="1">
      <c r="B85" s="33"/>
      <c r="C85" s="33"/>
      <c r="G85" s="76"/>
      <c r="H85" s="77"/>
      <c r="I85" s="299"/>
      <c r="J85" s="77"/>
      <c r="K85" s="33"/>
      <c r="L85" s="33"/>
      <c r="M85" s="33"/>
      <c r="N85" s="33"/>
      <c r="O85" s="33"/>
      <c r="P85" s="33"/>
      <c r="Q85" s="33"/>
    </row>
    <row r="86" spans="2:17" s="75" customFormat="1">
      <c r="B86" s="33"/>
      <c r="C86" s="33"/>
      <c r="G86" s="76"/>
      <c r="H86" s="77"/>
      <c r="I86" s="299"/>
      <c r="J86" s="77"/>
      <c r="K86" s="33"/>
      <c r="L86" s="33"/>
      <c r="M86" s="33"/>
      <c r="N86" s="33"/>
      <c r="O86" s="33"/>
      <c r="P86" s="33"/>
      <c r="Q86" s="33"/>
    </row>
    <row r="87" spans="2:17" s="75" customFormat="1">
      <c r="B87" s="33"/>
      <c r="C87" s="33"/>
      <c r="G87" s="76"/>
      <c r="H87" s="77"/>
      <c r="I87" s="299"/>
      <c r="J87" s="77"/>
      <c r="K87" s="33"/>
      <c r="L87" s="33"/>
      <c r="M87" s="33"/>
      <c r="N87" s="33"/>
      <c r="O87" s="33"/>
      <c r="P87" s="33"/>
      <c r="Q87" s="33"/>
    </row>
    <row r="88" spans="2:17" s="75" customFormat="1">
      <c r="B88" s="33"/>
      <c r="C88" s="33"/>
      <c r="G88" s="76"/>
      <c r="H88" s="77"/>
      <c r="I88" s="299"/>
      <c r="J88" s="77"/>
      <c r="K88" s="33"/>
      <c r="L88" s="33"/>
      <c r="M88" s="33"/>
      <c r="N88" s="33"/>
      <c r="O88" s="33"/>
      <c r="P88" s="33"/>
      <c r="Q88" s="33"/>
    </row>
    <row r="89" spans="2:17" s="75" customFormat="1">
      <c r="B89" s="33"/>
      <c r="C89" s="33"/>
      <c r="G89" s="76"/>
      <c r="H89" s="77"/>
      <c r="I89" s="299"/>
      <c r="J89" s="77"/>
      <c r="K89" s="33"/>
      <c r="L89" s="33"/>
      <c r="M89" s="33"/>
      <c r="N89" s="33"/>
      <c r="O89" s="33"/>
      <c r="P89" s="33"/>
      <c r="Q89" s="33"/>
    </row>
    <row r="90" spans="2:17" s="75" customFormat="1">
      <c r="B90" s="33"/>
      <c r="C90" s="33"/>
      <c r="G90" s="76"/>
      <c r="H90" s="77"/>
      <c r="I90" s="299"/>
      <c r="J90" s="77"/>
      <c r="K90" s="33"/>
      <c r="L90" s="33"/>
      <c r="M90" s="33"/>
      <c r="N90" s="33"/>
      <c r="O90" s="33"/>
      <c r="P90" s="33"/>
      <c r="Q90" s="33"/>
    </row>
    <row r="91" spans="2:17" s="75" customFormat="1">
      <c r="B91" s="33"/>
      <c r="C91" s="33"/>
      <c r="G91" s="76"/>
      <c r="H91" s="77"/>
      <c r="I91" s="299"/>
      <c r="J91" s="77"/>
      <c r="K91" s="33"/>
      <c r="L91" s="33"/>
      <c r="M91" s="33"/>
      <c r="N91" s="33"/>
      <c r="O91" s="33"/>
      <c r="P91" s="33"/>
      <c r="Q91" s="33"/>
    </row>
    <row r="92" spans="2:17" s="75" customFormat="1">
      <c r="B92" s="33"/>
      <c r="C92" s="33"/>
      <c r="G92" s="76"/>
      <c r="H92" s="77"/>
      <c r="I92" s="299"/>
      <c r="J92" s="77"/>
      <c r="K92" s="33"/>
      <c r="L92" s="33"/>
      <c r="M92" s="33"/>
      <c r="N92" s="33"/>
      <c r="O92" s="33"/>
      <c r="P92" s="33"/>
      <c r="Q92" s="33"/>
    </row>
    <row r="93" spans="2:17" s="75" customFormat="1">
      <c r="B93" s="33"/>
      <c r="C93" s="33"/>
      <c r="G93" s="76"/>
      <c r="H93" s="77"/>
      <c r="I93" s="299"/>
      <c r="J93" s="77"/>
      <c r="K93" s="33"/>
      <c r="L93" s="33"/>
      <c r="M93" s="33"/>
      <c r="N93" s="33"/>
      <c r="O93" s="33"/>
      <c r="P93" s="33"/>
      <c r="Q93" s="33"/>
    </row>
    <row r="94" spans="2:17" s="75" customFormat="1">
      <c r="B94" s="33"/>
      <c r="C94" s="33"/>
      <c r="G94" s="76"/>
      <c r="H94" s="77"/>
      <c r="I94" s="299"/>
      <c r="J94" s="77"/>
      <c r="K94" s="33"/>
      <c r="L94" s="33"/>
      <c r="M94" s="33"/>
      <c r="N94" s="33"/>
      <c r="O94" s="33"/>
      <c r="P94" s="33"/>
      <c r="Q94" s="33"/>
    </row>
    <row r="95" spans="2:17" s="75" customFormat="1">
      <c r="B95" s="33"/>
      <c r="C95" s="33"/>
      <c r="G95" s="76"/>
      <c r="H95" s="77"/>
      <c r="I95" s="299"/>
      <c r="J95" s="77"/>
      <c r="K95" s="33"/>
      <c r="L95" s="33"/>
      <c r="M95" s="33"/>
      <c r="N95" s="33"/>
      <c r="O95" s="33"/>
      <c r="P95" s="33"/>
      <c r="Q95" s="33"/>
    </row>
    <row r="96" spans="2:17" s="75" customFormat="1">
      <c r="B96" s="33"/>
      <c r="C96" s="33"/>
      <c r="G96" s="76"/>
      <c r="H96" s="77"/>
      <c r="I96" s="299"/>
      <c r="J96" s="77"/>
      <c r="K96" s="33"/>
      <c r="L96" s="33"/>
      <c r="M96" s="33"/>
      <c r="N96" s="33"/>
      <c r="O96" s="33"/>
      <c r="P96" s="33"/>
      <c r="Q96" s="33"/>
    </row>
    <row r="97" spans="2:17" s="75" customFormat="1">
      <c r="B97" s="33"/>
      <c r="C97" s="33"/>
      <c r="G97" s="76"/>
      <c r="H97" s="77"/>
      <c r="I97" s="299"/>
      <c r="J97" s="77"/>
      <c r="K97" s="33"/>
      <c r="L97" s="33"/>
      <c r="M97" s="33"/>
      <c r="N97" s="33"/>
      <c r="O97" s="33"/>
      <c r="P97" s="33"/>
      <c r="Q97" s="33"/>
    </row>
    <row r="98" spans="2:17" s="75" customFormat="1">
      <c r="B98" s="33"/>
      <c r="C98" s="33"/>
      <c r="G98" s="76"/>
      <c r="H98" s="77"/>
      <c r="I98" s="299"/>
      <c r="J98" s="77"/>
      <c r="K98" s="33"/>
      <c r="L98" s="33"/>
      <c r="M98" s="33"/>
      <c r="N98" s="33"/>
      <c r="O98" s="33"/>
      <c r="P98" s="33"/>
      <c r="Q98" s="33"/>
    </row>
    <row r="99" spans="2:17" s="75" customFormat="1">
      <c r="B99" s="33"/>
      <c r="C99" s="33"/>
      <c r="G99" s="76"/>
      <c r="H99" s="77"/>
      <c r="I99" s="299"/>
      <c r="J99" s="77"/>
      <c r="K99" s="33"/>
      <c r="L99" s="33"/>
      <c r="M99" s="33"/>
      <c r="N99" s="33"/>
      <c r="O99" s="33"/>
      <c r="P99" s="33"/>
      <c r="Q99" s="33"/>
    </row>
    <row r="100" spans="2:17" s="75" customFormat="1">
      <c r="B100" s="33"/>
      <c r="C100" s="33"/>
      <c r="G100" s="76"/>
      <c r="H100" s="77"/>
      <c r="I100" s="299"/>
      <c r="J100" s="77"/>
      <c r="K100" s="33"/>
      <c r="L100" s="33"/>
      <c r="M100" s="33"/>
      <c r="N100" s="33"/>
      <c r="O100" s="33"/>
      <c r="P100" s="33"/>
      <c r="Q100" s="33"/>
    </row>
    <row r="101" spans="2:17" s="75" customFormat="1">
      <c r="B101" s="33"/>
      <c r="C101" s="33"/>
      <c r="G101" s="76"/>
      <c r="H101" s="77"/>
      <c r="I101" s="299"/>
      <c r="J101" s="77"/>
      <c r="K101" s="33"/>
      <c r="L101" s="33"/>
      <c r="M101" s="33"/>
      <c r="N101" s="33"/>
      <c r="O101" s="33"/>
      <c r="P101" s="33"/>
      <c r="Q101" s="33"/>
    </row>
    <row r="102" spans="2:17" s="75" customFormat="1">
      <c r="B102" s="33"/>
      <c r="C102" s="33"/>
      <c r="G102" s="76"/>
      <c r="H102" s="77"/>
      <c r="I102" s="299"/>
      <c r="J102" s="77"/>
      <c r="K102" s="33"/>
      <c r="L102" s="33"/>
      <c r="M102" s="33"/>
      <c r="N102" s="33"/>
      <c r="O102" s="33"/>
      <c r="P102" s="33"/>
      <c r="Q102" s="33"/>
    </row>
    <row r="103" spans="2:17" s="75" customFormat="1">
      <c r="B103" s="33"/>
      <c r="C103" s="33"/>
      <c r="G103" s="76"/>
      <c r="H103" s="77"/>
      <c r="I103" s="299"/>
      <c r="J103" s="77"/>
      <c r="K103" s="33"/>
      <c r="L103" s="33"/>
      <c r="M103" s="33"/>
      <c r="N103" s="33"/>
      <c r="O103" s="33"/>
      <c r="P103" s="33"/>
      <c r="Q103" s="33"/>
    </row>
    <row r="104" spans="2:17" s="75" customFormat="1">
      <c r="B104" s="33"/>
      <c r="C104" s="33"/>
      <c r="G104" s="76"/>
      <c r="H104" s="77"/>
      <c r="I104" s="299"/>
      <c r="J104" s="77"/>
      <c r="K104" s="33"/>
      <c r="L104" s="33"/>
      <c r="M104" s="33"/>
      <c r="N104" s="33"/>
      <c r="O104" s="33"/>
      <c r="P104" s="33"/>
      <c r="Q104" s="33"/>
    </row>
    <row r="105" spans="2:17" s="75" customFormat="1">
      <c r="B105" s="33"/>
      <c r="C105" s="33"/>
      <c r="G105" s="76"/>
      <c r="H105" s="77"/>
      <c r="I105" s="299"/>
      <c r="J105" s="77"/>
      <c r="K105" s="33"/>
      <c r="L105" s="33"/>
      <c r="M105" s="33"/>
      <c r="N105" s="33"/>
      <c r="O105" s="33"/>
      <c r="P105" s="33"/>
      <c r="Q105" s="33"/>
    </row>
    <row r="106" spans="2:17" s="75" customFormat="1">
      <c r="B106" s="33"/>
      <c r="C106" s="33"/>
      <c r="G106" s="76"/>
      <c r="H106" s="77"/>
      <c r="I106" s="299"/>
      <c r="J106" s="77"/>
      <c r="K106" s="33"/>
      <c r="L106" s="33"/>
      <c r="M106" s="33"/>
      <c r="N106" s="33"/>
      <c r="O106" s="33"/>
      <c r="P106" s="33"/>
      <c r="Q106" s="33"/>
    </row>
    <row r="107" spans="2:17" s="75" customFormat="1">
      <c r="B107" s="33"/>
      <c r="C107" s="33"/>
      <c r="G107" s="76"/>
      <c r="H107" s="77"/>
      <c r="I107" s="299"/>
      <c r="J107" s="77"/>
      <c r="K107" s="33"/>
      <c r="L107" s="33"/>
      <c r="M107" s="33"/>
      <c r="N107" s="33"/>
      <c r="O107" s="33"/>
      <c r="P107" s="33"/>
      <c r="Q107" s="33"/>
    </row>
    <row r="108" spans="2:17" s="75" customFormat="1">
      <c r="B108" s="33"/>
      <c r="C108" s="33"/>
      <c r="G108" s="76"/>
      <c r="H108" s="77"/>
      <c r="I108" s="299"/>
      <c r="J108" s="77"/>
      <c r="K108" s="33"/>
      <c r="L108" s="33"/>
      <c r="M108" s="33"/>
      <c r="N108" s="33"/>
      <c r="O108" s="33"/>
      <c r="P108" s="33"/>
      <c r="Q108" s="33"/>
    </row>
    <row r="109" spans="2:17" s="75" customFormat="1">
      <c r="B109" s="33"/>
      <c r="C109" s="33"/>
      <c r="G109" s="76"/>
      <c r="H109" s="77"/>
      <c r="I109" s="299"/>
      <c r="J109" s="77"/>
      <c r="K109" s="33"/>
      <c r="L109" s="33"/>
      <c r="M109" s="33"/>
      <c r="N109" s="33"/>
      <c r="O109" s="33"/>
      <c r="P109" s="33"/>
      <c r="Q109" s="33"/>
    </row>
    <row r="110" spans="2:17" s="75" customFormat="1">
      <c r="B110" s="33"/>
      <c r="C110" s="33"/>
      <c r="G110" s="76"/>
      <c r="H110" s="77"/>
      <c r="I110" s="299"/>
      <c r="J110" s="77"/>
      <c r="K110" s="33"/>
      <c r="L110" s="33"/>
      <c r="M110" s="33"/>
      <c r="N110" s="33"/>
      <c r="O110" s="33"/>
      <c r="P110" s="33"/>
      <c r="Q110" s="33"/>
    </row>
    <row r="111" spans="2:17" s="75" customFormat="1">
      <c r="B111" s="33"/>
      <c r="C111" s="33"/>
      <c r="G111" s="76"/>
      <c r="H111" s="77"/>
      <c r="I111" s="299"/>
      <c r="J111" s="77"/>
      <c r="K111" s="33"/>
      <c r="L111" s="33"/>
      <c r="M111" s="33"/>
      <c r="N111" s="33"/>
      <c r="O111" s="33"/>
      <c r="P111" s="33"/>
      <c r="Q111" s="33"/>
    </row>
    <row r="112" spans="2:17" s="75" customFormat="1">
      <c r="B112" s="33"/>
      <c r="C112" s="33"/>
      <c r="G112" s="76"/>
      <c r="H112" s="77"/>
      <c r="I112" s="299"/>
      <c r="J112" s="77"/>
      <c r="K112" s="33"/>
      <c r="L112" s="33"/>
      <c r="M112" s="33"/>
      <c r="N112" s="33"/>
      <c r="O112" s="33"/>
      <c r="P112" s="33"/>
      <c r="Q112" s="33"/>
    </row>
    <row r="113" spans="2:17" s="75" customFormat="1">
      <c r="B113" s="33"/>
      <c r="C113" s="33"/>
      <c r="G113" s="76"/>
      <c r="H113" s="77"/>
      <c r="I113" s="299"/>
      <c r="J113" s="77"/>
      <c r="K113" s="33"/>
      <c r="L113" s="33"/>
      <c r="M113" s="33"/>
      <c r="N113" s="33"/>
      <c r="O113" s="33"/>
      <c r="P113" s="33"/>
      <c r="Q113" s="33"/>
    </row>
    <row r="114" spans="2:17" s="75" customFormat="1">
      <c r="B114" s="33"/>
      <c r="C114" s="33"/>
      <c r="G114" s="76"/>
      <c r="H114" s="77"/>
      <c r="I114" s="299"/>
      <c r="J114" s="77"/>
      <c r="K114" s="33"/>
      <c r="L114" s="33"/>
      <c r="M114" s="33"/>
      <c r="N114" s="33"/>
      <c r="O114" s="33"/>
      <c r="P114" s="33"/>
      <c r="Q114" s="33"/>
    </row>
    <row r="115" spans="2:17" s="75" customFormat="1">
      <c r="B115" s="33"/>
      <c r="C115" s="33"/>
      <c r="G115" s="76"/>
      <c r="H115" s="77"/>
      <c r="I115" s="299"/>
      <c r="J115" s="77"/>
      <c r="K115" s="33"/>
      <c r="L115" s="33"/>
      <c r="M115" s="33"/>
      <c r="N115" s="33"/>
      <c r="O115" s="33"/>
      <c r="P115" s="33"/>
      <c r="Q115" s="33"/>
    </row>
    <row r="116" spans="2:17" s="75" customFormat="1">
      <c r="B116" s="33"/>
      <c r="C116" s="33"/>
      <c r="G116" s="76"/>
      <c r="H116" s="77"/>
      <c r="I116" s="299"/>
      <c r="J116" s="77"/>
      <c r="K116" s="33"/>
      <c r="L116" s="33"/>
      <c r="M116" s="33"/>
      <c r="N116" s="33"/>
      <c r="O116" s="33"/>
      <c r="P116" s="33"/>
      <c r="Q116" s="33"/>
    </row>
    <row r="117" spans="2:17" s="75" customFormat="1">
      <c r="B117" s="33"/>
      <c r="C117" s="33"/>
      <c r="G117" s="76"/>
      <c r="H117" s="77"/>
      <c r="I117" s="299"/>
      <c r="J117" s="77"/>
      <c r="K117" s="33"/>
      <c r="L117" s="33"/>
      <c r="M117" s="33"/>
      <c r="N117" s="33"/>
      <c r="O117" s="33"/>
      <c r="P117" s="33"/>
      <c r="Q117" s="33"/>
    </row>
    <row r="118" spans="2:17" s="75" customFormat="1">
      <c r="B118" s="33"/>
      <c r="C118" s="33"/>
      <c r="G118" s="76"/>
      <c r="H118" s="77"/>
      <c r="I118" s="299"/>
      <c r="J118" s="77"/>
      <c r="K118" s="33"/>
      <c r="L118" s="33"/>
      <c r="M118" s="33"/>
      <c r="N118" s="33"/>
      <c r="O118" s="33"/>
      <c r="P118" s="33"/>
      <c r="Q118" s="33"/>
    </row>
    <row r="119" spans="2:17" s="75" customFormat="1">
      <c r="B119" s="33"/>
      <c r="C119" s="33"/>
      <c r="G119" s="76"/>
      <c r="H119" s="77"/>
      <c r="I119" s="299"/>
      <c r="J119" s="77"/>
      <c r="K119" s="33"/>
      <c r="L119" s="33"/>
      <c r="M119" s="33"/>
      <c r="N119" s="33"/>
      <c r="O119" s="33"/>
      <c r="P119" s="33"/>
      <c r="Q119" s="33"/>
    </row>
    <row r="120" spans="2:17" s="75" customFormat="1">
      <c r="B120" s="33"/>
      <c r="C120" s="33"/>
      <c r="G120" s="76"/>
      <c r="H120" s="77"/>
      <c r="I120" s="299"/>
      <c r="J120" s="77"/>
      <c r="K120" s="33"/>
      <c r="L120" s="33"/>
      <c r="M120" s="33"/>
      <c r="N120" s="33"/>
      <c r="O120" s="33"/>
      <c r="P120" s="33"/>
      <c r="Q120" s="33"/>
    </row>
    <row r="121" spans="2:17" s="75" customFormat="1">
      <c r="B121" s="33"/>
      <c r="C121" s="33"/>
      <c r="G121" s="76"/>
      <c r="H121" s="77"/>
      <c r="I121" s="299"/>
      <c r="J121" s="77"/>
      <c r="K121" s="33"/>
      <c r="L121" s="33"/>
      <c r="M121" s="33"/>
      <c r="N121" s="33"/>
      <c r="O121" s="33"/>
      <c r="P121" s="33"/>
      <c r="Q121" s="33"/>
    </row>
    <row r="122" spans="2:17" s="75" customFormat="1">
      <c r="B122" s="33"/>
      <c r="C122" s="33"/>
      <c r="G122" s="76"/>
      <c r="H122" s="77"/>
      <c r="I122" s="299"/>
      <c r="J122" s="77"/>
      <c r="K122" s="33"/>
      <c r="L122" s="33"/>
      <c r="M122" s="33"/>
      <c r="N122" s="33"/>
      <c r="O122" s="33"/>
      <c r="P122" s="33"/>
      <c r="Q122" s="33"/>
    </row>
    <row r="123" spans="2:17" s="75" customFormat="1">
      <c r="B123" s="33"/>
      <c r="C123" s="33"/>
      <c r="G123" s="76"/>
      <c r="H123" s="77"/>
      <c r="I123" s="299"/>
      <c r="J123" s="77"/>
      <c r="K123" s="33"/>
      <c r="L123" s="33"/>
      <c r="M123" s="33"/>
      <c r="N123" s="33"/>
      <c r="O123" s="33"/>
      <c r="P123" s="33"/>
      <c r="Q123" s="33"/>
    </row>
    <row r="124" spans="2:17" s="75" customFormat="1">
      <c r="B124" s="33"/>
      <c r="C124" s="33"/>
      <c r="G124" s="76"/>
      <c r="H124" s="77"/>
      <c r="I124" s="299"/>
      <c r="J124" s="77"/>
      <c r="K124" s="33"/>
      <c r="L124" s="33"/>
      <c r="M124" s="33"/>
      <c r="N124" s="33"/>
      <c r="O124" s="33"/>
      <c r="P124" s="33"/>
      <c r="Q124" s="33"/>
    </row>
    <row r="125" spans="2:17" s="75" customFormat="1">
      <c r="B125" s="33"/>
      <c r="C125" s="33"/>
      <c r="G125" s="76"/>
      <c r="H125" s="77"/>
      <c r="I125" s="299"/>
      <c r="J125" s="77"/>
      <c r="K125" s="33"/>
      <c r="L125" s="33"/>
      <c r="M125" s="33"/>
      <c r="N125" s="33"/>
      <c r="O125" s="33"/>
      <c r="P125" s="33"/>
      <c r="Q125" s="33"/>
    </row>
    <row r="126" spans="2:17" s="75" customFormat="1">
      <c r="B126" s="33"/>
      <c r="C126" s="33"/>
      <c r="G126" s="76"/>
      <c r="H126" s="77"/>
      <c r="I126" s="299"/>
      <c r="J126" s="77"/>
      <c r="K126" s="33"/>
      <c r="L126" s="33"/>
      <c r="M126" s="33"/>
      <c r="N126" s="33"/>
      <c r="O126" s="33"/>
      <c r="P126" s="33"/>
      <c r="Q126" s="33"/>
    </row>
    <row r="127" spans="2:17" s="75" customFormat="1">
      <c r="B127" s="33"/>
      <c r="C127" s="33"/>
      <c r="G127" s="76"/>
      <c r="H127" s="77"/>
      <c r="I127" s="299"/>
      <c r="J127" s="77"/>
      <c r="K127" s="33"/>
      <c r="L127" s="33"/>
      <c r="M127" s="33"/>
      <c r="N127" s="33"/>
      <c r="O127" s="33"/>
      <c r="P127" s="33"/>
      <c r="Q127" s="33"/>
    </row>
    <row r="128" spans="2:17" s="75" customFormat="1">
      <c r="B128" s="33"/>
      <c r="C128" s="33"/>
      <c r="G128" s="76"/>
      <c r="H128" s="77"/>
      <c r="I128" s="299"/>
      <c r="J128" s="77"/>
      <c r="K128" s="33"/>
      <c r="L128" s="33"/>
      <c r="M128" s="33"/>
      <c r="N128" s="33"/>
      <c r="O128" s="33"/>
      <c r="P128" s="33"/>
      <c r="Q128" s="33"/>
    </row>
    <row r="129" spans="2:17" s="75" customFormat="1">
      <c r="B129" s="33"/>
      <c r="C129" s="33"/>
      <c r="G129" s="76"/>
      <c r="H129" s="77"/>
      <c r="I129" s="299"/>
      <c r="J129" s="77"/>
      <c r="K129" s="33"/>
      <c r="L129" s="33"/>
      <c r="M129" s="33"/>
      <c r="N129" s="33"/>
      <c r="O129" s="33"/>
      <c r="P129" s="33"/>
      <c r="Q129" s="33"/>
    </row>
    <row r="130" spans="2:17" s="75" customFormat="1">
      <c r="B130" s="33"/>
      <c r="C130" s="33"/>
      <c r="G130" s="76"/>
      <c r="H130" s="77"/>
      <c r="I130" s="299"/>
      <c r="J130" s="77"/>
      <c r="K130" s="33"/>
      <c r="L130" s="33"/>
      <c r="M130" s="33"/>
      <c r="N130" s="33"/>
      <c r="O130" s="33"/>
      <c r="P130" s="33"/>
      <c r="Q130" s="33"/>
    </row>
    <row r="131" spans="2:17" s="75" customFormat="1">
      <c r="B131" s="33"/>
      <c r="C131" s="33"/>
      <c r="G131" s="76"/>
      <c r="H131" s="77"/>
      <c r="I131" s="299"/>
      <c r="J131" s="77"/>
      <c r="K131" s="33"/>
      <c r="L131" s="33"/>
      <c r="M131" s="33"/>
      <c r="N131" s="33"/>
      <c r="O131" s="33"/>
      <c r="P131" s="33"/>
      <c r="Q131" s="33"/>
    </row>
    <row r="132" spans="2:17" s="75" customFormat="1">
      <c r="B132" s="33"/>
      <c r="C132" s="33"/>
      <c r="G132" s="76"/>
      <c r="H132" s="77"/>
      <c r="I132" s="299"/>
      <c r="J132" s="77"/>
      <c r="K132" s="33"/>
      <c r="L132" s="33"/>
      <c r="M132" s="33"/>
      <c r="N132" s="33"/>
      <c r="O132" s="33"/>
      <c r="P132" s="33"/>
      <c r="Q132" s="33"/>
    </row>
    <row r="133" spans="2:17" s="75" customFormat="1">
      <c r="B133" s="33"/>
      <c r="C133" s="33"/>
      <c r="G133" s="76"/>
      <c r="H133" s="77"/>
      <c r="I133" s="299"/>
      <c r="J133" s="77"/>
      <c r="K133" s="33"/>
      <c r="L133" s="33"/>
      <c r="M133" s="33"/>
      <c r="N133" s="33"/>
      <c r="O133" s="33"/>
      <c r="P133" s="33"/>
      <c r="Q133" s="33"/>
    </row>
    <row r="134" spans="2:17" s="75" customFormat="1">
      <c r="B134" s="33"/>
      <c r="C134" s="33"/>
      <c r="G134" s="76"/>
      <c r="H134" s="77"/>
      <c r="I134" s="299"/>
      <c r="J134" s="77"/>
      <c r="K134" s="33"/>
      <c r="L134" s="33"/>
      <c r="M134" s="33"/>
      <c r="N134" s="33"/>
      <c r="O134" s="33"/>
      <c r="P134" s="33"/>
      <c r="Q134" s="33"/>
    </row>
    <row r="135" spans="2:17" s="75" customFormat="1">
      <c r="B135" s="33"/>
      <c r="C135" s="33"/>
      <c r="G135" s="76"/>
      <c r="H135" s="77"/>
      <c r="I135" s="299"/>
      <c r="J135" s="77"/>
      <c r="K135" s="33"/>
      <c r="L135" s="33"/>
      <c r="M135" s="33"/>
      <c r="N135" s="33"/>
      <c r="O135" s="33"/>
      <c r="P135" s="33"/>
      <c r="Q135" s="33"/>
    </row>
    <row r="136" spans="2:17" s="75" customFormat="1">
      <c r="B136" s="33"/>
      <c r="C136" s="33"/>
      <c r="G136" s="76"/>
      <c r="H136" s="77"/>
      <c r="I136" s="299"/>
      <c r="J136" s="77"/>
      <c r="K136" s="33"/>
      <c r="L136" s="33"/>
      <c r="M136" s="33"/>
      <c r="N136" s="33"/>
      <c r="O136" s="33"/>
      <c r="P136" s="33"/>
      <c r="Q136" s="33"/>
    </row>
    <row r="137" spans="2:17" s="75" customFormat="1">
      <c r="B137" s="33"/>
      <c r="C137" s="33"/>
      <c r="G137" s="76"/>
      <c r="H137" s="77"/>
      <c r="I137" s="299"/>
      <c r="J137" s="77"/>
      <c r="K137" s="33"/>
      <c r="L137" s="33"/>
      <c r="M137" s="33"/>
      <c r="N137" s="33"/>
      <c r="O137" s="33"/>
      <c r="P137" s="33"/>
      <c r="Q137" s="33"/>
    </row>
    <row r="138" spans="2:17" s="75" customFormat="1">
      <c r="B138" s="33"/>
      <c r="C138" s="33"/>
      <c r="G138" s="76"/>
      <c r="H138" s="77"/>
      <c r="I138" s="299"/>
      <c r="J138" s="77"/>
      <c r="K138" s="33"/>
      <c r="L138" s="33"/>
      <c r="M138" s="33"/>
      <c r="N138" s="33"/>
      <c r="O138" s="33"/>
      <c r="P138" s="33"/>
      <c r="Q138" s="33"/>
    </row>
    <row r="139" spans="2:17" s="75" customFormat="1">
      <c r="B139" s="33"/>
      <c r="C139" s="33"/>
      <c r="G139" s="76"/>
      <c r="H139" s="77"/>
      <c r="I139" s="299"/>
      <c r="J139" s="77"/>
      <c r="K139" s="33"/>
      <c r="L139" s="33"/>
      <c r="M139" s="33"/>
      <c r="N139" s="33"/>
      <c r="O139" s="33"/>
      <c r="P139" s="33"/>
      <c r="Q139" s="33"/>
    </row>
    <row r="140" spans="2:17" s="75" customFormat="1">
      <c r="B140" s="33"/>
      <c r="C140" s="33"/>
      <c r="G140" s="76"/>
      <c r="H140" s="77"/>
      <c r="I140" s="299"/>
      <c r="J140" s="77"/>
      <c r="K140" s="33"/>
      <c r="L140" s="33"/>
      <c r="M140" s="33"/>
      <c r="N140" s="33"/>
      <c r="O140" s="33"/>
      <c r="P140" s="33"/>
      <c r="Q140" s="33"/>
    </row>
    <row r="141" spans="2:17" s="75" customFormat="1">
      <c r="B141" s="33"/>
      <c r="C141" s="33"/>
      <c r="G141" s="76"/>
      <c r="H141" s="77"/>
      <c r="I141" s="299"/>
      <c r="J141" s="77"/>
      <c r="K141" s="33"/>
      <c r="L141" s="33"/>
      <c r="M141" s="33"/>
      <c r="N141" s="33"/>
      <c r="O141" s="33"/>
      <c r="P141" s="33"/>
      <c r="Q141" s="33"/>
    </row>
    <row r="142" spans="2:17" s="75" customFormat="1">
      <c r="B142" s="33"/>
      <c r="C142" s="33"/>
      <c r="G142" s="76"/>
      <c r="H142" s="77"/>
      <c r="I142" s="299"/>
      <c r="J142" s="77"/>
      <c r="K142" s="33"/>
      <c r="L142" s="33"/>
      <c r="M142" s="33"/>
      <c r="N142" s="33"/>
      <c r="O142" s="33"/>
      <c r="P142" s="33"/>
      <c r="Q142" s="33"/>
    </row>
    <row r="143" spans="2:17" s="75" customFormat="1">
      <c r="B143" s="33"/>
      <c r="C143" s="33"/>
      <c r="G143" s="76"/>
      <c r="H143" s="77"/>
      <c r="I143" s="299"/>
      <c r="J143" s="77"/>
      <c r="K143" s="33"/>
      <c r="L143" s="33"/>
      <c r="M143" s="33"/>
      <c r="N143" s="33"/>
      <c r="O143" s="33"/>
      <c r="P143" s="33"/>
      <c r="Q143" s="33"/>
    </row>
    <row r="144" spans="2:17" s="75" customFormat="1">
      <c r="B144" s="33"/>
      <c r="C144" s="33"/>
      <c r="G144" s="76"/>
      <c r="H144" s="77"/>
      <c r="I144" s="299"/>
      <c r="J144" s="77"/>
      <c r="K144" s="33"/>
      <c r="L144" s="33"/>
      <c r="M144" s="33"/>
      <c r="N144" s="33"/>
      <c r="O144" s="33"/>
      <c r="P144" s="33"/>
      <c r="Q144" s="33"/>
    </row>
    <row r="145" spans="2:17" s="75" customFormat="1">
      <c r="B145" s="33"/>
      <c r="C145" s="33"/>
      <c r="G145" s="76"/>
      <c r="H145" s="77"/>
      <c r="I145" s="299"/>
      <c r="J145" s="77"/>
      <c r="K145" s="33"/>
      <c r="L145" s="33"/>
      <c r="M145" s="33"/>
      <c r="N145" s="33"/>
      <c r="O145" s="33"/>
      <c r="P145" s="33"/>
      <c r="Q145" s="33"/>
    </row>
    <row r="146" spans="2:17" s="75" customFormat="1">
      <c r="B146" s="33"/>
      <c r="C146" s="33"/>
      <c r="G146" s="76"/>
      <c r="H146" s="77"/>
      <c r="I146" s="299"/>
      <c r="J146" s="77"/>
      <c r="K146" s="33"/>
      <c r="L146" s="33"/>
      <c r="M146" s="33"/>
      <c r="N146" s="33"/>
      <c r="O146" s="33"/>
      <c r="P146" s="33"/>
      <c r="Q146" s="33"/>
    </row>
    <row r="147" spans="2:17" s="75" customFormat="1">
      <c r="B147" s="33"/>
      <c r="C147" s="33"/>
      <c r="G147" s="76"/>
      <c r="H147" s="77"/>
      <c r="I147" s="299"/>
      <c r="J147" s="77"/>
      <c r="K147" s="33"/>
      <c r="L147" s="33"/>
      <c r="M147" s="33"/>
      <c r="N147" s="33"/>
      <c r="O147" s="33"/>
      <c r="P147" s="33"/>
      <c r="Q147" s="33"/>
    </row>
    <row r="148" spans="2:17" s="75" customFormat="1">
      <c r="B148" s="33"/>
      <c r="C148" s="33"/>
      <c r="G148" s="76"/>
      <c r="H148" s="77"/>
      <c r="I148" s="299"/>
      <c r="J148" s="77"/>
      <c r="K148" s="33"/>
      <c r="L148" s="33"/>
      <c r="M148" s="33"/>
      <c r="N148" s="33"/>
      <c r="O148" s="33"/>
      <c r="P148" s="33"/>
      <c r="Q148" s="33"/>
    </row>
    <row r="149" spans="2:17" s="75" customFormat="1">
      <c r="B149" s="33"/>
      <c r="C149" s="33"/>
      <c r="G149" s="76"/>
      <c r="H149" s="77"/>
      <c r="I149" s="299"/>
      <c r="J149" s="77"/>
      <c r="K149" s="33"/>
      <c r="L149" s="33"/>
      <c r="M149" s="33"/>
      <c r="N149" s="33"/>
      <c r="O149" s="33"/>
      <c r="P149" s="33"/>
      <c r="Q149" s="33"/>
    </row>
    <row r="150" spans="2:17" s="75" customFormat="1">
      <c r="B150" s="33"/>
      <c r="C150" s="33"/>
      <c r="G150" s="76"/>
      <c r="H150" s="77"/>
      <c r="I150" s="299"/>
      <c r="J150" s="77"/>
      <c r="K150" s="33"/>
      <c r="L150" s="33"/>
      <c r="M150" s="33"/>
      <c r="N150" s="33"/>
      <c r="O150" s="33"/>
      <c r="P150" s="33"/>
      <c r="Q150" s="33"/>
    </row>
    <row r="151" spans="2:17" s="75" customFormat="1">
      <c r="B151" s="33"/>
      <c r="C151" s="33"/>
      <c r="G151" s="76"/>
      <c r="H151" s="77"/>
      <c r="I151" s="299"/>
      <c r="J151" s="77"/>
      <c r="K151" s="33"/>
      <c r="L151" s="33"/>
      <c r="M151" s="33"/>
      <c r="N151" s="33"/>
      <c r="O151" s="33"/>
      <c r="P151" s="33"/>
      <c r="Q151" s="33"/>
    </row>
    <row r="152" spans="2:17" s="75" customFormat="1">
      <c r="B152" s="33"/>
      <c r="C152" s="33"/>
      <c r="G152" s="76"/>
      <c r="H152" s="77"/>
      <c r="I152" s="299"/>
      <c r="J152" s="77"/>
      <c r="K152" s="33"/>
      <c r="L152" s="33"/>
      <c r="M152" s="33"/>
      <c r="N152" s="33"/>
      <c r="O152" s="33"/>
      <c r="P152" s="33"/>
      <c r="Q152" s="33"/>
    </row>
    <row r="153" spans="2:17" s="75" customFormat="1">
      <c r="B153" s="33"/>
      <c r="C153" s="33"/>
      <c r="G153" s="76"/>
      <c r="H153" s="77"/>
      <c r="I153" s="299"/>
      <c r="J153" s="77"/>
      <c r="K153" s="33"/>
      <c r="L153" s="33"/>
      <c r="M153" s="33"/>
      <c r="N153" s="33"/>
      <c r="O153" s="33"/>
      <c r="P153" s="33"/>
      <c r="Q153" s="33"/>
    </row>
    <row r="154" spans="2:17" s="75" customFormat="1">
      <c r="B154" s="33"/>
      <c r="C154" s="33"/>
      <c r="G154" s="76"/>
      <c r="H154" s="77"/>
      <c r="I154" s="299"/>
      <c r="J154" s="77"/>
      <c r="K154" s="33"/>
      <c r="L154" s="33"/>
      <c r="M154" s="33"/>
      <c r="N154" s="33"/>
      <c r="O154" s="33"/>
      <c r="P154" s="33"/>
      <c r="Q154" s="33"/>
    </row>
    <row r="155" spans="2:17" s="75" customFormat="1">
      <c r="B155" s="33"/>
      <c r="C155" s="33"/>
      <c r="G155" s="76"/>
      <c r="H155" s="77"/>
      <c r="I155" s="299"/>
      <c r="J155" s="77"/>
      <c r="K155" s="33"/>
      <c r="L155" s="33"/>
      <c r="M155" s="33"/>
      <c r="N155" s="33"/>
      <c r="O155" s="33"/>
      <c r="P155" s="33"/>
      <c r="Q155" s="33"/>
    </row>
    <row r="156" spans="2:17" s="75" customFormat="1">
      <c r="B156" s="33"/>
      <c r="C156" s="33"/>
      <c r="G156" s="76"/>
      <c r="H156" s="77"/>
      <c r="I156" s="299"/>
      <c r="J156" s="77"/>
      <c r="K156" s="33"/>
      <c r="L156" s="33"/>
      <c r="M156" s="33"/>
      <c r="N156" s="33"/>
      <c r="O156" s="33"/>
      <c r="P156" s="33"/>
      <c r="Q156" s="33"/>
    </row>
    <row r="157" spans="2:17" s="75" customFormat="1">
      <c r="B157" s="33"/>
      <c r="C157" s="33"/>
      <c r="G157" s="76"/>
      <c r="H157" s="77"/>
      <c r="I157" s="299"/>
      <c r="J157" s="77"/>
      <c r="K157" s="33"/>
      <c r="L157" s="33"/>
      <c r="M157" s="33"/>
      <c r="N157" s="33"/>
      <c r="O157" s="33"/>
      <c r="P157" s="33"/>
      <c r="Q157" s="33"/>
    </row>
    <row r="158" spans="2:17" s="75" customFormat="1">
      <c r="B158" s="33"/>
      <c r="C158" s="33"/>
      <c r="G158" s="76"/>
      <c r="H158" s="77"/>
      <c r="I158" s="299"/>
      <c r="J158" s="77"/>
      <c r="K158" s="33"/>
      <c r="L158" s="33"/>
      <c r="M158" s="33"/>
      <c r="N158" s="33"/>
      <c r="O158" s="33"/>
      <c r="P158" s="33"/>
      <c r="Q158" s="33"/>
    </row>
    <row r="159" spans="2:17" s="75" customFormat="1">
      <c r="B159" s="33"/>
      <c r="C159" s="33"/>
      <c r="G159" s="76"/>
      <c r="H159" s="77"/>
      <c r="I159" s="299"/>
      <c r="J159" s="77"/>
      <c r="K159" s="33"/>
      <c r="L159" s="33"/>
      <c r="M159" s="33"/>
      <c r="N159" s="33"/>
      <c r="O159" s="33"/>
      <c r="P159" s="33"/>
      <c r="Q159" s="33"/>
    </row>
    <row r="160" spans="2:17" s="75" customFormat="1">
      <c r="B160" s="33"/>
      <c r="C160" s="33"/>
      <c r="G160" s="76"/>
      <c r="H160" s="77"/>
      <c r="I160" s="299"/>
      <c r="J160" s="77"/>
      <c r="K160" s="33"/>
      <c r="L160" s="33"/>
      <c r="M160" s="33"/>
      <c r="N160" s="33"/>
      <c r="O160" s="33"/>
      <c r="P160" s="33"/>
      <c r="Q160" s="33"/>
    </row>
    <row r="161" spans="2:17" s="75" customFormat="1">
      <c r="B161" s="33"/>
      <c r="C161" s="33"/>
      <c r="G161" s="76"/>
      <c r="H161" s="77"/>
      <c r="I161" s="299"/>
      <c r="J161" s="77"/>
      <c r="K161" s="33"/>
      <c r="L161" s="33"/>
      <c r="M161" s="33"/>
      <c r="N161" s="33"/>
      <c r="O161" s="33"/>
      <c r="P161" s="33"/>
      <c r="Q161" s="33"/>
    </row>
    <row r="162" spans="2:17" s="75" customFormat="1">
      <c r="B162" s="33"/>
      <c r="C162" s="33"/>
      <c r="G162" s="76"/>
      <c r="H162" s="77"/>
      <c r="I162" s="299"/>
      <c r="J162" s="77"/>
      <c r="K162" s="33"/>
      <c r="L162" s="33"/>
      <c r="M162" s="33"/>
      <c r="N162" s="33"/>
      <c r="O162" s="33"/>
      <c r="P162" s="33"/>
      <c r="Q162" s="33"/>
    </row>
    <row r="163" spans="2:17" s="75" customFormat="1">
      <c r="B163" s="33"/>
      <c r="C163" s="33"/>
      <c r="G163" s="76"/>
      <c r="H163" s="77"/>
      <c r="I163" s="299"/>
      <c r="J163" s="77"/>
      <c r="K163" s="33"/>
      <c r="L163" s="33"/>
      <c r="M163" s="33"/>
      <c r="N163" s="33"/>
      <c r="O163" s="33"/>
      <c r="P163" s="33"/>
      <c r="Q163" s="33"/>
    </row>
    <row r="164" spans="2:17" s="75" customFormat="1">
      <c r="B164" s="33"/>
      <c r="C164" s="33"/>
      <c r="G164" s="76"/>
      <c r="H164" s="77"/>
      <c r="I164" s="299"/>
      <c r="J164" s="77"/>
      <c r="K164" s="33"/>
      <c r="L164" s="33"/>
      <c r="M164" s="33"/>
      <c r="N164" s="33"/>
      <c r="O164" s="33"/>
      <c r="P164" s="33"/>
      <c r="Q164" s="33"/>
    </row>
    <row r="165" spans="2:17" s="75" customFormat="1">
      <c r="B165" s="33"/>
      <c r="C165" s="33"/>
      <c r="G165" s="76"/>
      <c r="H165" s="77"/>
      <c r="I165" s="299"/>
      <c r="J165" s="77"/>
      <c r="K165" s="33"/>
      <c r="L165" s="33"/>
      <c r="M165" s="33"/>
      <c r="N165" s="33"/>
      <c r="O165" s="33"/>
      <c r="P165" s="33"/>
      <c r="Q165" s="33"/>
    </row>
    <row r="166" spans="2:17" s="75" customFormat="1">
      <c r="B166" s="33"/>
      <c r="C166" s="33"/>
      <c r="G166" s="76"/>
      <c r="H166" s="77"/>
      <c r="I166" s="299"/>
      <c r="J166" s="77"/>
      <c r="K166" s="33"/>
      <c r="L166" s="33"/>
      <c r="M166" s="33"/>
      <c r="N166" s="33"/>
      <c r="O166" s="33"/>
      <c r="P166" s="33"/>
      <c r="Q166" s="33"/>
    </row>
    <row r="167" spans="2:17" s="75" customFormat="1">
      <c r="B167" s="33"/>
      <c r="C167" s="33"/>
      <c r="G167" s="76"/>
      <c r="H167" s="77"/>
      <c r="I167" s="299"/>
      <c r="J167" s="77"/>
      <c r="K167" s="33"/>
      <c r="L167" s="33"/>
      <c r="M167" s="33"/>
      <c r="N167" s="33"/>
      <c r="O167" s="33"/>
      <c r="P167" s="33"/>
      <c r="Q167" s="33"/>
    </row>
    <row r="168" spans="2:17" s="75" customFormat="1">
      <c r="B168" s="33"/>
      <c r="C168" s="33"/>
      <c r="G168" s="76"/>
      <c r="H168" s="77"/>
      <c r="I168" s="299"/>
      <c r="J168" s="77"/>
      <c r="K168" s="33"/>
      <c r="L168" s="33"/>
      <c r="M168" s="33"/>
      <c r="N168" s="33"/>
      <c r="O168" s="33"/>
      <c r="P168" s="33"/>
      <c r="Q168" s="33"/>
    </row>
    <row r="169" spans="2:17" s="75" customFormat="1">
      <c r="B169" s="33"/>
      <c r="C169" s="33"/>
      <c r="G169" s="76"/>
      <c r="H169" s="77"/>
      <c r="I169" s="299"/>
      <c r="J169" s="77"/>
      <c r="K169" s="33"/>
      <c r="L169" s="33"/>
      <c r="M169" s="33"/>
      <c r="N169" s="33"/>
      <c r="O169" s="33"/>
      <c r="P169" s="33"/>
      <c r="Q169" s="33"/>
    </row>
    <row r="170" spans="2:17" s="75" customFormat="1">
      <c r="B170" s="33"/>
      <c r="C170" s="33"/>
      <c r="G170" s="76"/>
      <c r="H170" s="77"/>
      <c r="I170" s="299"/>
      <c r="J170" s="77"/>
      <c r="K170" s="33"/>
      <c r="L170" s="33"/>
      <c r="M170" s="33"/>
      <c r="N170" s="33"/>
      <c r="O170" s="33"/>
      <c r="P170" s="33"/>
      <c r="Q170" s="33"/>
    </row>
    <row r="171" spans="2:17" s="75" customFormat="1">
      <c r="B171" s="33"/>
      <c r="C171" s="33"/>
      <c r="G171" s="76"/>
      <c r="H171" s="77"/>
      <c r="I171" s="299"/>
      <c r="J171" s="77"/>
      <c r="K171" s="33"/>
      <c r="L171" s="33"/>
      <c r="M171" s="33"/>
      <c r="N171" s="33"/>
      <c r="O171" s="33"/>
      <c r="P171" s="33"/>
      <c r="Q171" s="33"/>
    </row>
    <row r="172" spans="2:17" s="75" customFormat="1">
      <c r="B172" s="33"/>
      <c r="C172" s="33"/>
      <c r="G172" s="76"/>
      <c r="H172" s="77"/>
      <c r="I172" s="299"/>
      <c r="J172" s="77"/>
      <c r="K172" s="33"/>
      <c r="L172" s="33"/>
      <c r="M172" s="33"/>
      <c r="N172" s="33"/>
      <c r="O172" s="33"/>
      <c r="P172" s="33"/>
      <c r="Q172" s="33"/>
    </row>
    <row r="173" spans="2:17" s="75" customFormat="1">
      <c r="B173" s="33"/>
      <c r="C173" s="33"/>
      <c r="G173" s="76"/>
      <c r="H173" s="77"/>
      <c r="I173" s="299"/>
      <c r="J173" s="77"/>
      <c r="K173" s="33"/>
      <c r="L173" s="33"/>
      <c r="M173" s="33"/>
      <c r="N173" s="33"/>
      <c r="O173" s="33"/>
      <c r="P173" s="33"/>
      <c r="Q173" s="33"/>
    </row>
    <row r="174" spans="2:17" s="75" customFormat="1">
      <c r="B174" s="33"/>
      <c r="C174" s="33"/>
      <c r="G174" s="76"/>
      <c r="H174" s="77"/>
      <c r="I174" s="299"/>
      <c r="J174" s="77"/>
      <c r="K174" s="33"/>
      <c r="L174" s="33"/>
      <c r="M174" s="33"/>
      <c r="N174" s="33"/>
      <c r="O174" s="33"/>
      <c r="P174" s="33"/>
      <c r="Q174" s="33"/>
    </row>
    <row r="175" spans="2:17" s="75" customFormat="1">
      <c r="B175" s="33"/>
      <c r="C175" s="33"/>
      <c r="G175" s="76"/>
      <c r="H175" s="77"/>
      <c r="I175" s="299"/>
      <c r="J175" s="77"/>
      <c r="K175" s="33"/>
      <c r="L175" s="33"/>
      <c r="M175" s="33"/>
      <c r="N175" s="33"/>
      <c r="O175" s="33"/>
      <c r="P175" s="33"/>
      <c r="Q175" s="33"/>
    </row>
    <row r="176" spans="2:17" s="75" customFormat="1">
      <c r="B176" s="33"/>
      <c r="C176" s="33"/>
      <c r="G176" s="76"/>
      <c r="H176" s="77"/>
      <c r="I176" s="299"/>
      <c r="J176" s="77"/>
      <c r="K176" s="33"/>
      <c r="L176" s="33"/>
      <c r="M176" s="33"/>
      <c r="N176" s="33"/>
      <c r="O176" s="33"/>
      <c r="P176" s="33"/>
      <c r="Q176" s="33"/>
    </row>
    <row r="177" spans="2:17" s="75" customFormat="1">
      <c r="B177" s="33"/>
      <c r="C177" s="33"/>
      <c r="G177" s="76"/>
      <c r="H177" s="77"/>
      <c r="I177" s="299"/>
      <c r="J177" s="77"/>
      <c r="K177" s="33"/>
      <c r="L177" s="33"/>
      <c r="M177" s="33"/>
      <c r="N177" s="33"/>
      <c r="O177" s="33"/>
      <c r="P177" s="33"/>
      <c r="Q177" s="33"/>
    </row>
    <row r="178" spans="2:17" s="75" customFormat="1">
      <c r="B178" s="33"/>
      <c r="C178" s="33"/>
      <c r="G178" s="76"/>
      <c r="H178" s="77"/>
      <c r="I178" s="299"/>
      <c r="J178" s="77"/>
      <c r="K178" s="33"/>
      <c r="L178" s="33"/>
      <c r="M178" s="33"/>
      <c r="N178" s="33"/>
      <c r="O178" s="33"/>
      <c r="P178" s="33"/>
      <c r="Q178" s="33"/>
    </row>
    <row r="179" spans="2:17" s="75" customFormat="1">
      <c r="B179" s="33"/>
      <c r="C179" s="33"/>
      <c r="G179" s="76"/>
      <c r="H179" s="77"/>
      <c r="I179" s="299"/>
      <c r="J179" s="77"/>
      <c r="K179" s="33"/>
      <c r="L179" s="33"/>
      <c r="M179" s="33"/>
      <c r="N179" s="33"/>
      <c r="O179" s="33"/>
      <c r="P179" s="33"/>
      <c r="Q179" s="33"/>
    </row>
    <row r="180" spans="2:17" s="75" customFormat="1">
      <c r="B180" s="33"/>
      <c r="C180" s="33"/>
      <c r="G180" s="76"/>
      <c r="H180" s="77"/>
      <c r="I180" s="299"/>
      <c r="J180" s="77"/>
      <c r="K180" s="33"/>
      <c r="L180" s="33"/>
      <c r="M180" s="33"/>
      <c r="N180" s="33"/>
      <c r="O180" s="33"/>
      <c r="P180" s="33"/>
      <c r="Q180" s="33"/>
    </row>
    <row r="181" spans="2:17" s="75" customFormat="1">
      <c r="B181" s="33"/>
      <c r="C181" s="33"/>
      <c r="G181" s="76"/>
      <c r="H181" s="77"/>
      <c r="I181" s="299"/>
      <c r="J181" s="77"/>
      <c r="K181" s="33"/>
      <c r="L181" s="33"/>
      <c r="M181" s="33"/>
      <c r="N181" s="33"/>
      <c r="O181" s="33"/>
      <c r="P181" s="33"/>
      <c r="Q181" s="33"/>
    </row>
    <row r="182" spans="2:17" s="75" customFormat="1">
      <c r="B182" s="33"/>
      <c r="C182" s="33"/>
      <c r="G182" s="76"/>
      <c r="H182" s="77"/>
      <c r="I182" s="299"/>
      <c r="J182" s="77"/>
      <c r="K182" s="33"/>
      <c r="L182" s="33"/>
      <c r="M182" s="33"/>
      <c r="N182" s="33"/>
      <c r="O182" s="33"/>
      <c r="P182" s="33"/>
      <c r="Q182" s="33"/>
    </row>
    <row r="183" spans="2:17" s="75" customFormat="1">
      <c r="B183" s="33"/>
      <c r="C183" s="33"/>
      <c r="G183" s="76"/>
      <c r="H183" s="77"/>
      <c r="I183" s="299"/>
      <c r="J183" s="77"/>
      <c r="K183" s="33"/>
      <c r="L183" s="33"/>
      <c r="M183" s="33"/>
      <c r="N183" s="33"/>
      <c r="O183" s="33"/>
      <c r="P183" s="33"/>
      <c r="Q183" s="33"/>
    </row>
    <row r="184" spans="2:17" s="75" customFormat="1">
      <c r="B184" s="33"/>
      <c r="C184" s="33"/>
      <c r="G184" s="76"/>
      <c r="H184" s="77"/>
      <c r="I184" s="299"/>
      <c r="J184" s="77"/>
      <c r="K184" s="33"/>
      <c r="L184" s="33"/>
      <c r="M184" s="33"/>
      <c r="N184" s="33"/>
      <c r="O184" s="33"/>
      <c r="P184" s="33"/>
      <c r="Q184" s="33"/>
    </row>
    <row r="185" spans="2:17" s="75" customFormat="1">
      <c r="B185" s="33"/>
      <c r="C185" s="33"/>
      <c r="G185" s="76"/>
      <c r="H185" s="77"/>
      <c r="I185" s="299"/>
      <c r="J185" s="77"/>
      <c r="K185" s="33"/>
      <c r="L185" s="33"/>
      <c r="M185" s="33"/>
      <c r="N185" s="33"/>
      <c r="O185" s="33"/>
      <c r="P185" s="33"/>
      <c r="Q185" s="33"/>
    </row>
    <row r="186" spans="2:17" s="75" customFormat="1">
      <c r="B186" s="33"/>
      <c r="C186" s="33"/>
      <c r="G186" s="76"/>
      <c r="H186" s="77"/>
      <c r="I186" s="299"/>
      <c r="J186" s="77"/>
      <c r="K186" s="33"/>
      <c r="L186" s="33"/>
      <c r="M186" s="33"/>
      <c r="N186" s="33"/>
      <c r="O186" s="33"/>
      <c r="P186" s="33"/>
      <c r="Q186" s="33"/>
    </row>
    <row r="187" spans="2:17" s="75" customFormat="1">
      <c r="B187" s="33"/>
      <c r="C187" s="33"/>
      <c r="G187" s="76"/>
      <c r="H187" s="77"/>
      <c r="I187" s="299"/>
      <c r="J187" s="77"/>
      <c r="K187" s="33"/>
      <c r="L187" s="33"/>
      <c r="M187" s="33"/>
      <c r="N187" s="33"/>
      <c r="O187" s="33"/>
      <c r="P187" s="33"/>
      <c r="Q187" s="33"/>
    </row>
    <row r="188" spans="2:17" s="75" customFormat="1">
      <c r="B188" s="33"/>
      <c r="C188" s="33"/>
      <c r="G188" s="76"/>
      <c r="H188" s="77"/>
      <c r="I188" s="299"/>
      <c r="J188" s="77"/>
      <c r="K188" s="33"/>
      <c r="L188" s="33"/>
      <c r="M188" s="33"/>
      <c r="N188" s="33"/>
      <c r="O188" s="33"/>
      <c r="P188" s="33"/>
      <c r="Q188" s="33"/>
    </row>
    <row r="189" spans="2:17" s="75" customFormat="1">
      <c r="B189" s="33"/>
      <c r="C189" s="33"/>
      <c r="G189" s="76"/>
      <c r="H189" s="77"/>
      <c r="I189" s="299"/>
      <c r="J189" s="77"/>
      <c r="K189" s="33"/>
      <c r="L189" s="33"/>
      <c r="M189" s="33"/>
      <c r="N189" s="33"/>
      <c r="O189" s="33"/>
      <c r="P189" s="33"/>
      <c r="Q189" s="33"/>
    </row>
    <row r="190" spans="2:17" s="75" customFormat="1">
      <c r="B190" s="33"/>
      <c r="C190" s="33"/>
      <c r="G190" s="76"/>
      <c r="H190" s="77"/>
      <c r="I190" s="299"/>
      <c r="J190" s="77"/>
      <c r="K190" s="33"/>
      <c r="L190" s="33"/>
      <c r="M190" s="33"/>
      <c r="N190" s="33"/>
      <c r="O190" s="33"/>
      <c r="P190" s="33"/>
      <c r="Q190" s="33"/>
    </row>
    <row r="191" spans="2:17" s="75" customFormat="1">
      <c r="B191" s="33"/>
      <c r="C191" s="33"/>
      <c r="G191" s="76"/>
      <c r="H191" s="77"/>
      <c r="I191" s="299"/>
      <c r="J191" s="77"/>
      <c r="K191" s="33"/>
      <c r="L191" s="33"/>
      <c r="M191" s="33"/>
      <c r="N191" s="33"/>
      <c r="O191" s="33"/>
      <c r="P191" s="33"/>
      <c r="Q191" s="33"/>
    </row>
    <row r="192" spans="2:17" s="75" customFormat="1">
      <c r="B192" s="33"/>
      <c r="C192" s="33"/>
      <c r="G192" s="76"/>
      <c r="H192" s="77"/>
      <c r="I192" s="299"/>
      <c r="J192" s="77"/>
      <c r="K192" s="33"/>
      <c r="L192" s="33"/>
      <c r="M192" s="33"/>
      <c r="N192" s="33"/>
      <c r="O192" s="33"/>
      <c r="P192" s="33"/>
      <c r="Q192" s="33"/>
    </row>
    <row r="193" spans="2:17" s="75" customFormat="1">
      <c r="B193" s="33"/>
      <c r="C193" s="33"/>
      <c r="G193" s="76"/>
      <c r="H193" s="77"/>
      <c r="I193" s="299"/>
      <c r="J193" s="77"/>
      <c r="K193" s="33"/>
      <c r="L193" s="33"/>
      <c r="M193" s="33"/>
      <c r="N193" s="33"/>
      <c r="O193" s="33"/>
      <c r="P193" s="33"/>
      <c r="Q193" s="33"/>
    </row>
    <row r="194" spans="2:17" s="75" customFormat="1">
      <c r="B194" s="33"/>
      <c r="C194" s="33"/>
      <c r="G194" s="76"/>
      <c r="H194" s="77"/>
      <c r="I194" s="299"/>
      <c r="J194" s="77"/>
      <c r="K194" s="33"/>
      <c r="L194" s="33"/>
      <c r="M194" s="33"/>
      <c r="N194" s="33"/>
      <c r="O194" s="33"/>
      <c r="P194" s="33"/>
      <c r="Q194" s="33"/>
    </row>
    <row r="195" spans="2:17" s="75" customFormat="1">
      <c r="B195" s="33"/>
      <c r="C195" s="33"/>
      <c r="G195" s="76"/>
      <c r="H195" s="77"/>
      <c r="I195" s="299"/>
      <c r="J195" s="77"/>
      <c r="K195" s="33"/>
      <c r="L195" s="33"/>
      <c r="M195" s="33"/>
      <c r="N195" s="33"/>
      <c r="O195" s="33"/>
      <c r="P195" s="33"/>
      <c r="Q195" s="33"/>
    </row>
    <row r="196" spans="2:17" s="75" customFormat="1">
      <c r="B196" s="33"/>
      <c r="C196" s="33"/>
      <c r="G196" s="76"/>
      <c r="H196" s="77"/>
      <c r="I196" s="299"/>
      <c r="J196" s="77"/>
      <c r="K196" s="33"/>
      <c r="L196" s="33"/>
      <c r="M196" s="33"/>
      <c r="N196" s="33"/>
      <c r="O196" s="33"/>
      <c r="P196" s="33"/>
      <c r="Q196" s="33"/>
    </row>
    <row r="197" spans="2:17" s="75" customFormat="1">
      <c r="B197" s="33"/>
      <c r="C197" s="33"/>
      <c r="G197" s="76"/>
      <c r="H197" s="77"/>
      <c r="I197" s="299"/>
      <c r="J197" s="77"/>
      <c r="K197" s="33"/>
      <c r="L197" s="33"/>
      <c r="M197" s="33"/>
      <c r="N197" s="33"/>
      <c r="O197" s="33"/>
      <c r="P197" s="33"/>
      <c r="Q197" s="33"/>
    </row>
    <row r="198" spans="2:17" s="75" customFormat="1">
      <c r="B198" s="33"/>
      <c r="C198" s="33"/>
      <c r="G198" s="76"/>
      <c r="H198" s="77"/>
      <c r="I198" s="299"/>
      <c r="J198" s="77"/>
      <c r="K198" s="33"/>
      <c r="L198" s="33"/>
      <c r="M198" s="33"/>
      <c r="N198" s="33"/>
      <c r="O198" s="33"/>
      <c r="P198" s="33"/>
      <c r="Q198" s="33"/>
    </row>
    <row r="199" spans="2:17" s="75" customFormat="1">
      <c r="B199" s="33"/>
      <c r="C199" s="33"/>
      <c r="G199" s="76"/>
      <c r="H199" s="77"/>
      <c r="I199" s="299"/>
      <c r="J199" s="77"/>
      <c r="K199" s="33"/>
      <c r="L199" s="33"/>
      <c r="M199" s="33"/>
      <c r="N199" s="33"/>
      <c r="O199" s="33"/>
      <c r="P199" s="33"/>
      <c r="Q199" s="33"/>
    </row>
    <row r="200" spans="2:17" s="75" customFormat="1">
      <c r="B200" s="33"/>
      <c r="C200" s="33"/>
      <c r="G200" s="76"/>
      <c r="H200" s="77"/>
      <c r="I200" s="299"/>
      <c r="J200" s="77"/>
      <c r="K200" s="33"/>
      <c r="L200" s="33"/>
      <c r="M200" s="33"/>
      <c r="N200" s="33"/>
      <c r="O200" s="33"/>
      <c r="P200" s="33"/>
      <c r="Q200" s="33"/>
    </row>
    <row r="201" spans="2:17" s="75" customFormat="1">
      <c r="B201" s="33"/>
      <c r="C201" s="33"/>
      <c r="G201" s="76"/>
      <c r="H201" s="77"/>
      <c r="I201" s="299"/>
      <c r="J201" s="77"/>
      <c r="K201" s="33"/>
      <c r="L201" s="33"/>
      <c r="M201" s="33"/>
      <c r="N201" s="33"/>
      <c r="O201" s="33"/>
      <c r="P201" s="33"/>
      <c r="Q201" s="33"/>
    </row>
    <row r="202" spans="2:17" s="75" customFormat="1">
      <c r="B202" s="33"/>
      <c r="C202" s="33"/>
      <c r="G202" s="76"/>
      <c r="H202" s="77"/>
      <c r="I202" s="299"/>
      <c r="J202" s="77"/>
      <c r="K202" s="33"/>
      <c r="L202" s="33"/>
      <c r="M202" s="33"/>
      <c r="N202" s="33"/>
      <c r="O202" s="33"/>
      <c r="P202" s="33"/>
      <c r="Q202" s="33"/>
    </row>
    <row r="203" spans="2:17" s="75" customFormat="1">
      <c r="B203" s="33"/>
      <c r="C203" s="33"/>
      <c r="G203" s="76"/>
      <c r="H203" s="77"/>
      <c r="I203" s="299"/>
      <c r="J203" s="77"/>
      <c r="K203" s="33"/>
      <c r="L203" s="33"/>
      <c r="M203" s="33"/>
      <c r="N203" s="33"/>
      <c r="O203" s="33"/>
      <c r="P203" s="33"/>
      <c r="Q203" s="33"/>
    </row>
    <row r="204" spans="2:17" s="75" customFormat="1">
      <c r="B204" s="33"/>
      <c r="C204" s="33"/>
      <c r="G204" s="76"/>
      <c r="H204" s="77"/>
      <c r="I204" s="299"/>
      <c r="J204" s="77"/>
      <c r="K204" s="33"/>
      <c r="L204" s="33"/>
      <c r="M204" s="33"/>
      <c r="N204" s="33"/>
      <c r="O204" s="33"/>
      <c r="P204" s="33"/>
      <c r="Q204" s="33"/>
    </row>
    <row r="205" spans="2:17" s="75" customFormat="1">
      <c r="B205" s="33"/>
      <c r="C205" s="33"/>
      <c r="G205" s="76"/>
      <c r="H205" s="77"/>
      <c r="I205" s="299"/>
      <c r="J205" s="77"/>
      <c r="K205" s="33"/>
      <c r="L205" s="33"/>
      <c r="M205" s="33"/>
      <c r="N205" s="33"/>
      <c r="O205" s="33"/>
      <c r="P205" s="33"/>
      <c r="Q205" s="33"/>
    </row>
    <row r="206" spans="2:17" s="75" customFormat="1">
      <c r="B206" s="33"/>
      <c r="C206" s="33"/>
      <c r="G206" s="76"/>
      <c r="H206" s="77"/>
      <c r="I206" s="299"/>
      <c r="J206" s="77"/>
      <c r="K206" s="33"/>
      <c r="L206" s="33"/>
      <c r="M206" s="33"/>
      <c r="N206" s="33"/>
      <c r="O206" s="33"/>
      <c r="P206" s="33"/>
      <c r="Q206" s="33"/>
    </row>
    <row r="207" spans="2:17" s="75" customFormat="1">
      <c r="B207" s="33"/>
      <c r="C207" s="33"/>
      <c r="G207" s="76"/>
      <c r="H207" s="77"/>
      <c r="I207" s="299"/>
      <c r="J207" s="77"/>
      <c r="K207" s="33"/>
      <c r="L207" s="33"/>
      <c r="M207" s="33"/>
      <c r="N207" s="33"/>
      <c r="O207" s="33"/>
      <c r="P207" s="33"/>
      <c r="Q207" s="33"/>
    </row>
    <row r="208" spans="2:17" s="75" customFormat="1">
      <c r="B208" s="33"/>
      <c r="C208" s="33"/>
      <c r="G208" s="76"/>
      <c r="H208" s="77"/>
      <c r="I208" s="299"/>
      <c r="J208" s="77"/>
      <c r="K208" s="33"/>
      <c r="L208" s="33"/>
      <c r="M208" s="33"/>
      <c r="N208" s="33"/>
      <c r="O208" s="33"/>
      <c r="P208" s="33"/>
      <c r="Q208" s="33"/>
    </row>
    <row r="209" spans="2:17" s="75" customFormat="1">
      <c r="B209" s="33"/>
      <c r="C209" s="33"/>
      <c r="G209" s="76"/>
      <c r="H209" s="77"/>
      <c r="I209" s="299"/>
      <c r="J209" s="77"/>
      <c r="K209" s="33"/>
      <c r="L209" s="33"/>
      <c r="M209" s="33"/>
      <c r="N209" s="33"/>
      <c r="O209" s="33"/>
      <c r="P209" s="33"/>
      <c r="Q209" s="33"/>
    </row>
    <row r="210" spans="2:17" s="75" customFormat="1">
      <c r="B210" s="33"/>
      <c r="C210" s="33"/>
      <c r="G210" s="76"/>
      <c r="H210" s="77"/>
      <c r="I210" s="299"/>
      <c r="J210" s="77"/>
      <c r="K210" s="33"/>
      <c r="L210" s="33"/>
      <c r="M210" s="33"/>
      <c r="N210" s="33"/>
      <c r="O210" s="33"/>
      <c r="P210" s="33"/>
      <c r="Q210" s="33"/>
    </row>
    <row r="211" spans="2:17" s="75" customFormat="1">
      <c r="B211" s="33"/>
      <c r="C211" s="33"/>
      <c r="G211" s="76"/>
      <c r="H211" s="77"/>
      <c r="I211" s="299"/>
      <c r="J211" s="77"/>
      <c r="K211" s="33"/>
      <c r="L211" s="33"/>
      <c r="M211" s="33"/>
      <c r="N211" s="33"/>
      <c r="O211" s="33"/>
      <c r="P211" s="33"/>
      <c r="Q211" s="33"/>
    </row>
    <row r="212" spans="2:17" s="75" customFormat="1">
      <c r="B212" s="33"/>
      <c r="C212" s="33"/>
      <c r="G212" s="76"/>
      <c r="H212" s="77"/>
      <c r="I212" s="299"/>
      <c r="J212" s="77"/>
      <c r="K212" s="33"/>
      <c r="L212" s="33"/>
      <c r="M212" s="33"/>
      <c r="N212" s="33"/>
      <c r="O212" s="33"/>
      <c r="P212" s="33"/>
      <c r="Q212" s="33"/>
    </row>
    <row r="213" spans="2:17" s="75" customFormat="1">
      <c r="B213" s="33"/>
      <c r="C213" s="33"/>
      <c r="G213" s="76"/>
      <c r="H213" s="77"/>
      <c r="I213" s="299"/>
      <c r="J213" s="77"/>
      <c r="K213" s="33"/>
      <c r="L213" s="33"/>
      <c r="M213" s="33"/>
      <c r="N213" s="33"/>
      <c r="O213" s="33"/>
      <c r="P213" s="33"/>
      <c r="Q213" s="33"/>
    </row>
    <row r="214" spans="2:17" s="75" customFormat="1">
      <c r="B214" s="33"/>
      <c r="C214" s="33"/>
      <c r="G214" s="76"/>
      <c r="H214" s="77"/>
      <c r="I214" s="299"/>
      <c r="J214" s="77"/>
      <c r="K214" s="33"/>
      <c r="L214" s="33"/>
      <c r="M214" s="33"/>
      <c r="N214" s="33"/>
      <c r="O214" s="33"/>
      <c r="P214" s="33"/>
      <c r="Q214" s="33"/>
    </row>
    <row r="215" spans="2:17" s="75" customFormat="1">
      <c r="B215" s="33"/>
      <c r="C215" s="33"/>
      <c r="G215" s="76"/>
      <c r="H215" s="77"/>
      <c r="I215" s="299"/>
      <c r="J215" s="77"/>
      <c r="K215" s="33"/>
      <c r="L215" s="33"/>
      <c r="M215" s="33"/>
      <c r="N215" s="33"/>
      <c r="O215" s="33"/>
      <c r="P215" s="33"/>
      <c r="Q215" s="33"/>
    </row>
    <row r="216" spans="2:17" s="75" customFormat="1">
      <c r="B216" s="33"/>
      <c r="C216" s="33"/>
      <c r="G216" s="76"/>
      <c r="H216" s="77"/>
      <c r="I216" s="299"/>
      <c r="J216" s="77"/>
      <c r="K216" s="33"/>
      <c r="L216" s="33"/>
      <c r="M216" s="33"/>
      <c r="N216" s="33"/>
      <c r="O216" s="33"/>
      <c r="P216" s="33"/>
      <c r="Q216" s="33"/>
    </row>
    <row r="217" spans="2:17" s="75" customFormat="1">
      <c r="B217" s="33"/>
      <c r="C217" s="33"/>
      <c r="G217" s="76"/>
      <c r="H217" s="77"/>
      <c r="I217" s="299"/>
      <c r="J217" s="77"/>
      <c r="K217" s="33"/>
      <c r="L217" s="33"/>
      <c r="M217" s="33"/>
      <c r="N217" s="33"/>
      <c r="O217" s="33"/>
      <c r="P217" s="33"/>
      <c r="Q217" s="33"/>
    </row>
    <row r="218" spans="2:17" s="75" customFormat="1">
      <c r="B218" s="33"/>
      <c r="C218" s="33"/>
      <c r="G218" s="76"/>
      <c r="H218" s="77"/>
      <c r="I218" s="299"/>
      <c r="J218" s="77"/>
      <c r="K218" s="33"/>
      <c r="L218" s="33"/>
      <c r="M218" s="33"/>
      <c r="N218" s="33"/>
      <c r="O218" s="33"/>
      <c r="P218" s="33"/>
      <c r="Q218" s="33"/>
    </row>
    <row r="219" spans="2:17" s="75" customFormat="1">
      <c r="B219" s="33"/>
      <c r="C219" s="33"/>
      <c r="G219" s="76"/>
      <c r="H219" s="77"/>
      <c r="I219" s="299"/>
      <c r="J219" s="77"/>
      <c r="K219" s="33"/>
      <c r="L219" s="33"/>
      <c r="M219" s="33"/>
      <c r="N219" s="33"/>
      <c r="O219" s="33"/>
      <c r="P219" s="33"/>
      <c r="Q219" s="33"/>
    </row>
    <row r="220" spans="2:17" s="75" customFormat="1">
      <c r="B220" s="33"/>
      <c r="C220" s="33"/>
      <c r="G220" s="76"/>
      <c r="H220" s="77"/>
      <c r="I220" s="299"/>
      <c r="J220" s="77"/>
      <c r="K220" s="33"/>
      <c r="L220" s="33"/>
      <c r="M220" s="33"/>
      <c r="N220" s="33"/>
      <c r="O220" s="33"/>
      <c r="P220" s="33"/>
      <c r="Q220" s="33"/>
    </row>
    <row r="221" spans="2:17" s="75" customFormat="1">
      <c r="B221" s="33"/>
      <c r="C221" s="33"/>
      <c r="G221" s="76"/>
      <c r="H221" s="77"/>
      <c r="I221" s="299"/>
      <c r="J221" s="77"/>
      <c r="K221" s="33"/>
      <c r="L221" s="33"/>
      <c r="M221" s="33"/>
      <c r="N221" s="33"/>
      <c r="O221" s="33"/>
      <c r="P221" s="33"/>
      <c r="Q221" s="33"/>
    </row>
    <row r="222" spans="2:17" s="75" customFormat="1">
      <c r="B222" s="33"/>
      <c r="C222" s="33"/>
      <c r="G222" s="76"/>
      <c r="H222" s="77"/>
      <c r="I222" s="299"/>
      <c r="J222" s="77"/>
      <c r="K222" s="33"/>
      <c r="L222" s="33"/>
      <c r="M222" s="33"/>
      <c r="N222" s="33"/>
      <c r="O222" s="33"/>
      <c r="P222" s="33"/>
      <c r="Q222" s="33"/>
    </row>
    <row r="223" spans="2:17" s="75" customFormat="1">
      <c r="B223" s="33"/>
      <c r="C223" s="33"/>
      <c r="G223" s="76"/>
      <c r="H223" s="77"/>
      <c r="I223" s="299"/>
      <c r="J223" s="77"/>
      <c r="K223" s="33"/>
      <c r="L223" s="33"/>
      <c r="M223" s="33"/>
      <c r="N223" s="33"/>
      <c r="O223" s="33"/>
      <c r="P223" s="33"/>
      <c r="Q223" s="33"/>
    </row>
    <row r="224" spans="2:17" s="75" customFormat="1">
      <c r="B224" s="33"/>
      <c r="C224" s="33"/>
      <c r="G224" s="76"/>
      <c r="H224" s="77"/>
      <c r="I224" s="299"/>
      <c r="J224" s="77"/>
      <c r="K224" s="33"/>
      <c r="L224" s="33"/>
      <c r="M224" s="33"/>
      <c r="N224" s="33"/>
      <c r="O224" s="33"/>
      <c r="P224" s="33"/>
      <c r="Q224" s="33"/>
    </row>
    <row r="225" spans="2:17" s="75" customFormat="1">
      <c r="B225" s="33"/>
      <c r="C225" s="33"/>
      <c r="G225" s="76"/>
      <c r="H225" s="77"/>
      <c r="I225" s="299"/>
      <c r="J225" s="77"/>
      <c r="K225" s="33"/>
      <c r="L225" s="33"/>
      <c r="M225" s="33"/>
      <c r="N225" s="33"/>
      <c r="O225" s="33"/>
      <c r="P225" s="33"/>
      <c r="Q225" s="33"/>
    </row>
    <row r="226" spans="2:17" s="75" customFormat="1">
      <c r="B226" s="33"/>
      <c r="C226" s="33"/>
      <c r="G226" s="76"/>
      <c r="H226" s="77"/>
      <c r="I226" s="299"/>
      <c r="J226" s="77"/>
      <c r="K226" s="33"/>
      <c r="L226" s="33"/>
      <c r="M226" s="33"/>
      <c r="N226" s="33"/>
      <c r="O226" s="33"/>
      <c r="P226" s="33"/>
      <c r="Q226" s="33"/>
    </row>
    <row r="227" spans="2:17" s="75" customFormat="1">
      <c r="B227" s="33"/>
      <c r="C227" s="33"/>
      <c r="G227" s="76"/>
      <c r="H227" s="77"/>
      <c r="I227" s="299"/>
      <c r="J227" s="77"/>
      <c r="K227" s="33"/>
      <c r="L227" s="33"/>
      <c r="M227" s="33"/>
      <c r="N227" s="33"/>
      <c r="O227" s="33"/>
      <c r="P227" s="33"/>
      <c r="Q227" s="33"/>
    </row>
    <row r="228" spans="2:17" s="75" customFormat="1">
      <c r="B228" s="33"/>
      <c r="C228" s="33"/>
      <c r="G228" s="76"/>
      <c r="H228" s="77"/>
      <c r="I228" s="299"/>
      <c r="J228" s="77"/>
      <c r="K228" s="33"/>
      <c r="L228" s="33"/>
      <c r="M228" s="33"/>
      <c r="N228" s="33"/>
      <c r="O228" s="33"/>
      <c r="P228" s="33"/>
      <c r="Q228" s="33"/>
    </row>
    <row r="229" spans="2:17" s="75" customFormat="1">
      <c r="B229" s="33"/>
      <c r="C229" s="33"/>
      <c r="G229" s="76"/>
      <c r="H229" s="77"/>
      <c r="I229" s="299"/>
      <c r="J229" s="77"/>
      <c r="K229" s="33"/>
      <c r="L229" s="33"/>
      <c r="M229" s="33"/>
      <c r="N229" s="33"/>
      <c r="O229" s="33"/>
      <c r="P229" s="33"/>
      <c r="Q229" s="33"/>
    </row>
    <row r="230" spans="2:17" s="75" customFormat="1">
      <c r="B230" s="33"/>
      <c r="C230" s="33"/>
      <c r="G230" s="76"/>
      <c r="H230" s="77"/>
      <c r="I230" s="299"/>
      <c r="J230" s="77"/>
      <c r="K230" s="33"/>
      <c r="L230" s="33"/>
      <c r="M230" s="33"/>
      <c r="N230" s="33"/>
      <c r="O230" s="33"/>
      <c r="P230" s="33"/>
      <c r="Q230" s="33"/>
    </row>
    <row r="231" spans="2:17" s="75" customFormat="1">
      <c r="B231" s="33"/>
      <c r="C231" s="33"/>
      <c r="G231" s="76"/>
      <c r="H231" s="77"/>
      <c r="I231" s="299"/>
      <c r="J231" s="77"/>
      <c r="K231" s="33"/>
      <c r="L231" s="33"/>
      <c r="M231" s="33"/>
      <c r="N231" s="33"/>
      <c r="O231" s="33"/>
      <c r="P231" s="33"/>
      <c r="Q231" s="33"/>
    </row>
    <row r="232" spans="2:17" s="75" customFormat="1">
      <c r="B232" s="33"/>
      <c r="C232" s="33"/>
      <c r="G232" s="76"/>
      <c r="H232" s="77"/>
      <c r="I232" s="299"/>
      <c r="J232" s="77"/>
      <c r="K232" s="33"/>
      <c r="L232" s="33"/>
      <c r="M232" s="33"/>
      <c r="N232" s="33"/>
      <c r="O232" s="33"/>
      <c r="P232" s="33"/>
      <c r="Q232" s="33"/>
    </row>
    <row r="233" spans="2:17" s="75" customFormat="1">
      <c r="B233" s="33"/>
      <c r="C233" s="33"/>
      <c r="G233" s="76"/>
      <c r="H233" s="77"/>
      <c r="I233" s="299"/>
      <c r="J233" s="77"/>
      <c r="K233" s="33"/>
      <c r="L233" s="33"/>
      <c r="M233" s="33"/>
      <c r="N233" s="33"/>
      <c r="O233" s="33"/>
      <c r="P233" s="33"/>
      <c r="Q233" s="33"/>
    </row>
    <row r="234" spans="2:17" s="75" customFormat="1">
      <c r="B234" s="33"/>
      <c r="C234" s="33"/>
      <c r="G234" s="76"/>
      <c r="H234" s="77"/>
      <c r="I234" s="299"/>
      <c r="J234" s="77"/>
      <c r="K234" s="33"/>
      <c r="L234" s="33"/>
      <c r="M234" s="33"/>
      <c r="N234" s="33"/>
      <c r="O234" s="33"/>
      <c r="P234" s="33"/>
      <c r="Q234" s="33"/>
    </row>
    <row r="235" spans="2:17" s="75" customFormat="1">
      <c r="B235" s="33"/>
      <c r="C235" s="33"/>
      <c r="G235" s="76"/>
      <c r="H235" s="77"/>
      <c r="I235" s="299"/>
      <c r="J235" s="77"/>
      <c r="K235" s="33"/>
      <c r="L235" s="33"/>
      <c r="M235" s="33"/>
      <c r="N235" s="33"/>
      <c r="O235" s="33"/>
      <c r="P235" s="33"/>
      <c r="Q235" s="33"/>
    </row>
    <row r="236" spans="2:17" s="75" customFormat="1">
      <c r="B236" s="33"/>
      <c r="C236" s="33"/>
      <c r="G236" s="76"/>
      <c r="H236" s="77"/>
      <c r="I236" s="299"/>
      <c r="J236" s="77"/>
      <c r="K236" s="33"/>
      <c r="L236" s="33"/>
      <c r="M236" s="33"/>
      <c r="N236" s="33"/>
      <c r="O236" s="33"/>
      <c r="P236" s="33"/>
      <c r="Q236" s="33"/>
    </row>
    <row r="237" spans="2:17" s="75" customFormat="1">
      <c r="B237" s="33"/>
      <c r="C237" s="33"/>
      <c r="G237" s="76"/>
      <c r="H237" s="77"/>
      <c r="I237" s="299"/>
      <c r="J237" s="77"/>
      <c r="K237" s="33"/>
      <c r="L237" s="33"/>
      <c r="M237" s="33"/>
      <c r="N237" s="33"/>
      <c r="O237" s="33"/>
      <c r="P237" s="33"/>
      <c r="Q237" s="33"/>
    </row>
    <row r="238" spans="2:17" s="75" customFormat="1">
      <c r="B238" s="33"/>
      <c r="C238" s="33"/>
      <c r="G238" s="76"/>
      <c r="H238" s="77"/>
      <c r="I238" s="299"/>
      <c r="J238" s="77"/>
      <c r="K238" s="33"/>
      <c r="L238" s="33"/>
      <c r="M238" s="33"/>
      <c r="N238" s="33"/>
      <c r="O238" s="33"/>
      <c r="P238" s="33"/>
      <c r="Q238" s="33"/>
    </row>
    <row r="239" spans="2:17" s="75" customFormat="1">
      <c r="B239" s="33"/>
      <c r="C239" s="33"/>
      <c r="G239" s="76"/>
      <c r="H239" s="77"/>
      <c r="I239" s="299"/>
      <c r="J239" s="77"/>
      <c r="K239" s="33"/>
      <c r="L239" s="33"/>
      <c r="M239" s="33"/>
      <c r="N239" s="33"/>
      <c r="O239" s="33"/>
      <c r="P239" s="33"/>
      <c r="Q239" s="33"/>
    </row>
    <row r="240" spans="2:17" s="75" customFormat="1">
      <c r="B240" s="33"/>
      <c r="C240" s="33"/>
      <c r="G240" s="76"/>
      <c r="H240" s="77"/>
      <c r="I240" s="299"/>
      <c r="J240" s="77"/>
      <c r="K240" s="33"/>
      <c r="L240" s="33"/>
      <c r="M240" s="33"/>
      <c r="N240" s="33"/>
      <c r="O240" s="33"/>
      <c r="P240" s="33"/>
      <c r="Q240" s="33"/>
    </row>
    <row r="241" spans="2:17" s="75" customFormat="1">
      <c r="B241" s="33"/>
      <c r="C241" s="33"/>
      <c r="G241" s="76"/>
      <c r="H241" s="77"/>
      <c r="I241" s="299"/>
      <c r="J241" s="77"/>
      <c r="K241" s="33"/>
      <c r="L241" s="33"/>
      <c r="M241" s="33"/>
      <c r="N241" s="33"/>
      <c r="O241" s="33"/>
      <c r="P241" s="33"/>
      <c r="Q241" s="33"/>
    </row>
    <row r="242" spans="2:17" s="75" customFormat="1">
      <c r="B242" s="33"/>
      <c r="C242" s="33"/>
      <c r="G242" s="76"/>
      <c r="H242" s="77"/>
      <c r="I242" s="299"/>
      <c r="J242" s="77"/>
      <c r="K242" s="33"/>
      <c r="L242" s="33"/>
      <c r="M242" s="33"/>
      <c r="N242" s="33"/>
      <c r="O242" s="33"/>
      <c r="P242" s="33"/>
      <c r="Q242" s="33"/>
    </row>
    <row r="243" spans="2:17" s="75" customFormat="1">
      <c r="B243" s="33"/>
      <c r="C243" s="33"/>
      <c r="G243" s="76"/>
      <c r="H243" s="77"/>
      <c r="I243" s="299"/>
      <c r="J243" s="77"/>
      <c r="K243" s="33"/>
      <c r="L243" s="33"/>
      <c r="M243" s="33"/>
      <c r="N243" s="33"/>
      <c r="O243" s="33"/>
      <c r="P243" s="33"/>
      <c r="Q243" s="33"/>
    </row>
    <row r="244" spans="2:17" s="75" customFormat="1">
      <c r="B244" s="33"/>
      <c r="C244" s="33"/>
      <c r="G244" s="76"/>
      <c r="H244" s="77"/>
      <c r="I244" s="299"/>
      <c r="J244" s="77"/>
      <c r="K244" s="33"/>
      <c r="L244" s="33"/>
      <c r="M244" s="33"/>
      <c r="N244" s="33"/>
      <c r="O244" s="33"/>
      <c r="P244" s="33"/>
      <c r="Q244" s="33"/>
    </row>
    <row r="245" spans="2:17" s="75" customFormat="1">
      <c r="B245" s="33"/>
      <c r="C245" s="33"/>
      <c r="G245" s="76"/>
      <c r="H245" s="77"/>
      <c r="I245" s="299"/>
      <c r="J245" s="77"/>
      <c r="K245" s="33"/>
      <c r="L245" s="33"/>
      <c r="M245" s="33"/>
      <c r="N245" s="33"/>
      <c r="O245" s="33"/>
      <c r="P245" s="33"/>
      <c r="Q245" s="33"/>
    </row>
    <row r="246" spans="2:17" s="75" customFormat="1">
      <c r="B246" s="33"/>
      <c r="C246" s="33"/>
      <c r="G246" s="76"/>
      <c r="H246" s="77"/>
      <c r="I246" s="299"/>
      <c r="J246" s="77"/>
      <c r="K246" s="33"/>
      <c r="L246" s="33"/>
      <c r="M246" s="33"/>
      <c r="N246" s="33"/>
      <c r="O246" s="33"/>
      <c r="P246" s="33"/>
      <c r="Q246" s="33"/>
    </row>
    <row r="247" spans="2:17" s="75" customFormat="1">
      <c r="B247" s="33"/>
      <c r="C247" s="33"/>
      <c r="G247" s="76"/>
      <c r="H247" s="77"/>
      <c r="I247" s="299"/>
      <c r="J247" s="77"/>
      <c r="K247" s="33"/>
      <c r="L247" s="33"/>
      <c r="M247" s="33"/>
      <c r="N247" s="33"/>
      <c r="O247" s="33"/>
      <c r="P247" s="33"/>
      <c r="Q247" s="33"/>
    </row>
    <row r="248" spans="2:17" s="75" customFormat="1">
      <c r="B248" s="33"/>
      <c r="C248" s="33"/>
      <c r="G248" s="76"/>
      <c r="H248" s="77"/>
      <c r="I248" s="299"/>
      <c r="J248" s="77"/>
      <c r="K248" s="33"/>
      <c r="L248" s="33"/>
      <c r="M248" s="33"/>
      <c r="N248" s="33"/>
      <c r="O248" s="33"/>
      <c r="P248" s="33"/>
      <c r="Q248" s="33"/>
    </row>
    <row r="249" spans="2:17" s="75" customFormat="1">
      <c r="B249" s="33"/>
      <c r="C249" s="33"/>
      <c r="G249" s="76"/>
      <c r="H249" s="77"/>
      <c r="I249" s="299"/>
      <c r="J249" s="77"/>
      <c r="K249" s="33"/>
      <c r="L249" s="33"/>
      <c r="M249" s="33"/>
      <c r="N249" s="33"/>
      <c r="O249" s="33"/>
      <c r="P249" s="33"/>
      <c r="Q249" s="33"/>
    </row>
    <row r="250" spans="2:17" s="75" customFormat="1">
      <c r="B250" s="33"/>
      <c r="C250" s="33"/>
      <c r="G250" s="76"/>
      <c r="H250" s="77"/>
      <c r="I250" s="299"/>
      <c r="J250" s="77"/>
      <c r="K250" s="33"/>
      <c r="L250" s="33"/>
      <c r="M250" s="33"/>
      <c r="N250" s="33"/>
      <c r="O250" s="33"/>
      <c r="P250" s="33"/>
      <c r="Q250" s="33"/>
    </row>
    <row r="251" spans="2:17" s="75" customFormat="1">
      <c r="B251" s="33"/>
      <c r="C251" s="33"/>
      <c r="G251" s="76"/>
      <c r="H251" s="77"/>
      <c r="I251" s="299"/>
      <c r="J251" s="77"/>
      <c r="K251" s="33"/>
      <c r="L251" s="33"/>
      <c r="M251" s="33"/>
      <c r="N251" s="33"/>
      <c r="O251" s="33"/>
      <c r="P251" s="33"/>
      <c r="Q251" s="33"/>
    </row>
    <row r="252" spans="2:17" s="75" customFormat="1">
      <c r="B252" s="33"/>
      <c r="C252" s="33"/>
      <c r="G252" s="76"/>
      <c r="H252" s="77"/>
      <c r="I252" s="299"/>
      <c r="J252" s="77"/>
      <c r="K252" s="33"/>
      <c r="L252" s="33"/>
      <c r="M252" s="33"/>
      <c r="N252" s="33"/>
      <c r="O252" s="33"/>
      <c r="P252" s="33"/>
      <c r="Q252" s="33"/>
    </row>
    <row r="253" spans="2:17" s="75" customFormat="1">
      <c r="B253" s="33"/>
      <c r="C253" s="33"/>
      <c r="G253" s="76"/>
      <c r="H253" s="77"/>
      <c r="I253" s="299"/>
      <c r="J253" s="77"/>
      <c r="K253" s="33"/>
      <c r="L253" s="33"/>
      <c r="M253" s="33"/>
      <c r="N253" s="33"/>
      <c r="O253" s="33"/>
      <c r="P253" s="33"/>
      <c r="Q253" s="33"/>
    </row>
    <row r="254" spans="2:17" s="75" customFormat="1">
      <c r="B254" s="33"/>
      <c r="C254" s="33"/>
      <c r="G254" s="76"/>
      <c r="H254" s="77"/>
      <c r="I254" s="299"/>
      <c r="J254" s="77"/>
      <c r="K254" s="33"/>
      <c r="L254" s="33"/>
      <c r="M254" s="33"/>
      <c r="N254" s="33"/>
      <c r="O254" s="33"/>
      <c r="P254" s="33"/>
      <c r="Q254" s="33"/>
    </row>
    <row r="255" spans="2:17" s="75" customFormat="1">
      <c r="B255" s="33"/>
      <c r="C255" s="33"/>
      <c r="G255" s="76"/>
      <c r="H255" s="77"/>
      <c r="I255" s="299"/>
      <c r="J255" s="77"/>
      <c r="K255" s="33"/>
      <c r="L255" s="33"/>
      <c r="M255" s="33"/>
      <c r="N255" s="33"/>
      <c r="O255" s="33"/>
      <c r="P255" s="33"/>
      <c r="Q255" s="33"/>
    </row>
    <row r="256" spans="2:17" s="75" customFormat="1">
      <c r="B256" s="33"/>
      <c r="C256" s="33"/>
      <c r="G256" s="76"/>
      <c r="H256" s="77"/>
      <c r="I256" s="299"/>
      <c r="J256" s="77"/>
      <c r="K256" s="33"/>
      <c r="L256" s="33"/>
      <c r="M256" s="33"/>
      <c r="N256" s="33"/>
      <c r="O256" s="33"/>
      <c r="P256" s="33"/>
      <c r="Q256" s="33"/>
    </row>
    <row r="257" spans="2:17" s="75" customFormat="1">
      <c r="B257" s="33"/>
      <c r="C257" s="33"/>
      <c r="G257" s="76"/>
      <c r="H257" s="77"/>
      <c r="I257" s="299"/>
      <c r="J257" s="77"/>
      <c r="K257" s="33"/>
      <c r="L257" s="33"/>
      <c r="M257" s="33"/>
      <c r="N257" s="33"/>
      <c r="O257" s="33"/>
      <c r="P257" s="33"/>
      <c r="Q257" s="33"/>
    </row>
    <row r="258" spans="2:17" s="75" customFormat="1">
      <c r="B258" s="33"/>
      <c r="C258" s="33"/>
      <c r="G258" s="76"/>
      <c r="H258" s="77"/>
      <c r="I258" s="299"/>
      <c r="J258" s="77"/>
      <c r="K258" s="33"/>
      <c r="L258" s="33"/>
      <c r="M258" s="33"/>
      <c r="N258" s="33"/>
      <c r="O258" s="33"/>
      <c r="P258" s="33"/>
      <c r="Q258" s="33"/>
    </row>
    <row r="259" spans="2:17" s="75" customFormat="1">
      <c r="B259" s="33"/>
      <c r="C259" s="33"/>
      <c r="G259" s="76"/>
      <c r="H259" s="77"/>
      <c r="I259" s="299"/>
      <c r="J259" s="77"/>
      <c r="K259" s="33"/>
      <c r="L259" s="33"/>
      <c r="M259" s="33"/>
      <c r="N259" s="33"/>
      <c r="O259" s="33"/>
      <c r="P259" s="33"/>
      <c r="Q259" s="33"/>
    </row>
    <row r="260" spans="2:17" s="75" customFormat="1">
      <c r="B260" s="33"/>
      <c r="C260" s="33"/>
      <c r="G260" s="76"/>
      <c r="H260" s="77"/>
      <c r="I260" s="299"/>
      <c r="J260" s="77"/>
      <c r="K260" s="33"/>
      <c r="L260" s="33"/>
      <c r="M260" s="33"/>
      <c r="N260" s="33"/>
      <c r="O260" s="33"/>
      <c r="P260" s="33"/>
      <c r="Q260" s="33"/>
    </row>
    <row r="261" spans="2:17" s="75" customFormat="1">
      <c r="B261" s="33"/>
      <c r="C261" s="33"/>
      <c r="G261" s="76"/>
      <c r="H261" s="77"/>
      <c r="I261" s="299"/>
      <c r="J261" s="77"/>
      <c r="K261" s="33"/>
      <c r="L261" s="33"/>
      <c r="M261" s="33"/>
      <c r="N261" s="33"/>
      <c r="O261" s="33"/>
      <c r="P261" s="33"/>
      <c r="Q261" s="33"/>
    </row>
    <row r="262" spans="2:17" s="75" customFormat="1">
      <c r="B262" s="33"/>
      <c r="C262" s="33"/>
      <c r="G262" s="76"/>
      <c r="H262" s="77"/>
      <c r="I262" s="299"/>
      <c r="J262" s="77"/>
      <c r="K262" s="33"/>
      <c r="L262" s="33"/>
      <c r="M262" s="33"/>
      <c r="N262" s="33"/>
      <c r="O262" s="33"/>
      <c r="P262" s="33"/>
      <c r="Q262" s="33"/>
    </row>
    <row r="263" spans="2:17" s="75" customFormat="1">
      <c r="B263" s="33"/>
      <c r="C263" s="33"/>
      <c r="G263" s="76"/>
      <c r="H263" s="77"/>
      <c r="I263" s="299"/>
      <c r="J263" s="77"/>
      <c r="K263" s="33"/>
      <c r="L263" s="33"/>
      <c r="M263" s="33"/>
      <c r="N263" s="33"/>
      <c r="O263" s="33"/>
      <c r="P263" s="33"/>
      <c r="Q263" s="33"/>
    </row>
    <row r="264" spans="2:17" s="75" customFormat="1">
      <c r="B264" s="33"/>
      <c r="C264" s="33"/>
      <c r="G264" s="76"/>
      <c r="H264" s="77"/>
      <c r="I264" s="299"/>
      <c r="J264" s="77"/>
      <c r="K264" s="33"/>
      <c r="L264" s="33"/>
      <c r="M264" s="33"/>
      <c r="N264" s="33"/>
      <c r="O264" s="33"/>
      <c r="P264" s="33"/>
      <c r="Q264" s="33"/>
    </row>
    <row r="265" spans="2:17" s="75" customFormat="1">
      <c r="B265" s="33"/>
      <c r="C265" s="33"/>
      <c r="G265" s="76"/>
      <c r="H265" s="77"/>
      <c r="I265" s="299"/>
      <c r="J265" s="77"/>
      <c r="K265" s="33"/>
      <c r="L265" s="33"/>
      <c r="M265" s="33"/>
      <c r="N265" s="33"/>
      <c r="O265" s="33"/>
      <c r="P265" s="33"/>
      <c r="Q265" s="33"/>
    </row>
    <row r="266" spans="2:17" s="75" customFormat="1">
      <c r="B266" s="33"/>
      <c r="C266" s="33"/>
      <c r="G266" s="76"/>
      <c r="H266" s="77"/>
      <c r="I266" s="299"/>
      <c r="J266" s="77"/>
      <c r="K266" s="33"/>
      <c r="L266" s="33"/>
      <c r="M266" s="33"/>
      <c r="N266" s="33"/>
      <c r="O266" s="33"/>
      <c r="P266" s="33"/>
      <c r="Q266" s="33"/>
    </row>
    <row r="267" spans="2:17" s="75" customFormat="1">
      <c r="B267" s="33"/>
      <c r="C267" s="33"/>
      <c r="G267" s="76"/>
      <c r="H267" s="77"/>
      <c r="I267" s="299"/>
      <c r="J267" s="77"/>
      <c r="K267" s="33"/>
      <c r="L267" s="33"/>
      <c r="M267" s="33"/>
      <c r="N267" s="33"/>
      <c r="O267" s="33"/>
      <c r="P267" s="33"/>
      <c r="Q267" s="33"/>
    </row>
    <row r="268" spans="2:17" s="75" customFormat="1">
      <c r="B268" s="33"/>
      <c r="C268" s="33"/>
      <c r="G268" s="76"/>
      <c r="H268" s="77"/>
      <c r="I268" s="299"/>
      <c r="J268" s="77"/>
      <c r="K268" s="33"/>
      <c r="L268" s="33"/>
      <c r="M268" s="33"/>
      <c r="N268" s="33"/>
      <c r="O268" s="33"/>
      <c r="P268" s="33"/>
      <c r="Q268" s="33"/>
    </row>
    <row r="269" spans="2:17" s="75" customFormat="1">
      <c r="B269" s="33"/>
      <c r="C269" s="33"/>
      <c r="G269" s="76"/>
      <c r="H269" s="77"/>
      <c r="I269" s="299"/>
      <c r="J269" s="77"/>
      <c r="K269" s="33"/>
      <c r="L269" s="33"/>
      <c r="M269" s="33"/>
      <c r="N269" s="33"/>
      <c r="O269" s="33"/>
      <c r="P269" s="33"/>
      <c r="Q269" s="33"/>
    </row>
    <row r="270" spans="2:17" s="75" customFormat="1">
      <c r="B270" s="33"/>
      <c r="C270" s="33"/>
      <c r="G270" s="76"/>
      <c r="H270" s="77"/>
      <c r="I270" s="299"/>
      <c r="J270" s="77"/>
      <c r="K270" s="33"/>
      <c r="L270" s="33"/>
      <c r="M270" s="33"/>
      <c r="N270" s="33"/>
      <c r="O270" s="33"/>
      <c r="P270" s="33"/>
      <c r="Q270" s="33"/>
    </row>
    <row r="271" spans="2:17" s="75" customFormat="1">
      <c r="B271" s="33"/>
      <c r="C271" s="33"/>
      <c r="G271" s="76"/>
      <c r="H271" s="77"/>
      <c r="I271" s="299"/>
      <c r="J271" s="77"/>
      <c r="K271" s="33"/>
      <c r="L271" s="33"/>
      <c r="M271" s="33"/>
      <c r="N271" s="33"/>
      <c r="O271" s="33"/>
      <c r="P271" s="33"/>
      <c r="Q271" s="33"/>
    </row>
    <row r="272" spans="2:17" s="75" customFormat="1">
      <c r="B272" s="33"/>
      <c r="C272" s="33"/>
      <c r="G272" s="76"/>
      <c r="H272" s="77"/>
      <c r="I272" s="299"/>
      <c r="J272" s="77"/>
      <c r="K272" s="33"/>
      <c r="L272" s="33"/>
      <c r="M272" s="33"/>
      <c r="N272" s="33"/>
      <c r="O272" s="33"/>
      <c r="P272" s="33"/>
      <c r="Q272" s="33"/>
    </row>
    <row r="273" spans="2:17" s="75" customFormat="1">
      <c r="B273" s="33"/>
      <c r="C273" s="33"/>
      <c r="G273" s="76"/>
      <c r="H273" s="77"/>
      <c r="I273" s="299"/>
      <c r="J273" s="77"/>
      <c r="K273" s="33"/>
      <c r="L273" s="33"/>
      <c r="M273" s="33"/>
      <c r="N273" s="33"/>
      <c r="O273" s="33"/>
      <c r="P273" s="33"/>
      <c r="Q273" s="33"/>
    </row>
    <row r="274" spans="2:17" s="75" customFormat="1">
      <c r="B274" s="33"/>
      <c r="C274" s="33"/>
      <c r="G274" s="76"/>
      <c r="H274" s="77"/>
      <c r="I274" s="299"/>
      <c r="J274" s="77"/>
      <c r="K274" s="33"/>
      <c r="L274" s="33"/>
      <c r="M274" s="33"/>
      <c r="N274" s="33"/>
      <c r="O274" s="33"/>
      <c r="P274" s="33"/>
      <c r="Q274" s="33"/>
    </row>
    <row r="275" spans="2:17" s="75" customFormat="1">
      <c r="B275" s="33"/>
      <c r="C275" s="33"/>
      <c r="G275" s="76"/>
      <c r="H275" s="77"/>
      <c r="I275" s="299"/>
      <c r="J275" s="77"/>
      <c r="K275" s="33"/>
      <c r="L275" s="33"/>
      <c r="M275" s="33"/>
      <c r="N275" s="33"/>
      <c r="O275" s="33"/>
      <c r="P275" s="33"/>
      <c r="Q275" s="33"/>
    </row>
    <row r="276" spans="2:17" s="75" customFormat="1">
      <c r="B276" s="33"/>
      <c r="C276" s="33"/>
      <c r="G276" s="76"/>
      <c r="H276" s="77"/>
      <c r="I276" s="299"/>
      <c r="J276" s="77"/>
      <c r="K276" s="33"/>
      <c r="L276" s="33"/>
      <c r="M276" s="33"/>
      <c r="N276" s="33"/>
      <c r="O276" s="33"/>
      <c r="P276" s="33"/>
      <c r="Q276" s="33"/>
    </row>
    <row r="277" spans="2:17" s="75" customFormat="1">
      <c r="B277" s="33"/>
      <c r="C277" s="33"/>
      <c r="G277" s="76"/>
      <c r="H277" s="77"/>
      <c r="I277" s="299"/>
      <c r="J277" s="77"/>
      <c r="K277" s="33"/>
      <c r="L277" s="33"/>
      <c r="M277" s="33"/>
      <c r="N277" s="33"/>
      <c r="O277" s="33"/>
      <c r="P277" s="33"/>
      <c r="Q277" s="33"/>
    </row>
    <row r="278" spans="2:17" s="75" customFormat="1">
      <c r="B278" s="33"/>
      <c r="C278" s="33"/>
      <c r="G278" s="76"/>
      <c r="H278" s="77"/>
      <c r="I278" s="299"/>
      <c r="J278" s="77"/>
      <c r="K278" s="33"/>
      <c r="L278" s="33"/>
      <c r="M278" s="33"/>
      <c r="N278" s="33"/>
      <c r="O278" s="33"/>
      <c r="P278" s="33"/>
      <c r="Q278" s="33"/>
    </row>
    <row r="279" spans="2:17" s="75" customFormat="1">
      <c r="B279" s="33"/>
      <c r="C279" s="33"/>
      <c r="G279" s="76"/>
      <c r="H279" s="77"/>
      <c r="I279" s="299"/>
      <c r="J279" s="77"/>
      <c r="K279" s="33"/>
      <c r="L279" s="33"/>
      <c r="M279" s="33"/>
      <c r="N279" s="33"/>
      <c r="O279" s="33"/>
      <c r="P279" s="33"/>
      <c r="Q279" s="33"/>
    </row>
    <row r="280" spans="2:17" s="75" customFormat="1">
      <c r="B280" s="33"/>
      <c r="C280" s="33"/>
      <c r="G280" s="76"/>
      <c r="H280" s="77"/>
      <c r="I280" s="299"/>
      <c r="J280" s="77"/>
      <c r="K280" s="33"/>
      <c r="L280" s="33"/>
      <c r="M280" s="33"/>
      <c r="N280" s="33"/>
      <c r="O280" s="33"/>
      <c r="P280" s="33"/>
      <c r="Q280" s="33"/>
    </row>
    <row r="281" spans="2:17" s="75" customFormat="1">
      <c r="B281" s="33"/>
      <c r="C281" s="33"/>
      <c r="G281" s="76"/>
      <c r="H281" s="77"/>
      <c r="I281" s="299"/>
      <c r="J281" s="77"/>
      <c r="K281" s="33"/>
      <c r="L281" s="33"/>
      <c r="M281" s="33"/>
      <c r="N281" s="33"/>
      <c r="O281" s="33"/>
      <c r="P281" s="33"/>
      <c r="Q281" s="33"/>
    </row>
    <row r="282" spans="2:17" s="75" customFormat="1">
      <c r="B282" s="33"/>
      <c r="C282" s="33"/>
      <c r="G282" s="76"/>
      <c r="H282" s="77"/>
      <c r="I282" s="299"/>
      <c r="J282" s="77"/>
      <c r="K282" s="33"/>
      <c r="L282" s="33"/>
      <c r="M282" s="33"/>
      <c r="N282" s="33"/>
      <c r="O282" s="33"/>
      <c r="P282" s="33"/>
      <c r="Q282" s="33"/>
    </row>
    <row r="283" spans="2:17" s="75" customFormat="1">
      <c r="B283" s="33"/>
      <c r="C283" s="33"/>
      <c r="G283" s="76"/>
      <c r="H283" s="77"/>
      <c r="I283" s="299"/>
      <c r="J283" s="77"/>
      <c r="K283" s="33"/>
      <c r="L283" s="33"/>
      <c r="M283" s="33"/>
      <c r="N283" s="33"/>
      <c r="O283" s="33"/>
      <c r="P283" s="33"/>
      <c r="Q283" s="33"/>
    </row>
    <row r="284" spans="2:17" s="75" customFormat="1">
      <c r="B284" s="33"/>
      <c r="C284" s="33"/>
      <c r="G284" s="76"/>
      <c r="H284" s="77"/>
      <c r="I284" s="299"/>
      <c r="J284" s="77"/>
      <c r="K284" s="33"/>
      <c r="L284" s="33"/>
      <c r="M284" s="33"/>
      <c r="N284" s="33"/>
      <c r="O284" s="33"/>
      <c r="P284" s="33"/>
      <c r="Q284" s="33"/>
    </row>
    <row r="285" spans="2:17" s="75" customFormat="1">
      <c r="B285" s="33"/>
      <c r="C285" s="33"/>
      <c r="G285" s="76"/>
      <c r="H285" s="77"/>
      <c r="I285" s="299"/>
      <c r="J285" s="77"/>
      <c r="K285" s="33"/>
      <c r="L285" s="33"/>
      <c r="M285" s="33"/>
      <c r="N285" s="33"/>
      <c r="O285" s="33"/>
      <c r="P285" s="33"/>
      <c r="Q285" s="33"/>
    </row>
    <row r="286" spans="2:17" s="75" customFormat="1">
      <c r="B286" s="33"/>
      <c r="C286" s="33"/>
      <c r="G286" s="76"/>
      <c r="H286" s="77"/>
      <c r="I286" s="299"/>
      <c r="J286" s="77"/>
      <c r="K286" s="33"/>
      <c r="L286" s="33"/>
      <c r="M286" s="33"/>
      <c r="N286" s="33"/>
      <c r="O286" s="33"/>
      <c r="P286" s="33"/>
      <c r="Q286" s="33"/>
    </row>
    <row r="287" spans="2:17" s="75" customFormat="1">
      <c r="B287" s="33"/>
      <c r="C287" s="33"/>
      <c r="G287" s="76"/>
      <c r="H287" s="77"/>
      <c r="I287" s="299"/>
      <c r="J287" s="77"/>
      <c r="K287" s="33"/>
      <c r="L287" s="33"/>
      <c r="M287" s="33"/>
      <c r="N287" s="33"/>
      <c r="O287" s="33"/>
      <c r="P287" s="33"/>
      <c r="Q287" s="33"/>
    </row>
    <row r="288" spans="2:17" s="75" customFormat="1">
      <c r="B288" s="33"/>
      <c r="C288" s="33"/>
      <c r="G288" s="76"/>
      <c r="H288" s="77"/>
      <c r="I288" s="299"/>
      <c r="J288" s="77"/>
      <c r="K288" s="33"/>
      <c r="L288" s="33"/>
      <c r="M288" s="33"/>
      <c r="N288" s="33"/>
      <c r="O288" s="33"/>
      <c r="P288" s="33"/>
      <c r="Q288" s="33"/>
    </row>
    <row r="289" spans="2:17" s="75" customFormat="1">
      <c r="B289" s="33"/>
      <c r="C289" s="33"/>
      <c r="G289" s="76"/>
      <c r="H289" s="77"/>
      <c r="I289" s="299"/>
      <c r="J289" s="77"/>
      <c r="K289" s="33"/>
      <c r="L289" s="33"/>
      <c r="M289" s="33"/>
      <c r="N289" s="33"/>
      <c r="O289" s="33"/>
      <c r="P289" s="33"/>
      <c r="Q289" s="33"/>
    </row>
    <row r="290" spans="2:17" s="75" customFormat="1">
      <c r="B290" s="33"/>
      <c r="C290" s="33"/>
      <c r="G290" s="76"/>
      <c r="H290" s="77"/>
      <c r="I290" s="299"/>
      <c r="J290" s="77"/>
      <c r="K290" s="33"/>
      <c r="L290" s="33"/>
      <c r="M290" s="33"/>
      <c r="N290" s="33"/>
      <c r="O290" s="33"/>
      <c r="P290" s="33"/>
      <c r="Q290" s="33"/>
    </row>
    <row r="291" spans="2:17" s="75" customFormat="1">
      <c r="B291" s="33"/>
      <c r="C291" s="33"/>
      <c r="G291" s="76"/>
      <c r="H291" s="77"/>
      <c r="I291" s="299"/>
      <c r="J291" s="77"/>
      <c r="K291" s="33"/>
      <c r="L291" s="33"/>
      <c r="M291" s="33"/>
      <c r="N291" s="33"/>
      <c r="O291" s="33"/>
      <c r="P291" s="33"/>
      <c r="Q291" s="33"/>
    </row>
    <row r="292" spans="2:17" s="75" customFormat="1">
      <c r="B292" s="33"/>
      <c r="C292" s="33"/>
      <c r="G292" s="76"/>
      <c r="H292" s="77"/>
      <c r="I292" s="299"/>
      <c r="J292" s="77"/>
      <c r="K292" s="33"/>
      <c r="L292" s="33"/>
      <c r="M292" s="33"/>
      <c r="N292" s="33"/>
      <c r="O292" s="33"/>
      <c r="P292" s="33"/>
      <c r="Q292" s="33"/>
    </row>
    <row r="293" spans="2:17" s="75" customFormat="1">
      <c r="B293" s="33"/>
      <c r="C293" s="33"/>
      <c r="G293" s="76"/>
      <c r="H293" s="77"/>
      <c r="I293" s="299"/>
      <c r="J293" s="77"/>
      <c r="K293" s="33"/>
      <c r="L293" s="33"/>
      <c r="M293" s="33"/>
      <c r="N293" s="33"/>
      <c r="O293" s="33"/>
      <c r="P293" s="33"/>
      <c r="Q293" s="33"/>
    </row>
    <row r="294" spans="2:17" s="75" customFormat="1">
      <c r="B294" s="33"/>
      <c r="C294" s="33"/>
      <c r="G294" s="76"/>
      <c r="H294" s="77"/>
      <c r="I294" s="299"/>
      <c r="J294" s="77"/>
      <c r="K294" s="33"/>
      <c r="L294" s="33"/>
      <c r="M294" s="33"/>
      <c r="N294" s="33"/>
      <c r="O294" s="33"/>
      <c r="P294" s="33"/>
      <c r="Q294" s="33"/>
    </row>
    <row r="295" spans="2:17" s="75" customFormat="1">
      <c r="B295" s="33"/>
      <c r="C295" s="33"/>
      <c r="G295" s="76"/>
      <c r="H295" s="77"/>
      <c r="I295" s="299"/>
      <c r="J295" s="77"/>
      <c r="K295" s="33"/>
      <c r="L295" s="33"/>
      <c r="M295" s="33"/>
      <c r="N295" s="33"/>
      <c r="O295" s="33"/>
      <c r="P295" s="33"/>
      <c r="Q295" s="33"/>
    </row>
    <row r="296" spans="2:17" s="75" customFormat="1">
      <c r="B296" s="33"/>
      <c r="C296" s="33"/>
      <c r="G296" s="76"/>
      <c r="H296" s="77"/>
      <c r="I296" s="299"/>
      <c r="J296" s="77"/>
      <c r="K296" s="33"/>
      <c r="L296" s="33"/>
      <c r="M296" s="33"/>
      <c r="N296" s="33"/>
      <c r="O296" s="33"/>
      <c r="P296" s="33"/>
      <c r="Q296" s="33"/>
    </row>
    <row r="297" spans="2:17" s="75" customFormat="1">
      <c r="B297" s="33"/>
      <c r="C297" s="33"/>
      <c r="G297" s="76"/>
      <c r="H297" s="77"/>
      <c r="I297" s="299"/>
      <c r="J297" s="77"/>
      <c r="K297" s="33"/>
      <c r="L297" s="33"/>
      <c r="M297" s="33"/>
      <c r="N297" s="33"/>
      <c r="O297" s="33"/>
      <c r="P297" s="33"/>
      <c r="Q297" s="33"/>
    </row>
    <row r="298" spans="2:17" s="75" customFormat="1">
      <c r="B298" s="33"/>
      <c r="C298" s="33"/>
      <c r="G298" s="76"/>
      <c r="H298" s="77"/>
      <c r="I298" s="299"/>
      <c r="J298" s="77"/>
      <c r="K298" s="33"/>
      <c r="L298" s="33"/>
      <c r="M298" s="33"/>
      <c r="N298" s="33"/>
      <c r="O298" s="33"/>
      <c r="P298" s="33"/>
      <c r="Q298" s="33"/>
    </row>
    <row r="299" spans="2:17" s="75" customFormat="1">
      <c r="B299" s="33"/>
      <c r="C299" s="33"/>
      <c r="G299" s="76"/>
      <c r="H299" s="77"/>
      <c r="I299" s="299"/>
      <c r="J299" s="77"/>
      <c r="K299" s="33"/>
      <c r="L299" s="33"/>
      <c r="M299" s="33"/>
      <c r="N299" s="33"/>
      <c r="O299" s="33"/>
      <c r="P299" s="33"/>
      <c r="Q299" s="33"/>
    </row>
    <row r="300" spans="2:17" s="75" customFormat="1">
      <c r="B300" s="33"/>
      <c r="C300" s="33"/>
      <c r="G300" s="76"/>
      <c r="H300" s="77"/>
      <c r="I300" s="299"/>
      <c r="J300" s="77"/>
      <c r="K300" s="33"/>
      <c r="L300" s="33"/>
      <c r="M300" s="33"/>
      <c r="N300" s="33"/>
      <c r="O300" s="33"/>
      <c r="P300" s="33"/>
      <c r="Q300" s="33"/>
    </row>
    <row r="301" spans="2:17" s="75" customFormat="1">
      <c r="B301" s="33"/>
      <c r="C301" s="33"/>
      <c r="G301" s="76"/>
      <c r="H301" s="77"/>
      <c r="I301" s="299"/>
      <c r="J301" s="77"/>
      <c r="K301" s="33"/>
      <c r="L301" s="33"/>
      <c r="M301" s="33"/>
      <c r="N301" s="33"/>
      <c r="O301" s="33"/>
      <c r="P301" s="33"/>
      <c r="Q301" s="33"/>
    </row>
    <row r="302" spans="2:17" s="75" customFormat="1">
      <c r="B302" s="33"/>
      <c r="C302" s="33"/>
      <c r="G302" s="76"/>
      <c r="H302" s="77"/>
      <c r="I302" s="299"/>
      <c r="J302" s="77"/>
      <c r="K302" s="33"/>
      <c r="L302" s="33"/>
      <c r="M302" s="33"/>
      <c r="N302" s="33"/>
      <c r="O302" s="33"/>
      <c r="P302" s="33"/>
      <c r="Q302" s="33"/>
    </row>
    <row r="303" spans="2:17" s="75" customFormat="1">
      <c r="B303" s="33"/>
      <c r="C303" s="33"/>
      <c r="G303" s="76"/>
      <c r="H303" s="77"/>
      <c r="I303" s="299"/>
      <c r="J303" s="77"/>
      <c r="K303" s="33"/>
      <c r="L303" s="33"/>
      <c r="M303" s="33"/>
      <c r="N303" s="33"/>
      <c r="O303" s="33"/>
      <c r="P303" s="33"/>
      <c r="Q303" s="33"/>
    </row>
    <row r="304" spans="2:17" s="75" customFormat="1">
      <c r="B304" s="33"/>
      <c r="C304" s="33"/>
      <c r="G304" s="76"/>
      <c r="H304" s="77"/>
      <c r="I304" s="299"/>
      <c r="J304" s="77"/>
      <c r="K304" s="33"/>
      <c r="L304" s="33"/>
      <c r="M304" s="33"/>
      <c r="N304" s="33"/>
      <c r="O304" s="33"/>
      <c r="P304" s="33"/>
      <c r="Q304" s="33"/>
    </row>
    <row r="305" spans="2:17" s="75" customFormat="1">
      <c r="B305" s="33"/>
      <c r="C305" s="33"/>
      <c r="G305" s="76"/>
      <c r="H305" s="77"/>
      <c r="I305" s="299"/>
      <c r="J305" s="77"/>
      <c r="K305" s="33"/>
      <c r="L305" s="33"/>
      <c r="M305" s="33"/>
      <c r="N305" s="33"/>
      <c r="O305" s="33"/>
      <c r="P305" s="33"/>
      <c r="Q305" s="33"/>
    </row>
    <row r="306" spans="2:17" s="75" customFormat="1">
      <c r="B306" s="33"/>
      <c r="C306" s="33"/>
      <c r="G306" s="76"/>
      <c r="H306" s="77"/>
      <c r="I306" s="299"/>
      <c r="J306" s="77"/>
      <c r="K306" s="33"/>
      <c r="L306" s="33"/>
      <c r="M306" s="33"/>
      <c r="N306" s="33"/>
      <c r="O306" s="33"/>
      <c r="P306" s="33"/>
      <c r="Q306" s="33"/>
    </row>
    <row r="307" spans="2:17" s="75" customFormat="1">
      <c r="B307" s="33"/>
      <c r="C307" s="33"/>
      <c r="G307" s="76"/>
      <c r="H307" s="77"/>
      <c r="I307" s="299"/>
      <c r="J307" s="77"/>
      <c r="K307" s="33"/>
      <c r="L307" s="33"/>
      <c r="M307" s="33"/>
      <c r="N307" s="33"/>
      <c r="O307" s="33"/>
      <c r="P307" s="33"/>
      <c r="Q307" s="33"/>
    </row>
    <row r="308" spans="2:17" s="75" customFormat="1">
      <c r="B308" s="33"/>
      <c r="C308" s="33"/>
      <c r="G308" s="76"/>
      <c r="H308" s="77"/>
      <c r="I308" s="299"/>
      <c r="J308" s="77"/>
      <c r="K308" s="33"/>
      <c r="L308" s="33"/>
      <c r="M308" s="33"/>
      <c r="N308" s="33"/>
      <c r="O308" s="33"/>
      <c r="P308" s="33"/>
      <c r="Q308" s="33"/>
    </row>
    <row r="309" spans="2:17" s="75" customFormat="1">
      <c r="B309" s="33"/>
      <c r="C309" s="33"/>
      <c r="G309" s="76"/>
      <c r="H309" s="77"/>
      <c r="I309" s="299"/>
      <c r="J309" s="77"/>
      <c r="K309" s="33"/>
      <c r="L309" s="33"/>
      <c r="M309" s="33"/>
      <c r="N309" s="33"/>
      <c r="O309" s="33"/>
      <c r="P309" s="33"/>
      <c r="Q309" s="33"/>
    </row>
    <row r="310" spans="2:17" s="75" customFormat="1">
      <c r="B310" s="33"/>
      <c r="C310" s="33"/>
      <c r="G310" s="76"/>
      <c r="H310" s="77"/>
      <c r="I310" s="299"/>
      <c r="J310" s="77"/>
      <c r="K310" s="33"/>
      <c r="L310" s="33"/>
      <c r="M310" s="33"/>
      <c r="N310" s="33"/>
      <c r="O310" s="33"/>
      <c r="P310" s="33"/>
      <c r="Q310" s="33"/>
    </row>
    <row r="311" spans="2:17" s="75" customFormat="1">
      <c r="B311" s="33"/>
      <c r="C311" s="33"/>
      <c r="G311" s="76"/>
      <c r="H311" s="77"/>
      <c r="I311" s="299"/>
      <c r="J311" s="77"/>
      <c r="K311" s="33"/>
      <c r="L311" s="33"/>
      <c r="M311" s="33"/>
      <c r="N311" s="33"/>
      <c r="O311" s="33"/>
      <c r="P311" s="33"/>
      <c r="Q311" s="33"/>
    </row>
    <row r="312" spans="2:17" s="75" customFormat="1">
      <c r="B312" s="33"/>
      <c r="C312" s="33"/>
      <c r="G312" s="76"/>
      <c r="H312" s="77"/>
      <c r="I312" s="299"/>
      <c r="J312" s="77"/>
      <c r="K312" s="33"/>
      <c r="L312" s="33"/>
      <c r="M312" s="33"/>
      <c r="N312" s="33"/>
      <c r="O312" s="33"/>
      <c r="P312" s="33"/>
      <c r="Q312" s="33"/>
    </row>
    <row r="313" spans="2:17" s="75" customFormat="1">
      <c r="B313" s="33"/>
      <c r="C313" s="33"/>
      <c r="G313" s="76"/>
      <c r="H313" s="77"/>
      <c r="I313" s="299"/>
      <c r="J313" s="77"/>
      <c r="K313" s="33"/>
      <c r="L313" s="33"/>
      <c r="M313" s="33"/>
      <c r="N313" s="33"/>
      <c r="O313" s="33"/>
      <c r="P313" s="33"/>
      <c r="Q313" s="33"/>
    </row>
    <row r="314" spans="2:17" s="75" customFormat="1">
      <c r="B314" s="33"/>
      <c r="C314" s="33"/>
      <c r="G314" s="76"/>
      <c r="H314" s="77"/>
      <c r="I314" s="299"/>
      <c r="J314" s="77"/>
      <c r="K314" s="33"/>
      <c r="L314" s="33"/>
      <c r="M314" s="33"/>
      <c r="N314" s="33"/>
      <c r="O314" s="33"/>
      <c r="P314" s="33"/>
      <c r="Q314" s="33"/>
    </row>
    <row r="315" spans="2:17" s="75" customFormat="1">
      <c r="B315" s="33"/>
      <c r="C315" s="33"/>
      <c r="G315" s="76"/>
      <c r="H315" s="77"/>
      <c r="I315" s="299"/>
      <c r="J315" s="77"/>
      <c r="K315" s="33"/>
      <c r="L315" s="33"/>
      <c r="M315" s="33"/>
      <c r="N315" s="33"/>
      <c r="O315" s="33"/>
      <c r="P315" s="33"/>
      <c r="Q315" s="33"/>
    </row>
    <row r="316" spans="2:17" s="75" customFormat="1">
      <c r="B316" s="33"/>
      <c r="C316" s="33"/>
      <c r="G316" s="76"/>
      <c r="H316" s="77"/>
      <c r="I316" s="299"/>
      <c r="J316" s="77"/>
      <c r="K316" s="33"/>
      <c r="L316" s="33"/>
      <c r="M316" s="33"/>
      <c r="N316" s="33"/>
      <c r="O316" s="33"/>
      <c r="P316" s="33"/>
      <c r="Q316" s="33"/>
    </row>
    <row r="317" spans="2:17" s="75" customFormat="1">
      <c r="B317" s="33"/>
      <c r="C317" s="33"/>
      <c r="G317" s="76"/>
      <c r="H317" s="77"/>
      <c r="I317" s="299"/>
      <c r="J317" s="77"/>
      <c r="K317" s="33"/>
      <c r="L317" s="33"/>
      <c r="M317" s="33"/>
      <c r="N317" s="33"/>
      <c r="O317" s="33"/>
      <c r="P317" s="33"/>
      <c r="Q317" s="33"/>
    </row>
    <row r="318" spans="2:17" s="75" customFormat="1">
      <c r="B318" s="33"/>
      <c r="C318" s="33"/>
      <c r="G318" s="76"/>
      <c r="H318" s="77"/>
      <c r="I318" s="299"/>
      <c r="J318" s="77"/>
      <c r="K318" s="33"/>
      <c r="L318" s="33"/>
      <c r="M318" s="33"/>
      <c r="N318" s="33"/>
      <c r="O318" s="33"/>
      <c r="P318" s="33"/>
      <c r="Q318" s="33"/>
    </row>
    <row r="319" spans="2:17" s="75" customFormat="1">
      <c r="B319" s="33"/>
      <c r="C319" s="33"/>
      <c r="G319" s="76"/>
      <c r="H319" s="77"/>
      <c r="I319" s="299"/>
      <c r="J319" s="77"/>
      <c r="K319" s="33"/>
      <c r="L319" s="33"/>
      <c r="M319" s="33"/>
      <c r="N319" s="33"/>
      <c r="O319" s="33"/>
      <c r="P319" s="33"/>
      <c r="Q319" s="33"/>
    </row>
    <row r="320" spans="2:17" s="75" customFormat="1">
      <c r="B320" s="33"/>
      <c r="C320" s="33"/>
      <c r="G320" s="76"/>
      <c r="H320" s="77"/>
      <c r="I320" s="299"/>
      <c r="J320" s="77"/>
      <c r="K320" s="33"/>
      <c r="L320" s="33"/>
      <c r="M320" s="33"/>
      <c r="N320" s="33"/>
      <c r="O320" s="33"/>
      <c r="P320" s="33"/>
      <c r="Q320" s="33"/>
    </row>
    <row r="321" spans="2:17" s="75" customFormat="1">
      <c r="B321" s="33"/>
      <c r="C321" s="33"/>
      <c r="G321" s="76"/>
      <c r="H321" s="77"/>
      <c r="I321" s="299"/>
      <c r="J321" s="77"/>
      <c r="K321" s="33"/>
      <c r="L321" s="33"/>
      <c r="M321" s="33"/>
      <c r="N321" s="33"/>
      <c r="O321" s="33"/>
      <c r="P321" s="33"/>
      <c r="Q321" s="33"/>
    </row>
    <row r="322" spans="2:17" s="75" customFormat="1">
      <c r="B322" s="33"/>
      <c r="C322" s="33"/>
      <c r="G322" s="76"/>
      <c r="H322" s="77"/>
      <c r="I322" s="299"/>
      <c r="J322" s="77"/>
      <c r="K322" s="33"/>
      <c r="L322" s="33"/>
      <c r="M322" s="33"/>
      <c r="N322" s="33"/>
      <c r="O322" s="33"/>
      <c r="P322" s="33"/>
      <c r="Q322" s="33"/>
    </row>
    <row r="323" spans="2:17" s="75" customFormat="1">
      <c r="B323" s="33"/>
      <c r="C323" s="33"/>
      <c r="G323" s="76"/>
      <c r="H323" s="77"/>
      <c r="I323" s="299"/>
      <c r="J323" s="77"/>
      <c r="K323" s="33"/>
      <c r="L323" s="33"/>
      <c r="M323" s="33"/>
      <c r="N323" s="33"/>
      <c r="O323" s="33"/>
      <c r="P323" s="33"/>
      <c r="Q323" s="33"/>
    </row>
    <row r="324" spans="2:17" s="75" customFormat="1">
      <c r="B324" s="33"/>
      <c r="C324" s="33"/>
      <c r="G324" s="76"/>
      <c r="H324" s="77"/>
      <c r="I324" s="299"/>
      <c r="J324" s="77"/>
      <c r="K324" s="33"/>
      <c r="L324" s="33"/>
      <c r="M324" s="33"/>
      <c r="N324" s="33"/>
      <c r="O324" s="33"/>
      <c r="P324" s="33"/>
      <c r="Q324" s="33"/>
    </row>
    <row r="325" spans="2:17" s="75" customFormat="1">
      <c r="B325" s="33"/>
      <c r="C325" s="33"/>
      <c r="G325" s="76"/>
      <c r="H325" s="77"/>
      <c r="I325" s="299"/>
      <c r="J325" s="77"/>
      <c r="K325" s="33"/>
      <c r="L325" s="33"/>
      <c r="M325" s="33"/>
      <c r="N325" s="33"/>
      <c r="O325" s="33"/>
      <c r="P325" s="33"/>
      <c r="Q325" s="33"/>
    </row>
    <row r="326" spans="2:17" s="75" customFormat="1">
      <c r="B326" s="33"/>
      <c r="C326" s="33"/>
      <c r="G326" s="76"/>
      <c r="H326" s="77"/>
      <c r="I326" s="299"/>
      <c r="J326" s="77"/>
      <c r="K326" s="33"/>
      <c r="L326" s="33"/>
      <c r="M326" s="33"/>
      <c r="N326" s="33"/>
      <c r="O326" s="33"/>
      <c r="P326" s="33"/>
      <c r="Q326" s="33"/>
    </row>
    <row r="327" spans="2:17" s="75" customFormat="1">
      <c r="B327" s="33"/>
      <c r="C327" s="33"/>
      <c r="G327" s="76"/>
      <c r="H327" s="77"/>
      <c r="I327" s="299"/>
      <c r="J327" s="77"/>
      <c r="K327" s="33"/>
      <c r="L327" s="33"/>
      <c r="M327" s="33"/>
      <c r="N327" s="33"/>
      <c r="O327" s="33"/>
      <c r="P327" s="33"/>
      <c r="Q327" s="33"/>
    </row>
    <row r="328" spans="2:17" s="75" customFormat="1">
      <c r="B328" s="33"/>
      <c r="C328" s="33"/>
      <c r="G328" s="76"/>
      <c r="H328" s="77"/>
      <c r="I328" s="299"/>
      <c r="J328" s="77"/>
      <c r="K328" s="33"/>
      <c r="L328" s="33"/>
      <c r="M328" s="33"/>
      <c r="N328" s="33"/>
      <c r="O328" s="33"/>
      <c r="P328" s="33"/>
      <c r="Q328" s="33"/>
    </row>
    <row r="329" spans="2:17" s="75" customFormat="1">
      <c r="B329" s="33"/>
      <c r="C329" s="33"/>
      <c r="G329" s="76"/>
      <c r="H329" s="77"/>
      <c r="I329" s="299"/>
      <c r="J329" s="77"/>
      <c r="K329" s="33"/>
      <c r="L329" s="33"/>
      <c r="M329" s="33"/>
      <c r="N329" s="33"/>
      <c r="O329" s="33"/>
      <c r="P329" s="33"/>
      <c r="Q329" s="33"/>
    </row>
    <row r="330" spans="2:17" s="75" customFormat="1">
      <c r="B330" s="33"/>
      <c r="C330" s="33"/>
      <c r="G330" s="76"/>
      <c r="H330" s="77"/>
      <c r="I330" s="299"/>
      <c r="J330" s="77"/>
      <c r="K330" s="33"/>
      <c r="L330" s="33"/>
      <c r="M330" s="33"/>
      <c r="N330" s="33"/>
      <c r="O330" s="33"/>
      <c r="P330" s="33"/>
      <c r="Q330" s="33"/>
    </row>
    <row r="331" spans="2:17" s="75" customFormat="1">
      <c r="B331" s="33"/>
      <c r="C331" s="33"/>
      <c r="G331" s="76"/>
      <c r="H331" s="77"/>
      <c r="I331" s="299"/>
      <c r="J331" s="77"/>
      <c r="K331" s="33"/>
      <c r="L331" s="33"/>
      <c r="M331" s="33"/>
      <c r="N331" s="33"/>
      <c r="O331" s="33"/>
      <c r="P331" s="33"/>
      <c r="Q331" s="33"/>
    </row>
    <row r="332" spans="2:17" s="75" customFormat="1">
      <c r="B332" s="33"/>
      <c r="C332" s="33"/>
      <c r="G332" s="76"/>
      <c r="H332" s="77"/>
      <c r="I332" s="299"/>
      <c r="J332" s="77"/>
      <c r="K332" s="33"/>
      <c r="L332" s="33"/>
      <c r="M332" s="33"/>
      <c r="N332" s="33"/>
      <c r="O332" s="33"/>
      <c r="P332" s="33"/>
      <c r="Q332" s="33"/>
    </row>
    <row r="333" spans="2:17" s="75" customFormat="1">
      <c r="B333" s="33"/>
      <c r="C333" s="33"/>
      <c r="G333" s="76"/>
      <c r="H333" s="77"/>
      <c r="I333" s="299"/>
      <c r="J333" s="77"/>
      <c r="K333" s="33"/>
      <c r="L333" s="33"/>
      <c r="M333" s="33"/>
      <c r="N333" s="33"/>
      <c r="O333" s="33"/>
      <c r="P333" s="33"/>
      <c r="Q333" s="33"/>
    </row>
    <row r="334" spans="2:17" s="75" customFormat="1">
      <c r="B334" s="33"/>
      <c r="C334" s="33"/>
      <c r="G334" s="76"/>
      <c r="H334" s="77"/>
      <c r="I334" s="299"/>
      <c r="J334" s="77"/>
      <c r="K334" s="33"/>
      <c r="L334" s="33"/>
      <c r="M334" s="33"/>
      <c r="N334" s="33"/>
      <c r="O334" s="33"/>
      <c r="P334" s="33"/>
      <c r="Q334" s="33"/>
    </row>
    <row r="335" spans="2:17" s="75" customFormat="1">
      <c r="B335" s="33"/>
      <c r="C335" s="33"/>
      <c r="G335" s="76"/>
      <c r="H335" s="77"/>
      <c r="I335" s="299"/>
      <c r="J335" s="77"/>
      <c r="K335" s="33"/>
      <c r="L335" s="33"/>
      <c r="M335" s="33"/>
      <c r="N335" s="33"/>
      <c r="O335" s="33"/>
      <c r="P335" s="33"/>
      <c r="Q335" s="33"/>
    </row>
    <row r="336" spans="2:17" s="75" customFormat="1">
      <c r="B336" s="33"/>
      <c r="C336" s="33"/>
      <c r="G336" s="76"/>
      <c r="H336" s="77"/>
      <c r="I336" s="299"/>
      <c r="J336" s="77"/>
      <c r="K336" s="33"/>
      <c r="L336" s="33"/>
      <c r="M336" s="33"/>
      <c r="N336" s="33"/>
      <c r="O336" s="33"/>
      <c r="P336" s="33"/>
      <c r="Q336" s="33"/>
    </row>
    <row r="337" spans="2:17" s="75" customFormat="1">
      <c r="B337" s="33"/>
      <c r="C337" s="33"/>
      <c r="G337" s="76"/>
      <c r="H337" s="77"/>
      <c r="I337" s="299"/>
      <c r="J337" s="77"/>
      <c r="K337" s="33"/>
      <c r="L337" s="33"/>
      <c r="M337" s="33"/>
      <c r="N337" s="33"/>
      <c r="O337" s="33"/>
      <c r="P337" s="33"/>
      <c r="Q337" s="33"/>
    </row>
    <row r="338" spans="2:17" s="75" customFormat="1">
      <c r="B338" s="33"/>
      <c r="C338" s="33"/>
      <c r="G338" s="76"/>
      <c r="H338" s="77"/>
      <c r="I338" s="299"/>
      <c r="J338" s="77"/>
      <c r="K338" s="33"/>
      <c r="L338" s="33"/>
      <c r="M338" s="33"/>
      <c r="N338" s="33"/>
      <c r="O338" s="33"/>
      <c r="P338" s="33"/>
      <c r="Q338" s="33"/>
    </row>
    <row r="339" spans="2:17" s="75" customFormat="1">
      <c r="B339" s="33"/>
      <c r="C339" s="33"/>
      <c r="G339" s="76"/>
      <c r="H339" s="77"/>
      <c r="I339" s="299"/>
      <c r="J339" s="77"/>
      <c r="K339" s="33"/>
      <c r="L339" s="33"/>
      <c r="M339" s="33"/>
      <c r="N339" s="33"/>
      <c r="O339" s="33"/>
      <c r="P339" s="33"/>
      <c r="Q339" s="33"/>
    </row>
    <row r="340" spans="2:17" s="75" customFormat="1">
      <c r="B340" s="33"/>
      <c r="C340" s="33"/>
      <c r="G340" s="76"/>
      <c r="H340" s="77"/>
      <c r="I340" s="299"/>
      <c r="J340" s="77"/>
      <c r="K340" s="33"/>
      <c r="L340" s="33"/>
      <c r="M340" s="33"/>
      <c r="N340" s="33"/>
      <c r="O340" s="33"/>
      <c r="P340" s="33"/>
      <c r="Q340" s="33"/>
    </row>
    <row r="341" spans="2:17" s="75" customFormat="1">
      <c r="B341" s="33"/>
      <c r="C341" s="33"/>
      <c r="G341" s="76"/>
      <c r="H341" s="77"/>
      <c r="I341" s="299"/>
      <c r="J341" s="77"/>
      <c r="K341" s="33"/>
      <c r="L341" s="33"/>
      <c r="M341" s="33"/>
      <c r="N341" s="33"/>
      <c r="O341" s="33"/>
      <c r="P341" s="33"/>
      <c r="Q341" s="33"/>
    </row>
    <row r="342" spans="2:17" s="75" customFormat="1">
      <c r="B342" s="33"/>
      <c r="C342" s="33"/>
      <c r="G342" s="76"/>
      <c r="H342" s="77"/>
      <c r="I342" s="299"/>
      <c r="J342" s="77"/>
      <c r="K342" s="33"/>
      <c r="L342" s="33"/>
      <c r="M342" s="33"/>
      <c r="N342" s="33"/>
      <c r="O342" s="33"/>
      <c r="P342" s="33"/>
      <c r="Q342" s="33"/>
    </row>
    <row r="343" spans="2:17" s="75" customFormat="1">
      <c r="B343" s="33"/>
      <c r="C343" s="33"/>
      <c r="G343" s="76"/>
      <c r="H343" s="77"/>
      <c r="I343" s="299"/>
      <c r="J343" s="77"/>
      <c r="K343" s="33"/>
      <c r="L343" s="33"/>
      <c r="M343" s="33"/>
      <c r="N343" s="33"/>
      <c r="O343" s="33"/>
      <c r="P343" s="33"/>
      <c r="Q343" s="33"/>
    </row>
    <row r="344" spans="2:17" s="75" customFormat="1">
      <c r="B344" s="33"/>
      <c r="C344" s="33"/>
      <c r="G344" s="76"/>
      <c r="H344" s="77"/>
      <c r="I344" s="299"/>
      <c r="J344" s="77"/>
      <c r="K344" s="33"/>
      <c r="L344" s="33"/>
      <c r="M344" s="33"/>
      <c r="N344" s="33"/>
      <c r="O344" s="33"/>
      <c r="P344" s="33"/>
      <c r="Q344" s="33"/>
    </row>
    <row r="345" spans="2:17" s="75" customFormat="1">
      <c r="B345" s="33"/>
      <c r="C345" s="33"/>
      <c r="G345" s="76"/>
      <c r="H345" s="77"/>
      <c r="I345" s="299"/>
      <c r="J345" s="77"/>
      <c r="K345" s="33"/>
      <c r="L345" s="33"/>
      <c r="M345" s="33"/>
      <c r="N345" s="33"/>
      <c r="O345" s="33"/>
      <c r="P345" s="33"/>
      <c r="Q345" s="33"/>
    </row>
    <row r="346" spans="2:17" s="75" customFormat="1">
      <c r="B346" s="33"/>
      <c r="C346" s="33"/>
      <c r="G346" s="76"/>
      <c r="H346" s="77"/>
      <c r="I346" s="299"/>
      <c r="J346" s="77"/>
      <c r="K346" s="33"/>
      <c r="L346" s="33"/>
      <c r="M346" s="33"/>
      <c r="N346" s="33"/>
      <c r="O346" s="33"/>
      <c r="P346" s="33"/>
      <c r="Q346" s="33"/>
    </row>
    <row r="347" spans="2:17" s="75" customFormat="1">
      <c r="B347" s="33"/>
      <c r="C347" s="33"/>
      <c r="G347" s="76"/>
      <c r="H347" s="77"/>
      <c r="I347" s="299"/>
      <c r="J347" s="77"/>
      <c r="K347" s="33"/>
      <c r="L347" s="33"/>
      <c r="M347" s="33"/>
      <c r="N347" s="33"/>
      <c r="O347" s="33"/>
      <c r="P347" s="33"/>
      <c r="Q347" s="33"/>
    </row>
    <row r="348" spans="2:17" s="75" customFormat="1">
      <c r="B348" s="33"/>
      <c r="C348" s="33"/>
      <c r="G348" s="76"/>
      <c r="H348" s="77"/>
      <c r="I348" s="299"/>
      <c r="J348" s="77"/>
      <c r="K348" s="33"/>
      <c r="L348" s="33"/>
      <c r="M348" s="33"/>
      <c r="N348" s="33"/>
      <c r="O348" s="33"/>
      <c r="P348" s="33"/>
      <c r="Q348" s="33"/>
    </row>
    <row r="349" spans="2:17" s="75" customFormat="1">
      <c r="B349" s="33"/>
      <c r="C349" s="33"/>
      <c r="G349" s="76"/>
      <c r="H349" s="77"/>
      <c r="I349" s="299"/>
      <c r="J349" s="77"/>
      <c r="K349" s="33"/>
      <c r="L349" s="33"/>
      <c r="M349" s="33"/>
      <c r="N349" s="33"/>
      <c r="O349" s="33"/>
      <c r="P349" s="33"/>
      <c r="Q349" s="33"/>
    </row>
    <row r="350" spans="2:17" s="75" customFormat="1">
      <c r="B350" s="33"/>
      <c r="C350" s="33"/>
      <c r="G350" s="76"/>
      <c r="H350" s="77"/>
      <c r="I350" s="299"/>
      <c r="J350" s="77"/>
      <c r="K350" s="33"/>
      <c r="L350" s="33"/>
      <c r="M350" s="33"/>
      <c r="N350" s="33"/>
      <c r="O350" s="33"/>
      <c r="P350" s="33"/>
      <c r="Q350" s="33"/>
    </row>
    <row r="351" spans="2:17" s="75" customFormat="1">
      <c r="B351" s="33"/>
      <c r="C351" s="33"/>
      <c r="G351" s="76"/>
      <c r="H351" s="77"/>
      <c r="I351" s="299"/>
      <c r="J351" s="77"/>
      <c r="K351" s="33"/>
      <c r="L351" s="33"/>
      <c r="M351" s="33"/>
      <c r="N351" s="33"/>
      <c r="O351" s="33"/>
      <c r="P351" s="33"/>
      <c r="Q351" s="33"/>
    </row>
    <row r="352" spans="2:17" s="75" customFormat="1">
      <c r="B352" s="33"/>
      <c r="C352" s="33"/>
      <c r="G352" s="76"/>
      <c r="H352" s="77"/>
      <c r="I352" s="299"/>
      <c r="J352" s="77"/>
      <c r="K352" s="33"/>
      <c r="L352" s="33"/>
      <c r="M352" s="33"/>
      <c r="N352" s="33"/>
      <c r="O352" s="33"/>
      <c r="P352" s="33"/>
      <c r="Q352" s="33"/>
    </row>
    <row r="353" spans="2:17" s="75" customFormat="1">
      <c r="B353" s="33"/>
      <c r="C353" s="33"/>
      <c r="G353" s="76"/>
      <c r="H353" s="77"/>
      <c r="I353" s="299"/>
      <c r="J353" s="77"/>
      <c r="K353" s="33"/>
      <c r="L353" s="33"/>
      <c r="M353" s="33"/>
      <c r="N353" s="33"/>
      <c r="O353" s="33"/>
      <c r="P353" s="33"/>
      <c r="Q353" s="33"/>
    </row>
    <row r="354" spans="2:17" s="75" customFormat="1">
      <c r="B354" s="33"/>
      <c r="C354" s="33"/>
      <c r="G354" s="76"/>
      <c r="H354" s="77"/>
      <c r="I354" s="299"/>
      <c r="J354" s="77"/>
      <c r="K354" s="33"/>
      <c r="L354" s="33"/>
      <c r="M354" s="33"/>
      <c r="N354" s="33"/>
      <c r="O354" s="33"/>
      <c r="P354" s="33"/>
      <c r="Q354" s="33"/>
    </row>
    <row r="355" spans="2:17" s="75" customFormat="1">
      <c r="B355" s="33"/>
      <c r="C355" s="33"/>
      <c r="G355" s="76"/>
      <c r="H355" s="77"/>
      <c r="I355" s="299"/>
      <c r="J355" s="77"/>
      <c r="K355" s="33"/>
      <c r="L355" s="33"/>
      <c r="M355" s="33"/>
      <c r="N355" s="33"/>
      <c r="O355" s="33"/>
      <c r="P355" s="33"/>
      <c r="Q355" s="33"/>
    </row>
    <row r="356" spans="2:17" s="75" customFormat="1">
      <c r="B356" s="33"/>
      <c r="C356" s="33"/>
      <c r="G356" s="76"/>
      <c r="H356" s="77"/>
      <c r="I356" s="299"/>
      <c r="J356" s="77"/>
      <c r="K356" s="33"/>
      <c r="L356" s="33"/>
      <c r="M356" s="33"/>
      <c r="N356" s="33"/>
      <c r="O356" s="33"/>
      <c r="P356" s="33"/>
      <c r="Q356" s="33"/>
    </row>
    <row r="357" spans="2:17" s="75" customFormat="1">
      <c r="B357" s="33"/>
      <c r="C357" s="33"/>
      <c r="G357" s="76"/>
      <c r="H357" s="77"/>
      <c r="I357" s="299"/>
      <c r="J357" s="77"/>
      <c r="K357" s="33"/>
      <c r="L357" s="33"/>
      <c r="M357" s="33"/>
      <c r="N357" s="33"/>
      <c r="O357" s="33"/>
      <c r="P357" s="33"/>
      <c r="Q357" s="33"/>
    </row>
    <row r="358" spans="2:17" s="75" customFormat="1">
      <c r="B358" s="33"/>
      <c r="C358" s="33"/>
      <c r="G358" s="76"/>
      <c r="H358" s="77"/>
      <c r="I358" s="299"/>
      <c r="J358" s="77"/>
      <c r="K358" s="33"/>
      <c r="L358" s="33"/>
      <c r="M358" s="33"/>
      <c r="N358" s="33"/>
      <c r="O358" s="33"/>
      <c r="P358" s="33"/>
      <c r="Q358" s="33"/>
    </row>
    <row r="359" spans="2:17" s="75" customFormat="1">
      <c r="B359" s="33"/>
      <c r="C359" s="33"/>
      <c r="G359" s="76"/>
      <c r="H359" s="77"/>
      <c r="I359" s="299"/>
      <c r="J359" s="77"/>
      <c r="K359" s="33"/>
      <c r="L359" s="33"/>
      <c r="M359" s="33"/>
      <c r="N359" s="33"/>
      <c r="O359" s="33"/>
      <c r="P359" s="33"/>
      <c r="Q359" s="33"/>
    </row>
    <row r="360" spans="2:17" s="75" customFormat="1">
      <c r="B360" s="33"/>
      <c r="C360" s="33"/>
      <c r="G360" s="76"/>
      <c r="H360" s="77"/>
      <c r="I360" s="299"/>
      <c r="J360" s="77"/>
      <c r="K360" s="33"/>
      <c r="L360" s="33"/>
      <c r="M360" s="33"/>
      <c r="N360" s="33"/>
      <c r="O360" s="33"/>
      <c r="P360" s="33"/>
      <c r="Q360" s="33"/>
    </row>
    <row r="361" spans="2:17" s="75" customFormat="1">
      <c r="B361" s="33"/>
      <c r="C361" s="33"/>
      <c r="G361" s="76"/>
      <c r="H361" s="77"/>
      <c r="I361" s="299"/>
      <c r="J361" s="77"/>
      <c r="K361" s="33"/>
      <c r="L361" s="33"/>
      <c r="M361" s="33"/>
      <c r="N361" s="33"/>
      <c r="O361" s="33"/>
      <c r="P361" s="33"/>
      <c r="Q361" s="33"/>
    </row>
    <row r="362" spans="2:17" s="75" customFormat="1">
      <c r="B362" s="33"/>
      <c r="C362" s="33"/>
      <c r="G362" s="76"/>
      <c r="H362" s="77"/>
      <c r="I362" s="299"/>
      <c r="J362" s="77"/>
      <c r="K362" s="33"/>
      <c r="L362" s="33"/>
      <c r="M362" s="33"/>
      <c r="N362" s="33"/>
      <c r="O362" s="33"/>
      <c r="P362" s="33"/>
      <c r="Q362" s="33"/>
    </row>
    <row r="363" spans="2:17" s="75" customFormat="1">
      <c r="B363" s="33"/>
      <c r="C363" s="33"/>
      <c r="G363" s="76"/>
      <c r="H363" s="77"/>
      <c r="I363" s="299"/>
      <c r="J363" s="77"/>
      <c r="K363" s="33"/>
      <c r="L363" s="33"/>
      <c r="M363" s="33"/>
      <c r="N363" s="33"/>
      <c r="O363" s="33"/>
      <c r="P363" s="33"/>
      <c r="Q363" s="33"/>
    </row>
    <row r="364" spans="2:17" s="75" customFormat="1">
      <c r="B364" s="33"/>
      <c r="C364" s="33"/>
      <c r="G364" s="76"/>
      <c r="H364" s="77"/>
      <c r="I364" s="299"/>
      <c r="J364" s="77"/>
      <c r="K364" s="33"/>
      <c r="L364" s="33"/>
      <c r="M364" s="33"/>
      <c r="N364" s="33"/>
      <c r="O364" s="33"/>
      <c r="P364" s="33"/>
      <c r="Q364" s="33"/>
    </row>
    <row r="365" spans="2:17" s="75" customFormat="1">
      <c r="B365" s="33"/>
      <c r="C365" s="33"/>
      <c r="G365" s="76"/>
      <c r="H365" s="77"/>
      <c r="I365" s="299"/>
      <c r="J365" s="77"/>
      <c r="K365" s="33"/>
      <c r="L365" s="33"/>
      <c r="M365" s="33"/>
      <c r="N365" s="33"/>
      <c r="O365" s="33"/>
      <c r="P365" s="33"/>
      <c r="Q365" s="33"/>
    </row>
    <row r="366" spans="2:17" s="75" customFormat="1">
      <c r="B366" s="33"/>
      <c r="C366" s="33"/>
      <c r="G366" s="76"/>
      <c r="H366" s="77"/>
      <c r="I366" s="299"/>
      <c r="J366" s="77"/>
      <c r="K366" s="33"/>
      <c r="L366" s="33"/>
      <c r="M366" s="33"/>
      <c r="N366" s="33"/>
      <c r="O366" s="33"/>
      <c r="P366" s="33"/>
      <c r="Q366" s="33"/>
    </row>
    <row r="367" spans="2:17" s="75" customFormat="1">
      <c r="B367" s="33"/>
      <c r="C367" s="33"/>
      <c r="G367" s="76"/>
      <c r="H367" s="77"/>
      <c r="I367" s="299"/>
      <c r="J367" s="77"/>
      <c r="K367" s="33"/>
      <c r="L367" s="33"/>
      <c r="M367" s="33"/>
      <c r="N367" s="33"/>
      <c r="O367" s="33"/>
      <c r="P367" s="33"/>
      <c r="Q367" s="33"/>
    </row>
    <row r="368" spans="2:17" s="75" customFormat="1">
      <c r="B368" s="33"/>
      <c r="C368" s="33"/>
      <c r="G368" s="76"/>
      <c r="H368" s="77"/>
      <c r="I368" s="299"/>
      <c r="J368" s="77"/>
      <c r="K368" s="33"/>
      <c r="L368" s="33"/>
      <c r="M368" s="33"/>
      <c r="N368" s="33"/>
      <c r="O368" s="33"/>
      <c r="P368" s="33"/>
      <c r="Q368" s="33"/>
    </row>
    <row r="369" spans="2:17" s="75" customFormat="1">
      <c r="B369" s="33"/>
      <c r="C369" s="33"/>
      <c r="G369" s="76"/>
      <c r="H369" s="77"/>
      <c r="I369" s="299"/>
      <c r="J369" s="77"/>
      <c r="K369" s="33"/>
      <c r="L369" s="33"/>
      <c r="M369" s="33"/>
      <c r="N369" s="33"/>
      <c r="O369" s="33"/>
      <c r="P369" s="33"/>
      <c r="Q369" s="33"/>
    </row>
    <row r="370" spans="2:17" s="75" customFormat="1">
      <c r="B370" s="33"/>
      <c r="C370" s="33"/>
      <c r="G370" s="76"/>
      <c r="H370" s="77"/>
      <c r="I370" s="299"/>
      <c r="J370" s="77"/>
      <c r="K370" s="33"/>
      <c r="L370" s="33"/>
      <c r="M370" s="33"/>
      <c r="N370" s="33"/>
      <c r="O370" s="33"/>
      <c r="P370" s="33"/>
      <c r="Q370" s="33"/>
    </row>
    <row r="371" spans="2:17" s="75" customFormat="1">
      <c r="B371" s="33"/>
      <c r="C371" s="33"/>
      <c r="G371" s="76"/>
      <c r="H371" s="77"/>
      <c r="I371" s="299"/>
      <c r="J371" s="77"/>
      <c r="K371" s="33"/>
      <c r="L371" s="33"/>
      <c r="M371" s="33"/>
      <c r="N371" s="33"/>
      <c r="O371" s="33"/>
      <c r="P371" s="33"/>
      <c r="Q371" s="33"/>
    </row>
    <row r="372" spans="2:17" s="75" customFormat="1">
      <c r="B372" s="33"/>
      <c r="C372" s="33"/>
      <c r="G372" s="76"/>
      <c r="H372" s="77"/>
      <c r="I372" s="299"/>
      <c r="J372" s="77"/>
      <c r="K372" s="33"/>
      <c r="L372" s="33"/>
      <c r="M372" s="33"/>
      <c r="N372" s="33"/>
      <c r="O372" s="33"/>
      <c r="P372" s="33"/>
      <c r="Q372" s="33"/>
    </row>
    <row r="373" spans="2:17" s="75" customFormat="1">
      <c r="B373" s="33"/>
      <c r="C373" s="33"/>
      <c r="G373" s="76"/>
      <c r="H373" s="77"/>
      <c r="I373" s="299"/>
      <c r="J373" s="77"/>
      <c r="K373" s="33"/>
      <c r="L373" s="33"/>
      <c r="M373" s="33"/>
      <c r="N373" s="33"/>
      <c r="O373" s="33"/>
      <c r="P373" s="33"/>
      <c r="Q373" s="33"/>
    </row>
    <row r="374" spans="2:17" s="75" customFormat="1">
      <c r="B374" s="33"/>
      <c r="C374" s="33"/>
      <c r="G374" s="76"/>
      <c r="H374" s="77"/>
      <c r="I374" s="299"/>
      <c r="J374" s="77"/>
      <c r="K374" s="33"/>
      <c r="L374" s="33"/>
      <c r="M374" s="33"/>
      <c r="N374" s="33"/>
      <c r="O374" s="33"/>
      <c r="P374" s="33"/>
      <c r="Q374" s="33"/>
    </row>
    <row r="375" spans="2:17" s="75" customFormat="1">
      <c r="B375" s="33"/>
      <c r="C375" s="33"/>
      <c r="G375" s="76"/>
      <c r="H375" s="77"/>
      <c r="I375" s="299"/>
      <c r="J375" s="77"/>
      <c r="K375" s="33"/>
      <c r="L375" s="33"/>
      <c r="M375" s="33"/>
      <c r="N375" s="33"/>
      <c r="O375" s="33"/>
      <c r="P375" s="33"/>
      <c r="Q375" s="33"/>
    </row>
    <row r="376" spans="2:17" s="75" customFormat="1">
      <c r="B376" s="33"/>
      <c r="C376" s="33"/>
      <c r="G376" s="76"/>
      <c r="H376" s="77"/>
      <c r="I376" s="299"/>
      <c r="J376" s="77"/>
      <c r="K376" s="33"/>
      <c r="L376" s="33"/>
      <c r="M376" s="33"/>
      <c r="N376" s="33"/>
      <c r="O376" s="33"/>
      <c r="P376" s="33"/>
      <c r="Q376" s="33"/>
    </row>
    <row r="377" spans="2:17" s="75" customFormat="1">
      <c r="B377" s="33"/>
      <c r="C377" s="33"/>
      <c r="G377" s="76"/>
      <c r="H377" s="77"/>
      <c r="I377" s="299"/>
      <c r="J377" s="77"/>
      <c r="K377" s="33"/>
      <c r="L377" s="33"/>
      <c r="M377" s="33"/>
      <c r="N377" s="33"/>
      <c r="O377" s="33"/>
      <c r="P377" s="33"/>
      <c r="Q377" s="33"/>
    </row>
    <row r="378" spans="2:17" s="75" customFormat="1">
      <c r="B378" s="33"/>
      <c r="C378" s="33"/>
      <c r="G378" s="76"/>
      <c r="H378" s="77"/>
      <c r="I378" s="299"/>
      <c r="J378" s="77"/>
      <c r="K378" s="33"/>
      <c r="L378" s="33"/>
      <c r="M378" s="33"/>
      <c r="N378" s="33"/>
      <c r="O378" s="33"/>
      <c r="P378" s="33"/>
      <c r="Q378" s="33"/>
    </row>
    <row r="379" spans="2:17" s="75" customFormat="1">
      <c r="B379" s="33"/>
      <c r="C379" s="33"/>
      <c r="G379" s="76"/>
      <c r="H379" s="77"/>
      <c r="I379" s="299"/>
      <c r="J379" s="77"/>
      <c r="K379" s="33"/>
      <c r="L379" s="33"/>
      <c r="M379" s="33"/>
      <c r="N379" s="33"/>
      <c r="O379" s="33"/>
      <c r="P379" s="33"/>
      <c r="Q379" s="33"/>
    </row>
    <row r="380" spans="2:17" s="75" customFormat="1">
      <c r="B380" s="33"/>
      <c r="C380" s="33"/>
      <c r="G380" s="76"/>
      <c r="H380" s="77"/>
      <c r="I380" s="299"/>
      <c r="J380" s="77"/>
      <c r="K380" s="33"/>
      <c r="L380" s="33"/>
      <c r="M380" s="33"/>
      <c r="N380" s="33"/>
      <c r="O380" s="33"/>
      <c r="P380" s="33"/>
      <c r="Q380" s="33"/>
    </row>
    <row r="381" spans="2:17" s="75" customFormat="1">
      <c r="B381" s="33"/>
      <c r="C381" s="33"/>
      <c r="G381" s="76"/>
      <c r="H381" s="77"/>
      <c r="I381" s="299"/>
      <c r="J381" s="77"/>
      <c r="K381" s="33"/>
      <c r="L381" s="33"/>
      <c r="M381" s="33"/>
      <c r="N381" s="33"/>
      <c r="O381" s="33"/>
      <c r="P381" s="33"/>
      <c r="Q381" s="33"/>
    </row>
    <row r="382" spans="2:17" s="75" customFormat="1">
      <c r="B382" s="33"/>
      <c r="C382" s="33"/>
      <c r="G382" s="76"/>
      <c r="H382" s="77"/>
      <c r="I382" s="299"/>
      <c r="J382" s="77"/>
      <c r="K382" s="33"/>
      <c r="L382" s="33"/>
      <c r="M382" s="33"/>
      <c r="N382" s="33"/>
      <c r="O382" s="33"/>
      <c r="P382" s="33"/>
      <c r="Q382" s="33"/>
    </row>
    <row r="383" spans="2:17" s="75" customFormat="1">
      <c r="B383" s="33"/>
      <c r="C383" s="33"/>
      <c r="G383" s="76"/>
      <c r="H383" s="77"/>
      <c r="I383" s="299"/>
      <c r="J383" s="77"/>
      <c r="K383" s="33"/>
      <c r="L383" s="33"/>
      <c r="M383" s="33"/>
      <c r="N383" s="33"/>
      <c r="O383" s="33"/>
      <c r="P383" s="33"/>
      <c r="Q383" s="33"/>
    </row>
    <row r="384" spans="2:17" s="75" customFormat="1">
      <c r="B384" s="33"/>
      <c r="C384" s="33"/>
      <c r="G384" s="76"/>
      <c r="H384" s="77"/>
      <c r="I384" s="299"/>
      <c r="J384" s="77"/>
      <c r="K384" s="33"/>
      <c r="L384" s="33"/>
      <c r="M384" s="33"/>
      <c r="N384" s="33"/>
      <c r="O384" s="33"/>
      <c r="P384" s="33"/>
      <c r="Q384" s="33"/>
    </row>
    <row r="385" spans="2:17" s="75" customFormat="1">
      <c r="B385" s="33"/>
      <c r="C385" s="33"/>
      <c r="G385" s="76"/>
      <c r="H385" s="77"/>
      <c r="I385" s="299"/>
      <c r="J385" s="77"/>
      <c r="K385" s="33"/>
      <c r="L385" s="33"/>
      <c r="M385" s="33"/>
      <c r="N385" s="33"/>
      <c r="O385" s="33"/>
      <c r="P385" s="33"/>
      <c r="Q385" s="33"/>
    </row>
    <row r="386" spans="2:17" s="75" customFormat="1">
      <c r="B386" s="33"/>
      <c r="C386" s="33"/>
      <c r="G386" s="76"/>
      <c r="H386" s="77"/>
      <c r="I386" s="299"/>
      <c r="J386" s="77"/>
      <c r="K386" s="33"/>
      <c r="L386" s="33"/>
      <c r="M386" s="33"/>
      <c r="N386" s="33"/>
      <c r="O386" s="33"/>
      <c r="P386" s="33"/>
      <c r="Q386" s="33"/>
    </row>
    <row r="387" spans="2:17" s="75" customFormat="1">
      <c r="B387" s="33"/>
      <c r="C387" s="33"/>
      <c r="G387" s="76"/>
      <c r="H387" s="77"/>
      <c r="I387" s="299"/>
      <c r="J387" s="77"/>
      <c r="K387" s="33"/>
      <c r="L387" s="33"/>
      <c r="M387" s="33"/>
      <c r="N387" s="33"/>
      <c r="O387" s="33"/>
      <c r="P387" s="33"/>
      <c r="Q387" s="33"/>
    </row>
    <row r="388" spans="2:17" s="75" customFormat="1">
      <c r="B388" s="33"/>
      <c r="C388" s="33"/>
      <c r="G388" s="76"/>
      <c r="H388" s="77"/>
      <c r="I388" s="299"/>
      <c r="J388" s="77"/>
      <c r="K388" s="33"/>
      <c r="L388" s="33"/>
      <c r="M388" s="33"/>
      <c r="N388" s="33"/>
      <c r="O388" s="33"/>
      <c r="P388" s="33"/>
      <c r="Q388" s="33"/>
    </row>
    <row r="389" spans="2:17" s="75" customFormat="1">
      <c r="B389" s="33"/>
      <c r="C389" s="33"/>
      <c r="G389" s="76"/>
      <c r="H389" s="77"/>
      <c r="I389" s="299"/>
      <c r="J389" s="77"/>
      <c r="K389" s="33"/>
      <c r="L389" s="33"/>
      <c r="M389" s="33"/>
      <c r="N389" s="33"/>
      <c r="O389" s="33"/>
      <c r="P389" s="33"/>
      <c r="Q389" s="33"/>
    </row>
    <row r="390" spans="2:17" s="75" customFormat="1">
      <c r="B390" s="33"/>
      <c r="C390" s="33"/>
      <c r="G390" s="76"/>
      <c r="H390" s="77"/>
      <c r="I390" s="299"/>
      <c r="J390" s="77"/>
      <c r="K390" s="33"/>
      <c r="L390" s="33"/>
      <c r="M390" s="33"/>
      <c r="N390" s="33"/>
      <c r="O390" s="33"/>
      <c r="P390" s="33"/>
      <c r="Q390" s="33"/>
    </row>
    <row r="391" spans="2:17" s="75" customFormat="1">
      <c r="B391" s="33"/>
      <c r="C391" s="33"/>
      <c r="G391" s="76"/>
      <c r="H391" s="77"/>
      <c r="I391" s="299"/>
      <c r="J391" s="77"/>
      <c r="K391" s="33"/>
      <c r="L391" s="33"/>
      <c r="M391" s="33"/>
      <c r="N391" s="33"/>
      <c r="O391" s="33"/>
      <c r="P391" s="33"/>
      <c r="Q391" s="33"/>
    </row>
    <row r="392" spans="2:17" s="75" customFormat="1">
      <c r="B392" s="33"/>
      <c r="C392" s="33"/>
      <c r="G392" s="76"/>
      <c r="H392" s="77"/>
      <c r="I392" s="299"/>
      <c r="J392" s="77"/>
      <c r="K392" s="33"/>
      <c r="L392" s="33"/>
      <c r="M392" s="33"/>
      <c r="N392" s="33"/>
      <c r="O392" s="33"/>
      <c r="P392" s="33"/>
      <c r="Q392" s="33"/>
    </row>
    <row r="393" spans="2:17" s="75" customFormat="1">
      <c r="B393" s="33"/>
      <c r="C393" s="33"/>
      <c r="G393" s="76"/>
      <c r="H393" s="77"/>
      <c r="I393" s="299"/>
      <c r="J393" s="77"/>
      <c r="K393" s="33"/>
      <c r="L393" s="33"/>
      <c r="M393" s="33"/>
      <c r="N393" s="33"/>
      <c r="O393" s="33"/>
      <c r="P393" s="33"/>
      <c r="Q393" s="33"/>
    </row>
    <row r="394" spans="2:17" s="75" customFormat="1">
      <c r="B394" s="33"/>
      <c r="C394" s="33"/>
      <c r="G394" s="76"/>
      <c r="H394" s="77"/>
      <c r="I394" s="299"/>
      <c r="J394" s="77"/>
      <c r="K394" s="33"/>
      <c r="L394" s="33"/>
      <c r="M394" s="33"/>
      <c r="N394" s="33"/>
      <c r="O394" s="33"/>
      <c r="P394" s="33"/>
      <c r="Q394" s="33"/>
    </row>
    <row r="395" spans="2:17" s="75" customFormat="1">
      <c r="B395" s="33"/>
      <c r="C395" s="33"/>
      <c r="G395" s="76"/>
      <c r="H395" s="77"/>
      <c r="I395" s="299"/>
      <c r="J395" s="77"/>
      <c r="K395" s="33"/>
      <c r="L395" s="33"/>
      <c r="M395" s="33"/>
      <c r="N395" s="33"/>
      <c r="O395" s="33"/>
      <c r="P395" s="33"/>
      <c r="Q395" s="33"/>
    </row>
    <row r="396" spans="2:17" s="75" customFormat="1">
      <c r="B396" s="33"/>
      <c r="C396" s="33"/>
      <c r="G396" s="76"/>
      <c r="H396" s="77"/>
      <c r="I396" s="299"/>
      <c r="J396" s="77"/>
      <c r="K396" s="33"/>
      <c r="L396" s="33"/>
      <c r="M396" s="33"/>
      <c r="N396" s="33"/>
      <c r="O396" s="33"/>
      <c r="P396" s="33"/>
      <c r="Q396" s="33"/>
    </row>
    <row r="397" spans="2:17" s="75" customFormat="1">
      <c r="B397" s="33"/>
      <c r="C397" s="33"/>
      <c r="G397" s="76"/>
      <c r="H397" s="77"/>
      <c r="I397" s="299"/>
      <c r="J397" s="77"/>
      <c r="K397" s="33"/>
      <c r="L397" s="33"/>
      <c r="M397" s="33"/>
      <c r="N397" s="33"/>
      <c r="O397" s="33"/>
      <c r="P397" s="33"/>
      <c r="Q397" s="33"/>
    </row>
    <row r="398" spans="2:17" s="75" customFormat="1">
      <c r="B398" s="33"/>
      <c r="C398" s="33"/>
      <c r="G398" s="76"/>
      <c r="H398" s="77"/>
      <c r="I398" s="299"/>
      <c r="J398" s="77"/>
      <c r="K398" s="33"/>
      <c r="L398" s="33"/>
      <c r="M398" s="33"/>
      <c r="N398" s="33"/>
      <c r="O398" s="33"/>
      <c r="P398" s="33"/>
      <c r="Q398" s="33"/>
    </row>
    <row r="399" spans="2:17" s="75" customFormat="1">
      <c r="B399" s="33"/>
      <c r="C399" s="33"/>
      <c r="G399" s="76"/>
      <c r="H399" s="77"/>
      <c r="I399" s="299"/>
      <c r="J399" s="77"/>
      <c r="K399" s="33"/>
      <c r="L399" s="33"/>
      <c r="M399" s="33"/>
      <c r="N399" s="33"/>
      <c r="O399" s="33"/>
      <c r="P399" s="33"/>
      <c r="Q399" s="33"/>
    </row>
    <row r="400" spans="2:17" s="75" customFormat="1">
      <c r="B400" s="33"/>
      <c r="C400" s="33"/>
      <c r="G400" s="76"/>
      <c r="H400" s="77"/>
      <c r="I400" s="299"/>
      <c r="J400" s="77"/>
      <c r="K400" s="33"/>
      <c r="L400" s="33"/>
      <c r="M400" s="33"/>
      <c r="N400" s="33"/>
      <c r="O400" s="33"/>
      <c r="P400" s="33"/>
      <c r="Q400" s="33"/>
    </row>
    <row r="401" spans="2:17" s="75" customFormat="1">
      <c r="B401" s="33"/>
      <c r="C401" s="33"/>
      <c r="G401" s="76"/>
      <c r="H401" s="77"/>
      <c r="I401" s="299"/>
      <c r="J401" s="77"/>
      <c r="K401" s="33"/>
      <c r="L401" s="33"/>
      <c r="M401" s="33"/>
      <c r="N401" s="33"/>
      <c r="O401" s="33"/>
      <c r="P401" s="33"/>
      <c r="Q401" s="33"/>
    </row>
    <row r="402" spans="2:17" s="75" customFormat="1">
      <c r="B402" s="33"/>
      <c r="C402" s="33"/>
      <c r="G402" s="76"/>
      <c r="H402" s="77"/>
      <c r="I402" s="299"/>
      <c r="J402" s="77"/>
      <c r="K402" s="33"/>
      <c r="L402" s="33"/>
      <c r="M402" s="33"/>
      <c r="N402" s="33"/>
      <c r="O402" s="33"/>
      <c r="P402" s="33"/>
      <c r="Q402" s="33"/>
    </row>
    <row r="403" spans="2:17" s="75" customFormat="1">
      <c r="B403" s="33"/>
      <c r="C403" s="33"/>
      <c r="G403" s="76"/>
      <c r="H403" s="77"/>
      <c r="I403" s="299"/>
      <c r="J403" s="77"/>
      <c r="K403" s="33"/>
      <c r="L403" s="33"/>
      <c r="M403" s="33"/>
      <c r="N403" s="33"/>
      <c r="O403" s="33"/>
      <c r="P403" s="33"/>
      <c r="Q403" s="33"/>
    </row>
    <row r="404" spans="2:17" s="75" customFormat="1">
      <c r="B404" s="33"/>
      <c r="C404" s="33"/>
      <c r="G404" s="76"/>
      <c r="H404" s="77"/>
      <c r="I404" s="299"/>
      <c r="J404" s="77"/>
      <c r="K404" s="33"/>
      <c r="L404" s="33"/>
      <c r="M404" s="33"/>
      <c r="N404" s="33"/>
      <c r="O404" s="33"/>
      <c r="P404" s="33"/>
      <c r="Q404" s="33"/>
    </row>
    <row r="405" spans="2:17" s="75" customFormat="1">
      <c r="B405" s="33"/>
      <c r="C405" s="33"/>
      <c r="G405" s="76"/>
      <c r="H405" s="77"/>
      <c r="I405" s="299"/>
      <c r="J405" s="77"/>
      <c r="K405" s="33"/>
      <c r="L405" s="33"/>
      <c r="M405" s="33"/>
      <c r="N405" s="33"/>
      <c r="O405" s="33"/>
      <c r="P405" s="33"/>
      <c r="Q405" s="33"/>
    </row>
    <row r="406" spans="2:17" s="75" customFormat="1">
      <c r="B406" s="33"/>
      <c r="C406" s="33"/>
      <c r="G406" s="76"/>
      <c r="H406" s="77"/>
      <c r="I406" s="299"/>
      <c r="J406" s="77"/>
      <c r="K406" s="33"/>
      <c r="L406" s="33"/>
      <c r="M406" s="33"/>
      <c r="N406" s="33"/>
      <c r="O406" s="33"/>
      <c r="P406" s="33"/>
      <c r="Q406" s="33"/>
    </row>
    <row r="407" spans="2:17" s="75" customFormat="1">
      <c r="B407" s="33"/>
      <c r="C407" s="33"/>
      <c r="G407" s="76"/>
      <c r="H407" s="77"/>
      <c r="I407" s="299"/>
      <c r="J407" s="77"/>
      <c r="K407" s="33"/>
      <c r="L407" s="33"/>
      <c r="M407" s="33"/>
      <c r="N407" s="33"/>
      <c r="O407" s="33"/>
      <c r="P407" s="33"/>
      <c r="Q407" s="33"/>
    </row>
    <row r="408" spans="2:17" s="75" customFormat="1">
      <c r="B408" s="33"/>
      <c r="C408" s="33"/>
      <c r="G408" s="76"/>
      <c r="H408" s="77"/>
      <c r="I408" s="299"/>
      <c r="J408" s="77"/>
      <c r="K408" s="33"/>
      <c r="L408" s="33"/>
      <c r="M408" s="33"/>
      <c r="N408" s="33"/>
      <c r="O408" s="33"/>
      <c r="P408" s="33"/>
      <c r="Q408" s="33"/>
    </row>
    <row r="409" spans="2:17" s="75" customFormat="1">
      <c r="B409" s="33"/>
      <c r="C409" s="33"/>
      <c r="G409" s="76"/>
      <c r="H409" s="77"/>
      <c r="I409" s="299"/>
      <c r="J409" s="77"/>
      <c r="K409" s="33"/>
      <c r="L409" s="33"/>
      <c r="M409" s="33"/>
      <c r="N409" s="33"/>
      <c r="O409" s="33"/>
      <c r="P409" s="33"/>
      <c r="Q409" s="33"/>
    </row>
    <row r="410" spans="2:17" s="75" customFormat="1">
      <c r="B410" s="33"/>
      <c r="C410" s="33"/>
      <c r="G410" s="76"/>
      <c r="H410" s="77"/>
      <c r="I410" s="299"/>
      <c r="J410" s="77"/>
      <c r="K410" s="33"/>
      <c r="L410" s="33"/>
      <c r="M410" s="33"/>
      <c r="N410" s="33"/>
      <c r="O410" s="33"/>
      <c r="P410" s="33"/>
      <c r="Q410" s="33"/>
    </row>
    <row r="411" spans="2:17" s="75" customFormat="1">
      <c r="B411" s="33"/>
      <c r="C411" s="33"/>
      <c r="G411" s="76"/>
      <c r="H411" s="77"/>
      <c r="I411" s="299"/>
      <c r="J411" s="77"/>
      <c r="K411" s="33"/>
      <c r="L411" s="33"/>
      <c r="M411" s="33"/>
      <c r="N411" s="33"/>
      <c r="O411" s="33"/>
      <c r="P411" s="33"/>
      <c r="Q411" s="33"/>
    </row>
    <row r="412" spans="2:17" s="75" customFormat="1">
      <c r="B412" s="33"/>
      <c r="C412" s="33"/>
      <c r="G412" s="76"/>
      <c r="H412" s="77"/>
      <c r="I412" s="299"/>
      <c r="J412" s="77"/>
      <c r="K412" s="33"/>
      <c r="L412" s="33"/>
      <c r="M412" s="33"/>
      <c r="N412" s="33"/>
      <c r="O412" s="33"/>
      <c r="P412" s="33"/>
      <c r="Q412" s="33"/>
    </row>
    <row r="413" spans="2:17" s="75" customFormat="1">
      <c r="B413" s="33"/>
      <c r="C413" s="33"/>
      <c r="G413" s="76"/>
      <c r="H413" s="77"/>
      <c r="I413" s="299"/>
      <c r="J413" s="77"/>
      <c r="K413" s="33"/>
      <c r="L413" s="33"/>
      <c r="M413" s="33"/>
      <c r="N413" s="33"/>
      <c r="O413" s="33"/>
      <c r="P413" s="33"/>
      <c r="Q413" s="33"/>
    </row>
    <row r="414" spans="2:17" s="75" customFormat="1">
      <c r="B414" s="33"/>
      <c r="C414" s="33"/>
      <c r="G414" s="76"/>
      <c r="H414" s="77"/>
      <c r="I414" s="299"/>
      <c r="J414" s="77"/>
      <c r="K414" s="33"/>
      <c r="L414" s="33"/>
      <c r="M414" s="33"/>
      <c r="N414" s="33"/>
      <c r="O414" s="33"/>
      <c r="P414" s="33"/>
      <c r="Q414" s="33"/>
    </row>
    <row r="415" spans="2:17" s="75" customFormat="1">
      <c r="B415" s="33"/>
      <c r="C415" s="33"/>
      <c r="G415" s="76"/>
      <c r="H415" s="77"/>
      <c r="I415" s="299"/>
      <c r="J415" s="77"/>
      <c r="K415" s="33"/>
      <c r="L415" s="33"/>
      <c r="M415" s="33"/>
      <c r="N415" s="33"/>
      <c r="O415" s="33"/>
      <c r="P415" s="33"/>
      <c r="Q415" s="33"/>
    </row>
    <row r="416" spans="2:17" s="75" customFormat="1">
      <c r="B416" s="33"/>
      <c r="C416" s="33"/>
      <c r="G416" s="76"/>
      <c r="H416" s="77"/>
      <c r="I416" s="299"/>
      <c r="J416" s="77"/>
      <c r="K416" s="33"/>
      <c r="L416" s="33"/>
      <c r="M416" s="33"/>
      <c r="N416" s="33"/>
      <c r="O416" s="33"/>
      <c r="P416" s="33"/>
      <c r="Q416" s="33"/>
    </row>
    <row r="417" spans="2:17" s="75" customFormat="1">
      <c r="B417" s="33"/>
      <c r="C417" s="33"/>
      <c r="G417" s="76"/>
      <c r="H417" s="77"/>
      <c r="I417" s="299"/>
      <c r="J417" s="77"/>
      <c r="K417" s="33"/>
      <c r="L417" s="33"/>
      <c r="M417" s="33"/>
      <c r="N417" s="33"/>
      <c r="O417" s="33"/>
      <c r="P417" s="33"/>
      <c r="Q417" s="33"/>
    </row>
    <row r="418" spans="2:17" s="75" customFormat="1">
      <c r="B418" s="33"/>
      <c r="C418" s="33"/>
      <c r="G418" s="76"/>
      <c r="H418" s="77"/>
      <c r="I418" s="299"/>
      <c r="J418" s="77"/>
      <c r="K418" s="33"/>
      <c r="L418" s="33"/>
      <c r="M418" s="33"/>
      <c r="N418" s="33"/>
      <c r="O418" s="33"/>
      <c r="P418" s="33"/>
      <c r="Q418" s="33"/>
    </row>
    <row r="419" spans="2:17" s="75" customFormat="1">
      <c r="B419" s="33"/>
      <c r="C419" s="33"/>
      <c r="G419" s="76"/>
      <c r="H419" s="77"/>
      <c r="I419" s="299"/>
      <c r="J419" s="77"/>
      <c r="K419" s="33"/>
      <c r="L419" s="33"/>
      <c r="M419" s="33"/>
      <c r="N419" s="33"/>
      <c r="O419" s="33"/>
      <c r="P419" s="33"/>
      <c r="Q419" s="33"/>
    </row>
    <row r="420" spans="2:17" s="75" customFormat="1">
      <c r="B420" s="33"/>
      <c r="C420" s="33"/>
      <c r="G420" s="76"/>
      <c r="H420" s="77"/>
      <c r="I420" s="299"/>
      <c r="J420" s="77"/>
      <c r="K420" s="33"/>
      <c r="L420" s="33"/>
      <c r="M420" s="33"/>
      <c r="N420" s="33"/>
      <c r="O420" s="33"/>
      <c r="P420" s="33"/>
      <c r="Q420" s="33"/>
    </row>
    <row r="421" spans="2:17" s="75" customFormat="1">
      <c r="B421" s="33"/>
      <c r="C421" s="33"/>
      <c r="G421" s="76"/>
      <c r="H421" s="77"/>
      <c r="I421" s="299"/>
      <c r="J421" s="77"/>
      <c r="K421" s="33"/>
      <c r="L421" s="33"/>
      <c r="M421" s="33"/>
      <c r="N421" s="33"/>
      <c r="O421" s="33"/>
      <c r="P421" s="33"/>
      <c r="Q421" s="33"/>
    </row>
    <row r="422" spans="2:17" s="75" customFormat="1">
      <c r="B422" s="33"/>
      <c r="C422" s="33"/>
      <c r="G422" s="76"/>
      <c r="H422" s="77"/>
      <c r="I422" s="299"/>
      <c r="J422" s="77"/>
      <c r="K422" s="33"/>
      <c r="L422" s="33"/>
      <c r="M422" s="33"/>
      <c r="N422" s="33"/>
      <c r="O422" s="33"/>
      <c r="P422" s="33"/>
      <c r="Q422" s="33"/>
    </row>
    <row r="423" spans="2:17" s="75" customFormat="1">
      <c r="B423" s="33"/>
      <c r="C423" s="33"/>
      <c r="G423" s="76"/>
      <c r="H423" s="77"/>
      <c r="I423" s="299"/>
      <c r="J423" s="77"/>
      <c r="K423" s="33"/>
      <c r="L423" s="33"/>
      <c r="M423" s="33"/>
      <c r="N423" s="33"/>
      <c r="O423" s="33"/>
      <c r="P423" s="33"/>
      <c r="Q423" s="33"/>
    </row>
    <row r="424" spans="2:17" s="75" customFormat="1">
      <c r="B424" s="33"/>
      <c r="C424" s="33"/>
      <c r="G424" s="76"/>
      <c r="H424" s="77"/>
      <c r="I424" s="299"/>
      <c r="J424" s="77"/>
      <c r="K424" s="33"/>
      <c r="L424" s="33"/>
      <c r="M424" s="33"/>
      <c r="N424" s="33"/>
      <c r="O424" s="33"/>
      <c r="P424" s="33"/>
      <c r="Q424" s="33"/>
    </row>
    <row r="425" spans="2:17" s="75" customFormat="1">
      <c r="B425" s="33"/>
      <c r="C425" s="33"/>
      <c r="G425" s="76"/>
      <c r="H425" s="77"/>
      <c r="I425" s="299"/>
      <c r="J425" s="77"/>
      <c r="K425" s="33"/>
      <c r="L425" s="33"/>
      <c r="M425" s="33"/>
      <c r="N425" s="33"/>
      <c r="O425" s="33"/>
      <c r="P425" s="33"/>
      <c r="Q425" s="33"/>
    </row>
    <row r="426" spans="2:17" s="75" customFormat="1">
      <c r="B426" s="33"/>
      <c r="C426" s="33"/>
      <c r="G426" s="76"/>
      <c r="H426" s="77"/>
      <c r="I426" s="299"/>
      <c r="J426" s="77"/>
      <c r="K426" s="33"/>
      <c r="L426" s="33"/>
      <c r="M426" s="33"/>
      <c r="N426" s="33"/>
      <c r="O426" s="33"/>
      <c r="P426" s="33"/>
      <c r="Q426" s="33"/>
    </row>
    <row r="427" spans="2:17" s="75" customFormat="1">
      <c r="B427" s="33"/>
      <c r="C427" s="33"/>
      <c r="G427" s="76"/>
      <c r="H427" s="77"/>
      <c r="I427" s="299"/>
      <c r="J427" s="77"/>
      <c r="K427" s="33"/>
      <c r="L427" s="33"/>
      <c r="M427" s="33"/>
      <c r="N427" s="33"/>
      <c r="O427" s="33"/>
      <c r="P427" s="33"/>
      <c r="Q427" s="33"/>
    </row>
    <row r="428" spans="2:17" s="75" customFormat="1">
      <c r="B428" s="33"/>
      <c r="C428" s="33"/>
      <c r="G428" s="76"/>
      <c r="H428" s="77"/>
      <c r="I428" s="299"/>
      <c r="J428" s="77"/>
      <c r="K428" s="33"/>
      <c r="L428" s="33"/>
      <c r="M428" s="33"/>
      <c r="N428" s="33"/>
      <c r="O428" s="33"/>
      <c r="P428" s="33"/>
      <c r="Q428" s="33"/>
    </row>
    <row r="429" spans="2:17" s="75" customFormat="1">
      <c r="B429" s="33"/>
      <c r="C429" s="33"/>
      <c r="G429" s="76"/>
      <c r="H429" s="77"/>
      <c r="I429" s="299"/>
      <c r="J429" s="77"/>
      <c r="K429" s="33"/>
      <c r="L429" s="33"/>
      <c r="M429" s="33"/>
      <c r="N429" s="33"/>
      <c r="O429" s="33"/>
      <c r="P429" s="33"/>
      <c r="Q429" s="33"/>
    </row>
    <row r="430" spans="2:17" s="75" customFormat="1">
      <c r="B430" s="33"/>
      <c r="C430" s="33"/>
      <c r="G430" s="76"/>
      <c r="H430" s="77"/>
      <c r="I430" s="299"/>
      <c r="J430" s="77"/>
      <c r="K430" s="33"/>
      <c r="L430" s="33"/>
      <c r="M430" s="33"/>
      <c r="N430" s="33"/>
      <c r="O430" s="33"/>
      <c r="P430" s="33"/>
      <c r="Q430" s="33"/>
    </row>
    <row r="431" spans="2:17" s="75" customFormat="1">
      <c r="B431" s="33"/>
      <c r="C431" s="33"/>
      <c r="G431" s="76"/>
      <c r="H431" s="77"/>
      <c r="I431" s="299"/>
      <c r="J431" s="77"/>
      <c r="K431" s="33"/>
      <c r="L431" s="33"/>
      <c r="M431" s="33"/>
      <c r="N431" s="33"/>
      <c r="O431" s="33"/>
      <c r="P431" s="33"/>
      <c r="Q431" s="33"/>
    </row>
    <row r="432" spans="2:17" s="75" customFormat="1">
      <c r="B432" s="33"/>
      <c r="C432" s="33"/>
      <c r="G432" s="76"/>
      <c r="H432" s="77"/>
      <c r="I432" s="299"/>
      <c r="J432" s="77"/>
      <c r="K432" s="33"/>
      <c r="L432" s="33"/>
      <c r="M432" s="33"/>
      <c r="N432" s="33"/>
      <c r="O432" s="33"/>
      <c r="P432" s="33"/>
      <c r="Q432" s="33"/>
    </row>
    <row r="433" spans="2:17" s="75" customFormat="1">
      <c r="B433" s="33"/>
      <c r="C433" s="33"/>
      <c r="G433" s="76"/>
      <c r="H433" s="77"/>
      <c r="I433" s="299"/>
      <c r="J433" s="77"/>
      <c r="K433" s="33"/>
      <c r="L433" s="33"/>
      <c r="M433" s="33"/>
      <c r="N433" s="33"/>
      <c r="O433" s="33"/>
      <c r="P433" s="33"/>
      <c r="Q433" s="33"/>
    </row>
    <row r="434" spans="2:17" s="75" customFormat="1">
      <c r="B434" s="33"/>
      <c r="C434" s="33"/>
      <c r="G434" s="76"/>
      <c r="H434" s="77"/>
      <c r="I434" s="299"/>
      <c r="J434" s="77"/>
      <c r="K434" s="33"/>
      <c r="L434" s="33"/>
      <c r="M434" s="33"/>
      <c r="N434" s="33"/>
      <c r="O434" s="33"/>
      <c r="P434" s="33"/>
      <c r="Q434" s="33"/>
    </row>
    <row r="435" spans="2:17" s="75" customFormat="1">
      <c r="B435" s="33"/>
      <c r="C435" s="33"/>
      <c r="G435" s="76"/>
      <c r="H435" s="77"/>
      <c r="I435" s="299"/>
      <c r="J435" s="77"/>
      <c r="K435" s="33"/>
      <c r="L435" s="33"/>
      <c r="M435" s="33"/>
      <c r="N435" s="33"/>
      <c r="O435" s="33"/>
      <c r="P435" s="33"/>
      <c r="Q435" s="33"/>
    </row>
    <row r="436" spans="2:17" s="75" customFormat="1">
      <c r="B436" s="33"/>
      <c r="C436" s="33"/>
      <c r="G436" s="76"/>
      <c r="H436" s="77"/>
      <c r="I436" s="299"/>
      <c r="J436" s="77"/>
      <c r="K436" s="33"/>
      <c r="L436" s="33"/>
      <c r="M436" s="33"/>
      <c r="N436" s="33"/>
      <c r="O436" s="33"/>
      <c r="P436" s="33"/>
      <c r="Q436" s="33"/>
    </row>
    <row r="437" spans="2:17" s="75" customFormat="1">
      <c r="B437" s="33"/>
      <c r="C437" s="33"/>
      <c r="G437" s="76"/>
      <c r="H437" s="77"/>
      <c r="I437" s="299"/>
      <c r="J437" s="77"/>
      <c r="K437" s="33"/>
      <c r="L437" s="33"/>
      <c r="M437" s="33"/>
      <c r="N437" s="33"/>
      <c r="O437" s="33"/>
      <c r="P437" s="33"/>
      <c r="Q437" s="33"/>
    </row>
    <row r="438" spans="2:17" s="75" customFormat="1">
      <c r="B438" s="33"/>
      <c r="C438" s="33"/>
      <c r="G438" s="76"/>
      <c r="H438" s="77"/>
      <c r="I438" s="299"/>
      <c r="J438" s="77"/>
      <c r="K438" s="33"/>
      <c r="L438" s="33"/>
      <c r="M438" s="33"/>
      <c r="N438" s="33"/>
      <c r="O438" s="33"/>
      <c r="P438" s="33"/>
      <c r="Q438" s="33"/>
    </row>
    <row r="439" spans="2:17" s="75" customFormat="1">
      <c r="B439" s="33"/>
      <c r="C439" s="33"/>
      <c r="G439" s="76"/>
      <c r="H439" s="77"/>
      <c r="I439" s="299"/>
      <c r="J439" s="77"/>
      <c r="K439" s="33"/>
      <c r="L439" s="33"/>
      <c r="M439" s="33"/>
      <c r="N439" s="33"/>
      <c r="O439" s="33"/>
      <c r="P439" s="33"/>
      <c r="Q439" s="33"/>
    </row>
    <row r="440" spans="2:17" s="75" customFormat="1">
      <c r="B440" s="33"/>
      <c r="C440" s="33"/>
      <c r="G440" s="76"/>
      <c r="H440" s="77"/>
      <c r="I440" s="299"/>
      <c r="J440" s="77"/>
      <c r="K440" s="33"/>
      <c r="L440" s="33"/>
      <c r="M440" s="33"/>
      <c r="N440" s="33"/>
      <c r="O440" s="33"/>
      <c r="P440" s="33"/>
      <c r="Q440" s="33"/>
    </row>
    <row r="441" spans="2:17" s="75" customFormat="1">
      <c r="B441" s="33"/>
      <c r="C441" s="33"/>
      <c r="G441" s="76"/>
      <c r="H441" s="77"/>
      <c r="I441" s="299"/>
      <c r="J441" s="77"/>
      <c r="K441" s="33"/>
      <c r="L441" s="33"/>
      <c r="M441" s="33"/>
      <c r="N441" s="33"/>
      <c r="O441" s="33"/>
      <c r="P441" s="33"/>
      <c r="Q441" s="33"/>
    </row>
    <row r="442" spans="2:17" s="75" customFormat="1">
      <c r="B442" s="33"/>
      <c r="C442" s="33"/>
      <c r="G442" s="76"/>
      <c r="H442" s="77"/>
      <c r="I442" s="299"/>
      <c r="J442" s="77"/>
      <c r="K442" s="33"/>
      <c r="L442" s="33"/>
      <c r="M442" s="33"/>
      <c r="N442" s="33"/>
      <c r="O442" s="33"/>
      <c r="P442" s="33"/>
      <c r="Q442" s="33"/>
    </row>
    <row r="443" spans="2:17" s="75" customFormat="1">
      <c r="B443" s="33"/>
      <c r="C443" s="33"/>
      <c r="G443" s="76"/>
      <c r="H443" s="77"/>
      <c r="I443" s="299"/>
      <c r="J443" s="77"/>
      <c r="K443" s="33"/>
      <c r="L443" s="33"/>
      <c r="M443" s="33"/>
      <c r="N443" s="33"/>
      <c r="O443" s="33"/>
      <c r="P443" s="33"/>
      <c r="Q443" s="33"/>
    </row>
    <row r="444" spans="2:17" s="75" customFormat="1">
      <c r="B444" s="33"/>
      <c r="C444" s="33"/>
      <c r="G444" s="76"/>
      <c r="H444" s="77"/>
      <c r="I444" s="299"/>
      <c r="J444" s="77"/>
      <c r="K444" s="33"/>
      <c r="L444" s="33"/>
      <c r="M444" s="33"/>
      <c r="N444" s="33"/>
      <c r="O444" s="33"/>
      <c r="P444" s="33"/>
      <c r="Q444" s="33"/>
    </row>
    <row r="445" spans="2:17" s="75" customFormat="1">
      <c r="B445" s="33"/>
      <c r="C445" s="33"/>
      <c r="G445" s="76"/>
      <c r="H445" s="77"/>
      <c r="I445" s="299"/>
      <c r="J445" s="77"/>
      <c r="K445" s="33"/>
      <c r="L445" s="33"/>
      <c r="M445" s="33"/>
      <c r="N445" s="33"/>
      <c r="O445" s="33"/>
      <c r="P445" s="33"/>
      <c r="Q445" s="33"/>
    </row>
    <row r="446" spans="2:17" s="75" customFormat="1">
      <c r="B446" s="33"/>
      <c r="C446" s="33"/>
      <c r="G446" s="76"/>
      <c r="H446" s="77"/>
      <c r="I446" s="299"/>
      <c r="J446" s="77"/>
      <c r="K446" s="33"/>
      <c r="L446" s="33"/>
      <c r="M446" s="33"/>
      <c r="N446" s="33"/>
      <c r="O446" s="33"/>
      <c r="P446" s="33"/>
      <c r="Q446" s="33"/>
    </row>
    <row r="447" spans="2:17" s="75" customFormat="1">
      <c r="B447" s="33"/>
      <c r="C447" s="33"/>
      <c r="G447" s="76"/>
      <c r="H447" s="77"/>
      <c r="I447" s="299"/>
      <c r="J447" s="77"/>
      <c r="K447" s="33"/>
      <c r="L447" s="33"/>
      <c r="M447" s="33"/>
      <c r="N447" s="33"/>
      <c r="O447" s="33"/>
      <c r="P447" s="33"/>
      <c r="Q447" s="33"/>
    </row>
    <row r="448" spans="2:17" s="75" customFormat="1">
      <c r="B448" s="33"/>
      <c r="C448" s="33"/>
      <c r="G448" s="76"/>
      <c r="H448" s="77"/>
      <c r="I448" s="299"/>
      <c r="J448" s="77"/>
      <c r="K448" s="33"/>
      <c r="L448" s="33"/>
      <c r="M448" s="33"/>
      <c r="N448" s="33"/>
      <c r="O448" s="33"/>
      <c r="P448" s="33"/>
      <c r="Q448" s="33"/>
    </row>
    <row r="449" spans="2:17" s="75" customFormat="1">
      <c r="B449" s="33"/>
      <c r="C449" s="33"/>
      <c r="G449" s="76"/>
      <c r="H449" s="77"/>
      <c r="I449" s="299"/>
      <c r="J449" s="77"/>
      <c r="K449" s="33"/>
      <c r="L449" s="33"/>
      <c r="M449" s="33"/>
      <c r="N449" s="33"/>
      <c r="O449" s="33"/>
      <c r="P449" s="33"/>
      <c r="Q449" s="33"/>
    </row>
    <row r="450" spans="2:17" s="75" customFormat="1">
      <c r="B450" s="33"/>
      <c r="C450" s="33"/>
      <c r="G450" s="76"/>
      <c r="H450" s="77"/>
      <c r="I450" s="299"/>
      <c r="J450" s="77"/>
      <c r="K450" s="33"/>
      <c r="L450" s="33"/>
      <c r="M450" s="33"/>
      <c r="N450" s="33"/>
      <c r="O450" s="33"/>
      <c r="P450" s="33"/>
      <c r="Q450" s="33"/>
    </row>
    <row r="451" spans="2:17" s="75" customFormat="1">
      <c r="B451" s="33"/>
      <c r="C451" s="33"/>
      <c r="G451" s="76"/>
      <c r="H451" s="77"/>
      <c r="I451" s="299"/>
      <c r="J451" s="77"/>
      <c r="K451" s="33"/>
      <c r="L451" s="33"/>
      <c r="M451" s="33"/>
      <c r="N451" s="33"/>
      <c r="O451" s="33"/>
      <c r="P451" s="33"/>
      <c r="Q451" s="33"/>
    </row>
    <row r="452" spans="2:17" s="75" customFormat="1">
      <c r="B452" s="33"/>
      <c r="C452" s="33"/>
      <c r="G452" s="76"/>
      <c r="H452" s="77"/>
      <c r="I452" s="299"/>
      <c r="J452" s="77"/>
      <c r="K452" s="33"/>
      <c r="L452" s="33"/>
      <c r="M452" s="33"/>
      <c r="N452" s="33"/>
      <c r="O452" s="33"/>
      <c r="P452" s="33"/>
      <c r="Q452" s="33"/>
    </row>
    <row r="453" spans="2:17" s="75" customFormat="1">
      <c r="B453" s="33"/>
      <c r="C453" s="33"/>
      <c r="G453" s="76"/>
      <c r="H453" s="77"/>
      <c r="I453" s="299"/>
      <c r="J453" s="77"/>
      <c r="K453" s="33"/>
      <c r="L453" s="33"/>
      <c r="M453" s="33"/>
      <c r="N453" s="33"/>
      <c r="O453" s="33"/>
      <c r="P453" s="33"/>
      <c r="Q453" s="33"/>
    </row>
    <row r="454" spans="2:17" s="75" customFormat="1">
      <c r="B454" s="33"/>
      <c r="C454" s="33"/>
      <c r="G454" s="76"/>
      <c r="H454" s="77"/>
      <c r="I454" s="299"/>
      <c r="J454" s="77"/>
      <c r="K454" s="33"/>
      <c r="L454" s="33"/>
      <c r="M454" s="33"/>
      <c r="N454" s="33"/>
      <c r="O454" s="33"/>
      <c r="P454" s="33"/>
      <c r="Q454" s="33"/>
    </row>
    <row r="455" spans="2:17" s="75" customFormat="1">
      <c r="B455" s="33"/>
      <c r="C455" s="33"/>
      <c r="G455" s="76"/>
      <c r="H455" s="77"/>
      <c r="I455" s="299"/>
      <c r="J455" s="77"/>
      <c r="K455" s="33"/>
      <c r="L455" s="33"/>
      <c r="M455" s="33"/>
      <c r="N455" s="33"/>
      <c r="O455" s="33"/>
      <c r="P455" s="33"/>
      <c r="Q455" s="33"/>
    </row>
    <row r="456" spans="2:17" s="75" customFormat="1">
      <c r="B456" s="33"/>
      <c r="C456" s="33"/>
      <c r="G456" s="76"/>
      <c r="H456" s="77"/>
      <c r="I456" s="299"/>
      <c r="J456" s="77"/>
      <c r="K456" s="33"/>
      <c r="L456" s="33"/>
      <c r="M456" s="33"/>
      <c r="N456" s="33"/>
      <c r="O456" s="33"/>
      <c r="P456" s="33"/>
      <c r="Q456" s="33"/>
    </row>
    <row r="457" spans="2:17" s="75" customFormat="1">
      <c r="B457" s="33"/>
      <c r="C457" s="33"/>
      <c r="G457" s="76"/>
      <c r="H457" s="77"/>
      <c r="I457" s="299"/>
      <c r="J457" s="77"/>
      <c r="K457" s="33"/>
      <c r="L457" s="33"/>
      <c r="M457" s="33"/>
      <c r="N457" s="33"/>
      <c r="O457" s="33"/>
      <c r="P457" s="33"/>
      <c r="Q457" s="33"/>
    </row>
    <row r="458" spans="2:17" s="75" customFormat="1">
      <c r="B458" s="33"/>
      <c r="C458" s="33"/>
      <c r="G458" s="76"/>
      <c r="H458" s="77"/>
      <c r="I458" s="299"/>
      <c r="J458" s="77"/>
      <c r="K458" s="33"/>
      <c r="L458" s="33"/>
      <c r="M458" s="33"/>
      <c r="N458" s="33"/>
      <c r="O458" s="33"/>
      <c r="P458" s="33"/>
      <c r="Q458" s="33"/>
    </row>
    <row r="459" spans="2:17" s="75" customFormat="1">
      <c r="B459" s="33"/>
      <c r="C459" s="33"/>
      <c r="G459" s="76"/>
      <c r="H459" s="77"/>
      <c r="I459" s="299"/>
      <c r="J459" s="77"/>
      <c r="K459" s="33"/>
      <c r="L459" s="33"/>
      <c r="M459" s="33"/>
      <c r="N459" s="33"/>
      <c r="O459" s="33"/>
      <c r="P459" s="33"/>
      <c r="Q459" s="33"/>
    </row>
    <row r="460" spans="2:17" s="75" customFormat="1">
      <c r="B460" s="33"/>
      <c r="C460" s="33"/>
      <c r="G460" s="76"/>
      <c r="H460" s="77"/>
      <c r="I460" s="299"/>
      <c r="J460" s="77"/>
      <c r="K460" s="33"/>
      <c r="L460" s="33"/>
      <c r="M460" s="33"/>
      <c r="N460" s="33"/>
      <c r="O460" s="33"/>
      <c r="P460" s="33"/>
      <c r="Q460" s="33"/>
    </row>
    <row r="461" spans="2:17" s="75" customFormat="1">
      <c r="B461" s="33"/>
      <c r="C461" s="33"/>
      <c r="G461" s="76"/>
      <c r="H461" s="77"/>
      <c r="I461" s="299"/>
      <c r="J461" s="77"/>
      <c r="K461" s="33"/>
      <c r="L461" s="33"/>
      <c r="M461" s="33"/>
      <c r="N461" s="33"/>
      <c r="O461" s="33"/>
      <c r="P461" s="33"/>
      <c r="Q461" s="33"/>
    </row>
    <row r="462" spans="2:17" s="75" customFormat="1">
      <c r="B462" s="33"/>
      <c r="C462" s="33"/>
      <c r="G462" s="76"/>
      <c r="H462" s="77"/>
      <c r="I462" s="299"/>
      <c r="J462" s="77"/>
      <c r="K462" s="33"/>
      <c r="L462" s="33"/>
      <c r="M462" s="33"/>
      <c r="N462" s="33"/>
      <c r="O462" s="33"/>
      <c r="P462" s="33"/>
      <c r="Q462" s="33"/>
    </row>
    <row r="463" spans="2:17" s="75" customFormat="1">
      <c r="B463" s="33"/>
      <c r="C463" s="33"/>
      <c r="G463" s="76"/>
      <c r="H463" s="77"/>
      <c r="I463" s="299"/>
      <c r="J463" s="77"/>
      <c r="K463" s="33"/>
      <c r="L463" s="33"/>
      <c r="M463" s="33"/>
      <c r="N463" s="33"/>
      <c r="O463" s="33"/>
      <c r="P463" s="33"/>
      <c r="Q463" s="33"/>
    </row>
    <row r="464" spans="2:17" s="75" customFormat="1">
      <c r="B464" s="33"/>
      <c r="C464" s="33"/>
      <c r="G464" s="76"/>
      <c r="H464" s="77"/>
      <c r="I464" s="299"/>
      <c r="J464" s="77"/>
      <c r="K464" s="33"/>
      <c r="L464" s="33"/>
      <c r="M464" s="33"/>
      <c r="N464" s="33"/>
      <c r="O464" s="33"/>
      <c r="P464" s="33"/>
      <c r="Q464" s="33"/>
    </row>
    <row r="465" spans="2:17" s="75" customFormat="1">
      <c r="B465" s="33"/>
      <c r="C465" s="33"/>
      <c r="G465" s="76"/>
      <c r="H465" s="77"/>
      <c r="I465" s="299"/>
      <c r="J465" s="77"/>
      <c r="K465" s="33"/>
      <c r="L465" s="33"/>
      <c r="M465" s="33"/>
      <c r="N465" s="33"/>
      <c r="O465" s="33"/>
      <c r="P465" s="33"/>
      <c r="Q465" s="33"/>
    </row>
    <row r="466" spans="2:17" s="75" customFormat="1">
      <c r="B466" s="33"/>
      <c r="C466" s="33"/>
      <c r="G466" s="76"/>
      <c r="H466" s="77"/>
      <c r="I466" s="299"/>
      <c r="J466" s="77"/>
      <c r="K466" s="33"/>
      <c r="L466" s="33"/>
      <c r="M466" s="33"/>
      <c r="N466" s="33"/>
      <c r="O466" s="33"/>
      <c r="P466" s="33"/>
      <c r="Q466" s="33"/>
    </row>
    <row r="467" spans="2:17" s="75" customFormat="1">
      <c r="B467" s="33"/>
      <c r="C467" s="33"/>
      <c r="G467" s="76"/>
      <c r="H467" s="77"/>
      <c r="I467" s="299"/>
      <c r="J467" s="77"/>
      <c r="K467" s="33"/>
      <c r="L467" s="33"/>
      <c r="M467" s="33"/>
      <c r="N467" s="33"/>
      <c r="O467" s="33"/>
      <c r="P467" s="33"/>
      <c r="Q467" s="33"/>
    </row>
    <row r="468" spans="2:17" s="75" customFormat="1">
      <c r="B468" s="33"/>
      <c r="C468" s="33"/>
      <c r="G468" s="76"/>
      <c r="H468" s="77"/>
      <c r="I468" s="299"/>
      <c r="J468" s="77"/>
      <c r="K468" s="33"/>
      <c r="L468" s="33"/>
      <c r="M468" s="33"/>
      <c r="N468" s="33"/>
      <c r="O468" s="33"/>
      <c r="P468" s="33"/>
      <c r="Q468" s="33"/>
    </row>
    <row r="469" spans="2:17" s="75" customFormat="1">
      <c r="B469" s="33"/>
      <c r="C469" s="33"/>
      <c r="G469" s="76"/>
      <c r="H469" s="77"/>
      <c r="I469" s="299"/>
      <c r="J469" s="77"/>
      <c r="K469" s="33"/>
      <c r="L469" s="33"/>
      <c r="M469" s="33"/>
      <c r="N469" s="33"/>
      <c r="O469" s="33"/>
      <c r="P469" s="33"/>
      <c r="Q469" s="33"/>
    </row>
    <row r="470" spans="2:17" s="75" customFormat="1">
      <c r="B470" s="33"/>
      <c r="C470" s="33"/>
      <c r="G470" s="76"/>
      <c r="H470" s="77"/>
      <c r="I470" s="299"/>
      <c r="J470" s="77"/>
      <c r="K470" s="33"/>
      <c r="L470" s="33"/>
      <c r="M470" s="33"/>
      <c r="N470" s="33"/>
      <c r="O470" s="33"/>
      <c r="P470" s="33"/>
      <c r="Q470" s="33"/>
    </row>
    <row r="471" spans="2:17" s="75" customFormat="1">
      <c r="B471" s="33"/>
      <c r="C471" s="33"/>
      <c r="G471" s="76"/>
      <c r="H471" s="77"/>
      <c r="I471" s="299"/>
      <c r="J471" s="77"/>
      <c r="K471" s="33"/>
      <c r="L471" s="33"/>
      <c r="M471" s="33"/>
      <c r="N471" s="33"/>
      <c r="O471" s="33"/>
      <c r="P471" s="33"/>
      <c r="Q471" s="33"/>
    </row>
    <row r="472" spans="2:17" s="75" customFormat="1">
      <c r="B472" s="33"/>
      <c r="C472" s="33"/>
      <c r="G472" s="76"/>
      <c r="H472" s="77"/>
      <c r="I472" s="299"/>
      <c r="J472" s="77"/>
      <c r="K472" s="33"/>
      <c r="L472" s="33"/>
      <c r="M472" s="33"/>
      <c r="N472" s="33"/>
      <c r="O472" s="33"/>
      <c r="P472" s="33"/>
      <c r="Q472" s="33"/>
    </row>
    <row r="473" spans="2:17" s="75" customFormat="1">
      <c r="B473" s="33"/>
      <c r="C473" s="33"/>
      <c r="G473" s="76"/>
      <c r="H473" s="77"/>
      <c r="I473" s="299"/>
      <c r="J473" s="77"/>
      <c r="K473" s="33"/>
      <c r="L473" s="33"/>
      <c r="M473" s="33"/>
      <c r="N473" s="33"/>
      <c r="O473" s="33"/>
      <c r="P473" s="33"/>
      <c r="Q473" s="33"/>
    </row>
    <row r="474" spans="2:17" s="75" customFormat="1">
      <c r="B474" s="33"/>
      <c r="C474" s="33"/>
      <c r="G474" s="76"/>
      <c r="H474" s="77"/>
      <c r="I474" s="299"/>
      <c r="J474" s="77"/>
      <c r="K474" s="33"/>
      <c r="L474" s="33"/>
      <c r="M474" s="33"/>
      <c r="N474" s="33"/>
      <c r="O474" s="33"/>
      <c r="P474" s="33"/>
      <c r="Q474" s="33"/>
    </row>
    <row r="475" spans="2:17" s="75" customFormat="1">
      <c r="B475" s="33"/>
      <c r="C475" s="33"/>
      <c r="G475" s="76"/>
      <c r="H475" s="77"/>
      <c r="I475" s="299"/>
      <c r="J475" s="77"/>
      <c r="K475" s="33"/>
      <c r="L475" s="33"/>
      <c r="M475" s="33"/>
      <c r="N475" s="33"/>
      <c r="O475" s="33"/>
      <c r="P475" s="33"/>
      <c r="Q475" s="33"/>
    </row>
    <row r="476" spans="2:17" s="75" customFormat="1">
      <c r="B476" s="33"/>
      <c r="C476" s="33"/>
      <c r="G476" s="76"/>
      <c r="H476" s="77"/>
      <c r="I476" s="299"/>
      <c r="J476" s="77"/>
      <c r="K476" s="33"/>
      <c r="L476" s="33"/>
      <c r="M476" s="33"/>
      <c r="N476" s="33"/>
      <c r="O476" s="33"/>
      <c r="P476" s="33"/>
      <c r="Q476" s="33"/>
    </row>
    <row r="477" spans="2:17" s="75" customFormat="1">
      <c r="B477" s="33"/>
      <c r="C477" s="33"/>
      <c r="G477" s="76"/>
      <c r="H477" s="77"/>
      <c r="I477" s="299"/>
      <c r="J477" s="77"/>
      <c r="K477" s="33"/>
      <c r="L477" s="33"/>
      <c r="M477" s="33"/>
      <c r="N477" s="33"/>
      <c r="O477" s="33"/>
      <c r="P477" s="33"/>
      <c r="Q477" s="33"/>
    </row>
    <row r="478" spans="2:17" s="75" customFormat="1">
      <c r="B478" s="33"/>
      <c r="C478" s="33"/>
      <c r="G478" s="76"/>
      <c r="H478" s="77"/>
      <c r="I478" s="299"/>
      <c r="J478" s="77"/>
      <c r="K478" s="33"/>
      <c r="L478" s="33"/>
      <c r="M478" s="33"/>
      <c r="N478" s="33"/>
      <c r="O478" s="33"/>
      <c r="P478" s="33"/>
      <c r="Q478" s="33"/>
    </row>
    <row r="479" spans="2:17" s="75" customFormat="1">
      <c r="B479" s="33"/>
      <c r="C479" s="33"/>
      <c r="G479" s="76"/>
      <c r="H479" s="77"/>
      <c r="I479" s="299"/>
      <c r="J479" s="77"/>
      <c r="K479" s="33"/>
      <c r="L479" s="33"/>
      <c r="M479" s="33"/>
      <c r="N479" s="33"/>
      <c r="O479" s="33"/>
      <c r="P479" s="33"/>
      <c r="Q479" s="33"/>
    </row>
    <row r="480" spans="2:17" s="75" customFormat="1">
      <c r="B480" s="33"/>
      <c r="C480" s="33"/>
      <c r="G480" s="76"/>
      <c r="H480" s="77"/>
      <c r="I480" s="299"/>
      <c r="J480" s="77"/>
      <c r="K480" s="33"/>
      <c r="L480" s="33"/>
      <c r="M480" s="33"/>
      <c r="N480" s="33"/>
      <c r="O480" s="33"/>
      <c r="P480" s="33"/>
      <c r="Q480" s="33"/>
    </row>
    <row r="481" spans="2:17" s="75" customFormat="1">
      <c r="B481" s="33"/>
      <c r="C481" s="33"/>
      <c r="G481" s="76"/>
      <c r="H481" s="77"/>
      <c r="I481" s="299"/>
      <c r="J481" s="77"/>
      <c r="K481" s="33"/>
      <c r="L481" s="33"/>
      <c r="M481" s="33"/>
      <c r="N481" s="33"/>
      <c r="O481" s="33"/>
      <c r="P481" s="33"/>
      <c r="Q481" s="33"/>
    </row>
    <row r="482" spans="2:17" s="75" customFormat="1">
      <c r="B482" s="33"/>
      <c r="C482" s="33"/>
      <c r="G482" s="76"/>
      <c r="H482" s="77"/>
      <c r="I482" s="299"/>
      <c r="J482" s="77"/>
      <c r="K482" s="33"/>
      <c r="L482" s="33"/>
      <c r="M482" s="33"/>
      <c r="N482" s="33"/>
      <c r="O482" s="33"/>
      <c r="P482" s="33"/>
      <c r="Q482" s="33"/>
    </row>
    <row r="483" spans="2:17" s="75" customFormat="1">
      <c r="B483" s="33"/>
      <c r="C483" s="33"/>
      <c r="G483" s="76"/>
      <c r="H483" s="77"/>
      <c r="I483" s="299"/>
      <c r="J483" s="77"/>
      <c r="K483" s="33"/>
      <c r="L483" s="33"/>
      <c r="M483" s="33"/>
      <c r="N483" s="33"/>
      <c r="O483" s="33"/>
      <c r="P483" s="33"/>
      <c r="Q483" s="33"/>
    </row>
    <row r="484" spans="2:17" s="75" customFormat="1">
      <c r="B484" s="33"/>
      <c r="C484" s="33"/>
      <c r="G484" s="76"/>
      <c r="H484" s="77"/>
      <c r="I484" s="299"/>
      <c r="J484" s="77"/>
      <c r="K484" s="33"/>
      <c r="L484" s="33"/>
      <c r="M484" s="33"/>
      <c r="N484" s="33"/>
      <c r="O484" s="33"/>
      <c r="P484" s="33"/>
      <c r="Q484" s="33"/>
    </row>
    <row r="485" spans="2:17" s="75" customFormat="1">
      <c r="B485" s="33"/>
      <c r="C485" s="33"/>
      <c r="G485" s="76"/>
      <c r="H485" s="77"/>
      <c r="I485" s="299"/>
      <c r="J485" s="77"/>
      <c r="K485" s="33"/>
      <c r="L485" s="33"/>
      <c r="M485" s="33"/>
      <c r="N485" s="33"/>
      <c r="O485" s="33"/>
      <c r="P485" s="33"/>
      <c r="Q485" s="33"/>
    </row>
    <row r="486" spans="2:17" s="75" customFormat="1">
      <c r="B486" s="33"/>
      <c r="C486" s="33"/>
      <c r="G486" s="76"/>
      <c r="H486" s="77"/>
      <c r="I486" s="299"/>
      <c r="J486" s="77"/>
      <c r="K486" s="33"/>
      <c r="L486" s="33"/>
      <c r="M486" s="33"/>
      <c r="N486" s="33"/>
      <c r="O486" s="33"/>
      <c r="P486" s="33"/>
      <c r="Q486" s="33"/>
    </row>
    <row r="487" spans="2:17" s="75" customFormat="1">
      <c r="B487" s="33"/>
      <c r="C487" s="33"/>
      <c r="G487" s="76"/>
      <c r="H487" s="77"/>
      <c r="I487" s="299"/>
      <c r="J487" s="77"/>
      <c r="K487" s="33"/>
      <c r="L487" s="33"/>
      <c r="M487" s="33"/>
      <c r="N487" s="33"/>
      <c r="O487" s="33"/>
      <c r="P487" s="33"/>
      <c r="Q487" s="33"/>
    </row>
    <row r="488" spans="2:17" s="75" customFormat="1">
      <c r="B488" s="33"/>
      <c r="C488" s="33"/>
      <c r="G488" s="76"/>
      <c r="H488" s="77"/>
      <c r="I488" s="299"/>
      <c r="J488" s="77"/>
      <c r="K488" s="33"/>
      <c r="L488" s="33"/>
      <c r="M488" s="33"/>
      <c r="N488" s="33"/>
      <c r="O488" s="33"/>
      <c r="P488" s="33"/>
      <c r="Q488" s="33"/>
    </row>
    <row r="489" spans="2:17" s="75" customFormat="1">
      <c r="B489" s="33"/>
      <c r="C489" s="33"/>
      <c r="G489" s="76"/>
      <c r="H489" s="77"/>
      <c r="I489" s="299"/>
      <c r="J489" s="77"/>
      <c r="K489" s="33"/>
      <c r="L489" s="33"/>
      <c r="M489" s="33"/>
      <c r="N489" s="33"/>
      <c r="O489" s="33"/>
      <c r="P489" s="33"/>
      <c r="Q489" s="33"/>
    </row>
    <row r="490" spans="2:17" s="75" customFormat="1">
      <c r="B490" s="33"/>
      <c r="C490" s="33"/>
      <c r="G490" s="76"/>
      <c r="H490" s="77"/>
      <c r="I490" s="299"/>
      <c r="J490" s="77"/>
      <c r="K490" s="33"/>
      <c r="L490" s="33"/>
      <c r="M490" s="33"/>
      <c r="N490" s="33"/>
      <c r="O490" s="33"/>
      <c r="P490" s="33"/>
      <c r="Q490" s="33"/>
    </row>
    <row r="491" spans="2:17" s="75" customFormat="1">
      <c r="B491" s="33"/>
      <c r="C491" s="33"/>
      <c r="G491" s="76"/>
      <c r="H491" s="77"/>
      <c r="I491" s="299"/>
      <c r="J491" s="77"/>
      <c r="K491" s="33"/>
      <c r="L491" s="33"/>
      <c r="M491" s="33"/>
      <c r="N491" s="33"/>
      <c r="O491" s="33"/>
      <c r="P491" s="33"/>
      <c r="Q491" s="33"/>
    </row>
    <row r="492" spans="2:17" s="75" customFormat="1">
      <c r="B492" s="33"/>
      <c r="C492" s="33"/>
      <c r="G492" s="76"/>
      <c r="H492" s="77"/>
      <c r="I492" s="299"/>
      <c r="J492" s="77"/>
      <c r="K492" s="33"/>
      <c r="L492" s="33"/>
      <c r="M492" s="33"/>
      <c r="N492" s="33"/>
      <c r="O492" s="33"/>
      <c r="P492" s="33"/>
      <c r="Q492" s="33"/>
    </row>
    <row r="493" spans="2:17" s="75" customFormat="1">
      <c r="B493" s="33"/>
      <c r="C493" s="33"/>
      <c r="G493" s="76"/>
      <c r="H493" s="77"/>
      <c r="I493" s="299"/>
      <c r="J493" s="77"/>
      <c r="K493" s="33"/>
      <c r="L493" s="33"/>
      <c r="M493" s="33"/>
      <c r="N493" s="33"/>
      <c r="O493" s="33"/>
      <c r="P493" s="33"/>
      <c r="Q493" s="33"/>
    </row>
    <row r="494" spans="2:17" s="75" customFormat="1">
      <c r="B494" s="33"/>
      <c r="C494" s="33"/>
      <c r="G494" s="76"/>
      <c r="H494" s="77"/>
      <c r="I494" s="299"/>
      <c r="J494" s="77"/>
      <c r="K494" s="33"/>
      <c r="L494" s="33"/>
      <c r="M494" s="33"/>
      <c r="N494" s="33"/>
      <c r="O494" s="33"/>
      <c r="P494" s="33"/>
      <c r="Q494" s="33"/>
    </row>
    <row r="495" spans="2:17" s="75" customFormat="1">
      <c r="B495" s="33"/>
      <c r="C495" s="33"/>
      <c r="G495" s="76"/>
      <c r="H495" s="77"/>
      <c r="I495" s="299"/>
      <c r="J495" s="77"/>
      <c r="K495" s="33"/>
      <c r="L495" s="33"/>
      <c r="M495" s="33"/>
      <c r="N495" s="33"/>
      <c r="O495" s="33"/>
      <c r="P495" s="33"/>
      <c r="Q495" s="33"/>
    </row>
    <row r="496" spans="2:17" s="75" customFormat="1">
      <c r="B496" s="33"/>
      <c r="C496" s="33"/>
      <c r="G496" s="76"/>
      <c r="H496" s="77"/>
      <c r="I496" s="299"/>
      <c r="J496" s="77"/>
      <c r="K496" s="33"/>
      <c r="L496" s="33"/>
      <c r="M496" s="33"/>
      <c r="N496" s="33"/>
      <c r="O496" s="33"/>
      <c r="P496" s="33"/>
      <c r="Q496" s="33"/>
    </row>
    <row r="497" spans="2:17" s="75" customFormat="1">
      <c r="B497" s="33"/>
      <c r="C497" s="33"/>
      <c r="G497" s="76"/>
      <c r="H497" s="77"/>
      <c r="I497" s="299"/>
      <c r="J497" s="77"/>
      <c r="K497" s="33"/>
      <c r="L497" s="33"/>
      <c r="M497" s="33"/>
      <c r="N497" s="33"/>
      <c r="O497" s="33"/>
      <c r="P497" s="33"/>
      <c r="Q497" s="33"/>
    </row>
    <row r="498" spans="2:17" s="75" customFormat="1">
      <c r="B498" s="33"/>
      <c r="C498" s="33"/>
      <c r="G498" s="76"/>
      <c r="H498" s="77"/>
      <c r="I498" s="299"/>
      <c r="J498" s="77"/>
      <c r="K498" s="33"/>
      <c r="L498" s="33"/>
      <c r="M498" s="33"/>
      <c r="N498" s="33"/>
      <c r="O498" s="33"/>
      <c r="P498" s="33"/>
      <c r="Q498" s="33"/>
    </row>
    <row r="499" spans="2:17" s="75" customFormat="1">
      <c r="B499" s="33"/>
      <c r="C499" s="33"/>
      <c r="G499" s="76"/>
      <c r="H499" s="77"/>
      <c r="I499" s="299"/>
      <c r="J499" s="77"/>
      <c r="K499" s="33"/>
      <c r="L499" s="33"/>
      <c r="M499" s="33"/>
      <c r="N499" s="33"/>
      <c r="O499" s="33"/>
      <c r="P499" s="33"/>
      <c r="Q499" s="33"/>
    </row>
    <row r="500" spans="2:17" s="75" customFormat="1">
      <c r="B500" s="33"/>
      <c r="C500" s="33"/>
      <c r="G500" s="76"/>
      <c r="H500" s="77"/>
      <c r="I500" s="299"/>
      <c r="J500" s="77"/>
      <c r="K500" s="33"/>
      <c r="L500" s="33"/>
      <c r="M500" s="33"/>
      <c r="N500" s="33"/>
      <c r="O500" s="33"/>
      <c r="P500" s="33"/>
      <c r="Q500" s="33"/>
    </row>
    <row r="501" spans="2:17" s="75" customFormat="1">
      <c r="B501" s="33"/>
      <c r="C501" s="33"/>
      <c r="G501" s="76"/>
      <c r="H501" s="77"/>
      <c r="I501" s="299"/>
      <c r="J501" s="77"/>
      <c r="K501" s="33"/>
      <c r="L501" s="33"/>
      <c r="M501" s="33"/>
      <c r="N501" s="33"/>
      <c r="O501" s="33"/>
      <c r="P501" s="33"/>
      <c r="Q501" s="33"/>
    </row>
    <row r="502" spans="2:17" s="75" customFormat="1">
      <c r="B502" s="33"/>
      <c r="C502" s="33"/>
      <c r="G502" s="76"/>
      <c r="H502" s="77"/>
      <c r="I502" s="299"/>
      <c r="J502" s="77"/>
      <c r="K502" s="33"/>
      <c r="L502" s="33"/>
      <c r="M502" s="33"/>
      <c r="N502" s="33"/>
      <c r="O502" s="33"/>
      <c r="P502" s="33"/>
      <c r="Q502" s="33"/>
    </row>
    <row r="503" spans="2:17" s="75" customFormat="1">
      <c r="B503" s="33"/>
      <c r="C503" s="33"/>
      <c r="G503" s="76"/>
      <c r="H503" s="77"/>
      <c r="I503" s="299"/>
      <c r="J503" s="77"/>
      <c r="K503" s="33"/>
      <c r="L503" s="33"/>
      <c r="M503" s="33"/>
      <c r="N503" s="33"/>
      <c r="O503" s="33"/>
      <c r="P503" s="33"/>
      <c r="Q503" s="33"/>
    </row>
    <row r="504" spans="2:17" s="75" customFormat="1">
      <c r="B504" s="33"/>
      <c r="C504" s="33"/>
      <c r="G504" s="76"/>
      <c r="H504" s="77"/>
      <c r="I504" s="299"/>
      <c r="J504" s="77"/>
      <c r="K504" s="33"/>
      <c r="L504" s="33"/>
      <c r="M504" s="33"/>
      <c r="N504" s="33"/>
      <c r="O504" s="33"/>
      <c r="P504" s="33"/>
      <c r="Q504" s="33"/>
    </row>
    <row r="505" spans="2:17" s="75" customFormat="1">
      <c r="B505" s="33"/>
      <c r="C505" s="33"/>
      <c r="G505" s="76"/>
      <c r="H505" s="77"/>
      <c r="I505" s="299"/>
      <c r="J505" s="77"/>
      <c r="K505" s="33"/>
      <c r="L505" s="33"/>
      <c r="M505" s="33"/>
      <c r="N505" s="33"/>
      <c r="O505" s="33"/>
      <c r="P505" s="33"/>
      <c r="Q505" s="33"/>
    </row>
    <row r="506" spans="2:17" s="75" customFormat="1">
      <c r="B506" s="33"/>
      <c r="C506" s="33"/>
      <c r="G506" s="76"/>
      <c r="H506" s="77"/>
      <c r="I506" s="299"/>
      <c r="J506" s="77"/>
      <c r="K506" s="33"/>
      <c r="L506" s="33"/>
      <c r="M506" s="33"/>
      <c r="N506" s="33"/>
      <c r="O506" s="33"/>
      <c r="P506" s="33"/>
      <c r="Q506" s="33"/>
    </row>
    <row r="507" spans="2:17" s="75" customFormat="1">
      <c r="B507" s="33"/>
      <c r="C507" s="33"/>
      <c r="G507" s="76"/>
      <c r="H507" s="77"/>
      <c r="I507" s="299"/>
      <c r="J507" s="77"/>
      <c r="K507" s="33"/>
      <c r="L507" s="33"/>
      <c r="M507" s="33"/>
      <c r="N507" s="33"/>
      <c r="O507" s="33"/>
      <c r="P507" s="33"/>
      <c r="Q507" s="33"/>
    </row>
    <row r="508" spans="2:17" s="75" customFormat="1">
      <c r="B508" s="33"/>
      <c r="C508" s="33"/>
      <c r="G508" s="76"/>
      <c r="H508" s="77"/>
      <c r="I508" s="299"/>
      <c r="J508" s="77"/>
      <c r="K508" s="33"/>
      <c r="L508" s="33"/>
      <c r="M508" s="33"/>
      <c r="N508" s="33"/>
      <c r="O508" s="33"/>
      <c r="P508" s="33"/>
      <c r="Q508" s="33"/>
    </row>
    <row r="509" spans="2:17" s="75" customFormat="1">
      <c r="B509" s="33"/>
      <c r="C509" s="33"/>
      <c r="G509" s="76"/>
      <c r="H509" s="77"/>
      <c r="I509" s="299"/>
      <c r="J509" s="77"/>
      <c r="K509" s="33"/>
      <c r="L509" s="33"/>
      <c r="M509" s="33"/>
      <c r="N509" s="33"/>
      <c r="O509" s="33"/>
      <c r="P509" s="33"/>
      <c r="Q509" s="33"/>
    </row>
    <row r="510" spans="2:17" s="75" customFormat="1">
      <c r="B510" s="33"/>
      <c r="C510" s="33"/>
      <c r="G510" s="76"/>
      <c r="H510" s="77"/>
      <c r="I510" s="299"/>
      <c r="J510" s="77"/>
      <c r="K510" s="33"/>
      <c r="L510" s="33"/>
      <c r="M510" s="33"/>
      <c r="N510" s="33"/>
      <c r="O510" s="33"/>
      <c r="P510" s="33"/>
      <c r="Q510" s="33"/>
    </row>
    <row r="511" spans="2:17" s="75" customFormat="1">
      <c r="B511" s="33"/>
      <c r="C511" s="33"/>
      <c r="G511" s="76"/>
      <c r="H511" s="77"/>
      <c r="I511" s="299"/>
      <c r="J511" s="77"/>
      <c r="K511" s="33"/>
      <c r="L511" s="33"/>
      <c r="M511" s="33"/>
      <c r="N511" s="33"/>
      <c r="O511" s="33"/>
      <c r="P511" s="33"/>
      <c r="Q511" s="33"/>
    </row>
    <row r="512" spans="2:17" s="75" customFormat="1">
      <c r="B512" s="33"/>
      <c r="C512" s="33"/>
      <c r="G512" s="76"/>
      <c r="H512" s="77"/>
      <c r="I512" s="299"/>
      <c r="J512" s="77"/>
      <c r="K512" s="33"/>
      <c r="L512" s="33"/>
      <c r="M512" s="33"/>
      <c r="N512" s="33"/>
      <c r="O512" s="33"/>
      <c r="P512" s="33"/>
      <c r="Q512" s="33"/>
    </row>
    <row r="513" spans="2:17" s="75" customFormat="1">
      <c r="B513" s="33"/>
      <c r="C513" s="33"/>
      <c r="G513" s="76"/>
      <c r="H513" s="77"/>
      <c r="I513" s="299"/>
      <c r="J513" s="77"/>
      <c r="K513" s="33"/>
      <c r="L513" s="33"/>
      <c r="M513" s="33"/>
      <c r="N513" s="33"/>
      <c r="O513" s="33"/>
      <c r="P513" s="33"/>
      <c r="Q513" s="33"/>
    </row>
    <row r="514" spans="2:17" s="75" customFormat="1">
      <c r="B514" s="33"/>
      <c r="C514" s="33"/>
      <c r="G514" s="76"/>
      <c r="H514" s="77"/>
      <c r="I514" s="299"/>
      <c r="J514" s="77"/>
      <c r="K514" s="33"/>
      <c r="L514" s="33"/>
      <c r="M514" s="33"/>
      <c r="N514" s="33"/>
      <c r="O514" s="33"/>
      <c r="P514" s="33"/>
      <c r="Q514" s="33"/>
    </row>
    <row r="515" spans="2:17" s="75" customFormat="1">
      <c r="B515" s="33"/>
      <c r="C515" s="33"/>
      <c r="G515" s="76"/>
      <c r="H515" s="77"/>
      <c r="I515" s="299"/>
      <c r="J515" s="77"/>
      <c r="K515" s="33"/>
      <c r="L515" s="33"/>
      <c r="M515" s="33"/>
      <c r="N515" s="33"/>
      <c r="O515" s="33"/>
      <c r="P515" s="33"/>
      <c r="Q515" s="33"/>
    </row>
    <row r="516" spans="2:17" s="75" customFormat="1">
      <c r="B516" s="33"/>
      <c r="C516" s="33"/>
      <c r="G516" s="76"/>
      <c r="H516" s="77"/>
      <c r="I516" s="299"/>
      <c r="J516" s="77"/>
      <c r="K516" s="33"/>
      <c r="L516" s="33"/>
      <c r="M516" s="33"/>
      <c r="N516" s="33"/>
      <c r="O516" s="33"/>
      <c r="P516" s="33"/>
      <c r="Q516" s="33"/>
    </row>
    <row r="517" spans="2:17" s="75" customFormat="1">
      <c r="B517" s="33"/>
      <c r="C517" s="33"/>
      <c r="G517" s="76"/>
      <c r="H517" s="77"/>
      <c r="I517" s="299"/>
      <c r="J517" s="77"/>
      <c r="K517" s="33"/>
      <c r="L517" s="33"/>
      <c r="M517" s="33"/>
      <c r="N517" s="33"/>
      <c r="O517" s="33"/>
      <c r="P517" s="33"/>
      <c r="Q517" s="33"/>
    </row>
    <row r="518" spans="2:17" s="75" customFormat="1">
      <c r="B518" s="33"/>
      <c r="C518" s="33"/>
      <c r="G518" s="76"/>
      <c r="H518" s="77"/>
      <c r="I518" s="299"/>
      <c r="J518" s="77"/>
      <c r="K518" s="33"/>
      <c r="L518" s="33"/>
      <c r="M518" s="33"/>
      <c r="N518" s="33"/>
      <c r="O518" s="33"/>
      <c r="P518" s="33"/>
      <c r="Q518" s="33"/>
    </row>
    <row r="519" spans="2:17" s="75" customFormat="1">
      <c r="B519" s="33"/>
      <c r="C519" s="33"/>
      <c r="G519" s="76"/>
      <c r="H519" s="77"/>
      <c r="I519" s="299"/>
      <c r="J519" s="77"/>
      <c r="K519" s="33"/>
      <c r="L519" s="33"/>
      <c r="M519" s="33"/>
      <c r="N519" s="33"/>
      <c r="O519" s="33"/>
      <c r="P519" s="33"/>
      <c r="Q519" s="33"/>
    </row>
    <row r="520" spans="2:17" s="75" customFormat="1">
      <c r="B520" s="33"/>
      <c r="C520" s="33"/>
      <c r="G520" s="76"/>
      <c r="H520" s="77"/>
      <c r="I520" s="299"/>
      <c r="J520" s="77"/>
      <c r="K520" s="33"/>
      <c r="L520" s="33"/>
      <c r="M520" s="33"/>
      <c r="N520" s="33"/>
      <c r="O520" s="33"/>
      <c r="P520" s="33"/>
      <c r="Q520" s="33"/>
    </row>
    <row r="521" spans="2:17" s="75" customFormat="1">
      <c r="B521" s="33"/>
      <c r="C521" s="33"/>
      <c r="G521" s="76"/>
      <c r="H521" s="77"/>
      <c r="I521" s="299"/>
      <c r="J521" s="77"/>
      <c r="K521" s="33"/>
      <c r="L521" s="33"/>
      <c r="M521" s="33"/>
      <c r="N521" s="33"/>
      <c r="O521" s="33"/>
      <c r="P521" s="33"/>
      <c r="Q521" s="33"/>
    </row>
    <row r="522" spans="2:17" s="75" customFormat="1">
      <c r="B522" s="33"/>
      <c r="C522" s="33"/>
      <c r="G522" s="76"/>
      <c r="H522" s="77"/>
      <c r="I522" s="299"/>
      <c r="J522" s="77"/>
      <c r="K522" s="33"/>
      <c r="L522" s="33"/>
      <c r="M522" s="33"/>
      <c r="N522" s="33"/>
      <c r="O522" s="33"/>
      <c r="P522" s="33"/>
      <c r="Q522" s="33"/>
    </row>
  </sheetData>
  <mergeCells count="47">
    <mergeCell ref="A5:A6"/>
    <mergeCell ref="B10:C10"/>
    <mergeCell ref="B23:C23"/>
    <mergeCell ref="B31:B32"/>
    <mergeCell ref="B30:C30"/>
    <mergeCell ref="B33:C33"/>
    <mergeCell ref="B37:B38"/>
    <mergeCell ref="A1:G1"/>
    <mergeCell ref="A3:A4"/>
    <mergeCell ref="B3:C3"/>
    <mergeCell ref="B4:C4"/>
    <mergeCell ref="A7:A12"/>
    <mergeCell ref="B7:C7"/>
    <mergeCell ref="B8:C8"/>
    <mergeCell ref="B9:C9"/>
    <mergeCell ref="B12:C12"/>
    <mergeCell ref="B11:C11"/>
    <mergeCell ref="B5:C5"/>
    <mergeCell ref="B6:C6"/>
    <mergeCell ref="A36:A38"/>
    <mergeCell ref="A33:A35"/>
    <mergeCell ref="A48:C48"/>
    <mergeCell ref="B39:C39"/>
    <mergeCell ref="B40:B41"/>
    <mergeCell ref="B42:C42"/>
    <mergeCell ref="B43:B44"/>
    <mergeCell ref="B45:C45"/>
    <mergeCell ref="B46:B47"/>
    <mergeCell ref="A39:A41"/>
    <mergeCell ref="A42:A44"/>
    <mergeCell ref="A45:A47"/>
    <mergeCell ref="B34:B35"/>
    <mergeCell ref="B26:C26"/>
    <mergeCell ref="B36:C36"/>
    <mergeCell ref="A13:A22"/>
    <mergeCell ref="A23:A29"/>
    <mergeCell ref="B27:C27"/>
    <mergeCell ref="B18:B19"/>
    <mergeCell ref="B13:C13"/>
    <mergeCell ref="B14:C14"/>
    <mergeCell ref="B15:C15"/>
    <mergeCell ref="B16:C16"/>
    <mergeCell ref="B17:C17"/>
    <mergeCell ref="B20:C20"/>
    <mergeCell ref="B21:B22"/>
    <mergeCell ref="B24:C24"/>
    <mergeCell ref="A30:A32"/>
  </mergeCells>
  <phoneticPr fontId="19" type="noConversion"/>
  <printOptions horizontalCentered="1"/>
  <pageMargins left="0.59055118110236227" right="0.55118110236220474" top="0.74803149606299213" bottom="0.74803149606299213" header="0.51181102362204722" footer="0.35433070866141736"/>
  <pageSetup paperSize="9" scale="78" firstPageNumber="5" fitToHeight="2" orientation="landscape" horizontalDpi="300" verticalDpi="300" r:id="rId1"/>
  <headerFooter alignWithMargins="0"/>
  <rowBreaks count="1" manualBreakCount="1">
    <brk id="28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B298"/>
  <sheetViews>
    <sheetView view="pageBreakPreview" topLeftCell="A172" zoomScale="70" zoomScaleNormal="100" zoomScaleSheetLayoutView="70" workbookViewId="0">
      <selection activeCell="AB196" sqref="AB196"/>
    </sheetView>
  </sheetViews>
  <sheetFormatPr defaultRowHeight="14.25"/>
  <cols>
    <col min="1" max="4" width="6.77734375" style="1155" customWidth="1"/>
    <col min="5" max="5" width="18.21875" style="1155" customWidth="1"/>
    <col min="6" max="7" width="13.77734375" style="947" customWidth="1"/>
    <col min="8" max="8" width="13.77734375" style="948" customWidth="1"/>
    <col min="9" max="9" width="1.6640625" style="2357" customWidth="1"/>
    <col min="10" max="10" width="2.88671875" style="1155" customWidth="1"/>
    <col min="11" max="11" width="1.88671875" style="1155" customWidth="1"/>
    <col min="12" max="12" width="8.6640625" style="1155" customWidth="1"/>
    <col min="13" max="13" width="8.77734375" style="1155" customWidth="1"/>
    <col min="14" max="14" width="10.77734375" style="1155" customWidth="1"/>
    <col min="15" max="15" width="8" style="1155" bestFit="1" customWidth="1"/>
    <col min="16" max="16" width="7.77734375" style="1155" customWidth="1"/>
    <col min="17" max="17" width="8.109375" style="1155" customWidth="1"/>
    <col min="18" max="18" width="15.33203125" style="1155" customWidth="1"/>
    <col min="19" max="19" width="14.77734375" style="1155" customWidth="1"/>
    <col min="20" max="23" width="6.77734375" style="1155" customWidth="1"/>
    <col min="24" max="24" width="3" style="882" customWidth="1"/>
    <col min="25" max="25" width="14.77734375" style="1155" customWidth="1"/>
    <col min="26" max="26" width="19.6640625" style="357" customWidth="1"/>
    <col min="27" max="27" width="16.44140625" style="358" bestFit="1" customWidth="1"/>
    <col min="28" max="28" width="21.33203125" style="357" customWidth="1"/>
    <col min="29" max="29" width="23.88671875" style="358" bestFit="1" customWidth="1"/>
    <col min="30" max="30" width="21.109375" style="357" bestFit="1" customWidth="1"/>
    <col min="31" max="31" width="14.88671875" style="357" bestFit="1" customWidth="1"/>
    <col min="32" max="32" width="13.88671875" style="357" bestFit="1" customWidth="1"/>
    <col min="33" max="33" width="9.6640625" style="357" bestFit="1" customWidth="1"/>
    <col min="34" max="16384" width="8.88671875" style="357"/>
  </cols>
  <sheetData>
    <row r="1" spans="1:30" ht="23.1" customHeight="1">
      <c r="A1" s="3250" t="s">
        <v>5815</v>
      </c>
      <c r="B1" s="3250"/>
      <c r="C1" s="3250"/>
      <c r="D1" s="3250"/>
      <c r="E1" s="3250"/>
      <c r="F1" s="3250"/>
      <c r="G1" s="3250"/>
      <c r="H1" s="3250"/>
      <c r="I1" s="3250"/>
      <c r="J1" s="3250"/>
      <c r="K1" s="3250"/>
      <c r="L1" s="3250"/>
      <c r="M1" s="3250"/>
      <c r="N1" s="3250"/>
      <c r="O1" s="3250"/>
      <c r="P1" s="3250"/>
      <c r="Q1" s="3250"/>
      <c r="R1" s="3250"/>
      <c r="S1" s="3250"/>
      <c r="T1" s="3250"/>
      <c r="U1" s="3250"/>
      <c r="V1" s="3250"/>
      <c r="W1" s="3250"/>
      <c r="X1" s="3250"/>
      <c r="Y1" s="3250"/>
      <c r="Z1" s="892"/>
    </row>
    <row r="2" spans="1:30" ht="23.1" customHeight="1" thickBot="1">
      <c r="A2" s="646"/>
      <c r="B2" s="646"/>
      <c r="C2" s="646"/>
      <c r="D2" s="646" t="s">
        <v>696</v>
      </c>
      <c r="E2" s="650"/>
      <c r="F2" s="867"/>
      <c r="G2" s="1180"/>
      <c r="H2" s="647" t="s">
        <v>1691</v>
      </c>
      <c r="J2" s="646" t="s">
        <v>696</v>
      </c>
      <c r="K2" s="646"/>
      <c r="L2" s="773" t="s">
        <v>696</v>
      </c>
      <c r="M2" s="646"/>
      <c r="N2" s="646"/>
      <c r="O2" s="343"/>
      <c r="P2" s="275"/>
      <c r="Q2" s="2530"/>
      <c r="R2" s="2357"/>
      <c r="S2" s="2357"/>
      <c r="T2" s="2357"/>
      <c r="U2" s="2357"/>
      <c r="V2" s="2357"/>
      <c r="W2" s="2357"/>
      <c r="X2" s="525"/>
      <c r="Y2" s="408" t="s">
        <v>1691</v>
      </c>
      <c r="Z2" s="2357"/>
    </row>
    <row r="3" spans="1:30" ht="22.5" customHeight="1">
      <c r="A3" s="3251" t="s">
        <v>813</v>
      </c>
      <c r="B3" s="3252"/>
      <c r="C3" s="3252"/>
      <c r="D3" s="3252"/>
      <c r="E3" s="3253"/>
      <c r="F3" s="3254" t="s">
        <v>3005</v>
      </c>
      <c r="G3" s="3256" t="s">
        <v>3006</v>
      </c>
      <c r="H3" s="3258" t="s">
        <v>3007</v>
      </c>
      <c r="J3" s="3260" t="s">
        <v>3008</v>
      </c>
      <c r="K3" s="3261"/>
      <c r="L3" s="3261"/>
      <c r="M3" s="3261"/>
      <c r="N3" s="3261"/>
      <c r="O3" s="3261"/>
      <c r="P3" s="3261"/>
      <c r="Q3" s="3261"/>
      <c r="R3" s="3261"/>
      <c r="S3" s="3261"/>
      <c r="T3" s="3261"/>
      <c r="U3" s="3261"/>
      <c r="V3" s="3261"/>
      <c r="W3" s="3261"/>
      <c r="X3" s="3261"/>
      <c r="Y3" s="3262"/>
      <c r="Z3" s="651"/>
    </row>
    <row r="4" spans="1:30" ht="22.5" customHeight="1" thickBot="1">
      <c r="A4" s="652" t="s">
        <v>583</v>
      </c>
      <c r="B4" s="653" t="s">
        <v>444</v>
      </c>
      <c r="C4" s="654" t="s">
        <v>191</v>
      </c>
      <c r="D4" s="654" t="s">
        <v>3009</v>
      </c>
      <c r="E4" s="654" t="s">
        <v>3041</v>
      </c>
      <c r="F4" s="3255"/>
      <c r="G4" s="3257"/>
      <c r="H4" s="3259"/>
      <c r="I4" s="2539"/>
      <c r="J4" s="3263"/>
      <c r="K4" s="3264"/>
      <c r="L4" s="3264"/>
      <c r="M4" s="3264"/>
      <c r="N4" s="3264"/>
      <c r="O4" s="3264"/>
      <c r="P4" s="3264"/>
      <c r="Q4" s="3264"/>
      <c r="R4" s="3264"/>
      <c r="S4" s="3264"/>
      <c r="T4" s="3264"/>
      <c r="U4" s="3264"/>
      <c r="V4" s="3264"/>
      <c r="W4" s="3264"/>
      <c r="X4" s="3264"/>
      <c r="Y4" s="3265"/>
      <c r="Z4" s="1181"/>
    </row>
    <row r="5" spans="1:30" s="504" customFormat="1" ht="22.5" customHeight="1" thickBot="1">
      <c r="A5" s="3268" t="s">
        <v>3010</v>
      </c>
      <c r="B5" s="3269"/>
      <c r="C5" s="3269"/>
      <c r="D5" s="3269"/>
      <c r="E5" s="3270"/>
      <c r="F5" s="1182">
        <f>F6</f>
        <v>7121000</v>
      </c>
      <c r="G5" s="1182">
        <f>G6</f>
        <v>7121000</v>
      </c>
      <c r="H5" s="2315">
        <f>F5-G5</f>
        <v>0</v>
      </c>
      <c r="I5" s="2539"/>
      <c r="J5" s="939"/>
      <c r="K5" s="940"/>
      <c r="L5" s="940"/>
      <c r="M5" s="940"/>
      <c r="N5" s="940"/>
      <c r="O5" s="940"/>
      <c r="P5" s="940"/>
      <c r="Q5" s="940"/>
      <c r="R5" s="940"/>
      <c r="S5" s="940"/>
      <c r="T5" s="940"/>
      <c r="U5" s="940"/>
      <c r="V5" s="940"/>
      <c r="W5" s="940"/>
      <c r="X5" s="940"/>
      <c r="Y5" s="941"/>
      <c r="Z5" s="1787"/>
      <c r="AA5" s="2563"/>
    </row>
    <row r="6" spans="1:30" ht="22.5" customHeight="1" thickBot="1">
      <c r="A6" s="936"/>
      <c r="B6" s="937" t="s">
        <v>3010</v>
      </c>
      <c r="C6" s="751"/>
      <c r="D6" s="751"/>
      <c r="E6" s="752"/>
      <c r="F6" s="938">
        <f>+F7+F29+F64+F125+F180</f>
        <v>7121000</v>
      </c>
      <c r="G6" s="938">
        <f>+G7+G29+G64+G125+G180</f>
        <v>7121000</v>
      </c>
      <c r="H6" s="2315">
        <f>F6-G6</f>
        <v>0</v>
      </c>
      <c r="I6" s="2539"/>
      <c r="J6" s="939"/>
      <c r="K6" s="940"/>
      <c r="L6" s="940"/>
      <c r="M6" s="940"/>
      <c r="N6" s="940"/>
      <c r="O6" s="940"/>
      <c r="P6" s="940"/>
      <c r="Q6" s="940"/>
      <c r="R6" s="940"/>
      <c r="S6" s="940"/>
      <c r="T6" s="940"/>
      <c r="U6" s="940"/>
      <c r="V6" s="940"/>
      <c r="W6" s="940"/>
      <c r="X6" s="940"/>
      <c r="Y6" s="941"/>
      <c r="Z6" s="1183"/>
      <c r="AB6" s="347"/>
      <c r="AC6" s="347"/>
      <c r="AD6" s="370"/>
    </row>
    <row r="7" spans="1:30" ht="21.95" customHeight="1">
      <c r="A7" s="411"/>
      <c r="B7" s="412"/>
      <c r="C7" s="3271" t="s">
        <v>3318</v>
      </c>
      <c r="D7" s="3271"/>
      <c r="E7" s="3272"/>
      <c r="F7" s="384">
        <f>+F8+F18</f>
        <v>200000</v>
      </c>
      <c r="G7" s="384">
        <f>+G8+G18</f>
        <v>200000</v>
      </c>
      <c r="H7" s="386">
        <f>F7-G7</f>
        <v>0</v>
      </c>
      <c r="I7" s="2534"/>
      <c r="J7" s="1135"/>
      <c r="K7" s="2525"/>
      <c r="L7" s="2525"/>
      <c r="M7" s="2525"/>
      <c r="N7" s="2525"/>
      <c r="O7" s="2525"/>
      <c r="P7" s="2525"/>
      <c r="Q7" s="462"/>
      <c r="R7" s="395"/>
      <c r="S7" s="399"/>
      <c r="T7" s="1136"/>
      <c r="U7" s="1136"/>
      <c r="V7" s="1136"/>
      <c r="W7" s="1136"/>
      <c r="X7" s="1138"/>
      <c r="Y7" s="431"/>
      <c r="Z7" s="407"/>
      <c r="AB7" s="347"/>
      <c r="AC7" s="347"/>
      <c r="AD7" s="370"/>
    </row>
    <row r="8" spans="1:30" ht="21.95" customHeight="1">
      <c r="A8" s="411"/>
      <c r="B8" s="412"/>
      <c r="C8" s="1671"/>
      <c r="D8" s="3273" t="s">
        <v>3011</v>
      </c>
      <c r="E8" s="3274"/>
      <c r="F8" s="387">
        <f>SUM(F9:F17)</f>
        <v>150000</v>
      </c>
      <c r="G8" s="387">
        <f>SUM(G9:G17)</f>
        <v>150000</v>
      </c>
      <c r="H8" s="388">
        <f t="shared" ref="H8" si="0">F8-G8</f>
        <v>0</v>
      </c>
      <c r="I8" s="2534"/>
      <c r="J8" s="1135"/>
      <c r="K8" s="2525"/>
      <c r="L8" s="2525"/>
      <c r="M8" s="2525"/>
      <c r="N8" s="2525"/>
      <c r="O8" s="2525"/>
      <c r="P8" s="2525"/>
      <c r="Q8" s="2525"/>
      <c r="R8" s="395"/>
      <c r="S8" s="1136"/>
      <c r="T8" s="1136"/>
      <c r="U8" s="1136"/>
      <c r="V8" s="1136"/>
      <c r="W8" s="1136"/>
      <c r="X8" s="1138"/>
      <c r="Y8" s="431"/>
      <c r="Z8" s="463"/>
      <c r="AB8" s="347"/>
      <c r="AC8" s="347"/>
      <c r="AD8" s="370"/>
    </row>
    <row r="9" spans="1:30" ht="21.95" customHeight="1">
      <c r="A9" s="411"/>
      <c r="B9" s="412"/>
      <c r="C9" s="1671"/>
      <c r="D9" s="1289"/>
      <c r="E9" s="934" t="s">
        <v>633</v>
      </c>
      <c r="F9" s="2564">
        <f>Y9</f>
        <v>20000</v>
      </c>
      <c r="G9" s="2564">
        <v>20000</v>
      </c>
      <c r="H9" s="482"/>
      <c r="I9" s="2534"/>
      <c r="J9" s="2345" t="s">
        <v>3012</v>
      </c>
      <c r="K9" s="1672"/>
      <c r="L9" s="1672"/>
      <c r="M9" s="1672"/>
      <c r="N9" s="1672"/>
      <c r="O9" s="1672"/>
      <c r="P9" s="1672"/>
      <c r="Q9" s="1672"/>
      <c r="R9" s="1672"/>
      <c r="S9" s="1672">
        <v>2500000</v>
      </c>
      <c r="T9" s="1672" t="s">
        <v>1809</v>
      </c>
      <c r="U9" s="1672"/>
      <c r="V9" s="1672">
        <v>8</v>
      </c>
      <c r="W9" s="1672" t="s">
        <v>2968</v>
      </c>
      <c r="X9" s="1323" t="s">
        <v>3013</v>
      </c>
      <c r="Y9" s="1674">
        <f t="shared" ref="Y9:Y16" si="1">Z9/1000</f>
        <v>20000</v>
      </c>
      <c r="Z9" s="407">
        <f>S9*V9</f>
        <v>20000000</v>
      </c>
      <c r="AB9" s="347"/>
      <c r="AC9" s="347"/>
      <c r="AD9" s="370"/>
    </row>
    <row r="10" spans="1:30" ht="21.95" customHeight="1">
      <c r="A10" s="411"/>
      <c r="B10" s="412"/>
      <c r="C10" s="1671"/>
      <c r="D10" s="1289"/>
      <c r="E10" s="875" t="s">
        <v>224</v>
      </c>
      <c r="F10" s="2564">
        <f t="shared" ref="F10:F14" si="2">Y10</f>
        <v>2000</v>
      </c>
      <c r="G10" s="2564">
        <v>2000</v>
      </c>
      <c r="H10" s="482"/>
      <c r="I10" s="2534"/>
      <c r="J10" s="2345" t="s">
        <v>3014</v>
      </c>
      <c r="K10" s="1672"/>
      <c r="L10" s="1672"/>
      <c r="M10" s="1672"/>
      <c r="N10" s="1672"/>
      <c r="O10" s="1672"/>
      <c r="P10" s="1672"/>
      <c r="Q10" s="1672"/>
      <c r="R10" s="1672"/>
      <c r="S10" s="1672">
        <v>400000</v>
      </c>
      <c r="T10" s="1672" t="s">
        <v>1809</v>
      </c>
      <c r="U10" s="1672"/>
      <c r="V10" s="1672">
        <v>5</v>
      </c>
      <c r="W10" s="1672" t="s">
        <v>1762</v>
      </c>
      <c r="X10" s="1323" t="s">
        <v>3013</v>
      </c>
      <c r="Y10" s="1674">
        <f t="shared" si="1"/>
        <v>2000</v>
      </c>
      <c r="Z10" s="407">
        <f>S10*V10</f>
        <v>2000000</v>
      </c>
      <c r="AB10" s="347"/>
      <c r="AC10" s="347"/>
      <c r="AD10" s="370"/>
    </row>
    <row r="11" spans="1:30" ht="21.95" customHeight="1">
      <c r="A11" s="411"/>
      <c r="B11" s="412"/>
      <c r="C11" s="1671"/>
      <c r="D11" s="1144"/>
      <c r="E11" s="1134" t="s">
        <v>269</v>
      </c>
      <c r="F11" s="1788">
        <f t="shared" si="2"/>
        <v>8000</v>
      </c>
      <c r="G11" s="1788">
        <v>8000</v>
      </c>
      <c r="H11" s="482"/>
      <c r="I11" s="2534"/>
      <c r="J11" s="2663" t="s">
        <v>4641</v>
      </c>
      <c r="K11" s="2534"/>
      <c r="L11" s="2534"/>
      <c r="M11" s="2534"/>
      <c r="N11" s="2534"/>
      <c r="O11" s="2534"/>
      <c r="P11" s="2534"/>
      <c r="Q11" s="1673">
        <v>8</v>
      </c>
      <c r="R11" s="405" t="s">
        <v>318</v>
      </c>
      <c r="S11" s="2539">
        <v>200000</v>
      </c>
      <c r="T11" s="2539" t="s">
        <v>622</v>
      </c>
      <c r="U11" s="2539"/>
      <c r="V11" s="2539">
        <v>5</v>
      </c>
      <c r="W11" s="2539" t="s">
        <v>618</v>
      </c>
      <c r="X11" s="1140" t="s">
        <v>1</v>
      </c>
      <c r="Y11" s="1674">
        <f t="shared" si="1"/>
        <v>8000</v>
      </c>
      <c r="Z11" s="407">
        <f>Q11*S11*V11</f>
        <v>8000000</v>
      </c>
      <c r="AB11" s="347"/>
      <c r="AC11" s="347"/>
      <c r="AD11" s="370"/>
    </row>
    <row r="12" spans="1:30" ht="21.95" customHeight="1">
      <c r="A12" s="411"/>
      <c r="B12" s="412"/>
      <c r="C12" s="1671"/>
      <c r="D12" s="1131"/>
      <c r="E12" s="389" t="s">
        <v>638</v>
      </c>
      <c r="F12" s="1788">
        <f t="shared" si="2"/>
        <v>100000</v>
      </c>
      <c r="G12" s="1788">
        <v>100000</v>
      </c>
      <c r="H12" s="482"/>
      <c r="I12" s="2534"/>
      <c r="J12" s="2345" t="s">
        <v>3015</v>
      </c>
      <c r="K12" s="1672"/>
      <c r="L12" s="1672"/>
      <c r="M12" s="1672"/>
      <c r="N12" s="1672"/>
      <c r="O12" s="1672"/>
      <c r="P12" s="1672"/>
      <c r="Q12" s="1672"/>
      <c r="R12" s="1672"/>
      <c r="S12" s="1672">
        <v>50000000</v>
      </c>
      <c r="T12" s="1672" t="s">
        <v>1809</v>
      </c>
      <c r="U12" s="1672"/>
      <c r="V12" s="1672">
        <v>2</v>
      </c>
      <c r="W12" s="1672" t="s">
        <v>1762</v>
      </c>
      <c r="X12" s="1323" t="s">
        <v>3013</v>
      </c>
      <c r="Y12" s="1674">
        <f t="shared" si="1"/>
        <v>100000</v>
      </c>
      <c r="Z12" s="407">
        <f>S12*V12</f>
        <v>100000000</v>
      </c>
      <c r="AB12" s="347"/>
      <c r="AC12" s="347"/>
      <c r="AD12" s="370"/>
    </row>
    <row r="13" spans="1:30" ht="21.95" customHeight="1">
      <c r="A13" s="411"/>
      <c r="B13" s="412"/>
      <c r="C13" s="1671"/>
      <c r="D13" s="1131"/>
      <c r="E13" s="389" t="s">
        <v>1091</v>
      </c>
      <c r="F13" s="1788">
        <f t="shared" si="2"/>
        <v>3000</v>
      </c>
      <c r="G13" s="1788">
        <v>3000</v>
      </c>
      <c r="H13" s="482"/>
      <c r="I13" s="2534"/>
      <c r="J13" s="2538" t="s">
        <v>3016</v>
      </c>
      <c r="K13" s="2534"/>
      <c r="L13" s="2534"/>
      <c r="M13" s="2534"/>
      <c r="N13" s="2534"/>
      <c r="O13" s="2534"/>
      <c r="P13" s="2534"/>
      <c r="Q13" s="1673">
        <v>3</v>
      </c>
      <c r="R13" s="405" t="s">
        <v>318</v>
      </c>
      <c r="S13" s="2539">
        <v>20000</v>
      </c>
      <c r="T13" s="2539" t="s">
        <v>622</v>
      </c>
      <c r="U13" s="2539"/>
      <c r="V13" s="2539">
        <v>50</v>
      </c>
      <c r="W13" s="2539" t="s">
        <v>618</v>
      </c>
      <c r="X13" s="1140" t="s">
        <v>623</v>
      </c>
      <c r="Y13" s="1674">
        <f t="shared" si="1"/>
        <v>3000</v>
      </c>
      <c r="Z13" s="407">
        <f>Q13*S13*V13</f>
        <v>3000000</v>
      </c>
      <c r="AB13" s="347"/>
      <c r="AC13" s="347"/>
      <c r="AD13" s="370"/>
    </row>
    <row r="14" spans="1:30" ht="21.95" customHeight="1">
      <c r="A14" s="411"/>
      <c r="B14" s="412"/>
      <c r="C14" s="1671"/>
      <c r="D14" s="1131"/>
      <c r="E14" s="389" t="s">
        <v>663</v>
      </c>
      <c r="F14" s="383">
        <f t="shared" si="2"/>
        <v>17000</v>
      </c>
      <c r="G14" s="383">
        <v>17000</v>
      </c>
      <c r="H14" s="482"/>
      <c r="I14" s="2534"/>
      <c r="J14" s="2538" t="s">
        <v>289</v>
      </c>
      <c r="K14" s="2534"/>
      <c r="L14" s="2534"/>
      <c r="M14" s="2534"/>
      <c r="N14" s="2534"/>
      <c r="O14" s="2534"/>
      <c r="P14" s="2534"/>
      <c r="Q14" s="1673"/>
      <c r="R14" s="405"/>
      <c r="S14" s="2539"/>
      <c r="T14" s="2539"/>
      <c r="U14" s="2539"/>
      <c r="V14" s="2539"/>
      <c r="W14" s="2539"/>
      <c r="X14" s="1140"/>
      <c r="Y14" s="1674">
        <f t="shared" si="1"/>
        <v>17000</v>
      </c>
      <c r="Z14" s="407">
        <f>Z15+Z16+Z17</f>
        <v>17000000</v>
      </c>
      <c r="AB14" s="347"/>
      <c r="AC14" s="347"/>
      <c r="AD14" s="370"/>
    </row>
    <row r="15" spans="1:30" ht="21.95" customHeight="1">
      <c r="A15" s="411"/>
      <c r="B15" s="412"/>
      <c r="C15" s="1671"/>
      <c r="D15" s="1131"/>
      <c r="E15" s="389"/>
      <c r="F15" s="1788"/>
      <c r="G15" s="1788"/>
      <c r="H15" s="482"/>
      <c r="I15" s="2534"/>
      <c r="J15" s="2532" t="s">
        <v>690</v>
      </c>
      <c r="K15" s="2534"/>
      <c r="L15" s="2534"/>
      <c r="M15" s="2534"/>
      <c r="N15" s="2534"/>
      <c r="O15" s="2534"/>
      <c r="P15" s="2534"/>
      <c r="Q15" s="1673">
        <v>12</v>
      </c>
      <c r="R15" s="405" t="s">
        <v>318</v>
      </c>
      <c r="S15" s="2539">
        <v>20000</v>
      </c>
      <c r="T15" s="2539" t="s">
        <v>622</v>
      </c>
      <c r="U15" s="2539"/>
      <c r="V15" s="2539">
        <v>25</v>
      </c>
      <c r="W15" s="2539" t="s">
        <v>618</v>
      </c>
      <c r="X15" s="1140" t="s">
        <v>1</v>
      </c>
      <c r="Y15" s="1674">
        <f t="shared" si="1"/>
        <v>6000</v>
      </c>
      <c r="Z15" s="407">
        <f>Q15*S15*V15</f>
        <v>6000000</v>
      </c>
      <c r="AB15" s="347"/>
      <c r="AC15" s="347"/>
      <c r="AD15" s="370"/>
    </row>
    <row r="16" spans="1:30" ht="21.95" customHeight="1">
      <c r="A16" s="411"/>
      <c r="B16" s="412"/>
      <c r="C16" s="1671"/>
      <c r="D16" s="1131"/>
      <c r="E16" s="389"/>
      <c r="F16" s="1788"/>
      <c r="G16" s="1788"/>
      <c r="H16" s="482"/>
      <c r="I16" s="2534"/>
      <c r="J16" s="2538" t="s">
        <v>3017</v>
      </c>
      <c r="K16" s="2534"/>
      <c r="L16" s="2534"/>
      <c r="M16" s="2534"/>
      <c r="N16" s="2534"/>
      <c r="O16" s="2534"/>
      <c r="P16" s="2534"/>
      <c r="Q16" s="1673">
        <v>12</v>
      </c>
      <c r="R16" s="405" t="s">
        <v>318</v>
      </c>
      <c r="S16" s="2539">
        <v>20000</v>
      </c>
      <c r="T16" s="2539" t="s">
        <v>622</v>
      </c>
      <c r="U16" s="2539"/>
      <c r="V16" s="2539">
        <v>25</v>
      </c>
      <c r="W16" s="2539" t="s">
        <v>618</v>
      </c>
      <c r="X16" s="1140" t="s">
        <v>1</v>
      </c>
      <c r="Y16" s="1674">
        <f t="shared" si="1"/>
        <v>6000</v>
      </c>
      <c r="Z16" s="407">
        <f>Q16*S16*V16</f>
        <v>6000000</v>
      </c>
      <c r="AB16" s="347"/>
      <c r="AC16" s="347"/>
      <c r="AD16" s="370"/>
    </row>
    <row r="17" spans="1:30" ht="21.95" customHeight="1">
      <c r="A17" s="411"/>
      <c r="B17" s="412"/>
      <c r="C17" s="1671"/>
      <c r="D17" s="1131"/>
      <c r="E17" s="389"/>
      <c r="F17" s="1788"/>
      <c r="G17" s="1788"/>
      <c r="H17" s="482"/>
      <c r="I17" s="2534"/>
      <c r="J17" s="2538" t="s">
        <v>3018</v>
      </c>
      <c r="K17" s="2538"/>
      <c r="L17" s="2538"/>
      <c r="M17" s="2534"/>
      <c r="N17" s="2534"/>
      <c r="O17" s="2534"/>
      <c r="P17" s="2534"/>
      <c r="Q17" s="1673">
        <v>10</v>
      </c>
      <c r="R17" s="405" t="s">
        <v>318</v>
      </c>
      <c r="S17" s="2539">
        <v>20000</v>
      </c>
      <c r="T17" s="2539" t="s">
        <v>622</v>
      </c>
      <c r="U17" s="2539"/>
      <c r="V17" s="2539">
        <v>25</v>
      </c>
      <c r="W17" s="2539" t="s">
        <v>618</v>
      </c>
      <c r="X17" s="1140"/>
      <c r="Y17" s="1674">
        <f>Z17/1000</f>
        <v>5000</v>
      </c>
      <c r="Z17" s="407">
        <f>Q17*S17*V17</f>
        <v>5000000</v>
      </c>
      <c r="AB17" s="347"/>
      <c r="AC17" s="347"/>
      <c r="AD17" s="370"/>
    </row>
    <row r="18" spans="1:30" ht="21.95" customHeight="1">
      <c r="A18" s="411"/>
      <c r="B18" s="412"/>
      <c r="C18" s="1671"/>
      <c r="D18" s="3275" t="s">
        <v>3319</v>
      </c>
      <c r="E18" s="3276"/>
      <c r="F18" s="1789">
        <f>SUM(F19:F28)</f>
        <v>50000</v>
      </c>
      <c r="G18" s="1789">
        <f>SUM(G19:G28)</f>
        <v>50000</v>
      </c>
      <c r="H18" s="388">
        <f>F18-G18</f>
        <v>0</v>
      </c>
      <c r="I18" s="2534"/>
      <c r="J18" s="1135"/>
      <c r="K18" s="2525"/>
      <c r="L18" s="2525"/>
      <c r="M18" s="2525"/>
      <c r="N18" s="2525"/>
      <c r="O18" s="2525"/>
      <c r="P18" s="2525"/>
      <c r="Q18" s="2525"/>
      <c r="R18" s="395"/>
      <c r="S18" s="1136"/>
      <c r="T18" s="1136"/>
      <c r="U18" s="1136"/>
      <c r="V18" s="1136"/>
      <c r="W18" s="1136"/>
      <c r="X18" s="1138"/>
      <c r="Y18" s="431"/>
      <c r="Z18" s="463"/>
      <c r="AB18" s="347"/>
      <c r="AC18" s="347"/>
      <c r="AD18" s="370"/>
    </row>
    <row r="19" spans="1:30" ht="21.95" customHeight="1">
      <c r="A19" s="411"/>
      <c r="B19" s="412"/>
      <c r="C19" s="1671"/>
      <c r="D19" s="1131"/>
      <c r="E19" s="389" t="s">
        <v>634</v>
      </c>
      <c r="F19" s="383">
        <f>Y19</f>
        <v>1600</v>
      </c>
      <c r="G19" s="383">
        <v>1600</v>
      </c>
      <c r="H19" s="391"/>
      <c r="I19" s="2534"/>
      <c r="J19" s="2538" t="s">
        <v>3019</v>
      </c>
      <c r="K19" s="2534"/>
      <c r="L19" s="2534"/>
      <c r="M19" s="2534"/>
      <c r="N19" s="2534"/>
      <c r="O19" s="2534"/>
      <c r="P19" s="2534"/>
      <c r="Q19" s="1673">
        <v>8</v>
      </c>
      <c r="R19" s="405" t="s">
        <v>318</v>
      </c>
      <c r="S19" s="2539">
        <v>4000</v>
      </c>
      <c r="T19" s="2539" t="s">
        <v>622</v>
      </c>
      <c r="U19" s="2539"/>
      <c r="V19" s="2539">
        <v>50</v>
      </c>
      <c r="W19" s="2539" t="s">
        <v>694</v>
      </c>
      <c r="X19" s="1140" t="s">
        <v>623</v>
      </c>
      <c r="Y19" s="1674">
        <v>1600</v>
      </c>
      <c r="Z19" s="407">
        <f>Q19*S19*V19</f>
        <v>1600000</v>
      </c>
      <c r="AB19" s="347"/>
      <c r="AC19" s="347"/>
      <c r="AD19" s="370"/>
    </row>
    <row r="20" spans="1:30" ht="21.95" customHeight="1">
      <c r="A20" s="411"/>
      <c r="B20" s="412"/>
      <c r="C20" s="1671"/>
      <c r="D20" s="1131"/>
      <c r="E20" s="1134" t="s">
        <v>224</v>
      </c>
      <c r="F20" s="383">
        <f>Y20</f>
        <v>2400</v>
      </c>
      <c r="G20" s="383">
        <v>2400</v>
      </c>
      <c r="H20" s="482"/>
      <c r="I20" s="2534"/>
      <c r="J20" s="2538" t="s">
        <v>3020</v>
      </c>
      <c r="K20" s="2534"/>
      <c r="L20" s="2534"/>
      <c r="M20" s="2534"/>
      <c r="N20" s="2534"/>
      <c r="O20" s="2534"/>
      <c r="P20" s="2534"/>
      <c r="Q20" s="1673"/>
      <c r="R20" s="405"/>
      <c r="S20" s="1672">
        <v>400000</v>
      </c>
      <c r="T20" s="2539" t="s">
        <v>622</v>
      </c>
      <c r="U20" s="2539"/>
      <c r="V20" s="2539">
        <v>6</v>
      </c>
      <c r="W20" s="2539" t="s">
        <v>299</v>
      </c>
      <c r="X20" s="1140" t="s">
        <v>623</v>
      </c>
      <c r="Y20" s="1674">
        <f t="shared" ref="Y20:Y28" si="3">Z20/1000</f>
        <v>2400</v>
      </c>
      <c r="Z20" s="407">
        <f>S20*V20</f>
        <v>2400000</v>
      </c>
      <c r="AB20" s="347"/>
      <c r="AC20" s="347"/>
      <c r="AD20" s="370"/>
    </row>
    <row r="21" spans="1:30" ht="21.95" customHeight="1">
      <c r="A21" s="411"/>
      <c r="B21" s="412"/>
      <c r="C21" s="1671"/>
      <c r="D21" s="1131"/>
      <c r="E21" s="389" t="s">
        <v>269</v>
      </c>
      <c r="F21" s="383">
        <f>Y21</f>
        <v>20000</v>
      </c>
      <c r="G21" s="383">
        <v>20000</v>
      </c>
      <c r="H21" s="482"/>
      <c r="I21" s="2534"/>
      <c r="J21" s="2538" t="s">
        <v>289</v>
      </c>
      <c r="K21" s="2534"/>
      <c r="L21" s="2534"/>
      <c r="M21" s="2534"/>
      <c r="N21" s="2534"/>
      <c r="O21" s="2534"/>
      <c r="P21" s="2534"/>
      <c r="Q21" s="1673"/>
      <c r="R21" s="405"/>
      <c r="S21" s="2539"/>
      <c r="T21" s="2539"/>
      <c r="U21" s="2539"/>
      <c r="V21" s="2539"/>
      <c r="W21" s="2539"/>
      <c r="X21" s="1140"/>
      <c r="Y21" s="1674">
        <f t="shared" si="3"/>
        <v>20000</v>
      </c>
      <c r="Z21" s="407">
        <f>+Z22+Z23</f>
        <v>20000000</v>
      </c>
      <c r="AB21" s="347"/>
      <c r="AC21" s="347"/>
      <c r="AD21" s="370"/>
    </row>
    <row r="22" spans="1:30" ht="21.95" customHeight="1">
      <c r="A22" s="411"/>
      <c r="B22" s="412"/>
      <c r="C22" s="1671"/>
      <c r="D22" s="1131"/>
      <c r="E22" s="389"/>
      <c r="F22" s="1134"/>
      <c r="G22" s="383"/>
      <c r="H22" s="482"/>
      <c r="I22" s="2534"/>
      <c r="J22" s="2538" t="s">
        <v>3021</v>
      </c>
      <c r="K22" s="2534"/>
      <c r="L22" s="2534"/>
      <c r="M22" s="2534"/>
      <c r="N22" s="2534"/>
      <c r="O22" s="2534"/>
      <c r="P22" s="2534"/>
      <c r="Q22" s="1673">
        <v>4</v>
      </c>
      <c r="R22" s="405" t="s">
        <v>318</v>
      </c>
      <c r="S22" s="2539">
        <v>1000000</v>
      </c>
      <c r="T22" s="2539" t="s">
        <v>622</v>
      </c>
      <c r="U22" s="2539"/>
      <c r="V22" s="2539">
        <v>4</v>
      </c>
      <c r="W22" s="2539" t="s">
        <v>618</v>
      </c>
      <c r="X22" s="1140" t="s">
        <v>623</v>
      </c>
      <c r="Y22" s="1674">
        <f t="shared" si="3"/>
        <v>16000</v>
      </c>
      <c r="Z22" s="407">
        <f>Q22*S22*V22</f>
        <v>16000000</v>
      </c>
      <c r="AB22" s="347"/>
      <c r="AC22" s="347"/>
      <c r="AD22" s="370"/>
    </row>
    <row r="23" spans="1:30" ht="21.95" customHeight="1">
      <c r="A23" s="411"/>
      <c r="B23" s="412"/>
      <c r="C23" s="1671"/>
      <c r="D23" s="1131"/>
      <c r="E23" s="389"/>
      <c r="F23" s="389"/>
      <c r="G23" s="383"/>
      <c r="H23" s="482"/>
      <c r="I23" s="2534"/>
      <c r="J23" s="2538" t="s">
        <v>3022</v>
      </c>
      <c r="K23" s="2534"/>
      <c r="L23" s="2534"/>
      <c r="M23" s="2534"/>
      <c r="N23" s="2534"/>
      <c r="O23" s="2534"/>
      <c r="P23" s="2534"/>
      <c r="Q23" s="1673">
        <v>4</v>
      </c>
      <c r="R23" s="405" t="s">
        <v>318</v>
      </c>
      <c r="S23" s="2539">
        <v>200000</v>
      </c>
      <c r="T23" s="2539" t="s">
        <v>622</v>
      </c>
      <c r="U23" s="2539"/>
      <c r="V23" s="2539">
        <v>5</v>
      </c>
      <c r="W23" s="2539" t="s">
        <v>618</v>
      </c>
      <c r="X23" s="1140" t="s">
        <v>623</v>
      </c>
      <c r="Y23" s="1674">
        <f t="shared" si="3"/>
        <v>4000</v>
      </c>
      <c r="Z23" s="407">
        <f>Q23*S23*V23</f>
        <v>4000000</v>
      </c>
      <c r="AB23" s="347"/>
      <c r="AC23" s="347"/>
      <c r="AD23" s="370"/>
    </row>
    <row r="24" spans="1:30" ht="21.95" customHeight="1">
      <c r="A24" s="411"/>
      <c r="B24" s="412"/>
      <c r="C24" s="1671"/>
      <c r="D24" s="1131"/>
      <c r="E24" s="389" t="s">
        <v>287</v>
      </c>
      <c r="F24" s="383">
        <v>21200</v>
      </c>
      <c r="G24" s="383">
        <v>21200</v>
      </c>
      <c r="H24" s="1346"/>
      <c r="I24" s="2889"/>
      <c r="J24" s="2899" t="s">
        <v>194</v>
      </c>
      <c r="K24" s="2889"/>
      <c r="L24" s="2889"/>
      <c r="M24" s="2889"/>
      <c r="N24" s="2889"/>
      <c r="O24" s="2889"/>
      <c r="P24" s="2889"/>
      <c r="Q24" s="1673"/>
      <c r="R24" s="405"/>
      <c r="S24" s="2900"/>
      <c r="T24" s="2900"/>
      <c r="U24" s="2900"/>
      <c r="V24" s="2900"/>
      <c r="W24" s="2900"/>
      <c r="X24" s="1140"/>
      <c r="Y24" s="1674"/>
      <c r="Z24" s="407"/>
      <c r="AB24" s="347"/>
      <c r="AC24" s="347"/>
      <c r="AD24" s="370"/>
    </row>
    <row r="25" spans="1:30" ht="21.95" customHeight="1">
      <c r="A25" s="411"/>
      <c r="B25" s="412"/>
      <c r="C25" s="1671"/>
      <c r="D25" s="1131"/>
      <c r="E25" s="389"/>
      <c r="F25" s="389"/>
      <c r="G25" s="383"/>
      <c r="H25" s="482"/>
      <c r="I25" s="2889"/>
      <c r="J25" s="2899" t="s">
        <v>3024</v>
      </c>
      <c r="K25" s="2889"/>
      <c r="L25" s="2889"/>
      <c r="M25" s="2889"/>
      <c r="N25" s="2889"/>
      <c r="O25" s="2889"/>
      <c r="P25" s="2889"/>
      <c r="Q25" s="1673">
        <v>4</v>
      </c>
      <c r="R25" s="405" t="s">
        <v>202</v>
      </c>
      <c r="S25" s="2900">
        <v>5000000</v>
      </c>
      <c r="T25" s="2900" t="s">
        <v>264</v>
      </c>
      <c r="U25" s="2900"/>
      <c r="V25" s="2900">
        <v>1</v>
      </c>
      <c r="W25" s="2900" t="s">
        <v>330</v>
      </c>
      <c r="X25" s="1140" t="s">
        <v>266</v>
      </c>
      <c r="Y25" s="1674">
        <f t="shared" ref="Y25:Y26" si="4">Z25/1000</f>
        <v>20000</v>
      </c>
      <c r="Z25" s="407">
        <f>Q25*S25*V25</f>
        <v>20000000</v>
      </c>
      <c r="AB25" s="347"/>
      <c r="AC25" s="347"/>
      <c r="AD25" s="370"/>
    </row>
    <row r="26" spans="1:30" ht="21.95" customHeight="1">
      <c r="A26" s="411"/>
      <c r="B26" s="412"/>
      <c r="C26" s="1671"/>
      <c r="D26" s="1131"/>
      <c r="E26" s="389"/>
      <c r="F26" s="389"/>
      <c r="G26" s="383"/>
      <c r="H26" s="391"/>
      <c r="I26" s="2889"/>
      <c r="J26" s="2899" t="s">
        <v>691</v>
      </c>
      <c r="K26" s="2889"/>
      <c r="L26" s="2889"/>
      <c r="M26" s="2889"/>
      <c r="N26" s="2889"/>
      <c r="O26" s="2889"/>
      <c r="P26" s="2889"/>
      <c r="Q26" s="1673">
        <v>4</v>
      </c>
      <c r="R26" s="405" t="s">
        <v>202</v>
      </c>
      <c r="S26" s="2900">
        <v>300000</v>
      </c>
      <c r="T26" s="2900" t="s">
        <v>264</v>
      </c>
      <c r="U26" s="2900"/>
      <c r="V26" s="2900">
        <v>1</v>
      </c>
      <c r="W26" s="2900" t="s">
        <v>330</v>
      </c>
      <c r="X26" s="1140" t="s">
        <v>266</v>
      </c>
      <c r="Y26" s="1674">
        <f t="shared" si="4"/>
        <v>1200</v>
      </c>
      <c r="Z26" s="407">
        <f>Q26*S26*V26</f>
        <v>1200000</v>
      </c>
      <c r="AA26" s="2563"/>
      <c r="AB26" s="347"/>
      <c r="AC26" s="347"/>
      <c r="AD26" s="370"/>
    </row>
    <row r="27" spans="1:30" ht="21.95" customHeight="1">
      <c r="A27" s="411"/>
      <c r="B27" s="412"/>
      <c r="C27" s="1671"/>
      <c r="D27" s="1131"/>
      <c r="E27" s="389" t="s">
        <v>366</v>
      </c>
      <c r="F27" s="383">
        <f>Y27</f>
        <v>2400</v>
      </c>
      <c r="G27" s="383">
        <v>2400</v>
      </c>
      <c r="H27" s="482"/>
      <c r="I27" s="2534"/>
      <c r="J27" s="2538" t="s">
        <v>625</v>
      </c>
      <c r="K27" s="2534"/>
      <c r="L27" s="2534"/>
      <c r="M27" s="2534"/>
      <c r="N27" s="2534"/>
      <c r="O27" s="2534"/>
      <c r="P27" s="2534"/>
      <c r="Q27" s="1673">
        <v>4</v>
      </c>
      <c r="R27" s="405" t="s">
        <v>318</v>
      </c>
      <c r="S27" s="1672">
        <v>600000</v>
      </c>
      <c r="T27" s="2539" t="s">
        <v>622</v>
      </c>
      <c r="U27" s="2539"/>
      <c r="V27" s="2539">
        <v>1</v>
      </c>
      <c r="W27" s="2539" t="s">
        <v>628</v>
      </c>
      <c r="X27" s="1140" t="s">
        <v>623</v>
      </c>
      <c r="Y27" s="1674">
        <f t="shared" si="3"/>
        <v>2400</v>
      </c>
      <c r="Z27" s="407">
        <f>Q27*S27*V27</f>
        <v>2400000</v>
      </c>
      <c r="AB27" s="347"/>
      <c r="AC27" s="347"/>
      <c r="AD27" s="370"/>
    </row>
    <row r="28" spans="1:30" ht="21.95" customHeight="1">
      <c r="A28" s="411"/>
      <c r="B28" s="412"/>
      <c r="C28" s="1671"/>
      <c r="D28" s="1131"/>
      <c r="E28" s="389" t="s">
        <v>1091</v>
      </c>
      <c r="F28" s="383">
        <f>Y28</f>
        <v>2400</v>
      </c>
      <c r="G28" s="383">
        <v>2400</v>
      </c>
      <c r="H28" s="482"/>
      <c r="I28" s="2534"/>
      <c r="J28" s="2538" t="s">
        <v>3023</v>
      </c>
      <c r="K28" s="2534"/>
      <c r="L28" s="2534"/>
      <c r="M28" s="2534"/>
      <c r="N28" s="2534"/>
      <c r="O28" s="2534"/>
      <c r="P28" s="2534"/>
      <c r="Q28" s="1673">
        <v>4</v>
      </c>
      <c r="R28" s="405" t="s">
        <v>318</v>
      </c>
      <c r="S28" s="2539">
        <v>20000</v>
      </c>
      <c r="T28" s="2539" t="s">
        <v>622</v>
      </c>
      <c r="U28" s="2539"/>
      <c r="V28" s="2539">
        <v>30</v>
      </c>
      <c r="W28" s="2539" t="s">
        <v>618</v>
      </c>
      <c r="X28" s="1140" t="s">
        <v>623</v>
      </c>
      <c r="Y28" s="1674">
        <f t="shared" si="3"/>
        <v>2400</v>
      </c>
      <c r="Z28" s="407">
        <f>Q28*S28*V28</f>
        <v>2400000</v>
      </c>
      <c r="AB28" s="347"/>
      <c r="AC28" s="347"/>
      <c r="AD28" s="370"/>
    </row>
    <row r="29" spans="1:30" s="2534" customFormat="1" ht="21.95" customHeight="1">
      <c r="A29" s="396"/>
      <c r="B29" s="2540"/>
      <c r="C29" s="3277" t="s">
        <v>3025</v>
      </c>
      <c r="D29" s="3271"/>
      <c r="E29" s="3272"/>
      <c r="F29" s="1790">
        <f>+F30+F36+F45</f>
        <v>256000</v>
      </c>
      <c r="G29" s="2768">
        <f>+G30+G36+G45</f>
        <v>256000</v>
      </c>
      <c r="H29" s="2316">
        <f>F29-G29</f>
        <v>0</v>
      </c>
      <c r="J29" s="394"/>
      <c r="K29" s="2525"/>
      <c r="L29" s="2525"/>
      <c r="M29" s="2525"/>
      <c r="N29" s="2525"/>
      <c r="O29" s="2525"/>
      <c r="P29" s="2525"/>
      <c r="Q29" s="2525"/>
      <c r="R29" s="2525"/>
      <c r="S29" s="2525"/>
      <c r="T29" s="2525"/>
      <c r="U29" s="2525"/>
      <c r="V29" s="2525"/>
      <c r="W29" s="2525"/>
      <c r="X29" s="430"/>
      <c r="Y29" s="1184"/>
      <c r="Z29" s="440"/>
      <c r="AA29" s="401"/>
      <c r="AB29" s="347"/>
      <c r="AC29" s="347"/>
      <c r="AD29" s="370"/>
    </row>
    <row r="30" spans="1:30" s="2534" customFormat="1" ht="21.95" customHeight="1">
      <c r="A30" s="396"/>
      <c r="B30" s="2540"/>
      <c r="C30" s="413"/>
      <c r="D30" s="3275" t="s">
        <v>236</v>
      </c>
      <c r="E30" s="3276"/>
      <c r="F30" s="1790">
        <f>SUM(F31:F35)</f>
        <v>70000</v>
      </c>
      <c r="G30" s="2768">
        <f>SUM(G31:G35)</f>
        <v>70000</v>
      </c>
      <c r="H30" s="2316">
        <f>F30-G30</f>
        <v>0</v>
      </c>
      <c r="J30" s="830"/>
      <c r="K30" s="2527"/>
      <c r="L30" s="2527"/>
      <c r="M30" s="2527"/>
      <c r="N30" s="2527"/>
      <c r="O30" s="2527"/>
      <c r="P30" s="2527"/>
      <c r="Q30" s="456"/>
      <c r="R30" s="456"/>
      <c r="S30" s="456"/>
      <c r="T30" s="459"/>
      <c r="U30" s="459"/>
      <c r="V30" s="459"/>
      <c r="W30" s="459"/>
      <c r="X30" s="460"/>
      <c r="Y30" s="377"/>
      <c r="Z30" s="400"/>
      <c r="AA30" s="401"/>
      <c r="AB30" s="347"/>
      <c r="AC30" s="347"/>
      <c r="AD30" s="370"/>
    </row>
    <row r="31" spans="1:30" s="2534" customFormat="1" ht="21.95" customHeight="1">
      <c r="A31" s="396"/>
      <c r="B31" s="2540"/>
      <c r="C31" s="413"/>
      <c r="D31" s="433"/>
      <c r="E31" s="434" t="s">
        <v>51</v>
      </c>
      <c r="F31" s="383">
        <f>Y31</f>
        <v>3400</v>
      </c>
      <c r="G31" s="1116">
        <v>3400</v>
      </c>
      <c r="H31" s="482"/>
      <c r="J31" s="2663" t="s">
        <v>4642</v>
      </c>
      <c r="K31" s="2539"/>
      <c r="Q31" s="408"/>
      <c r="R31" s="2533"/>
      <c r="S31" s="1672">
        <v>3400000</v>
      </c>
      <c r="T31" s="2539" t="s">
        <v>0</v>
      </c>
      <c r="U31" s="2539"/>
      <c r="V31" s="2539">
        <v>1</v>
      </c>
      <c r="W31" s="2539" t="s">
        <v>3</v>
      </c>
      <c r="X31" s="1140" t="s">
        <v>1</v>
      </c>
      <c r="Y31" s="1674">
        <f>Z31/1000</f>
        <v>3400</v>
      </c>
      <c r="Z31" s="407">
        <f>S31*V31</f>
        <v>3400000</v>
      </c>
      <c r="AA31" s="401"/>
      <c r="AB31" s="347"/>
      <c r="AC31" s="347"/>
      <c r="AD31" s="370"/>
    </row>
    <row r="32" spans="1:30" s="2534" customFormat="1" ht="21.95" customHeight="1">
      <c r="A32" s="396"/>
      <c r="B32" s="2540"/>
      <c r="C32" s="413"/>
      <c r="D32" s="433"/>
      <c r="E32" s="542" t="s">
        <v>84</v>
      </c>
      <c r="F32" s="383">
        <v>38000</v>
      </c>
      <c r="G32" s="1116">
        <v>38000</v>
      </c>
      <c r="H32" s="482"/>
      <c r="J32" s="2538" t="s">
        <v>3026</v>
      </c>
      <c r="K32" s="2539"/>
      <c r="N32" s="1673" t="s">
        <v>19</v>
      </c>
      <c r="O32" s="2534" t="s">
        <v>19</v>
      </c>
      <c r="Q32" s="408">
        <v>20</v>
      </c>
      <c r="R32" s="2530" t="s">
        <v>636</v>
      </c>
      <c r="S32" s="1672">
        <v>1900000</v>
      </c>
      <c r="T32" s="2539" t="s">
        <v>0</v>
      </c>
      <c r="U32" s="2539"/>
      <c r="V32" s="2539">
        <v>1</v>
      </c>
      <c r="W32" s="2539" t="s">
        <v>3</v>
      </c>
      <c r="X32" s="1140" t="s">
        <v>1</v>
      </c>
      <c r="Y32" s="1674">
        <v>38000</v>
      </c>
      <c r="Z32" s="407">
        <f>Q32*S32*V32</f>
        <v>38000000</v>
      </c>
      <c r="AA32" s="401"/>
      <c r="AB32" s="347"/>
      <c r="AC32" s="347"/>
      <c r="AD32" s="370"/>
    </row>
    <row r="33" spans="1:340" s="2534" customFormat="1" ht="21.95" customHeight="1">
      <c r="A33" s="396"/>
      <c r="B33" s="2540"/>
      <c r="C33" s="413"/>
      <c r="D33" s="433"/>
      <c r="E33" s="1134" t="s">
        <v>208</v>
      </c>
      <c r="F33" s="383">
        <f>Y33</f>
        <v>26000</v>
      </c>
      <c r="G33" s="1116">
        <v>26000</v>
      </c>
      <c r="H33" s="482"/>
      <c r="J33" s="2538" t="s">
        <v>3042</v>
      </c>
      <c r="K33" s="2539"/>
      <c r="N33" s="1673"/>
      <c r="Q33" s="408"/>
      <c r="R33" s="2533"/>
      <c r="S33" s="1672">
        <v>13000000</v>
      </c>
      <c r="T33" s="2539" t="s">
        <v>0</v>
      </c>
      <c r="U33" s="2539"/>
      <c r="V33" s="2539">
        <v>2</v>
      </c>
      <c r="W33" s="2539" t="s">
        <v>3</v>
      </c>
      <c r="X33" s="1140" t="s">
        <v>1</v>
      </c>
      <c r="Y33" s="1674">
        <v>26000</v>
      </c>
      <c r="Z33" s="407">
        <f>S33*V33</f>
        <v>26000000</v>
      </c>
      <c r="AA33" s="401"/>
      <c r="AB33" s="347"/>
      <c r="AC33" s="347"/>
      <c r="AD33" s="370"/>
    </row>
    <row r="34" spans="1:340" s="2534" customFormat="1" ht="21.95" customHeight="1">
      <c r="A34" s="396"/>
      <c r="B34" s="2540"/>
      <c r="C34" s="413"/>
      <c r="D34" s="402"/>
      <c r="E34" s="1134" t="s">
        <v>56</v>
      </c>
      <c r="F34" s="383">
        <f t="shared" ref="F34:F35" si="5">Y34</f>
        <v>1800</v>
      </c>
      <c r="G34" s="1116">
        <v>1800</v>
      </c>
      <c r="H34" s="482"/>
      <c r="J34" s="2538" t="s">
        <v>3043</v>
      </c>
      <c r="K34" s="2539"/>
      <c r="N34" s="1673"/>
      <c r="Q34" s="408"/>
      <c r="R34" s="2533"/>
      <c r="S34" s="1672">
        <v>450000</v>
      </c>
      <c r="T34" s="2539" t="s">
        <v>0</v>
      </c>
      <c r="U34" s="2539"/>
      <c r="V34" s="2539">
        <v>4</v>
      </c>
      <c r="W34" s="2539" t="s">
        <v>3044</v>
      </c>
      <c r="X34" s="1140" t="s">
        <v>1</v>
      </c>
      <c r="Y34" s="1674">
        <f t="shared" ref="Y34:Y35" si="6">Z34/1000</f>
        <v>1800</v>
      </c>
      <c r="Z34" s="407">
        <f>S34*V34</f>
        <v>1800000</v>
      </c>
      <c r="AA34" s="401"/>
      <c r="AB34" s="347"/>
      <c r="AC34" s="347"/>
      <c r="AD34" s="370"/>
    </row>
    <row r="35" spans="1:340" s="2534" customFormat="1" ht="21.95" customHeight="1">
      <c r="A35" s="396"/>
      <c r="B35" s="2540"/>
      <c r="C35" s="413"/>
      <c r="D35" s="402"/>
      <c r="E35" s="542" t="s">
        <v>55</v>
      </c>
      <c r="F35" s="383">
        <f t="shared" si="5"/>
        <v>800</v>
      </c>
      <c r="G35" s="1116">
        <v>800</v>
      </c>
      <c r="H35" s="482"/>
      <c r="J35" s="2538" t="s">
        <v>3045</v>
      </c>
      <c r="K35" s="2539"/>
      <c r="N35" s="1673"/>
      <c r="Q35" s="408">
        <v>8</v>
      </c>
      <c r="R35" s="2533" t="s">
        <v>25</v>
      </c>
      <c r="S35" s="1672">
        <v>20000</v>
      </c>
      <c r="T35" s="2539" t="s">
        <v>0</v>
      </c>
      <c r="U35" s="2539"/>
      <c r="V35" s="2539">
        <v>5</v>
      </c>
      <c r="W35" s="2539" t="s">
        <v>3</v>
      </c>
      <c r="X35" s="1140" t="s">
        <v>1</v>
      </c>
      <c r="Y35" s="1674">
        <f t="shared" si="6"/>
        <v>800</v>
      </c>
      <c r="Z35" s="407">
        <f>Q35*S35*V35</f>
        <v>800000</v>
      </c>
      <c r="AA35" s="401"/>
      <c r="AB35" s="347"/>
      <c r="AC35" s="347"/>
      <c r="AD35" s="370"/>
    </row>
    <row r="36" spans="1:340" s="1155" customFormat="1" ht="21.95" customHeight="1">
      <c r="A36" s="1188"/>
      <c r="B36" s="1189"/>
      <c r="C36" s="1110"/>
      <c r="D36" s="3266" t="s">
        <v>3285</v>
      </c>
      <c r="E36" s="3267"/>
      <c r="F36" s="1190">
        <f>SUM(F37:F44)</f>
        <v>26000</v>
      </c>
      <c r="G36" s="1190">
        <f>SUM(G37:G44)</f>
        <v>26000</v>
      </c>
      <c r="H36" s="388">
        <f>F36-G36</f>
        <v>0</v>
      </c>
      <c r="I36" s="2534"/>
      <c r="J36" s="394"/>
      <c r="K36" s="2525"/>
      <c r="L36" s="2525"/>
      <c r="M36" s="2525"/>
      <c r="N36" s="2525"/>
      <c r="O36" s="2525"/>
      <c r="P36" s="2525"/>
      <c r="Q36" s="2525"/>
      <c r="R36" s="395"/>
      <c r="S36" s="2525"/>
      <c r="T36" s="2525"/>
      <c r="U36" s="2525"/>
      <c r="V36" s="2525"/>
      <c r="W36" s="2525"/>
      <c r="X36" s="430"/>
      <c r="Y36" s="442"/>
      <c r="Z36" s="440"/>
      <c r="AA36" s="2565"/>
      <c r="AB36" s="347"/>
      <c r="AC36" s="347"/>
      <c r="AD36" s="370"/>
    </row>
    <row r="37" spans="1:340" s="1155" customFormat="1" ht="21.95" customHeight="1">
      <c r="A37" s="1188"/>
      <c r="B37" s="1189"/>
      <c r="C37" s="1671"/>
      <c r="D37" s="1131"/>
      <c r="E37" s="389" t="s">
        <v>3046</v>
      </c>
      <c r="F37" s="932">
        <f>Y37</f>
        <v>1000</v>
      </c>
      <c r="G37" s="383">
        <v>1000</v>
      </c>
      <c r="H37" s="391"/>
      <c r="I37" s="2534"/>
      <c r="J37" s="2538" t="s">
        <v>3047</v>
      </c>
      <c r="K37" s="2534"/>
      <c r="L37" s="2534"/>
      <c r="M37" s="2534"/>
      <c r="N37" s="2534"/>
      <c r="O37" s="2534"/>
      <c r="P37" s="2534"/>
      <c r="Q37" s="2539">
        <v>2</v>
      </c>
      <c r="R37" s="2539" t="s">
        <v>3048</v>
      </c>
      <c r="S37" s="2539">
        <v>10000</v>
      </c>
      <c r="T37" s="2539" t="s">
        <v>3049</v>
      </c>
      <c r="U37" s="2539"/>
      <c r="V37" s="2539">
        <v>50</v>
      </c>
      <c r="W37" s="2539" t="s">
        <v>3050</v>
      </c>
      <c r="X37" s="1140" t="s">
        <v>3051</v>
      </c>
      <c r="Y37" s="1674">
        <f>Z37/1000</f>
        <v>1000</v>
      </c>
      <c r="Z37" s="407">
        <f>Q37*S37*V37</f>
        <v>1000000</v>
      </c>
      <c r="AA37" s="2565"/>
      <c r="AB37" s="347"/>
      <c r="AC37" s="347"/>
      <c r="AD37" s="370"/>
    </row>
    <row r="38" spans="1:340" s="1155" customFormat="1" ht="21.95" customHeight="1">
      <c r="A38" s="1188"/>
      <c r="B38" s="1189"/>
      <c r="C38" s="1671"/>
      <c r="D38" s="1131"/>
      <c r="E38" s="389" t="s">
        <v>3052</v>
      </c>
      <c r="F38" s="438">
        <f t="shared" ref="F38:F44" si="7">Y38</f>
        <v>5000</v>
      </c>
      <c r="G38" s="383">
        <v>5000</v>
      </c>
      <c r="H38" s="391"/>
      <c r="I38" s="2534"/>
      <c r="J38" s="2538" t="s">
        <v>3053</v>
      </c>
      <c r="K38" s="2534"/>
      <c r="L38" s="2534"/>
      <c r="M38" s="2534"/>
      <c r="N38" s="2534"/>
      <c r="O38" s="2534"/>
      <c r="P38" s="2534"/>
      <c r="Q38" s="2539"/>
      <c r="R38" s="2539"/>
      <c r="S38" s="2539">
        <v>5000000</v>
      </c>
      <c r="T38" s="2539" t="s">
        <v>3049</v>
      </c>
      <c r="U38" s="2539"/>
      <c r="V38" s="2539">
        <v>1</v>
      </c>
      <c r="W38" s="2539" t="s">
        <v>3054</v>
      </c>
      <c r="X38" s="1140" t="s">
        <v>3051</v>
      </c>
      <c r="Y38" s="1674">
        <f>Z38/1000</f>
        <v>5000</v>
      </c>
      <c r="Z38" s="407">
        <f>S38*V38</f>
        <v>5000000</v>
      </c>
      <c r="AA38" s="2565"/>
      <c r="AB38" s="347"/>
      <c r="AC38" s="347"/>
      <c r="AD38" s="370"/>
      <c r="AE38" s="2566"/>
      <c r="AF38" s="2566"/>
      <c r="AG38" s="2566"/>
      <c r="AH38" s="2566"/>
      <c r="AI38" s="2566"/>
      <c r="AJ38" s="2566"/>
      <c r="AK38" s="2566"/>
      <c r="AL38" s="2566"/>
      <c r="AM38" s="2566"/>
      <c r="AN38" s="2566"/>
      <c r="AO38" s="2566"/>
      <c r="AP38" s="2566"/>
      <c r="AQ38" s="2566"/>
      <c r="AR38" s="2566"/>
      <c r="AS38" s="2566"/>
      <c r="AT38" s="2566"/>
      <c r="AU38" s="2566"/>
      <c r="AV38" s="2566"/>
      <c r="AW38" s="2566"/>
      <c r="AX38" s="2566"/>
      <c r="AY38" s="2566"/>
      <c r="AZ38" s="2566"/>
      <c r="BA38" s="2566"/>
      <c r="BB38" s="2566"/>
      <c r="BC38" s="2566"/>
      <c r="BD38" s="2566"/>
      <c r="BE38" s="2566"/>
      <c r="BF38" s="2566"/>
      <c r="BG38" s="2566"/>
      <c r="BH38" s="2566"/>
      <c r="BI38" s="2566"/>
      <c r="BJ38" s="2566"/>
      <c r="BK38" s="2566"/>
      <c r="BL38" s="2566"/>
      <c r="BM38" s="2566"/>
      <c r="BN38" s="2566"/>
      <c r="BO38" s="2566"/>
      <c r="BP38" s="2566"/>
      <c r="BQ38" s="2566"/>
      <c r="BR38" s="2566"/>
      <c r="BS38" s="2566"/>
      <c r="BT38" s="2566"/>
      <c r="BU38" s="2566"/>
      <c r="BV38" s="2566"/>
      <c r="BW38" s="2566"/>
      <c r="BX38" s="2566"/>
      <c r="BY38" s="2566"/>
      <c r="BZ38" s="2566"/>
      <c r="CA38" s="2566"/>
      <c r="CB38" s="2566"/>
      <c r="CC38" s="2566"/>
      <c r="CD38" s="2566"/>
      <c r="CE38" s="2566"/>
      <c r="CF38" s="2566"/>
      <c r="CG38" s="2566"/>
      <c r="CH38" s="2566"/>
      <c r="CI38" s="2566"/>
      <c r="CJ38" s="2566"/>
      <c r="CK38" s="2566"/>
      <c r="CL38" s="2566"/>
      <c r="CM38" s="2566"/>
      <c r="CN38" s="2566"/>
      <c r="CO38" s="2566"/>
      <c r="CP38" s="2566"/>
      <c r="CQ38" s="2566"/>
      <c r="CR38" s="2566"/>
      <c r="CS38" s="2566"/>
      <c r="CT38" s="2566"/>
      <c r="CU38" s="2566"/>
      <c r="CV38" s="2566"/>
      <c r="CW38" s="2566"/>
      <c r="CX38" s="2566"/>
      <c r="CY38" s="2566"/>
      <c r="CZ38" s="2566"/>
      <c r="DA38" s="2566"/>
      <c r="DB38" s="2566"/>
      <c r="DC38" s="2566"/>
      <c r="DD38" s="2566"/>
      <c r="DE38" s="2566"/>
      <c r="DF38" s="2566"/>
      <c r="DG38" s="2566"/>
      <c r="DH38" s="2566"/>
      <c r="DI38" s="2566"/>
      <c r="DJ38" s="2566"/>
      <c r="DK38" s="2566"/>
      <c r="DL38" s="2566"/>
      <c r="DM38" s="2566"/>
      <c r="DN38" s="2566"/>
      <c r="DO38" s="2566"/>
      <c r="DP38" s="2566"/>
      <c r="DQ38" s="2566"/>
      <c r="DR38" s="2566"/>
      <c r="DS38" s="2566"/>
      <c r="DT38" s="2566"/>
      <c r="DU38" s="2566"/>
      <c r="DV38" s="2566"/>
      <c r="DW38" s="2566"/>
      <c r="DX38" s="2566"/>
      <c r="DY38" s="2566"/>
      <c r="DZ38" s="2566"/>
      <c r="EA38" s="2566"/>
      <c r="EB38" s="2566"/>
      <c r="EC38" s="2566"/>
      <c r="ED38" s="2566"/>
      <c r="EE38" s="2566"/>
      <c r="EF38" s="2566"/>
      <c r="EG38" s="2566"/>
      <c r="EH38" s="2566"/>
      <c r="EI38" s="2566"/>
      <c r="EJ38" s="2566"/>
      <c r="EK38" s="2566"/>
      <c r="EL38" s="2566"/>
      <c r="EM38" s="2566"/>
      <c r="EN38" s="2566"/>
      <c r="EO38" s="2566"/>
      <c r="EP38" s="2566"/>
      <c r="EQ38" s="2566"/>
      <c r="ER38" s="2566"/>
      <c r="ES38" s="2566"/>
      <c r="ET38" s="2566"/>
      <c r="EU38" s="2566"/>
      <c r="EV38" s="2566"/>
      <c r="EW38" s="2566"/>
      <c r="EX38" s="2566"/>
      <c r="EY38" s="2566"/>
      <c r="EZ38" s="2566"/>
      <c r="FA38" s="2566"/>
      <c r="FB38" s="2566"/>
      <c r="FC38" s="2566"/>
      <c r="FD38" s="2566"/>
      <c r="FE38" s="2566"/>
      <c r="FF38" s="2566"/>
      <c r="FG38" s="2566"/>
      <c r="FH38" s="2566"/>
      <c r="FI38" s="2566"/>
      <c r="FJ38" s="2566"/>
      <c r="FK38" s="2566"/>
      <c r="FL38" s="2566"/>
      <c r="FM38" s="2566"/>
      <c r="FN38" s="2566"/>
      <c r="FO38" s="2566"/>
      <c r="FP38" s="2566"/>
      <c r="FQ38" s="2566"/>
      <c r="FR38" s="2566"/>
      <c r="FS38" s="2566"/>
      <c r="FT38" s="2566"/>
      <c r="FU38" s="2566"/>
      <c r="FV38" s="2566"/>
      <c r="FW38" s="2566"/>
      <c r="FX38" s="2566"/>
      <c r="FY38" s="2566"/>
      <c r="FZ38" s="2566"/>
      <c r="GA38" s="2566"/>
      <c r="GB38" s="2566"/>
      <c r="GC38" s="2566"/>
      <c r="GD38" s="2566"/>
      <c r="GE38" s="2566"/>
      <c r="GF38" s="2566"/>
      <c r="GG38" s="2566"/>
      <c r="GH38" s="2566"/>
      <c r="GI38" s="2566"/>
      <c r="GJ38" s="2566"/>
      <c r="GK38" s="2566"/>
      <c r="GL38" s="2566"/>
      <c r="GM38" s="2566"/>
      <c r="GN38" s="2566"/>
      <c r="GO38" s="2566"/>
      <c r="GP38" s="2566"/>
      <c r="GQ38" s="2566"/>
      <c r="GR38" s="2566"/>
      <c r="GS38" s="2566"/>
      <c r="GT38" s="2566"/>
      <c r="GU38" s="2566"/>
      <c r="GV38" s="2566"/>
      <c r="GW38" s="2566"/>
      <c r="GX38" s="2566"/>
      <c r="GY38" s="2566"/>
      <c r="GZ38" s="2566"/>
      <c r="HA38" s="2566"/>
      <c r="HB38" s="2566"/>
      <c r="HC38" s="2566"/>
      <c r="HD38" s="2566"/>
      <c r="HE38" s="2566"/>
      <c r="HF38" s="2566"/>
      <c r="HG38" s="2566"/>
      <c r="HH38" s="2566"/>
      <c r="HI38" s="2566"/>
      <c r="HJ38" s="2566"/>
      <c r="HK38" s="2566"/>
      <c r="HL38" s="2566"/>
      <c r="HM38" s="2566"/>
      <c r="HN38" s="2566"/>
      <c r="HO38" s="2566"/>
      <c r="HP38" s="2566"/>
      <c r="HQ38" s="2566"/>
      <c r="HR38" s="2566"/>
      <c r="HS38" s="2566"/>
      <c r="HT38" s="2566"/>
      <c r="HU38" s="2566"/>
      <c r="HV38" s="2566"/>
      <c r="HW38" s="2566"/>
      <c r="HX38" s="2566"/>
      <c r="HY38" s="2566"/>
      <c r="HZ38" s="2566"/>
      <c r="IA38" s="2566"/>
      <c r="IB38" s="2566"/>
      <c r="IC38" s="2566"/>
      <c r="ID38" s="2566"/>
      <c r="IE38" s="2566"/>
      <c r="IF38" s="2566"/>
      <c r="IG38" s="2566"/>
      <c r="IH38" s="2566"/>
      <c r="II38" s="2566"/>
      <c r="IJ38" s="2566"/>
      <c r="IK38" s="2566"/>
      <c r="IL38" s="2566"/>
      <c r="IM38" s="2566"/>
      <c r="IN38" s="2566"/>
      <c r="IO38" s="2566"/>
      <c r="IP38" s="2566"/>
      <c r="IQ38" s="2566"/>
      <c r="IR38" s="2566"/>
      <c r="IS38" s="2566"/>
      <c r="IT38" s="2566"/>
      <c r="IU38" s="2566"/>
      <c r="IV38" s="2566"/>
      <c r="IW38" s="2566"/>
      <c r="IX38" s="2566"/>
      <c r="IY38" s="2566"/>
      <c r="IZ38" s="2566"/>
      <c r="JA38" s="2566"/>
      <c r="JB38" s="2566"/>
      <c r="JC38" s="2566"/>
      <c r="JD38" s="2566"/>
      <c r="JE38" s="2566"/>
      <c r="JF38" s="2566"/>
      <c r="JG38" s="2566"/>
      <c r="JH38" s="2566"/>
      <c r="JI38" s="2566"/>
      <c r="JJ38" s="2566"/>
      <c r="JK38" s="2566"/>
      <c r="JL38" s="2566"/>
      <c r="JM38" s="2566"/>
      <c r="JN38" s="2566"/>
      <c r="JO38" s="2566"/>
      <c r="JP38" s="2566"/>
      <c r="JQ38" s="2566"/>
      <c r="JR38" s="2566"/>
      <c r="JS38" s="2566"/>
      <c r="JT38" s="2566"/>
      <c r="JU38" s="2566"/>
      <c r="JV38" s="2566"/>
      <c r="JW38" s="2566"/>
      <c r="JX38" s="2566"/>
      <c r="JY38" s="2566"/>
      <c r="JZ38" s="2566"/>
      <c r="KA38" s="2566"/>
      <c r="KB38" s="2566"/>
      <c r="KC38" s="2566"/>
      <c r="KD38" s="2566"/>
      <c r="KE38" s="2566"/>
      <c r="KF38" s="2566"/>
      <c r="KG38" s="2566"/>
      <c r="KH38" s="2566"/>
      <c r="KI38" s="2566"/>
      <c r="KJ38" s="2566"/>
      <c r="KK38" s="2566"/>
      <c r="KL38" s="2566"/>
      <c r="KM38" s="2566"/>
      <c r="KN38" s="2566"/>
      <c r="KO38" s="2566"/>
      <c r="KP38" s="2566"/>
      <c r="KQ38" s="2566"/>
      <c r="KR38" s="2566"/>
      <c r="KS38" s="2566"/>
      <c r="KT38" s="2566"/>
      <c r="KU38" s="2566"/>
      <c r="KV38" s="2566"/>
      <c r="KW38" s="2566"/>
      <c r="KX38" s="2566"/>
      <c r="KY38" s="2566"/>
      <c r="KZ38" s="2566"/>
      <c r="LA38" s="2566"/>
      <c r="LB38" s="2566"/>
      <c r="LC38" s="2566"/>
      <c r="LD38" s="2566"/>
      <c r="LE38" s="2566"/>
      <c r="LF38" s="2566"/>
      <c r="LG38" s="2566"/>
      <c r="LH38" s="2566"/>
      <c r="LI38" s="2566"/>
      <c r="LJ38" s="2566"/>
      <c r="LK38" s="2566"/>
      <c r="LL38" s="2566"/>
      <c r="LM38" s="2566"/>
      <c r="LN38" s="2566"/>
      <c r="LO38" s="2566"/>
      <c r="LP38" s="2566"/>
      <c r="LQ38" s="2566"/>
      <c r="LR38" s="2566"/>
      <c r="LS38" s="2566"/>
      <c r="LT38" s="2566"/>
      <c r="LU38" s="2566"/>
      <c r="LV38" s="2566"/>
      <c r="LW38" s="2566"/>
      <c r="LX38" s="2566"/>
      <c r="LY38" s="2566"/>
      <c r="LZ38" s="2566"/>
      <c r="MA38" s="2566"/>
      <c r="MB38" s="2566"/>
    </row>
    <row r="39" spans="1:340" s="1155" customFormat="1" ht="21.95" customHeight="1">
      <c r="A39" s="1188"/>
      <c r="B39" s="1189"/>
      <c r="C39" s="1671"/>
      <c r="D39" s="1144"/>
      <c r="E39" s="1134" t="s">
        <v>3057</v>
      </c>
      <c r="F39" s="1791">
        <f t="shared" si="7"/>
        <v>6000</v>
      </c>
      <c r="G39" s="383">
        <v>6000</v>
      </c>
      <c r="H39" s="482"/>
      <c r="I39" s="2534"/>
      <c r="J39" s="2538" t="s">
        <v>3058</v>
      </c>
      <c r="K39" s="2534"/>
      <c r="L39" s="2534"/>
      <c r="M39" s="2534"/>
      <c r="N39" s="2534"/>
      <c r="O39" s="2534"/>
      <c r="P39" s="2534"/>
      <c r="Q39" s="2539">
        <v>2</v>
      </c>
      <c r="R39" s="2539" t="s">
        <v>3059</v>
      </c>
      <c r="S39" s="2539">
        <v>3000000</v>
      </c>
      <c r="T39" s="2539" t="s">
        <v>3049</v>
      </c>
      <c r="U39" s="2539"/>
      <c r="V39" s="2539">
        <v>1</v>
      </c>
      <c r="W39" s="2539" t="s">
        <v>3054</v>
      </c>
      <c r="X39" s="1140" t="s">
        <v>3051</v>
      </c>
      <c r="Y39" s="1674">
        <v>6000</v>
      </c>
      <c r="Z39" s="407">
        <f>Q39*S39*V39</f>
        <v>6000000</v>
      </c>
      <c r="AA39" s="2565"/>
      <c r="AB39" s="347"/>
      <c r="AC39" s="347"/>
      <c r="AD39" s="370"/>
      <c r="AE39" s="2566"/>
      <c r="AF39" s="2566"/>
      <c r="AG39" s="2566"/>
      <c r="AH39" s="2566"/>
      <c r="AI39" s="2566"/>
      <c r="AJ39" s="2566"/>
      <c r="AK39" s="2566"/>
      <c r="AL39" s="2566"/>
      <c r="AM39" s="2566"/>
      <c r="AN39" s="2566"/>
      <c r="AO39" s="2566"/>
      <c r="AP39" s="2566"/>
      <c r="AQ39" s="2566"/>
      <c r="AR39" s="2566"/>
      <c r="AS39" s="2566"/>
      <c r="AT39" s="2566"/>
      <c r="AU39" s="2566"/>
      <c r="AV39" s="2566"/>
      <c r="AW39" s="2566"/>
      <c r="AX39" s="2566"/>
      <c r="AY39" s="2566"/>
      <c r="AZ39" s="2566"/>
      <c r="BA39" s="2566"/>
      <c r="BB39" s="2566"/>
      <c r="BC39" s="2566"/>
      <c r="BD39" s="2566"/>
      <c r="BE39" s="2566"/>
      <c r="BF39" s="2566"/>
      <c r="BG39" s="2566"/>
      <c r="BH39" s="2566"/>
      <c r="BI39" s="2566"/>
      <c r="BJ39" s="2566"/>
      <c r="BK39" s="2566"/>
      <c r="BL39" s="2566"/>
      <c r="BM39" s="2566"/>
      <c r="BN39" s="2566"/>
      <c r="BO39" s="2566"/>
      <c r="BP39" s="2566"/>
      <c r="BQ39" s="2566"/>
      <c r="BR39" s="2566"/>
      <c r="BS39" s="2566"/>
      <c r="BT39" s="2566"/>
      <c r="BU39" s="2566"/>
      <c r="BV39" s="2566"/>
      <c r="BW39" s="2566"/>
      <c r="BX39" s="2566"/>
      <c r="BY39" s="2566"/>
      <c r="BZ39" s="2566"/>
      <c r="CA39" s="2566"/>
      <c r="CB39" s="2566"/>
      <c r="CC39" s="2566"/>
      <c r="CD39" s="2566"/>
      <c r="CE39" s="2566"/>
      <c r="CF39" s="2566"/>
      <c r="CG39" s="2566"/>
      <c r="CH39" s="2566"/>
      <c r="CI39" s="2566"/>
      <c r="CJ39" s="2566"/>
      <c r="CK39" s="2566"/>
      <c r="CL39" s="2566"/>
      <c r="CM39" s="2566"/>
      <c r="CN39" s="2566"/>
      <c r="CO39" s="2566"/>
      <c r="CP39" s="2566"/>
      <c r="CQ39" s="2566"/>
      <c r="CR39" s="2566"/>
      <c r="CS39" s="2566"/>
      <c r="CT39" s="2566"/>
      <c r="CU39" s="2566"/>
      <c r="CV39" s="2566"/>
      <c r="CW39" s="2566"/>
      <c r="CX39" s="2566"/>
      <c r="CY39" s="2566"/>
      <c r="CZ39" s="2566"/>
      <c r="DA39" s="2566"/>
      <c r="DB39" s="2566"/>
      <c r="DC39" s="2566"/>
      <c r="DD39" s="2566"/>
      <c r="DE39" s="2566"/>
      <c r="DF39" s="2566"/>
      <c r="DG39" s="2566"/>
      <c r="DH39" s="2566"/>
      <c r="DI39" s="2566"/>
      <c r="DJ39" s="2566"/>
      <c r="DK39" s="2566"/>
      <c r="DL39" s="2566"/>
      <c r="DM39" s="2566"/>
      <c r="DN39" s="2566"/>
      <c r="DO39" s="2566"/>
      <c r="DP39" s="2566"/>
      <c r="DQ39" s="2566"/>
      <c r="DR39" s="2566"/>
      <c r="DS39" s="2566"/>
      <c r="DT39" s="2566"/>
      <c r="DU39" s="2566"/>
      <c r="DV39" s="2566"/>
      <c r="DW39" s="2566"/>
      <c r="DX39" s="2566"/>
      <c r="DY39" s="2566"/>
      <c r="DZ39" s="2566"/>
      <c r="EA39" s="2566"/>
      <c r="EB39" s="2566"/>
      <c r="EC39" s="2566"/>
      <c r="ED39" s="2566"/>
      <c r="EE39" s="2566"/>
      <c r="EF39" s="2566"/>
      <c r="EG39" s="2566"/>
      <c r="EH39" s="2566"/>
      <c r="EI39" s="2566"/>
      <c r="EJ39" s="2566"/>
      <c r="EK39" s="2566"/>
      <c r="EL39" s="2566"/>
      <c r="EM39" s="2566"/>
      <c r="EN39" s="2566"/>
      <c r="EO39" s="2566"/>
      <c r="EP39" s="2566"/>
      <c r="EQ39" s="2566"/>
      <c r="ER39" s="2566"/>
      <c r="ES39" s="2566"/>
      <c r="ET39" s="2566"/>
      <c r="EU39" s="2566"/>
      <c r="EV39" s="2566"/>
      <c r="EW39" s="2566"/>
      <c r="EX39" s="2566"/>
      <c r="EY39" s="2566"/>
      <c r="EZ39" s="2566"/>
      <c r="FA39" s="2566"/>
      <c r="FB39" s="2566"/>
      <c r="FC39" s="2566"/>
      <c r="FD39" s="2566"/>
      <c r="FE39" s="2566"/>
      <c r="FF39" s="2566"/>
      <c r="FG39" s="2566"/>
      <c r="FH39" s="2566"/>
      <c r="FI39" s="2566"/>
      <c r="FJ39" s="2566"/>
      <c r="FK39" s="2566"/>
      <c r="FL39" s="2566"/>
      <c r="FM39" s="2566"/>
      <c r="FN39" s="2566"/>
      <c r="FO39" s="2566"/>
      <c r="FP39" s="2566"/>
      <c r="FQ39" s="2566"/>
      <c r="FR39" s="2566"/>
      <c r="FS39" s="2566"/>
      <c r="FT39" s="2566"/>
      <c r="FU39" s="2566"/>
      <c r="FV39" s="2566"/>
      <c r="FW39" s="2566"/>
      <c r="FX39" s="2566"/>
      <c r="FY39" s="2566"/>
      <c r="FZ39" s="2566"/>
      <c r="GA39" s="2566"/>
      <c r="GB39" s="2566"/>
      <c r="GC39" s="2566"/>
      <c r="GD39" s="2566"/>
      <c r="GE39" s="2566"/>
      <c r="GF39" s="2566"/>
      <c r="GG39" s="2566"/>
      <c r="GH39" s="2566"/>
      <c r="GI39" s="2566"/>
      <c r="GJ39" s="2566"/>
      <c r="GK39" s="2566"/>
      <c r="GL39" s="2566"/>
      <c r="GM39" s="2566"/>
      <c r="GN39" s="2566"/>
      <c r="GO39" s="2566"/>
      <c r="GP39" s="2566"/>
      <c r="GQ39" s="2566"/>
      <c r="GR39" s="2566"/>
      <c r="GS39" s="2566"/>
      <c r="GT39" s="2566"/>
      <c r="GU39" s="2566"/>
      <c r="GV39" s="2566"/>
      <c r="GW39" s="2566"/>
      <c r="GX39" s="2566"/>
      <c r="GY39" s="2566"/>
      <c r="GZ39" s="2566"/>
      <c r="HA39" s="2566"/>
      <c r="HB39" s="2566"/>
      <c r="HC39" s="2566"/>
      <c r="HD39" s="2566"/>
      <c r="HE39" s="2566"/>
      <c r="HF39" s="2566"/>
      <c r="HG39" s="2566"/>
      <c r="HH39" s="2566"/>
      <c r="HI39" s="2566"/>
      <c r="HJ39" s="2566"/>
      <c r="HK39" s="2566"/>
      <c r="HL39" s="2566"/>
      <c r="HM39" s="2566"/>
      <c r="HN39" s="2566"/>
      <c r="HO39" s="2566"/>
      <c r="HP39" s="2566"/>
      <c r="HQ39" s="2566"/>
      <c r="HR39" s="2566"/>
      <c r="HS39" s="2566"/>
      <c r="HT39" s="2566"/>
      <c r="HU39" s="2566"/>
      <c r="HV39" s="2566"/>
      <c r="HW39" s="2566"/>
      <c r="HX39" s="2566"/>
      <c r="HY39" s="2566"/>
      <c r="HZ39" s="2566"/>
      <c r="IA39" s="2566"/>
      <c r="IB39" s="2566"/>
      <c r="IC39" s="2566"/>
      <c r="ID39" s="2566"/>
      <c r="IE39" s="2566"/>
      <c r="IF39" s="2566"/>
      <c r="IG39" s="2566"/>
      <c r="IH39" s="2566"/>
      <c r="II39" s="2566"/>
      <c r="IJ39" s="2566"/>
      <c r="IK39" s="2566"/>
      <c r="IL39" s="2566"/>
      <c r="IM39" s="2566"/>
      <c r="IN39" s="2566"/>
      <c r="IO39" s="2566"/>
      <c r="IP39" s="2566"/>
      <c r="IQ39" s="2566"/>
      <c r="IR39" s="2566"/>
      <c r="IS39" s="2566"/>
      <c r="IT39" s="2566"/>
      <c r="IU39" s="2566"/>
      <c r="IV39" s="2566"/>
      <c r="IW39" s="2566"/>
      <c r="IX39" s="2566"/>
      <c r="IY39" s="2566"/>
      <c r="IZ39" s="2566"/>
      <c r="JA39" s="2566"/>
      <c r="JB39" s="2566"/>
      <c r="JC39" s="2566"/>
      <c r="JD39" s="2566"/>
      <c r="JE39" s="2566"/>
      <c r="JF39" s="2566"/>
      <c r="JG39" s="2566"/>
      <c r="JH39" s="2566"/>
      <c r="JI39" s="2566"/>
      <c r="JJ39" s="2566"/>
      <c r="JK39" s="2566"/>
      <c r="JL39" s="2566"/>
      <c r="JM39" s="2566"/>
      <c r="JN39" s="2566"/>
      <c r="JO39" s="2566"/>
      <c r="JP39" s="2566"/>
      <c r="JQ39" s="2566"/>
      <c r="JR39" s="2566"/>
      <c r="JS39" s="2566"/>
      <c r="JT39" s="2566"/>
      <c r="JU39" s="2566"/>
      <c r="JV39" s="2566"/>
      <c r="JW39" s="2566"/>
      <c r="JX39" s="2566"/>
      <c r="JY39" s="2566"/>
      <c r="JZ39" s="2566"/>
      <c r="KA39" s="2566"/>
      <c r="KB39" s="2566"/>
      <c r="KC39" s="2566"/>
      <c r="KD39" s="2566"/>
      <c r="KE39" s="2566"/>
      <c r="KF39" s="2566"/>
      <c r="KG39" s="2566"/>
      <c r="KH39" s="2566"/>
      <c r="KI39" s="2566"/>
      <c r="KJ39" s="2566"/>
      <c r="KK39" s="2566"/>
      <c r="KL39" s="2566"/>
      <c r="KM39" s="2566"/>
      <c r="KN39" s="2566"/>
      <c r="KO39" s="2566"/>
      <c r="KP39" s="2566"/>
      <c r="KQ39" s="2566"/>
      <c r="KR39" s="2566"/>
      <c r="KS39" s="2566"/>
      <c r="KT39" s="2566"/>
      <c r="KU39" s="2566"/>
      <c r="KV39" s="2566"/>
      <c r="KW39" s="2566"/>
      <c r="KX39" s="2566"/>
      <c r="KY39" s="2566"/>
      <c r="KZ39" s="2566"/>
      <c r="LA39" s="2566"/>
      <c r="LB39" s="2566"/>
      <c r="LC39" s="2566"/>
      <c r="LD39" s="2566"/>
      <c r="LE39" s="2566"/>
      <c r="LF39" s="2566"/>
      <c r="LG39" s="2566"/>
      <c r="LH39" s="2566"/>
      <c r="LI39" s="2566"/>
      <c r="LJ39" s="2566"/>
      <c r="LK39" s="2566"/>
      <c r="LL39" s="2566"/>
      <c r="LM39" s="2566"/>
      <c r="LN39" s="2566"/>
      <c r="LO39" s="2566"/>
      <c r="LP39" s="2566"/>
      <c r="LQ39" s="2566"/>
      <c r="LR39" s="2566"/>
      <c r="LS39" s="2566"/>
      <c r="LT39" s="2566"/>
      <c r="LU39" s="2566"/>
      <c r="LV39" s="2566"/>
      <c r="LW39" s="2566"/>
      <c r="LX39" s="2566"/>
      <c r="LY39" s="2566"/>
      <c r="LZ39" s="2566"/>
      <c r="MA39" s="2566"/>
      <c r="MB39" s="2566"/>
    </row>
    <row r="40" spans="1:340" s="1155" customFormat="1" ht="21.95" customHeight="1">
      <c r="A40" s="1188"/>
      <c r="B40" s="1189"/>
      <c r="C40" s="1671"/>
      <c r="D40" s="1144"/>
      <c r="E40" s="1134" t="s">
        <v>222</v>
      </c>
      <c r="F40" s="1791">
        <f t="shared" ref="F40" si="8">Y40</f>
        <v>5000</v>
      </c>
      <c r="G40" s="383">
        <v>5000</v>
      </c>
      <c r="H40" s="482"/>
      <c r="I40" s="2889"/>
      <c r="J40" s="2899" t="s">
        <v>3056</v>
      </c>
      <c r="K40" s="2889"/>
      <c r="L40" s="2889"/>
      <c r="M40" s="2889"/>
      <c r="N40" s="2889"/>
      <c r="O40" s="2889"/>
      <c r="P40" s="2889"/>
      <c r="Q40" s="2900"/>
      <c r="R40" s="2900"/>
      <c r="S40" s="2900">
        <v>5000000</v>
      </c>
      <c r="T40" s="2900" t="s">
        <v>264</v>
      </c>
      <c r="U40" s="2900"/>
      <c r="V40" s="2900">
        <v>1</v>
      </c>
      <c r="W40" s="2900" t="s">
        <v>265</v>
      </c>
      <c r="X40" s="1140" t="s">
        <v>266</v>
      </c>
      <c r="Y40" s="1674">
        <f>Z40/1000</f>
        <v>5000</v>
      </c>
      <c r="Z40" s="407">
        <f>S40*V40</f>
        <v>5000000</v>
      </c>
      <c r="AA40" s="2565"/>
      <c r="AB40" s="347"/>
      <c r="AC40" s="347"/>
      <c r="AD40" s="370"/>
      <c r="AE40" s="2566"/>
      <c r="AF40" s="2566"/>
      <c r="AG40" s="2566"/>
      <c r="AH40" s="2566"/>
      <c r="AI40" s="2566"/>
      <c r="AJ40" s="2566"/>
      <c r="AK40" s="2566"/>
      <c r="AL40" s="2566"/>
      <c r="AM40" s="2566"/>
      <c r="AN40" s="2566"/>
      <c r="AO40" s="2566"/>
      <c r="AP40" s="2566"/>
      <c r="AQ40" s="2566"/>
      <c r="AR40" s="2566"/>
      <c r="AS40" s="2566"/>
      <c r="AT40" s="2566"/>
      <c r="AU40" s="2566"/>
      <c r="AV40" s="2566"/>
      <c r="AW40" s="2566"/>
      <c r="AX40" s="2566"/>
      <c r="AY40" s="2566"/>
      <c r="AZ40" s="2566"/>
      <c r="BA40" s="2566"/>
      <c r="BB40" s="2566"/>
      <c r="BC40" s="2566"/>
      <c r="BD40" s="2566"/>
      <c r="BE40" s="2566"/>
      <c r="BF40" s="2566"/>
      <c r="BG40" s="2566"/>
      <c r="BH40" s="2566"/>
      <c r="BI40" s="2566"/>
      <c r="BJ40" s="2566"/>
      <c r="BK40" s="2566"/>
      <c r="BL40" s="2566"/>
      <c r="BM40" s="2566"/>
      <c r="BN40" s="2566"/>
      <c r="BO40" s="2566"/>
      <c r="BP40" s="2566"/>
      <c r="BQ40" s="2566"/>
      <c r="BR40" s="2566"/>
      <c r="BS40" s="2566"/>
      <c r="BT40" s="2566"/>
      <c r="BU40" s="2566"/>
      <c r="BV40" s="2566"/>
      <c r="BW40" s="2566"/>
      <c r="BX40" s="2566"/>
      <c r="BY40" s="2566"/>
      <c r="BZ40" s="2566"/>
      <c r="CA40" s="2566"/>
      <c r="CB40" s="2566"/>
      <c r="CC40" s="2566"/>
      <c r="CD40" s="2566"/>
      <c r="CE40" s="2566"/>
      <c r="CF40" s="2566"/>
      <c r="CG40" s="2566"/>
      <c r="CH40" s="2566"/>
      <c r="CI40" s="2566"/>
      <c r="CJ40" s="2566"/>
      <c r="CK40" s="2566"/>
      <c r="CL40" s="2566"/>
      <c r="CM40" s="2566"/>
      <c r="CN40" s="2566"/>
      <c r="CO40" s="2566"/>
      <c r="CP40" s="2566"/>
      <c r="CQ40" s="2566"/>
      <c r="CR40" s="2566"/>
      <c r="CS40" s="2566"/>
      <c r="CT40" s="2566"/>
      <c r="CU40" s="2566"/>
      <c r="CV40" s="2566"/>
      <c r="CW40" s="2566"/>
      <c r="CX40" s="2566"/>
      <c r="CY40" s="2566"/>
      <c r="CZ40" s="2566"/>
      <c r="DA40" s="2566"/>
      <c r="DB40" s="2566"/>
      <c r="DC40" s="2566"/>
      <c r="DD40" s="2566"/>
      <c r="DE40" s="2566"/>
      <c r="DF40" s="2566"/>
      <c r="DG40" s="2566"/>
      <c r="DH40" s="2566"/>
      <c r="DI40" s="2566"/>
      <c r="DJ40" s="2566"/>
      <c r="DK40" s="2566"/>
      <c r="DL40" s="2566"/>
      <c r="DM40" s="2566"/>
      <c r="DN40" s="2566"/>
      <c r="DO40" s="2566"/>
      <c r="DP40" s="2566"/>
      <c r="DQ40" s="2566"/>
      <c r="DR40" s="2566"/>
      <c r="DS40" s="2566"/>
      <c r="DT40" s="2566"/>
      <c r="DU40" s="2566"/>
      <c r="DV40" s="2566"/>
      <c r="DW40" s="2566"/>
      <c r="DX40" s="2566"/>
      <c r="DY40" s="2566"/>
      <c r="DZ40" s="2566"/>
      <c r="EA40" s="2566"/>
      <c r="EB40" s="2566"/>
      <c r="EC40" s="2566"/>
      <c r="ED40" s="2566"/>
      <c r="EE40" s="2566"/>
      <c r="EF40" s="2566"/>
      <c r="EG40" s="2566"/>
      <c r="EH40" s="2566"/>
      <c r="EI40" s="2566"/>
      <c r="EJ40" s="2566"/>
      <c r="EK40" s="2566"/>
      <c r="EL40" s="2566"/>
      <c r="EM40" s="2566"/>
      <c r="EN40" s="2566"/>
      <c r="EO40" s="2566"/>
      <c r="EP40" s="2566"/>
      <c r="EQ40" s="2566"/>
      <c r="ER40" s="2566"/>
      <c r="ES40" s="2566"/>
      <c r="ET40" s="2566"/>
      <c r="EU40" s="2566"/>
      <c r="EV40" s="2566"/>
      <c r="EW40" s="2566"/>
      <c r="EX40" s="2566"/>
      <c r="EY40" s="2566"/>
      <c r="EZ40" s="2566"/>
      <c r="FA40" s="2566"/>
      <c r="FB40" s="2566"/>
      <c r="FC40" s="2566"/>
      <c r="FD40" s="2566"/>
      <c r="FE40" s="2566"/>
      <c r="FF40" s="2566"/>
      <c r="FG40" s="2566"/>
      <c r="FH40" s="2566"/>
      <c r="FI40" s="2566"/>
      <c r="FJ40" s="2566"/>
      <c r="FK40" s="2566"/>
      <c r="FL40" s="2566"/>
      <c r="FM40" s="2566"/>
      <c r="FN40" s="2566"/>
      <c r="FO40" s="2566"/>
      <c r="FP40" s="2566"/>
      <c r="FQ40" s="2566"/>
      <c r="FR40" s="2566"/>
      <c r="FS40" s="2566"/>
      <c r="FT40" s="2566"/>
      <c r="FU40" s="2566"/>
      <c r="FV40" s="2566"/>
      <c r="FW40" s="2566"/>
      <c r="FX40" s="2566"/>
      <c r="FY40" s="2566"/>
      <c r="FZ40" s="2566"/>
      <c r="GA40" s="2566"/>
      <c r="GB40" s="2566"/>
      <c r="GC40" s="2566"/>
      <c r="GD40" s="2566"/>
      <c r="GE40" s="2566"/>
      <c r="GF40" s="2566"/>
      <c r="GG40" s="2566"/>
      <c r="GH40" s="2566"/>
      <c r="GI40" s="2566"/>
      <c r="GJ40" s="2566"/>
      <c r="GK40" s="2566"/>
      <c r="GL40" s="2566"/>
      <c r="GM40" s="2566"/>
      <c r="GN40" s="2566"/>
      <c r="GO40" s="2566"/>
      <c r="GP40" s="2566"/>
      <c r="GQ40" s="2566"/>
      <c r="GR40" s="2566"/>
      <c r="GS40" s="2566"/>
      <c r="GT40" s="2566"/>
      <c r="GU40" s="2566"/>
      <c r="GV40" s="2566"/>
      <c r="GW40" s="2566"/>
      <c r="GX40" s="2566"/>
      <c r="GY40" s="2566"/>
      <c r="GZ40" s="2566"/>
      <c r="HA40" s="2566"/>
      <c r="HB40" s="2566"/>
      <c r="HC40" s="2566"/>
      <c r="HD40" s="2566"/>
      <c r="HE40" s="2566"/>
      <c r="HF40" s="2566"/>
      <c r="HG40" s="2566"/>
      <c r="HH40" s="2566"/>
      <c r="HI40" s="2566"/>
      <c r="HJ40" s="2566"/>
      <c r="HK40" s="2566"/>
      <c r="HL40" s="2566"/>
      <c r="HM40" s="2566"/>
      <c r="HN40" s="2566"/>
      <c r="HO40" s="2566"/>
      <c r="HP40" s="2566"/>
      <c r="HQ40" s="2566"/>
      <c r="HR40" s="2566"/>
      <c r="HS40" s="2566"/>
      <c r="HT40" s="2566"/>
      <c r="HU40" s="2566"/>
      <c r="HV40" s="2566"/>
      <c r="HW40" s="2566"/>
      <c r="HX40" s="2566"/>
      <c r="HY40" s="2566"/>
      <c r="HZ40" s="2566"/>
      <c r="IA40" s="2566"/>
      <c r="IB40" s="2566"/>
      <c r="IC40" s="2566"/>
      <c r="ID40" s="2566"/>
      <c r="IE40" s="2566"/>
      <c r="IF40" s="2566"/>
      <c r="IG40" s="2566"/>
      <c r="IH40" s="2566"/>
      <c r="II40" s="2566"/>
      <c r="IJ40" s="2566"/>
      <c r="IK40" s="2566"/>
      <c r="IL40" s="2566"/>
      <c r="IM40" s="2566"/>
      <c r="IN40" s="2566"/>
      <c r="IO40" s="2566"/>
      <c r="IP40" s="2566"/>
      <c r="IQ40" s="2566"/>
      <c r="IR40" s="2566"/>
      <c r="IS40" s="2566"/>
      <c r="IT40" s="2566"/>
      <c r="IU40" s="2566"/>
      <c r="IV40" s="2566"/>
      <c r="IW40" s="2566"/>
      <c r="IX40" s="2566"/>
      <c r="IY40" s="2566"/>
      <c r="IZ40" s="2566"/>
      <c r="JA40" s="2566"/>
      <c r="JB40" s="2566"/>
      <c r="JC40" s="2566"/>
      <c r="JD40" s="2566"/>
      <c r="JE40" s="2566"/>
      <c r="JF40" s="2566"/>
      <c r="JG40" s="2566"/>
      <c r="JH40" s="2566"/>
      <c r="JI40" s="2566"/>
      <c r="JJ40" s="2566"/>
      <c r="JK40" s="2566"/>
      <c r="JL40" s="2566"/>
      <c r="JM40" s="2566"/>
      <c r="JN40" s="2566"/>
      <c r="JO40" s="2566"/>
      <c r="JP40" s="2566"/>
      <c r="JQ40" s="2566"/>
      <c r="JR40" s="2566"/>
      <c r="JS40" s="2566"/>
      <c r="JT40" s="2566"/>
      <c r="JU40" s="2566"/>
      <c r="JV40" s="2566"/>
      <c r="JW40" s="2566"/>
      <c r="JX40" s="2566"/>
      <c r="JY40" s="2566"/>
      <c r="JZ40" s="2566"/>
      <c r="KA40" s="2566"/>
      <c r="KB40" s="2566"/>
      <c r="KC40" s="2566"/>
      <c r="KD40" s="2566"/>
      <c r="KE40" s="2566"/>
      <c r="KF40" s="2566"/>
      <c r="KG40" s="2566"/>
      <c r="KH40" s="2566"/>
      <c r="KI40" s="2566"/>
      <c r="KJ40" s="2566"/>
      <c r="KK40" s="2566"/>
      <c r="KL40" s="2566"/>
      <c r="KM40" s="2566"/>
      <c r="KN40" s="2566"/>
      <c r="KO40" s="2566"/>
      <c r="KP40" s="2566"/>
      <c r="KQ40" s="2566"/>
      <c r="KR40" s="2566"/>
      <c r="KS40" s="2566"/>
      <c r="KT40" s="2566"/>
      <c r="KU40" s="2566"/>
      <c r="KV40" s="2566"/>
      <c r="KW40" s="2566"/>
      <c r="KX40" s="2566"/>
      <c r="KY40" s="2566"/>
      <c r="KZ40" s="2566"/>
      <c r="LA40" s="2566"/>
      <c r="LB40" s="2566"/>
      <c r="LC40" s="2566"/>
      <c r="LD40" s="2566"/>
      <c r="LE40" s="2566"/>
      <c r="LF40" s="2566"/>
      <c r="LG40" s="2566"/>
      <c r="LH40" s="2566"/>
      <c r="LI40" s="2566"/>
      <c r="LJ40" s="2566"/>
      <c r="LK40" s="2566"/>
      <c r="LL40" s="2566"/>
      <c r="LM40" s="2566"/>
      <c r="LN40" s="2566"/>
      <c r="LO40" s="2566"/>
      <c r="LP40" s="2566"/>
      <c r="LQ40" s="2566"/>
      <c r="LR40" s="2566"/>
      <c r="LS40" s="2566"/>
      <c r="LT40" s="2566"/>
      <c r="LU40" s="2566"/>
      <c r="LV40" s="2566"/>
      <c r="LW40" s="2566"/>
      <c r="LX40" s="2566"/>
      <c r="LY40" s="2566"/>
      <c r="LZ40" s="2566"/>
      <c r="MA40" s="2566"/>
      <c r="MB40" s="2566"/>
    </row>
    <row r="41" spans="1:340" s="1155" customFormat="1" ht="21.95" customHeight="1">
      <c r="A41" s="1188"/>
      <c r="B41" s="1189"/>
      <c r="C41" s="1671"/>
      <c r="D41" s="1144"/>
      <c r="E41" s="1134" t="s">
        <v>3060</v>
      </c>
      <c r="F41" s="1791">
        <f t="shared" si="7"/>
        <v>7000</v>
      </c>
      <c r="G41" s="383">
        <v>7000</v>
      </c>
      <c r="H41" s="482"/>
      <c r="I41" s="2534"/>
      <c r="J41" s="2538" t="s">
        <v>8</v>
      </c>
      <c r="K41" s="2534"/>
      <c r="L41" s="2534"/>
      <c r="M41" s="2534"/>
      <c r="N41" s="2534"/>
      <c r="O41" s="2534"/>
      <c r="P41" s="2534"/>
      <c r="Q41" s="2539"/>
      <c r="R41" s="405"/>
      <c r="S41" s="2539"/>
      <c r="T41" s="2539"/>
      <c r="U41" s="2539"/>
      <c r="V41" s="2539"/>
      <c r="W41" s="2539"/>
      <c r="X41" s="1140"/>
      <c r="Y41" s="1674">
        <f>+Y42+Y43</f>
        <v>7000</v>
      </c>
      <c r="Z41" s="407">
        <f>+Z42+Z43</f>
        <v>7000000</v>
      </c>
      <c r="AA41" s="2565"/>
      <c r="AB41" s="347"/>
      <c r="AC41" s="347"/>
      <c r="AD41" s="370"/>
      <c r="AE41" s="2566"/>
      <c r="AF41" s="2566"/>
      <c r="AG41" s="2566"/>
      <c r="AH41" s="2566"/>
      <c r="AI41" s="2566"/>
      <c r="AJ41" s="2566"/>
      <c r="AK41" s="2566"/>
      <c r="AL41" s="2566"/>
      <c r="AM41" s="2566"/>
      <c r="AN41" s="2566"/>
      <c r="AO41" s="2566"/>
      <c r="AP41" s="2566"/>
      <c r="AQ41" s="2566"/>
      <c r="AR41" s="2566"/>
      <c r="AS41" s="2566"/>
      <c r="AT41" s="2566"/>
      <c r="AU41" s="2566"/>
      <c r="AV41" s="2566"/>
      <c r="AW41" s="2566"/>
      <c r="AX41" s="2566"/>
      <c r="AY41" s="2566"/>
      <c r="AZ41" s="2566"/>
      <c r="BA41" s="2566"/>
      <c r="BB41" s="2566"/>
      <c r="BC41" s="2566"/>
      <c r="BD41" s="2566"/>
      <c r="BE41" s="2566"/>
      <c r="BF41" s="2566"/>
      <c r="BG41" s="2566"/>
      <c r="BH41" s="2566"/>
      <c r="BI41" s="2566"/>
      <c r="BJ41" s="2566"/>
      <c r="BK41" s="2566"/>
      <c r="BL41" s="2566"/>
      <c r="BM41" s="2566"/>
      <c r="BN41" s="2566"/>
      <c r="BO41" s="2566"/>
      <c r="BP41" s="2566"/>
      <c r="BQ41" s="2566"/>
      <c r="BR41" s="2566"/>
      <c r="BS41" s="2566"/>
      <c r="BT41" s="2566"/>
      <c r="BU41" s="2566"/>
      <c r="BV41" s="2566"/>
      <c r="BW41" s="2566"/>
      <c r="BX41" s="2566"/>
      <c r="BY41" s="2566"/>
      <c r="BZ41" s="2566"/>
      <c r="CA41" s="2566"/>
      <c r="CB41" s="2566"/>
      <c r="CC41" s="2566"/>
      <c r="CD41" s="2566"/>
      <c r="CE41" s="2566"/>
      <c r="CF41" s="2566"/>
      <c r="CG41" s="2566"/>
      <c r="CH41" s="2566"/>
      <c r="CI41" s="2566"/>
      <c r="CJ41" s="2566"/>
      <c r="CK41" s="2566"/>
      <c r="CL41" s="2566"/>
      <c r="CM41" s="2566"/>
      <c r="CN41" s="2566"/>
      <c r="CO41" s="2566"/>
      <c r="CP41" s="2566"/>
      <c r="CQ41" s="2566"/>
      <c r="CR41" s="2566"/>
      <c r="CS41" s="2566"/>
      <c r="CT41" s="2566"/>
      <c r="CU41" s="2566"/>
      <c r="CV41" s="2566"/>
      <c r="CW41" s="2566"/>
      <c r="CX41" s="2566"/>
      <c r="CY41" s="2566"/>
      <c r="CZ41" s="2566"/>
      <c r="DA41" s="2566"/>
      <c r="DB41" s="2566"/>
      <c r="DC41" s="2566"/>
      <c r="DD41" s="2566"/>
      <c r="DE41" s="2566"/>
      <c r="DF41" s="2566"/>
      <c r="DG41" s="2566"/>
      <c r="DH41" s="2566"/>
      <c r="DI41" s="2566"/>
      <c r="DJ41" s="2566"/>
      <c r="DK41" s="2566"/>
      <c r="DL41" s="2566"/>
      <c r="DM41" s="2566"/>
      <c r="DN41" s="2566"/>
      <c r="DO41" s="2566"/>
      <c r="DP41" s="2566"/>
      <c r="DQ41" s="2566"/>
      <c r="DR41" s="2566"/>
      <c r="DS41" s="2566"/>
      <c r="DT41" s="2566"/>
      <c r="DU41" s="2566"/>
      <c r="DV41" s="2566"/>
      <c r="DW41" s="2566"/>
      <c r="DX41" s="2566"/>
      <c r="DY41" s="2566"/>
      <c r="DZ41" s="2566"/>
      <c r="EA41" s="2566"/>
      <c r="EB41" s="2566"/>
      <c r="EC41" s="2566"/>
      <c r="ED41" s="2566"/>
      <c r="EE41" s="2566"/>
      <c r="EF41" s="2566"/>
      <c r="EG41" s="2566"/>
      <c r="EH41" s="2566"/>
      <c r="EI41" s="2566"/>
      <c r="EJ41" s="2566"/>
      <c r="EK41" s="2566"/>
      <c r="EL41" s="2566"/>
      <c r="EM41" s="2566"/>
      <c r="EN41" s="2566"/>
      <c r="EO41" s="2566"/>
      <c r="EP41" s="2566"/>
      <c r="EQ41" s="2566"/>
      <c r="ER41" s="2566"/>
      <c r="ES41" s="2566"/>
      <c r="ET41" s="2566"/>
      <c r="EU41" s="2566"/>
      <c r="EV41" s="2566"/>
      <c r="EW41" s="2566"/>
      <c r="EX41" s="2566"/>
      <c r="EY41" s="2566"/>
      <c r="EZ41" s="2566"/>
      <c r="FA41" s="2566"/>
      <c r="FB41" s="2566"/>
      <c r="FC41" s="2566"/>
      <c r="FD41" s="2566"/>
      <c r="FE41" s="2566"/>
      <c r="FF41" s="2566"/>
      <c r="FG41" s="2566"/>
      <c r="FH41" s="2566"/>
      <c r="FI41" s="2566"/>
      <c r="FJ41" s="2566"/>
      <c r="FK41" s="2566"/>
      <c r="FL41" s="2566"/>
      <c r="FM41" s="2566"/>
      <c r="FN41" s="2566"/>
      <c r="FO41" s="2566"/>
      <c r="FP41" s="2566"/>
      <c r="FQ41" s="2566"/>
      <c r="FR41" s="2566"/>
      <c r="FS41" s="2566"/>
      <c r="FT41" s="2566"/>
      <c r="FU41" s="2566"/>
      <c r="FV41" s="2566"/>
      <c r="FW41" s="2566"/>
      <c r="FX41" s="2566"/>
      <c r="FY41" s="2566"/>
      <c r="FZ41" s="2566"/>
      <c r="GA41" s="2566"/>
      <c r="GB41" s="2566"/>
      <c r="GC41" s="2566"/>
      <c r="GD41" s="2566"/>
      <c r="GE41" s="2566"/>
      <c r="GF41" s="2566"/>
      <c r="GG41" s="2566"/>
      <c r="GH41" s="2566"/>
      <c r="GI41" s="2566"/>
      <c r="GJ41" s="2566"/>
      <c r="GK41" s="2566"/>
      <c r="GL41" s="2566"/>
      <c r="GM41" s="2566"/>
      <c r="GN41" s="2566"/>
      <c r="GO41" s="2566"/>
      <c r="GP41" s="2566"/>
      <c r="GQ41" s="2566"/>
      <c r="GR41" s="2566"/>
      <c r="GS41" s="2566"/>
      <c r="GT41" s="2566"/>
      <c r="GU41" s="2566"/>
      <c r="GV41" s="2566"/>
      <c r="GW41" s="2566"/>
      <c r="GX41" s="2566"/>
      <c r="GY41" s="2566"/>
      <c r="GZ41" s="2566"/>
      <c r="HA41" s="2566"/>
      <c r="HB41" s="2566"/>
      <c r="HC41" s="2566"/>
      <c r="HD41" s="2566"/>
      <c r="HE41" s="2566"/>
      <c r="HF41" s="2566"/>
      <c r="HG41" s="2566"/>
      <c r="HH41" s="2566"/>
      <c r="HI41" s="2566"/>
      <c r="HJ41" s="2566"/>
      <c r="HK41" s="2566"/>
      <c r="HL41" s="2566"/>
      <c r="HM41" s="2566"/>
      <c r="HN41" s="2566"/>
      <c r="HO41" s="2566"/>
      <c r="HP41" s="2566"/>
      <c r="HQ41" s="2566"/>
      <c r="HR41" s="2566"/>
      <c r="HS41" s="2566"/>
      <c r="HT41" s="2566"/>
      <c r="HU41" s="2566"/>
      <c r="HV41" s="2566"/>
      <c r="HW41" s="2566"/>
      <c r="HX41" s="2566"/>
      <c r="HY41" s="2566"/>
      <c r="HZ41" s="2566"/>
      <c r="IA41" s="2566"/>
      <c r="IB41" s="2566"/>
      <c r="IC41" s="2566"/>
      <c r="ID41" s="2566"/>
      <c r="IE41" s="2566"/>
      <c r="IF41" s="2566"/>
      <c r="IG41" s="2566"/>
      <c r="IH41" s="2566"/>
      <c r="II41" s="2566"/>
      <c r="IJ41" s="2566"/>
      <c r="IK41" s="2566"/>
      <c r="IL41" s="2566"/>
      <c r="IM41" s="2566"/>
      <c r="IN41" s="2566"/>
      <c r="IO41" s="2566"/>
      <c r="IP41" s="2566"/>
      <c r="IQ41" s="2566"/>
      <c r="IR41" s="2566"/>
      <c r="IS41" s="2566"/>
      <c r="IT41" s="2566"/>
      <c r="IU41" s="2566"/>
      <c r="IV41" s="2566"/>
      <c r="IW41" s="2566"/>
      <c r="IX41" s="2566"/>
      <c r="IY41" s="2566"/>
      <c r="IZ41" s="2566"/>
      <c r="JA41" s="2566"/>
      <c r="JB41" s="2566"/>
      <c r="JC41" s="2566"/>
      <c r="JD41" s="2566"/>
      <c r="JE41" s="2566"/>
      <c r="JF41" s="2566"/>
      <c r="JG41" s="2566"/>
      <c r="JH41" s="2566"/>
      <c r="JI41" s="2566"/>
      <c r="JJ41" s="2566"/>
      <c r="JK41" s="2566"/>
      <c r="JL41" s="2566"/>
      <c r="JM41" s="2566"/>
      <c r="JN41" s="2566"/>
      <c r="JO41" s="2566"/>
      <c r="JP41" s="2566"/>
      <c r="JQ41" s="2566"/>
      <c r="JR41" s="2566"/>
      <c r="JS41" s="2566"/>
      <c r="JT41" s="2566"/>
      <c r="JU41" s="2566"/>
      <c r="JV41" s="2566"/>
      <c r="JW41" s="2566"/>
      <c r="JX41" s="2566"/>
      <c r="JY41" s="2566"/>
      <c r="JZ41" s="2566"/>
      <c r="KA41" s="2566"/>
      <c r="KB41" s="2566"/>
      <c r="KC41" s="2566"/>
      <c r="KD41" s="2566"/>
      <c r="KE41" s="2566"/>
      <c r="KF41" s="2566"/>
      <c r="KG41" s="2566"/>
      <c r="KH41" s="2566"/>
      <c r="KI41" s="2566"/>
      <c r="KJ41" s="2566"/>
      <c r="KK41" s="2566"/>
      <c r="KL41" s="2566"/>
      <c r="KM41" s="2566"/>
      <c r="KN41" s="2566"/>
      <c r="KO41" s="2566"/>
      <c r="KP41" s="2566"/>
      <c r="KQ41" s="2566"/>
      <c r="KR41" s="2566"/>
      <c r="KS41" s="2566"/>
      <c r="KT41" s="2566"/>
      <c r="KU41" s="2566"/>
      <c r="KV41" s="2566"/>
      <c r="KW41" s="2566"/>
      <c r="KX41" s="2566"/>
      <c r="KY41" s="2566"/>
      <c r="KZ41" s="2566"/>
      <c r="LA41" s="2566"/>
      <c r="LB41" s="2566"/>
      <c r="LC41" s="2566"/>
      <c r="LD41" s="2566"/>
      <c r="LE41" s="2566"/>
      <c r="LF41" s="2566"/>
      <c r="LG41" s="2566"/>
      <c r="LH41" s="2566"/>
      <c r="LI41" s="2566"/>
      <c r="LJ41" s="2566"/>
      <c r="LK41" s="2566"/>
      <c r="LL41" s="2566"/>
      <c r="LM41" s="2566"/>
      <c r="LN41" s="2566"/>
      <c r="LO41" s="2566"/>
      <c r="LP41" s="2566"/>
      <c r="LQ41" s="2566"/>
      <c r="LR41" s="2566"/>
      <c r="LS41" s="2566"/>
      <c r="LT41" s="2566"/>
      <c r="LU41" s="2566"/>
      <c r="LV41" s="2566"/>
      <c r="LW41" s="2566"/>
      <c r="LX41" s="2566"/>
      <c r="LY41" s="2566"/>
      <c r="LZ41" s="2566"/>
      <c r="MA41" s="2566"/>
      <c r="MB41" s="2566"/>
    </row>
    <row r="42" spans="1:340" s="1155" customFormat="1" ht="21.95" customHeight="1">
      <c r="A42" s="1188"/>
      <c r="B42" s="1189"/>
      <c r="C42" s="1671"/>
      <c r="D42" s="1144"/>
      <c r="E42" s="1134"/>
      <c r="F42" s="438"/>
      <c r="G42" s="383"/>
      <c r="H42" s="482"/>
      <c r="I42" s="2534"/>
      <c r="J42" s="2538" t="s">
        <v>3061</v>
      </c>
      <c r="K42" s="2534"/>
      <c r="L42" s="2534"/>
      <c r="M42" s="2534"/>
      <c r="N42" s="2534"/>
      <c r="O42" s="2534"/>
      <c r="P42" s="2534"/>
      <c r="Q42" s="2539">
        <v>2</v>
      </c>
      <c r="R42" s="405" t="s">
        <v>3048</v>
      </c>
      <c r="S42" s="2539">
        <v>1000000</v>
      </c>
      <c r="T42" s="2539" t="s">
        <v>3049</v>
      </c>
      <c r="U42" s="2539"/>
      <c r="V42" s="2539">
        <v>1</v>
      </c>
      <c r="W42" s="2539" t="s">
        <v>3062</v>
      </c>
      <c r="X42" s="1140" t="s">
        <v>3051</v>
      </c>
      <c r="Y42" s="1674">
        <f>Z42/1000</f>
        <v>2000</v>
      </c>
      <c r="Z42" s="407">
        <f>Q42*S42*V42</f>
        <v>2000000</v>
      </c>
      <c r="AA42" s="2565"/>
      <c r="AB42" s="347"/>
      <c r="AC42" s="347"/>
      <c r="AD42" s="370"/>
      <c r="AE42" s="2566"/>
      <c r="AF42" s="2566"/>
      <c r="AG42" s="2566"/>
      <c r="AH42" s="2566"/>
      <c r="AI42" s="2566"/>
      <c r="AJ42" s="2566"/>
      <c r="AK42" s="2566"/>
      <c r="AL42" s="2566"/>
      <c r="AM42" s="2566"/>
      <c r="AN42" s="2566"/>
      <c r="AO42" s="2566"/>
      <c r="AP42" s="2566"/>
      <c r="AQ42" s="2566"/>
      <c r="AR42" s="2566"/>
      <c r="AS42" s="2566"/>
      <c r="AT42" s="2566"/>
      <c r="AU42" s="2566"/>
      <c r="AV42" s="2566"/>
      <c r="AW42" s="2566"/>
      <c r="AX42" s="2566"/>
      <c r="AY42" s="2566"/>
      <c r="AZ42" s="2566"/>
      <c r="BA42" s="2566"/>
      <c r="BB42" s="2566"/>
      <c r="BC42" s="2566"/>
      <c r="BD42" s="2566"/>
      <c r="BE42" s="2566"/>
      <c r="BF42" s="2566"/>
      <c r="BG42" s="2566"/>
      <c r="BH42" s="2566"/>
      <c r="BI42" s="2566"/>
      <c r="BJ42" s="2566"/>
      <c r="BK42" s="2566"/>
      <c r="BL42" s="2566"/>
      <c r="BM42" s="2566"/>
      <c r="BN42" s="2566"/>
      <c r="BO42" s="2566"/>
      <c r="BP42" s="2566"/>
      <c r="BQ42" s="2566"/>
      <c r="BR42" s="2566"/>
      <c r="BS42" s="2566"/>
      <c r="BT42" s="2566"/>
      <c r="BU42" s="2566"/>
      <c r="BV42" s="2566"/>
      <c r="BW42" s="2566"/>
      <c r="BX42" s="2566"/>
      <c r="BY42" s="2566"/>
      <c r="BZ42" s="2566"/>
      <c r="CA42" s="2566"/>
      <c r="CB42" s="2566"/>
      <c r="CC42" s="2566"/>
      <c r="CD42" s="2566"/>
      <c r="CE42" s="2566"/>
      <c r="CF42" s="2566"/>
      <c r="CG42" s="2566"/>
      <c r="CH42" s="2566"/>
      <c r="CI42" s="2566"/>
      <c r="CJ42" s="2566"/>
      <c r="CK42" s="2566"/>
      <c r="CL42" s="2566"/>
      <c r="CM42" s="2566"/>
      <c r="CN42" s="2566"/>
      <c r="CO42" s="2566"/>
      <c r="CP42" s="2566"/>
      <c r="CQ42" s="2566"/>
      <c r="CR42" s="2566"/>
      <c r="CS42" s="2566"/>
      <c r="CT42" s="2566"/>
      <c r="CU42" s="2566"/>
      <c r="CV42" s="2566"/>
      <c r="CW42" s="2566"/>
      <c r="CX42" s="2566"/>
      <c r="CY42" s="2566"/>
      <c r="CZ42" s="2566"/>
      <c r="DA42" s="2566"/>
      <c r="DB42" s="2566"/>
      <c r="DC42" s="2566"/>
      <c r="DD42" s="2566"/>
      <c r="DE42" s="2566"/>
      <c r="DF42" s="2566"/>
      <c r="DG42" s="2566"/>
      <c r="DH42" s="2566"/>
      <c r="DI42" s="2566"/>
      <c r="DJ42" s="2566"/>
      <c r="DK42" s="2566"/>
      <c r="DL42" s="2566"/>
      <c r="DM42" s="2566"/>
      <c r="DN42" s="2566"/>
      <c r="DO42" s="2566"/>
      <c r="DP42" s="2566"/>
      <c r="DQ42" s="2566"/>
      <c r="DR42" s="2566"/>
      <c r="DS42" s="2566"/>
      <c r="DT42" s="2566"/>
      <c r="DU42" s="2566"/>
      <c r="DV42" s="2566"/>
      <c r="DW42" s="2566"/>
      <c r="DX42" s="2566"/>
      <c r="DY42" s="2566"/>
      <c r="DZ42" s="2566"/>
      <c r="EA42" s="2566"/>
      <c r="EB42" s="2566"/>
      <c r="EC42" s="2566"/>
      <c r="ED42" s="2566"/>
      <c r="EE42" s="2566"/>
      <c r="EF42" s="2566"/>
      <c r="EG42" s="2566"/>
      <c r="EH42" s="2566"/>
      <c r="EI42" s="2566"/>
      <c r="EJ42" s="2566"/>
      <c r="EK42" s="2566"/>
      <c r="EL42" s="2566"/>
      <c r="EM42" s="2566"/>
      <c r="EN42" s="2566"/>
      <c r="EO42" s="2566"/>
      <c r="EP42" s="2566"/>
      <c r="EQ42" s="2566"/>
      <c r="ER42" s="2566"/>
      <c r="ES42" s="2566"/>
      <c r="ET42" s="2566"/>
      <c r="EU42" s="2566"/>
      <c r="EV42" s="2566"/>
      <c r="EW42" s="2566"/>
      <c r="EX42" s="2566"/>
      <c r="EY42" s="2566"/>
      <c r="EZ42" s="2566"/>
      <c r="FA42" s="2566"/>
      <c r="FB42" s="2566"/>
      <c r="FC42" s="2566"/>
      <c r="FD42" s="2566"/>
      <c r="FE42" s="2566"/>
      <c r="FF42" s="2566"/>
      <c r="FG42" s="2566"/>
      <c r="FH42" s="2566"/>
      <c r="FI42" s="2566"/>
      <c r="FJ42" s="2566"/>
      <c r="FK42" s="2566"/>
      <c r="FL42" s="2566"/>
      <c r="FM42" s="2566"/>
      <c r="FN42" s="2566"/>
      <c r="FO42" s="2566"/>
      <c r="FP42" s="2566"/>
      <c r="FQ42" s="2566"/>
      <c r="FR42" s="2566"/>
      <c r="FS42" s="2566"/>
      <c r="FT42" s="2566"/>
      <c r="FU42" s="2566"/>
      <c r="FV42" s="2566"/>
      <c r="FW42" s="2566"/>
      <c r="FX42" s="2566"/>
      <c r="FY42" s="2566"/>
      <c r="FZ42" s="2566"/>
      <c r="GA42" s="2566"/>
      <c r="GB42" s="2566"/>
      <c r="GC42" s="2566"/>
      <c r="GD42" s="2566"/>
      <c r="GE42" s="2566"/>
      <c r="GF42" s="2566"/>
      <c r="GG42" s="2566"/>
      <c r="GH42" s="2566"/>
      <c r="GI42" s="2566"/>
      <c r="GJ42" s="2566"/>
      <c r="GK42" s="2566"/>
      <c r="GL42" s="2566"/>
      <c r="GM42" s="2566"/>
      <c r="GN42" s="2566"/>
      <c r="GO42" s="2566"/>
      <c r="GP42" s="2566"/>
      <c r="GQ42" s="2566"/>
      <c r="GR42" s="2566"/>
      <c r="GS42" s="2566"/>
      <c r="GT42" s="2566"/>
      <c r="GU42" s="2566"/>
      <c r="GV42" s="2566"/>
      <c r="GW42" s="2566"/>
      <c r="GX42" s="2566"/>
      <c r="GY42" s="2566"/>
      <c r="GZ42" s="2566"/>
      <c r="HA42" s="2566"/>
      <c r="HB42" s="2566"/>
      <c r="HC42" s="2566"/>
      <c r="HD42" s="2566"/>
      <c r="HE42" s="2566"/>
      <c r="HF42" s="2566"/>
      <c r="HG42" s="2566"/>
      <c r="HH42" s="2566"/>
      <c r="HI42" s="2566"/>
      <c r="HJ42" s="2566"/>
      <c r="HK42" s="2566"/>
      <c r="HL42" s="2566"/>
      <c r="HM42" s="2566"/>
      <c r="HN42" s="2566"/>
      <c r="HO42" s="2566"/>
      <c r="HP42" s="2566"/>
      <c r="HQ42" s="2566"/>
      <c r="HR42" s="2566"/>
      <c r="HS42" s="2566"/>
      <c r="HT42" s="2566"/>
      <c r="HU42" s="2566"/>
      <c r="HV42" s="2566"/>
      <c r="HW42" s="2566"/>
      <c r="HX42" s="2566"/>
      <c r="HY42" s="2566"/>
      <c r="HZ42" s="2566"/>
      <c r="IA42" s="2566"/>
      <c r="IB42" s="2566"/>
      <c r="IC42" s="2566"/>
      <c r="ID42" s="2566"/>
      <c r="IE42" s="2566"/>
      <c r="IF42" s="2566"/>
      <c r="IG42" s="2566"/>
      <c r="IH42" s="2566"/>
      <c r="II42" s="2566"/>
      <c r="IJ42" s="2566"/>
      <c r="IK42" s="2566"/>
      <c r="IL42" s="2566"/>
      <c r="IM42" s="2566"/>
      <c r="IN42" s="2566"/>
      <c r="IO42" s="2566"/>
      <c r="IP42" s="2566"/>
      <c r="IQ42" s="2566"/>
      <c r="IR42" s="2566"/>
      <c r="IS42" s="2566"/>
      <c r="IT42" s="2566"/>
      <c r="IU42" s="2566"/>
      <c r="IV42" s="2566"/>
      <c r="IW42" s="2566"/>
      <c r="IX42" s="2566"/>
      <c r="IY42" s="2566"/>
      <c r="IZ42" s="2566"/>
      <c r="JA42" s="2566"/>
      <c r="JB42" s="2566"/>
      <c r="JC42" s="2566"/>
      <c r="JD42" s="2566"/>
      <c r="JE42" s="2566"/>
      <c r="JF42" s="2566"/>
      <c r="JG42" s="2566"/>
      <c r="JH42" s="2566"/>
      <c r="JI42" s="2566"/>
      <c r="JJ42" s="2566"/>
      <c r="JK42" s="2566"/>
      <c r="JL42" s="2566"/>
      <c r="JM42" s="2566"/>
      <c r="JN42" s="2566"/>
      <c r="JO42" s="2566"/>
      <c r="JP42" s="2566"/>
      <c r="JQ42" s="2566"/>
      <c r="JR42" s="2566"/>
      <c r="JS42" s="2566"/>
      <c r="JT42" s="2566"/>
      <c r="JU42" s="2566"/>
      <c r="JV42" s="2566"/>
      <c r="JW42" s="2566"/>
      <c r="JX42" s="2566"/>
      <c r="JY42" s="2566"/>
      <c r="JZ42" s="2566"/>
      <c r="KA42" s="2566"/>
      <c r="KB42" s="2566"/>
      <c r="KC42" s="2566"/>
      <c r="KD42" s="2566"/>
      <c r="KE42" s="2566"/>
      <c r="KF42" s="2566"/>
      <c r="KG42" s="2566"/>
      <c r="KH42" s="2566"/>
      <c r="KI42" s="2566"/>
      <c r="KJ42" s="2566"/>
      <c r="KK42" s="2566"/>
      <c r="KL42" s="2566"/>
      <c r="KM42" s="2566"/>
      <c r="KN42" s="2566"/>
      <c r="KO42" s="2566"/>
      <c r="KP42" s="2566"/>
      <c r="KQ42" s="2566"/>
      <c r="KR42" s="2566"/>
      <c r="KS42" s="2566"/>
      <c r="KT42" s="2566"/>
      <c r="KU42" s="2566"/>
      <c r="KV42" s="2566"/>
      <c r="KW42" s="2566"/>
      <c r="KX42" s="2566"/>
      <c r="KY42" s="2566"/>
      <c r="KZ42" s="2566"/>
      <c r="LA42" s="2566"/>
      <c r="LB42" s="2566"/>
      <c r="LC42" s="2566"/>
      <c r="LD42" s="2566"/>
      <c r="LE42" s="2566"/>
      <c r="LF42" s="2566"/>
      <c r="LG42" s="2566"/>
      <c r="LH42" s="2566"/>
      <c r="LI42" s="2566"/>
      <c r="LJ42" s="2566"/>
      <c r="LK42" s="2566"/>
      <c r="LL42" s="2566"/>
      <c r="LM42" s="2566"/>
      <c r="LN42" s="2566"/>
      <c r="LO42" s="2566"/>
      <c r="LP42" s="2566"/>
      <c r="LQ42" s="2566"/>
      <c r="LR42" s="2566"/>
      <c r="LS42" s="2566"/>
      <c r="LT42" s="2566"/>
      <c r="LU42" s="2566"/>
      <c r="LV42" s="2566"/>
      <c r="LW42" s="2566"/>
      <c r="LX42" s="2566"/>
      <c r="LY42" s="2566"/>
      <c r="LZ42" s="2566"/>
      <c r="MA42" s="2566"/>
      <c r="MB42" s="2566"/>
    </row>
    <row r="43" spans="1:340" s="1155" customFormat="1" ht="21.95" customHeight="1">
      <c r="A43" s="1188"/>
      <c r="B43" s="1189"/>
      <c r="C43" s="1671"/>
      <c r="D43" s="1144"/>
      <c r="E43" s="1134"/>
      <c r="F43" s="438"/>
      <c r="G43" s="383"/>
      <c r="H43" s="482"/>
      <c r="I43" s="2534"/>
      <c r="J43" s="2538" t="s">
        <v>3063</v>
      </c>
      <c r="K43" s="2534"/>
      <c r="L43" s="2534"/>
      <c r="M43" s="2534"/>
      <c r="N43" s="2534"/>
      <c r="O43" s="2534"/>
      <c r="P43" s="2534"/>
      <c r="Q43" s="2539">
        <v>2</v>
      </c>
      <c r="R43" s="405" t="s">
        <v>3048</v>
      </c>
      <c r="S43" s="2539">
        <v>2500000</v>
      </c>
      <c r="T43" s="2539" t="s">
        <v>3049</v>
      </c>
      <c r="U43" s="2539"/>
      <c r="V43" s="2539">
        <v>1</v>
      </c>
      <c r="W43" s="2539" t="s">
        <v>3062</v>
      </c>
      <c r="X43" s="1140" t="s">
        <v>3051</v>
      </c>
      <c r="Y43" s="1674">
        <f>Z43/1000</f>
        <v>5000</v>
      </c>
      <c r="Z43" s="407">
        <f>Q43*S43*V43</f>
        <v>5000000</v>
      </c>
      <c r="AA43" s="2565"/>
      <c r="AB43" s="347"/>
      <c r="AC43" s="347"/>
      <c r="AD43" s="370"/>
      <c r="AE43" s="2566"/>
      <c r="AF43" s="2566"/>
      <c r="AG43" s="2566"/>
      <c r="AH43" s="2566"/>
      <c r="AI43" s="2566"/>
      <c r="AJ43" s="2566"/>
      <c r="AK43" s="2566"/>
      <c r="AL43" s="2566"/>
      <c r="AM43" s="2566"/>
      <c r="AN43" s="2566"/>
      <c r="AO43" s="2566"/>
      <c r="AP43" s="2566"/>
      <c r="AQ43" s="2566"/>
      <c r="AR43" s="2566"/>
      <c r="AS43" s="2566"/>
      <c r="AT43" s="2566"/>
      <c r="AU43" s="2566"/>
      <c r="AV43" s="2566"/>
      <c r="AW43" s="2566"/>
      <c r="AX43" s="2566"/>
      <c r="AY43" s="2566"/>
      <c r="AZ43" s="2566"/>
      <c r="BA43" s="2566"/>
      <c r="BB43" s="2566"/>
      <c r="BC43" s="2566"/>
      <c r="BD43" s="2566"/>
      <c r="BE43" s="2566"/>
      <c r="BF43" s="2566"/>
      <c r="BG43" s="2566"/>
      <c r="BH43" s="2566"/>
      <c r="BI43" s="2566"/>
      <c r="BJ43" s="2566"/>
      <c r="BK43" s="2566"/>
      <c r="BL43" s="2566"/>
      <c r="BM43" s="2566"/>
      <c r="BN43" s="2566"/>
      <c r="BO43" s="2566"/>
      <c r="BP43" s="2566"/>
      <c r="BQ43" s="2566"/>
      <c r="BR43" s="2566"/>
      <c r="BS43" s="2566"/>
      <c r="BT43" s="2566"/>
      <c r="BU43" s="2566"/>
      <c r="BV43" s="2566"/>
      <c r="BW43" s="2566"/>
      <c r="BX43" s="2566"/>
      <c r="BY43" s="2566"/>
      <c r="BZ43" s="2566"/>
      <c r="CA43" s="2566"/>
      <c r="CB43" s="2566"/>
      <c r="CC43" s="2566"/>
      <c r="CD43" s="2566"/>
      <c r="CE43" s="2566"/>
      <c r="CF43" s="2566"/>
      <c r="CG43" s="2566"/>
      <c r="CH43" s="2566"/>
      <c r="CI43" s="2566"/>
      <c r="CJ43" s="2566"/>
      <c r="CK43" s="2566"/>
      <c r="CL43" s="2566"/>
      <c r="CM43" s="2566"/>
      <c r="CN43" s="2566"/>
      <c r="CO43" s="2566"/>
      <c r="CP43" s="2566"/>
      <c r="CQ43" s="2566"/>
      <c r="CR43" s="2566"/>
      <c r="CS43" s="2566"/>
      <c r="CT43" s="2566"/>
      <c r="CU43" s="2566"/>
      <c r="CV43" s="2566"/>
      <c r="CW43" s="2566"/>
      <c r="CX43" s="2566"/>
      <c r="CY43" s="2566"/>
      <c r="CZ43" s="2566"/>
      <c r="DA43" s="2566"/>
      <c r="DB43" s="2566"/>
      <c r="DC43" s="2566"/>
      <c r="DD43" s="2566"/>
      <c r="DE43" s="2566"/>
      <c r="DF43" s="2566"/>
      <c r="DG43" s="2566"/>
      <c r="DH43" s="2566"/>
      <c r="DI43" s="2566"/>
      <c r="DJ43" s="2566"/>
      <c r="DK43" s="2566"/>
      <c r="DL43" s="2566"/>
      <c r="DM43" s="2566"/>
      <c r="DN43" s="2566"/>
      <c r="DO43" s="2566"/>
      <c r="DP43" s="2566"/>
      <c r="DQ43" s="2566"/>
      <c r="DR43" s="2566"/>
      <c r="DS43" s="2566"/>
      <c r="DT43" s="2566"/>
      <c r="DU43" s="2566"/>
      <c r="DV43" s="2566"/>
      <c r="DW43" s="2566"/>
      <c r="DX43" s="2566"/>
      <c r="DY43" s="2566"/>
      <c r="DZ43" s="2566"/>
      <c r="EA43" s="2566"/>
      <c r="EB43" s="2566"/>
      <c r="EC43" s="2566"/>
      <c r="ED43" s="2566"/>
      <c r="EE43" s="2566"/>
      <c r="EF43" s="2566"/>
      <c r="EG43" s="2566"/>
      <c r="EH43" s="2566"/>
      <c r="EI43" s="2566"/>
      <c r="EJ43" s="2566"/>
      <c r="EK43" s="2566"/>
      <c r="EL43" s="2566"/>
      <c r="EM43" s="2566"/>
      <c r="EN43" s="2566"/>
      <c r="EO43" s="2566"/>
      <c r="EP43" s="2566"/>
      <c r="EQ43" s="2566"/>
      <c r="ER43" s="2566"/>
      <c r="ES43" s="2566"/>
      <c r="ET43" s="2566"/>
      <c r="EU43" s="2566"/>
      <c r="EV43" s="2566"/>
      <c r="EW43" s="2566"/>
      <c r="EX43" s="2566"/>
      <c r="EY43" s="2566"/>
      <c r="EZ43" s="2566"/>
      <c r="FA43" s="2566"/>
      <c r="FB43" s="2566"/>
      <c r="FC43" s="2566"/>
      <c r="FD43" s="2566"/>
      <c r="FE43" s="2566"/>
      <c r="FF43" s="2566"/>
      <c r="FG43" s="2566"/>
      <c r="FH43" s="2566"/>
      <c r="FI43" s="2566"/>
      <c r="FJ43" s="2566"/>
      <c r="FK43" s="2566"/>
      <c r="FL43" s="2566"/>
      <c r="FM43" s="2566"/>
      <c r="FN43" s="2566"/>
      <c r="FO43" s="2566"/>
      <c r="FP43" s="2566"/>
      <c r="FQ43" s="2566"/>
      <c r="FR43" s="2566"/>
      <c r="FS43" s="2566"/>
      <c r="FT43" s="2566"/>
      <c r="FU43" s="2566"/>
      <c r="FV43" s="2566"/>
      <c r="FW43" s="2566"/>
      <c r="FX43" s="2566"/>
      <c r="FY43" s="2566"/>
      <c r="FZ43" s="2566"/>
      <c r="GA43" s="2566"/>
      <c r="GB43" s="2566"/>
      <c r="GC43" s="2566"/>
      <c r="GD43" s="2566"/>
      <c r="GE43" s="2566"/>
      <c r="GF43" s="2566"/>
      <c r="GG43" s="2566"/>
      <c r="GH43" s="2566"/>
      <c r="GI43" s="2566"/>
      <c r="GJ43" s="2566"/>
      <c r="GK43" s="2566"/>
      <c r="GL43" s="2566"/>
      <c r="GM43" s="2566"/>
      <c r="GN43" s="2566"/>
      <c r="GO43" s="2566"/>
      <c r="GP43" s="2566"/>
      <c r="GQ43" s="2566"/>
      <c r="GR43" s="2566"/>
      <c r="GS43" s="2566"/>
      <c r="GT43" s="2566"/>
      <c r="GU43" s="2566"/>
      <c r="GV43" s="2566"/>
      <c r="GW43" s="2566"/>
      <c r="GX43" s="2566"/>
      <c r="GY43" s="2566"/>
      <c r="GZ43" s="2566"/>
      <c r="HA43" s="2566"/>
      <c r="HB43" s="2566"/>
      <c r="HC43" s="2566"/>
      <c r="HD43" s="2566"/>
      <c r="HE43" s="2566"/>
      <c r="HF43" s="2566"/>
      <c r="HG43" s="2566"/>
      <c r="HH43" s="2566"/>
      <c r="HI43" s="2566"/>
      <c r="HJ43" s="2566"/>
      <c r="HK43" s="2566"/>
      <c r="HL43" s="2566"/>
      <c r="HM43" s="2566"/>
      <c r="HN43" s="2566"/>
      <c r="HO43" s="2566"/>
      <c r="HP43" s="2566"/>
      <c r="HQ43" s="2566"/>
      <c r="HR43" s="2566"/>
      <c r="HS43" s="2566"/>
      <c r="HT43" s="2566"/>
      <c r="HU43" s="2566"/>
      <c r="HV43" s="2566"/>
      <c r="HW43" s="2566"/>
      <c r="HX43" s="2566"/>
      <c r="HY43" s="2566"/>
      <c r="HZ43" s="2566"/>
      <c r="IA43" s="2566"/>
      <c r="IB43" s="2566"/>
      <c r="IC43" s="2566"/>
      <c r="ID43" s="2566"/>
      <c r="IE43" s="2566"/>
      <c r="IF43" s="2566"/>
      <c r="IG43" s="2566"/>
      <c r="IH43" s="2566"/>
      <c r="II43" s="2566"/>
      <c r="IJ43" s="2566"/>
      <c r="IK43" s="2566"/>
      <c r="IL43" s="2566"/>
      <c r="IM43" s="2566"/>
      <c r="IN43" s="2566"/>
      <c r="IO43" s="2566"/>
      <c r="IP43" s="2566"/>
      <c r="IQ43" s="2566"/>
      <c r="IR43" s="2566"/>
      <c r="IS43" s="2566"/>
      <c r="IT43" s="2566"/>
      <c r="IU43" s="2566"/>
      <c r="IV43" s="2566"/>
      <c r="IW43" s="2566"/>
      <c r="IX43" s="2566"/>
      <c r="IY43" s="2566"/>
      <c r="IZ43" s="2566"/>
      <c r="JA43" s="2566"/>
      <c r="JB43" s="2566"/>
      <c r="JC43" s="2566"/>
      <c r="JD43" s="2566"/>
      <c r="JE43" s="2566"/>
      <c r="JF43" s="2566"/>
      <c r="JG43" s="2566"/>
      <c r="JH43" s="2566"/>
      <c r="JI43" s="2566"/>
      <c r="JJ43" s="2566"/>
      <c r="JK43" s="2566"/>
      <c r="JL43" s="2566"/>
      <c r="JM43" s="2566"/>
      <c r="JN43" s="2566"/>
      <c r="JO43" s="2566"/>
      <c r="JP43" s="2566"/>
      <c r="JQ43" s="2566"/>
      <c r="JR43" s="2566"/>
      <c r="JS43" s="2566"/>
      <c r="JT43" s="2566"/>
      <c r="JU43" s="2566"/>
      <c r="JV43" s="2566"/>
      <c r="JW43" s="2566"/>
      <c r="JX43" s="2566"/>
      <c r="JY43" s="2566"/>
      <c r="JZ43" s="2566"/>
      <c r="KA43" s="2566"/>
      <c r="KB43" s="2566"/>
      <c r="KC43" s="2566"/>
      <c r="KD43" s="2566"/>
      <c r="KE43" s="2566"/>
      <c r="KF43" s="2566"/>
      <c r="KG43" s="2566"/>
      <c r="KH43" s="2566"/>
      <c r="KI43" s="2566"/>
      <c r="KJ43" s="2566"/>
      <c r="KK43" s="2566"/>
      <c r="KL43" s="2566"/>
      <c r="KM43" s="2566"/>
      <c r="KN43" s="2566"/>
      <c r="KO43" s="2566"/>
      <c r="KP43" s="2566"/>
      <c r="KQ43" s="2566"/>
      <c r="KR43" s="2566"/>
      <c r="KS43" s="2566"/>
      <c r="KT43" s="2566"/>
      <c r="KU43" s="2566"/>
      <c r="KV43" s="2566"/>
      <c r="KW43" s="2566"/>
      <c r="KX43" s="2566"/>
      <c r="KY43" s="2566"/>
      <c r="KZ43" s="2566"/>
      <c r="LA43" s="2566"/>
      <c r="LB43" s="2566"/>
      <c r="LC43" s="2566"/>
      <c r="LD43" s="2566"/>
      <c r="LE43" s="2566"/>
      <c r="LF43" s="2566"/>
      <c r="LG43" s="2566"/>
      <c r="LH43" s="2566"/>
      <c r="LI43" s="2566"/>
      <c r="LJ43" s="2566"/>
      <c r="LK43" s="2566"/>
      <c r="LL43" s="2566"/>
      <c r="LM43" s="2566"/>
      <c r="LN43" s="2566"/>
      <c r="LO43" s="2566"/>
      <c r="LP43" s="2566"/>
      <c r="LQ43" s="2566"/>
      <c r="LR43" s="2566"/>
      <c r="LS43" s="2566"/>
      <c r="LT43" s="2566"/>
      <c r="LU43" s="2566"/>
      <c r="LV43" s="2566"/>
      <c r="LW43" s="2566"/>
      <c r="LX43" s="2566"/>
      <c r="LY43" s="2566"/>
      <c r="LZ43" s="2566"/>
      <c r="MA43" s="2566"/>
      <c r="MB43" s="2566"/>
    </row>
    <row r="44" spans="1:340" s="1155" customFormat="1" ht="22.5" customHeight="1">
      <c r="A44" s="1188"/>
      <c r="B44" s="1189"/>
      <c r="C44" s="1671"/>
      <c r="D44" s="1131"/>
      <c r="E44" s="1134" t="s">
        <v>3064</v>
      </c>
      <c r="F44" s="931">
        <f t="shared" si="7"/>
        <v>2000</v>
      </c>
      <c r="G44" s="383">
        <v>2000</v>
      </c>
      <c r="H44" s="391"/>
      <c r="I44" s="2534"/>
      <c r="J44" s="2538" t="s">
        <v>3065</v>
      </c>
      <c r="K44" s="2534"/>
      <c r="L44" s="2534"/>
      <c r="M44" s="2534"/>
      <c r="N44" s="2534"/>
      <c r="O44" s="2534"/>
      <c r="P44" s="2534"/>
      <c r="Q44" s="2539">
        <v>10</v>
      </c>
      <c r="R44" s="405" t="s">
        <v>3059</v>
      </c>
      <c r="S44" s="2539">
        <v>20000</v>
      </c>
      <c r="T44" s="2539" t="s">
        <v>3049</v>
      </c>
      <c r="U44" s="2539"/>
      <c r="V44" s="2539">
        <v>10</v>
      </c>
      <c r="W44" s="2539" t="s">
        <v>3054</v>
      </c>
      <c r="X44" s="1140" t="s">
        <v>3051</v>
      </c>
      <c r="Y44" s="1674">
        <f>Z44/1000</f>
        <v>2000</v>
      </c>
      <c r="Z44" s="407">
        <f>Q44*S44*V44</f>
        <v>2000000</v>
      </c>
      <c r="AA44" s="2565"/>
      <c r="AB44" s="347"/>
      <c r="AC44" s="347"/>
      <c r="AD44" s="370"/>
      <c r="AE44" s="2566"/>
      <c r="AF44" s="2566"/>
      <c r="AG44" s="2566"/>
      <c r="AH44" s="2566"/>
      <c r="AI44" s="2566"/>
      <c r="AJ44" s="2566"/>
      <c r="AK44" s="2566"/>
      <c r="AL44" s="2566"/>
      <c r="AM44" s="2566"/>
      <c r="AN44" s="2566"/>
      <c r="AO44" s="2566"/>
      <c r="AP44" s="2566"/>
      <c r="AQ44" s="2566"/>
      <c r="AR44" s="2566"/>
      <c r="AS44" s="2566"/>
      <c r="AT44" s="2566"/>
      <c r="AU44" s="2566"/>
      <c r="AV44" s="2566"/>
      <c r="AW44" s="2566"/>
      <c r="AX44" s="2566"/>
      <c r="AY44" s="2566"/>
      <c r="AZ44" s="2566"/>
      <c r="BA44" s="2566"/>
      <c r="BB44" s="2566"/>
      <c r="BC44" s="2566"/>
      <c r="BD44" s="2566"/>
      <c r="BE44" s="2566"/>
      <c r="BF44" s="2566"/>
      <c r="BG44" s="2566"/>
      <c r="BH44" s="2566"/>
      <c r="BI44" s="2566"/>
      <c r="BJ44" s="2566"/>
      <c r="BK44" s="2566"/>
      <c r="BL44" s="2566"/>
      <c r="BM44" s="2566"/>
      <c r="BN44" s="2566"/>
      <c r="BO44" s="2566"/>
      <c r="BP44" s="2566"/>
      <c r="BQ44" s="2566"/>
      <c r="BR44" s="2566"/>
      <c r="BS44" s="2566"/>
      <c r="BT44" s="2566"/>
      <c r="BU44" s="2566"/>
      <c r="BV44" s="2566"/>
      <c r="BW44" s="2566"/>
      <c r="BX44" s="2566"/>
      <c r="BY44" s="2566"/>
      <c r="BZ44" s="2566"/>
      <c r="CA44" s="2566"/>
      <c r="CB44" s="2566"/>
      <c r="CC44" s="2566"/>
      <c r="CD44" s="2566"/>
      <c r="CE44" s="2566"/>
      <c r="CF44" s="2566"/>
      <c r="CG44" s="2566"/>
      <c r="CH44" s="2566"/>
      <c r="CI44" s="2566"/>
      <c r="CJ44" s="2566"/>
      <c r="CK44" s="2566"/>
      <c r="CL44" s="2566"/>
      <c r="CM44" s="2566"/>
      <c r="CN44" s="2566"/>
      <c r="CO44" s="2566"/>
      <c r="CP44" s="2566"/>
      <c r="CQ44" s="2566"/>
      <c r="CR44" s="2566"/>
      <c r="CS44" s="2566"/>
      <c r="CT44" s="2566"/>
      <c r="CU44" s="2566"/>
      <c r="CV44" s="2566"/>
      <c r="CW44" s="2566"/>
      <c r="CX44" s="2566"/>
      <c r="CY44" s="2566"/>
      <c r="CZ44" s="2566"/>
      <c r="DA44" s="2566"/>
      <c r="DB44" s="2566"/>
      <c r="DC44" s="2566"/>
      <c r="DD44" s="2566"/>
      <c r="DE44" s="2566"/>
      <c r="DF44" s="2566"/>
      <c r="DG44" s="2566"/>
      <c r="DH44" s="2566"/>
      <c r="DI44" s="2566"/>
      <c r="DJ44" s="2566"/>
      <c r="DK44" s="2566"/>
      <c r="DL44" s="2566"/>
      <c r="DM44" s="2566"/>
      <c r="DN44" s="2566"/>
      <c r="DO44" s="2566"/>
      <c r="DP44" s="2566"/>
      <c r="DQ44" s="2566"/>
      <c r="DR44" s="2566"/>
      <c r="DS44" s="2566"/>
      <c r="DT44" s="2566"/>
      <c r="DU44" s="2566"/>
      <c r="DV44" s="2566"/>
      <c r="DW44" s="2566"/>
      <c r="DX44" s="2566"/>
      <c r="DY44" s="2566"/>
      <c r="DZ44" s="2566"/>
      <c r="EA44" s="2566"/>
      <c r="EB44" s="2566"/>
      <c r="EC44" s="2566"/>
      <c r="ED44" s="2566"/>
      <c r="EE44" s="2566"/>
      <c r="EF44" s="2566"/>
      <c r="EG44" s="2566"/>
      <c r="EH44" s="2566"/>
      <c r="EI44" s="2566"/>
      <c r="EJ44" s="2566"/>
      <c r="EK44" s="2566"/>
      <c r="EL44" s="2566"/>
      <c r="EM44" s="2566"/>
      <c r="EN44" s="2566"/>
      <c r="EO44" s="2566"/>
      <c r="EP44" s="2566"/>
      <c r="EQ44" s="2566"/>
      <c r="ER44" s="2566"/>
      <c r="ES44" s="2566"/>
      <c r="ET44" s="2566"/>
      <c r="EU44" s="2566"/>
      <c r="EV44" s="2566"/>
      <c r="EW44" s="2566"/>
      <c r="EX44" s="2566"/>
      <c r="EY44" s="2566"/>
      <c r="EZ44" s="2566"/>
      <c r="FA44" s="2566"/>
      <c r="FB44" s="2566"/>
      <c r="FC44" s="2566"/>
      <c r="FD44" s="2566"/>
      <c r="FE44" s="2566"/>
      <c r="FF44" s="2566"/>
      <c r="FG44" s="2566"/>
      <c r="FH44" s="2566"/>
      <c r="FI44" s="2566"/>
      <c r="FJ44" s="2566"/>
      <c r="FK44" s="2566"/>
      <c r="FL44" s="2566"/>
      <c r="FM44" s="2566"/>
      <c r="FN44" s="2566"/>
      <c r="FO44" s="2566"/>
      <c r="FP44" s="2566"/>
      <c r="FQ44" s="2566"/>
      <c r="FR44" s="2566"/>
      <c r="FS44" s="2566"/>
      <c r="FT44" s="2566"/>
      <c r="FU44" s="2566"/>
      <c r="FV44" s="2566"/>
      <c r="FW44" s="2566"/>
      <c r="FX44" s="2566"/>
      <c r="FY44" s="2566"/>
      <c r="FZ44" s="2566"/>
      <c r="GA44" s="2566"/>
      <c r="GB44" s="2566"/>
      <c r="GC44" s="2566"/>
      <c r="GD44" s="2566"/>
      <c r="GE44" s="2566"/>
      <c r="GF44" s="2566"/>
      <c r="GG44" s="2566"/>
      <c r="GH44" s="2566"/>
      <c r="GI44" s="2566"/>
      <c r="GJ44" s="2566"/>
      <c r="GK44" s="2566"/>
      <c r="GL44" s="2566"/>
      <c r="GM44" s="2566"/>
      <c r="GN44" s="2566"/>
      <c r="GO44" s="2566"/>
      <c r="GP44" s="2566"/>
      <c r="GQ44" s="2566"/>
      <c r="GR44" s="2566"/>
      <c r="GS44" s="2566"/>
      <c r="GT44" s="2566"/>
      <c r="GU44" s="2566"/>
      <c r="GV44" s="2566"/>
      <c r="GW44" s="2566"/>
      <c r="GX44" s="2566"/>
      <c r="GY44" s="2566"/>
      <c r="GZ44" s="2566"/>
      <c r="HA44" s="2566"/>
      <c r="HB44" s="2566"/>
      <c r="HC44" s="2566"/>
      <c r="HD44" s="2566"/>
      <c r="HE44" s="2566"/>
      <c r="HF44" s="2566"/>
      <c r="HG44" s="2566"/>
      <c r="HH44" s="2566"/>
      <c r="HI44" s="2566"/>
      <c r="HJ44" s="2566"/>
      <c r="HK44" s="2566"/>
      <c r="HL44" s="2566"/>
      <c r="HM44" s="2566"/>
      <c r="HN44" s="2566"/>
      <c r="HO44" s="2566"/>
      <c r="HP44" s="2566"/>
      <c r="HQ44" s="2566"/>
      <c r="HR44" s="2566"/>
      <c r="HS44" s="2566"/>
      <c r="HT44" s="2566"/>
      <c r="HU44" s="2566"/>
      <c r="HV44" s="2566"/>
      <c r="HW44" s="2566"/>
      <c r="HX44" s="2566"/>
      <c r="HY44" s="2566"/>
      <c r="HZ44" s="2566"/>
      <c r="IA44" s="2566"/>
      <c r="IB44" s="2566"/>
      <c r="IC44" s="2566"/>
      <c r="ID44" s="2566"/>
      <c r="IE44" s="2566"/>
      <c r="IF44" s="2566"/>
      <c r="IG44" s="2566"/>
      <c r="IH44" s="2566"/>
      <c r="II44" s="2566"/>
      <c r="IJ44" s="2566"/>
      <c r="IK44" s="2566"/>
      <c r="IL44" s="2566"/>
      <c r="IM44" s="2566"/>
      <c r="IN44" s="2566"/>
      <c r="IO44" s="2566"/>
      <c r="IP44" s="2566"/>
      <c r="IQ44" s="2566"/>
      <c r="IR44" s="2566"/>
      <c r="IS44" s="2566"/>
      <c r="IT44" s="2566"/>
      <c r="IU44" s="2566"/>
      <c r="IV44" s="2566"/>
      <c r="IW44" s="2566"/>
      <c r="IX44" s="2566"/>
      <c r="IY44" s="2566"/>
      <c r="IZ44" s="2566"/>
      <c r="JA44" s="2566"/>
      <c r="JB44" s="2566"/>
      <c r="JC44" s="2566"/>
      <c r="JD44" s="2566"/>
      <c r="JE44" s="2566"/>
      <c r="JF44" s="2566"/>
      <c r="JG44" s="2566"/>
      <c r="JH44" s="2566"/>
      <c r="JI44" s="2566"/>
      <c r="JJ44" s="2566"/>
      <c r="JK44" s="2566"/>
      <c r="JL44" s="2566"/>
      <c r="JM44" s="2566"/>
      <c r="JN44" s="2566"/>
      <c r="JO44" s="2566"/>
      <c r="JP44" s="2566"/>
      <c r="JQ44" s="2566"/>
      <c r="JR44" s="2566"/>
      <c r="JS44" s="2566"/>
      <c r="JT44" s="2566"/>
      <c r="JU44" s="2566"/>
      <c r="JV44" s="2566"/>
      <c r="JW44" s="2566"/>
      <c r="JX44" s="2566"/>
      <c r="JY44" s="2566"/>
      <c r="JZ44" s="2566"/>
      <c r="KA44" s="2566"/>
      <c r="KB44" s="2566"/>
      <c r="KC44" s="2566"/>
      <c r="KD44" s="2566"/>
      <c r="KE44" s="2566"/>
      <c r="KF44" s="2566"/>
      <c r="KG44" s="2566"/>
      <c r="KH44" s="2566"/>
      <c r="KI44" s="2566"/>
      <c r="KJ44" s="2566"/>
      <c r="KK44" s="2566"/>
      <c r="KL44" s="2566"/>
      <c r="KM44" s="2566"/>
      <c r="KN44" s="2566"/>
      <c r="KO44" s="2566"/>
      <c r="KP44" s="2566"/>
      <c r="KQ44" s="2566"/>
      <c r="KR44" s="2566"/>
      <c r="KS44" s="2566"/>
      <c r="KT44" s="2566"/>
      <c r="KU44" s="2566"/>
      <c r="KV44" s="2566"/>
      <c r="KW44" s="2566"/>
      <c r="KX44" s="2566"/>
      <c r="KY44" s="2566"/>
      <c r="KZ44" s="2566"/>
      <c r="LA44" s="2566"/>
      <c r="LB44" s="2566"/>
      <c r="LC44" s="2566"/>
      <c r="LD44" s="2566"/>
      <c r="LE44" s="2566"/>
      <c r="LF44" s="2566"/>
      <c r="LG44" s="2566"/>
      <c r="LH44" s="2566"/>
      <c r="LI44" s="2566"/>
      <c r="LJ44" s="2566"/>
      <c r="LK44" s="2566"/>
      <c r="LL44" s="2566"/>
      <c r="LM44" s="2566"/>
      <c r="LN44" s="2566"/>
      <c r="LO44" s="2566"/>
      <c r="LP44" s="2566"/>
      <c r="LQ44" s="2566"/>
      <c r="LR44" s="2566"/>
      <c r="LS44" s="2566"/>
      <c r="LT44" s="2566"/>
      <c r="LU44" s="2566"/>
      <c r="LV44" s="2566"/>
      <c r="LW44" s="2566"/>
      <c r="LX44" s="2566"/>
      <c r="LY44" s="2566"/>
      <c r="LZ44" s="2566"/>
      <c r="MA44" s="2566"/>
      <c r="MB44" s="2566"/>
    </row>
    <row r="45" spans="1:340" s="2534" customFormat="1" ht="23.45" customHeight="1">
      <c r="A45" s="1290"/>
      <c r="B45" s="1189"/>
      <c r="C45" s="413"/>
      <c r="D45" s="3278" t="s">
        <v>3286</v>
      </c>
      <c r="E45" s="3279"/>
      <c r="F45" s="385">
        <f>SUM(F46:F63)</f>
        <v>160000</v>
      </c>
      <c r="G45" s="385">
        <f>SUM(G46:G63)</f>
        <v>160000</v>
      </c>
      <c r="H45" s="386">
        <f>F45-G45</f>
        <v>0</v>
      </c>
      <c r="J45" s="394"/>
      <c r="K45" s="2525"/>
      <c r="L45" s="2525"/>
      <c r="M45" s="2525"/>
      <c r="N45" s="2525"/>
      <c r="O45" s="2525"/>
      <c r="P45" s="2525"/>
      <c r="Q45" s="2525"/>
      <c r="R45" s="395"/>
      <c r="S45" s="2525"/>
      <c r="T45" s="2525"/>
      <c r="U45" s="2525"/>
      <c r="V45" s="2525"/>
      <c r="W45" s="2525"/>
      <c r="X45" s="430"/>
      <c r="Y45" s="1184"/>
      <c r="Z45" s="440"/>
      <c r="AA45" s="401"/>
      <c r="AB45" s="347"/>
      <c r="AC45" s="347"/>
      <c r="AD45" s="370"/>
    </row>
    <row r="46" spans="1:340" s="1835" customFormat="1" ht="23.45" customHeight="1">
      <c r="A46" s="1290"/>
      <c r="B46" s="1189"/>
      <c r="C46" s="413"/>
      <c r="D46" s="1131"/>
      <c r="E46" s="1134" t="s">
        <v>3066</v>
      </c>
      <c r="F46" s="438">
        <f>Y46</f>
        <v>25000</v>
      </c>
      <c r="G46" s="383">
        <v>25000</v>
      </c>
      <c r="H46" s="391"/>
      <c r="I46" s="2534"/>
      <c r="J46" s="2345" t="s">
        <v>3067</v>
      </c>
      <c r="K46" s="2534"/>
      <c r="L46" s="2534"/>
      <c r="M46" s="2534"/>
      <c r="N46" s="2534"/>
      <c r="O46" s="2534"/>
      <c r="P46" s="2534"/>
      <c r="Q46" s="1673"/>
      <c r="R46" s="405"/>
      <c r="S46" s="1672">
        <v>2500000</v>
      </c>
      <c r="T46" s="1672" t="s">
        <v>3068</v>
      </c>
      <c r="U46" s="1672"/>
      <c r="V46" s="1672">
        <v>10</v>
      </c>
      <c r="W46" s="1672" t="s">
        <v>3069</v>
      </c>
      <c r="X46" s="1323" t="s">
        <v>3070</v>
      </c>
      <c r="Y46" s="1674">
        <f t="shared" ref="Y46:Y63" si="9">Z46/1000</f>
        <v>25000</v>
      </c>
      <c r="Z46" s="407">
        <f>S46*V46</f>
        <v>25000000</v>
      </c>
      <c r="AA46" s="1143"/>
      <c r="AB46" s="347"/>
      <c r="AC46" s="347"/>
      <c r="AD46" s="370"/>
    </row>
    <row r="47" spans="1:340" s="1835" customFormat="1" ht="23.45" customHeight="1">
      <c r="A47" s="1290"/>
      <c r="B47" s="1189"/>
      <c r="C47" s="413"/>
      <c r="D47" s="1131"/>
      <c r="E47" s="1134" t="s">
        <v>3046</v>
      </c>
      <c r="F47" s="438">
        <f t="shared" ref="F47:F63" si="10">Y47</f>
        <v>14000</v>
      </c>
      <c r="G47" s="383">
        <v>14000</v>
      </c>
      <c r="H47" s="391"/>
      <c r="I47" s="2534"/>
      <c r="J47" s="2538" t="s">
        <v>3071</v>
      </c>
      <c r="K47" s="2534"/>
      <c r="L47" s="2534"/>
      <c r="M47" s="2534"/>
      <c r="N47" s="2534"/>
      <c r="O47" s="2534"/>
      <c r="P47" s="2534"/>
      <c r="Q47" s="1673"/>
      <c r="R47" s="405"/>
      <c r="S47" s="1672">
        <v>7000000</v>
      </c>
      <c r="T47" s="2539" t="s">
        <v>3049</v>
      </c>
      <c r="U47" s="2539"/>
      <c r="V47" s="2539">
        <v>2</v>
      </c>
      <c r="W47" s="2539" t="s">
        <v>3054</v>
      </c>
      <c r="X47" s="1140" t="s">
        <v>3051</v>
      </c>
      <c r="Y47" s="1674">
        <f t="shared" si="9"/>
        <v>14000</v>
      </c>
      <c r="Z47" s="407">
        <f>S47*V47</f>
        <v>14000000</v>
      </c>
      <c r="AA47" s="1143"/>
      <c r="AB47" s="347"/>
      <c r="AC47" s="347"/>
      <c r="AD47" s="370"/>
    </row>
    <row r="48" spans="1:340" s="1835" customFormat="1" ht="23.45" customHeight="1">
      <c r="A48" s="1290"/>
      <c r="B48" s="1189"/>
      <c r="C48" s="413"/>
      <c r="D48" s="1131"/>
      <c r="E48" s="1134" t="s">
        <v>3072</v>
      </c>
      <c r="F48" s="438">
        <f t="shared" si="10"/>
        <v>3481</v>
      </c>
      <c r="G48" s="383">
        <v>3481</v>
      </c>
      <c r="H48" s="391"/>
      <c r="I48" s="2534"/>
      <c r="J48" s="2345" t="s">
        <v>3073</v>
      </c>
      <c r="K48" s="2534"/>
      <c r="L48" s="2534"/>
      <c r="M48" s="2534"/>
      <c r="N48" s="2534"/>
      <c r="O48" s="2534"/>
      <c r="P48" s="2534"/>
      <c r="Q48" s="1673"/>
      <c r="R48" s="405"/>
      <c r="S48" s="1672">
        <v>3481000</v>
      </c>
      <c r="T48" s="2539" t="s">
        <v>3049</v>
      </c>
      <c r="U48" s="2539"/>
      <c r="V48" s="2539">
        <v>1</v>
      </c>
      <c r="W48" s="2539" t="s">
        <v>3062</v>
      </c>
      <c r="X48" s="1140" t="s">
        <v>3051</v>
      </c>
      <c r="Y48" s="1674">
        <f t="shared" si="9"/>
        <v>3481</v>
      </c>
      <c r="Z48" s="407">
        <f t="shared" ref="Z48" si="11">S48*V48</f>
        <v>3481000</v>
      </c>
      <c r="AA48" s="1143"/>
      <c r="AB48" s="347"/>
      <c r="AC48" s="347"/>
      <c r="AD48" s="370"/>
    </row>
    <row r="49" spans="1:340" s="1835" customFormat="1" ht="23.45" customHeight="1">
      <c r="A49" s="1290"/>
      <c r="B49" s="1189"/>
      <c r="C49" s="413"/>
      <c r="D49" s="1131"/>
      <c r="E49" s="1134" t="s">
        <v>3057</v>
      </c>
      <c r="F49" s="438">
        <f t="shared" si="10"/>
        <v>2000.0000000000002</v>
      </c>
      <c r="G49" s="383">
        <v>2000</v>
      </c>
      <c r="H49" s="391"/>
      <c r="I49" s="2534"/>
      <c r="J49" s="2345" t="s">
        <v>3074</v>
      </c>
      <c r="K49" s="2534"/>
      <c r="L49" s="2534"/>
      <c r="M49" s="2534"/>
      <c r="N49" s="2534"/>
      <c r="O49" s="2534"/>
      <c r="P49" s="2534"/>
      <c r="Q49" s="1673">
        <v>2</v>
      </c>
      <c r="R49" s="405" t="s">
        <v>23</v>
      </c>
      <c r="S49" s="1672">
        <v>30000</v>
      </c>
      <c r="T49" s="2539" t="s">
        <v>0</v>
      </c>
      <c r="U49" s="2539"/>
      <c r="V49" s="2539">
        <v>33.333333333333336</v>
      </c>
      <c r="W49" s="2539" t="s">
        <v>3</v>
      </c>
      <c r="X49" s="1140" t="s">
        <v>1</v>
      </c>
      <c r="Y49" s="1674">
        <f t="shared" si="9"/>
        <v>2000.0000000000002</v>
      </c>
      <c r="Z49" s="407">
        <f>Q49*S49*V49</f>
        <v>2000000.0000000002</v>
      </c>
      <c r="AA49" s="1143"/>
      <c r="AB49" s="347"/>
      <c r="AC49" s="347"/>
      <c r="AD49" s="370"/>
    </row>
    <row r="50" spans="1:340" s="1835" customFormat="1" ht="23.45" customHeight="1">
      <c r="A50" s="1290"/>
      <c r="B50" s="1189"/>
      <c r="C50" s="413"/>
      <c r="D50" s="1131"/>
      <c r="E50" s="1134" t="s">
        <v>3075</v>
      </c>
      <c r="F50" s="438">
        <f t="shared" si="10"/>
        <v>14000</v>
      </c>
      <c r="G50" s="383">
        <v>14000</v>
      </c>
      <c r="H50" s="391"/>
      <c r="I50" s="2534"/>
      <c r="J50" s="2538" t="s">
        <v>3076</v>
      </c>
      <c r="K50" s="2534"/>
      <c r="L50" s="2534"/>
      <c r="M50" s="2534"/>
      <c r="N50" s="2534"/>
      <c r="O50" s="2534"/>
      <c r="P50" s="2534"/>
      <c r="Q50" s="408"/>
      <c r="R50" s="2533"/>
      <c r="S50" s="1672"/>
      <c r="T50" s="2539"/>
      <c r="U50" s="2539"/>
      <c r="V50" s="2539"/>
      <c r="W50" s="2539"/>
      <c r="X50" s="1140"/>
      <c r="Y50" s="1674">
        <f t="shared" si="9"/>
        <v>14000</v>
      </c>
      <c r="Z50" s="407">
        <f>+Z51+Z52+Z53</f>
        <v>14000000</v>
      </c>
      <c r="AA50" s="1143"/>
      <c r="AB50" s="347"/>
      <c r="AC50" s="347"/>
      <c r="AD50" s="370"/>
    </row>
    <row r="51" spans="1:340" s="1835" customFormat="1" ht="23.45" customHeight="1">
      <c r="A51" s="1290"/>
      <c r="B51" s="1189"/>
      <c r="C51" s="413"/>
      <c r="D51" s="1131"/>
      <c r="E51" s="1134"/>
      <c r="F51" s="438"/>
      <c r="G51" s="383"/>
      <c r="H51" s="391"/>
      <c r="I51" s="2534"/>
      <c r="J51" s="2538" t="s">
        <v>3077</v>
      </c>
      <c r="K51" s="2534"/>
      <c r="L51" s="2534"/>
      <c r="M51" s="2534"/>
      <c r="N51" s="2534"/>
      <c r="O51" s="2534"/>
      <c r="P51" s="2534"/>
      <c r="Q51" s="408"/>
      <c r="R51" s="2533"/>
      <c r="S51" s="1672">
        <v>3500000</v>
      </c>
      <c r="T51" s="2539" t="s">
        <v>0</v>
      </c>
      <c r="U51" s="2539"/>
      <c r="V51" s="2539">
        <v>2</v>
      </c>
      <c r="W51" s="2539" t="s">
        <v>3</v>
      </c>
      <c r="X51" s="1140" t="s">
        <v>1</v>
      </c>
      <c r="Y51" s="1674">
        <f t="shared" si="9"/>
        <v>7000</v>
      </c>
      <c r="Z51" s="407">
        <f>S51*V51</f>
        <v>7000000</v>
      </c>
      <c r="AA51" s="1143"/>
      <c r="AB51" s="347"/>
      <c r="AC51" s="347"/>
      <c r="AD51" s="370"/>
    </row>
    <row r="52" spans="1:340" s="1835" customFormat="1" ht="23.45" customHeight="1">
      <c r="A52" s="1290"/>
      <c r="B52" s="1189"/>
      <c r="C52" s="413"/>
      <c r="D52" s="1131"/>
      <c r="E52" s="1134"/>
      <c r="F52" s="438"/>
      <c r="G52" s="383"/>
      <c r="H52" s="391"/>
      <c r="I52" s="2534"/>
      <c r="J52" s="2538" t="s">
        <v>3078</v>
      </c>
      <c r="K52" s="2534"/>
      <c r="L52" s="2534"/>
      <c r="M52" s="2534"/>
      <c r="N52" s="2534"/>
      <c r="O52" s="2534"/>
      <c r="P52" s="2534"/>
      <c r="Q52" s="408"/>
      <c r="R52" s="2533"/>
      <c r="S52" s="1672">
        <v>3000000</v>
      </c>
      <c r="T52" s="2539" t="s">
        <v>3049</v>
      </c>
      <c r="U52" s="2539"/>
      <c r="V52" s="2539">
        <v>1</v>
      </c>
      <c r="W52" s="2539" t="s">
        <v>3054</v>
      </c>
      <c r="X52" s="1140" t="s">
        <v>3051</v>
      </c>
      <c r="Y52" s="1674">
        <f t="shared" si="9"/>
        <v>3000</v>
      </c>
      <c r="Z52" s="407">
        <f>S52*V52</f>
        <v>3000000</v>
      </c>
      <c r="AA52" s="1143"/>
      <c r="AB52" s="347"/>
      <c r="AC52" s="347"/>
      <c r="AD52" s="370"/>
    </row>
    <row r="53" spans="1:340" s="1835" customFormat="1" ht="23.45" customHeight="1">
      <c r="A53" s="1290"/>
      <c r="B53" s="1189"/>
      <c r="C53" s="413"/>
      <c r="D53" s="1131"/>
      <c r="E53" s="1134"/>
      <c r="F53" s="438"/>
      <c r="G53" s="383"/>
      <c r="H53" s="391"/>
      <c r="I53" s="2534"/>
      <c r="J53" s="2538" t="s">
        <v>3079</v>
      </c>
      <c r="K53" s="2534"/>
      <c r="L53" s="2534"/>
      <c r="M53" s="2534"/>
      <c r="N53" s="2534"/>
      <c r="O53" s="2534"/>
      <c r="P53" s="2534"/>
      <c r="Q53" s="1673">
        <v>4</v>
      </c>
      <c r="R53" s="405" t="s">
        <v>3048</v>
      </c>
      <c r="S53" s="1672">
        <v>200000</v>
      </c>
      <c r="T53" s="2539" t="s">
        <v>0</v>
      </c>
      <c r="U53" s="2539"/>
      <c r="V53" s="2539">
        <v>5</v>
      </c>
      <c r="W53" s="2539" t="s">
        <v>25</v>
      </c>
      <c r="X53" s="1140" t="s">
        <v>1</v>
      </c>
      <c r="Y53" s="1674">
        <f t="shared" si="9"/>
        <v>4000</v>
      </c>
      <c r="Z53" s="407">
        <f>Q53*S53*V53</f>
        <v>4000000</v>
      </c>
      <c r="AA53" s="1143"/>
      <c r="AB53" s="347"/>
      <c r="AC53" s="347"/>
      <c r="AD53" s="370"/>
    </row>
    <row r="54" spans="1:340" s="1835" customFormat="1" ht="23.45" customHeight="1">
      <c r="A54" s="1290"/>
      <c r="B54" s="1189"/>
      <c r="C54" s="413"/>
      <c r="D54" s="1131"/>
      <c r="E54" s="1134" t="s">
        <v>3080</v>
      </c>
      <c r="F54" s="438">
        <f t="shared" si="10"/>
        <v>64000</v>
      </c>
      <c r="G54" s="383">
        <v>64000</v>
      </c>
      <c r="H54" s="391"/>
      <c r="I54" s="2534"/>
      <c r="J54" s="2538" t="s">
        <v>3076</v>
      </c>
      <c r="K54" s="2534"/>
      <c r="L54" s="2534"/>
      <c r="M54" s="2534"/>
      <c r="N54" s="2534"/>
      <c r="O54" s="2534"/>
      <c r="P54" s="2534"/>
      <c r="Q54" s="408"/>
      <c r="R54" s="2533"/>
      <c r="S54" s="1672"/>
      <c r="T54" s="2539"/>
      <c r="U54" s="2539"/>
      <c r="V54" s="2539"/>
      <c r="W54" s="2539"/>
      <c r="X54" s="1140"/>
      <c r="Y54" s="1674">
        <f t="shared" si="9"/>
        <v>64000</v>
      </c>
      <c r="Z54" s="407">
        <f>+Z55+Z56+Z57</f>
        <v>64000000</v>
      </c>
      <c r="AA54" s="1143"/>
      <c r="AB54" s="347"/>
      <c r="AC54" s="347"/>
      <c r="AD54" s="370"/>
    </row>
    <row r="55" spans="1:340" s="1835" customFormat="1" ht="23.45" customHeight="1">
      <c r="A55" s="1290"/>
      <c r="B55" s="1189"/>
      <c r="C55" s="1671"/>
      <c r="D55" s="1131"/>
      <c r="E55" s="1134"/>
      <c r="F55" s="438"/>
      <c r="G55" s="383"/>
      <c r="H55" s="391"/>
      <c r="I55" s="2534"/>
      <c r="J55" s="2538" t="s">
        <v>3081</v>
      </c>
      <c r="K55" s="2534"/>
      <c r="L55" s="2534"/>
      <c r="M55" s="2534"/>
      <c r="N55" s="2534"/>
      <c r="O55" s="2534"/>
      <c r="P55" s="2534"/>
      <c r="Q55" s="408"/>
      <c r="R55" s="2533"/>
      <c r="S55" s="1672">
        <v>20000000</v>
      </c>
      <c r="T55" s="2539" t="s">
        <v>0</v>
      </c>
      <c r="U55" s="2539"/>
      <c r="V55" s="2539">
        <v>1</v>
      </c>
      <c r="W55" s="2539" t="s">
        <v>3</v>
      </c>
      <c r="X55" s="1140" t="s">
        <v>1</v>
      </c>
      <c r="Y55" s="1674">
        <f t="shared" si="9"/>
        <v>20000</v>
      </c>
      <c r="Z55" s="407">
        <f>S55*V55</f>
        <v>20000000</v>
      </c>
      <c r="AA55" s="1143"/>
      <c r="AB55" s="347"/>
      <c r="AC55" s="347"/>
      <c r="AD55" s="370"/>
    </row>
    <row r="56" spans="1:340" s="1835" customFormat="1" ht="23.45" customHeight="1">
      <c r="A56" s="1290"/>
      <c r="B56" s="1189"/>
      <c r="C56" s="1671"/>
      <c r="D56" s="1131"/>
      <c r="E56" s="1134"/>
      <c r="F56" s="438"/>
      <c r="G56" s="383"/>
      <c r="H56" s="391"/>
      <c r="I56" s="2534"/>
      <c r="J56" s="2538" t="s">
        <v>3082</v>
      </c>
      <c r="K56" s="2534"/>
      <c r="L56" s="2534"/>
      <c r="M56" s="2534"/>
      <c r="N56" s="2534"/>
      <c r="O56" s="2534"/>
      <c r="P56" s="2534"/>
      <c r="Q56" s="408"/>
      <c r="R56" s="2533"/>
      <c r="S56" s="1672">
        <v>12000000</v>
      </c>
      <c r="T56" s="2539" t="s">
        <v>3049</v>
      </c>
      <c r="U56" s="2539"/>
      <c r="V56" s="2539">
        <v>2</v>
      </c>
      <c r="W56" s="2539" t="s">
        <v>3054</v>
      </c>
      <c r="X56" s="1140" t="s">
        <v>3051</v>
      </c>
      <c r="Y56" s="1674">
        <f t="shared" si="9"/>
        <v>24000</v>
      </c>
      <c r="Z56" s="407">
        <f>S56*V56</f>
        <v>24000000</v>
      </c>
      <c r="AA56" s="1143"/>
      <c r="AB56" s="347"/>
      <c r="AC56" s="347"/>
      <c r="AD56" s="370"/>
    </row>
    <row r="57" spans="1:340" s="1835" customFormat="1" ht="23.45" customHeight="1">
      <c r="A57" s="1290"/>
      <c r="B57" s="1189"/>
      <c r="C57" s="1671"/>
      <c r="D57" s="1131"/>
      <c r="E57" s="1134"/>
      <c r="F57" s="438"/>
      <c r="G57" s="383"/>
      <c r="H57" s="391"/>
      <c r="I57" s="2534"/>
      <c r="J57" s="2538" t="s">
        <v>3083</v>
      </c>
      <c r="K57" s="2534"/>
      <c r="L57" s="2534"/>
      <c r="M57" s="2534"/>
      <c r="N57" s="2534"/>
      <c r="O57" s="2534"/>
      <c r="P57" s="2534"/>
      <c r="Q57" s="1673"/>
      <c r="R57" s="405"/>
      <c r="S57" s="1672">
        <v>20000000</v>
      </c>
      <c r="T57" s="2539" t="s">
        <v>0</v>
      </c>
      <c r="U57" s="2539"/>
      <c r="V57" s="2539">
        <v>1</v>
      </c>
      <c r="W57" s="2539" t="s">
        <v>3054</v>
      </c>
      <c r="X57" s="1140" t="s">
        <v>1</v>
      </c>
      <c r="Y57" s="1674">
        <f t="shared" si="9"/>
        <v>20000</v>
      </c>
      <c r="Z57" s="407">
        <f>S57*V57</f>
        <v>20000000</v>
      </c>
      <c r="AA57" s="1143"/>
      <c r="AB57" s="347"/>
      <c r="AC57" s="347"/>
      <c r="AD57" s="370"/>
    </row>
    <row r="58" spans="1:340" s="1835" customFormat="1" ht="23.45" customHeight="1">
      <c r="A58" s="1290"/>
      <c r="B58" s="1189"/>
      <c r="C58" s="1671"/>
      <c r="D58" s="1131"/>
      <c r="E58" s="1134" t="s">
        <v>3084</v>
      </c>
      <c r="F58" s="438">
        <f t="shared" si="10"/>
        <v>1300</v>
      </c>
      <c r="G58" s="383">
        <v>1300</v>
      </c>
      <c r="H58" s="391"/>
      <c r="I58" s="2534"/>
      <c r="J58" s="2538" t="s">
        <v>3085</v>
      </c>
      <c r="K58" s="2534"/>
      <c r="L58" s="2534"/>
      <c r="M58" s="2534"/>
      <c r="N58" s="2534"/>
      <c r="O58" s="2534"/>
      <c r="P58" s="2534"/>
      <c r="Q58" s="1673"/>
      <c r="R58" s="405"/>
      <c r="S58" s="1672">
        <v>1300000</v>
      </c>
      <c r="T58" s="2539" t="s">
        <v>3049</v>
      </c>
      <c r="U58" s="2539"/>
      <c r="V58" s="2539">
        <v>1</v>
      </c>
      <c r="W58" s="2539" t="s">
        <v>3062</v>
      </c>
      <c r="X58" s="1140" t="s">
        <v>1</v>
      </c>
      <c r="Y58" s="1674">
        <f t="shared" si="9"/>
        <v>1300</v>
      </c>
      <c r="Z58" s="407">
        <f>S58*V58</f>
        <v>1300000</v>
      </c>
      <c r="AA58" s="1143"/>
      <c r="AB58" s="347"/>
      <c r="AC58" s="347"/>
      <c r="AD58" s="370"/>
    </row>
    <row r="59" spans="1:340" s="1835" customFormat="1" ht="23.45" customHeight="1">
      <c r="A59" s="1290"/>
      <c r="B59" s="1189"/>
      <c r="C59" s="1671"/>
      <c r="D59" s="1131"/>
      <c r="E59" s="1134" t="s">
        <v>3055</v>
      </c>
      <c r="F59" s="438">
        <f t="shared" si="10"/>
        <v>21519</v>
      </c>
      <c r="G59" s="383">
        <v>21519</v>
      </c>
      <c r="H59" s="391"/>
      <c r="I59" s="2534"/>
      <c r="J59" s="2538" t="s">
        <v>3086</v>
      </c>
      <c r="K59" s="2534"/>
      <c r="L59" s="2534"/>
      <c r="M59" s="2534"/>
      <c r="N59" s="2534"/>
      <c r="O59" s="2534"/>
      <c r="P59" s="2534"/>
      <c r="Q59" s="1673"/>
      <c r="R59" s="405"/>
      <c r="S59" s="1672">
        <v>21519000</v>
      </c>
      <c r="T59" s="2539" t="s">
        <v>3049</v>
      </c>
      <c r="U59" s="2539"/>
      <c r="V59" s="2539">
        <v>1</v>
      </c>
      <c r="W59" s="2539" t="s">
        <v>3062</v>
      </c>
      <c r="X59" s="1140" t="s">
        <v>1</v>
      </c>
      <c r="Y59" s="1674">
        <f t="shared" si="9"/>
        <v>21519</v>
      </c>
      <c r="Z59" s="407">
        <f>S59*V59</f>
        <v>21519000</v>
      </c>
      <c r="AA59" s="1143"/>
      <c r="AB59" s="347"/>
      <c r="AC59" s="347"/>
      <c r="AD59" s="370"/>
    </row>
    <row r="60" spans="1:340" s="1835" customFormat="1" ht="23.45" customHeight="1">
      <c r="A60" s="1290"/>
      <c r="B60" s="1189"/>
      <c r="C60" s="1671"/>
      <c r="D60" s="1131"/>
      <c r="E60" s="1134" t="s">
        <v>3087</v>
      </c>
      <c r="F60" s="438">
        <f t="shared" si="10"/>
        <v>400</v>
      </c>
      <c r="G60" s="383">
        <v>400</v>
      </c>
      <c r="H60" s="391"/>
      <c r="I60" s="2534"/>
      <c r="J60" s="2538" t="s">
        <v>3088</v>
      </c>
      <c r="K60" s="2534"/>
      <c r="L60" s="2534"/>
      <c r="M60" s="2534"/>
      <c r="N60" s="2534"/>
      <c r="O60" s="2534"/>
      <c r="P60" s="2534"/>
      <c r="Q60" s="1673"/>
      <c r="R60" s="405"/>
      <c r="S60" s="1672">
        <v>400000</v>
      </c>
      <c r="T60" s="2539" t="s">
        <v>3049</v>
      </c>
      <c r="U60" s="2539"/>
      <c r="V60" s="2539">
        <v>1</v>
      </c>
      <c r="W60" s="2539" t="s">
        <v>3062</v>
      </c>
      <c r="X60" s="1140" t="s">
        <v>1</v>
      </c>
      <c r="Y60" s="1674">
        <f t="shared" si="9"/>
        <v>400</v>
      </c>
      <c r="Z60" s="407">
        <f t="shared" ref="Z60:Z63" si="12">S60*V60</f>
        <v>400000</v>
      </c>
      <c r="AA60" s="1143"/>
      <c r="AB60" s="347"/>
      <c r="AC60" s="347"/>
      <c r="AD60" s="370"/>
    </row>
    <row r="61" spans="1:340" s="1835" customFormat="1" ht="23.45" customHeight="1">
      <c r="A61" s="1290"/>
      <c r="B61" s="1189"/>
      <c r="C61" s="1671"/>
      <c r="D61" s="1131"/>
      <c r="E61" s="1134" t="s">
        <v>3060</v>
      </c>
      <c r="F61" s="438">
        <f t="shared" si="10"/>
        <v>4800</v>
      </c>
      <c r="G61" s="383">
        <v>4800</v>
      </c>
      <c r="H61" s="391"/>
      <c r="I61" s="2534"/>
      <c r="J61" s="2538" t="s">
        <v>3089</v>
      </c>
      <c r="K61" s="2534"/>
      <c r="L61" s="2534"/>
      <c r="M61" s="2534"/>
      <c r="N61" s="2534"/>
      <c r="O61" s="2534"/>
      <c r="P61" s="2534"/>
      <c r="Q61" s="1673"/>
      <c r="R61" s="405"/>
      <c r="S61" s="1672">
        <v>1200000</v>
      </c>
      <c r="T61" s="2539" t="s">
        <v>3049</v>
      </c>
      <c r="U61" s="2539"/>
      <c r="V61" s="2539">
        <v>4</v>
      </c>
      <c r="W61" s="2539" t="s">
        <v>3054</v>
      </c>
      <c r="X61" s="1140" t="s">
        <v>1</v>
      </c>
      <c r="Y61" s="1674">
        <f t="shared" si="9"/>
        <v>4800</v>
      </c>
      <c r="Z61" s="407">
        <f>S61*V61</f>
        <v>4800000</v>
      </c>
      <c r="AA61" s="1143"/>
      <c r="AB61" s="347"/>
      <c r="AC61" s="347"/>
      <c r="AD61" s="370"/>
    </row>
    <row r="62" spans="1:340" s="1835" customFormat="1" ht="23.45" customHeight="1">
      <c r="A62" s="1290"/>
      <c r="B62" s="1189"/>
      <c r="C62" s="1671"/>
      <c r="D62" s="1131"/>
      <c r="E62" s="1134" t="s">
        <v>3090</v>
      </c>
      <c r="F62" s="438">
        <f t="shared" si="10"/>
        <v>7500</v>
      </c>
      <c r="G62" s="1788">
        <v>7500</v>
      </c>
      <c r="H62" s="391"/>
      <c r="I62" s="2534"/>
      <c r="J62" s="2538" t="s">
        <v>3091</v>
      </c>
      <c r="K62" s="2534"/>
      <c r="L62" s="2534"/>
      <c r="M62" s="2534"/>
      <c r="N62" s="2534"/>
      <c r="O62" s="2534"/>
      <c r="P62" s="2534"/>
      <c r="Q62" s="2539"/>
      <c r="R62" s="405"/>
      <c r="S62" s="2539">
        <v>50000</v>
      </c>
      <c r="T62" s="2539" t="s">
        <v>3049</v>
      </c>
      <c r="U62" s="2539"/>
      <c r="V62" s="2539">
        <v>150</v>
      </c>
      <c r="W62" s="2539" t="s">
        <v>3092</v>
      </c>
      <c r="X62" s="1140" t="s">
        <v>3051</v>
      </c>
      <c r="Y62" s="1674">
        <f t="shared" si="9"/>
        <v>7500</v>
      </c>
      <c r="Z62" s="407">
        <f t="shared" si="12"/>
        <v>7500000</v>
      </c>
      <c r="AA62" s="1143"/>
      <c r="AB62" s="347"/>
      <c r="AC62" s="347"/>
      <c r="AD62" s="370"/>
    </row>
    <row r="63" spans="1:340" s="1155" customFormat="1" ht="23.45" customHeight="1">
      <c r="A63" s="1188"/>
      <c r="B63" s="1189"/>
      <c r="C63" s="1671"/>
      <c r="D63" s="1131"/>
      <c r="E63" s="1134" t="s">
        <v>3064</v>
      </c>
      <c r="F63" s="438">
        <f t="shared" si="10"/>
        <v>2000</v>
      </c>
      <c r="G63" s="383">
        <v>2000</v>
      </c>
      <c r="H63" s="391"/>
      <c r="I63" s="2534"/>
      <c r="J63" s="2538" t="s">
        <v>3065</v>
      </c>
      <c r="K63" s="2534"/>
      <c r="L63" s="2534"/>
      <c r="M63" s="2534"/>
      <c r="N63" s="2534"/>
      <c r="O63" s="2534"/>
      <c r="P63" s="2534"/>
      <c r="Q63" s="408"/>
      <c r="R63" s="2533"/>
      <c r="S63" s="1672">
        <v>100000</v>
      </c>
      <c r="T63" s="2539" t="s">
        <v>0</v>
      </c>
      <c r="U63" s="2539"/>
      <c r="V63" s="2539">
        <v>20</v>
      </c>
      <c r="W63" s="2539" t="s">
        <v>3</v>
      </c>
      <c r="X63" s="1140" t="s">
        <v>3051</v>
      </c>
      <c r="Y63" s="1674">
        <f t="shared" si="9"/>
        <v>2000</v>
      </c>
      <c r="Z63" s="407">
        <f t="shared" si="12"/>
        <v>2000000</v>
      </c>
      <c r="AA63" s="2565"/>
      <c r="AB63" s="347"/>
      <c r="AC63" s="347"/>
      <c r="AD63" s="370"/>
      <c r="AE63" s="2566"/>
      <c r="AF63" s="2566"/>
      <c r="AG63" s="2566"/>
      <c r="AH63" s="2566"/>
      <c r="AI63" s="2566"/>
      <c r="AJ63" s="2566"/>
      <c r="AK63" s="2566"/>
      <c r="AL63" s="2566"/>
      <c r="AM63" s="2566"/>
      <c r="AN63" s="2566"/>
      <c r="AO63" s="2566"/>
      <c r="AP63" s="2566"/>
      <c r="AQ63" s="2566"/>
      <c r="AR63" s="2566"/>
      <c r="AS63" s="2566"/>
      <c r="AT63" s="2566"/>
      <c r="AU63" s="2566"/>
      <c r="AV63" s="2566"/>
      <c r="AW63" s="2566"/>
      <c r="AX63" s="2566"/>
      <c r="AY63" s="2566"/>
      <c r="AZ63" s="2566"/>
      <c r="BA63" s="2566"/>
      <c r="BB63" s="2566"/>
      <c r="BC63" s="2566"/>
      <c r="BD63" s="2566"/>
      <c r="BE63" s="2566"/>
      <c r="BF63" s="2566"/>
      <c r="BG63" s="2566"/>
      <c r="BH63" s="2566"/>
      <c r="BI63" s="2566"/>
      <c r="BJ63" s="2566"/>
      <c r="BK63" s="2566"/>
      <c r="BL63" s="2566"/>
      <c r="BM63" s="2566"/>
      <c r="BN63" s="2566"/>
      <c r="BO63" s="2566"/>
      <c r="BP63" s="2566"/>
      <c r="BQ63" s="2566"/>
      <c r="BR63" s="2566"/>
      <c r="BS63" s="2566"/>
      <c r="BT63" s="2566"/>
      <c r="BU63" s="2566"/>
      <c r="BV63" s="2566"/>
      <c r="BW63" s="2566"/>
      <c r="BX63" s="2566"/>
      <c r="BY63" s="2566"/>
      <c r="BZ63" s="2566"/>
      <c r="CA63" s="2566"/>
      <c r="CB63" s="2566"/>
      <c r="CC63" s="2566"/>
      <c r="CD63" s="2566"/>
      <c r="CE63" s="2566"/>
      <c r="CF63" s="2566"/>
      <c r="CG63" s="2566"/>
      <c r="CH63" s="2566"/>
      <c r="CI63" s="2566"/>
      <c r="CJ63" s="2566"/>
      <c r="CK63" s="2566"/>
      <c r="CL63" s="2566"/>
      <c r="CM63" s="2566"/>
      <c r="CN63" s="2566"/>
      <c r="CO63" s="2566"/>
      <c r="CP63" s="2566"/>
      <c r="CQ63" s="2566"/>
      <c r="CR63" s="2566"/>
      <c r="CS63" s="2566"/>
      <c r="CT63" s="2566"/>
      <c r="CU63" s="2566"/>
      <c r="CV63" s="2566"/>
      <c r="CW63" s="2566"/>
      <c r="CX63" s="2566"/>
      <c r="CY63" s="2566"/>
      <c r="CZ63" s="2566"/>
      <c r="DA63" s="2566"/>
      <c r="DB63" s="2566"/>
      <c r="DC63" s="2566"/>
      <c r="DD63" s="2566"/>
      <c r="DE63" s="2566"/>
      <c r="DF63" s="2566"/>
      <c r="DG63" s="2566"/>
      <c r="DH63" s="2566"/>
      <c r="DI63" s="2566"/>
      <c r="DJ63" s="2566"/>
      <c r="DK63" s="2566"/>
      <c r="DL63" s="2566"/>
      <c r="DM63" s="2566"/>
      <c r="DN63" s="2566"/>
      <c r="DO63" s="2566"/>
      <c r="DP63" s="2566"/>
      <c r="DQ63" s="2566"/>
      <c r="DR63" s="2566"/>
      <c r="DS63" s="2566"/>
      <c r="DT63" s="2566"/>
      <c r="DU63" s="2566"/>
      <c r="DV63" s="2566"/>
      <c r="DW63" s="2566"/>
      <c r="DX63" s="2566"/>
      <c r="DY63" s="2566"/>
      <c r="DZ63" s="2566"/>
      <c r="EA63" s="2566"/>
      <c r="EB63" s="2566"/>
      <c r="EC63" s="2566"/>
      <c r="ED63" s="2566"/>
      <c r="EE63" s="2566"/>
      <c r="EF63" s="2566"/>
      <c r="EG63" s="2566"/>
      <c r="EH63" s="2566"/>
      <c r="EI63" s="2566"/>
      <c r="EJ63" s="2566"/>
      <c r="EK63" s="2566"/>
      <c r="EL63" s="2566"/>
      <c r="EM63" s="2566"/>
      <c r="EN63" s="2566"/>
      <c r="EO63" s="2566"/>
      <c r="EP63" s="2566"/>
      <c r="EQ63" s="2566"/>
      <c r="ER63" s="2566"/>
      <c r="ES63" s="2566"/>
      <c r="ET63" s="2566"/>
      <c r="EU63" s="2566"/>
      <c r="EV63" s="2566"/>
      <c r="EW63" s="2566"/>
      <c r="EX63" s="2566"/>
      <c r="EY63" s="2566"/>
      <c r="EZ63" s="2566"/>
      <c r="FA63" s="2566"/>
      <c r="FB63" s="2566"/>
      <c r="FC63" s="2566"/>
      <c r="FD63" s="2566"/>
      <c r="FE63" s="2566"/>
      <c r="FF63" s="2566"/>
      <c r="FG63" s="2566"/>
      <c r="FH63" s="2566"/>
      <c r="FI63" s="2566"/>
      <c r="FJ63" s="2566"/>
      <c r="FK63" s="2566"/>
      <c r="FL63" s="2566"/>
      <c r="FM63" s="2566"/>
      <c r="FN63" s="2566"/>
      <c r="FO63" s="2566"/>
      <c r="FP63" s="2566"/>
      <c r="FQ63" s="2566"/>
      <c r="FR63" s="2566"/>
      <c r="FS63" s="2566"/>
      <c r="FT63" s="2566"/>
      <c r="FU63" s="2566"/>
      <c r="FV63" s="2566"/>
      <c r="FW63" s="2566"/>
      <c r="FX63" s="2566"/>
      <c r="FY63" s="2566"/>
      <c r="FZ63" s="2566"/>
      <c r="GA63" s="2566"/>
      <c r="GB63" s="2566"/>
      <c r="GC63" s="2566"/>
      <c r="GD63" s="2566"/>
      <c r="GE63" s="2566"/>
      <c r="GF63" s="2566"/>
      <c r="GG63" s="2566"/>
      <c r="GH63" s="2566"/>
      <c r="GI63" s="2566"/>
      <c r="GJ63" s="2566"/>
      <c r="GK63" s="2566"/>
      <c r="GL63" s="2566"/>
      <c r="GM63" s="2566"/>
      <c r="GN63" s="2566"/>
      <c r="GO63" s="2566"/>
      <c r="GP63" s="2566"/>
      <c r="GQ63" s="2566"/>
      <c r="GR63" s="2566"/>
      <c r="GS63" s="2566"/>
      <c r="GT63" s="2566"/>
      <c r="GU63" s="2566"/>
      <c r="GV63" s="2566"/>
      <c r="GW63" s="2566"/>
      <c r="GX63" s="2566"/>
      <c r="GY63" s="2566"/>
      <c r="GZ63" s="2566"/>
      <c r="HA63" s="2566"/>
      <c r="HB63" s="2566"/>
      <c r="HC63" s="2566"/>
      <c r="HD63" s="2566"/>
      <c r="HE63" s="2566"/>
      <c r="HF63" s="2566"/>
      <c r="HG63" s="2566"/>
      <c r="HH63" s="2566"/>
      <c r="HI63" s="2566"/>
      <c r="HJ63" s="2566"/>
      <c r="HK63" s="2566"/>
      <c r="HL63" s="2566"/>
      <c r="HM63" s="2566"/>
      <c r="HN63" s="2566"/>
      <c r="HO63" s="2566"/>
      <c r="HP63" s="2566"/>
      <c r="HQ63" s="2566"/>
      <c r="HR63" s="2566"/>
      <c r="HS63" s="2566"/>
      <c r="HT63" s="2566"/>
      <c r="HU63" s="2566"/>
      <c r="HV63" s="2566"/>
      <c r="HW63" s="2566"/>
      <c r="HX63" s="2566"/>
      <c r="HY63" s="2566"/>
      <c r="HZ63" s="2566"/>
      <c r="IA63" s="2566"/>
      <c r="IB63" s="2566"/>
      <c r="IC63" s="2566"/>
      <c r="ID63" s="2566"/>
      <c r="IE63" s="2566"/>
      <c r="IF63" s="2566"/>
      <c r="IG63" s="2566"/>
      <c r="IH63" s="2566"/>
      <c r="II63" s="2566"/>
      <c r="IJ63" s="2566"/>
      <c r="IK63" s="2566"/>
      <c r="IL63" s="2566"/>
      <c r="IM63" s="2566"/>
      <c r="IN63" s="2566"/>
      <c r="IO63" s="2566"/>
      <c r="IP63" s="2566"/>
      <c r="IQ63" s="2566"/>
      <c r="IR63" s="2566"/>
      <c r="IS63" s="2566"/>
      <c r="IT63" s="2566"/>
      <c r="IU63" s="2566"/>
      <c r="IV63" s="2566"/>
      <c r="IW63" s="2566"/>
      <c r="IX63" s="2566"/>
      <c r="IY63" s="2566"/>
      <c r="IZ63" s="2566"/>
      <c r="JA63" s="2566"/>
      <c r="JB63" s="2566"/>
      <c r="JC63" s="2566"/>
      <c r="JD63" s="2566"/>
      <c r="JE63" s="2566"/>
      <c r="JF63" s="2566"/>
      <c r="JG63" s="2566"/>
      <c r="JH63" s="2566"/>
      <c r="JI63" s="2566"/>
      <c r="JJ63" s="2566"/>
      <c r="JK63" s="2566"/>
      <c r="JL63" s="2566"/>
      <c r="JM63" s="2566"/>
      <c r="JN63" s="2566"/>
      <c r="JO63" s="2566"/>
      <c r="JP63" s="2566"/>
      <c r="JQ63" s="2566"/>
      <c r="JR63" s="2566"/>
      <c r="JS63" s="2566"/>
      <c r="JT63" s="2566"/>
      <c r="JU63" s="2566"/>
      <c r="JV63" s="2566"/>
      <c r="JW63" s="2566"/>
      <c r="JX63" s="2566"/>
      <c r="JY63" s="2566"/>
      <c r="JZ63" s="2566"/>
      <c r="KA63" s="2566"/>
      <c r="KB63" s="2566"/>
      <c r="KC63" s="2566"/>
      <c r="KD63" s="2566"/>
      <c r="KE63" s="2566"/>
      <c r="KF63" s="2566"/>
      <c r="KG63" s="2566"/>
      <c r="KH63" s="2566"/>
      <c r="KI63" s="2566"/>
      <c r="KJ63" s="2566"/>
      <c r="KK63" s="2566"/>
      <c r="KL63" s="2566"/>
      <c r="KM63" s="2566"/>
      <c r="KN63" s="2566"/>
      <c r="KO63" s="2566"/>
      <c r="KP63" s="2566"/>
      <c r="KQ63" s="2566"/>
      <c r="KR63" s="2566"/>
      <c r="KS63" s="2566"/>
      <c r="KT63" s="2566"/>
      <c r="KU63" s="2566"/>
      <c r="KV63" s="2566"/>
      <c r="KW63" s="2566"/>
      <c r="KX63" s="2566"/>
      <c r="KY63" s="2566"/>
      <c r="KZ63" s="2566"/>
      <c r="LA63" s="2566"/>
      <c r="LB63" s="2566"/>
      <c r="LC63" s="2566"/>
      <c r="LD63" s="2566"/>
      <c r="LE63" s="2566"/>
      <c r="LF63" s="2566"/>
      <c r="LG63" s="2566"/>
      <c r="LH63" s="2566"/>
      <c r="LI63" s="2566"/>
      <c r="LJ63" s="2566"/>
      <c r="LK63" s="2566"/>
      <c r="LL63" s="2566"/>
      <c r="LM63" s="2566"/>
      <c r="LN63" s="2566"/>
      <c r="LO63" s="2566"/>
      <c r="LP63" s="2566"/>
      <c r="LQ63" s="2566"/>
      <c r="LR63" s="2566"/>
      <c r="LS63" s="2566"/>
      <c r="LT63" s="2566"/>
      <c r="LU63" s="2566"/>
      <c r="LV63" s="2566"/>
      <c r="LW63" s="2566"/>
      <c r="LX63" s="2566"/>
      <c r="LY63" s="2566"/>
      <c r="LZ63" s="2566"/>
      <c r="MA63" s="2566"/>
      <c r="MB63" s="2566"/>
    </row>
    <row r="64" spans="1:340" ht="23.45" customHeight="1">
      <c r="A64" s="475"/>
      <c r="B64" s="335"/>
      <c r="C64" s="1792" t="s">
        <v>3320</v>
      </c>
      <c r="D64" s="1793"/>
      <c r="E64" s="1794"/>
      <c r="F64" s="764">
        <f>+F65+F83+F99+F117</f>
        <v>825000</v>
      </c>
      <c r="G64" s="764">
        <f>+G65+G83+G99+G117</f>
        <v>825000</v>
      </c>
      <c r="H64" s="764">
        <f>+H65+H83+H99+H117</f>
        <v>0</v>
      </c>
      <c r="J64" s="1795"/>
      <c r="K64" s="1796"/>
      <c r="L64" s="1796"/>
      <c r="M64" s="1796"/>
      <c r="N64" s="1796"/>
      <c r="O64" s="1796"/>
      <c r="P64" s="1797"/>
      <c r="Q64" s="1797"/>
      <c r="R64" s="1797"/>
      <c r="S64" s="1797"/>
      <c r="T64" s="1797"/>
      <c r="U64" s="1797"/>
      <c r="V64" s="1797"/>
      <c r="W64" s="1797"/>
      <c r="X64" s="1798"/>
      <c r="Y64" s="1799"/>
      <c r="Z64" s="1800"/>
      <c r="AB64" s="347"/>
      <c r="AC64" s="347"/>
      <c r="AD64" s="370"/>
    </row>
    <row r="65" spans="1:30" ht="23.45" customHeight="1">
      <c r="A65" s="475"/>
      <c r="B65" s="2530"/>
      <c r="C65" s="465"/>
      <c r="D65" s="3280" t="s">
        <v>3093</v>
      </c>
      <c r="E65" s="3281"/>
      <c r="F65" s="1229">
        <f>SUM(F66:F82)</f>
        <v>300000</v>
      </c>
      <c r="G65" s="1229">
        <f>SUM(G66:G82)</f>
        <v>300000</v>
      </c>
      <c r="H65" s="2478">
        <f t="shared" ref="H65" si="13">F65-G65</f>
        <v>0</v>
      </c>
      <c r="I65" s="2894"/>
      <c r="J65" s="889"/>
      <c r="K65" s="2912"/>
      <c r="L65" s="2912"/>
      <c r="M65" s="2912"/>
      <c r="N65" s="2912"/>
      <c r="O65" s="2912"/>
      <c r="P65" s="2640"/>
      <c r="Q65" s="2640"/>
      <c r="R65" s="732"/>
      <c r="S65" s="732"/>
      <c r="T65" s="732"/>
      <c r="U65" s="2640"/>
      <c r="V65" s="732"/>
      <c r="W65" s="732"/>
      <c r="X65" s="891"/>
      <c r="Y65" s="704"/>
      <c r="Z65" s="696"/>
      <c r="AB65" s="347"/>
      <c r="AC65" s="347"/>
      <c r="AD65" s="370"/>
    </row>
    <row r="66" spans="1:30" ht="23.45" customHeight="1">
      <c r="A66" s="475"/>
      <c r="B66" s="2530"/>
      <c r="C66" s="465"/>
      <c r="D66" s="2965"/>
      <c r="E66" s="510" t="s">
        <v>59</v>
      </c>
      <c r="F66" s="714">
        <f t="shared" ref="F66:F71" si="14">Y66</f>
        <v>9000</v>
      </c>
      <c r="G66" s="714">
        <v>9000</v>
      </c>
      <c r="H66" s="723"/>
      <c r="I66" s="2894"/>
      <c r="J66" s="514" t="s">
        <v>3094</v>
      </c>
      <c r="K66" s="516"/>
      <c r="L66" s="2880"/>
      <c r="M66" s="2880"/>
      <c r="N66" s="635"/>
      <c r="O66" s="2880"/>
      <c r="P66" s="2880"/>
      <c r="Q66" s="516">
        <v>30</v>
      </c>
      <c r="R66" s="1187" t="s">
        <v>33</v>
      </c>
      <c r="S66" s="1686">
        <v>100000</v>
      </c>
      <c r="T66" s="516" t="s">
        <v>0</v>
      </c>
      <c r="U66" s="516"/>
      <c r="V66" s="516">
        <v>3</v>
      </c>
      <c r="W66" s="516" t="s">
        <v>1072</v>
      </c>
      <c r="X66" s="517" t="s">
        <v>1</v>
      </c>
      <c r="Y66" s="636">
        <f>Z66/1000</f>
        <v>9000</v>
      </c>
      <c r="Z66" s="532">
        <f>Q66*S66*V66</f>
        <v>9000000</v>
      </c>
      <c r="AB66" s="347"/>
      <c r="AC66" s="347"/>
      <c r="AD66" s="370"/>
    </row>
    <row r="67" spans="1:30" ht="23.45" customHeight="1">
      <c r="A67" s="475"/>
      <c r="B67" s="2530"/>
      <c r="C67" s="465"/>
      <c r="D67" s="2965"/>
      <c r="E67" s="2499" t="s">
        <v>1363</v>
      </c>
      <c r="F67" s="714">
        <f t="shared" si="14"/>
        <v>3000</v>
      </c>
      <c r="G67" s="1186">
        <v>3000</v>
      </c>
      <c r="H67" s="723"/>
      <c r="I67" s="2880"/>
      <c r="J67" s="514" t="s">
        <v>3095</v>
      </c>
      <c r="K67" s="516"/>
      <c r="L67" s="2880"/>
      <c r="M67" s="2880"/>
      <c r="N67" s="635"/>
      <c r="O67" s="2880"/>
      <c r="P67" s="2880"/>
      <c r="Q67" s="727"/>
      <c r="R67" s="2887"/>
      <c r="S67" s="1686">
        <v>1500000</v>
      </c>
      <c r="T67" s="516" t="s">
        <v>0</v>
      </c>
      <c r="U67" s="516"/>
      <c r="V67" s="516">
        <v>2</v>
      </c>
      <c r="W67" s="516" t="s">
        <v>463</v>
      </c>
      <c r="X67" s="517" t="s">
        <v>1</v>
      </c>
      <c r="Y67" s="636">
        <f>Z67/1000</f>
        <v>3000</v>
      </c>
      <c r="Z67" s="532">
        <f>S67*V67</f>
        <v>3000000</v>
      </c>
      <c r="AB67" s="347"/>
      <c r="AC67" s="347"/>
      <c r="AD67" s="370"/>
    </row>
    <row r="68" spans="1:30" ht="23.45" customHeight="1">
      <c r="A68" s="475"/>
      <c r="B68" s="2530"/>
      <c r="C68" s="465"/>
      <c r="D68" s="2965"/>
      <c r="E68" s="2499" t="s">
        <v>963</v>
      </c>
      <c r="F68" s="714">
        <f t="shared" si="14"/>
        <v>24000</v>
      </c>
      <c r="G68" s="1186">
        <v>24000</v>
      </c>
      <c r="H68" s="723"/>
      <c r="I68" s="2880"/>
      <c r="J68" s="514" t="s">
        <v>3096</v>
      </c>
      <c r="K68" s="516"/>
      <c r="L68" s="2880"/>
      <c r="M68" s="2880"/>
      <c r="N68" s="635"/>
      <c r="O68" s="2880"/>
      <c r="P68" s="2880"/>
      <c r="Q68" s="727"/>
      <c r="R68" s="2887"/>
      <c r="S68" s="1686">
        <v>6000000</v>
      </c>
      <c r="T68" s="516" t="s">
        <v>0</v>
      </c>
      <c r="U68" s="516"/>
      <c r="V68" s="516">
        <v>4</v>
      </c>
      <c r="W68" s="516" t="s">
        <v>463</v>
      </c>
      <c r="X68" s="517" t="s">
        <v>1</v>
      </c>
      <c r="Y68" s="636">
        <f>Z68/1000</f>
        <v>24000</v>
      </c>
      <c r="Z68" s="532">
        <f>S68*V68</f>
        <v>24000000</v>
      </c>
      <c r="AB68" s="347"/>
      <c r="AC68" s="347"/>
      <c r="AD68" s="370"/>
    </row>
    <row r="69" spans="1:30" ht="23.45" customHeight="1">
      <c r="A69" s="475"/>
      <c r="B69" s="2530"/>
      <c r="C69" s="465"/>
      <c r="D69" s="2965"/>
      <c r="E69" s="2499" t="s">
        <v>881</v>
      </c>
      <c r="F69" s="714">
        <f t="shared" si="14"/>
        <v>20000</v>
      </c>
      <c r="G69" s="1186">
        <v>20000</v>
      </c>
      <c r="H69" s="723"/>
      <c r="I69" s="2880"/>
      <c r="J69" s="514" t="s">
        <v>3097</v>
      </c>
      <c r="K69" s="516"/>
      <c r="L69" s="2880"/>
      <c r="M69" s="2880"/>
      <c r="N69" s="635"/>
      <c r="O69" s="2880"/>
      <c r="P69" s="2880"/>
      <c r="Q69" s="727"/>
      <c r="R69" s="2887"/>
      <c r="S69" s="1686">
        <v>5000000</v>
      </c>
      <c r="T69" s="516" t="s">
        <v>0</v>
      </c>
      <c r="U69" s="516"/>
      <c r="V69" s="516">
        <v>4</v>
      </c>
      <c r="W69" s="516" t="s">
        <v>570</v>
      </c>
      <c r="X69" s="517" t="s">
        <v>1</v>
      </c>
      <c r="Y69" s="636">
        <f>Z69/1000</f>
        <v>20000</v>
      </c>
      <c r="Z69" s="532">
        <f>S69*V69</f>
        <v>20000000</v>
      </c>
      <c r="AB69" s="347"/>
      <c r="AC69" s="347"/>
      <c r="AD69" s="370"/>
    </row>
    <row r="70" spans="1:30" ht="23.45" customHeight="1">
      <c r="A70" s="475"/>
      <c r="B70" s="2530"/>
      <c r="C70" s="465"/>
      <c r="D70" s="2965"/>
      <c r="E70" s="2499" t="s">
        <v>571</v>
      </c>
      <c r="F70" s="714">
        <f t="shared" si="14"/>
        <v>18000</v>
      </c>
      <c r="G70" s="1186">
        <v>18000</v>
      </c>
      <c r="H70" s="723"/>
      <c r="I70" s="2880"/>
      <c r="J70" s="514" t="s">
        <v>3099</v>
      </c>
      <c r="K70" s="516"/>
      <c r="L70" s="2880"/>
      <c r="M70" s="2880"/>
      <c r="N70" s="635"/>
      <c r="O70" s="2880"/>
      <c r="P70" s="2880"/>
      <c r="Q70" s="516">
        <v>30</v>
      </c>
      <c r="R70" s="1187" t="s">
        <v>33</v>
      </c>
      <c r="S70" s="1686">
        <v>200000</v>
      </c>
      <c r="T70" s="516" t="s">
        <v>0</v>
      </c>
      <c r="U70" s="516"/>
      <c r="V70" s="516">
        <v>3</v>
      </c>
      <c r="W70" s="516" t="s">
        <v>1072</v>
      </c>
      <c r="X70" s="517" t="s">
        <v>1</v>
      </c>
      <c r="Y70" s="636">
        <f>Z70/1000</f>
        <v>18000</v>
      </c>
      <c r="Z70" s="532">
        <f>Q70*S70*V70</f>
        <v>18000000</v>
      </c>
      <c r="AB70" s="347"/>
      <c r="AC70" s="347"/>
      <c r="AD70" s="370"/>
    </row>
    <row r="71" spans="1:30" ht="23.45" customHeight="1">
      <c r="A71" s="475"/>
      <c r="B71" s="2530"/>
      <c r="C71" s="465"/>
      <c r="D71" s="2965"/>
      <c r="E71" s="2499" t="s">
        <v>631</v>
      </c>
      <c r="F71" s="714">
        <f t="shared" si="14"/>
        <v>67500</v>
      </c>
      <c r="G71" s="1186">
        <v>71500</v>
      </c>
      <c r="H71" s="723">
        <f>F71-G71</f>
        <v>-4000</v>
      </c>
      <c r="I71" s="2880"/>
      <c r="J71" s="514" t="s">
        <v>895</v>
      </c>
      <c r="K71" s="516"/>
      <c r="L71" s="2880"/>
      <c r="M71" s="2880"/>
      <c r="N71" s="635"/>
      <c r="O71" s="2880"/>
      <c r="P71" s="2880"/>
      <c r="Q71" s="727"/>
      <c r="R71" s="2887"/>
      <c r="S71" s="1686"/>
      <c r="T71" s="516"/>
      <c r="U71" s="516"/>
      <c r="V71" s="516"/>
      <c r="W71" s="516"/>
      <c r="X71" s="517"/>
      <c r="Y71" s="636">
        <f t="shared" ref="Y71:Y82" si="15">Z71/1000</f>
        <v>67500</v>
      </c>
      <c r="Z71" s="532">
        <f>+Z72+Z73+Z74</f>
        <v>67500000</v>
      </c>
      <c r="AB71" s="347"/>
      <c r="AC71" s="347"/>
      <c r="AD71" s="370"/>
    </row>
    <row r="72" spans="1:30" s="1835" customFormat="1" ht="23.45" customHeight="1">
      <c r="A72" s="1290"/>
      <c r="B72" s="1189"/>
      <c r="C72" s="413"/>
      <c r="D72" s="509"/>
      <c r="E72" s="510"/>
      <c r="F72" s="1185"/>
      <c r="G72" s="1185"/>
      <c r="H72" s="634"/>
      <c r="I72" s="2880"/>
      <c r="J72" s="514" t="s">
        <v>3101</v>
      </c>
      <c r="K72" s="2880"/>
      <c r="L72" s="2880"/>
      <c r="M72" s="2880"/>
      <c r="N72" s="2880"/>
      <c r="O72" s="2880"/>
      <c r="P72" s="2880"/>
      <c r="Q72" s="727"/>
      <c r="R72" s="2887"/>
      <c r="S72" s="1686">
        <v>13500000</v>
      </c>
      <c r="T72" s="516" t="s">
        <v>0</v>
      </c>
      <c r="U72" s="516"/>
      <c r="V72" s="516">
        <v>1</v>
      </c>
      <c r="W72" s="516" t="s">
        <v>463</v>
      </c>
      <c r="X72" s="517" t="s">
        <v>1</v>
      </c>
      <c r="Y72" s="636">
        <f t="shared" si="15"/>
        <v>13500</v>
      </c>
      <c r="Z72" s="532">
        <f>S72*V72</f>
        <v>13500000</v>
      </c>
      <c r="AA72" s="1143"/>
      <c r="AB72" s="347"/>
      <c r="AC72" s="347"/>
      <c r="AD72" s="370"/>
    </row>
    <row r="73" spans="1:30" s="1835" customFormat="1" ht="23.45" customHeight="1">
      <c r="A73" s="1290"/>
      <c r="B73" s="1189"/>
      <c r="C73" s="413"/>
      <c r="D73" s="509"/>
      <c r="E73" s="510"/>
      <c r="F73" s="1185"/>
      <c r="G73" s="1185"/>
      <c r="H73" s="634"/>
      <c r="I73" s="2880"/>
      <c r="J73" s="514" t="s">
        <v>3102</v>
      </c>
      <c r="K73" s="2880"/>
      <c r="L73" s="2880"/>
      <c r="M73" s="2880"/>
      <c r="N73" s="2880"/>
      <c r="O73" s="2880"/>
      <c r="P73" s="2880"/>
      <c r="Q73" s="727"/>
      <c r="R73" s="2887"/>
      <c r="S73" s="1686">
        <v>4000000</v>
      </c>
      <c r="T73" s="516" t="s">
        <v>458</v>
      </c>
      <c r="U73" s="516"/>
      <c r="V73" s="516">
        <v>6</v>
      </c>
      <c r="W73" s="516" t="s">
        <v>616</v>
      </c>
      <c r="X73" s="517" t="s">
        <v>465</v>
      </c>
      <c r="Y73" s="636">
        <f t="shared" si="15"/>
        <v>24000</v>
      </c>
      <c r="Z73" s="532">
        <f>S73*V73</f>
        <v>24000000</v>
      </c>
      <c r="AA73" s="1143"/>
      <c r="AB73" s="347"/>
      <c r="AC73" s="347"/>
      <c r="AD73" s="370"/>
    </row>
    <row r="74" spans="1:30" s="1835" customFormat="1" ht="23.45" customHeight="1">
      <c r="A74" s="1290"/>
      <c r="B74" s="1189"/>
      <c r="C74" s="413"/>
      <c r="D74" s="509"/>
      <c r="E74" s="510"/>
      <c r="F74" s="1185"/>
      <c r="G74" s="1185"/>
      <c r="H74" s="634"/>
      <c r="I74" s="2880"/>
      <c r="J74" s="514" t="s">
        <v>3103</v>
      </c>
      <c r="K74" s="2880"/>
      <c r="L74" s="2880"/>
      <c r="M74" s="2880"/>
      <c r="N74" s="2880"/>
      <c r="O74" s="2880"/>
      <c r="P74" s="2880"/>
      <c r="Q74" s="727"/>
      <c r="R74" s="2887"/>
      <c r="S74" s="1686">
        <v>15000000</v>
      </c>
      <c r="T74" s="516" t="s">
        <v>458</v>
      </c>
      <c r="U74" s="516"/>
      <c r="V74" s="516">
        <v>2</v>
      </c>
      <c r="W74" s="516" t="s">
        <v>616</v>
      </c>
      <c r="X74" s="517" t="s">
        <v>465</v>
      </c>
      <c r="Y74" s="636">
        <f t="shared" si="15"/>
        <v>30000</v>
      </c>
      <c r="Z74" s="532">
        <f>S74*V74</f>
        <v>30000000</v>
      </c>
      <c r="AA74" s="1143"/>
      <c r="AB74" s="347"/>
      <c r="AC74" s="347"/>
      <c r="AD74" s="370"/>
    </row>
    <row r="75" spans="1:30" ht="23.45" customHeight="1">
      <c r="A75" s="475"/>
      <c r="B75" s="2530"/>
      <c r="C75" s="465"/>
      <c r="D75" s="2965"/>
      <c r="E75" s="2499" t="s">
        <v>1059</v>
      </c>
      <c r="F75" s="714">
        <f>Y75</f>
        <v>3500</v>
      </c>
      <c r="G75" s="1186">
        <v>3500</v>
      </c>
      <c r="H75" s="723"/>
      <c r="I75" s="2880"/>
      <c r="J75" s="514" t="s">
        <v>3104</v>
      </c>
      <c r="K75" s="516"/>
      <c r="L75" s="2880"/>
      <c r="M75" s="2880"/>
      <c r="N75" s="635"/>
      <c r="O75" s="2880"/>
      <c r="P75" s="2880"/>
      <c r="Q75" s="727"/>
      <c r="R75" s="2887"/>
      <c r="S75" s="1686">
        <v>500000</v>
      </c>
      <c r="T75" s="516" t="s">
        <v>0</v>
      </c>
      <c r="U75" s="516"/>
      <c r="V75" s="516">
        <v>7</v>
      </c>
      <c r="W75" s="516" t="s">
        <v>463</v>
      </c>
      <c r="X75" s="517" t="s">
        <v>1</v>
      </c>
      <c r="Y75" s="636">
        <f t="shared" si="15"/>
        <v>3500</v>
      </c>
      <c r="Z75" s="532">
        <f>S75*V75</f>
        <v>3500000</v>
      </c>
      <c r="AB75" s="347"/>
      <c r="AC75" s="347"/>
      <c r="AD75" s="370"/>
    </row>
    <row r="76" spans="1:30" ht="23.45" customHeight="1">
      <c r="A76" s="475"/>
      <c r="B76" s="2530"/>
      <c r="C76" s="465"/>
      <c r="D76" s="2965"/>
      <c r="E76" s="2499" t="s">
        <v>1720</v>
      </c>
      <c r="F76" s="714">
        <f>Y76</f>
        <v>120000</v>
      </c>
      <c r="G76" s="1186">
        <v>120000</v>
      </c>
      <c r="H76" s="723"/>
      <c r="I76" s="2880"/>
      <c r="J76" s="514" t="s">
        <v>895</v>
      </c>
      <c r="K76" s="516"/>
      <c r="L76" s="2880"/>
      <c r="M76" s="2880"/>
      <c r="N76" s="635"/>
      <c r="O76" s="2880"/>
      <c r="P76" s="2880"/>
      <c r="Q76" s="727"/>
      <c r="R76" s="2887"/>
      <c r="S76" s="1686"/>
      <c r="T76" s="516"/>
      <c r="U76" s="516"/>
      <c r="V76" s="516"/>
      <c r="W76" s="516"/>
      <c r="X76" s="517"/>
      <c r="Y76" s="636">
        <f t="shared" si="15"/>
        <v>120000</v>
      </c>
      <c r="Z76" s="532">
        <f>+Z77+Z78</f>
        <v>120000000</v>
      </c>
      <c r="AB76" s="347"/>
      <c r="AC76" s="347"/>
      <c r="AD76" s="370"/>
    </row>
    <row r="77" spans="1:30" s="1835" customFormat="1" ht="23.45" customHeight="1">
      <c r="A77" s="1290"/>
      <c r="B77" s="1189"/>
      <c r="C77" s="413"/>
      <c r="D77" s="509"/>
      <c r="E77" s="510"/>
      <c r="F77" s="1185"/>
      <c r="G77" s="1185"/>
      <c r="H77" s="634"/>
      <c r="I77" s="2880"/>
      <c r="J77" s="514" t="s">
        <v>3105</v>
      </c>
      <c r="K77" s="2880"/>
      <c r="L77" s="2880"/>
      <c r="M77" s="2880"/>
      <c r="N77" s="2880"/>
      <c r="O77" s="2880"/>
      <c r="P77" s="2880"/>
      <c r="Q77" s="727"/>
      <c r="R77" s="2887"/>
      <c r="S77" s="1686">
        <v>30000000</v>
      </c>
      <c r="T77" s="516" t="s">
        <v>0</v>
      </c>
      <c r="U77" s="516"/>
      <c r="V77" s="516">
        <v>3</v>
      </c>
      <c r="W77" s="516" t="s">
        <v>616</v>
      </c>
      <c r="X77" s="517" t="s">
        <v>1</v>
      </c>
      <c r="Y77" s="636">
        <f t="shared" si="15"/>
        <v>90000</v>
      </c>
      <c r="Z77" s="532">
        <f>S77*V77</f>
        <v>90000000</v>
      </c>
      <c r="AA77" s="1143"/>
      <c r="AB77" s="347"/>
      <c r="AC77" s="347"/>
      <c r="AD77" s="370"/>
    </row>
    <row r="78" spans="1:30" s="1835" customFormat="1" ht="23.45" customHeight="1">
      <c r="A78" s="1290"/>
      <c r="B78" s="1189"/>
      <c r="C78" s="413"/>
      <c r="D78" s="509"/>
      <c r="E78" s="510"/>
      <c r="F78" s="1185"/>
      <c r="G78" s="1185"/>
      <c r="H78" s="634"/>
      <c r="I78" s="2880"/>
      <c r="J78" s="514" t="s">
        <v>3106</v>
      </c>
      <c r="K78" s="2880"/>
      <c r="L78" s="2880"/>
      <c r="M78" s="2880"/>
      <c r="N78" s="2880"/>
      <c r="O78" s="2880"/>
      <c r="P78" s="2880"/>
      <c r="Q78" s="727"/>
      <c r="R78" s="2887"/>
      <c r="S78" s="1686">
        <v>30000000</v>
      </c>
      <c r="T78" s="516" t="s">
        <v>458</v>
      </c>
      <c r="U78" s="516"/>
      <c r="V78" s="516">
        <v>1</v>
      </c>
      <c r="W78" s="516" t="s">
        <v>616</v>
      </c>
      <c r="X78" s="517" t="s">
        <v>465</v>
      </c>
      <c r="Y78" s="636">
        <f t="shared" si="15"/>
        <v>30000</v>
      </c>
      <c r="Z78" s="532">
        <f>S78*V78</f>
        <v>30000000</v>
      </c>
      <c r="AA78" s="1143"/>
      <c r="AB78" s="347"/>
      <c r="AC78" s="347"/>
      <c r="AD78" s="370"/>
    </row>
    <row r="79" spans="1:30" ht="23.45" customHeight="1">
      <c r="A79" s="475"/>
      <c r="B79" s="2530"/>
      <c r="C79" s="465"/>
      <c r="D79" s="2965"/>
      <c r="E79" s="2499" t="s">
        <v>602</v>
      </c>
      <c r="F79" s="714">
        <f>Y79</f>
        <v>34000</v>
      </c>
      <c r="G79" s="1186">
        <v>30000</v>
      </c>
      <c r="H79" s="723">
        <f>F79-G79</f>
        <v>4000</v>
      </c>
      <c r="I79" s="2880"/>
      <c r="J79" s="514" t="s">
        <v>895</v>
      </c>
      <c r="K79" s="516"/>
      <c r="L79" s="2880"/>
      <c r="M79" s="2880"/>
      <c r="N79" s="635"/>
      <c r="O79" s="2880"/>
      <c r="P79" s="2880"/>
      <c r="Q79" s="727"/>
      <c r="R79" s="2887"/>
      <c r="S79" s="1686"/>
      <c r="T79" s="516"/>
      <c r="U79" s="516"/>
      <c r="V79" s="516"/>
      <c r="W79" s="516"/>
      <c r="X79" s="517"/>
      <c r="Y79" s="636">
        <f t="shared" si="15"/>
        <v>34000</v>
      </c>
      <c r="Z79" s="532">
        <f>+Z80+Z81</f>
        <v>34000000</v>
      </c>
      <c r="AB79" s="347"/>
      <c r="AC79" s="347"/>
      <c r="AD79" s="370"/>
    </row>
    <row r="80" spans="1:30" s="1835" customFormat="1" ht="23.45" customHeight="1">
      <c r="A80" s="1290"/>
      <c r="B80" s="1189"/>
      <c r="C80" s="413"/>
      <c r="D80" s="509"/>
      <c r="E80" s="510"/>
      <c r="F80" s="1185"/>
      <c r="G80" s="1185"/>
      <c r="H80" s="634"/>
      <c r="I80" s="2880"/>
      <c r="J80" s="514" t="s">
        <v>3107</v>
      </c>
      <c r="K80" s="2880"/>
      <c r="L80" s="2880"/>
      <c r="M80" s="2880"/>
      <c r="N80" s="2880"/>
      <c r="O80" s="2880"/>
      <c r="P80" s="2880"/>
      <c r="Q80" s="727"/>
      <c r="R80" s="2887"/>
      <c r="S80" s="1686">
        <v>26000000</v>
      </c>
      <c r="T80" s="516" t="s">
        <v>0</v>
      </c>
      <c r="U80" s="516"/>
      <c r="V80" s="516">
        <v>1</v>
      </c>
      <c r="W80" s="516" t="s">
        <v>463</v>
      </c>
      <c r="X80" s="517" t="s">
        <v>1</v>
      </c>
      <c r="Y80" s="636">
        <f t="shared" si="15"/>
        <v>26000</v>
      </c>
      <c r="Z80" s="532">
        <f>S80*V80</f>
        <v>26000000</v>
      </c>
      <c r="AA80" s="1143"/>
      <c r="AB80" s="347"/>
      <c r="AC80" s="347"/>
      <c r="AD80" s="370"/>
    </row>
    <row r="81" spans="1:30" s="1835" customFormat="1" ht="23.45" customHeight="1">
      <c r="A81" s="1290"/>
      <c r="B81" s="1189"/>
      <c r="C81" s="413"/>
      <c r="D81" s="509"/>
      <c r="E81" s="510"/>
      <c r="F81" s="1185"/>
      <c r="G81" s="1185"/>
      <c r="H81" s="634"/>
      <c r="I81" s="2880"/>
      <c r="J81" s="514" t="s">
        <v>3108</v>
      </c>
      <c r="K81" s="2880"/>
      <c r="L81" s="2880"/>
      <c r="M81" s="2880"/>
      <c r="N81" s="2880"/>
      <c r="O81" s="2880"/>
      <c r="P81" s="2880"/>
      <c r="Q81" s="516">
        <v>200</v>
      </c>
      <c r="R81" s="1187" t="s">
        <v>33</v>
      </c>
      <c r="S81" s="1686">
        <v>20000</v>
      </c>
      <c r="T81" s="516" t="s">
        <v>458</v>
      </c>
      <c r="U81" s="516"/>
      <c r="V81" s="516">
        <v>2</v>
      </c>
      <c r="W81" s="516" t="s">
        <v>1072</v>
      </c>
      <c r="X81" s="517" t="s">
        <v>465</v>
      </c>
      <c r="Y81" s="636">
        <f t="shared" si="15"/>
        <v>8000</v>
      </c>
      <c r="Z81" s="532">
        <f>Q81*S81*V81</f>
        <v>8000000</v>
      </c>
      <c r="AA81" s="1143"/>
      <c r="AB81" s="347"/>
      <c r="AC81" s="347"/>
      <c r="AD81" s="370"/>
    </row>
    <row r="82" spans="1:30" ht="23.45" customHeight="1">
      <c r="A82" s="475"/>
      <c r="B82" s="2530"/>
      <c r="C82" s="465"/>
      <c r="D82" s="2965"/>
      <c r="E82" s="2499" t="s">
        <v>632</v>
      </c>
      <c r="F82" s="714">
        <f>Y82</f>
        <v>1000</v>
      </c>
      <c r="G82" s="1186">
        <v>1000</v>
      </c>
      <c r="H82" s="723"/>
      <c r="I82" s="2880"/>
      <c r="J82" s="514" t="s">
        <v>3109</v>
      </c>
      <c r="K82" s="516"/>
      <c r="L82" s="2880"/>
      <c r="M82" s="2880"/>
      <c r="N82" s="635"/>
      <c r="O82" s="2880"/>
      <c r="P82" s="2880"/>
      <c r="Q82" s="516">
        <v>10</v>
      </c>
      <c r="R82" s="1187" t="s">
        <v>33</v>
      </c>
      <c r="S82" s="1686">
        <v>20000</v>
      </c>
      <c r="T82" s="516" t="s">
        <v>0</v>
      </c>
      <c r="U82" s="516"/>
      <c r="V82" s="516">
        <v>5</v>
      </c>
      <c r="W82" s="516" t="s">
        <v>616</v>
      </c>
      <c r="X82" s="517" t="s">
        <v>1</v>
      </c>
      <c r="Y82" s="636">
        <f t="shared" si="15"/>
        <v>1000</v>
      </c>
      <c r="Z82" s="532">
        <f>Q82*S82*V82</f>
        <v>1000000</v>
      </c>
      <c r="AB82" s="347"/>
      <c r="AC82" s="347"/>
      <c r="AD82" s="370"/>
    </row>
    <row r="83" spans="1:30" ht="21.4" customHeight="1">
      <c r="A83" s="475"/>
      <c r="B83" s="2530"/>
      <c r="C83" s="465"/>
      <c r="D83" s="3266" t="s">
        <v>3110</v>
      </c>
      <c r="E83" s="3267"/>
      <c r="F83" s="429">
        <f>SUM(F84:F98)</f>
        <v>300000</v>
      </c>
      <c r="G83" s="429">
        <f>SUM(G84:G98)</f>
        <v>300000</v>
      </c>
      <c r="H83" s="468">
        <f>F83-G83</f>
        <v>0</v>
      </c>
      <c r="J83" s="1135"/>
      <c r="K83" s="2525"/>
      <c r="L83" s="2525"/>
      <c r="M83" s="2525"/>
      <c r="N83" s="2525"/>
      <c r="O83" s="2525"/>
      <c r="P83" s="2531"/>
      <c r="Q83" s="2531"/>
      <c r="R83" s="1136"/>
      <c r="S83" s="1136"/>
      <c r="T83" s="1136"/>
      <c r="U83" s="2531"/>
      <c r="V83" s="1136"/>
      <c r="W83" s="1136"/>
      <c r="X83" s="1138"/>
      <c r="Y83" s="377"/>
      <c r="Z83" s="503"/>
      <c r="AB83" s="347"/>
      <c r="AC83" s="347"/>
      <c r="AD83" s="370"/>
    </row>
    <row r="84" spans="1:30" s="2534" customFormat="1" ht="21.4" customHeight="1">
      <c r="A84" s="396"/>
      <c r="B84" s="2540"/>
      <c r="C84" s="413"/>
      <c r="D84" s="433"/>
      <c r="E84" s="542" t="s">
        <v>51</v>
      </c>
      <c r="F84" s="383">
        <f>Y84</f>
        <v>50000</v>
      </c>
      <c r="G84" s="1116">
        <v>50000</v>
      </c>
      <c r="H84" s="482"/>
      <c r="J84" s="2538" t="s">
        <v>3076</v>
      </c>
      <c r="K84" s="2539"/>
      <c r="Q84" s="408"/>
      <c r="R84" s="2533"/>
      <c r="S84" s="1672"/>
      <c r="T84" s="2539"/>
      <c r="U84" s="2539"/>
      <c r="V84" s="2539"/>
      <c r="W84" s="2539"/>
      <c r="X84" s="1140"/>
      <c r="Y84" s="1674">
        <f t="shared" ref="Y84:Y89" si="16">Z84/1000</f>
        <v>50000</v>
      </c>
      <c r="Z84" s="407">
        <f>+Z85+Z86</f>
        <v>50000000</v>
      </c>
      <c r="AA84" s="401"/>
      <c r="AB84" s="347"/>
      <c r="AC84" s="347"/>
      <c r="AD84" s="370"/>
    </row>
    <row r="85" spans="1:30" s="2534" customFormat="1" ht="21.4" customHeight="1">
      <c r="A85" s="396"/>
      <c r="B85" s="2540"/>
      <c r="C85" s="413"/>
      <c r="D85" s="433"/>
      <c r="E85" s="542"/>
      <c r="F85" s="383"/>
      <c r="G85" s="1116"/>
      <c r="H85" s="482"/>
      <c r="J85" s="2663" t="s">
        <v>4649</v>
      </c>
      <c r="K85" s="2539"/>
      <c r="Q85" s="408"/>
      <c r="R85" s="2533"/>
      <c r="S85" s="1672">
        <v>10000000</v>
      </c>
      <c r="T85" s="2539" t="s">
        <v>0</v>
      </c>
      <c r="U85" s="2539"/>
      <c r="V85" s="2539">
        <v>2</v>
      </c>
      <c r="W85" s="2539" t="s">
        <v>3</v>
      </c>
      <c r="X85" s="1140" t="s">
        <v>1</v>
      </c>
      <c r="Y85" s="1674">
        <f t="shared" si="16"/>
        <v>20000</v>
      </c>
      <c r="Z85" s="407">
        <f>S85*V85</f>
        <v>20000000</v>
      </c>
      <c r="AA85" s="401"/>
      <c r="AB85" s="347"/>
      <c r="AC85" s="347"/>
      <c r="AD85" s="370"/>
    </row>
    <row r="86" spans="1:30" s="2534" customFormat="1" ht="21.4" customHeight="1">
      <c r="A86" s="396"/>
      <c r="B86" s="2540"/>
      <c r="C86" s="413"/>
      <c r="D86" s="433"/>
      <c r="E86" s="542"/>
      <c r="F86" s="383"/>
      <c r="G86" s="1116"/>
      <c r="H86" s="482"/>
      <c r="J86" s="2663" t="s">
        <v>4650</v>
      </c>
      <c r="K86" s="2539"/>
      <c r="Q86" s="408"/>
      <c r="R86" s="2533"/>
      <c r="S86" s="1672">
        <v>10000000</v>
      </c>
      <c r="T86" s="2539" t="s">
        <v>0</v>
      </c>
      <c r="U86" s="2539"/>
      <c r="V86" s="2539">
        <v>3</v>
      </c>
      <c r="W86" s="2539" t="s">
        <v>3</v>
      </c>
      <c r="X86" s="1140" t="s">
        <v>1</v>
      </c>
      <c r="Y86" s="1674">
        <f t="shared" si="16"/>
        <v>30000</v>
      </c>
      <c r="Z86" s="407">
        <f>S86*V86</f>
        <v>30000000</v>
      </c>
      <c r="AA86" s="401"/>
      <c r="AB86" s="347"/>
      <c r="AC86" s="347"/>
      <c r="AD86" s="370"/>
    </row>
    <row r="87" spans="1:30" s="2534" customFormat="1" ht="21.4" customHeight="1">
      <c r="A87" s="396"/>
      <c r="B87" s="2540"/>
      <c r="C87" s="413"/>
      <c r="D87" s="433"/>
      <c r="E87" s="542" t="s">
        <v>3057</v>
      </c>
      <c r="F87" s="383">
        <f>Y87</f>
        <v>18000</v>
      </c>
      <c r="G87" s="1116">
        <v>18000</v>
      </c>
      <c r="H87" s="482"/>
      <c r="J87" s="2538" t="s">
        <v>3111</v>
      </c>
      <c r="K87" s="2539"/>
      <c r="N87" s="1673" t="s">
        <v>19</v>
      </c>
      <c r="O87" s="2534" t="s">
        <v>19</v>
      </c>
      <c r="Q87" s="408">
        <v>6</v>
      </c>
      <c r="R87" s="2530" t="s">
        <v>3059</v>
      </c>
      <c r="S87" s="1672">
        <v>3000000</v>
      </c>
      <c r="T87" s="2539" t="s">
        <v>0</v>
      </c>
      <c r="U87" s="2539"/>
      <c r="V87" s="2539">
        <v>1</v>
      </c>
      <c r="W87" s="2539" t="s">
        <v>3</v>
      </c>
      <c r="X87" s="1140" t="s">
        <v>1</v>
      </c>
      <c r="Y87" s="1674">
        <f t="shared" si="16"/>
        <v>18000</v>
      </c>
      <c r="Z87" s="407">
        <f>Q87*S87*V87</f>
        <v>18000000</v>
      </c>
      <c r="AA87" s="401"/>
      <c r="AB87" s="347"/>
      <c r="AC87" s="347"/>
      <c r="AD87" s="370"/>
    </row>
    <row r="88" spans="1:30" ht="21.4" customHeight="1">
      <c r="A88" s="1290"/>
      <c r="B88" s="1189"/>
      <c r="C88" s="413"/>
      <c r="D88" s="1131"/>
      <c r="E88" s="1134" t="s">
        <v>3098</v>
      </c>
      <c r="F88" s="438">
        <f>Y88</f>
        <v>70000</v>
      </c>
      <c r="G88" s="383">
        <v>70000</v>
      </c>
      <c r="H88" s="482"/>
      <c r="I88" s="2534"/>
      <c r="J88" s="2538" t="s">
        <v>3076</v>
      </c>
      <c r="K88" s="2534"/>
      <c r="L88" s="2534"/>
      <c r="M88" s="2534"/>
      <c r="N88" s="2534"/>
      <c r="O88" s="2534"/>
      <c r="P88" s="2534"/>
      <c r="Q88" s="2357"/>
      <c r="R88" s="2539"/>
      <c r="S88" s="1672"/>
      <c r="T88" s="2539"/>
      <c r="U88" s="2539"/>
      <c r="V88" s="2539"/>
      <c r="W88" s="2539"/>
      <c r="X88" s="1140"/>
      <c r="Y88" s="1674">
        <f t="shared" si="16"/>
        <v>70000</v>
      </c>
      <c r="Z88" s="407">
        <f>+Z89+Z90</f>
        <v>70000000</v>
      </c>
      <c r="AB88" s="347"/>
      <c r="AC88" s="347"/>
      <c r="AD88" s="370"/>
    </row>
    <row r="89" spans="1:30" ht="21.4" customHeight="1">
      <c r="A89" s="1290"/>
      <c r="B89" s="1189"/>
      <c r="C89" s="413"/>
      <c r="D89" s="1131"/>
      <c r="E89" s="1134"/>
      <c r="F89" s="438"/>
      <c r="G89" s="383"/>
      <c r="H89" s="391"/>
      <c r="I89" s="2534"/>
      <c r="J89" s="2663" t="s">
        <v>4647</v>
      </c>
      <c r="K89" s="2534"/>
      <c r="L89" s="2534"/>
      <c r="M89" s="2534"/>
      <c r="N89" s="2534"/>
      <c r="O89" s="2534"/>
      <c r="P89" s="2534"/>
      <c r="Q89" s="2357">
        <v>10</v>
      </c>
      <c r="R89" s="2539" t="s">
        <v>3059</v>
      </c>
      <c r="S89" s="1672">
        <v>200000</v>
      </c>
      <c r="T89" s="2539" t="s">
        <v>3049</v>
      </c>
      <c r="U89" s="2539"/>
      <c r="V89" s="2539">
        <v>10</v>
      </c>
      <c r="W89" s="2539" t="s">
        <v>3054</v>
      </c>
      <c r="X89" s="1140" t="s">
        <v>3112</v>
      </c>
      <c r="Y89" s="1674">
        <f t="shared" si="16"/>
        <v>20000</v>
      </c>
      <c r="Z89" s="407">
        <f>Q89*S89*V89</f>
        <v>20000000</v>
      </c>
      <c r="AB89" s="347"/>
      <c r="AC89" s="347"/>
      <c r="AD89" s="370"/>
    </row>
    <row r="90" spans="1:30" ht="21.4" customHeight="1">
      <c r="A90" s="411"/>
      <c r="B90" s="412"/>
      <c r="C90" s="1671"/>
      <c r="D90" s="1131"/>
      <c r="E90" s="389"/>
      <c r="F90" s="1134"/>
      <c r="G90" s="383"/>
      <c r="H90" s="482"/>
      <c r="I90" s="2534"/>
      <c r="J90" s="2663" t="s">
        <v>4648</v>
      </c>
      <c r="K90" s="2534"/>
      <c r="L90" s="2534"/>
      <c r="M90" s="2534"/>
      <c r="N90" s="2534"/>
      <c r="O90" s="2534"/>
      <c r="P90" s="2534"/>
      <c r="Q90" s="1673">
        <v>5</v>
      </c>
      <c r="R90" s="405" t="s">
        <v>3048</v>
      </c>
      <c r="S90" s="2539">
        <v>2000000</v>
      </c>
      <c r="T90" s="2539" t="s">
        <v>3049</v>
      </c>
      <c r="U90" s="2539"/>
      <c r="V90" s="2539">
        <v>5</v>
      </c>
      <c r="W90" s="2539" t="s">
        <v>3113</v>
      </c>
      <c r="X90" s="1140" t="s">
        <v>3051</v>
      </c>
      <c r="Y90" s="1674">
        <f t="shared" ref="Y90:Y98" si="17">Z90/1000</f>
        <v>50000</v>
      </c>
      <c r="Z90" s="407">
        <f>Q90*S90*V90</f>
        <v>50000000</v>
      </c>
      <c r="AB90" s="347"/>
      <c r="AC90" s="347"/>
      <c r="AD90" s="370"/>
    </row>
    <row r="91" spans="1:30" s="2534" customFormat="1" ht="21.4" customHeight="1">
      <c r="A91" s="396"/>
      <c r="B91" s="2540"/>
      <c r="C91" s="413"/>
      <c r="D91" s="433"/>
      <c r="E91" s="1134" t="s">
        <v>3100</v>
      </c>
      <c r="F91" s="383">
        <f>Y91</f>
        <v>56000</v>
      </c>
      <c r="G91" s="1116">
        <v>56000</v>
      </c>
      <c r="H91" s="482"/>
      <c r="J91" s="2538" t="s">
        <v>3076</v>
      </c>
      <c r="K91" s="2539"/>
      <c r="N91" s="1673"/>
      <c r="Q91" s="408"/>
      <c r="R91" s="2533"/>
      <c r="S91" s="1672"/>
      <c r="T91" s="2539"/>
      <c r="U91" s="2539"/>
      <c r="V91" s="2539"/>
      <c r="W91" s="2539"/>
      <c r="X91" s="1140"/>
      <c r="Y91" s="1674">
        <f t="shared" si="17"/>
        <v>56000</v>
      </c>
      <c r="Z91" s="407">
        <f>+Z92+Z93</f>
        <v>56000000</v>
      </c>
      <c r="AA91" s="401"/>
      <c r="AB91" s="347"/>
      <c r="AC91" s="347"/>
      <c r="AD91" s="370"/>
    </row>
    <row r="92" spans="1:30" s="2534" customFormat="1" ht="21.4" customHeight="1">
      <c r="A92" s="396"/>
      <c r="B92" s="2540"/>
      <c r="C92" s="413"/>
      <c r="D92" s="433"/>
      <c r="E92" s="1134"/>
      <c r="F92" s="383"/>
      <c r="G92" s="1116"/>
      <c r="H92" s="482"/>
      <c r="J92" s="2663" t="s">
        <v>4645</v>
      </c>
      <c r="K92" s="2539"/>
      <c r="N92" s="1673"/>
      <c r="Q92" s="408"/>
      <c r="R92" s="2533"/>
      <c r="S92" s="1672">
        <v>9000000</v>
      </c>
      <c r="T92" s="2539" t="s">
        <v>0</v>
      </c>
      <c r="U92" s="2539"/>
      <c r="V92" s="2539">
        <v>2</v>
      </c>
      <c r="W92" s="2539" t="s">
        <v>3</v>
      </c>
      <c r="X92" s="1140" t="s">
        <v>1</v>
      </c>
      <c r="Y92" s="1674">
        <f t="shared" si="17"/>
        <v>18000</v>
      </c>
      <c r="Z92" s="407">
        <f>S92*V92</f>
        <v>18000000</v>
      </c>
      <c r="AA92" s="401"/>
      <c r="AB92" s="347"/>
      <c r="AC92" s="347"/>
      <c r="AD92" s="370"/>
    </row>
    <row r="93" spans="1:30" s="2534" customFormat="1" ht="21.4" customHeight="1">
      <c r="A93" s="396"/>
      <c r="B93" s="2540"/>
      <c r="C93" s="413"/>
      <c r="D93" s="433"/>
      <c r="E93" s="1134"/>
      <c r="F93" s="383"/>
      <c r="G93" s="1116"/>
      <c r="H93" s="482"/>
      <c r="J93" s="2663" t="s">
        <v>4646</v>
      </c>
      <c r="K93" s="2539"/>
      <c r="N93" s="1673"/>
      <c r="Q93" s="408"/>
      <c r="R93" s="2533"/>
      <c r="S93" s="1672">
        <v>38000000</v>
      </c>
      <c r="T93" s="2539" t="s">
        <v>0</v>
      </c>
      <c r="U93" s="2539"/>
      <c r="V93" s="2539">
        <v>1</v>
      </c>
      <c r="W93" s="2539" t="s">
        <v>3</v>
      </c>
      <c r="X93" s="1140" t="s">
        <v>1</v>
      </c>
      <c r="Y93" s="1674">
        <f t="shared" si="17"/>
        <v>38000</v>
      </c>
      <c r="Z93" s="407">
        <f>S93*V93</f>
        <v>38000000</v>
      </c>
      <c r="AA93" s="401"/>
      <c r="AB93" s="347"/>
      <c r="AC93" s="347"/>
      <c r="AD93" s="370"/>
    </row>
    <row r="94" spans="1:30" ht="21.4" customHeight="1">
      <c r="A94" s="475"/>
      <c r="B94" s="2530"/>
      <c r="C94" s="465"/>
      <c r="D94" s="433"/>
      <c r="E94" s="1134" t="s">
        <v>3055</v>
      </c>
      <c r="F94" s="383">
        <f>Y94</f>
        <v>50000</v>
      </c>
      <c r="G94" s="438">
        <v>50000</v>
      </c>
      <c r="H94" s="482"/>
      <c r="J94" s="2538" t="s">
        <v>3114</v>
      </c>
      <c r="K94" s="2534"/>
      <c r="L94" s="2534"/>
      <c r="M94" s="2534"/>
      <c r="N94" s="2357"/>
      <c r="O94" s="2357"/>
      <c r="P94" s="2357"/>
      <c r="Q94" s="2539"/>
      <c r="R94" s="2533"/>
      <c r="S94" s="2539">
        <v>10000000</v>
      </c>
      <c r="T94" s="2539" t="s">
        <v>0</v>
      </c>
      <c r="U94" s="2539"/>
      <c r="V94" s="2539">
        <v>5</v>
      </c>
      <c r="W94" s="2539" t="s">
        <v>3062</v>
      </c>
      <c r="X94" s="1140" t="s">
        <v>3051</v>
      </c>
      <c r="Y94" s="1674">
        <f t="shared" si="17"/>
        <v>50000</v>
      </c>
      <c r="Z94" s="407">
        <f>S94*V94</f>
        <v>50000000</v>
      </c>
      <c r="AB94" s="347"/>
      <c r="AC94" s="347"/>
      <c r="AD94" s="370"/>
    </row>
    <row r="95" spans="1:30" s="2534" customFormat="1" ht="21.4" customHeight="1">
      <c r="A95" s="396"/>
      <c r="B95" s="2540"/>
      <c r="C95" s="413"/>
      <c r="D95" s="402"/>
      <c r="E95" s="1134" t="s">
        <v>56</v>
      </c>
      <c r="F95" s="383">
        <f t="shared" ref="F95" si="18">Y95</f>
        <v>40000</v>
      </c>
      <c r="G95" s="1116">
        <v>40000</v>
      </c>
      <c r="H95" s="482"/>
      <c r="J95" s="2538" t="s">
        <v>3115</v>
      </c>
      <c r="K95" s="2539"/>
      <c r="N95" s="1673"/>
      <c r="Q95" s="408"/>
      <c r="R95" s="2533"/>
      <c r="S95" s="1672">
        <v>10000000</v>
      </c>
      <c r="T95" s="2539" t="s">
        <v>0</v>
      </c>
      <c r="U95" s="2539"/>
      <c r="V95" s="2539">
        <v>4</v>
      </c>
      <c r="W95" s="2539" t="s">
        <v>3054</v>
      </c>
      <c r="X95" s="1140" t="s">
        <v>1</v>
      </c>
      <c r="Y95" s="1674">
        <f t="shared" si="17"/>
        <v>40000</v>
      </c>
      <c r="Z95" s="407">
        <f>S95*V95</f>
        <v>40000000</v>
      </c>
      <c r="AA95" s="401"/>
      <c r="AB95" s="347"/>
      <c r="AC95" s="347"/>
      <c r="AD95" s="370"/>
    </row>
    <row r="96" spans="1:30" s="2534" customFormat="1" ht="21.4" customHeight="1">
      <c r="A96" s="396"/>
      <c r="B96" s="2540"/>
      <c r="C96" s="413"/>
      <c r="D96" s="402"/>
      <c r="E96" s="542" t="s">
        <v>55</v>
      </c>
      <c r="F96" s="383">
        <f>Y96</f>
        <v>16000</v>
      </c>
      <c r="G96" s="1116">
        <v>16000</v>
      </c>
      <c r="H96" s="482"/>
      <c r="J96" s="2538" t="s">
        <v>3076</v>
      </c>
      <c r="K96" s="2539"/>
      <c r="N96" s="1673"/>
      <c r="Q96" s="408"/>
      <c r="R96" s="2533"/>
      <c r="S96" s="1672"/>
      <c r="T96" s="2539"/>
      <c r="U96" s="2539"/>
      <c r="V96" s="2539"/>
      <c r="W96" s="2539"/>
      <c r="X96" s="1140"/>
      <c r="Y96" s="1674">
        <f t="shared" si="17"/>
        <v>16000</v>
      </c>
      <c r="Z96" s="407">
        <f>+Z97+Z98</f>
        <v>16000000</v>
      </c>
      <c r="AA96" s="401"/>
      <c r="AB96" s="347"/>
      <c r="AC96" s="347"/>
      <c r="AD96" s="370"/>
    </row>
    <row r="97" spans="1:30" s="2534" customFormat="1" ht="21.4" customHeight="1">
      <c r="A97" s="396"/>
      <c r="B97" s="2540"/>
      <c r="C97" s="413"/>
      <c r="D97" s="402"/>
      <c r="E97" s="542"/>
      <c r="F97" s="383"/>
      <c r="G97" s="1116"/>
      <c r="H97" s="482"/>
      <c r="J97" s="2663" t="s">
        <v>4643</v>
      </c>
      <c r="K97" s="2539"/>
      <c r="N97" s="1673"/>
      <c r="Q97" s="408">
        <v>20</v>
      </c>
      <c r="R97" s="2533" t="s">
        <v>25</v>
      </c>
      <c r="S97" s="1672">
        <v>20000</v>
      </c>
      <c r="T97" s="2539" t="s">
        <v>0</v>
      </c>
      <c r="U97" s="2539"/>
      <c r="V97" s="2539">
        <v>20</v>
      </c>
      <c r="W97" s="2539" t="s">
        <v>3</v>
      </c>
      <c r="X97" s="1140" t="s">
        <v>1</v>
      </c>
      <c r="Y97" s="1674">
        <f t="shared" si="17"/>
        <v>8000</v>
      </c>
      <c r="Z97" s="407">
        <f>Q97*S97*V97</f>
        <v>8000000</v>
      </c>
      <c r="AA97" s="401"/>
      <c r="AB97" s="347"/>
      <c r="AC97" s="347"/>
      <c r="AD97" s="370"/>
    </row>
    <row r="98" spans="1:30" s="2534" customFormat="1" ht="21.4" customHeight="1">
      <c r="A98" s="396"/>
      <c r="B98" s="2540"/>
      <c r="C98" s="413"/>
      <c r="D98" s="402"/>
      <c r="E98" s="542"/>
      <c r="F98" s="383"/>
      <c r="G98" s="1116"/>
      <c r="H98" s="482"/>
      <c r="J98" s="1903" t="s">
        <v>4644</v>
      </c>
      <c r="K98" s="2539"/>
      <c r="N98" s="1673"/>
      <c r="Q98" s="408">
        <v>20</v>
      </c>
      <c r="R98" s="2533" t="s">
        <v>25</v>
      </c>
      <c r="S98" s="1672">
        <v>20000</v>
      </c>
      <c r="T98" s="2539" t="s">
        <v>0</v>
      </c>
      <c r="U98" s="2539"/>
      <c r="V98" s="2539">
        <v>20</v>
      </c>
      <c r="W98" s="2539" t="s">
        <v>3</v>
      </c>
      <c r="X98" s="1140" t="s">
        <v>1</v>
      </c>
      <c r="Y98" s="1674">
        <f t="shared" si="17"/>
        <v>8000</v>
      </c>
      <c r="Z98" s="407">
        <f>Q98*S98*V98</f>
        <v>8000000</v>
      </c>
      <c r="AA98" s="401"/>
      <c r="AB98" s="347"/>
      <c r="AC98" s="347"/>
      <c r="AD98" s="370"/>
    </row>
    <row r="99" spans="1:30" s="1835" customFormat="1" ht="21.4" customHeight="1">
      <c r="A99" s="1290"/>
      <c r="B99" s="1189"/>
      <c r="C99" s="413"/>
      <c r="D99" s="3280" t="s">
        <v>1813</v>
      </c>
      <c r="E99" s="3282"/>
      <c r="F99" s="2966">
        <f>SUM(F100:F116)</f>
        <v>125000</v>
      </c>
      <c r="G99" s="2966">
        <f>SUM(G100:G116)</f>
        <v>125000</v>
      </c>
      <c r="H99" s="713">
        <f>F99-G99</f>
        <v>0</v>
      </c>
      <c r="I99" s="1118"/>
      <c r="J99" s="1119"/>
      <c r="K99" s="2912"/>
      <c r="L99" s="2912"/>
      <c r="M99" s="2912"/>
      <c r="N99" s="2912"/>
      <c r="O99" s="2912"/>
      <c r="P99" s="2912"/>
      <c r="Q99" s="2912"/>
      <c r="R99" s="1120"/>
      <c r="S99" s="2912"/>
      <c r="T99" s="2912"/>
      <c r="U99" s="2912"/>
      <c r="V99" s="2912"/>
      <c r="W99" s="2912"/>
      <c r="X99" s="869"/>
      <c r="Y99" s="2967"/>
      <c r="Z99" s="1265"/>
      <c r="AA99" s="275"/>
      <c r="AB99" s="275"/>
      <c r="AC99" s="1424"/>
    </row>
    <row r="100" spans="1:30" s="1835" customFormat="1" ht="21.4" customHeight="1">
      <c r="A100" s="1290"/>
      <c r="B100" s="1189"/>
      <c r="C100" s="413"/>
      <c r="D100" s="509"/>
      <c r="E100" s="726" t="s">
        <v>59</v>
      </c>
      <c r="F100" s="2968">
        <f t="shared" ref="F100:F101" si="19">Y100</f>
        <v>27500</v>
      </c>
      <c r="G100" s="2968">
        <v>27500</v>
      </c>
      <c r="H100" s="723"/>
      <c r="I100" s="1118"/>
      <c r="J100" s="2969" t="s">
        <v>3012</v>
      </c>
      <c r="K100" s="1686"/>
      <c r="L100" s="1686"/>
      <c r="M100" s="1686"/>
      <c r="N100" s="1686"/>
      <c r="O100" s="1686"/>
      <c r="P100" s="1686"/>
      <c r="Q100" s="1686"/>
      <c r="R100" s="1686"/>
      <c r="S100" s="1686">
        <v>2500000</v>
      </c>
      <c r="T100" s="1686" t="s">
        <v>592</v>
      </c>
      <c r="U100" s="1686"/>
      <c r="V100" s="1686">
        <v>11</v>
      </c>
      <c r="W100" s="1686" t="s">
        <v>2850</v>
      </c>
      <c r="X100" s="1226" t="s">
        <v>563</v>
      </c>
      <c r="Y100" s="636">
        <f t="shared" ref="Y100:Y116" si="20">Z100/1000</f>
        <v>27500</v>
      </c>
      <c r="Z100" s="532">
        <f>S100*V100</f>
        <v>27500000</v>
      </c>
      <c r="AA100" s="275"/>
      <c r="AB100" s="275"/>
      <c r="AC100" s="1424"/>
    </row>
    <row r="101" spans="1:30" s="1835" customFormat="1" ht="21.4" customHeight="1">
      <c r="A101" s="1290"/>
      <c r="B101" s="1189"/>
      <c r="C101" s="1671"/>
      <c r="D101" s="509"/>
      <c r="E101" s="2843" t="s">
        <v>224</v>
      </c>
      <c r="F101" s="511">
        <f t="shared" si="19"/>
        <v>12500</v>
      </c>
      <c r="G101" s="2970">
        <v>2500</v>
      </c>
      <c r="H101" s="723">
        <f>F101-G101</f>
        <v>10000</v>
      </c>
      <c r="I101" s="1118"/>
      <c r="J101" s="2890" t="s">
        <v>194</v>
      </c>
      <c r="K101" s="2891"/>
      <c r="L101" s="2891"/>
      <c r="M101" s="2891"/>
      <c r="N101" s="2891"/>
      <c r="O101" s="2891"/>
      <c r="P101" s="2891"/>
      <c r="Q101" s="1686"/>
      <c r="R101" s="1686"/>
      <c r="S101" s="1686"/>
      <c r="T101" s="1686"/>
      <c r="U101" s="1686"/>
      <c r="V101" s="1686"/>
      <c r="W101" s="1686"/>
      <c r="X101" s="1226"/>
      <c r="Y101" s="636">
        <f t="shared" si="20"/>
        <v>12500</v>
      </c>
      <c r="Z101" s="532">
        <f>Z102+Z103</f>
        <v>12500000</v>
      </c>
      <c r="AA101" s="275"/>
      <c r="AB101" s="275"/>
      <c r="AC101" s="1424"/>
    </row>
    <row r="102" spans="1:30" s="1835" customFormat="1" ht="21.4" customHeight="1">
      <c r="A102" s="1290"/>
      <c r="B102" s="1189"/>
      <c r="C102" s="397"/>
      <c r="D102" s="620"/>
      <c r="E102" s="2843"/>
      <c r="F102" s="511"/>
      <c r="G102" s="511"/>
      <c r="H102" s="723"/>
      <c r="I102" s="1118"/>
      <c r="J102" s="2969" t="s">
        <v>5537</v>
      </c>
      <c r="K102" s="1686"/>
      <c r="L102" s="1686"/>
      <c r="M102" s="1686"/>
      <c r="N102" s="1686"/>
      <c r="O102" s="1686"/>
      <c r="P102" s="1686"/>
      <c r="Q102" s="1686"/>
      <c r="R102" s="1686"/>
      <c r="S102" s="1686">
        <v>500000</v>
      </c>
      <c r="T102" s="1686" t="s">
        <v>592</v>
      </c>
      <c r="U102" s="1686"/>
      <c r="V102" s="1686">
        <v>5</v>
      </c>
      <c r="W102" s="1686" t="s">
        <v>217</v>
      </c>
      <c r="X102" s="1226" t="s">
        <v>563</v>
      </c>
      <c r="Y102" s="636">
        <f t="shared" si="20"/>
        <v>2500</v>
      </c>
      <c r="Z102" s="532">
        <f>S102*V102</f>
        <v>2500000</v>
      </c>
      <c r="AA102" s="275"/>
      <c r="AB102" s="275"/>
      <c r="AC102" s="1424"/>
    </row>
    <row r="103" spans="1:30" s="1835" customFormat="1" ht="21.4" customHeight="1">
      <c r="A103" s="1290"/>
      <c r="B103" s="1189"/>
      <c r="C103" s="397"/>
      <c r="D103" s="620"/>
      <c r="E103" s="2843"/>
      <c r="F103" s="511"/>
      <c r="G103" s="511"/>
      <c r="H103" s="2945"/>
      <c r="I103" s="1118"/>
      <c r="J103" s="2969" t="s">
        <v>5538</v>
      </c>
      <c r="K103" s="1686"/>
      <c r="L103" s="1686"/>
      <c r="M103" s="1686"/>
      <c r="N103" s="1686"/>
      <c r="O103" s="1686"/>
      <c r="P103" s="1686"/>
      <c r="Q103" s="1686"/>
      <c r="R103" s="1686"/>
      <c r="S103" s="1686">
        <v>2000000</v>
      </c>
      <c r="T103" s="1686" t="s">
        <v>592</v>
      </c>
      <c r="U103" s="1686"/>
      <c r="V103" s="1686">
        <v>5</v>
      </c>
      <c r="W103" s="1686" t="s">
        <v>217</v>
      </c>
      <c r="X103" s="1226" t="s">
        <v>563</v>
      </c>
      <c r="Y103" s="636">
        <f t="shared" si="20"/>
        <v>10000</v>
      </c>
      <c r="Z103" s="532">
        <f>S103*V103</f>
        <v>10000000</v>
      </c>
      <c r="AA103" s="275"/>
      <c r="AB103" s="275"/>
      <c r="AC103" s="1424"/>
    </row>
    <row r="104" spans="1:30" s="1835" customFormat="1" ht="21.4" customHeight="1">
      <c r="A104" s="1290"/>
      <c r="B104" s="1189"/>
      <c r="C104" s="1671"/>
      <c r="D104" s="509"/>
      <c r="E104" s="2843" t="s">
        <v>21</v>
      </c>
      <c r="F104" s="511">
        <f t="shared" ref="F104" si="21">Y104</f>
        <v>3000</v>
      </c>
      <c r="G104" s="2970">
        <v>3000</v>
      </c>
      <c r="H104" s="723"/>
      <c r="I104" s="1118"/>
      <c r="J104" s="2969" t="s">
        <v>3117</v>
      </c>
      <c r="K104" s="1686"/>
      <c r="L104" s="1686"/>
      <c r="M104" s="1686"/>
      <c r="N104" s="1686"/>
      <c r="O104" s="1686"/>
      <c r="P104" s="1686"/>
      <c r="Q104" s="1686"/>
      <c r="R104" s="1686"/>
      <c r="S104" s="1686">
        <v>600000</v>
      </c>
      <c r="T104" s="1686" t="s">
        <v>592</v>
      </c>
      <c r="U104" s="1686"/>
      <c r="V104" s="1686">
        <v>5</v>
      </c>
      <c r="W104" s="1686" t="s">
        <v>3118</v>
      </c>
      <c r="X104" s="1226" t="s">
        <v>563</v>
      </c>
      <c r="Y104" s="636">
        <f t="shared" ref="Y104" si="22">Z104/1000</f>
        <v>3000</v>
      </c>
      <c r="Z104" s="532">
        <f>S104*V104</f>
        <v>3000000</v>
      </c>
      <c r="AA104" s="275"/>
      <c r="AB104" s="275"/>
      <c r="AC104" s="1424"/>
    </row>
    <row r="105" spans="1:30" s="1835" customFormat="1" ht="21.4" customHeight="1">
      <c r="A105" s="1290"/>
      <c r="B105" s="1189"/>
      <c r="C105" s="397"/>
      <c r="D105" s="620"/>
      <c r="E105" s="508" t="s">
        <v>269</v>
      </c>
      <c r="F105" s="511">
        <f t="shared" ref="F105" si="23">Y105</f>
        <v>20000</v>
      </c>
      <c r="G105" s="511">
        <v>0</v>
      </c>
      <c r="H105" s="723">
        <f>F105-G105</f>
        <v>20000</v>
      </c>
      <c r="I105" s="1118"/>
      <c r="J105" s="2890" t="s">
        <v>194</v>
      </c>
      <c r="K105" s="2891"/>
      <c r="L105" s="2891"/>
      <c r="M105" s="2891"/>
      <c r="N105" s="2891"/>
      <c r="O105" s="2891"/>
      <c r="P105" s="2891"/>
      <c r="Q105" s="1686"/>
      <c r="R105" s="1686"/>
      <c r="S105" s="1686"/>
      <c r="T105" s="1686"/>
      <c r="U105" s="1686"/>
      <c r="V105" s="1686"/>
      <c r="W105" s="1686"/>
      <c r="X105" s="1226"/>
      <c r="Y105" s="636">
        <f t="shared" si="20"/>
        <v>20000</v>
      </c>
      <c r="Z105" s="532">
        <f>Z106+Z107</f>
        <v>20000000</v>
      </c>
      <c r="AA105" s="275"/>
      <c r="AB105" s="275"/>
      <c r="AC105" s="1424"/>
    </row>
    <row r="106" spans="1:30" s="1835" customFormat="1" ht="21.4" customHeight="1">
      <c r="A106" s="1290"/>
      <c r="B106" s="1189"/>
      <c r="C106" s="397"/>
      <c r="D106" s="620"/>
      <c r="E106" s="508"/>
      <c r="F106" s="511"/>
      <c r="G106" s="511"/>
      <c r="H106" s="2945"/>
      <c r="I106" s="1118"/>
      <c r="J106" s="2969" t="s">
        <v>5540</v>
      </c>
      <c r="K106" s="1686"/>
      <c r="L106" s="1686"/>
      <c r="M106" s="1686"/>
      <c r="N106" s="1686"/>
      <c r="O106" s="1686"/>
      <c r="P106" s="1686"/>
      <c r="Q106" s="1686"/>
      <c r="R106" s="1686"/>
      <c r="S106" s="1686">
        <v>1000000</v>
      </c>
      <c r="T106" s="1686" t="s">
        <v>592</v>
      </c>
      <c r="U106" s="1686"/>
      <c r="V106" s="1686">
        <v>12</v>
      </c>
      <c r="W106" s="1686" t="s">
        <v>374</v>
      </c>
      <c r="X106" s="1226" t="s">
        <v>563</v>
      </c>
      <c r="Y106" s="636">
        <f t="shared" si="20"/>
        <v>12000</v>
      </c>
      <c r="Z106" s="532">
        <f t="shared" ref="Z106:Z124" si="24">S106*V106</f>
        <v>12000000</v>
      </c>
      <c r="AA106" s="275"/>
      <c r="AB106" s="275"/>
      <c r="AC106" s="1424"/>
    </row>
    <row r="107" spans="1:30" s="1835" customFormat="1" ht="21.4" customHeight="1">
      <c r="A107" s="1290"/>
      <c r="B107" s="1189"/>
      <c r="C107" s="397"/>
      <c r="D107" s="620"/>
      <c r="E107" s="508"/>
      <c r="F107" s="511"/>
      <c r="G107" s="511"/>
      <c r="H107" s="2945"/>
      <c r="I107" s="1118"/>
      <c r="J107" s="2969" t="s">
        <v>5541</v>
      </c>
      <c r="K107" s="1686"/>
      <c r="L107" s="1686"/>
      <c r="M107" s="1686"/>
      <c r="N107" s="1686"/>
      <c r="O107" s="1686"/>
      <c r="P107" s="1686"/>
      <c r="Q107" s="1686"/>
      <c r="R107" s="1686"/>
      <c r="S107" s="1686">
        <v>2000000</v>
      </c>
      <c r="T107" s="1686" t="s">
        <v>592</v>
      </c>
      <c r="U107" s="1686"/>
      <c r="V107" s="1686">
        <v>4</v>
      </c>
      <c r="W107" s="1686" t="s">
        <v>217</v>
      </c>
      <c r="X107" s="1226" t="s">
        <v>563</v>
      </c>
      <c r="Y107" s="636">
        <f t="shared" si="20"/>
        <v>8000</v>
      </c>
      <c r="Z107" s="532">
        <f t="shared" si="24"/>
        <v>8000000</v>
      </c>
      <c r="AA107" s="275"/>
      <c r="AB107" s="275"/>
      <c r="AC107" s="1424"/>
    </row>
    <row r="108" spans="1:30" s="1835" customFormat="1" ht="21.4" customHeight="1">
      <c r="A108" s="1290"/>
      <c r="B108" s="1189"/>
      <c r="C108" s="397"/>
      <c r="D108" s="620"/>
      <c r="E108" s="508" t="s">
        <v>287</v>
      </c>
      <c r="F108" s="511">
        <f>Y108</f>
        <v>44000</v>
      </c>
      <c r="G108" s="511">
        <v>74000</v>
      </c>
      <c r="H108" s="723">
        <f>F108-G108</f>
        <v>-30000</v>
      </c>
      <c r="I108" s="1118"/>
      <c r="J108" s="2890" t="s">
        <v>194</v>
      </c>
      <c r="K108" s="2891"/>
      <c r="L108" s="2891"/>
      <c r="M108" s="2891"/>
      <c r="N108" s="2891"/>
      <c r="O108" s="2891"/>
      <c r="P108" s="2891"/>
      <c r="Q108" s="1686"/>
      <c r="R108" s="1686"/>
      <c r="S108" s="1686"/>
      <c r="T108" s="1686"/>
      <c r="U108" s="1686"/>
      <c r="V108" s="1686"/>
      <c r="W108" s="1686"/>
      <c r="X108" s="1226"/>
      <c r="Y108" s="636">
        <f t="shared" si="20"/>
        <v>44000</v>
      </c>
      <c r="Z108" s="532">
        <f>Z109+Z110+Z111</f>
        <v>44000000</v>
      </c>
      <c r="AA108" s="275"/>
      <c r="AB108" s="275"/>
      <c r="AC108" s="1424"/>
    </row>
    <row r="109" spans="1:30" s="1835" customFormat="1" ht="21.4" customHeight="1">
      <c r="A109" s="1290"/>
      <c r="B109" s="1189"/>
      <c r="C109" s="413"/>
      <c r="D109" s="509"/>
      <c r="E109" s="508"/>
      <c r="F109" s="511"/>
      <c r="G109" s="511"/>
      <c r="H109" s="723"/>
      <c r="I109" s="1118"/>
      <c r="J109" s="2969" t="s">
        <v>3120</v>
      </c>
      <c r="K109" s="1686"/>
      <c r="L109" s="1686"/>
      <c r="M109" s="1686"/>
      <c r="N109" s="1686"/>
      <c r="O109" s="1686"/>
      <c r="P109" s="1686"/>
      <c r="Q109" s="1686"/>
      <c r="R109" s="1686"/>
      <c r="S109" s="1686">
        <v>22000000</v>
      </c>
      <c r="T109" s="1686" t="s">
        <v>592</v>
      </c>
      <c r="U109" s="1686"/>
      <c r="V109" s="1686">
        <v>1</v>
      </c>
      <c r="W109" s="1686" t="s">
        <v>209</v>
      </c>
      <c r="X109" s="1226" t="s">
        <v>563</v>
      </c>
      <c r="Y109" s="636">
        <f t="shared" si="20"/>
        <v>22000</v>
      </c>
      <c r="Z109" s="532">
        <f>+Z110+Z111</f>
        <v>22000000</v>
      </c>
      <c r="AA109" s="275"/>
      <c r="AB109" s="275"/>
      <c r="AC109" s="1424"/>
    </row>
    <row r="110" spans="1:30" s="1835" customFormat="1" ht="21.4" customHeight="1">
      <c r="A110" s="1290"/>
      <c r="B110" s="1189"/>
      <c r="C110" s="413"/>
      <c r="D110" s="509"/>
      <c r="E110" s="508"/>
      <c r="F110" s="511"/>
      <c r="G110" s="511"/>
      <c r="H110" s="2372"/>
      <c r="I110" s="1118"/>
      <c r="J110" s="2969" t="s">
        <v>3122</v>
      </c>
      <c r="K110" s="1686"/>
      <c r="L110" s="1686"/>
      <c r="M110" s="1686"/>
      <c r="N110" s="1686"/>
      <c r="O110" s="1686"/>
      <c r="P110" s="1686"/>
      <c r="Q110" s="1686"/>
      <c r="R110" s="1686"/>
      <c r="S110" s="1686">
        <v>12000000</v>
      </c>
      <c r="T110" s="1686" t="s">
        <v>592</v>
      </c>
      <c r="U110" s="1686"/>
      <c r="V110" s="1686">
        <v>1</v>
      </c>
      <c r="W110" s="1686" t="s">
        <v>209</v>
      </c>
      <c r="X110" s="1226" t="s">
        <v>563</v>
      </c>
      <c r="Y110" s="636">
        <f t="shared" si="20"/>
        <v>12000</v>
      </c>
      <c r="Z110" s="532">
        <f t="shared" ref="Z110:Z111" si="25">S110*V110</f>
        <v>12000000</v>
      </c>
      <c r="AA110" s="275"/>
      <c r="AB110" s="275"/>
      <c r="AC110" s="1424"/>
    </row>
    <row r="111" spans="1:30" s="1835" customFormat="1" ht="21.4" customHeight="1">
      <c r="A111" s="1290"/>
      <c r="B111" s="1189"/>
      <c r="C111" s="413"/>
      <c r="D111" s="509"/>
      <c r="E111" s="508"/>
      <c r="F111" s="511"/>
      <c r="G111" s="511"/>
      <c r="H111" s="2372"/>
      <c r="I111" s="1118"/>
      <c r="J111" s="2969" t="s">
        <v>3123</v>
      </c>
      <c r="K111" s="1686"/>
      <c r="L111" s="1686"/>
      <c r="M111" s="1686"/>
      <c r="N111" s="1686"/>
      <c r="O111" s="1686"/>
      <c r="P111" s="1686"/>
      <c r="Q111" s="1686"/>
      <c r="R111" s="1686"/>
      <c r="S111" s="1686">
        <v>5000000</v>
      </c>
      <c r="T111" s="1686" t="s">
        <v>592</v>
      </c>
      <c r="U111" s="1686"/>
      <c r="V111" s="1686">
        <v>2</v>
      </c>
      <c r="W111" s="1686" t="s">
        <v>217</v>
      </c>
      <c r="X111" s="1226" t="s">
        <v>563</v>
      </c>
      <c r="Y111" s="636">
        <f t="shared" si="20"/>
        <v>10000</v>
      </c>
      <c r="Z111" s="532">
        <f t="shared" si="25"/>
        <v>10000000</v>
      </c>
      <c r="AA111" s="275"/>
      <c r="AB111" s="275"/>
      <c r="AC111" s="1424"/>
    </row>
    <row r="112" spans="1:30" s="1835" customFormat="1" ht="21.4" customHeight="1">
      <c r="A112" s="1290"/>
      <c r="B112" s="1189"/>
      <c r="C112" s="413"/>
      <c r="D112" s="2971"/>
      <c r="E112" s="2843" t="s">
        <v>297</v>
      </c>
      <c r="F112" s="511">
        <f>Y112</f>
        <v>4000</v>
      </c>
      <c r="G112" s="511">
        <v>4000</v>
      </c>
      <c r="H112" s="2372"/>
      <c r="I112" s="1118"/>
      <c r="J112" s="2969" t="s">
        <v>3124</v>
      </c>
      <c r="K112" s="1686"/>
      <c r="L112" s="1686"/>
      <c r="M112" s="1686"/>
      <c r="N112" s="1686"/>
      <c r="O112" s="1686"/>
      <c r="P112" s="1686"/>
      <c r="Q112" s="1686"/>
      <c r="R112" s="1686"/>
      <c r="S112" s="1686">
        <v>500000</v>
      </c>
      <c r="T112" s="1686" t="s">
        <v>592</v>
      </c>
      <c r="U112" s="1686"/>
      <c r="V112" s="1686">
        <v>8</v>
      </c>
      <c r="W112" s="1686" t="s">
        <v>374</v>
      </c>
      <c r="X112" s="1226" t="s">
        <v>563</v>
      </c>
      <c r="Y112" s="636">
        <f t="shared" si="20"/>
        <v>4000</v>
      </c>
      <c r="Z112" s="532">
        <f>S112*V112</f>
        <v>4000000</v>
      </c>
      <c r="AA112" s="275"/>
      <c r="AB112" s="275"/>
      <c r="AC112" s="1424"/>
    </row>
    <row r="113" spans="1:30" s="1835" customFormat="1" ht="21.4" customHeight="1">
      <c r="A113" s="1290"/>
      <c r="B113" s="1189"/>
      <c r="C113" s="413"/>
      <c r="D113" s="2971"/>
      <c r="E113" s="2843" t="s">
        <v>602</v>
      </c>
      <c r="F113" s="511">
        <f>Y113</f>
        <v>12000</v>
      </c>
      <c r="G113" s="511">
        <v>14000</v>
      </c>
      <c r="H113" s="723">
        <f>F113-G113</f>
        <v>-2000</v>
      </c>
      <c r="I113" s="1118"/>
      <c r="J113" s="2890" t="s">
        <v>194</v>
      </c>
      <c r="K113" s="2891"/>
      <c r="L113" s="2891"/>
      <c r="M113" s="2891"/>
      <c r="N113" s="2891"/>
      <c r="O113" s="2891"/>
      <c r="P113" s="2891"/>
      <c r="Q113" s="1686"/>
      <c r="R113" s="1686"/>
      <c r="S113" s="1686"/>
      <c r="T113" s="1686"/>
      <c r="U113" s="1686"/>
      <c r="V113" s="1686"/>
      <c r="W113" s="1686"/>
      <c r="X113" s="1226"/>
      <c r="Y113" s="636">
        <f t="shared" si="20"/>
        <v>12000</v>
      </c>
      <c r="Z113" s="532">
        <f>Z114+Z115</f>
        <v>12000000</v>
      </c>
      <c r="AA113" s="275"/>
      <c r="AB113" s="275"/>
      <c r="AC113" s="1424"/>
    </row>
    <row r="114" spans="1:30" s="1835" customFormat="1" ht="21.4" customHeight="1">
      <c r="A114" s="1290"/>
      <c r="B114" s="1189"/>
      <c r="C114" s="413"/>
      <c r="D114" s="2971"/>
      <c r="E114" s="2843"/>
      <c r="F114" s="511"/>
      <c r="G114" s="511"/>
      <c r="H114" s="723"/>
      <c r="I114" s="1118"/>
      <c r="J114" s="2890" t="s">
        <v>3126</v>
      </c>
      <c r="K114" s="2891"/>
      <c r="L114" s="2891"/>
      <c r="M114" s="2891"/>
      <c r="N114" s="2891"/>
      <c r="O114" s="2891"/>
      <c r="P114" s="2891"/>
      <c r="Q114" s="1686"/>
      <c r="R114" s="1686"/>
      <c r="S114" s="1686">
        <v>2000000</v>
      </c>
      <c r="T114" s="1686" t="s">
        <v>264</v>
      </c>
      <c r="U114" s="1686"/>
      <c r="V114" s="1686">
        <v>4</v>
      </c>
      <c r="W114" s="1686" t="s">
        <v>265</v>
      </c>
      <c r="X114" s="1226" t="s">
        <v>266</v>
      </c>
      <c r="Y114" s="636">
        <f t="shared" si="20"/>
        <v>8000</v>
      </c>
      <c r="Z114" s="532">
        <f>S114*V114</f>
        <v>8000000</v>
      </c>
      <c r="AA114" s="275"/>
      <c r="AB114" s="275"/>
      <c r="AC114" s="1424"/>
    </row>
    <row r="115" spans="1:30" s="1835" customFormat="1" ht="21.4" customHeight="1">
      <c r="A115" s="1290"/>
      <c r="B115" s="1189"/>
      <c r="C115" s="413"/>
      <c r="D115" s="2971"/>
      <c r="E115" s="2843"/>
      <c r="F115" s="511"/>
      <c r="G115" s="511"/>
      <c r="H115" s="723"/>
      <c r="I115" s="1118"/>
      <c r="J115" s="2890" t="s">
        <v>3127</v>
      </c>
      <c r="K115" s="2891"/>
      <c r="L115" s="2891"/>
      <c r="M115" s="2891"/>
      <c r="N115" s="2891"/>
      <c r="O115" s="2891"/>
      <c r="P115" s="2891"/>
      <c r="Q115" s="1686"/>
      <c r="R115" s="1686"/>
      <c r="S115" s="1686">
        <v>1000000</v>
      </c>
      <c r="T115" s="1686" t="s">
        <v>264</v>
      </c>
      <c r="U115" s="1686"/>
      <c r="V115" s="1686">
        <v>4</v>
      </c>
      <c r="W115" s="1686" t="s">
        <v>265</v>
      </c>
      <c r="X115" s="1226" t="s">
        <v>266</v>
      </c>
      <c r="Y115" s="636">
        <f t="shared" si="20"/>
        <v>4000</v>
      </c>
      <c r="Z115" s="532">
        <f>S115*V115</f>
        <v>4000000</v>
      </c>
      <c r="AA115" s="275"/>
      <c r="AB115" s="275"/>
      <c r="AC115" s="1424"/>
    </row>
    <row r="116" spans="1:30" s="1835" customFormat="1" ht="21.4" customHeight="1">
      <c r="A116" s="1290"/>
      <c r="B116" s="1189"/>
      <c r="C116" s="413"/>
      <c r="D116" s="2972"/>
      <c r="E116" s="2894" t="s">
        <v>5539</v>
      </c>
      <c r="F116" s="511">
        <f>Y116</f>
        <v>2000</v>
      </c>
      <c r="G116" s="511">
        <v>0</v>
      </c>
      <c r="H116" s="723">
        <f>F116-G116</f>
        <v>2000</v>
      </c>
      <c r="I116" s="1118"/>
      <c r="J116" s="2969" t="s">
        <v>5160</v>
      </c>
      <c r="K116" s="1686"/>
      <c r="L116" s="1686"/>
      <c r="M116" s="1686"/>
      <c r="N116" s="1686"/>
      <c r="O116" s="1686"/>
      <c r="P116" s="1686"/>
      <c r="Q116" s="1686"/>
      <c r="R116" s="1686"/>
      <c r="S116" s="1686">
        <v>200000</v>
      </c>
      <c r="T116" s="1686" t="s">
        <v>592</v>
      </c>
      <c r="U116" s="1686"/>
      <c r="V116" s="1686">
        <v>10</v>
      </c>
      <c r="W116" s="1686" t="s">
        <v>265</v>
      </c>
      <c r="X116" s="1226" t="s">
        <v>563</v>
      </c>
      <c r="Y116" s="636">
        <f t="shared" si="20"/>
        <v>2000</v>
      </c>
      <c r="Z116" s="532">
        <f>S116*V116</f>
        <v>2000000</v>
      </c>
      <c r="AA116" s="275"/>
      <c r="AB116" s="275"/>
      <c r="AC116" s="1424"/>
    </row>
    <row r="117" spans="1:30" s="1835" customFormat="1" ht="21.4" customHeight="1">
      <c r="A117" s="1290"/>
      <c r="B117" s="1189"/>
      <c r="C117" s="413"/>
      <c r="D117" s="3266" t="s">
        <v>3128</v>
      </c>
      <c r="E117" s="3267"/>
      <c r="F117" s="385">
        <f>SUM(F118:F124)</f>
        <v>100000</v>
      </c>
      <c r="G117" s="385">
        <f>SUM(G118:G124)</f>
        <v>100000</v>
      </c>
      <c r="H117" s="386">
        <f>F117-G117</f>
        <v>0</v>
      </c>
      <c r="I117" s="2559"/>
      <c r="J117" s="394"/>
      <c r="K117" s="2525"/>
      <c r="L117" s="2525"/>
      <c r="M117" s="2525"/>
      <c r="N117" s="2525"/>
      <c r="O117" s="2525"/>
      <c r="P117" s="2525"/>
      <c r="Q117" s="2525"/>
      <c r="R117" s="395"/>
      <c r="S117" s="2525"/>
      <c r="T117" s="2525"/>
      <c r="U117" s="2525"/>
      <c r="V117" s="2525"/>
      <c r="W117" s="2525"/>
      <c r="X117" s="430"/>
      <c r="Y117" s="1184"/>
      <c r="Z117" s="407"/>
      <c r="AA117" s="275"/>
      <c r="AB117" s="275"/>
      <c r="AC117" s="1424"/>
    </row>
    <row r="118" spans="1:30" s="1835" customFormat="1" ht="21.4" customHeight="1">
      <c r="A118" s="1290"/>
      <c r="B118" s="1189"/>
      <c r="C118" s="413"/>
      <c r="D118" s="1131"/>
      <c r="E118" s="350" t="s">
        <v>3066</v>
      </c>
      <c r="F118" s="353">
        <f t="shared" ref="F118:F120" si="26">Y118</f>
        <v>27500</v>
      </c>
      <c r="G118" s="978">
        <v>27500</v>
      </c>
      <c r="H118" s="482"/>
      <c r="I118" s="2559"/>
      <c r="J118" s="2345" t="s">
        <v>3067</v>
      </c>
      <c r="K118" s="1672"/>
      <c r="L118" s="1672"/>
      <c r="M118" s="1672"/>
      <c r="N118" s="1672"/>
      <c r="O118" s="1672"/>
      <c r="P118" s="1672"/>
      <c r="Q118" s="1672"/>
      <c r="R118" s="1672"/>
      <c r="S118" s="1672">
        <v>2500000</v>
      </c>
      <c r="T118" s="1672" t="s">
        <v>3068</v>
      </c>
      <c r="U118" s="1672"/>
      <c r="V118" s="1672">
        <v>11</v>
      </c>
      <c r="W118" s="1672" t="s">
        <v>3069</v>
      </c>
      <c r="X118" s="1323" t="s">
        <v>3070</v>
      </c>
      <c r="Y118" s="1674">
        <f t="shared" ref="Y118:Y123" si="27">Z118/1000</f>
        <v>27500</v>
      </c>
      <c r="Z118" s="407">
        <f>S118*V118</f>
        <v>27500000</v>
      </c>
      <c r="AA118" s="275"/>
      <c r="AB118" s="275"/>
      <c r="AC118" s="1424"/>
    </row>
    <row r="119" spans="1:30" s="1835" customFormat="1" ht="21.4" customHeight="1">
      <c r="A119" s="1290"/>
      <c r="B119" s="1189"/>
      <c r="C119" s="1671"/>
      <c r="D119" s="1131"/>
      <c r="E119" s="433" t="s">
        <v>3129</v>
      </c>
      <c r="F119" s="1141">
        <f>Y119</f>
        <v>2800</v>
      </c>
      <c r="G119" s="1141">
        <v>2800</v>
      </c>
      <c r="H119" s="482"/>
      <c r="I119" s="2559"/>
      <c r="J119" s="2529" t="s">
        <v>3130</v>
      </c>
      <c r="K119" s="2530"/>
      <c r="L119" s="2530"/>
      <c r="M119" s="2530"/>
      <c r="N119" s="2530"/>
      <c r="O119" s="2530"/>
      <c r="P119" s="2530"/>
      <c r="Q119" s="1672">
        <v>7</v>
      </c>
      <c r="R119" s="1672" t="s">
        <v>3131</v>
      </c>
      <c r="S119" s="1672">
        <v>200000</v>
      </c>
      <c r="T119" s="1672" t="s">
        <v>3068</v>
      </c>
      <c r="U119" s="1672"/>
      <c r="V119" s="1672">
        <v>2</v>
      </c>
      <c r="W119" s="1672" t="s">
        <v>3119</v>
      </c>
      <c r="X119" s="1323" t="s">
        <v>3070</v>
      </c>
      <c r="Y119" s="1674">
        <f t="shared" si="27"/>
        <v>2800</v>
      </c>
      <c r="Z119" s="407">
        <f>Q119*S119*V119</f>
        <v>2800000</v>
      </c>
      <c r="AA119" s="275"/>
      <c r="AB119" s="275"/>
      <c r="AC119" s="1424"/>
    </row>
    <row r="120" spans="1:30" s="1835" customFormat="1" ht="21.4" customHeight="1">
      <c r="A120" s="1290"/>
      <c r="B120" s="1189"/>
      <c r="C120" s="397"/>
      <c r="D120" s="465"/>
      <c r="E120" s="1126" t="s">
        <v>3100</v>
      </c>
      <c r="F120" s="1128">
        <f t="shared" si="26"/>
        <v>65000</v>
      </c>
      <c r="G120" s="1141">
        <v>65000</v>
      </c>
      <c r="H120" s="482"/>
      <c r="I120" s="2559"/>
      <c r="J120" s="2345" t="s">
        <v>3076</v>
      </c>
      <c r="K120" s="1672"/>
      <c r="L120" s="1672"/>
      <c r="M120" s="1672"/>
      <c r="N120" s="1672"/>
      <c r="O120" s="1672"/>
      <c r="P120" s="1672"/>
      <c r="Q120" s="1672"/>
      <c r="R120" s="1672"/>
      <c r="S120" s="1672"/>
      <c r="T120" s="1672"/>
      <c r="U120" s="1672"/>
      <c r="V120" s="1672"/>
      <c r="W120" s="1672"/>
      <c r="X120" s="1323"/>
      <c r="Y120" s="1674">
        <f t="shared" si="27"/>
        <v>65000</v>
      </c>
      <c r="Z120" s="407">
        <f>+Z121+Z122</f>
        <v>65000000</v>
      </c>
      <c r="AA120" s="275"/>
      <c r="AB120" s="275"/>
      <c r="AC120" s="1424"/>
    </row>
    <row r="121" spans="1:30" s="1835" customFormat="1" ht="21.4" customHeight="1">
      <c r="A121" s="1290"/>
      <c r="B121" s="1189"/>
      <c r="C121" s="397"/>
      <c r="D121" s="465"/>
      <c r="E121" s="2567"/>
      <c r="F121" s="1128"/>
      <c r="G121" s="1141"/>
      <c r="H121" s="494"/>
      <c r="I121" s="2559"/>
      <c r="J121" s="2345" t="s">
        <v>3132</v>
      </c>
      <c r="K121" s="1672"/>
      <c r="L121" s="1672"/>
      <c r="M121" s="1672"/>
      <c r="N121" s="1672"/>
      <c r="O121" s="1672"/>
      <c r="P121" s="1672"/>
      <c r="Q121" s="1672"/>
      <c r="R121" s="1672"/>
      <c r="S121" s="1672">
        <v>33000000</v>
      </c>
      <c r="T121" s="1672" t="s">
        <v>3068</v>
      </c>
      <c r="U121" s="1672"/>
      <c r="V121" s="1672">
        <v>1</v>
      </c>
      <c r="W121" s="1672" t="s">
        <v>3119</v>
      </c>
      <c r="X121" s="1323" t="s">
        <v>3070</v>
      </c>
      <c r="Y121" s="1674">
        <f t="shared" si="27"/>
        <v>33000</v>
      </c>
      <c r="Z121" s="407">
        <f t="shared" si="24"/>
        <v>33000000</v>
      </c>
      <c r="AA121" s="275"/>
      <c r="AB121" s="275"/>
      <c r="AC121" s="1424"/>
    </row>
    <row r="122" spans="1:30" s="1835" customFormat="1" ht="21.4" customHeight="1">
      <c r="A122" s="1290"/>
      <c r="B122" s="1189"/>
      <c r="C122" s="413"/>
      <c r="D122" s="1131"/>
      <c r="E122" s="1126"/>
      <c r="F122" s="1128"/>
      <c r="G122" s="1141"/>
      <c r="H122" s="494"/>
      <c r="I122" s="2559"/>
      <c r="J122" s="2345" t="s">
        <v>3133</v>
      </c>
      <c r="K122" s="1672"/>
      <c r="L122" s="1672"/>
      <c r="M122" s="1672"/>
      <c r="N122" s="1672"/>
      <c r="O122" s="1672"/>
      <c r="P122" s="1672"/>
      <c r="Q122" s="1672"/>
      <c r="R122" s="1672"/>
      <c r="S122" s="1672">
        <v>32000000</v>
      </c>
      <c r="T122" s="1672" t="s">
        <v>3068</v>
      </c>
      <c r="U122" s="1672"/>
      <c r="V122" s="1672">
        <v>1</v>
      </c>
      <c r="W122" s="1672" t="s">
        <v>3119</v>
      </c>
      <c r="X122" s="1323" t="s">
        <v>3070</v>
      </c>
      <c r="Y122" s="1674">
        <f t="shared" si="27"/>
        <v>32000</v>
      </c>
      <c r="Z122" s="407">
        <f t="shared" si="24"/>
        <v>32000000</v>
      </c>
      <c r="AA122" s="275"/>
      <c r="AB122" s="275"/>
      <c r="AC122" s="1424"/>
    </row>
    <row r="123" spans="1:30" s="1835" customFormat="1" ht="21.4" customHeight="1">
      <c r="A123" s="1290"/>
      <c r="B123" s="1189"/>
      <c r="C123" s="413"/>
      <c r="D123" s="1131"/>
      <c r="E123" s="433" t="s">
        <v>3134</v>
      </c>
      <c r="F123" s="1141">
        <f>Y123</f>
        <v>4000</v>
      </c>
      <c r="G123" s="1141">
        <v>4000</v>
      </c>
      <c r="H123" s="482"/>
      <c r="I123" s="2559"/>
      <c r="J123" s="2529" t="s">
        <v>3135</v>
      </c>
      <c r="K123" s="2530"/>
      <c r="L123" s="2530"/>
      <c r="M123" s="2530"/>
      <c r="N123" s="2530"/>
      <c r="O123" s="2530"/>
      <c r="P123" s="2530"/>
      <c r="Q123" s="1672"/>
      <c r="R123" s="1672"/>
      <c r="S123" s="1672">
        <v>400000</v>
      </c>
      <c r="T123" s="1672" t="s">
        <v>3068</v>
      </c>
      <c r="U123" s="1672"/>
      <c r="V123" s="1672">
        <v>10</v>
      </c>
      <c r="W123" s="1672" t="s">
        <v>3125</v>
      </c>
      <c r="X123" s="1323" t="s">
        <v>3070</v>
      </c>
      <c r="Y123" s="1674">
        <f t="shared" si="27"/>
        <v>4000</v>
      </c>
      <c r="Z123" s="407">
        <f>S123*V123</f>
        <v>4000000</v>
      </c>
      <c r="AA123" s="275"/>
      <c r="AB123" s="275"/>
      <c r="AC123" s="1424"/>
    </row>
    <row r="124" spans="1:30" s="1835" customFormat="1" ht="21.4" customHeight="1">
      <c r="A124" s="1290"/>
      <c r="B124" s="1189"/>
      <c r="C124" s="413"/>
      <c r="D124" s="1131"/>
      <c r="E124" s="1154" t="s">
        <v>3064</v>
      </c>
      <c r="F124" s="1141">
        <f>Y124</f>
        <v>700</v>
      </c>
      <c r="G124" s="1141">
        <v>700</v>
      </c>
      <c r="H124" s="482"/>
      <c r="I124" s="2559"/>
      <c r="J124" s="2529" t="s">
        <v>3136</v>
      </c>
      <c r="K124" s="2530"/>
      <c r="L124" s="2530"/>
      <c r="M124" s="2530"/>
      <c r="N124" s="2530"/>
      <c r="O124" s="2530"/>
      <c r="P124" s="2530"/>
      <c r="Q124" s="1672"/>
      <c r="R124" s="1672"/>
      <c r="S124" s="1672">
        <v>50000</v>
      </c>
      <c r="T124" s="1672" t="s">
        <v>3049</v>
      </c>
      <c r="U124" s="1672"/>
      <c r="V124" s="1672">
        <v>14</v>
      </c>
      <c r="W124" s="1672" t="s">
        <v>3054</v>
      </c>
      <c r="X124" s="1323" t="s">
        <v>3051</v>
      </c>
      <c r="Y124" s="1674">
        <f>S124*V124/1000</f>
        <v>700</v>
      </c>
      <c r="Z124" s="407">
        <f t="shared" si="24"/>
        <v>700000</v>
      </c>
      <c r="AA124" s="275"/>
      <c r="AB124" s="275"/>
      <c r="AC124" s="1424"/>
    </row>
    <row r="125" spans="1:30" ht="20.85" customHeight="1">
      <c r="A125" s="475"/>
      <c r="B125" s="335"/>
      <c r="C125" s="762" t="s">
        <v>3291</v>
      </c>
      <c r="D125" s="2537"/>
      <c r="E125" s="763"/>
      <c r="F125" s="764">
        <f>+F126+F140+F153+F159+F162+F168+F172</f>
        <v>4840000</v>
      </c>
      <c r="G125" s="764">
        <f>+G126+G140+G153+G159+G162+G168+G172</f>
        <v>4840000</v>
      </c>
      <c r="H125" s="388">
        <f>F125-G125</f>
        <v>0</v>
      </c>
      <c r="J125" s="1135"/>
      <c r="K125" s="2525"/>
      <c r="L125" s="2525"/>
      <c r="M125" s="2525"/>
      <c r="N125" s="2525"/>
      <c r="O125" s="2525"/>
      <c r="P125" s="2531"/>
      <c r="Q125" s="2531"/>
      <c r="R125" s="1136"/>
      <c r="S125" s="1136"/>
      <c r="T125" s="1136"/>
      <c r="U125" s="2531"/>
      <c r="V125" s="1136"/>
      <c r="W125" s="1136"/>
      <c r="X125" s="1138"/>
      <c r="Y125" s="377"/>
      <c r="Z125" s="503"/>
      <c r="AB125" s="347"/>
      <c r="AC125" s="347"/>
      <c r="AD125" s="370"/>
    </row>
    <row r="126" spans="1:30" ht="20.85" customHeight="1">
      <c r="A126" s="475"/>
      <c r="B126" s="335"/>
      <c r="C126" s="809"/>
      <c r="D126" s="1676" t="s">
        <v>3321</v>
      </c>
      <c r="E126" s="2526"/>
      <c r="F126" s="429">
        <f>SUM(F127:F139)</f>
        <v>90000</v>
      </c>
      <c r="G126" s="429">
        <f>SUM(G127:G139)</f>
        <v>90000</v>
      </c>
      <c r="H126" s="386">
        <f>F126-G126</f>
        <v>0</v>
      </c>
      <c r="J126" s="1135"/>
      <c r="K126" s="2525"/>
      <c r="L126" s="2525"/>
      <c r="M126" s="2525"/>
      <c r="N126" s="2525"/>
      <c r="O126" s="2525"/>
      <c r="P126" s="2531"/>
      <c r="Q126" s="2531"/>
      <c r="R126" s="1136"/>
      <c r="S126" s="1136"/>
      <c r="T126" s="1136"/>
      <c r="U126" s="2531"/>
      <c r="V126" s="1136"/>
      <c r="W126" s="1136"/>
      <c r="X126" s="1138"/>
      <c r="Y126" s="902"/>
      <c r="Z126" s="1801"/>
      <c r="AB126" s="347"/>
      <c r="AC126" s="347"/>
      <c r="AD126" s="370"/>
    </row>
    <row r="127" spans="1:30" ht="20.85" customHeight="1">
      <c r="A127" s="475"/>
      <c r="B127" s="2530"/>
      <c r="C127" s="465"/>
      <c r="D127" s="1144"/>
      <c r="E127" s="1134" t="s">
        <v>3046</v>
      </c>
      <c r="F127" s="438">
        <f>+Y127</f>
        <v>4000</v>
      </c>
      <c r="G127" s="438">
        <v>4000</v>
      </c>
      <c r="H127" s="482"/>
      <c r="J127" s="2538" t="s">
        <v>3137</v>
      </c>
      <c r="K127" s="2534"/>
      <c r="L127" s="2534"/>
      <c r="M127" s="2534"/>
      <c r="N127" s="2357"/>
      <c r="O127" s="2357"/>
      <c r="P127" s="2357"/>
      <c r="Q127" s="1673">
        <v>200</v>
      </c>
      <c r="R127" s="1671" t="s">
        <v>3138</v>
      </c>
      <c r="S127" s="2539">
        <v>10000</v>
      </c>
      <c r="T127" s="2539" t="s">
        <v>0</v>
      </c>
      <c r="U127" s="2357"/>
      <c r="V127" s="1671">
        <v>2</v>
      </c>
      <c r="W127" s="2539" t="s">
        <v>3</v>
      </c>
      <c r="X127" s="1140" t="s">
        <v>1</v>
      </c>
      <c r="Y127" s="1674">
        <f t="shared" ref="Y127" si="28">+Z127/1000</f>
        <v>4000</v>
      </c>
      <c r="Z127" s="407">
        <f>Q127*S127*V127</f>
        <v>4000000</v>
      </c>
      <c r="AA127" s="2563"/>
      <c r="AB127" s="347"/>
      <c r="AC127" s="347"/>
      <c r="AD127" s="370"/>
    </row>
    <row r="128" spans="1:30" ht="20.85" customHeight="1">
      <c r="A128" s="475"/>
      <c r="B128" s="2530"/>
      <c r="C128" s="465"/>
      <c r="D128" s="1144"/>
      <c r="E128" s="1134" t="s">
        <v>3072</v>
      </c>
      <c r="F128" s="438">
        <f>Y128</f>
        <v>2000</v>
      </c>
      <c r="G128" s="438">
        <v>2000</v>
      </c>
      <c r="H128" s="482"/>
      <c r="J128" s="2345" t="s">
        <v>3139</v>
      </c>
      <c r="K128" s="1672"/>
      <c r="L128" s="1672"/>
      <c r="M128" s="1672"/>
      <c r="N128" s="1672"/>
      <c r="O128" s="1672"/>
      <c r="P128" s="1672"/>
      <c r="Q128" s="1672"/>
      <c r="R128" s="1672"/>
      <c r="S128" s="1672">
        <v>400000</v>
      </c>
      <c r="T128" s="1672" t="s">
        <v>3068</v>
      </c>
      <c r="U128" s="1672"/>
      <c r="V128" s="1672">
        <v>5</v>
      </c>
      <c r="W128" s="1672" t="s">
        <v>3119</v>
      </c>
      <c r="X128" s="1323" t="s">
        <v>3070</v>
      </c>
      <c r="Y128" s="1674">
        <f t="shared" ref="Y128" si="29">Z128/1000</f>
        <v>2000</v>
      </c>
      <c r="Z128" s="407">
        <f>S128*V128</f>
        <v>2000000</v>
      </c>
      <c r="AA128" s="2563"/>
      <c r="AB128" s="347"/>
      <c r="AC128" s="347"/>
      <c r="AD128" s="370"/>
    </row>
    <row r="129" spans="1:340" ht="20.85" customHeight="1">
      <c r="A129" s="475"/>
      <c r="B129" s="2530"/>
      <c r="C129" s="465"/>
      <c r="D129" s="1144"/>
      <c r="E129" s="1722" t="s">
        <v>3140</v>
      </c>
      <c r="F129" s="438">
        <f>Y129</f>
        <v>32000</v>
      </c>
      <c r="G129" s="438">
        <v>32000</v>
      </c>
      <c r="H129" s="482"/>
      <c r="J129" s="2538" t="s">
        <v>3076</v>
      </c>
      <c r="K129" s="2534"/>
      <c r="L129" s="2534"/>
      <c r="M129" s="2534"/>
      <c r="N129" s="2534"/>
      <c r="O129" s="2534"/>
      <c r="P129" s="2534"/>
      <c r="Q129" s="2539"/>
      <c r="R129" s="2539"/>
      <c r="S129" s="2539"/>
      <c r="T129" s="2539"/>
      <c r="U129" s="2539"/>
      <c r="V129" s="2539"/>
      <c r="W129" s="2539"/>
      <c r="X129" s="1140"/>
      <c r="Y129" s="1674">
        <f>Z129/1000</f>
        <v>32000</v>
      </c>
      <c r="Z129" s="407">
        <f>+Z130+Z131</f>
        <v>32000000</v>
      </c>
      <c r="AA129" s="2563"/>
      <c r="AB129" s="347"/>
      <c r="AC129" s="347"/>
      <c r="AD129" s="370"/>
    </row>
    <row r="130" spans="1:340" ht="20.85" customHeight="1">
      <c r="A130" s="475"/>
      <c r="B130" s="2530"/>
      <c r="C130" s="465"/>
      <c r="D130" s="1144"/>
      <c r="E130" s="1722"/>
      <c r="F130" s="438"/>
      <c r="G130" s="438"/>
      <c r="H130" s="482"/>
      <c r="J130" s="2538" t="s">
        <v>3141</v>
      </c>
      <c r="K130" s="2534"/>
      <c r="L130" s="2534"/>
      <c r="M130" s="2534"/>
      <c r="N130" s="2534"/>
      <c r="O130" s="2534"/>
      <c r="P130" s="2534"/>
      <c r="Q130" s="2539">
        <v>10</v>
      </c>
      <c r="R130" s="2539" t="s">
        <v>3059</v>
      </c>
      <c r="S130" s="2539">
        <v>100000</v>
      </c>
      <c r="T130" s="2539" t="s">
        <v>3049</v>
      </c>
      <c r="U130" s="2539"/>
      <c r="V130" s="2539">
        <v>12</v>
      </c>
      <c r="W130" s="2539" t="s">
        <v>3142</v>
      </c>
      <c r="X130" s="1140" t="s">
        <v>3051</v>
      </c>
      <c r="Y130" s="1674">
        <f>Z130/1000</f>
        <v>12000</v>
      </c>
      <c r="Z130" s="407">
        <f>Q130*S130*V130</f>
        <v>12000000</v>
      </c>
      <c r="AA130" s="2563"/>
      <c r="AB130" s="347"/>
      <c r="AC130" s="347"/>
      <c r="AD130" s="370"/>
    </row>
    <row r="131" spans="1:340" ht="20.85" customHeight="1">
      <c r="A131" s="475"/>
      <c r="B131" s="2530"/>
      <c r="C131" s="465"/>
      <c r="D131" s="1144"/>
      <c r="E131" s="1722"/>
      <c r="F131" s="438"/>
      <c r="G131" s="438"/>
      <c r="H131" s="482"/>
      <c r="J131" s="2663" t="s">
        <v>4651</v>
      </c>
      <c r="K131" s="2534"/>
      <c r="L131" s="2534"/>
      <c r="M131" s="2534"/>
      <c r="N131" s="2534"/>
      <c r="O131" s="2534"/>
      <c r="P131" s="2534"/>
      <c r="Q131" s="2539">
        <v>5</v>
      </c>
      <c r="R131" s="2539" t="s">
        <v>3059</v>
      </c>
      <c r="S131" s="2539">
        <v>4000000</v>
      </c>
      <c r="T131" s="2539" t="s">
        <v>3049</v>
      </c>
      <c r="U131" s="2539"/>
      <c r="V131" s="2539">
        <v>1</v>
      </c>
      <c r="W131" s="2539" t="s">
        <v>3054</v>
      </c>
      <c r="X131" s="1140" t="s">
        <v>3051</v>
      </c>
      <c r="Y131" s="1674">
        <f>Z131/1000</f>
        <v>20000</v>
      </c>
      <c r="Z131" s="407">
        <f>Q131*S131*V131</f>
        <v>20000000</v>
      </c>
      <c r="AA131" s="2563"/>
      <c r="AB131" s="347"/>
      <c r="AC131" s="347"/>
      <c r="AD131" s="370"/>
    </row>
    <row r="132" spans="1:340" ht="20.85" customHeight="1">
      <c r="A132" s="475"/>
      <c r="B132" s="2530"/>
      <c r="C132" s="465"/>
      <c r="D132" s="1144"/>
      <c r="E132" s="1134" t="s">
        <v>52</v>
      </c>
      <c r="F132" s="438">
        <f>+Y132</f>
        <v>3000</v>
      </c>
      <c r="G132" s="438">
        <v>3000</v>
      </c>
      <c r="H132" s="482"/>
      <c r="J132" s="2538" t="s">
        <v>3143</v>
      </c>
      <c r="K132" s="2534"/>
      <c r="L132" s="2534"/>
      <c r="M132" s="2534"/>
      <c r="N132" s="2534"/>
      <c r="O132" s="2534"/>
      <c r="P132" s="2357"/>
      <c r="Q132" s="2539">
        <v>3</v>
      </c>
      <c r="R132" s="2533" t="s">
        <v>3059</v>
      </c>
      <c r="S132" s="2539">
        <v>500000</v>
      </c>
      <c r="T132" s="2539" t="s">
        <v>0</v>
      </c>
      <c r="U132" s="2357"/>
      <c r="V132" s="2539">
        <v>2</v>
      </c>
      <c r="W132" s="2539" t="s">
        <v>3</v>
      </c>
      <c r="X132" s="1140" t="s">
        <v>1</v>
      </c>
      <c r="Y132" s="1674">
        <f>+Z132/1000</f>
        <v>3000</v>
      </c>
      <c r="Z132" s="407">
        <f>Q132*S132*V132</f>
        <v>3000000</v>
      </c>
      <c r="AA132" s="2563"/>
      <c r="AB132" s="347"/>
      <c r="AC132" s="347"/>
      <c r="AD132" s="370"/>
    </row>
    <row r="133" spans="1:340" ht="20.85" customHeight="1">
      <c r="A133" s="475"/>
      <c r="B133" s="2530"/>
      <c r="C133" s="465"/>
      <c r="D133" s="1144"/>
      <c r="E133" s="1134" t="s">
        <v>3100</v>
      </c>
      <c r="F133" s="438">
        <f>Y133</f>
        <v>35000</v>
      </c>
      <c r="G133" s="438">
        <v>35000</v>
      </c>
      <c r="H133" s="482"/>
      <c r="J133" s="2345" t="s">
        <v>3144</v>
      </c>
      <c r="K133" s="1672"/>
      <c r="L133" s="1672"/>
      <c r="M133" s="1672"/>
      <c r="N133" s="1672"/>
      <c r="O133" s="1672"/>
      <c r="P133" s="1672"/>
      <c r="Q133" s="1672"/>
      <c r="R133" s="1672"/>
      <c r="S133" s="1672">
        <v>35000000</v>
      </c>
      <c r="T133" s="1672" t="s">
        <v>3068</v>
      </c>
      <c r="U133" s="1672"/>
      <c r="V133" s="1672">
        <v>1</v>
      </c>
      <c r="W133" s="1672" t="s">
        <v>3119</v>
      </c>
      <c r="X133" s="1323" t="s">
        <v>3070</v>
      </c>
      <c r="Y133" s="1674">
        <f t="shared" ref="Y133" si="30">Z133/1000</f>
        <v>35000</v>
      </c>
      <c r="Z133" s="407">
        <f>S133*V133</f>
        <v>35000000</v>
      </c>
      <c r="AA133" s="2563"/>
      <c r="AB133" s="347"/>
      <c r="AC133" s="347"/>
      <c r="AD133" s="370"/>
    </row>
    <row r="134" spans="1:340" ht="20.85" customHeight="1">
      <c r="A134" s="475"/>
      <c r="B134" s="2893"/>
      <c r="C134" s="465"/>
      <c r="D134" s="1144"/>
      <c r="E134" s="1722" t="s">
        <v>297</v>
      </c>
      <c r="F134" s="438">
        <f>Y134</f>
        <v>2000</v>
      </c>
      <c r="G134" s="438">
        <v>2000</v>
      </c>
      <c r="H134" s="482"/>
      <c r="J134" s="2899" t="s">
        <v>3150</v>
      </c>
      <c r="K134" s="2889"/>
      <c r="L134" s="2889"/>
      <c r="M134" s="2889"/>
      <c r="N134" s="2889"/>
      <c r="O134" s="2889"/>
      <c r="P134" s="2357"/>
      <c r="Q134" s="1673">
        <v>400</v>
      </c>
      <c r="R134" s="2895" t="s">
        <v>33</v>
      </c>
      <c r="S134" s="2900">
        <v>2500</v>
      </c>
      <c r="T134" s="1671" t="s">
        <v>0</v>
      </c>
      <c r="U134" s="2357"/>
      <c r="V134" s="2900">
        <v>2</v>
      </c>
      <c r="W134" s="2900" t="s">
        <v>3</v>
      </c>
      <c r="X134" s="397" t="s">
        <v>1</v>
      </c>
      <c r="Y134" s="1674">
        <f>Z134/1000</f>
        <v>2000</v>
      </c>
      <c r="Z134" s="407">
        <f>Q134*S134*V134</f>
        <v>2000000</v>
      </c>
      <c r="AA134" s="2563"/>
      <c r="AB134" s="347"/>
      <c r="AC134" s="347"/>
      <c r="AD134" s="370"/>
      <c r="AE134" s="504"/>
      <c r="AF134" s="504"/>
      <c r="AG134" s="504"/>
      <c r="AH134" s="504"/>
      <c r="AI134" s="504"/>
      <c r="AJ134" s="504"/>
      <c r="AK134" s="504"/>
      <c r="AL134" s="504"/>
      <c r="AM134" s="504"/>
      <c r="AN134" s="504"/>
      <c r="AO134" s="504"/>
      <c r="AP134" s="504"/>
      <c r="AQ134" s="504"/>
      <c r="AR134" s="504"/>
      <c r="AS134" s="504"/>
      <c r="AT134" s="504"/>
      <c r="AU134" s="504"/>
      <c r="AV134" s="504"/>
      <c r="AW134" s="504"/>
      <c r="AX134" s="504"/>
      <c r="AY134" s="504"/>
      <c r="AZ134" s="504"/>
      <c r="BA134" s="504"/>
      <c r="BB134" s="504"/>
      <c r="BC134" s="504"/>
      <c r="BD134" s="504"/>
      <c r="BE134" s="504"/>
      <c r="BF134" s="504"/>
      <c r="BG134" s="504"/>
      <c r="BH134" s="504"/>
      <c r="BI134" s="504"/>
      <c r="BJ134" s="504"/>
      <c r="BK134" s="504"/>
      <c r="BL134" s="504"/>
      <c r="BM134" s="504"/>
      <c r="BN134" s="504"/>
      <c r="BO134" s="504"/>
      <c r="BP134" s="504"/>
      <c r="BQ134" s="504"/>
      <c r="BR134" s="504"/>
      <c r="BS134" s="504"/>
      <c r="BT134" s="504"/>
      <c r="BU134" s="504"/>
      <c r="BV134" s="504"/>
      <c r="BW134" s="504"/>
      <c r="BX134" s="504"/>
      <c r="BY134" s="504"/>
      <c r="BZ134" s="504"/>
      <c r="CA134" s="504"/>
      <c r="CB134" s="504"/>
      <c r="CC134" s="504"/>
      <c r="CD134" s="504"/>
      <c r="CE134" s="504"/>
      <c r="CF134" s="504"/>
      <c r="CG134" s="504"/>
      <c r="CH134" s="504"/>
      <c r="CI134" s="504"/>
      <c r="CJ134" s="504"/>
      <c r="CK134" s="504"/>
      <c r="CL134" s="504"/>
      <c r="CM134" s="504"/>
      <c r="CN134" s="504"/>
      <c r="CO134" s="504"/>
      <c r="CP134" s="504"/>
      <c r="CQ134" s="504"/>
      <c r="CR134" s="504"/>
      <c r="CS134" s="504"/>
      <c r="CT134" s="504"/>
      <c r="CU134" s="504"/>
      <c r="CV134" s="504"/>
      <c r="CW134" s="504"/>
      <c r="CX134" s="504"/>
      <c r="CY134" s="504"/>
      <c r="CZ134" s="504"/>
      <c r="DA134" s="504"/>
      <c r="DB134" s="504"/>
      <c r="DC134" s="504"/>
      <c r="DD134" s="504"/>
      <c r="DE134" s="504"/>
      <c r="DF134" s="504"/>
      <c r="DG134" s="504"/>
      <c r="DH134" s="504"/>
      <c r="DI134" s="504"/>
      <c r="DJ134" s="504"/>
      <c r="DK134" s="504"/>
      <c r="DL134" s="504"/>
      <c r="DM134" s="504"/>
      <c r="DN134" s="504"/>
      <c r="DO134" s="504"/>
      <c r="DP134" s="504"/>
      <c r="DQ134" s="504"/>
      <c r="DR134" s="504"/>
      <c r="DS134" s="504"/>
      <c r="DT134" s="504"/>
      <c r="DU134" s="504"/>
      <c r="DV134" s="504"/>
      <c r="DW134" s="504"/>
      <c r="DX134" s="504"/>
      <c r="DY134" s="504"/>
      <c r="DZ134" s="504"/>
      <c r="EA134" s="504"/>
      <c r="EB134" s="504"/>
      <c r="EC134" s="504"/>
      <c r="ED134" s="504"/>
      <c r="EE134" s="504"/>
      <c r="EF134" s="504"/>
      <c r="EG134" s="504"/>
      <c r="EH134" s="504"/>
      <c r="EI134" s="504"/>
      <c r="EJ134" s="504"/>
      <c r="EK134" s="504"/>
      <c r="EL134" s="504"/>
      <c r="EM134" s="504"/>
      <c r="EN134" s="504"/>
      <c r="EO134" s="504"/>
      <c r="EP134" s="504"/>
      <c r="EQ134" s="504"/>
      <c r="ER134" s="504"/>
      <c r="ES134" s="504"/>
      <c r="ET134" s="504"/>
      <c r="EU134" s="504"/>
      <c r="EV134" s="504"/>
      <c r="EW134" s="504"/>
      <c r="EX134" s="504"/>
      <c r="EY134" s="504"/>
      <c r="EZ134" s="504"/>
      <c r="FA134" s="504"/>
      <c r="FB134" s="504"/>
      <c r="FC134" s="504"/>
      <c r="FD134" s="504"/>
      <c r="FE134" s="504"/>
      <c r="FF134" s="504"/>
      <c r="FG134" s="504"/>
      <c r="FH134" s="504"/>
      <c r="FI134" s="504"/>
      <c r="FJ134" s="504"/>
      <c r="FK134" s="504"/>
      <c r="FL134" s="504"/>
      <c r="FM134" s="504"/>
      <c r="FN134" s="504"/>
      <c r="FO134" s="504"/>
      <c r="FP134" s="504"/>
      <c r="FQ134" s="504"/>
      <c r="FR134" s="504"/>
      <c r="FS134" s="504"/>
      <c r="FT134" s="504"/>
      <c r="FU134" s="504"/>
      <c r="FV134" s="504"/>
      <c r="FW134" s="504"/>
      <c r="FX134" s="504"/>
      <c r="FY134" s="504"/>
      <c r="FZ134" s="504"/>
      <c r="GA134" s="504"/>
      <c r="GB134" s="504"/>
      <c r="GC134" s="504"/>
      <c r="GD134" s="504"/>
      <c r="GE134" s="504"/>
      <c r="GF134" s="504"/>
      <c r="GG134" s="504"/>
      <c r="GH134" s="504"/>
      <c r="GI134" s="504"/>
      <c r="GJ134" s="504"/>
      <c r="GK134" s="504"/>
      <c r="GL134" s="504"/>
      <c r="GM134" s="504"/>
      <c r="GN134" s="504"/>
      <c r="GO134" s="504"/>
      <c r="GP134" s="504"/>
      <c r="GQ134" s="504"/>
      <c r="GR134" s="504"/>
      <c r="GS134" s="504"/>
      <c r="GT134" s="504"/>
      <c r="GU134" s="504"/>
      <c r="GV134" s="504"/>
      <c r="GW134" s="504"/>
      <c r="GX134" s="504"/>
      <c r="GY134" s="504"/>
      <c r="GZ134" s="504"/>
      <c r="HA134" s="504"/>
      <c r="HB134" s="504"/>
      <c r="HC134" s="504"/>
      <c r="HD134" s="504"/>
      <c r="HE134" s="504"/>
      <c r="HF134" s="504"/>
      <c r="HG134" s="504"/>
      <c r="HH134" s="504"/>
      <c r="HI134" s="504"/>
      <c r="HJ134" s="504"/>
      <c r="HK134" s="504"/>
      <c r="HL134" s="504"/>
      <c r="HM134" s="504"/>
      <c r="HN134" s="504"/>
      <c r="HO134" s="504"/>
      <c r="HP134" s="504"/>
      <c r="HQ134" s="504"/>
      <c r="HR134" s="504"/>
      <c r="HS134" s="504"/>
      <c r="HT134" s="504"/>
      <c r="HU134" s="504"/>
      <c r="HV134" s="504"/>
      <c r="HW134" s="504"/>
      <c r="HX134" s="504"/>
      <c r="HY134" s="504"/>
      <c r="HZ134" s="504"/>
      <c r="IA134" s="504"/>
      <c r="IB134" s="504"/>
      <c r="IC134" s="504"/>
      <c r="ID134" s="504"/>
      <c r="IE134" s="504"/>
      <c r="IF134" s="504"/>
      <c r="IG134" s="504"/>
      <c r="IH134" s="504"/>
      <c r="II134" s="504"/>
      <c r="IJ134" s="504"/>
      <c r="IK134" s="504"/>
      <c r="IL134" s="504"/>
      <c r="IM134" s="504"/>
      <c r="IN134" s="504"/>
      <c r="IO134" s="504"/>
      <c r="IP134" s="504"/>
      <c r="IQ134" s="504"/>
      <c r="IR134" s="504"/>
      <c r="IS134" s="504"/>
      <c r="IT134" s="504"/>
      <c r="IU134" s="504"/>
      <c r="IV134" s="504"/>
      <c r="IW134" s="504"/>
      <c r="IX134" s="504"/>
      <c r="IY134" s="504"/>
      <c r="IZ134" s="504"/>
      <c r="JA134" s="504"/>
      <c r="JB134" s="504"/>
      <c r="JC134" s="504"/>
      <c r="JD134" s="504"/>
      <c r="JE134" s="504"/>
      <c r="JF134" s="504"/>
      <c r="JG134" s="504"/>
      <c r="JH134" s="504"/>
      <c r="JI134" s="504"/>
      <c r="JJ134" s="504"/>
      <c r="JK134" s="504"/>
      <c r="JL134" s="504"/>
      <c r="JM134" s="504"/>
      <c r="JN134" s="504"/>
      <c r="JO134" s="504"/>
      <c r="JP134" s="504"/>
      <c r="JQ134" s="504"/>
      <c r="JR134" s="504"/>
      <c r="JS134" s="504"/>
      <c r="JT134" s="504"/>
      <c r="JU134" s="504"/>
      <c r="JV134" s="504"/>
      <c r="JW134" s="504"/>
      <c r="JX134" s="504"/>
      <c r="JY134" s="504"/>
      <c r="JZ134" s="504"/>
      <c r="KA134" s="504"/>
      <c r="KB134" s="504"/>
      <c r="KC134" s="504"/>
      <c r="KD134" s="504"/>
      <c r="KE134" s="504"/>
      <c r="KF134" s="504"/>
      <c r="KG134" s="504"/>
      <c r="KH134" s="504"/>
      <c r="KI134" s="504"/>
      <c r="KJ134" s="504"/>
      <c r="KK134" s="504"/>
      <c r="KL134" s="504"/>
      <c r="KM134" s="504"/>
      <c r="KN134" s="504"/>
      <c r="KO134" s="504"/>
      <c r="KP134" s="504"/>
      <c r="KQ134" s="504"/>
      <c r="KR134" s="504"/>
      <c r="KS134" s="504"/>
      <c r="KT134" s="504"/>
      <c r="KU134" s="504"/>
      <c r="KV134" s="504"/>
      <c r="KW134" s="504"/>
      <c r="KX134" s="504"/>
      <c r="KY134" s="504"/>
      <c r="KZ134" s="504"/>
      <c r="LA134" s="504"/>
      <c r="LB134" s="504"/>
      <c r="LC134" s="504"/>
      <c r="LD134" s="504"/>
      <c r="LE134" s="504"/>
      <c r="LF134" s="504"/>
      <c r="LG134" s="504"/>
      <c r="LH134" s="504"/>
      <c r="LI134" s="504"/>
      <c r="LJ134" s="504"/>
      <c r="LK134" s="504"/>
      <c r="LL134" s="504"/>
      <c r="LM134" s="504"/>
      <c r="LN134" s="504"/>
      <c r="LO134" s="504"/>
      <c r="LP134" s="504"/>
      <c r="LQ134" s="504"/>
      <c r="LR134" s="504"/>
      <c r="LS134" s="504"/>
      <c r="LT134" s="504"/>
      <c r="LU134" s="504"/>
      <c r="LV134" s="504"/>
      <c r="LW134" s="504"/>
      <c r="LX134" s="504"/>
      <c r="LY134" s="504"/>
      <c r="LZ134" s="504"/>
      <c r="MA134" s="504"/>
      <c r="MB134" s="504"/>
    </row>
    <row r="135" spans="1:340" ht="20.85" customHeight="1">
      <c r="A135" s="475"/>
      <c r="B135" s="2530"/>
      <c r="C135" s="465"/>
      <c r="D135" s="1144"/>
      <c r="E135" s="1722" t="s">
        <v>56</v>
      </c>
      <c r="F135" s="438">
        <f>Y135</f>
        <v>10000</v>
      </c>
      <c r="G135" s="438">
        <v>10000</v>
      </c>
      <c r="H135" s="482"/>
      <c r="J135" s="2538" t="s">
        <v>8</v>
      </c>
      <c r="K135" s="2534"/>
      <c r="L135" s="2534"/>
      <c r="M135" s="2534"/>
      <c r="N135" s="2357"/>
      <c r="O135" s="2357"/>
      <c r="P135" s="2357"/>
      <c r="Q135" s="1673"/>
      <c r="R135" s="1671"/>
      <c r="S135" s="2539"/>
      <c r="T135" s="2539"/>
      <c r="U135" s="2357"/>
      <c r="V135" s="2539"/>
      <c r="W135" s="2539"/>
      <c r="X135" s="1140"/>
      <c r="Y135" s="1674">
        <f>+Y136+Y137+Y138</f>
        <v>10000</v>
      </c>
      <c r="Z135" s="494">
        <f>+Z136+Z137+Z138</f>
        <v>10000000</v>
      </c>
      <c r="AA135" s="2563"/>
      <c r="AB135" s="347"/>
      <c r="AC135" s="347"/>
      <c r="AD135" s="370"/>
    </row>
    <row r="136" spans="1:340" ht="20.85" customHeight="1">
      <c r="A136" s="475"/>
      <c r="B136" s="2530"/>
      <c r="C136" s="465"/>
      <c r="D136" s="1144"/>
      <c r="E136" s="1722"/>
      <c r="F136" s="438"/>
      <c r="G136" s="438"/>
      <c r="H136" s="482"/>
      <c r="J136" s="2538" t="s">
        <v>3145</v>
      </c>
      <c r="K136" s="2534"/>
      <c r="L136" s="2534"/>
      <c r="M136" s="2534"/>
      <c r="N136" s="2357"/>
      <c r="O136" s="2357"/>
      <c r="P136" s="2357"/>
      <c r="Q136" s="2539">
        <v>100</v>
      </c>
      <c r="R136" s="2533" t="s">
        <v>3059</v>
      </c>
      <c r="S136" s="2539">
        <v>20000</v>
      </c>
      <c r="T136" s="1671" t="s">
        <v>0</v>
      </c>
      <c r="U136" s="2357"/>
      <c r="V136" s="2539">
        <v>2</v>
      </c>
      <c r="W136" s="2539" t="s">
        <v>3</v>
      </c>
      <c r="X136" s="397" t="s">
        <v>1</v>
      </c>
      <c r="Y136" s="1674">
        <f>Z136/1000</f>
        <v>4000</v>
      </c>
      <c r="Z136" s="407">
        <f>Q136*S136*V136</f>
        <v>4000000</v>
      </c>
      <c r="AA136" s="2563"/>
      <c r="AB136" s="347"/>
      <c r="AC136" s="347"/>
      <c r="AD136" s="370"/>
    </row>
    <row r="137" spans="1:340" ht="20.85" customHeight="1">
      <c r="A137" s="475"/>
      <c r="B137" s="2530"/>
      <c r="C137" s="465"/>
      <c r="D137" s="1144"/>
      <c r="E137" s="1722"/>
      <c r="F137" s="438"/>
      <c r="G137" s="438"/>
      <c r="H137" s="482"/>
      <c r="J137" s="2538" t="s">
        <v>3146</v>
      </c>
      <c r="K137" s="2534"/>
      <c r="L137" s="2534"/>
      <c r="M137" s="2534"/>
      <c r="N137" s="2357"/>
      <c r="O137" s="2357"/>
      <c r="P137" s="2357"/>
      <c r="Q137" s="1673">
        <v>10</v>
      </c>
      <c r="R137" s="2533" t="s">
        <v>3092</v>
      </c>
      <c r="S137" s="2539">
        <v>100000</v>
      </c>
      <c r="T137" s="1671" t="s">
        <v>0</v>
      </c>
      <c r="U137" s="2357"/>
      <c r="V137" s="2539">
        <v>2</v>
      </c>
      <c r="W137" s="2539" t="s">
        <v>3</v>
      </c>
      <c r="X137" s="397" t="s">
        <v>1</v>
      </c>
      <c r="Y137" s="1674">
        <f t="shared" ref="Y137:Y138" si="31">Z137/1000</f>
        <v>2000</v>
      </c>
      <c r="Z137" s="407">
        <f>Q137*S137*V137</f>
        <v>2000000</v>
      </c>
      <c r="AA137" s="2563"/>
      <c r="AB137" s="347"/>
      <c r="AC137" s="347"/>
      <c r="AD137" s="370"/>
      <c r="AE137" s="504"/>
      <c r="AF137" s="504"/>
      <c r="AG137" s="504"/>
      <c r="AH137" s="504"/>
      <c r="AI137" s="504"/>
      <c r="AJ137" s="504"/>
      <c r="AK137" s="504"/>
      <c r="AL137" s="504"/>
      <c r="AM137" s="504"/>
      <c r="AN137" s="504"/>
      <c r="AO137" s="504"/>
      <c r="AP137" s="504"/>
      <c r="AQ137" s="504"/>
      <c r="AR137" s="504"/>
      <c r="AS137" s="504"/>
      <c r="AT137" s="504"/>
      <c r="AU137" s="504"/>
      <c r="AV137" s="504"/>
      <c r="AW137" s="504"/>
      <c r="AX137" s="504"/>
      <c r="AY137" s="504"/>
      <c r="AZ137" s="504"/>
      <c r="BA137" s="504"/>
      <c r="BB137" s="504"/>
      <c r="BC137" s="504"/>
      <c r="BD137" s="504"/>
      <c r="BE137" s="504"/>
      <c r="BF137" s="504"/>
      <c r="BG137" s="504"/>
      <c r="BH137" s="504"/>
      <c r="BI137" s="504"/>
      <c r="BJ137" s="504"/>
      <c r="BK137" s="504"/>
      <c r="BL137" s="504"/>
      <c r="BM137" s="504"/>
      <c r="BN137" s="504"/>
      <c r="BO137" s="504"/>
      <c r="BP137" s="504"/>
      <c r="BQ137" s="504"/>
      <c r="BR137" s="504"/>
      <c r="BS137" s="504"/>
      <c r="BT137" s="504"/>
      <c r="BU137" s="504"/>
      <c r="BV137" s="504"/>
      <c r="BW137" s="504"/>
      <c r="BX137" s="504"/>
      <c r="BY137" s="504"/>
      <c r="BZ137" s="504"/>
      <c r="CA137" s="504"/>
      <c r="CB137" s="504"/>
      <c r="CC137" s="504"/>
      <c r="CD137" s="504"/>
      <c r="CE137" s="504"/>
      <c r="CF137" s="504"/>
      <c r="CG137" s="504"/>
      <c r="CH137" s="504"/>
      <c r="CI137" s="504"/>
      <c r="CJ137" s="504"/>
      <c r="CK137" s="504"/>
      <c r="CL137" s="504"/>
      <c r="CM137" s="504"/>
      <c r="CN137" s="504"/>
      <c r="CO137" s="504"/>
      <c r="CP137" s="504"/>
      <c r="CQ137" s="504"/>
      <c r="CR137" s="504"/>
      <c r="CS137" s="504"/>
      <c r="CT137" s="504"/>
      <c r="CU137" s="504"/>
      <c r="CV137" s="504"/>
      <c r="CW137" s="504"/>
      <c r="CX137" s="504"/>
      <c r="CY137" s="504"/>
      <c r="CZ137" s="504"/>
      <c r="DA137" s="504"/>
      <c r="DB137" s="504"/>
      <c r="DC137" s="504"/>
      <c r="DD137" s="504"/>
      <c r="DE137" s="504"/>
      <c r="DF137" s="504"/>
      <c r="DG137" s="504"/>
      <c r="DH137" s="504"/>
      <c r="DI137" s="504"/>
      <c r="DJ137" s="504"/>
      <c r="DK137" s="504"/>
      <c r="DL137" s="504"/>
      <c r="DM137" s="504"/>
      <c r="DN137" s="504"/>
      <c r="DO137" s="504"/>
      <c r="DP137" s="504"/>
      <c r="DQ137" s="504"/>
      <c r="DR137" s="504"/>
      <c r="DS137" s="504"/>
      <c r="DT137" s="504"/>
      <c r="DU137" s="504"/>
      <c r="DV137" s="504"/>
      <c r="DW137" s="504"/>
      <c r="DX137" s="504"/>
      <c r="DY137" s="504"/>
      <c r="DZ137" s="504"/>
      <c r="EA137" s="504"/>
      <c r="EB137" s="504"/>
      <c r="EC137" s="504"/>
      <c r="ED137" s="504"/>
      <c r="EE137" s="504"/>
      <c r="EF137" s="504"/>
      <c r="EG137" s="504"/>
      <c r="EH137" s="504"/>
      <c r="EI137" s="504"/>
      <c r="EJ137" s="504"/>
      <c r="EK137" s="504"/>
      <c r="EL137" s="504"/>
      <c r="EM137" s="504"/>
      <c r="EN137" s="504"/>
      <c r="EO137" s="504"/>
      <c r="EP137" s="504"/>
      <c r="EQ137" s="504"/>
      <c r="ER137" s="504"/>
      <c r="ES137" s="504"/>
      <c r="ET137" s="504"/>
      <c r="EU137" s="504"/>
      <c r="EV137" s="504"/>
      <c r="EW137" s="504"/>
      <c r="EX137" s="504"/>
      <c r="EY137" s="504"/>
      <c r="EZ137" s="504"/>
      <c r="FA137" s="504"/>
      <c r="FB137" s="504"/>
      <c r="FC137" s="504"/>
      <c r="FD137" s="504"/>
      <c r="FE137" s="504"/>
      <c r="FF137" s="504"/>
      <c r="FG137" s="504"/>
      <c r="FH137" s="504"/>
      <c r="FI137" s="504"/>
      <c r="FJ137" s="504"/>
      <c r="FK137" s="504"/>
      <c r="FL137" s="504"/>
      <c r="FM137" s="504"/>
      <c r="FN137" s="504"/>
      <c r="FO137" s="504"/>
      <c r="FP137" s="504"/>
      <c r="FQ137" s="504"/>
      <c r="FR137" s="504"/>
      <c r="FS137" s="504"/>
      <c r="FT137" s="504"/>
      <c r="FU137" s="504"/>
      <c r="FV137" s="504"/>
      <c r="FW137" s="504"/>
      <c r="FX137" s="504"/>
      <c r="FY137" s="504"/>
      <c r="FZ137" s="504"/>
      <c r="GA137" s="504"/>
      <c r="GB137" s="504"/>
      <c r="GC137" s="504"/>
      <c r="GD137" s="504"/>
      <c r="GE137" s="504"/>
      <c r="GF137" s="504"/>
      <c r="GG137" s="504"/>
      <c r="GH137" s="504"/>
      <c r="GI137" s="504"/>
      <c r="GJ137" s="504"/>
      <c r="GK137" s="504"/>
      <c r="GL137" s="504"/>
      <c r="GM137" s="504"/>
      <c r="GN137" s="504"/>
      <c r="GO137" s="504"/>
      <c r="GP137" s="504"/>
      <c r="GQ137" s="504"/>
      <c r="GR137" s="504"/>
      <c r="GS137" s="504"/>
      <c r="GT137" s="504"/>
      <c r="GU137" s="504"/>
      <c r="GV137" s="504"/>
      <c r="GW137" s="504"/>
      <c r="GX137" s="504"/>
      <c r="GY137" s="504"/>
      <c r="GZ137" s="504"/>
      <c r="HA137" s="504"/>
      <c r="HB137" s="504"/>
      <c r="HC137" s="504"/>
      <c r="HD137" s="504"/>
      <c r="HE137" s="504"/>
      <c r="HF137" s="504"/>
      <c r="HG137" s="504"/>
      <c r="HH137" s="504"/>
      <c r="HI137" s="504"/>
      <c r="HJ137" s="504"/>
      <c r="HK137" s="504"/>
      <c r="HL137" s="504"/>
      <c r="HM137" s="504"/>
      <c r="HN137" s="504"/>
      <c r="HO137" s="504"/>
      <c r="HP137" s="504"/>
      <c r="HQ137" s="504"/>
      <c r="HR137" s="504"/>
      <c r="HS137" s="504"/>
      <c r="HT137" s="504"/>
      <c r="HU137" s="504"/>
      <c r="HV137" s="504"/>
      <c r="HW137" s="504"/>
      <c r="HX137" s="504"/>
      <c r="HY137" s="504"/>
      <c r="HZ137" s="504"/>
      <c r="IA137" s="504"/>
      <c r="IB137" s="504"/>
      <c r="IC137" s="504"/>
      <c r="ID137" s="504"/>
      <c r="IE137" s="504"/>
      <c r="IF137" s="504"/>
      <c r="IG137" s="504"/>
      <c r="IH137" s="504"/>
      <c r="II137" s="504"/>
      <c r="IJ137" s="504"/>
      <c r="IK137" s="504"/>
      <c r="IL137" s="504"/>
      <c r="IM137" s="504"/>
      <c r="IN137" s="504"/>
      <c r="IO137" s="504"/>
      <c r="IP137" s="504"/>
      <c r="IQ137" s="504"/>
      <c r="IR137" s="504"/>
      <c r="IS137" s="504"/>
      <c r="IT137" s="504"/>
      <c r="IU137" s="504"/>
      <c r="IV137" s="504"/>
      <c r="IW137" s="504"/>
      <c r="IX137" s="504"/>
      <c r="IY137" s="504"/>
      <c r="IZ137" s="504"/>
      <c r="JA137" s="504"/>
      <c r="JB137" s="504"/>
      <c r="JC137" s="504"/>
      <c r="JD137" s="504"/>
      <c r="JE137" s="504"/>
      <c r="JF137" s="504"/>
      <c r="JG137" s="504"/>
      <c r="JH137" s="504"/>
      <c r="JI137" s="504"/>
      <c r="JJ137" s="504"/>
      <c r="JK137" s="504"/>
      <c r="JL137" s="504"/>
      <c r="JM137" s="504"/>
      <c r="JN137" s="504"/>
      <c r="JO137" s="504"/>
      <c r="JP137" s="504"/>
      <c r="JQ137" s="504"/>
      <c r="JR137" s="504"/>
      <c r="JS137" s="504"/>
      <c r="JT137" s="504"/>
      <c r="JU137" s="504"/>
      <c r="JV137" s="504"/>
      <c r="JW137" s="504"/>
      <c r="JX137" s="504"/>
      <c r="JY137" s="504"/>
      <c r="JZ137" s="504"/>
      <c r="KA137" s="504"/>
      <c r="KB137" s="504"/>
      <c r="KC137" s="504"/>
      <c r="KD137" s="504"/>
      <c r="KE137" s="504"/>
      <c r="KF137" s="504"/>
      <c r="KG137" s="504"/>
      <c r="KH137" s="504"/>
      <c r="KI137" s="504"/>
      <c r="KJ137" s="504"/>
      <c r="KK137" s="504"/>
      <c r="KL137" s="504"/>
      <c r="KM137" s="504"/>
      <c r="KN137" s="504"/>
      <c r="KO137" s="504"/>
      <c r="KP137" s="504"/>
      <c r="KQ137" s="504"/>
      <c r="KR137" s="504"/>
      <c r="KS137" s="504"/>
      <c r="KT137" s="504"/>
      <c r="KU137" s="504"/>
      <c r="KV137" s="504"/>
      <c r="KW137" s="504"/>
      <c r="KX137" s="504"/>
      <c r="KY137" s="504"/>
      <c r="KZ137" s="504"/>
      <c r="LA137" s="504"/>
      <c r="LB137" s="504"/>
      <c r="LC137" s="504"/>
      <c r="LD137" s="504"/>
      <c r="LE137" s="504"/>
      <c r="LF137" s="504"/>
      <c r="LG137" s="504"/>
      <c r="LH137" s="504"/>
      <c r="LI137" s="504"/>
      <c r="LJ137" s="504"/>
      <c r="LK137" s="504"/>
      <c r="LL137" s="504"/>
      <c r="LM137" s="504"/>
      <c r="LN137" s="504"/>
      <c r="LO137" s="504"/>
      <c r="LP137" s="504"/>
      <c r="LQ137" s="504"/>
      <c r="LR137" s="504"/>
      <c r="LS137" s="504"/>
      <c r="LT137" s="504"/>
      <c r="LU137" s="504"/>
      <c r="LV137" s="504"/>
      <c r="LW137" s="504"/>
      <c r="LX137" s="504"/>
      <c r="LY137" s="504"/>
      <c r="LZ137" s="504"/>
      <c r="MA137" s="504"/>
      <c r="MB137" s="504"/>
    </row>
    <row r="138" spans="1:340" ht="20.85" customHeight="1">
      <c r="A138" s="475"/>
      <c r="B138" s="2530"/>
      <c r="C138" s="465"/>
      <c r="D138" s="1144"/>
      <c r="E138" s="1722"/>
      <c r="F138" s="438"/>
      <c r="G138" s="438"/>
      <c r="H138" s="482"/>
      <c r="J138" s="2538" t="s">
        <v>3147</v>
      </c>
      <c r="K138" s="2534"/>
      <c r="L138" s="2534"/>
      <c r="M138" s="2534"/>
      <c r="N138" s="2357"/>
      <c r="O138" s="2357"/>
      <c r="P138" s="2357"/>
      <c r="Q138" s="1671">
        <v>1</v>
      </c>
      <c r="R138" s="2533" t="s">
        <v>3148</v>
      </c>
      <c r="S138" s="2539">
        <v>2000000</v>
      </c>
      <c r="T138" s="1671" t="s">
        <v>0</v>
      </c>
      <c r="U138" s="2357"/>
      <c r="V138" s="2539">
        <v>2</v>
      </c>
      <c r="W138" s="2539" t="s">
        <v>3</v>
      </c>
      <c r="X138" s="397" t="s">
        <v>1</v>
      </c>
      <c r="Y138" s="1674">
        <f t="shared" si="31"/>
        <v>4000</v>
      </c>
      <c r="Z138" s="407">
        <f>Q138*S138*V138</f>
        <v>4000000</v>
      </c>
      <c r="AA138" s="2563"/>
      <c r="AB138" s="347"/>
      <c r="AC138" s="347"/>
      <c r="AD138" s="370"/>
      <c r="AE138" s="504"/>
      <c r="AF138" s="504"/>
      <c r="AG138" s="504"/>
      <c r="AH138" s="504"/>
      <c r="AI138" s="504"/>
      <c r="AJ138" s="504"/>
      <c r="AK138" s="504"/>
      <c r="AL138" s="504"/>
      <c r="AM138" s="504"/>
      <c r="AN138" s="504"/>
      <c r="AO138" s="504"/>
      <c r="AP138" s="504"/>
      <c r="AQ138" s="504"/>
      <c r="AR138" s="504"/>
      <c r="AS138" s="504"/>
      <c r="AT138" s="504"/>
      <c r="AU138" s="504"/>
      <c r="AV138" s="504"/>
      <c r="AW138" s="504"/>
      <c r="AX138" s="504"/>
      <c r="AY138" s="504"/>
      <c r="AZ138" s="504"/>
      <c r="BA138" s="504"/>
      <c r="BB138" s="504"/>
      <c r="BC138" s="504"/>
      <c r="BD138" s="504"/>
      <c r="BE138" s="504"/>
      <c r="BF138" s="504"/>
      <c r="BG138" s="504"/>
      <c r="BH138" s="504"/>
      <c r="BI138" s="504"/>
      <c r="BJ138" s="504"/>
      <c r="BK138" s="504"/>
      <c r="BL138" s="504"/>
      <c r="BM138" s="504"/>
      <c r="BN138" s="504"/>
      <c r="BO138" s="504"/>
      <c r="BP138" s="504"/>
      <c r="BQ138" s="504"/>
      <c r="BR138" s="504"/>
      <c r="BS138" s="504"/>
      <c r="BT138" s="504"/>
      <c r="BU138" s="504"/>
      <c r="BV138" s="504"/>
      <c r="BW138" s="504"/>
      <c r="BX138" s="504"/>
      <c r="BY138" s="504"/>
      <c r="BZ138" s="504"/>
      <c r="CA138" s="504"/>
      <c r="CB138" s="504"/>
      <c r="CC138" s="504"/>
      <c r="CD138" s="504"/>
      <c r="CE138" s="504"/>
      <c r="CF138" s="504"/>
      <c r="CG138" s="504"/>
      <c r="CH138" s="504"/>
      <c r="CI138" s="504"/>
      <c r="CJ138" s="504"/>
      <c r="CK138" s="504"/>
      <c r="CL138" s="504"/>
      <c r="CM138" s="504"/>
      <c r="CN138" s="504"/>
      <c r="CO138" s="504"/>
      <c r="CP138" s="504"/>
      <c r="CQ138" s="504"/>
      <c r="CR138" s="504"/>
      <c r="CS138" s="504"/>
      <c r="CT138" s="504"/>
      <c r="CU138" s="504"/>
      <c r="CV138" s="504"/>
      <c r="CW138" s="504"/>
      <c r="CX138" s="504"/>
      <c r="CY138" s="504"/>
      <c r="CZ138" s="504"/>
      <c r="DA138" s="504"/>
      <c r="DB138" s="504"/>
      <c r="DC138" s="504"/>
      <c r="DD138" s="504"/>
      <c r="DE138" s="504"/>
      <c r="DF138" s="504"/>
      <c r="DG138" s="504"/>
      <c r="DH138" s="504"/>
      <c r="DI138" s="504"/>
      <c r="DJ138" s="504"/>
      <c r="DK138" s="504"/>
      <c r="DL138" s="504"/>
      <c r="DM138" s="504"/>
      <c r="DN138" s="504"/>
      <c r="DO138" s="504"/>
      <c r="DP138" s="504"/>
      <c r="DQ138" s="504"/>
      <c r="DR138" s="504"/>
      <c r="DS138" s="504"/>
      <c r="DT138" s="504"/>
      <c r="DU138" s="504"/>
      <c r="DV138" s="504"/>
      <c r="DW138" s="504"/>
      <c r="DX138" s="504"/>
      <c r="DY138" s="504"/>
      <c r="DZ138" s="504"/>
      <c r="EA138" s="504"/>
      <c r="EB138" s="504"/>
      <c r="EC138" s="504"/>
      <c r="ED138" s="504"/>
      <c r="EE138" s="504"/>
      <c r="EF138" s="504"/>
      <c r="EG138" s="504"/>
      <c r="EH138" s="504"/>
      <c r="EI138" s="504"/>
      <c r="EJ138" s="504"/>
      <c r="EK138" s="504"/>
      <c r="EL138" s="504"/>
      <c r="EM138" s="504"/>
      <c r="EN138" s="504"/>
      <c r="EO138" s="504"/>
      <c r="EP138" s="504"/>
      <c r="EQ138" s="504"/>
      <c r="ER138" s="504"/>
      <c r="ES138" s="504"/>
      <c r="ET138" s="504"/>
      <c r="EU138" s="504"/>
      <c r="EV138" s="504"/>
      <c r="EW138" s="504"/>
      <c r="EX138" s="504"/>
      <c r="EY138" s="504"/>
      <c r="EZ138" s="504"/>
      <c r="FA138" s="504"/>
      <c r="FB138" s="504"/>
      <c r="FC138" s="504"/>
      <c r="FD138" s="504"/>
      <c r="FE138" s="504"/>
      <c r="FF138" s="504"/>
      <c r="FG138" s="504"/>
      <c r="FH138" s="504"/>
      <c r="FI138" s="504"/>
      <c r="FJ138" s="504"/>
      <c r="FK138" s="504"/>
      <c r="FL138" s="504"/>
      <c r="FM138" s="504"/>
      <c r="FN138" s="504"/>
      <c r="FO138" s="504"/>
      <c r="FP138" s="504"/>
      <c r="FQ138" s="504"/>
      <c r="FR138" s="504"/>
      <c r="FS138" s="504"/>
      <c r="FT138" s="504"/>
      <c r="FU138" s="504"/>
      <c r="FV138" s="504"/>
      <c r="FW138" s="504"/>
      <c r="FX138" s="504"/>
      <c r="FY138" s="504"/>
      <c r="FZ138" s="504"/>
      <c r="GA138" s="504"/>
      <c r="GB138" s="504"/>
      <c r="GC138" s="504"/>
      <c r="GD138" s="504"/>
      <c r="GE138" s="504"/>
      <c r="GF138" s="504"/>
      <c r="GG138" s="504"/>
      <c r="GH138" s="504"/>
      <c r="GI138" s="504"/>
      <c r="GJ138" s="504"/>
      <c r="GK138" s="504"/>
      <c r="GL138" s="504"/>
      <c r="GM138" s="504"/>
      <c r="GN138" s="504"/>
      <c r="GO138" s="504"/>
      <c r="GP138" s="504"/>
      <c r="GQ138" s="504"/>
      <c r="GR138" s="504"/>
      <c r="GS138" s="504"/>
      <c r="GT138" s="504"/>
      <c r="GU138" s="504"/>
      <c r="GV138" s="504"/>
      <c r="GW138" s="504"/>
      <c r="GX138" s="504"/>
      <c r="GY138" s="504"/>
      <c r="GZ138" s="504"/>
      <c r="HA138" s="504"/>
      <c r="HB138" s="504"/>
      <c r="HC138" s="504"/>
      <c r="HD138" s="504"/>
      <c r="HE138" s="504"/>
      <c r="HF138" s="504"/>
      <c r="HG138" s="504"/>
      <c r="HH138" s="504"/>
      <c r="HI138" s="504"/>
      <c r="HJ138" s="504"/>
      <c r="HK138" s="504"/>
      <c r="HL138" s="504"/>
      <c r="HM138" s="504"/>
      <c r="HN138" s="504"/>
      <c r="HO138" s="504"/>
      <c r="HP138" s="504"/>
      <c r="HQ138" s="504"/>
      <c r="HR138" s="504"/>
      <c r="HS138" s="504"/>
      <c r="HT138" s="504"/>
      <c r="HU138" s="504"/>
      <c r="HV138" s="504"/>
      <c r="HW138" s="504"/>
      <c r="HX138" s="504"/>
      <c r="HY138" s="504"/>
      <c r="HZ138" s="504"/>
      <c r="IA138" s="504"/>
      <c r="IB138" s="504"/>
      <c r="IC138" s="504"/>
      <c r="ID138" s="504"/>
      <c r="IE138" s="504"/>
      <c r="IF138" s="504"/>
      <c r="IG138" s="504"/>
      <c r="IH138" s="504"/>
      <c r="II138" s="504"/>
      <c r="IJ138" s="504"/>
      <c r="IK138" s="504"/>
      <c r="IL138" s="504"/>
      <c r="IM138" s="504"/>
      <c r="IN138" s="504"/>
      <c r="IO138" s="504"/>
      <c r="IP138" s="504"/>
      <c r="IQ138" s="504"/>
      <c r="IR138" s="504"/>
      <c r="IS138" s="504"/>
      <c r="IT138" s="504"/>
      <c r="IU138" s="504"/>
      <c r="IV138" s="504"/>
      <c r="IW138" s="504"/>
      <c r="IX138" s="504"/>
      <c r="IY138" s="504"/>
      <c r="IZ138" s="504"/>
      <c r="JA138" s="504"/>
      <c r="JB138" s="504"/>
      <c r="JC138" s="504"/>
      <c r="JD138" s="504"/>
      <c r="JE138" s="504"/>
      <c r="JF138" s="504"/>
      <c r="JG138" s="504"/>
      <c r="JH138" s="504"/>
      <c r="JI138" s="504"/>
      <c r="JJ138" s="504"/>
      <c r="JK138" s="504"/>
      <c r="JL138" s="504"/>
      <c r="JM138" s="504"/>
      <c r="JN138" s="504"/>
      <c r="JO138" s="504"/>
      <c r="JP138" s="504"/>
      <c r="JQ138" s="504"/>
      <c r="JR138" s="504"/>
      <c r="JS138" s="504"/>
      <c r="JT138" s="504"/>
      <c r="JU138" s="504"/>
      <c r="JV138" s="504"/>
      <c r="JW138" s="504"/>
      <c r="JX138" s="504"/>
      <c r="JY138" s="504"/>
      <c r="JZ138" s="504"/>
      <c r="KA138" s="504"/>
      <c r="KB138" s="504"/>
      <c r="KC138" s="504"/>
      <c r="KD138" s="504"/>
      <c r="KE138" s="504"/>
      <c r="KF138" s="504"/>
      <c r="KG138" s="504"/>
      <c r="KH138" s="504"/>
      <c r="KI138" s="504"/>
      <c r="KJ138" s="504"/>
      <c r="KK138" s="504"/>
      <c r="KL138" s="504"/>
      <c r="KM138" s="504"/>
      <c r="KN138" s="504"/>
      <c r="KO138" s="504"/>
      <c r="KP138" s="504"/>
      <c r="KQ138" s="504"/>
      <c r="KR138" s="504"/>
      <c r="KS138" s="504"/>
      <c r="KT138" s="504"/>
      <c r="KU138" s="504"/>
      <c r="KV138" s="504"/>
      <c r="KW138" s="504"/>
      <c r="KX138" s="504"/>
      <c r="KY138" s="504"/>
      <c r="KZ138" s="504"/>
      <c r="LA138" s="504"/>
      <c r="LB138" s="504"/>
      <c r="LC138" s="504"/>
      <c r="LD138" s="504"/>
      <c r="LE138" s="504"/>
      <c r="LF138" s="504"/>
      <c r="LG138" s="504"/>
      <c r="LH138" s="504"/>
      <c r="LI138" s="504"/>
      <c r="LJ138" s="504"/>
      <c r="LK138" s="504"/>
      <c r="LL138" s="504"/>
      <c r="LM138" s="504"/>
      <c r="LN138" s="504"/>
      <c r="LO138" s="504"/>
      <c r="LP138" s="504"/>
      <c r="LQ138" s="504"/>
      <c r="LR138" s="504"/>
      <c r="LS138" s="504"/>
      <c r="LT138" s="504"/>
      <c r="LU138" s="504"/>
      <c r="LV138" s="504"/>
      <c r="LW138" s="504"/>
      <c r="LX138" s="504"/>
      <c r="LY138" s="504"/>
      <c r="LZ138" s="504"/>
      <c r="MA138" s="504"/>
      <c r="MB138" s="504"/>
    </row>
    <row r="139" spans="1:340" ht="20.85" customHeight="1">
      <c r="A139" s="475"/>
      <c r="B139" s="2530"/>
      <c r="C139" s="465"/>
      <c r="D139" s="1144"/>
      <c r="E139" s="1722" t="s">
        <v>3064</v>
      </c>
      <c r="F139" s="438">
        <f>Y139</f>
        <v>2000</v>
      </c>
      <c r="G139" s="438">
        <v>2000</v>
      </c>
      <c r="H139" s="482"/>
      <c r="J139" s="2538" t="s">
        <v>3149</v>
      </c>
      <c r="K139" s="2534"/>
      <c r="L139" s="2534"/>
      <c r="M139" s="2534"/>
      <c r="N139" s="2534"/>
      <c r="O139" s="2534"/>
      <c r="P139" s="2534"/>
      <c r="Q139" s="2539">
        <v>10</v>
      </c>
      <c r="R139" s="405" t="s">
        <v>3059</v>
      </c>
      <c r="S139" s="2539">
        <v>20000</v>
      </c>
      <c r="T139" s="2539" t="s">
        <v>3049</v>
      </c>
      <c r="U139" s="2539"/>
      <c r="V139" s="2539">
        <v>10</v>
      </c>
      <c r="W139" s="2539" t="s">
        <v>3054</v>
      </c>
      <c r="X139" s="1140" t="s">
        <v>3051</v>
      </c>
      <c r="Y139" s="1674">
        <f>Z139/1000</f>
        <v>2000</v>
      </c>
      <c r="Z139" s="407">
        <f>Q139*S139*V139</f>
        <v>2000000</v>
      </c>
      <c r="AA139" s="2563"/>
      <c r="AB139" s="347"/>
      <c r="AC139" s="347"/>
      <c r="AD139" s="370"/>
      <c r="AE139" s="504"/>
      <c r="AF139" s="504"/>
      <c r="AG139" s="504"/>
      <c r="AH139" s="504"/>
      <c r="AI139" s="504"/>
      <c r="AJ139" s="504"/>
      <c r="AK139" s="504"/>
      <c r="AL139" s="504"/>
      <c r="AM139" s="504"/>
      <c r="AN139" s="504"/>
      <c r="AO139" s="504"/>
      <c r="AP139" s="504"/>
      <c r="AQ139" s="504"/>
      <c r="AR139" s="504"/>
      <c r="AS139" s="504"/>
      <c r="AT139" s="504"/>
      <c r="AU139" s="504"/>
      <c r="AV139" s="504"/>
      <c r="AW139" s="504"/>
      <c r="AX139" s="504"/>
      <c r="AY139" s="504"/>
      <c r="AZ139" s="504"/>
      <c r="BA139" s="504"/>
      <c r="BB139" s="504"/>
      <c r="BC139" s="504"/>
      <c r="BD139" s="504"/>
      <c r="BE139" s="504"/>
      <c r="BF139" s="504"/>
      <c r="BG139" s="504"/>
      <c r="BH139" s="504"/>
      <c r="BI139" s="504"/>
      <c r="BJ139" s="504"/>
      <c r="BK139" s="504"/>
      <c r="BL139" s="504"/>
      <c r="BM139" s="504"/>
      <c r="BN139" s="504"/>
      <c r="BO139" s="504"/>
      <c r="BP139" s="504"/>
      <c r="BQ139" s="504"/>
      <c r="BR139" s="504"/>
      <c r="BS139" s="504"/>
      <c r="BT139" s="504"/>
      <c r="BU139" s="504"/>
      <c r="BV139" s="504"/>
      <c r="BW139" s="504"/>
      <c r="BX139" s="504"/>
      <c r="BY139" s="504"/>
      <c r="BZ139" s="504"/>
      <c r="CA139" s="504"/>
      <c r="CB139" s="504"/>
      <c r="CC139" s="504"/>
      <c r="CD139" s="504"/>
      <c r="CE139" s="504"/>
      <c r="CF139" s="504"/>
      <c r="CG139" s="504"/>
      <c r="CH139" s="504"/>
      <c r="CI139" s="504"/>
      <c r="CJ139" s="504"/>
      <c r="CK139" s="504"/>
      <c r="CL139" s="504"/>
      <c r="CM139" s="504"/>
      <c r="CN139" s="504"/>
      <c r="CO139" s="504"/>
      <c r="CP139" s="504"/>
      <c r="CQ139" s="504"/>
      <c r="CR139" s="504"/>
      <c r="CS139" s="504"/>
      <c r="CT139" s="504"/>
      <c r="CU139" s="504"/>
      <c r="CV139" s="504"/>
      <c r="CW139" s="504"/>
      <c r="CX139" s="504"/>
      <c r="CY139" s="504"/>
      <c r="CZ139" s="504"/>
      <c r="DA139" s="504"/>
      <c r="DB139" s="504"/>
      <c r="DC139" s="504"/>
      <c r="DD139" s="504"/>
      <c r="DE139" s="504"/>
      <c r="DF139" s="504"/>
      <c r="DG139" s="504"/>
      <c r="DH139" s="504"/>
      <c r="DI139" s="504"/>
      <c r="DJ139" s="504"/>
      <c r="DK139" s="504"/>
      <c r="DL139" s="504"/>
      <c r="DM139" s="504"/>
      <c r="DN139" s="504"/>
      <c r="DO139" s="504"/>
      <c r="DP139" s="504"/>
      <c r="DQ139" s="504"/>
      <c r="DR139" s="504"/>
      <c r="DS139" s="504"/>
      <c r="DT139" s="504"/>
      <c r="DU139" s="504"/>
      <c r="DV139" s="504"/>
      <c r="DW139" s="504"/>
      <c r="DX139" s="504"/>
      <c r="DY139" s="504"/>
      <c r="DZ139" s="504"/>
      <c r="EA139" s="504"/>
      <c r="EB139" s="504"/>
      <c r="EC139" s="504"/>
      <c r="ED139" s="504"/>
      <c r="EE139" s="504"/>
      <c r="EF139" s="504"/>
      <c r="EG139" s="504"/>
      <c r="EH139" s="504"/>
      <c r="EI139" s="504"/>
      <c r="EJ139" s="504"/>
      <c r="EK139" s="504"/>
      <c r="EL139" s="504"/>
      <c r="EM139" s="504"/>
      <c r="EN139" s="504"/>
      <c r="EO139" s="504"/>
      <c r="EP139" s="504"/>
      <c r="EQ139" s="504"/>
      <c r="ER139" s="504"/>
      <c r="ES139" s="504"/>
      <c r="ET139" s="504"/>
      <c r="EU139" s="504"/>
      <c r="EV139" s="504"/>
      <c r="EW139" s="504"/>
      <c r="EX139" s="504"/>
      <c r="EY139" s="504"/>
      <c r="EZ139" s="504"/>
      <c r="FA139" s="504"/>
      <c r="FB139" s="504"/>
      <c r="FC139" s="504"/>
      <c r="FD139" s="504"/>
      <c r="FE139" s="504"/>
      <c r="FF139" s="504"/>
      <c r="FG139" s="504"/>
      <c r="FH139" s="504"/>
      <c r="FI139" s="504"/>
      <c r="FJ139" s="504"/>
      <c r="FK139" s="504"/>
      <c r="FL139" s="504"/>
      <c r="FM139" s="504"/>
      <c r="FN139" s="504"/>
      <c r="FO139" s="504"/>
      <c r="FP139" s="504"/>
      <c r="FQ139" s="504"/>
      <c r="FR139" s="504"/>
      <c r="FS139" s="504"/>
      <c r="FT139" s="504"/>
      <c r="FU139" s="504"/>
      <c r="FV139" s="504"/>
      <c r="FW139" s="504"/>
      <c r="FX139" s="504"/>
      <c r="FY139" s="504"/>
      <c r="FZ139" s="504"/>
      <c r="GA139" s="504"/>
      <c r="GB139" s="504"/>
      <c r="GC139" s="504"/>
      <c r="GD139" s="504"/>
      <c r="GE139" s="504"/>
      <c r="GF139" s="504"/>
      <c r="GG139" s="504"/>
      <c r="GH139" s="504"/>
      <c r="GI139" s="504"/>
      <c r="GJ139" s="504"/>
      <c r="GK139" s="504"/>
      <c r="GL139" s="504"/>
      <c r="GM139" s="504"/>
      <c r="GN139" s="504"/>
      <c r="GO139" s="504"/>
      <c r="GP139" s="504"/>
      <c r="GQ139" s="504"/>
      <c r="GR139" s="504"/>
      <c r="GS139" s="504"/>
      <c r="GT139" s="504"/>
      <c r="GU139" s="504"/>
      <c r="GV139" s="504"/>
      <c r="GW139" s="504"/>
      <c r="GX139" s="504"/>
      <c r="GY139" s="504"/>
      <c r="GZ139" s="504"/>
      <c r="HA139" s="504"/>
      <c r="HB139" s="504"/>
      <c r="HC139" s="504"/>
      <c r="HD139" s="504"/>
      <c r="HE139" s="504"/>
      <c r="HF139" s="504"/>
      <c r="HG139" s="504"/>
      <c r="HH139" s="504"/>
      <c r="HI139" s="504"/>
      <c r="HJ139" s="504"/>
      <c r="HK139" s="504"/>
      <c r="HL139" s="504"/>
      <c r="HM139" s="504"/>
      <c r="HN139" s="504"/>
      <c r="HO139" s="504"/>
      <c r="HP139" s="504"/>
      <c r="HQ139" s="504"/>
      <c r="HR139" s="504"/>
      <c r="HS139" s="504"/>
      <c r="HT139" s="504"/>
      <c r="HU139" s="504"/>
      <c r="HV139" s="504"/>
      <c r="HW139" s="504"/>
      <c r="HX139" s="504"/>
      <c r="HY139" s="504"/>
      <c r="HZ139" s="504"/>
      <c r="IA139" s="504"/>
      <c r="IB139" s="504"/>
      <c r="IC139" s="504"/>
      <c r="ID139" s="504"/>
      <c r="IE139" s="504"/>
      <c r="IF139" s="504"/>
      <c r="IG139" s="504"/>
      <c r="IH139" s="504"/>
      <c r="II139" s="504"/>
      <c r="IJ139" s="504"/>
      <c r="IK139" s="504"/>
      <c r="IL139" s="504"/>
      <c r="IM139" s="504"/>
      <c r="IN139" s="504"/>
      <c r="IO139" s="504"/>
      <c r="IP139" s="504"/>
      <c r="IQ139" s="504"/>
      <c r="IR139" s="504"/>
      <c r="IS139" s="504"/>
      <c r="IT139" s="504"/>
      <c r="IU139" s="504"/>
      <c r="IV139" s="504"/>
      <c r="IW139" s="504"/>
      <c r="IX139" s="504"/>
      <c r="IY139" s="504"/>
      <c r="IZ139" s="504"/>
      <c r="JA139" s="504"/>
      <c r="JB139" s="504"/>
      <c r="JC139" s="504"/>
      <c r="JD139" s="504"/>
      <c r="JE139" s="504"/>
      <c r="JF139" s="504"/>
      <c r="JG139" s="504"/>
      <c r="JH139" s="504"/>
      <c r="JI139" s="504"/>
      <c r="JJ139" s="504"/>
      <c r="JK139" s="504"/>
      <c r="JL139" s="504"/>
      <c r="JM139" s="504"/>
      <c r="JN139" s="504"/>
      <c r="JO139" s="504"/>
      <c r="JP139" s="504"/>
      <c r="JQ139" s="504"/>
      <c r="JR139" s="504"/>
      <c r="JS139" s="504"/>
      <c r="JT139" s="504"/>
      <c r="JU139" s="504"/>
      <c r="JV139" s="504"/>
      <c r="JW139" s="504"/>
      <c r="JX139" s="504"/>
      <c r="JY139" s="504"/>
      <c r="JZ139" s="504"/>
      <c r="KA139" s="504"/>
      <c r="KB139" s="504"/>
      <c r="KC139" s="504"/>
      <c r="KD139" s="504"/>
      <c r="KE139" s="504"/>
      <c r="KF139" s="504"/>
      <c r="KG139" s="504"/>
      <c r="KH139" s="504"/>
      <c r="KI139" s="504"/>
      <c r="KJ139" s="504"/>
      <c r="KK139" s="504"/>
      <c r="KL139" s="504"/>
      <c r="KM139" s="504"/>
      <c r="KN139" s="504"/>
      <c r="KO139" s="504"/>
      <c r="KP139" s="504"/>
      <c r="KQ139" s="504"/>
      <c r="KR139" s="504"/>
      <c r="KS139" s="504"/>
      <c r="KT139" s="504"/>
      <c r="KU139" s="504"/>
      <c r="KV139" s="504"/>
      <c r="KW139" s="504"/>
      <c r="KX139" s="504"/>
      <c r="KY139" s="504"/>
      <c r="KZ139" s="504"/>
      <c r="LA139" s="504"/>
      <c r="LB139" s="504"/>
      <c r="LC139" s="504"/>
      <c r="LD139" s="504"/>
      <c r="LE139" s="504"/>
      <c r="LF139" s="504"/>
      <c r="LG139" s="504"/>
      <c r="LH139" s="504"/>
      <c r="LI139" s="504"/>
      <c r="LJ139" s="504"/>
      <c r="LK139" s="504"/>
      <c r="LL139" s="504"/>
      <c r="LM139" s="504"/>
      <c r="LN139" s="504"/>
      <c r="LO139" s="504"/>
      <c r="LP139" s="504"/>
      <c r="LQ139" s="504"/>
      <c r="LR139" s="504"/>
      <c r="LS139" s="504"/>
      <c r="LT139" s="504"/>
      <c r="LU139" s="504"/>
      <c r="LV139" s="504"/>
      <c r="LW139" s="504"/>
      <c r="LX139" s="504"/>
      <c r="LY139" s="504"/>
      <c r="LZ139" s="504"/>
      <c r="MA139" s="504"/>
      <c r="MB139" s="504"/>
    </row>
    <row r="140" spans="1:340" ht="20.85" customHeight="1">
      <c r="A140" s="475"/>
      <c r="B140" s="2530"/>
      <c r="C140" s="465"/>
      <c r="D140" s="3266" t="s">
        <v>3151</v>
      </c>
      <c r="E140" s="3267"/>
      <c r="F140" s="385">
        <f>SUM(F141:F152)</f>
        <v>150000</v>
      </c>
      <c r="G140" s="429">
        <f>SUM(G141:G152)</f>
        <v>150000</v>
      </c>
      <c r="H140" s="386">
        <f>F140-G140</f>
        <v>0</v>
      </c>
      <c r="J140" s="1135"/>
      <c r="K140" s="2525"/>
      <c r="L140" s="2525"/>
      <c r="M140" s="2525"/>
      <c r="N140" s="2525"/>
      <c r="O140" s="2525"/>
      <c r="P140" s="2531"/>
      <c r="Q140" s="2531"/>
      <c r="R140" s="1136"/>
      <c r="S140" s="1136"/>
      <c r="T140" s="1136"/>
      <c r="U140" s="2531"/>
      <c r="V140" s="1136"/>
      <c r="W140" s="1136"/>
      <c r="X140" s="1138"/>
      <c r="Y140" s="377"/>
      <c r="Z140" s="503"/>
      <c r="AA140" s="2563"/>
      <c r="AB140" s="347"/>
      <c r="AC140" s="347"/>
      <c r="AD140" s="370"/>
    </row>
    <row r="141" spans="1:340" ht="20.85" customHeight="1">
      <c r="A141" s="475"/>
      <c r="B141" s="2530"/>
      <c r="C141" s="465"/>
      <c r="D141" s="433"/>
      <c r="E141" s="542" t="s">
        <v>3152</v>
      </c>
      <c r="F141" s="438">
        <f t="shared" ref="F141:F144" si="32">Y141</f>
        <v>8500</v>
      </c>
      <c r="G141" s="1116">
        <v>8500</v>
      </c>
      <c r="H141" s="482"/>
      <c r="I141" s="2534"/>
      <c r="J141" s="2538" t="s">
        <v>3153</v>
      </c>
      <c r="K141" s="2539"/>
      <c r="L141" s="2534"/>
      <c r="M141" s="2534"/>
      <c r="N141" s="1673"/>
      <c r="O141" s="2534"/>
      <c r="P141" s="2534"/>
      <c r="Q141" s="408"/>
      <c r="R141" s="2533"/>
      <c r="S141" s="1672">
        <v>8500000</v>
      </c>
      <c r="T141" s="2539" t="s">
        <v>0</v>
      </c>
      <c r="U141" s="2539"/>
      <c r="V141" s="2539">
        <v>1</v>
      </c>
      <c r="W141" s="2539" t="s">
        <v>3062</v>
      </c>
      <c r="X141" s="1140" t="s">
        <v>1</v>
      </c>
      <c r="Y141" s="1674">
        <f>Z141/1000</f>
        <v>8500</v>
      </c>
      <c r="Z141" s="407">
        <f>S141*V141</f>
        <v>8500000</v>
      </c>
      <c r="AB141" s="347"/>
      <c r="AC141" s="347"/>
      <c r="AD141" s="370"/>
    </row>
    <row r="142" spans="1:340" ht="20.85" customHeight="1">
      <c r="A142" s="475"/>
      <c r="B142" s="2530"/>
      <c r="C142" s="465"/>
      <c r="D142" s="433"/>
      <c r="E142" s="542" t="s">
        <v>3154</v>
      </c>
      <c r="F142" s="438">
        <f t="shared" si="32"/>
        <v>2000</v>
      </c>
      <c r="G142" s="1116">
        <v>2000</v>
      </c>
      <c r="H142" s="482"/>
      <c r="I142" s="2534"/>
      <c r="J142" s="2538" t="s">
        <v>3155</v>
      </c>
      <c r="K142" s="2539"/>
      <c r="L142" s="2534"/>
      <c r="M142" s="2534"/>
      <c r="N142" s="1673"/>
      <c r="O142" s="2534"/>
      <c r="P142" s="2534"/>
      <c r="Q142" s="408"/>
      <c r="R142" s="2533"/>
      <c r="S142" s="1672">
        <v>2000000</v>
      </c>
      <c r="T142" s="2539" t="s">
        <v>0</v>
      </c>
      <c r="U142" s="2539"/>
      <c r="V142" s="2539">
        <v>1</v>
      </c>
      <c r="W142" s="2539" t="s">
        <v>3062</v>
      </c>
      <c r="X142" s="1140" t="s">
        <v>1</v>
      </c>
      <c r="Y142" s="1674">
        <f>Z142/1000</f>
        <v>2000</v>
      </c>
      <c r="Z142" s="407">
        <f>S142*V142</f>
        <v>2000000</v>
      </c>
      <c r="AB142" s="347"/>
      <c r="AC142" s="347"/>
      <c r="AD142" s="370"/>
    </row>
    <row r="143" spans="1:340" ht="20.85" customHeight="1">
      <c r="A143" s="475"/>
      <c r="B143" s="2530"/>
      <c r="C143" s="465"/>
      <c r="D143" s="433"/>
      <c r="E143" s="542" t="s">
        <v>3072</v>
      </c>
      <c r="F143" s="438">
        <f t="shared" si="32"/>
        <v>1000</v>
      </c>
      <c r="G143" s="1116">
        <v>1000</v>
      </c>
      <c r="H143" s="482"/>
      <c r="I143" s="2534"/>
      <c r="J143" s="2538" t="s">
        <v>3156</v>
      </c>
      <c r="K143" s="2539"/>
      <c r="L143" s="2534"/>
      <c r="M143" s="2534"/>
      <c r="N143" s="1673"/>
      <c r="O143" s="2534"/>
      <c r="P143" s="2534"/>
      <c r="Q143" s="408"/>
      <c r="R143" s="2533"/>
      <c r="S143" s="1672">
        <v>1000000</v>
      </c>
      <c r="T143" s="2539" t="s">
        <v>0</v>
      </c>
      <c r="U143" s="2539"/>
      <c r="V143" s="2539">
        <v>1</v>
      </c>
      <c r="W143" s="2539" t="s">
        <v>3062</v>
      </c>
      <c r="X143" s="1140" t="s">
        <v>1</v>
      </c>
      <c r="Y143" s="1674">
        <f>Z143/1000</f>
        <v>1000</v>
      </c>
      <c r="Z143" s="407">
        <f>S143*V143</f>
        <v>1000000</v>
      </c>
      <c r="AB143" s="347"/>
      <c r="AC143" s="347"/>
      <c r="AD143" s="370"/>
    </row>
    <row r="144" spans="1:340" ht="20.85" customHeight="1">
      <c r="A144" s="475"/>
      <c r="B144" s="2530"/>
      <c r="C144" s="465"/>
      <c r="D144" s="433"/>
      <c r="E144" s="542" t="s">
        <v>3098</v>
      </c>
      <c r="F144" s="438">
        <f t="shared" si="32"/>
        <v>20000</v>
      </c>
      <c r="G144" s="1116">
        <v>20000</v>
      </c>
      <c r="H144" s="482"/>
      <c r="I144" s="2534"/>
      <c r="J144" s="2538" t="s">
        <v>3157</v>
      </c>
      <c r="K144" s="2539"/>
      <c r="L144" s="2534"/>
      <c r="M144" s="2534"/>
      <c r="N144" s="1673"/>
      <c r="O144" s="2534"/>
      <c r="P144" s="2534"/>
      <c r="Q144" s="2539">
        <v>50</v>
      </c>
      <c r="R144" s="405" t="s">
        <v>3059</v>
      </c>
      <c r="S144" s="1672">
        <v>200000</v>
      </c>
      <c r="T144" s="2539" t="s">
        <v>0</v>
      </c>
      <c r="U144" s="2539"/>
      <c r="V144" s="2539">
        <v>2</v>
      </c>
      <c r="W144" s="2539" t="s">
        <v>3044</v>
      </c>
      <c r="X144" s="1140" t="s">
        <v>1</v>
      </c>
      <c r="Y144" s="1674">
        <f>Z144/1000</f>
        <v>20000</v>
      </c>
      <c r="Z144" s="407">
        <f>Q144*S144*V144</f>
        <v>20000000</v>
      </c>
      <c r="AB144" s="347"/>
      <c r="AC144" s="347"/>
      <c r="AD144" s="370"/>
    </row>
    <row r="145" spans="1:30" ht="20.85" customHeight="1">
      <c r="A145" s="475"/>
      <c r="B145" s="2530"/>
      <c r="C145" s="465"/>
      <c r="D145" s="433"/>
      <c r="E145" s="542" t="s">
        <v>3100</v>
      </c>
      <c r="F145" s="438">
        <f>Y145</f>
        <v>110000</v>
      </c>
      <c r="G145" s="1116">
        <v>110000</v>
      </c>
      <c r="H145" s="482"/>
      <c r="I145" s="2534"/>
      <c r="J145" s="2538" t="s">
        <v>3076</v>
      </c>
      <c r="K145" s="2539"/>
      <c r="L145" s="2534"/>
      <c r="M145" s="2534"/>
      <c r="N145" s="1673"/>
      <c r="O145" s="2534"/>
      <c r="P145" s="2534"/>
      <c r="Q145" s="408"/>
      <c r="R145" s="2533"/>
      <c r="S145" s="1672"/>
      <c r="T145" s="2539"/>
      <c r="U145" s="2539"/>
      <c r="V145" s="2539"/>
      <c r="W145" s="2539"/>
      <c r="X145" s="1140"/>
      <c r="Y145" s="1674">
        <f t="shared" ref="Y145:Y152" si="33">Z145/1000</f>
        <v>110000</v>
      </c>
      <c r="Z145" s="407">
        <f>+Z146+Z147</f>
        <v>110000000</v>
      </c>
      <c r="AB145" s="347"/>
      <c r="AC145" s="347"/>
      <c r="AD145" s="370"/>
    </row>
    <row r="146" spans="1:30" s="1835" customFormat="1" ht="20.85" customHeight="1">
      <c r="A146" s="1290"/>
      <c r="B146" s="1189"/>
      <c r="C146" s="413"/>
      <c r="D146" s="1131"/>
      <c r="E146" s="1134"/>
      <c r="F146" s="383"/>
      <c r="G146" s="383"/>
      <c r="H146" s="391"/>
      <c r="I146" s="2534"/>
      <c r="J146" s="2538" t="s">
        <v>3158</v>
      </c>
      <c r="K146" s="2534"/>
      <c r="L146" s="2534"/>
      <c r="M146" s="2534"/>
      <c r="N146" s="2534"/>
      <c r="O146" s="2534"/>
      <c r="P146" s="2534"/>
      <c r="Q146" s="408"/>
      <c r="R146" s="2533"/>
      <c r="S146" s="1672">
        <v>100000000</v>
      </c>
      <c r="T146" s="2539" t="s">
        <v>0</v>
      </c>
      <c r="U146" s="2539"/>
      <c r="V146" s="2539">
        <v>1</v>
      </c>
      <c r="W146" s="2539" t="s">
        <v>3062</v>
      </c>
      <c r="X146" s="1140" t="s">
        <v>1</v>
      </c>
      <c r="Y146" s="1674">
        <f t="shared" si="33"/>
        <v>100000</v>
      </c>
      <c r="Z146" s="407">
        <f>S146*V146</f>
        <v>100000000</v>
      </c>
      <c r="AA146" s="1143"/>
      <c r="AB146" s="347"/>
      <c r="AC146" s="347"/>
      <c r="AD146" s="370"/>
    </row>
    <row r="147" spans="1:30" s="1835" customFormat="1" ht="20.85" customHeight="1">
      <c r="A147" s="1290"/>
      <c r="B147" s="1189"/>
      <c r="C147" s="413"/>
      <c r="D147" s="1131"/>
      <c r="E147" s="1134"/>
      <c r="F147" s="383"/>
      <c r="G147" s="383"/>
      <c r="H147" s="391"/>
      <c r="I147" s="2534"/>
      <c r="J147" s="2538" t="s">
        <v>3159</v>
      </c>
      <c r="K147" s="2534"/>
      <c r="L147" s="2534"/>
      <c r="M147" s="2534"/>
      <c r="N147" s="2534"/>
      <c r="O147" s="2534"/>
      <c r="P147" s="2534"/>
      <c r="Q147" s="408"/>
      <c r="R147" s="2533"/>
      <c r="S147" s="1672">
        <v>10000000</v>
      </c>
      <c r="T147" s="2539" t="s">
        <v>3049</v>
      </c>
      <c r="U147" s="2539"/>
      <c r="V147" s="2539">
        <v>1</v>
      </c>
      <c r="W147" s="2539" t="s">
        <v>3062</v>
      </c>
      <c r="X147" s="1140" t="s">
        <v>3051</v>
      </c>
      <c r="Y147" s="1674">
        <f t="shared" si="33"/>
        <v>10000</v>
      </c>
      <c r="Z147" s="407">
        <f>S147*V147</f>
        <v>10000000</v>
      </c>
      <c r="AA147" s="1143"/>
      <c r="AB147" s="347"/>
      <c r="AC147" s="347"/>
      <c r="AD147" s="370"/>
    </row>
    <row r="148" spans="1:30" ht="20.85" customHeight="1">
      <c r="A148" s="475"/>
      <c r="B148" s="2530"/>
      <c r="C148" s="465"/>
      <c r="D148" s="433"/>
      <c r="E148" s="542" t="s">
        <v>3087</v>
      </c>
      <c r="F148" s="438">
        <f>Y148</f>
        <v>1000</v>
      </c>
      <c r="G148" s="1116">
        <v>1000</v>
      </c>
      <c r="H148" s="482"/>
      <c r="I148" s="2534"/>
      <c r="J148" s="2538" t="s">
        <v>3160</v>
      </c>
      <c r="K148" s="2539"/>
      <c r="L148" s="2534"/>
      <c r="M148" s="2534"/>
      <c r="N148" s="1673"/>
      <c r="O148" s="2534"/>
      <c r="P148" s="2534"/>
      <c r="Q148" s="408"/>
      <c r="R148" s="2533"/>
      <c r="S148" s="1672">
        <v>1000000</v>
      </c>
      <c r="T148" s="2539" t="s">
        <v>0</v>
      </c>
      <c r="U148" s="2539"/>
      <c r="V148" s="2539">
        <v>1</v>
      </c>
      <c r="W148" s="2539" t="s">
        <v>3054</v>
      </c>
      <c r="X148" s="1140" t="s">
        <v>1</v>
      </c>
      <c r="Y148" s="1674">
        <f t="shared" si="33"/>
        <v>1000</v>
      </c>
      <c r="Z148" s="407">
        <f>S148*V148</f>
        <v>1000000</v>
      </c>
      <c r="AB148" s="347"/>
      <c r="AC148" s="347"/>
      <c r="AD148" s="370"/>
    </row>
    <row r="149" spans="1:30" ht="20.85" customHeight="1">
      <c r="A149" s="475"/>
      <c r="B149" s="2530"/>
      <c r="C149" s="465"/>
      <c r="D149" s="433"/>
      <c r="E149" s="542" t="s">
        <v>3060</v>
      </c>
      <c r="F149" s="438">
        <f>Y149</f>
        <v>6400</v>
      </c>
      <c r="G149" s="1116">
        <v>6400</v>
      </c>
      <c r="H149" s="482"/>
      <c r="I149" s="2534"/>
      <c r="J149" s="2538" t="s">
        <v>3076</v>
      </c>
      <c r="K149" s="2539"/>
      <c r="L149" s="2534"/>
      <c r="M149" s="2534"/>
      <c r="N149" s="1673"/>
      <c r="O149" s="2534"/>
      <c r="P149" s="2534"/>
      <c r="Q149" s="408"/>
      <c r="R149" s="2533"/>
      <c r="S149" s="1672"/>
      <c r="T149" s="2539"/>
      <c r="U149" s="2539"/>
      <c r="V149" s="2539"/>
      <c r="W149" s="2539"/>
      <c r="X149" s="1140"/>
      <c r="Y149" s="1674">
        <f t="shared" si="33"/>
        <v>6400</v>
      </c>
      <c r="Z149" s="407">
        <f>+Z150+Z151</f>
        <v>6400000</v>
      </c>
      <c r="AB149" s="347"/>
      <c r="AC149" s="347"/>
      <c r="AD149" s="370"/>
    </row>
    <row r="150" spans="1:30" s="1835" customFormat="1" ht="20.85" customHeight="1">
      <c r="A150" s="1290"/>
      <c r="B150" s="1189"/>
      <c r="C150" s="413"/>
      <c r="D150" s="1131"/>
      <c r="E150" s="1134"/>
      <c r="F150" s="383"/>
      <c r="G150" s="383"/>
      <c r="H150" s="391"/>
      <c r="I150" s="2534"/>
      <c r="J150" s="2538" t="s">
        <v>3161</v>
      </c>
      <c r="K150" s="2534"/>
      <c r="L150" s="2534"/>
      <c r="M150" s="2534"/>
      <c r="N150" s="2534"/>
      <c r="O150" s="2534"/>
      <c r="P150" s="2534"/>
      <c r="Q150" s="2539">
        <v>20</v>
      </c>
      <c r="R150" s="405" t="s">
        <v>3059</v>
      </c>
      <c r="S150" s="1672">
        <v>20000</v>
      </c>
      <c r="T150" s="2539" t="s">
        <v>0</v>
      </c>
      <c r="U150" s="2539"/>
      <c r="V150" s="2539">
        <v>1</v>
      </c>
      <c r="W150" s="2539" t="s">
        <v>3054</v>
      </c>
      <c r="X150" s="1140" t="s">
        <v>1</v>
      </c>
      <c r="Y150" s="1674">
        <f t="shared" si="33"/>
        <v>400</v>
      </c>
      <c r="Z150" s="407">
        <f>Q150*S150*V150</f>
        <v>400000</v>
      </c>
      <c r="AA150" s="1143"/>
      <c r="AB150" s="347"/>
      <c r="AC150" s="347"/>
      <c r="AD150" s="370"/>
    </row>
    <row r="151" spans="1:30" s="1835" customFormat="1" ht="20.85" customHeight="1">
      <c r="A151" s="1290"/>
      <c r="B151" s="1189"/>
      <c r="C151" s="413"/>
      <c r="D151" s="1131"/>
      <c r="E151" s="1134"/>
      <c r="F151" s="383"/>
      <c r="G151" s="383"/>
      <c r="H151" s="391"/>
      <c r="I151" s="2534"/>
      <c r="J151" s="2538" t="s">
        <v>3162</v>
      </c>
      <c r="K151" s="2534"/>
      <c r="L151" s="2534"/>
      <c r="M151" s="2534"/>
      <c r="N151" s="2534"/>
      <c r="O151" s="2534"/>
      <c r="P151" s="2534"/>
      <c r="Q151" s="2539">
        <v>150</v>
      </c>
      <c r="R151" s="405" t="s">
        <v>3059</v>
      </c>
      <c r="S151" s="1672">
        <v>20000</v>
      </c>
      <c r="T151" s="2539" t="s">
        <v>3049</v>
      </c>
      <c r="U151" s="2539"/>
      <c r="V151" s="2539">
        <v>2</v>
      </c>
      <c r="W151" s="2539" t="s">
        <v>3044</v>
      </c>
      <c r="X151" s="1140" t="s">
        <v>3051</v>
      </c>
      <c r="Y151" s="1674">
        <f t="shared" si="33"/>
        <v>6000</v>
      </c>
      <c r="Z151" s="407">
        <f>Q151*S151*V151</f>
        <v>6000000</v>
      </c>
      <c r="AA151" s="1143"/>
      <c r="AB151" s="347"/>
      <c r="AC151" s="347"/>
      <c r="AD151" s="370"/>
    </row>
    <row r="152" spans="1:30" ht="20.85" customHeight="1">
      <c r="A152" s="475"/>
      <c r="B152" s="2530"/>
      <c r="C152" s="465"/>
      <c r="D152" s="433"/>
      <c r="E152" s="542" t="s">
        <v>3064</v>
      </c>
      <c r="F152" s="438">
        <f>Y152</f>
        <v>1100</v>
      </c>
      <c r="G152" s="1116">
        <v>1100</v>
      </c>
      <c r="H152" s="482"/>
      <c r="I152" s="2534"/>
      <c r="J152" s="2538" t="s">
        <v>3163</v>
      </c>
      <c r="K152" s="2539"/>
      <c r="L152" s="2534"/>
      <c r="M152" s="2534"/>
      <c r="N152" s="1673"/>
      <c r="O152" s="2534"/>
      <c r="P152" s="2534"/>
      <c r="Q152" s="2539">
        <v>5</v>
      </c>
      <c r="R152" s="405" t="s">
        <v>3059</v>
      </c>
      <c r="S152" s="1672">
        <v>20000</v>
      </c>
      <c r="T152" s="2539" t="s">
        <v>0</v>
      </c>
      <c r="U152" s="2539"/>
      <c r="V152" s="2539">
        <v>11</v>
      </c>
      <c r="W152" s="2539" t="s">
        <v>3054</v>
      </c>
      <c r="X152" s="1140" t="s">
        <v>1</v>
      </c>
      <c r="Y152" s="1674">
        <f t="shared" si="33"/>
        <v>1100</v>
      </c>
      <c r="Z152" s="407">
        <f>Q152*S152*V152</f>
        <v>1100000</v>
      </c>
      <c r="AB152" s="347"/>
      <c r="AC152" s="347"/>
      <c r="AD152" s="370"/>
    </row>
    <row r="153" spans="1:30" ht="20.85" customHeight="1">
      <c r="A153" s="396"/>
      <c r="B153" s="2540"/>
      <c r="C153" s="1110"/>
      <c r="D153" s="3275" t="s">
        <v>3322</v>
      </c>
      <c r="E153" s="3276"/>
      <c r="F153" s="429">
        <f>SUM(F154:F158)</f>
        <v>600000</v>
      </c>
      <c r="G153" s="429">
        <f>SUM(G154:G158)</f>
        <v>600000</v>
      </c>
      <c r="H153" s="468">
        <f>F153-G153</f>
        <v>0</v>
      </c>
      <c r="J153" s="394"/>
      <c r="K153" s="2525"/>
      <c r="L153" s="2525"/>
      <c r="M153" s="2525"/>
      <c r="N153" s="2525"/>
      <c r="O153" s="2525"/>
      <c r="P153" s="2525"/>
      <c r="Q153" s="2525"/>
      <c r="R153" s="2525"/>
      <c r="S153" s="2525"/>
      <c r="T153" s="2525"/>
      <c r="U153" s="2525"/>
      <c r="V153" s="2525"/>
      <c r="W153" s="2525"/>
      <c r="X153" s="2525"/>
      <c r="Y153" s="2568"/>
      <c r="Z153" s="2568"/>
      <c r="AB153" s="347"/>
      <c r="AC153" s="347"/>
      <c r="AD153" s="370"/>
    </row>
    <row r="154" spans="1:30" ht="20.85" customHeight="1">
      <c r="A154" s="396"/>
      <c r="B154" s="1110"/>
      <c r="C154" s="397"/>
      <c r="D154" s="1289"/>
      <c r="E154" s="444" t="s">
        <v>3100</v>
      </c>
      <c r="F154" s="932">
        <f>+Y154</f>
        <v>600000</v>
      </c>
      <c r="G154" s="932">
        <v>600000</v>
      </c>
      <c r="H154" s="545"/>
      <c r="J154" s="1670" t="s">
        <v>3076</v>
      </c>
      <c r="K154" s="2534"/>
      <c r="L154" s="2534"/>
      <c r="M154" s="2534"/>
      <c r="N154" s="2534"/>
      <c r="O154" s="2534"/>
      <c r="P154" s="2534"/>
      <c r="Q154" s="2534"/>
      <c r="R154" s="405"/>
      <c r="S154" s="2534"/>
      <c r="T154" s="2534"/>
      <c r="U154" s="2534"/>
      <c r="V154" s="2534"/>
      <c r="W154" s="2534"/>
      <c r="X154" s="397"/>
      <c r="Y154" s="1802">
        <f>Z154/1000</f>
        <v>600000</v>
      </c>
      <c r="Z154" s="1004">
        <f>+Z155+Z156+Z157+Z158</f>
        <v>600000000</v>
      </c>
      <c r="AB154" s="347"/>
      <c r="AC154" s="347"/>
      <c r="AD154" s="370"/>
    </row>
    <row r="155" spans="1:30" ht="20.85" customHeight="1">
      <c r="A155" s="396"/>
      <c r="B155" s="1110"/>
      <c r="C155" s="397"/>
      <c r="D155" s="1144"/>
      <c r="E155" s="437"/>
      <c r="F155" s="437"/>
      <c r="G155" s="437"/>
      <c r="H155" s="409"/>
      <c r="J155" s="2538" t="s">
        <v>3164</v>
      </c>
      <c r="K155" s="2534"/>
      <c r="L155" s="2534"/>
      <c r="M155" s="2534"/>
      <c r="N155" s="2357"/>
      <c r="O155" s="2357"/>
      <c r="P155" s="2357"/>
      <c r="Q155" s="2539"/>
      <c r="R155" s="2533"/>
      <c r="S155" s="2539">
        <v>50000000</v>
      </c>
      <c r="T155" s="2539"/>
      <c r="U155" s="2357"/>
      <c r="V155" s="2539">
        <v>1</v>
      </c>
      <c r="W155" s="2539" t="s">
        <v>3062</v>
      </c>
      <c r="X155" s="1140" t="s">
        <v>3051</v>
      </c>
      <c r="Y155" s="1674">
        <f>Z155/1000</f>
        <v>50000</v>
      </c>
      <c r="Z155" s="407">
        <f>S155*V155</f>
        <v>50000000</v>
      </c>
      <c r="AB155" s="347"/>
      <c r="AC155" s="347"/>
      <c r="AD155" s="370"/>
    </row>
    <row r="156" spans="1:30" ht="20.85" customHeight="1">
      <c r="A156" s="396"/>
      <c r="B156" s="1110"/>
      <c r="C156" s="397"/>
      <c r="D156" s="1144"/>
      <c r="E156" s="1134"/>
      <c r="F156" s="438"/>
      <c r="G156" s="438"/>
      <c r="H156" s="406"/>
      <c r="J156" s="2538" t="s">
        <v>3165</v>
      </c>
      <c r="K156" s="2534"/>
      <c r="L156" s="2534"/>
      <c r="M156" s="2534"/>
      <c r="N156" s="2357"/>
      <c r="O156" s="2357"/>
      <c r="P156" s="2357"/>
      <c r="Q156" s="2539"/>
      <c r="R156" s="2533"/>
      <c r="S156" s="2539">
        <v>150000000</v>
      </c>
      <c r="T156" s="2539"/>
      <c r="U156" s="2357"/>
      <c r="V156" s="2539">
        <v>1</v>
      </c>
      <c r="W156" s="2539" t="s">
        <v>3062</v>
      </c>
      <c r="X156" s="1140" t="s">
        <v>3051</v>
      </c>
      <c r="Y156" s="1674">
        <f t="shared" ref="Y156:Y158" si="34">Z156/1000</f>
        <v>150000</v>
      </c>
      <c r="Z156" s="407">
        <f>S156*V156</f>
        <v>150000000</v>
      </c>
      <c r="AB156" s="347"/>
      <c r="AC156" s="347"/>
      <c r="AD156" s="370"/>
    </row>
    <row r="157" spans="1:30" ht="20.85" customHeight="1">
      <c r="A157" s="396"/>
      <c r="B157" s="1110"/>
      <c r="C157" s="397"/>
      <c r="D157" s="1144"/>
      <c r="E157" s="1134"/>
      <c r="F157" s="438"/>
      <c r="G157" s="438"/>
      <c r="H157" s="406"/>
      <c r="J157" s="2538" t="s">
        <v>3166</v>
      </c>
      <c r="K157" s="2534"/>
      <c r="L157" s="2534"/>
      <c r="M157" s="2534"/>
      <c r="N157" s="2357"/>
      <c r="O157" s="2357"/>
      <c r="P157" s="2357"/>
      <c r="Q157" s="2539"/>
      <c r="R157" s="2533"/>
      <c r="S157" s="2539">
        <v>350000000</v>
      </c>
      <c r="T157" s="2539"/>
      <c r="U157" s="2357"/>
      <c r="V157" s="2539">
        <v>1</v>
      </c>
      <c r="W157" s="2539" t="s">
        <v>3062</v>
      </c>
      <c r="X157" s="1140" t="s">
        <v>3051</v>
      </c>
      <c r="Y157" s="1674">
        <f t="shared" si="34"/>
        <v>350000</v>
      </c>
      <c r="Z157" s="407">
        <f>S157*V157</f>
        <v>350000000</v>
      </c>
      <c r="AB157" s="347"/>
      <c r="AC157" s="347"/>
      <c r="AD157" s="370"/>
    </row>
    <row r="158" spans="1:30" ht="20.85" customHeight="1">
      <c r="A158" s="396"/>
      <c r="B158" s="1110"/>
      <c r="C158" s="397"/>
      <c r="D158" s="1144"/>
      <c r="E158" s="855"/>
      <c r="F158" s="931"/>
      <c r="G158" s="931"/>
      <c r="H158" s="549"/>
      <c r="J158" s="2538" t="s">
        <v>3167</v>
      </c>
      <c r="K158" s="2534"/>
      <c r="L158" s="2534"/>
      <c r="M158" s="2534"/>
      <c r="N158" s="2357"/>
      <c r="O158" s="2357"/>
      <c r="P158" s="2357"/>
      <c r="Q158" s="2539"/>
      <c r="R158" s="2533"/>
      <c r="S158" s="2539">
        <v>50000000</v>
      </c>
      <c r="T158" s="2539"/>
      <c r="U158" s="2357"/>
      <c r="V158" s="2539">
        <v>1</v>
      </c>
      <c r="W158" s="2539" t="s">
        <v>3062</v>
      </c>
      <c r="X158" s="1140" t="s">
        <v>3051</v>
      </c>
      <c r="Y158" s="1674">
        <f t="shared" si="34"/>
        <v>50000</v>
      </c>
      <c r="Z158" s="407">
        <f>S158*V158</f>
        <v>50000000</v>
      </c>
      <c r="AB158" s="347"/>
      <c r="AC158" s="347"/>
      <c r="AD158" s="370"/>
    </row>
    <row r="159" spans="1:30" ht="20.85" customHeight="1">
      <c r="A159" s="475"/>
      <c r="B159" s="335"/>
      <c r="C159" s="465"/>
      <c r="D159" s="3284" t="s">
        <v>3323</v>
      </c>
      <c r="E159" s="3286"/>
      <c r="F159" s="429">
        <f>SUM(F160:F161)</f>
        <v>1100000</v>
      </c>
      <c r="G159" s="429">
        <f>SUM(G160:G161)</f>
        <v>1100000</v>
      </c>
      <c r="H159" s="468">
        <f>F159-G159</f>
        <v>0</v>
      </c>
      <c r="J159" s="1135"/>
      <c r="K159" s="2525"/>
      <c r="L159" s="2525"/>
      <c r="M159" s="2525"/>
      <c r="N159" s="2525"/>
      <c r="O159" s="2525"/>
      <c r="P159" s="2531"/>
      <c r="Q159" s="2531"/>
      <c r="R159" s="1136"/>
      <c r="S159" s="1136"/>
      <c r="T159" s="1136"/>
      <c r="U159" s="2531"/>
      <c r="V159" s="1136"/>
      <c r="W159" s="1136"/>
      <c r="X159" s="1138"/>
      <c r="Y159" s="377"/>
      <c r="Z159" s="503"/>
      <c r="AB159" s="347"/>
      <c r="AC159" s="347"/>
      <c r="AD159" s="370"/>
    </row>
    <row r="160" spans="1:30" ht="20.85" customHeight="1">
      <c r="A160" s="475"/>
      <c r="B160" s="335"/>
      <c r="C160" s="465"/>
      <c r="D160" s="471"/>
      <c r="E160" s="444" t="s">
        <v>3098</v>
      </c>
      <c r="F160" s="438">
        <f>Y160</f>
        <v>10000</v>
      </c>
      <c r="G160" s="383">
        <v>10000</v>
      </c>
      <c r="H160" s="391"/>
      <c r="I160" s="2534"/>
      <c r="J160" s="2538" t="s">
        <v>3168</v>
      </c>
      <c r="K160" s="2534"/>
      <c r="L160" s="2534"/>
      <c r="M160" s="2534"/>
      <c r="N160" s="2534"/>
      <c r="O160" s="2534"/>
      <c r="P160" s="2357"/>
      <c r="Q160" s="2357" t="s">
        <v>3169</v>
      </c>
      <c r="R160" s="2539"/>
      <c r="S160" s="2539">
        <v>200000</v>
      </c>
      <c r="T160" s="2539" t="s">
        <v>3049</v>
      </c>
      <c r="U160" s="2357"/>
      <c r="V160" s="2539"/>
      <c r="W160" s="2539" t="s">
        <v>3170</v>
      </c>
      <c r="X160" s="1140"/>
      <c r="Y160" s="1674">
        <v>10000</v>
      </c>
      <c r="Z160" s="494">
        <v>10000000</v>
      </c>
      <c r="AB160" s="347"/>
      <c r="AC160" s="347"/>
      <c r="AD160" s="370"/>
    </row>
    <row r="161" spans="1:30" ht="20.85" customHeight="1">
      <c r="A161" s="475"/>
      <c r="B161" s="1145"/>
      <c r="C161" s="465"/>
      <c r="D161" s="1144"/>
      <c r="E161" s="1134" t="s">
        <v>3287</v>
      </c>
      <c r="F161" s="438">
        <f>+Y161</f>
        <v>1090000</v>
      </c>
      <c r="G161" s="438">
        <v>1090000</v>
      </c>
      <c r="H161" s="482"/>
      <c r="J161" s="2538" t="s">
        <v>3171</v>
      </c>
      <c r="K161" s="2534"/>
      <c r="L161" s="2534"/>
      <c r="M161" s="2534"/>
      <c r="N161" s="2357"/>
      <c r="O161" s="2357"/>
      <c r="P161" s="2357"/>
      <c r="Q161" s="2539"/>
      <c r="R161" s="2533"/>
      <c r="S161" s="2539">
        <v>1090000000</v>
      </c>
      <c r="T161" s="2539" t="s">
        <v>0</v>
      </c>
      <c r="U161" s="2539"/>
      <c r="V161" s="2539"/>
      <c r="W161" s="2539" t="s">
        <v>3172</v>
      </c>
      <c r="X161" s="765" t="s">
        <v>1</v>
      </c>
      <c r="Y161" s="1674">
        <v>1090000</v>
      </c>
      <c r="Z161" s="407">
        <v>1090000000</v>
      </c>
      <c r="AB161" s="347"/>
      <c r="AC161" s="347"/>
      <c r="AD161" s="370"/>
    </row>
    <row r="162" spans="1:30" ht="20.85" customHeight="1">
      <c r="A162" s="1290"/>
      <c r="B162" s="1189"/>
      <c r="C162" s="413"/>
      <c r="D162" s="3278" t="s">
        <v>3324</v>
      </c>
      <c r="E162" s="3279"/>
      <c r="F162" s="385">
        <v>1300000</v>
      </c>
      <c r="G162" s="385">
        <v>1300000</v>
      </c>
      <c r="H162" s="468">
        <f>F162-G162</f>
        <v>0</v>
      </c>
      <c r="I162" s="2534"/>
      <c r="J162" s="394"/>
      <c r="K162" s="2525"/>
      <c r="L162" s="2525"/>
      <c r="M162" s="2525"/>
      <c r="N162" s="2525"/>
      <c r="O162" s="2525"/>
      <c r="P162" s="2525"/>
      <c r="Q162" s="2525"/>
      <c r="R162" s="395"/>
      <c r="S162" s="2525"/>
      <c r="T162" s="2525"/>
      <c r="U162" s="2525"/>
      <c r="V162" s="2525"/>
      <c r="W162" s="2525"/>
      <c r="X162" s="430"/>
      <c r="Y162" s="1184"/>
      <c r="Z162" s="440"/>
      <c r="AB162" s="347"/>
      <c r="AC162" s="347"/>
      <c r="AD162" s="370"/>
    </row>
    <row r="163" spans="1:30" ht="20.85" customHeight="1">
      <c r="A163" s="1290"/>
      <c r="B163" s="2540"/>
      <c r="C163" s="397"/>
      <c r="D163" s="465"/>
      <c r="E163" s="1134" t="s">
        <v>3116</v>
      </c>
      <c r="F163" s="438">
        <v>200000</v>
      </c>
      <c r="G163" s="1116">
        <v>200000</v>
      </c>
      <c r="H163" s="391"/>
      <c r="I163" s="2534"/>
      <c r="J163" s="2538" t="s">
        <v>3173</v>
      </c>
      <c r="K163" s="2534"/>
      <c r="L163" s="2534"/>
      <c r="M163" s="2534"/>
      <c r="N163" s="2534"/>
      <c r="O163" s="2534"/>
      <c r="P163" s="2534"/>
      <c r="Q163" s="408"/>
      <c r="R163" s="2533"/>
      <c r="S163" s="1672">
        <v>200000000</v>
      </c>
      <c r="T163" s="2539" t="s">
        <v>3049</v>
      </c>
      <c r="U163" s="2539"/>
      <c r="V163" s="2539">
        <v>1</v>
      </c>
      <c r="W163" s="2539" t="s">
        <v>3174</v>
      </c>
      <c r="X163" s="1140" t="s">
        <v>3051</v>
      </c>
      <c r="Y163" s="1674">
        <f t="shared" ref="Y163:Y166" si="35">(Z163)/1000</f>
        <v>200000</v>
      </c>
      <c r="Z163" s="407">
        <f>S163*V163</f>
        <v>200000000</v>
      </c>
      <c r="AB163" s="347"/>
      <c r="AC163" s="347"/>
      <c r="AD163" s="370"/>
    </row>
    <row r="164" spans="1:30" ht="20.85" customHeight="1">
      <c r="A164" s="1290"/>
      <c r="B164" s="2540"/>
      <c r="C164" s="397"/>
      <c r="D164" s="465"/>
      <c r="E164" s="1134" t="s">
        <v>3100</v>
      </c>
      <c r="F164" s="383">
        <f>Y164</f>
        <v>1100000</v>
      </c>
      <c r="G164" s="1116">
        <v>1100000</v>
      </c>
      <c r="H164" s="391"/>
      <c r="I164" s="2534"/>
      <c r="J164" s="2538" t="s">
        <v>3076</v>
      </c>
      <c r="K164" s="2534"/>
      <c r="L164" s="2534"/>
      <c r="M164" s="2534"/>
      <c r="N164" s="2534"/>
      <c r="O164" s="2534"/>
      <c r="P164" s="2534"/>
      <c r="Q164" s="408"/>
      <c r="R164" s="2533"/>
      <c r="S164" s="1672"/>
      <c r="T164" s="2539"/>
      <c r="U164" s="2539"/>
      <c r="V164" s="2539"/>
      <c r="W164" s="2539"/>
      <c r="X164" s="1140"/>
      <c r="Y164" s="1674">
        <f t="shared" si="35"/>
        <v>1100000</v>
      </c>
      <c r="Z164" s="407">
        <f>+Z165+Z166+Z167</f>
        <v>1100000000</v>
      </c>
      <c r="AB164" s="347"/>
      <c r="AC164" s="347"/>
      <c r="AD164" s="370"/>
    </row>
    <row r="165" spans="1:30" ht="20.85" customHeight="1">
      <c r="A165" s="1290"/>
      <c r="B165" s="2540"/>
      <c r="C165" s="397"/>
      <c r="D165" s="465"/>
      <c r="E165" s="1134"/>
      <c r="F165" s="383"/>
      <c r="G165" s="1116"/>
      <c r="H165" s="391"/>
      <c r="I165" s="2534"/>
      <c r="J165" s="2538" t="s">
        <v>3175</v>
      </c>
      <c r="K165" s="2534"/>
      <c r="L165" s="2534"/>
      <c r="M165" s="2534"/>
      <c r="N165" s="2534"/>
      <c r="O165" s="2534"/>
      <c r="P165" s="2534"/>
      <c r="Q165" s="408"/>
      <c r="R165" s="2533"/>
      <c r="S165" s="1672">
        <v>200000000</v>
      </c>
      <c r="T165" s="2539" t="s">
        <v>3049</v>
      </c>
      <c r="U165" s="2539"/>
      <c r="V165" s="2539">
        <v>1</v>
      </c>
      <c r="W165" s="2539" t="s">
        <v>3121</v>
      </c>
      <c r="X165" s="1140" t="s">
        <v>3051</v>
      </c>
      <c r="Y165" s="1674">
        <f t="shared" si="35"/>
        <v>200000</v>
      </c>
      <c r="Z165" s="407">
        <f>S165*V165</f>
        <v>200000000</v>
      </c>
      <c r="AB165" s="347"/>
      <c r="AC165" s="347"/>
      <c r="AD165" s="370"/>
    </row>
    <row r="166" spans="1:30" ht="20.85" customHeight="1">
      <c r="A166" s="1290"/>
      <c r="B166" s="2540"/>
      <c r="C166" s="397"/>
      <c r="D166" s="465"/>
      <c r="E166" s="1134"/>
      <c r="F166" s="383"/>
      <c r="G166" s="1116"/>
      <c r="H166" s="391"/>
      <c r="I166" s="2534"/>
      <c r="J166" s="2538" t="s">
        <v>3176</v>
      </c>
      <c r="K166" s="2534"/>
      <c r="L166" s="2534"/>
      <c r="M166" s="2534"/>
      <c r="N166" s="2534"/>
      <c r="O166" s="408"/>
      <c r="P166" s="2533"/>
      <c r="Q166" s="408"/>
      <c r="R166" s="2533"/>
      <c r="S166" s="1672">
        <v>600000000</v>
      </c>
      <c r="T166" s="2539" t="s">
        <v>3049</v>
      </c>
      <c r="U166" s="2539"/>
      <c r="V166" s="2539">
        <v>1</v>
      </c>
      <c r="W166" s="2539" t="s">
        <v>3121</v>
      </c>
      <c r="X166" s="1140" t="s">
        <v>3051</v>
      </c>
      <c r="Y166" s="1674">
        <f t="shared" si="35"/>
        <v>600000</v>
      </c>
      <c r="Z166" s="407">
        <f>S166*V166</f>
        <v>600000000</v>
      </c>
      <c r="AB166" s="347"/>
      <c r="AC166" s="347"/>
      <c r="AD166" s="370"/>
    </row>
    <row r="167" spans="1:30" ht="20.85" customHeight="1">
      <c r="A167" s="1290"/>
      <c r="B167" s="1189"/>
      <c r="C167" s="413"/>
      <c r="D167" s="1131"/>
      <c r="E167" s="1134"/>
      <c r="F167" s="383"/>
      <c r="G167" s="383"/>
      <c r="H167" s="391"/>
      <c r="I167" s="2534"/>
      <c r="J167" s="2538" t="s">
        <v>3177</v>
      </c>
      <c r="K167" s="2534"/>
      <c r="L167" s="2534"/>
      <c r="M167" s="2534"/>
      <c r="N167" s="2534"/>
      <c r="O167" s="2534"/>
      <c r="P167" s="2534"/>
      <c r="Q167" s="408"/>
      <c r="R167" s="2530"/>
      <c r="S167" s="2539">
        <v>300000000</v>
      </c>
      <c r="T167" s="2539" t="s">
        <v>3049</v>
      </c>
      <c r="U167" s="2539"/>
      <c r="V167" s="2539">
        <v>1</v>
      </c>
      <c r="W167" s="2539" t="s">
        <v>3121</v>
      </c>
      <c r="X167" s="1140" t="s">
        <v>3112</v>
      </c>
      <c r="Y167" s="1674">
        <f t="shared" ref="Y167" si="36">Z167/1000</f>
        <v>300000</v>
      </c>
      <c r="Z167" s="407">
        <f>S167*V167</f>
        <v>300000000</v>
      </c>
      <c r="AB167" s="347"/>
      <c r="AC167" s="347"/>
      <c r="AD167" s="370"/>
    </row>
    <row r="168" spans="1:30" ht="20.85" customHeight="1">
      <c r="A168" s="1290"/>
      <c r="B168" s="1189"/>
      <c r="C168" s="413"/>
      <c r="D168" s="3278" t="s">
        <v>3325</v>
      </c>
      <c r="E168" s="3279"/>
      <c r="F168" s="764">
        <f>SUM(F169:F171)</f>
        <v>600000</v>
      </c>
      <c r="G168" s="764">
        <f>SUM(G169:G171)</f>
        <v>600000</v>
      </c>
      <c r="H168" s="468">
        <f>F168-G168</f>
        <v>0</v>
      </c>
      <c r="I168" s="2534"/>
      <c r="J168" s="1135"/>
      <c r="K168" s="2525"/>
      <c r="L168" s="2525"/>
      <c r="M168" s="2525"/>
      <c r="N168" s="2525"/>
      <c r="O168" s="2525"/>
      <c r="P168" s="2525"/>
      <c r="Q168" s="1307"/>
      <c r="R168" s="2528"/>
      <c r="S168" s="1136"/>
      <c r="T168" s="1136"/>
      <c r="U168" s="1136"/>
      <c r="V168" s="1136"/>
      <c r="W168" s="1136"/>
      <c r="X168" s="1138"/>
      <c r="Y168" s="377"/>
      <c r="Z168" s="463"/>
      <c r="AB168" s="347"/>
      <c r="AC168" s="347"/>
      <c r="AD168" s="370"/>
    </row>
    <row r="169" spans="1:30" ht="22.5" customHeight="1">
      <c r="A169" s="1290"/>
      <c r="B169" s="1189"/>
      <c r="C169" s="413"/>
      <c r="D169" s="1131"/>
      <c r="E169" s="1134" t="s">
        <v>269</v>
      </c>
      <c r="F169" s="438">
        <f>Y169</f>
        <v>5000</v>
      </c>
      <c r="G169" s="383">
        <v>5000</v>
      </c>
      <c r="H169" s="391"/>
      <c r="I169" s="2889"/>
      <c r="J169" s="2899" t="s">
        <v>3179</v>
      </c>
      <c r="K169" s="2889"/>
      <c r="L169" s="2889"/>
      <c r="M169" s="2889"/>
      <c r="N169" s="2889"/>
      <c r="O169" s="2889"/>
      <c r="P169" s="2889"/>
      <c r="Q169" s="2357">
        <v>5</v>
      </c>
      <c r="R169" s="2900" t="s">
        <v>33</v>
      </c>
      <c r="S169" s="1672">
        <v>200000</v>
      </c>
      <c r="T169" s="2900" t="s">
        <v>264</v>
      </c>
      <c r="U169" s="2900"/>
      <c r="V169" s="2900">
        <v>5</v>
      </c>
      <c r="W169" s="2900" t="s">
        <v>265</v>
      </c>
      <c r="X169" s="1140" t="s">
        <v>20</v>
      </c>
      <c r="Y169" s="1674">
        <f t="shared" ref="Y169" si="37">Z169/1000</f>
        <v>5000</v>
      </c>
      <c r="Z169" s="407">
        <f>Q169*S169*V169</f>
        <v>5000000</v>
      </c>
      <c r="AB169" s="347"/>
      <c r="AC169" s="347"/>
      <c r="AD169" s="370"/>
    </row>
    <row r="170" spans="1:30" ht="22.5" customHeight="1">
      <c r="A170" s="1290"/>
      <c r="B170" s="1189"/>
      <c r="C170" s="413"/>
      <c r="D170" s="1131"/>
      <c r="E170" s="1134" t="s">
        <v>3100</v>
      </c>
      <c r="F170" s="438">
        <f>Y170</f>
        <v>590000</v>
      </c>
      <c r="G170" s="383">
        <v>590000</v>
      </c>
      <c r="H170" s="391"/>
      <c r="I170" s="2534"/>
      <c r="J170" s="2538" t="s">
        <v>3178</v>
      </c>
      <c r="K170" s="2534"/>
      <c r="L170" s="2534"/>
      <c r="M170" s="2534"/>
      <c r="N170" s="2534"/>
      <c r="O170" s="2534"/>
      <c r="P170" s="2534"/>
      <c r="Q170" s="1673"/>
      <c r="R170" s="405"/>
      <c r="S170" s="1672">
        <v>590000000</v>
      </c>
      <c r="T170" s="2539" t="s">
        <v>3049</v>
      </c>
      <c r="U170" s="2539"/>
      <c r="V170" s="2539">
        <v>1</v>
      </c>
      <c r="W170" s="2539" t="s">
        <v>3121</v>
      </c>
      <c r="X170" s="1140" t="s">
        <v>3112</v>
      </c>
      <c r="Y170" s="1674">
        <f>Z170/1000</f>
        <v>590000</v>
      </c>
      <c r="Z170" s="407">
        <f>S170*V170</f>
        <v>590000000</v>
      </c>
      <c r="AB170" s="347"/>
      <c r="AC170" s="347"/>
      <c r="AD170" s="370"/>
    </row>
    <row r="171" spans="1:30" s="1675" customFormat="1" ht="22.5" customHeight="1">
      <c r="A171" s="1290"/>
      <c r="B171" s="1189"/>
      <c r="C171" s="413"/>
      <c r="D171" s="1131"/>
      <c r="E171" s="1134" t="s">
        <v>3064</v>
      </c>
      <c r="F171" s="383">
        <f>Y171</f>
        <v>5000</v>
      </c>
      <c r="G171" s="383">
        <v>5000</v>
      </c>
      <c r="H171" s="391"/>
      <c r="I171" s="2534"/>
      <c r="J171" s="2538" t="s">
        <v>3180</v>
      </c>
      <c r="K171" s="2534"/>
      <c r="L171" s="2534"/>
      <c r="M171" s="2534"/>
      <c r="N171" s="2534"/>
      <c r="O171" s="2534"/>
      <c r="P171" s="2534"/>
      <c r="Q171" s="1673">
        <v>10</v>
      </c>
      <c r="R171" s="2539" t="s">
        <v>3059</v>
      </c>
      <c r="S171" s="1672">
        <v>100000</v>
      </c>
      <c r="T171" s="2539" t="s">
        <v>3049</v>
      </c>
      <c r="U171" s="2539"/>
      <c r="V171" s="2539">
        <v>5</v>
      </c>
      <c r="W171" s="2539" t="s">
        <v>3054</v>
      </c>
      <c r="X171" s="1140" t="s">
        <v>3112</v>
      </c>
      <c r="Y171" s="1674">
        <f t="shared" ref="Y171:Y179" si="38">Z171/1000</f>
        <v>5000</v>
      </c>
      <c r="Z171" s="407">
        <f>Q171*S171*V171</f>
        <v>5000000</v>
      </c>
      <c r="AA171" s="347"/>
      <c r="AB171" s="347"/>
      <c r="AC171" s="347"/>
      <c r="AD171" s="370"/>
    </row>
    <row r="172" spans="1:30" s="1835" customFormat="1" ht="22.5" customHeight="1">
      <c r="A172" s="1290"/>
      <c r="B172" s="1189"/>
      <c r="C172" s="413"/>
      <c r="D172" s="3266" t="s">
        <v>3326</v>
      </c>
      <c r="E172" s="3267"/>
      <c r="F172" s="385">
        <f>SUM(F173:F179)</f>
        <v>1000000</v>
      </c>
      <c r="G172" s="385">
        <f>SUM(G173:G179)</f>
        <v>1000000</v>
      </c>
      <c r="H172" s="386">
        <f>F172-G172</f>
        <v>0</v>
      </c>
      <c r="I172" s="2559"/>
      <c r="J172" s="394"/>
      <c r="K172" s="2525"/>
      <c r="L172" s="2525"/>
      <c r="M172" s="2525"/>
      <c r="N172" s="2525"/>
      <c r="O172" s="2525"/>
      <c r="P172" s="2525"/>
      <c r="Q172" s="2525"/>
      <c r="R172" s="395"/>
      <c r="S172" s="2525"/>
      <c r="T172" s="2525"/>
      <c r="U172" s="2525"/>
      <c r="V172" s="2525"/>
      <c r="W172" s="2525"/>
      <c r="X172" s="430"/>
      <c r="Y172" s="1184"/>
      <c r="Z172" s="1098"/>
      <c r="AA172" s="275"/>
      <c r="AB172" s="275"/>
      <c r="AC172" s="1424"/>
    </row>
    <row r="173" spans="1:30" s="1835" customFormat="1" ht="22.5" customHeight="1">
      <c r="A173" s="1290"/>
      <c r="B173" s="1189"/>
      <c r="C173" s="397"/>
      <c r="D173" s="465"/>
      <c r="E173" s="1154" t="s">
        <v>3072</v>
      </c>
      <c r="F173" s="1141">
        <f t="shared" ref="F173:F175" si="39">Y173</f>
        <v>2000</v>
      </c>
      <c r="G173" s="1141">
        <v>2000</v>
      </c>
      <c r="H173" s="391"/>
      <c r="I173" s="2559"/>
      <c r="J173" s="2345" t="s">
        <v>3181</v>
      </c>
      <c r="K173" s="1672"/>
      <c r="L173" s="1672"/>
      <c r="M173" s="1672"/>
      <c r="N173" s="1672"/>
      <c r="O173" s="1672"/>
      <c r="P173" s="1672"/>
      <c r="Q173" s="1672"/>
      <c r="R173" s="1672"/>
      <c r="S173" s="1672">
        <v>500000</v>
      </c>
      <c r="T173" s="1672" t="s">
        <v>3068</v>
      </c>
      <c r="U173" s="1672"/>
      <c r="V173" s="1672">
        <v>4</v>
      </c>
      <c r="W173" s="1672" t="s">
        <v>3119</v>
      </c>
      <c r="X173" s="1323" t="s">
        <v>3070</v>
      </c>
      <c r="Y173" s="1674">
        <f t="shared" si="38"/>
        <v>2000</v>
      </c>
      <c r="Z173" s="407">
        <f>S173*V173</f>
        <v>2000000</v>
      </c>
      <c r="AA173" s="275"/>
      <c r="AC173" s="1424"/>
    </row>
    <row r="174" spans="1:30" s="2534" customFormat="1" ht="22.5" customHeight="1">
      <c r="A174" s="1290"/>
      <c r="B174" s="2540"/>
      <c r="C174" s="413"/>
      <c r="D174" s="1131"/>
      <c r="E174" s="1154" t="s">
        <v>3116</v>
      </c>
      <c r="F174" s="383">
        <f t="shared" si="39"/>
        <v>6000</v>
      </c>
      <c r="G174" s="1141">
        <v>6000</v>
      </c>
      <c r="H174" s="391"/>
      <c r="I174" s="2559"/>
      <c r="J174" s="2529" t="s">
        <v>3182</v>
      </c>
      <c r="K174" s="2530"/>
      <c r="L174" s="2530"/>
      <c r="M174" s="2530"/>
      <c r="N174" s="2530"/>
      <c r="O174" s="2530"/>
      <c r="P174" s="2530"/>
      <c r="Q174" s="1672"/>
      <c r="R174" s="1672"/>
      <c r="S174" s="1672">
        <v>2000000</v>
      </c>
      <c r="T174" s="1672" t="s">
        <v>3049</v>
      </c>
      <c r="U174" s="1672"/>
      <c r="V174" s="1672">
        <v>3</v>
      </c>
      <c r="W174" s="1672" t="s">
        <v>3183</v>
      </c>
      <c r="X174" s="1323" t="s">
        <v>3051</v>
      </c>
      <c r="Y174" s="1674">
        <f t="shared" si="38"/>
        <v>6000</v>
      </c>
      <c r="Z174" s="407">
        <f>S174*V174</f>
        <v>6000000</v>
      </c>
      <c r="AA174" s="275"/>
      <c r="AB174" s="275"/>
      <c r="AC174" s="1424"/>
    </row>
    <row r="175" spans="1:30" s="1835" customFormat="1" ht="22.5" customHeight="1">
      <c r="A175" s="1290"/>
      <c r="B175" s="1189"/>
      <c r="C175" s="397"/>
      <c r="D175" s="465"/>
      <c r="E175" s="1154" t="s">
        <v>3100</v>
      </c>
      <c r="F175" s="1141">
        <f t="shared" si="39"/>
        <v>990000</v>
      </c>
      <c r="G175" s="1141">
        <v>990000</v>
      </c>
      <c r="H175" s="391"/>
      <c r="I175" s="2559"/>
      <c r="J175" s="2538" t="s">
        <v>3076</v>
      </c>
      <c r="K175" s="2534"/>
      <c r="L175" s="2534"/>
      <c r="M175" s="2534"/>
      <c r="N175" s="2534"/>
      <c r="O175" s="2534"/>
      <c r="P175" s="2534"/>
      <c r="Q175" s="408"/>
      <c r="R175" s="2533"/>
      <c r="S175" s="1672"/>
      <c r="T175" s="2539"/>
      <c r="U175" s="2539"/>
      <c r="V175" s="2539"/>
      <c r="W175" s="2539"/>
      <c r="X175" s="1140"/>
      <c r="Y175" s="1674">
        <f t="shared" ref="Y175" si="40">(Z175)/1000</f>
        <v>990000</v>
      </c>
      <c r="Z175" s="407">
        <f>+Z176+Z177+Z178</f>
        <v>990000000</v>
      </c>
      <c r="AA175" s="275"/>
      <c r="AB175" s="275"/>
      <c r="AC175" s="1424"/>
    </row>
    <row r="176" spans="1:30" s="1835" customFormat="1" ht="22.5" customHeight="1">
      <c r="A176" s="1290"/>
      <c r="B176" s="1189"/>
      <c r="C176" s="397"/>
      <c r="D176" s="465"/>
      <c r="E176" s="1126"/>
      <c r="F176" s="1128"/>
      <c r="G176" s="1141"/>
      <c r="H176" s="391"/>
      <c r="I176" s="2559"/>
      <c r="J176" s="2345" t="s">
        <v>3184</v>
      </c>
      <c r="K176" s="1672"/>
      <c r="L176" s="1672"/>
      <c r="M176" s="1672"/>
      <c r="N176" s="1672"/>
      <c r="O176" s="1672"/>
      <c r="P176" s="1672"/>
      <c r="Q176" s="1672"/>
      <c r="R176" s="1672"/>
      <c r="S176" s="1672">
        <v>230000000</v>
      </c>
      <c r="T176" s="1672" t="s">
        <v>3068</v>
      </c>
      <c r="U176" s="1672"/>
      <c r="V176" s="1672">
        <v>3</v>
      </c>
      <c r="W176" s="1672" t="s">
        <v>3183</v>
      </c>
      <c r="X176" s="1323" t="s">
        <v>3070</v>
      </c>
      <c r="Y176" s="1674">
        <f t="shared" si="38"/>
        <v>690000</v>
      </c>
      <c r="Z176" s="407">
        <f>S176*V176</f>
        <v>690000000</v>
      </c>
      <c r="AA176" s="275"/>
      <c r="AB176" s="275"/>
      <c r="AC176" s="1424"/>
    </row>
    <row r="177" spans="1:340" s="1835" customFormat="1" ht="22.5" customHeight="1">
      <c r="A177" s="1290"/>
      <c r="B177" s="1189"/>
      <c r="C177" s="397"/>
      <c r="D177" s="465"/>
      <c r="E177" s="1126"/>
      <c r="F177" s="1128"/>
      <c r="G177" s="1141"/>
      <c r="H177" s="391"/>
      <c r="I177" s="2559"/>
      <c r="J177" s="2345" t="s">
        <v>3289</v>
      </c>
      <c r="K177" s="1672"/>
      <c r="L177" s="1672"/>
      <c r="M177" s="1672"/>
      <c r="N177" s="1672"/>
      <c r="O177" s="1672"/>
      <c r="P177" s="1672"/>
      <c r="Q177" s="1672"/>
      <c r="R177" s="1672"/>
      <c r="S177" s="1672">
        <v>150000000</v>
      </c>
      <c r="T177" s="1672" t="s">
        <v>3068</v>
      </c>
      <c r="U177" s="1672"/>
      <c r="V177" s="1672">
        <v>1</v>
      </c>
      <c r="W177" s="1672" t="s">
        <v>3121</v>
      </c>
      <c r="X177" s="1323" t="s">
        <v>3070</v>
      </c>
      <c r="Y177" s="1674">
        <f t="shared" si="38"/>
        <v>150000</v>
      </c>
      <c r="Z177" s="407">
        <f>S177*V177</f>
        <v>150000000</v>
      </c>
      <c r="AA177" s="275"/>
      <c r="AB177" s="275"/>
      <c r="AC177" s="1424"/>
    </row>
    <row r="178" spans="1:340" s="1835" customFormat="1" ht="22.5" customHeight="1">
      <c r="A178" s="1290"/>
      <c r="B178" s="1189"/>
      <c r="C178" s="397"/>
      <c r="D178" s="465"/>
      <c r="E178" s="1126"/>
      <c r="F178" s="1128"/>
      <c r="G178" s="1141"/>
      <c r="H178" s="391"/>
      <c r="I178" s="2559"/>
      <c r="J178" s="2345" t="s">
        <v>3288</v>
      </c>
      <c r="K178" s="1672"/>
      <c r="L178" s="1672"/>
      <c r="M178" s="1672"/>
      <c r="N178" s="1672"/>
      <c r="O178" s="1672"/>
      <c r="P178" s="1672"/>
      <c r="Q178" s="1672"/>
      <c r="R178" s="1672"/>
      <c r="S178" s="1672">
        <v>150000000</v>
      </c>
      <c r="T178" s="1672" t="s">
        <v>592</v>
      </c>
      <c r="U178" s="1672"/>
      <c r="V178" s="1672">
        <v>1</v>
      </c>
      <c r="W178" s="1672" t="s">
        <v>209</v>
      </c>
      <c r="X178" s="1323" t="s">
        <v>563</v>
      </c>
      <c r="Y178" s="1674">
        <f t="shared" ref="Y178" si="41">Z178/1000</f>
        <v>150000</v>
      </c>
      <c r="Z178" s="407">
        <f>S178*V178</f>
        <v>150000000</v>
      </c>
      <c r="AA178" s="275"/>
      <c r="AB178" s="275"/>
      <c r="AC178" s="1424"/>
    </row>
    <row r="179" spans="1:340" s="1835" customFormat="1" ht="22.5" customHeight="1" thickBot="1">
      <c r="A179" s="1290"/>
      <c r="B179" s="1189"/>
      <c r="C179" s="413"/>
      <c r="D179" s="1131"/>
      <c r="E179" s="359" t="s">
        <v>3064</v>
      </c>
      <c r="F179" s="1128">
        <f>Y179</f>
        <v>2000</v>
      </c>
      <c r="G179" s="527">
        <v>2000</v>
      </c>
      <c r="H179" s="391"/>
      <c r="I179" s="2559"/>
      <c r="J179" s="2345" t="s">
        <v>3109</v>
      </c>
      <c r="K179" s="1672"/>
      <c r="L179" s="1672"/>
      <c r="M179" s="1672"/>
      <c r="N179" s="1672"/>
      <c r="O179" s="1672"/>
      <c r="P179" s="1672"/>
      <c r="Q179" s="1672"/>
      <c r="R179" s="1672"/>
      <c r="S179" s="1672">
        <v>100000</v>
      </c>
      <c r="T179" s="1672" t="s">
        <v>3068</v>
      </c>
      <c r="U179" s="1672"/>
      <c r="V179" s="1672">
        <v>20</v>
      </c>
      <c r="W179" s="1672" t="s">
        <v>3119</v>
      </c>
      <c r="X179" s="1323" t="s">
        <v>3070</v>
      </c>
      <c r="Y179" s="1674">
        <f t="shared" si="38"/>
        <v>2000</v>
      </c>
      <c r="Z179" s="407">
        <f>S179*V179</f>
        <v>2000000</v>
      </c>
      <c r="AA179" s="275"/>
      <c r="AB179" s="275"/>
      <c r="AC179" s="1424"/>
    </row>
    <row r="180" spans="1:340" ht="22.5" customHeight="1">
      <c r="A180" s="348"/>
      <c r="B180" s="1126"/>
      <c r="C180" s="2578" t="s">
        <v>3292</v>
      </c>
      <c r="D180" s="2569"/>
      <c r="E180" s="944"/>
      <c r="F180" s="373">
        <f>+F181+F203+F232+F268</f>
        <v>1000000</v>
      </c>
      <c r="G180" s="373">
        <f>+G181+G203+G232+G268</f>
        <v>1000000</v>
      </c>
      <c r="H180" s="468">
        <f>F180-G180</f>
        <v>0</v>
      </c>
      <c r="J180" s="501"/>
      <c r="K180" s="2531"/>
      <c r="L180" s="2531"/>
      <c r="M180" s="2531"/>
      <c r="N180" s="2531"/>
      <c r="O180" s="2531"/>
      <c r="P180" s="2531"/>
      <c r="Q180" s="2531"/>
      <c r="R180" s="2531"/>
      <c r="S180" s="2531"/>
      <c r="T180" s="2531"/>
      <c r="U180" s="2531"/>
      <c r="V180" s="2531"/>
      <c r="W180" s="2531"/>
      <c r="X180" s="375"/>
      <c r="Y180" s="2570"/>
      <c r="Z180" s="2571"/>
    </row>
    <row r="181" spans="1:340" s="358" customFormat="1" ht="22.5" customHeight="1">
      <c r="A181" s="475"/>
      <c r="B181" s="1145"/>
      <c r="C181" s="465"/>
      <c r="D181" s="3283" t="s">
        <v>3327</v>
      </c>
      <c r="E181" s="3283"/>
      <c r="F181" s="931">
        <f>SUM(F182:F202)</f>
        <v>200000</v>
      </c>
      <c r="G181" s="931">
        <f>SUM(G182:G202)</f>
        <v>200000</v>
      </c>
      <c r="H181" s="468">
        <f>F181-G181</f>
        <v>0</v>
      </c>
      <c r="I181" s="1675"/>
      <c r="J181" s="1129"/>
      <c r="K181" s="2536"/>
      <c r="L181" s="2536"/>
      <c r="M181" s="2536"/>
      <c r="N181" s="2536"/>
      <c r="O181" s="2536"/>
      <c r="P181" s="1130"/>
      <c r="Q181" s="2536"/>
      <c r="R181" s="2536"/>
      <c r="S181" s="1130"/>
      <c r="T181" s="2536"/>
      <c r="U181" s="2536"/>
      <c r="V181" s="1130"/>
      <c r="W181" s="2536"/>
      <c r="X181" s="1157"/>
      <c r="Y181" s="1158"/>
      <c r="Z181" s="463"/>
      <c r="AB181" s="357"/>
      <c r="AD181" s="357"/>
      <c r="AE181" s="357"/>
      <c r="AF181" s="357"/>
      <c r="AG181" s="357"/>
      <c r="AH181" s="357"/>
      <c r="AI181" s="357"/>
      <c r="AJ181" s="357"/>
      <c r="AK181" s="357"/>
      <c r="AL181" s="357"/>
      <c r="AM181" s="357"/>
      <c r="AN181" s="357"/>
      <c r="AO181" s="357"/>
      <c r="AP181" s="357"/>
      <c r="AQ181" s="357"/>
      <c r="AR181" s="357"/>
      <c r="AS181" s="357"/>
      <c r="AT181" s="357"/>
      <c r="AU181" s="357"/>
      <c r="AV181" s="357"/>
      <c r="AW181" s="357"/>
      <c r="AX181" s="357"/>
      <c r="AY181" s="357"/>
      <c r="AZ181" s="357"/>
      <c r="BA181" s="357"/>
      <c r="BB181" s="357"/>
      <c r="BC181" s="357"/>
      <c r="BD181" s="357"/>
      <c r="BE181" s="357"/>
      <c r="BF181" s="357"/>
      <c r="BG181" s="357"/>
      <c r="BH181" s="357"/>
      <c r="BI181" s="357"/>
      <c r="BJ181" s="357"/>
      <c r="BK181" s="357"/>
      <c r="BL181" s="357"/>
      <c r="BM181" s="357"/>
      <c r="BN181" s="357"/>
      <c r="BO181" s="357"/>
      <c r="BP181" s="357"/>
      <c r="BQ181" s="357"/>
      <c r="BR181" s="357"/>
      <c r="BS181" s="357"/>
      <c r="BT181" s="357"/>
      <c r="BU181" s="357"/>
      <c r="BV181" s="357"/>
      <c r="BW181" s="357"/>
      <c r="BX181" s="357"/>
      <c r="BY181" s="357"/>
      <c r="BZ181" s="357"/>
      <c r="CA181" s="357"/>
      <c r="CB181" s="357"/>
      <c r="CC181" s="357"/>
      <c r="CD181" s="357"/>
      <c r="CE181" s="357"/>
      <c r="CF181" s="357"/>
      <c r="CG181" s="357"/>
      <c r="CH181" s="357"/>
      <c r="CI181" s="357"/>
      <c r="CJ181" s="357"/>
      <c r="CK181" s="357"/>
      <c r="CL181" s="357"/>
      <c r="CM181" s="357"/>
      <c r="CN181" s="357"/>
      <c r="CO181" s="357"/>
      <c r="CP181" s="357"/>
      <c r="CQ181" s="357"/>
      <c r="CR181" s="357"/>
      <c r="CS181" s="357"/>
      <c r="CT181" s="357"/>
      <c r="CU181" s="357"/>
      <c r="CV181" s="357"/>
      <c r="CW181" s="357"/>
      <c r="CX181" s="357"/>
      <c r="CY181" s="357"/>
      <c r="CZ181" s="357"/>
      <c r="DA181" s="357"/>
      <c r="DB181" s="357"/>
      <c r="DC181" s="357"/>
      <c r="DD181" s="357"/>
      <c r="DE181" s="357"/>
      <c r="DF181" s="357"/>
      <c r="DG181" s="357"/>
      <c r="DH181" s="357"/>
      <c r="DI181" s="357"/>
      <c r="DJ181" s="357"/>
      <c r="DK181" s="357"/>
      <c r="DL181" s="357"/>
      <c r="DM181" s="357"/>
      <c r="DN181" s="357"/>
      <c r="DO181" s="357"/>
      <c r="DP181" s="357"/>
      <c r="DQ181" s="357"/>
      <c r="DR181" s="357"/>
      <c r="DS181" s="357"/>
      <c r="DT181" s="357"/>
      <c r="DU181" s="357"/>
      <c r="DV181" s="357"/>
      <c r="DW181" s="357"/>
      <c r="DX181" s="357"/>
      <c r="DY181" s="357"/>
      <c r="DZ181" s="357"/>
      <c r="EA181" s="357"/>
      <c r="EB181" s="357"/>
      <c r="EC181" s="357"/>
      <c r="ED181" s="357"/>
      <c r="EE181" s="357"/>
      <c r="EF181" s="357"/>
      <c r="EG181" s="357"/>
      <c r="EH181" s="357"/>
      <c r="EI181" s="357"/>
      <c r="EJ181" s="357"/>
      <c r="EK181" s="357"/>
      <c r="EL181" s="357"/>
      <c r="EM181" s="357"/>
      <c r="EN181" s="357"/>
      <c r="EO181" s="357"/>
      <c r="EP181" s="357"/>
      <c r="EQ181" s="357"/>
      <c r="ER181" s="357"/>
      <c r="ES181" s="357"/>
      <c r="ET181" s="357"/>
      <c r="EU181" s="357"/>
      <c r="EV181" s="357"/>
      <c r="EW181" s="357"/>
      <c r="EX181" s="357"/>
      <c r="EY181" s="357"/>
      <c r="EZ181" s="357"/>
      <c r="FA181" s="357"/>
      <c r="FB181" s="357"/>
      <c r="FC181" s="357"/>
      <c r="FD181" s="357"/>
      <c r="FE181" s="357"/>
      <c r="FF181" s="357"/>
      <c r="FG181" s="357"/>
      <c r="FH181" s="357"/>
      <c r="FI181" s="357"/>
      <c r="FJ181" s="357"/>
      <c r="FK181" s="357"/>
      <c r="FL181" s="357"/>
      <c r="FM181" s="357"/>
      <c r="FN181" s="357"/>
      <c r="FO181" s="357"/>
      <c r="FP181" s="357"/>
      <c r="FQ181" s="357"/>
      <c r="FR181" s="357"/>
      <c r="FS181" s="357"/>
      <c r="FT181" s="357"/>
      <c r="FU181" s="357"/>
      <c r="FV181" s="357"/>
      <c r="FW181" s="357"/>
      <c r="FX181" s="357"/>
      <c r="FY181" s="357"/>
      <c r="FZ181" s="357"/>
      <c r="GA181" s="357"/>
      <c r="GB181" s="357"/>
      <c r="GC181" s="357"/>
      <c r="GD181" s="357"/>
      <c r="GE181" s="357"/>
      <c r="GF181" s="357"/>
      <c r="GG181" s="357"/>
      <c r="GH181" s="357"/>
      <c r="GI181" s="357"/>
      <c r="GJ181" s="357"/>
      <c r="GK181" s="357"/>
      <c r="GL181" s="357"/>
      <c r="GM181" s="357"/>
      <c r="GN181" s="357"/>
      <c r="GO181" s="357"/>
      <c r="GP181" s="357"/>
      <c r="GQ181" s="357"/>
      <c r="GR181" s="357"/>
      <c r="GS181" s="357"/>
      <c r="GT181" s="357"/>
      <c r="GU181" s="357"/>
      <c r="GV181" s="357"/>
      <c r="GW181" s="357"/>
      <c r="GX181" s="357"/>
      <c r="GY181" s="357"/>
      <c r="GZ181" s="357"/>
      <c r="HA181" s="357"/>
      <c r="HB181" s="357"/>
      <c r="HC181" s="357"/>
      <c r="HD181" s="357"/>
      <c r="HE181" s="357"/>
      <c r="HF181" s="357"/>
      <c r="HG181" s="357"/>
      <c r="HH181" s="357"/>
      <c r="HI181" s="357"/>
      <c r="HJ181" s="357"/>
      <c r="HK181" s="357"/>
      <c r="HL181" s="357"/>
      <c r="HM181" s="357"/>
      <c r="HN181" s="357"/>
      <c r="HO181" s="357"/>
      <c r="HP181" s="357"/>
      <c r="HQ181" s="357"/>
      <c r="HR181" s="357"/>
      <c r="HS181" s="357"/>
      <c r="HT181" s="357"/>
      <c r="HU181" s="357"/>
      <c r="HV181" s="357"/>
      <c r="HW181" s="357"/>
      <c r="HX181" s="357"/>
      <c r="HY181" s="357"/>
      <c r="HZ181" s="357"/>
      <c r="IA181" s="357"/>
      <c r="IB181" s="357"/>
      <c r="IC181" s="357"/>
      <c r="ID181" s="357"/>
      <c r="IE181" s="357"/>
      <c r="IF181" s="357"/>
      <c r="IG181" s="357"/>
      <c r="IH181" s="357"/>
      <c r="II181" s="357"/>
      <c r="IJ181" s="357"/>
      <c r="IK181" s="357"/>
      <c r="IL181" s="357"/>
      <c r="IM181" s="357"/>
      <c r="IN181" s="357"/>
      <c r="IO181" s="357"/>
      <c r="IP181" s="357"/>
      <c r="IQ181" s="357"/>
      <c r="IR181" s="357"/>
      <c r="IS181" s="357"/>
      <c r="IT181" s="357"/>
      <c r="IU181" s="357"/>
      <c r="IV181" s="357"/>
      <c r="IW181" s="357"/>
      <c r="IX181" s="357"/>
      <c r="IY181" s="357"/>
      <c r="IZ181" s="357"/>
      <c r="JA181" s="357"/>
      <c r="JB181" s="357"/>
      <c r="JC181" s="357"/>
      <c r="JD181" s="357"/>
      <c r="JE181" s="357"/>
      <c r="JF181" s="357"/>
      <c r="JG181" s="357"/>
      <c r="JH181" s="357"/>
      <c r="JI181" s="357"/>
      <c r="JJ181" s="357"/>
      <c r="JK181" s="357"/>
      <c r="JL181" s="357"/>
      <c r="JM181" s="357"/>
      <c r="JN181" s="357"/>
      <c r="JO181" s="357"/>
      <c r="JP181" s="357"/>
      <c r="JQ181" s="357"/>
      <c r="JR181" s="357"/>
      <c r="JS181" s="357"/>
      <c r="JT181" s="357"/>
      <c r="JU181" s="357"/>
      <c r="JV181" s="357"/>
      <c r="JW181" s="357"/>
      <c r="JX181" s="357"/>
      <c r="JY181" s="357"/>
      <c r="JZ181" s="357"/>
      <c r="KA181" s="357"/>
      <c r="KB181" s="357"/>
      <c r="KC181" s="357"/>
      <c r="KD181" s="357"/>
      <c r="KE181" s="357"/>
      <c r="KF181" s="357"/>
      <c r="KG181" s="357"/>
      <c r="KH181" s="357"/>
      <c r="KI181" s="357"/>
      <c r="KJ181" s="357"/>
      <c r="KK181" s="357"/>
      <c r="KL181" s="357"/>
      <c r="KM181" s="357"/>
      <c r="KN181" s="357"/>
      <c r="KO181" s="357"/>
      <c r="KP181" s="357"/>
      <c r="KQ181" s="357"/>
      <c r="KR181" s="357"/>
      <c r="KS181" s="357"/>
      <c r="KT181" s="357"/>
      <c r="KU181" s="357"/>
      <c r="KV181" s="357"/>
      <c r="KW181" s="357"/>
      <c r="KX181" s="357"/>
      <c r="KY181" s="357"/>
      <c r="KZ181" s="357"/>
      <c r="LA181" s="357"/>
      <c r="LB181" s="357"/>
      <c r="LC181" s="357"/>
      <c r="LD181" s="357"/>
      <c r="LE181" s="357"/>
      <c r="LF181" s="357"/>
      <c r="LG181" s="357"/>
      <c r="LH181" s="357"/>
      <c r="LI181" s="357"/>
      <c r="LJ181" s="357"/>
      <c r="LK181" s="357"/>
      <c r="LL181" s="357"/>
      <c r="LM181" s="357"/>
      <c r="LN181" s="357"/>
      <c r="LO181" s="357"/>
      <c r="LP181" s="357"/>
      <c r="LQ181" s="357"/>
      <c r="LR181" s="357"/>
      <c r="LS181" s="357"/>
      <c r="LT181" s="357"/>
      <c r="LU181" s="357"/>
      <c r="LV181" s="357"/>
      <c r="LW181" s="357"/>
      <c r="LX181" s="357"/>
      <c r="LY181" s="357"/>
      <c r="LZ181" s="357"/>
      <c r="MA181" s="357"/>
      <c r="MB181" s="357"/>
    </row>
    <row r="182" spans="1:340" s="358" customFormat="1" ht="22.5" customHeight="1">
      <c r="A182" s="475"/>
      <c r="B182" s="1145"/>
      <c r="C182" s="465"/>
      <c r="D182" s="466"/>
      <c r="E182" s="1134" t="s">
        <v>51</v>
      </c>
      <c r="F182" s="438">
        <f>+Y182</f>
        <v>25000</v>
      </c>
      <c r="G182" s="438">
        <v>25000</v>
      </c>
      <c r="H182" s="391"/>
      <c r="I182" s="1675"/>
      <c r="J182" s="2538" t="s">
        <v>3076</v>
      </c>
      <c r="K182" s="2534"/>
      <c r="L182" s="2534"/>
      <c r="M182" s="2534"/>
      <c r="N182" s="2357"/>
      <c r="O182" s="2357"/>
      <c r="P182" s="2357"/>
      <c r="Q182" s="2539"/>
      <c r="R182" s="2533"/>
      <c r="S182" s="2539"/>
      <c r="T182" s="2539"/>
      <c r="U182" s="2357"/>
      <c r="V182" s="2539"/>
      <c r="W182" s="2539"/>
      <c r="X182" s="1140"/>
      <c r="Y182" s="1674">
        <f t="shared" ref="Y182:Y202" si="42">Z182/1000</f>
        <v>25000</v>
      </c>
      <c r="Z182" s="494">
        <f>+Z183+Z184</f>
        <v>25000000</v>
      </c>
      <c r="AB182" s="357"/>
      <c r="AD182" s="357"/>
      <c r="AE182" s="357"/>
      <c r="AF182" s="357"/>
      <c r="AG182" s="357"/>
      <c r="AH182" s="357"/>
      <c r="AI182" s="357"/>
      <c r="AJ182" s="357"/>
      <c r="AK182" s="357"/>
      <c r="AL182" s="357"/>
      <c r="AM182" s="357"/>
      <c r="AN182" s="357"/>
      <c r="AO182" s="357"/>
      <c r="AP182" s="357"/>
      <c r="AQ182" s="357"/>
      <c r="AR182" s="357"/>
      <c r="AS182" s="357"/>
      <c r="AT182" s="357"/>
      <c r="AU182" s="357"/>
      <c r="AV182" s="357"/>
      <c r="AW182" s="357"/>
      <c r="AX182" s="357"/>
      <c r="AY182" s="357"/>
      <c r="AZ182" s="357"/>
      <c r="BA182" s="357"/>
      <c r="BB182" s="357"/>
      <c r="BC182" s="357"/>
      <c r="BD182" s="357"/>
      <c r="BE182" s="357"/>
      <c r="BF182" s="357"/>
      <c r="BG182" s="357"/>
      <c r="BH182" s="357"/>
      <c r="BI182" s="357"/>
      <c r="BJ182" s="357"/>
      <c r="BK182" s="357"/>
      <c r="BL182" s="357"/>
      <c r="BM182" s="357"/>
      <c r="BN182" s="357"/>
      <c r="BO182" s="357"/>
      <c r="BP182" s="357"/>
      <c r="BQ182" s="357"/>
      <c r="BR182" s="357"/>
      <c r="BS182" s="357"/>
      <c r="BT182" s="357"/>
      <c r="BU182" s="357"/>
      <c r="BV182" s="357"/>
      <c r="BW182" s="357"/>
      <c r="BX182" s="357"/>
      <c r="BY182" s="357"/>
      <c r="BZ182" s="357"/>
      <c r="CA182" s="357"/>
      <c r="CB182" s="357"/>
      <c r="CC182" s="357"/>
      <c r="CD182" s="357"/>
      <c r="CE182" s="357"/>
      <c r="CF182" s="357"/>
      <c r="CG182" s="357"/>
      <c r="CH182" s="357"/>
      <c r="CI182" s="357"/>
      <c r="CJ182" s="357"/>
      <c r="CK182" s="357"/>
      <c r="CL182" s="357"/>
      <c r="CM182" s="357"/>
      <c r="CN182" s="357"/>
      <c r="CO182" s="357"/>
      <c r="CP182" s="357"/>
      <c r="CQ182" s="357"/>
      <c r="CR182" s="357"/>
      <c r="CS182" s="357"/>
      <c r="CT182" s="357"/>
      <c r="CU182" s="357"/>
      <c r="CV182" s="357"/>
      <c r="CW182" s="357"/>
      <c r="CX182" s="357"/>
      <c r="CY182" s="357"/>
      <c r="CZ182" s="357"/>
      <c r="DA182" s="357"/>
      <c r="DB182" s="357"/>
      <c r="DC182" s="357"/>
      <c r="DD182" s="357"/>
      <c r="DE182" s="357"/>
      <c r="DF182" s="357"/>
      <c r="DG182" s="357"/>
      <c r="DH182" s="357"/>
      <c r="DI182" s="357"/>
      <c r="DJ182" s="357"/>
      <c r="DK182" s="357"/>
      <c r="DL182" s="357"/>
      <c r="DM182" s="357"/>
      <c r="DN182" s="357"/>
      <c r="DO182" s="357"/>
      <c r="DP182" s="357"/>
      <c r="DQ182" s="357"/>
      <c r="DR182" s="357"/>
      <c r="DS182" s="357"/>
      <c r="DT182" s="357"/>
      <c r="DU182" s="357"/>
      <c r="DV182" s="357"/>
      <c r="DW182" s="357"/>
      <c r="DX182" s="357"/>
      <c r="DY182" s="357"/>
      <c r="DZ182" s="357"/>
      <c r="EA182" s="357"/>
      <c r="EB182" s="357"/>
      <c r="EC182" s="357"/>
      <c r="ED182" s="357"/>
      <c r="EE182" s="357"/>
      <c r="EF182" s="357"/>
      <c r="EG182" s="357"/>
      <c r="EH182" s="357"/>
      <c r="EI182" s="357"/>
      <c r="EJ182" s="357"/>
      <c r="EK182" s="357"/>
      <c r="EL182" s="357"/>
      <c r="EM182" s="357"/>
      <c r="EN182" s="357"/>
      <c r="EO182" s="357"/>
      <c r="EP182" s="357"/>
      <c r="EQ182" s="357"/>
      <c r="ER182" s="357"/>
      <c r="ES182" s="357"/>
      <c r="ET182" s="357"/>
      <c r="EU182" s="357"/>
      <c r="EV182" s="357"/>
      <c r="EW182" s="357"/>
      <c r="EX182" s="357"/>
      <c r="EY182" s="357"/>
      <c r="EZ182" s="357"/>
      <c r="FA182" s="357"/>
      <c r="FB182" s="357"/>
      <c r="FC182" s="357"/>
      <c r="FD182" s="357"/>
      <c r="FE182" s="357"/>
      <c r="FF182" s="357"/>
      <c r="FG182" s="357"/>
      <c r="FH182" s="357"/>
      <c r="FI182" s="357"/>
      <c r="FJ182" s="357"/>
      <c r="FK182" s="357"/>
      <c r="FL182" s="357"/>
      <c r="FM182" s="357"/>
      <c r="FN182" s="357"/>
      <c r="FO182" s="357"/>
      <c r="FP182" s="357"/>
      <c r="FQ182" s="357"/>
      <c r="FR182" s="357"/>
      <c r="FS182" s="357"/>
      <c r="FT182" s="357"/>
      <c r="FU182" s="357"/>
      <c r="FV182" s="357"/>
      <c r="FW182" s="357"/>
      <c r="FX182" s="357"/>
      <c r="FY182" s="357"/>
      <c r="FZ182" s="357"/>
      <c r="GA182" s="357"/>
      <c r="GB182" s="357"/>
      <c r="GC182" s="357"/>
      <c r="GD182" s="357"/>
      <c r="GE182" s="357"/>
      <c r="GF182" s="357"/>
      <c r="GG182" s="357"/>
      <c r="GH182" s="357"/>
      <c r="GI182" s="357"/>
      <c r="GJ182" s="357"/>
      <c r="GK182" s="357"/>
      <c r="GL182" s="357"/>
      <c r="GM182" s="357"/>
      <c r="GN182" s="357"/>
      <c r="GO182" s="357"/>
      <c r="GP182" s="357"/>
      <c r="GQ182" s="357"/>
      <c r="GR182" s="357"/>
      <c r="GS182" s="357"/>
      <c r="GT182" s="357"/>
      <c r="GU182" s="357"/>
      <c r="GV182" s="357"/>
      <c r="GW182" s="357"/>
      <c r="GX182" s="357"/>
      <c r="GY182" s="357"/>
      <c r="GZ182" s="357"/>
      <c r="HA182" s="357"/>
      <c r="HB182" s="357"/>
      <c r="HC182" s="357"/>
      <c r="HD182" s="357"/>
      <c r="HE182" s="357"/>
      <c r="HF182" s="357"/>
      <c r="HG182" s="357"/>
      <c r="HH182" s="357"/>
      <c r="HI182" s="357"/>
      <c r="HJ182" s="357"/>
      <c r="HK182" s="357"/>
      <c r="HL182" s="357"/>
      <c r="HM182" s="357"/>
      <c r="HN182" s="357"/>
      <c r="HO182" s="357"/>
      <c r="HP182" s="357"/>
      <c r="HQ182" s="357"/>
      <c r="HR182" s="357"/>
      <c r="HS182" s="357"/>
      <c r="HT182" s="357"/>
      <c r="HU182" s="357"/>
      <c r="HV182" s="357"/>
      <c r="HW182" s="357"/>
      <c r="HX182" s="357"/>
      <c r="HY182" s="357"/>
      <c r="HZ182" s="357"/>
      <c r="IA182" s="357"/>
      <c r="IB182" s="357"/>
      <c r="IC182" s="357"/>
      <c r="ID182" s="357"/>
      <c r="IE182" s="357"/>
      <c r="IF182" s="357"/>
      <c r="IG182" s="357"/>
      <c r="IH182" s="357"/>
      <c r="II182" s="357"/>
      <c r="IJ182" s="357"/>
      <c r="IK182" s="357"/>
      <c r="IL182" s="357"/>
      <c r="IM182" s="357"/>
      <c r="IN182" s="357"/>
      <c r="IO182" s="357"/>
      <c r="IP182" s="357"/>
      <c r="IQ182" s="357"/>
      <c r="IR182" s="357"/>
      <c r="IS182" s="357"/>
      <c r="IT182" s="357"/>
      <c r="IU182" s="357"/>
      <c r="IV182" s="357"/>
      <c r="IW182" s="357"/>
      <c r="IX182" s="357"/>
      <c r="IY182" s="357"/>
      <c r="IZ182" s="357"/>
      <c r="JA182" s="357"/>
      <c r="JB182" s="357"/>
      <c r="JC182" s="357"/>
      <c r="JD182" s="357"/>
      <c r="JE182" s="357"/>
      <c r="JF182" s="357"/>
      <c r="JG182" s="357"/>
      <c r="JH182" s="357"/>
      <c r="JI182" s="357"/>
      <c r="JJ182" s="357"/>
      <c r="JK182" s="357"/>
      <c r="JL182" s="357"/>
      <c r="JM182" s="357"/>
      <c r="JN182" s="357"/>
      <c r="JO182" s="357"/>
      <c r="JP182" s="357"/>
      <c r="JQ182" s="357"/>
      <c r="JR182" s="357"/>
      <c r="JS182" s="357"/>
      <c r="JT182" s="357"/>
      <c r="JU182" s="357"/>
      <c r="JV182" s="357"/>
      <c r="JW182" s="357"/>
      <c r="JX182" s="357"/>
      <c r="JY182" s="357"/>
      <c r="JZ182" s="357"/>
      <c r="KA182" s="357"/>
      <c r="KB182" s="357"/>
      <c r="KC182" s="357"/>
      <c r="KD182" s="357"/>
      <c r="KE182" s="357"/>
      <c r="KF182" s="357"/>
      <c r="KG182" s="357"/>
      <c r="KH182" s="357"/>
      <c r="KI182" s="357"/>
      <c r="KJ182" s="357"/>
      <c r="KK182" s="357"/>
      <c r="KL182" s="357"/>
      <c r="KM182" s="357"/>
      <c r="KN182" s="357"/>
      <c r="KO182" s="357"/>
      <c r="KP182" s="357"/>
      <c r="KQ182" s="357"/>
      <c r="KR182" s="357"/>
      <c r="KS182" s="357"/>
      <c r="KT182" s="357"/>
      <c r="KU182" s="357"/>
      <c r="KV182" s="357"/>
      <c r="KW182" s="357"/>
      <c r="KX182" s="357"/>
      <c r="KY182" s="357"/>
      <c r="KZ182" s="357"/>
      <c r="LA182" s="357"/>
      <c r="LB182" s="357"/>
      <c r="LC182" s="357"/>
      <c r="LD182" s="357"/>
      <c r="LE182" s="357"/>
      <c r="LF182" s="357"/>
      <c r="LG182" s="357"/>
      <c r="LH182" s="357"/>
      <c r="LI182" s="357"/>
      <c r="LJ182" s="357"/>
      <c r="LK182" s="357"/>
      <c r="LL182" s="357"/>
      <c r="LM182" s="357"/>
      <c r="LN182" s="357"/>
      <c r="LO182" s="357"/>
      <c r="LP182" s="357"/>
      <c r="LQ182" s="357"/>
      <c r="LR182" s="357"/>
      <c r="LS182" s="357"/>
      <c r="LT182" s="357"/>
      <c r="LU182" s="357"/>
      <c r="LV182" s="357"/>
      <c r="LW182" s="357"/>
      <c r="LX182" s="357"/>
      <c r="LY182" s="357"/>
      <c r="LZ182" s="357"/>
      <c r="MA182" s="357"/>
      <c r="MB182" s="357"/>
    </row>
    <row r="183" spans="1:340" s="358" customFormat="1" ht="22.5" customHeight="1">
      <c r="A183" s="475"/>
      <c r="B183" s="1145"/>
      <c r="C183" s="465"/>
      <c r="D183" s="1148"/>
      <c r="E183" s="1134"/>
      <c r="F183" s="438"/>
      <c r="G183" s="438"/>
      <c r="H183" s="406"/>
      <c r="I183" s="1675"/>
      <c r="J183" s="2538" t="s">
        <v>3185</v>
      </c>
      <c r="K183" s="2534"/>
      <c r="L183" s="2534"/>
      <c r="M183" s="2534"/>
      <c r="N183" s="2357"/>
      <c r="O183" s="2357"/>
      <c r="P183" s="2357"/>
      <c r="Q183" s="2539"/>
      <c r="R183" s="2533"/>
      <c r="S183" s="2539">
        <v>15000</v>
      </c>
      <c r="T183" s="2539" t="s">
        <v>0</v>
      </c>
      <c r="U183" s="2357"/>
      <c r="V183" s="2539">
        <v>1000</v>
      </c>
      <c r="W183" s="2539" t="s">
        <v>63</v>
      </c>
      <c r="X183" s="1140" t="s">
        <v>1</v>
      </c>
      <c r="Y183" s="1674">
        <f t="shared" si="42"/>
        <v>15000</v>
      </c>
      <c r="Z183" s="407">
        <f>S183*V183</f>
        <v>15000000</v>
      </c>
      <c r="AB183" s="357"/>
      <c r="AD183" s="357"/>
      <c r="AE183" s="357"/>
      <c r="AF183" s="357"/>
      <c r="AG183" s="357"/>
      <c r="AH183" s="357"/>
      <c r="AI183" s="357"/>
      <c r="AJ183" s="357"/>
      <c r="AK183" s="357"/>
      <c r="AL183" s="357"/>
      <c r="AM183" s="357"/>
      <c r="AN183" s="357"/>
      <c r="AO183" s="357"/>
      <c r="AP183" s="357"/>
      <c r="AQ183" s="357"/>
      <c r="AR183" s="357"/>
      <c r="AS183" s="357"/>
      <c r="AT183" s="357"/>
      <c r="AU183" s="357"/>
      <c r="AV183" s="357"/>
      <c r="AW183" s="357"/>
      <c r="AX183" s="357"/>
      <c r="AY183" s="357"/>
      <c r="AZ183" s="357"/>
      <c r="BA183" s="357"/>
      <c r="BB183" s="357"/>
      <c r="BC183" s="357"/>
      <c r="BD183" s="357"/>
      <c r="BE183" s="357"/>
      <c r="BF183" s="357"/>
      <c r="BG183" s="357"/>
      <c r="BH183" s="357"/>
      <c r="BI183" s="357"/>
      <c r="BJ183" s="357"/>
      <c r="BK183" s="357"/>
      <c r="BL183" s="357"/>
      <c r="BM183" s="357"/>
      <c r="BN183" s="357"/>
      <c r="BO183" s="357"/>
      <c r="BP183" s="357"/>
      <c r="BQ183" s="357"/>
      <c r="BR183" s="357"/>
      <c r="BS183" s="357"/>
      <c r="BT183" s="357"/>
      <c r="BU183" s="357"/>
      <c r="BV183" s="357"/>
      <c r="BW183" s="357"/>
      <c r="BX183" s="357"/>
      <c r="BY183" s="357"/>
      <c r="BZ183" s="357"/>
      <c r="CA183" s="357"/>
      <c r="CB183" s="357"/>
      <c r="CC183" s="357"/>
      <c r="CD183" s="357"/>
      <c r="CE183" s="357"/>
      <c r="CF183" s="357"/>
      <c r="CG183" s="357"/>
      <c r="CH183" s="357"/>
      <c r="CI183" s="357"/>
      <c r="CJ183" s="357"/>
      <c r="CK183" s="357"/>
      <c r="CL183" s="357"/>
      <c r="CM183" s="357"/>
      <c r="CN183" s="357"/>
      <c r="CO183" s="357"/>
      <c r="CP183" s="357"/>
      <c r="CQ183" s="357"/>
      <c r="CR183" s="357"/>
      <c r="CS183" s="357"/>
      <c r="CT183" s="357"/>
      <c r="CU183" s="357"/>
      <c r="CV183" s="357"/>
      <c r="CW183" s="357"/>
      <c r="CX183" s="357"/>
      <c r="CY183" s="357"/>
      <c r="CZ183" s="357"/>
      <c r="DA183" s="357"/>
      <c r="DB183" s="357"/>
      <c r="DC183" s="357"/>
      <c r="DD183" s="357"/>
      <c r="DE183" s="357"/>
      <c r="DF183" s="357"/>
      <c r="DG183" s="357"/>
      <c r="DH183" s="357"/>
      <c r="DI183" s="357"/>
      <c r="DJ183" s="357"/>
      <c r="DK183" s="357"/>
      <c r="DL183" s="357"/>
      <c r="DM183" s="357"/>
      <c r="DN183" s="357"/>
      <c r="DO183" s="357"/>
      <c r="DP183" s="357"/>
      <c r="DQ183" s="357"/>
      <c r="DR183" s="357"/>
      <c r="DS183" s="357"/>
      <c r="DT183" s="357"/>
      <c r="DU183" s="357"/>
      <c r="DV183" s="357"/>
      <c r="DW183" s="357"/>
      <c r="DX183" s="357"/>
      <c r="DY183" s="357"/>
      <c r="DZ183" s="357"/>
      <c r="EA183" s="357"/>
      <c r="EB183" s="357"/>
      <c r="EC183" s="357"/>
      <c r="ED183" s="357"/>
      <c r="EE183" s="357"/>
      <c r="EF183" s="357"/>
      <c r="EG183" s="357"/>
      <c r="EH183" s="357"/>
      <c r="EI183" s="357"/>
      <c r="EJ183" s="357"/>
      <c r="EK183" s="357"/>
      <c r="EL183" s="357"/>
      <c r="EM183" s="357"/>
      <c r="EN183" s="357"/>
      <c r="EO183" s="357"/>
      <c r="EP183" s="357"/>
      <c r="EQ183" s="357"/>
      <c r="ER183" s="357"/>
      <c r="ES183" s="357"/>
      <c r="ET183" s="357"/>
      <c r="EU183" s="357"/>
      <c r="EV183" s="357"/>
      <c r="EW183" s="357"/>
      <c r="EX183" s="357"/>
      <c r="EY183" s="357"/>
      <c r="EZ183" s="357"/>
      <c r="FA183" s="357"/>
      <c r="FB183" s="357"/>
      <c r="FC183" s="357"/>
      <c r="FD183" s="357"/>
      <c r="FE183" s="357"/>
      <c r="FF183" s="357"/>
      <c r="FG183" s="357"/>
      <c r="FH183" s="357"/>
      <c r="FI183" s="357"/>
      <c r="FJ183" s="357"/>
      <c r="FK183" s="357"/>
      <c r="FL183" s="357"/>
      <c r="FM183" s="357"/>
      <c r="FN183" s="357"/>
      <c r="FO183" s="357"/>
      <c r="FP183" s="357"/>
      <c r="FQ183" s="357"/>
      <c r="FR183" s="357"/>
      <c r="FS183" s="357"/>
      <c r="FT183" s="357"/>
      <c r="FU183" s="357"/>
      <c r="FV183" s="357"/>
      <c r="FW183" s="357"/>
      <c r="FX183" s="357"/>
      <c r="FY183" s="357"/>
      <c r="FZ183" s="357"/>
      <c r="GA183" s="357"/>
      <c r="GB183" s="357"/>
      <c r="GC183" s="357"/>
      <c r="GD183" s="357"/>
      <c r="GE183" s="357"/>
      <c r="GF183" s="357"/>
      <c r="GG183" s="357"/>
      <c r="GH183" s="357"/>
      <c r="GI183" s="357"/>
      <c r="GJ183" s="357"/>
      <c r="GK183" s="357"/>
      <c r="GL183" s="357"/>
      <c r="GM183" s="357"/>
      <c r="GN183" s="357"/>
      <c r="GO183" s="357"/>
      <c r="GP183" s="357"/>
      <c r="GQ183" s="357"/>
      <c r="GR183" s="357"/>
      <c r="GS183" s="357"/>
      <c r="GT183" s="357"/>
      <c r="GU183" s="357"/>
      <c r="GV183" s="357"/>
      <c r="GW183" s="357"/>
      <c r="GX183" s="357"/>
      <c r="GY183" s="357"/>
      <c r="GZ183" s="357"/>
      <c r="HA183" s="357"/>
      <c r="HB183" s="357"/>
      <c r="HC183" s="357"/>
      <c r="HD183" s="357"/>
      <c r="HE183" s="357"/>
      <c r="HF183" s="357"/>
      <c r="HG183" s="357"/>
      <c r="HH183" s="357"/>
      <c r="HI183" s="357"/>
      <c r="HJ183" s="357"/>
      <c r="HK183" s="357"/>
      <c r="HL183" s="357"/>
      <c r="HM183" s="357"/>
      <c r="HN183" s="357"/>
      <c r="HO183" s="357"/>
      <c r="HP183" s="357"/>
      <c r="HQ183" s="357"/>
      <c r="HR183" s="357"/>
      <c r="HS183" s="357"/>
      <c r="HT183" s="357"/>
      <c r="HU183" s="357"/>
      <c r="HV183" s="357"/>
      <c r="HW183" s="357"/>
      <c r="HX183" s="357"/>
      <c r="HY183" s="357"/>
      <c r="HZ183" s="357"/>
      <c r="IA183" s="357"/>
      <c r="IB183" s="357"/>
      <c r="IC183" s="357"/>
      <c r="ID183" s="357"/>
      <c r="IE183" s="357"/>
      <c r="IF183" s="357"/>
      <c r="IG183" s="357"/>
      <c r="IH183" s="357"/>
      <c r="II183" s="357"/>
      <c r="IJ183" s="357"/>
      <c r="IK183" s="357"/>
      <c r="IL183" s="357"/>
      <c r="IM183" s="357"/>
      <c r="IN183" s="357"/>
      <c r="IO183" s="357"/>
      <c r="IP183" s="357"/>
      <c r="IQ183" s="357"/>
      <c r="IR183" s="357"/>
      <c r="IS183" s="357"/>
      <c r="IT183" s="357"/>
      <c r="IU183" s="357"/>
      <c r="IV183" s="357"/>
      <c r="IW183" s="357"/>
      <c r="IX183" s="357"/>
      <c r="IY183" s="357"/>
      <c r="IZ183" s="357"/>
      <c r="JA183" s="357"/>
      <c r="JB183" s="357"/>
      <c r="JC183" s="357"/>
      <c r="JD183" s="357"/>
      <c r="JE183" s="357"/>
      <c r="JF183" s="357"/>
      <c r="JG183" s="357"/>
      <c r="JH183" s="357"/>
      <c r="JI183" s="357"/>
      <c r="JJ183" s="357"/>
      <c r="JK183" s="357"/>
      <c r="JL183" s="357"/>
      <c r="JM183" s="357"/>
      <c r="JN183" s="357"/>
      <c r="JO183" s="357"/>
      <c r="JP183" s="357"/>
      <c r="JQ183" s="357"/>
      <c r="JR183" s="357"/>
      <c r="JS183" s="357"/>
      <c r="JT183" s="357"/>
      <c r="JU183" s="357"/>
      <c r="JV183" s="357"/>
      <c r="JW183" s="357"/>
      <c r="JX183" s="357"/>
      <c r="JY183" s="357"/>
      <c r="JZ183" s="357"/>
      <c r="KA183" s="357"/>
      <c r="KB183" s="357"/>
      <c r="KC183" s="357"/>
      <c r="KD183" s="357"/>
      <c r="KE183" s="357"/>
      <c r="KF183" s="357"/>
      <c r="KG183" s="357"/>
      <c r="KH183" s="357"/>
      <c r="KI183" s="357"/>
      <c r="KJ183" s="357"/>
      <c r="KK183" s="357"/>
      <c r="KL183" s="357"/>
      <c r="KM183" s="357"/>
      <c r="KN183" s="357"/>
      <c r="KO183" s="357"/>
      <c r="KP183" s="357"/>
      <c r="KQ183" s="357"/>
      <c r="KR183" s="357"/>
      <c r="KS183" s="357"/>
      <c r="KT183" s="357"/>
      <c r="KU183" s="357"/>
      <c r="KV183" s="357"/>
      <c r="KW183" s="357"/>
      <c r="KX183" s="357"/>
      <c r="KY183" s="357"/>
      <c r="KZ183" s="357"/>
      <c r="LA183" s="357"/>
      <c r="LB183" s="357"/>
      <c r="LC183" s="357"/>
      <c r="LD183" s="357"/>
      <c r="LE183" s="357"/>
      <c r="LF183" s="357"/>
      <c r="LG183" s="357"/>
      <c r="LH183" s="357"/>
      <c r="LI183" s="357"/>
      <c r="LJ183" s="357"/>
      <c r="LK183" s="357"/>
      <c r="LL183" s="357"/>
      <c r="LM183" s="357"/>
      <c r="LN183" s="357"/>
      <c r="LO183" s="357"/>
      <c r="LP183" s="357"/>
      <c r="LQ183" s="357"/>
      <c r="LR183" s="357"/>
      <c r="LS183" s="357"/>
      <c r="LT183" s="357"/>
      <c r="LU183" s="357"/>
      <c r="LV183" s="357"/>
      <c r="LW183" s="357"/>
      <c r="LX183" s="357"/>
      <c r="LY183" s="357"/>
      <c r="LZ183" s="357"/>
      <c r="MA183" s="357"/>
      <c r="MB183" s="357"/>
    </row>
    <row r="184" spans="1:340" s="358" customFormat="1" ht="22.5" customHeight="1">
      <c r="A184" s="475"/>
      <c r="B184" s="1145"/>
      <c r="C184" s="465"/>
      <c r="D184" s="466"/>
      <c r="E184" s="1134"/>
      <c r="F184" s="438"/>
      <c r="G184" s="438"/>
      <c r="H184" s="406"/>
      <c r="I184" s="1675"/>
      <c r="J184" s="2538" t="s">
        <v>3186</v>
      </c>
      <c r="K184" s="2534"/>
      <c r="L184" s="2534"/>
      <c r="M184" s="2534"/>
      <c r="N184" s="2357"/>
      <c r="O184" s="2357"/>
      <c r="P184" s="2357"/>
      <c r="Q184" s="2539"/>
      <c r="R184" s="2533"/>
      <c r="S184" s="2539">
        <v>10000000</v>
      </c>
      <c r="T184" s="2539" t="s">
        <v>0</v>
      </c>
      <c r="U184" s="2357"/>
      <c r="V184" s="2539">
        <v>1</v>
      </c>
      <c r="W184" s="2539" t="s">
        <v>6</v>
      </c>
      <c r="X184" s="1140" t="s">
        <v>1</v>
      </c>
      <c r="Y184" s="1674">
        <f t="shared" si="42"/>
        <v>10000</v>
      </c>
      <c r="Z184" s="407">
        <f>S184*V184</f>
        <v>10000000</v>
      </c>
      <c r="AB184" s="357"/>
      <c r="AD184" s="357"/>
      <c r="AE184" s="357"/>
      <c r="AF184" s="357"/>
      <c r="AG184" s="357"/>
      <c r="AH184" s="357"/>
      <c r="AI184" s="357"/>
      <c r="AJ184" s="357"/>
      <c r="AK184" s="357"/>
      <c r="AL184" s="357"/>
      <c r="AM184" s="357"/>
      <c r="AN184" s="357"/>
      <c r="AO184" s="357"/>
      <c r="AP184" s="357"/>
      <c r="AQ184" s="357"/>
      <c r="AR184" s="357"/>
      <c r="AS184" s="357"/>
      <c r="AT184" s="357"/>
      <c r="AU184" s="357"/>
      <c r="AV184" s="357"/>
      <c r="AW184" s="357"/>
      <c r="AX184" s="357"/>
      <c r="AY184" s="357"/>
      <c r="AZ184" s="357"/>
      <c r="BA184" s="357"/>
      <c r="BB184" s="357"/>
      <c r="BC184" s="357"/>
      <c r="BD184" s="357"/>
      <c r="BE184" s="357"/>
      <c r="BF184" s="357"/>
      <c r="BG184" s="357"/>
      <c r="BH184" s="357"/>
      <c r="BI184" s="357"/>
      <c r="BJ184" s="357"/>
      <c r="BK184" s="357"/>
      <c r="BL184" s="357"/>
      <c r="BM184" s="357"/>
      <c r="BN184" s="357"/>
      <c r="BO184" s="357"/>
      <c r="BP184" s="357"/>
      <c r="BQ184" s="357"/>
      <c r="BR184" s="357"/>
      <c r="BS184" s="357"/>
      <c r="BT184" s="357"/>
      <c r="BU184" s="357"/>
      <c r="BV184" s="357"/>
      <c r="BW184" s="357"/>
      <c r="BX184" s="357"/>
      <c r="BY184" s="357"/>
      <c r="BZ184" s="357"/>
      <c r="CA184" s="357"/>
      <c r="CB184" s="357"/>
      <c r="CC184" s="357"/>
      <c r="CD184" s="357"/>
      <c r="CE184" s="357"/>
      <c r="CF184" s="357"/>
      <c r="CG184" s="357"/>
      <c r="CH184" s="357"/>
      <c r="CI184" s="357"/>
      <c r="CJ184" s="357"/>
      <c r="CK184" s="357"/>
      <c r="CL184" s="357"/>
      <c r="CM184" s="357"/>
      <c r="CN184" s="357"/>
      <c r="CO184" s="357"/>
      <c r="CP184" s="357"/>
      <c r="CQ184" s="357"/>
      <c r="CR184" s="357"/>
      <c r="CS184" s="357"/>
      <c r="CT184" s="357"/>
      <c r="CU184" s="357"/>
      <c r="CV184" s="357"/>
      <c r="CW184" s="357"/>
      <c r="CX184" s="357"/>
      <c r="CY184" s="357"/>
      <c r="CZ184" s="357"/>
      <c r="DA184" s="357"/>
      <c r="DB184" s="357"/>
      <c r="DC184" s="357"/>
      <c r="DD184" s="357"/>
      <c r="DE184" s="357"/>
      <c r="DF184" s="357"/>
      <c r="DG184" s="357"/>
      <c r="DH184" s="357"/>
      <c r="DI184" s="357"/>
      <c r="DJ184" s="357"/>
      <c r="DK184" s="357"/>
      <c r="DL184" s="357"/>
      <c r="DM184" s="357"/>
      <c r="DN184" s="357"/>
      <c r="DO184" s="357"/>
      <c r="DP184" s="357"/>
      <c r="DQ184" s="357"/>
      <c r="DR184" s="357"/>
      <c r="DS184" s="357"/>
      <c r="DT184" s="357"/>
      <c r="DU184" s="357"/>
      <c r="DV184" s="357"/>
      <c r="DW184" s="357"/>
      <c r="DX184" s="357"/>
      <c r="DY184" s="357"/>
      <c r="DZ184" s="357"/>
      <c r="EA184" s="357"/>
      <c r="EB184" s="357"/>
      <c r="EC184" s="357"/>
      <c r="ED184" s="357"/>
      <c r="EE184" s="357"/>
      <c r="EF184" s="357"/>
      <c r="EG184" s="357"/>
      <c r="EH184" s="357"/>
      <c r="EI184" s="357"/>
      <c r="EJ184" s="357"/>
      <c r="EK184" s="357"/>
      <c r="EL184" s="357"/>
      <c r="EM184" s="357"/>
      <c r="EN184" s="357"/>
      <c r="EO184" s="357"/>
      <c r="EP184" s="357"/>
      <c r="EQ184" s="357"/>
      <c r="ER184" s="357"/>
      <c r="ES184" s="357"/>
      <c r="ET184" s="357"/>
      <c r="EU184" s="357"/>
      <c r="EV184" s="357"/>
      <c r="EW184" s="357"/>
      <c r="EX184" s="357"/>
      <c r="EY184" s="357"/>
      <c r="EZ184" s="357"/>
      <c r="FA184" s="357"/>
      <c r="FB184" s="357"/>
      <c r="FC184" s="357"/>
      <c r="FD184" s="357"/>
      <c r="FE184" s="357"/>
      <c r="FF184" s="357"/>
      <c r="FG184" s="357"/>
      <c r="FH184" s="357"/>
      <c r="FI184" s="357"/>
      <c r="FJ184" s="357"/>
      <c r="FK184" s="357"/>
      <c r="FL184" s="357"/>
      <c r="FM184" s="357"/>
      <c r="FN184" s="357"/>
      <c r="FO184" s="357"/>
      <c r="FP184" s="357"/>
      <c r="FQ184" s="357"/>
      <c r="FR184" s="357"/>
      <c r="FS184" s="357"/>
      <c r="FT184" s="357"/>
      <c r="FU184" s="357"/>
      <c r="FV184" s="357"/>
      <c r="FW184" s="357"/>
      <c r="FX184" s="357"/>
      <c r="FY184" s="357"/>
      <c r="FZ184" s="357"/>
      <c r="GA184" s="357"/>
      <c r="GB184" s="357"/>
      <c r="GC184" s="357"/>
      <c r="GD184" s="357"/>
      <c r="GE184" s="357"/>
      <c r="GF184" s="357"/>
      <c r="GG184" s="357"/>
      <c r="GH184" s="357"/>
      <c r="GI184" s="357"/>
      <c r="GJ184" s="357"/>
      <c r="GK184" s="357"/>
      <c r="GL184" s="357"/>
      <c r="GM184" s="357"/>
      <c r="GN184" s="357"/>
      <c r="GO184" s="357"/>
      <c r="GP184" s="357"/>
      <c r="GQ184" s="357"/>
      <c r="GR184" s="357"/>
      <c r="GS184" s="357"/>
      <c r="GT184" s="357"/>
      <c r="GU184" s="357"/>
      <c r="GV184" s="357"/>
      <c r="GW184" s="357"/>
      <c r="GX184" s="357"/>
      <c r="GY184" s="357"/>
      <c r="GZ184" s="357"/>
      <c r="HA184" s="357"/>
      <c r="HB184" s="357"/>
      <c r="HC184" s="357"/>
      <c r="HD184" s="357"/>
      <c r="HE184" s="357"/>
      <c r="HF184" s="357"/>
      <c r="HG184" s="357"/>
      <c r="HH184" s="357"/>
      <c r="HI184" s="357"/>
      <c r="HJ184" s="357"/>
      <c r="HK184" s="357"/>
      <c r="HL184" s="357"/>
      <c r="HM184" s="357"/>
      <c r="HN184" s="357"/>
      <c r="HO184" s="357"/>
      <c r="HP184" s="357"/>
      <c r="HQ184" s="357"/>
      <c r="HR184" s="357"/>
      <c r="HS184" s="357"/>
      <c r="HT184" s="357"/>
      <c r="HU184" s="357"/>
      <c r="HV184" s="357"/>
      <c r="HW184" s="357"/>
      <c r="HX184" s="357"/>
      <c r="HY184" s="357"/>
      <c r="HZ184" s="357"/>
      <c r="IA184" s="357"/>
      <c r="IB184" s="357"/>
      <c r="IC184" s="357"/>
      <c r="ID184" s="357"/>
      <c r="IE184" s="357"/>
      <c r="IF184" s="357"/>
      <c r="IG184" s="357"/>
      <c r="IH184" s="357"/>
      <c r="II184" s="357"/>
      <c r="IJ184" s="357"/>
      <c r="IK184" s="357"/>
      <c r="IL184" s="357"/>
      <c r="IM184" s="357"/>
      <c r="IN184" s="357"/>
      <c r="IO184" s="357"/>
      <c r="IP184" s="357"/>
      <c r="IQ184" s="357"/>
      <c r="IR184" s="357"/>
      <c r="IS184" s="357"/>
      <c r="IT184" s="357"/>
      <c r="IU184" s="357"/>
      <c r="IV184" s="357"/>
      <c r="IW184" s="357"/>
      <c r="IX184" s="357"/>
      <c r="IY184" s="357"/>
      <c r="IZ184" s="357"/>
      <c r="JA184" s="357"/>
      <c r="JB184" s="357"/>
      <c r="JC184" s="357"/>
      <c r="JD184" s="357"/>
      <c r="JE184" s="357"/>
      <c r="JF184" s="357"/>
      <c r="JG184" s="357"/>
      <c r="JH184" s="357"/>
      <c r="JI184" s="357"/>
      <c r="JJ184" s="357"/>
      <c r="JK184" s="357"/>
      <c r="JL184" s="357"/>
      <c r="JM184" s="357"/>
      <c r="JN184" s="357"/>
      <c r="JO184" s="357"/>
      <c r="JP184" s="357"/>
      <c r="JQ184" s="357"/>
      <c r="JR184" s="357"/>
      <c r="JS184" s="357"/>
      <c r="JT184" s="357"/>
      <c r="JU184" s="357"/>
      <c r="JV184" s="357"/>
      <c r="JW184" s="357"/>
      <c r="JX184" s="357"/>
      <c r="JY184" s="357"/>
      <c r="JZ184" s="357"/>
      <c r="KA184" s="357"/>
      <c r="KB184" s="357"/>
      <c r="KC184" s="357"/>
      <c r="KD184" s="357"/>
      <c r="KE184" s="357"/>
      <c r="KF184" s="357"/>
      <c r="KG184" s="357"/>
      <c r="KH184" s="357"/>
      <c r="KI184" s="357"/>
      <c r="KJ184" s="357"/>
      <c r="KK184" s="357"/>
      <c r="KL184" s="357"/>
      <c r="KM184" s="357"/>
      <c r="KN184" s="357"/>
      <c r="KO184" s="357"/>
      <c r="KP184" s="357"/>
      <c r="KQ184" s="357"/>
      <c r="KR184" s="357"/>
      <c r="KS184" s="357"/>
      <c r="KT184" s="357"/>
      <c r="KU184" s="357"/>
      <c r="KV184" s="357"/>
      <c r="KW184" s="357"/>
      <c r="KX184" s="357"/>
      <c r="KY184" s="357"/>
      <c r="KZ184" s="357"/>
      <c r="LA184" s="357"/>
      <c r="LB184" s="357"/>
      <c r="LC184" s="357"/>
      <c r="LD184" s="357"/>
      <c r="LE184" s="357"/>
      <c r="LF184" s="357"/>
      <c r="LG184" s="357"/>
      <c r="LH184" s="357"/>
      <c r="LI184" s="357"/>
      <c r="LJ184" s="357"/>
      <c r="LK184" s="357"/>
      <c r="LL184" s="357"/>
      <c r="LM184" s="357"/>
      <c r="LN184" s="357"/>
      <c r="LO184" s="357"/>
      <c r="LP184" s="357"/>
      <c r="LQ184" s="357"/>
      <c r="LR184" s="357"/>
      <c r="LS184" s="357"/>
      <c r="LT184" s="357"/>
      <c r="LU184" s="357"/>
      <c r="LV184" s="357"/>
      <c r="LW184" s="357"/>
      <c r="LX184" s="357"/>
      <c r="LY184" s="357"/>
      <c r="LZ184" s="357"/>
      <c r="MA184" s="357"/>
      <c r="MB184" s="357"/>
    </row>
    <row r="185" spans="1:340" s="358" customFormat="1" ht="22.5" customHeight="1">
      <c r="A185" s="475"/>
      <c r="B185" s="1145"/>
      <c r="C185" s="465"/>
      <c r="D185" s="466"/>
      <c r="E185" s="1134" t="s">
        <v>24</v>
      </c>
      <c r="F185" s="438">
        <f t="shared" ref="F185:F187" si="43">+Y185</f>
        <v>5000</v>
      </c>
      <c r="G185" s="438">
        <v>5000</v>
      </c>
      <c r="H185" s="391"/>
      <c r="I185" s="1675"/>
      <c r="J185" s="2538" t="s">
        <v>3187</v>
      </c>
      <c r="K185" s="2534"/>
      <c r="L185" s="2534"/>
      <c r="M185" s="2534"/>
      <c r="N185" s="2534"/>
      <c r="O185" s="2534"/>
      <c r="P185" s="2357"/>
      <c r="Q185" s="2539"/>
      <c r="R185" s="2533"/>
      <c r="S185" s="2539">
        <v>5000000</v>
      </c>
      <c r="T185" s="2539" t="s">
        <v>0</v>
      </c>
      <c r="U185" s="2357"/>
      <c r="V185" s="2539">
        <v>1</v>
      </c>
      <c r="W185" s="2539" t="s">
        <v>6</v>
      </c>
      <c r="X185" s="1140" t="s">
        <v>1</v>
      </c>
      <c r="Y185" s="1674">
        <f t="shared" si="42"/>
        <v>5000</v>
      </c>
      <c r="Z185" s="407">
        <f>S185*V185</f>
        <v>5000000</v>
      </c>
      <c r="AB185" s="357"/>
      <c r="AD185" s="357"/>
      <c r="AE185" s="357"/>
      <c r="AF185" s="357"/>
      <c r="AG185" s="357"/>
      <c r="AH185" s="357"/>
      <c r="AI185" s="357"/>
      <c r="AJ185" s="357"/>
      <c r="AK185" s="357"/>
      <c r="AL185" s="357"/>
      <c r="AM185" s="357"/>
      <c r="AN185" s="357"/>
      <c r="AO185" s="357"/>
      <c r="AP185" s="357"/>
      <c r="AQ185" s="357"/>
      <c r="AR185" s="357"/>
      <c r="AS185" s="357"/>
      <c r="AT185" s="357"/>
      <c r="AU185" s="357"/>
      <c r="AV185" s="357"/>
      <c r="AW185" s="357"/>
      <c r="AX185" s="357"/>
      <c r="AY185" s="357"/>
      <c r="AZ185" s="357"/>
      <c r="BA185" s="357"/>
      <c r="BB185" s="357"/>
      <c r="BC185" s="357"/>
      <c r="BD185" s="357"/>
      <c r="BE185" s="357"/>
      <c r="BF185" s="357"/>
      <c r="BG185" s="357"/>
      <c r="BH185" s="357"/>
      <c r="BI185" s="357"/>
      <c r="BJ185" s="357"/>
      <c r="BK185" s="357"/>
      <c r="BL185" s="357"/>
      <c r="BM185" s="357"/>
      <c r="BN185" s="357"/>
      <c r="BO185" s="357"/>
      <c r="BP185" s="357"/>
      <c r="BQ185" s="357"/>
      <c r="BR185" s="357"/>
      <c r="BS185" s="357"/>
      <c r="BT185" s="357"/>
      <c r="BU185" s="357"/>
      <c r="BV185" s="357"/>
      <c r="BW185" s="357"/>
      <c r="BX185" s="357"/>
      <c r="BY185" s="357"/>
      <c r="BZ185" s="357"/>
      <c r="CA185" s="357"/>
      <c r="CB185" s="357"/>
      <c r="CC185" s="357"/>
      <c r="CD185" s="357"/>
      <c r="CE185" s="357"/>
      <c r="CF185" s="357"/>
      <c r="CG185" s="357"/>
      <c r="CH185" s="357"/>
      <c r="CI185" s="357"/>
      <c r="CJ185" s="357"/>
      <c r="CK185" s="357"/>
      <c r="CL185" s="357"/>
      <c r="CM185" s="357"/>
      <c r="CN185" s="357"/>
      <c r="CO185" s="357"/>
      <c r="CP185" s="357"/>
      <c r="CQ185" s="357"/>
      <c r="CR185" s="357"/>
      <c r="CS185" s="357"/>
      <c r="CT185" s="357"/>
      <c r="CU185" s="357"/>
      <c r="CV185" s="357"/>
      <c r="CW185" s="357"/>
      <c r="CX185" s="357"/>
      <c r="CY185" s="357"/>
      <c r="CZ185" s="357"/>
      <c r="DA185" s="357"/>
      <c r="DB185" s="357"/>
      <c r="DC185" s="357"/>
      <c r="DD185" s="357"/>
      <c r="DE185" s="357"/>
      <c r="DF185" s="357"/>
      <c r="DG185" s="357"/>
      <c r="DH185" s="357"/>
      <c r="DI185" s="357"/>
      <c r="DJ185" s="357"/>
      <c r="DK185" s="357"/>
      <c r="DL185" s="357"/>
      <c r="DM185" s="357"/>
      <c r="DN185" s="357"/>
      <c r="DO185" s="357"/>
      <c r="DP185" s="357"/>
      <c r="DQ185" s="357"/>
      <c r="DR185" s="357"/>
      <c r="DS185" s="357"/>
      <c r="DT185" s="357"/>
      <c r="DU185" s="357"/>
      <c r="DV185" s="357"/>
      <c r="DW185" s="357"/>
      <c r="DX185" s="357"/>
      <c r="DY185" s="357"/>
      <c r="DZ185" s="357"/>
      <c r="EA185" s="357"/>
      <c r="EB185" s="357"/>
      <c r="EC185" s="357"/>
      <c r="ED185" s="357"/>
      <c r="EE185" s="357"/>
      <c r="EF185" s="357"/>
      <c r="EG185" s="357"/>
      <c r="EH185" s="357"/>
      <c r="EI185" s="357"/>
      <c r="EJ185" s="357"/>
      <c r="EK185" s="357"/>
      <c r="EL185" s="357"/>
      <c r="EM185" s="357"/>
      <c r="EN185" s="357"/>
      <c r="EO185" s="357"/>
      <c r="EP185" s="357"/>
      <c r="EQ185" s="357"/>
      <c r="ER185" s="357"/>
      <c r="ES185" s="357"/>
      <c r="ET185" s="357"/>
      <c r="EU185" s="357"/>
      <c r="EV185" s="357"/>
      <c r="EW185" s="357"/>
      <c r="EX185" s="357"/>
      <c r="EY185" s="357"/>
      <c r="EZ185" s="357"/>
      <c r="FA185" s="357"/>
      <c r="FB185" s="357"/>
      <c r="FC185" s="357"/>
      <c r="FD185" s="357"/>
      <c r="FE185" s="357"/>
      <c r="FF185" s="357"/>
      <c r="FG185" s="357"/>
      <c r="FH185" s="357"/>
      <c r="FI185" s="357"/>
      <c r="FJ185" s="357"/>
      <c r="FK185" s="357"/>
      <c r="FL185" s="357"/>
      <c r="FM185" s="357"/>
      <c r="FN185" s="357"/>
      <c r="FO185" s="357"/>
      <c r="FP185" s="357"/>
      <c r="FQ185" s="357"/>
      <c r="FR185" s="357"/>
      <c r="FS185" s="357"/>
      <c r="FT185" s="357"/>
      <c r="FU185" s="357"/>
      <c r="FV185" s="357"/>
      <c r="FW185" s="357"/>
      <c r="FX185" s="357"/>
      <c r="FY185" s="357"/>
      <c r="FZ185" s="357"/>
      <c r="GA185" s="357"/>
      <c r="GB185" s="357"/>
      <c r="GC185" s="357"/>
      <c r="GD185" s="357"/>
      <c r="GE185" s="357"/>
      <c r="GF185" s="357"/>
      <c r="GG185" s="357"/>
      <c r="GH185" s="357"/>
      <c r="GI185" s="357"/>
      <c r="GJ185" s="357"/>
      <c r="GK185" s="357"/>
      <c r="GL185" s="357"/>
      <c r="GM185" s="357"/>
      <c r="GN185" s="357"/>
      <c r="GO185" s="357"/>
      <c r="GP185" s="357"/>
      <c r="GQ185" s="357"/>
      <c r="GR185" s="357"/>
      <c r="GS185" s="357"/>
      <c r="GT185" s="357"/>
      <c r="GU185" s="357"/>
      <c r="GV185" s="357"/>
      <c r="GW185" s="357"/>
      <c r="GX185" s="357"/>
      <c r="GY185" s="357"/>
      <c r="GZ185" s="357"/>
      <c r="HA185" s="357"/>
      <c r="HB185" s="357"/>
      <c r="HC185" s="357"/>
      <c r="HD185" s="357"/>
      <c r="HE185" s="357"/>
      <c r="HF185" s="357"/>
      <c r="HG185" s="357"/>
      <c r="HH185" s="357"/>
      <c r="HI185" s="357"/>
      <c r="HJ185" s="357"/>
      <c r="HK185" s="357"/>
      <c r="HL185" s="357"/>
      <c r="HM185" s="357"/>
      <c r="HN185" s="357"/>
      <c r="HO185" s="357"/>
      <c r="HP185" s="357"/>
      <c r="HQ185" s="357"/>
      <c r="HR185" s="357"/>
      <c r="HS185" s="357"/>
      <c r="HT185" s="357"/>
      <c r="HU185" s="357"/>
      <c r="HV185" s="357"/>
      <c r="HW185" s="357"/>
      <c r="HX185" s="357"/>
      <c r="HY185" s="357"/>
      <c r="HZ185" s="357"/>
      <c r="IA185" s="357"/>
      <c r="IB185" s="357"/>
      <c r="IC185" s="357"/>
      <c r="ID185" s="357"/>
      <c r="IE185" s="357"/>
      <c r="IF185" s="357"/>
      <c r="IG185" s="357"/>
      <c r="IH185" s="357"/>
      <c r="II185" s="357"/>
      <c r="IJ185" s="357"/>
      <c r="IK185" s="357"/>
      <c r="IL185" s="357"/>
      <c r="IM185" s="357"/>
      <c r="IN185" s="357"/>
      <c r="IO185" s="357"/>
      <c r="IP185" s="357"/>
      <c r="IQ185" s="357"/>
      <c r="IR185" s="357"/>
      <c r="IS185" s="357"/>
      <c r="IT185" s="357"/>
      <c r="IU185" s="357"/>
      <c r="IV185" s="357"/>
      <c r="IW185" s="357"/>
      <c r="IX185" s="357"/>
      <c r="IY185" s="357"/>
      <c r="IZ185" s="357"/>
      <c r="JA185" s="357"/>
      <c r="JB185" s="357"/>
      <c r="JC185" s="357"/>
      <c r="JD185" s="357"/>
      <c r="JE185" s="357"/>
      <c r="JF185" s="357"/>
      <c r="JG185" s="357"/>
      <c r="JH185" s="357"/>
      <c r="JI185" s="357"/>
      <c r="JJ185" s="357"/>
      <c r="JK185" s="357"/>
      <c r="JL185" s="357"/>
      <c r="JM185" s="357"/>
      <c r="JN185" s="357"/>
      <c r="JO185" s="357"/>
      <c r="JP185" s="357"/>
      <c r="JQ185" s="357"/>
      <c r="JR185" s="357"/>
      <c r="JS185" s="357"/>
      <c r="JT185" s="357"/>
      <c r="JU185" s="357"/>
      <c r="JV185" s="357"/>
      <c r="JW185" s="357"/>
      <c r="JX185" s="357"/>
      <c r="JY185" s="357"/>
      <c r="JZ185" s="357"/>
      <c r="KA185" s="357"/>
      <c r="KB185" s="357"/>
      <c r="KC185" s="357"/>
      <c r="KD185" s="357"/>
      <c r="KE185" s="357"/>
      <c r="KF185" s="357"/>
      <c r="KG185" s="357"/>
      <c r="KH185" s="357"/>
      <c r="KI185" s="357"/>
      <c r="KJ185" s="357"/>
      <c r="KK185" s="357"/>
      <c r="KL185" s="357"/>
      <c r="KM185" s="357"/>
      <c r="KN185" s="357"/>
      <c r="KO185" s="357"/>
      <c r="KP185" s="357"/>
      <c r="KQ185" s="357"/>
      <c r="KR185" s="357"/>
      <c r="KS185" s="357"/>
      <c r="KT185" s="357"/>
      <c r="KU185" s="357"/>
      <c r="KV185" s="357"/>
      <c r="KW185" s="357"/>
      <c r="KX185" s="357"/>
      <c r="KY185" s="357"/>
      <c r="KZ185" s="357"/>
      <c r="LA185" s="357"/>
      <c r="LB185" s="357"/>
      <c r="LC185" s="357"/>
      <c r="LD185" s="357"/>
      <c r="LE185" s="357"/>
      <c r="LF185" s="357"/>
      <c r="LG185" s="357"/>
      <c r="LH185" s="357"/>
      <c r="LI185" s="357"/>
      <c r="LJ185" s="357"/>
      <c r="LK185" s="357"/>
      <c r="LL185" s="357"/>
      <c r="LM185" s="357"/>
      <c r="LN185" s="357"/>
      <c r="LO185" s="357"/>
      <c r="LP185" s="357"/>
      <c r="LQ185" s="357"/>
      <c r="LR185" s="357"/>
      <c r="LS185" s="357"/>
      <c r="LT185" s="357"/>
      <c r="LU185" s="357"/>
      <c r="LV185" s="357"/>
      <c r="LW185" s="357"/>
      <c r="LX185" s="357"/>
      <c r="LY185" s="357"/>
      <c r="LZ185" s="357"/>
      <c r="MA185" s="357"/>
      <c r="MB185" s="357"/>
    </row>
    <row r="186" spans="1:340" s="358" customFormat="1" ht="22.5" customHeight="1">
      <c r="A186" s="475"/>
      <c r="B186" s="1145"/>
      <c r="C186" s="465"/>
      <c r="D186" s="466"/>
      <c r="E186" s="1134" t="s">
        <v>73</v>
      </c>
      <c r="F186" s="438">
        <f t="shared" si="43"/>
        <v>5000</v>
      </c>
      <c r="G186" s="438">
        <v>5000</v>
      </c>
      <c r="H186" s="391"/>
      <c r="I186" s="1675"/>
      <c r="J186" s="2538" t="s">
        <v>3188</v>
      </c>
      <c r="K186" s="2534"/>
      <c r="L186" s="2534"/>
      <c r="M186" s="2534"/>
      <c r="N186" s="2357"/>
      <c r="O186" s="2357"/>
      <c r="P186" s="2357"/>
      <c r="Q186" s="2539"/>
      <c r="R186" s="2533"/>
      <c r="S186" s="2539">
        <v>1000000</v>
      </c>
      <c r="T186" s="2539" t="s">
        <v>0</v>
      </c>
      <c r="U186" s="2357"/>
      <c r="V186" s="2539">
        <v>5</v>
      </c>
      <c r="W186" s="2539" t="s">
        <v>3</v>
      </c>
      <c r="X186" s="1140" t="s">
        <v>1</v>
      </c>
      <c r="Y186" s="1674">
        <f>Z186/1000</f>
        <v>5000</v>
      </c>
      <c r="Z186" s="407">
        <f>S186*V186</f>
        <v>5000000</v>
      </c>
      <c r="AB186" s="357"/>
      <c r="AD186" s="357"/>
      <c r="AE186" s="357"/>
      <c r="AF186" s="357"/>
      <c r="AG186" s="357"/>
      <c r="AH186" s="357"/>
      <c r="AI186" s="357"/>
      <c r="AJ186" s="357"/>
      <c r="AK186" s="357"/>
      <c r="AL186" s="357"/>
      <c r="AM186" s="357"/>
      <c r="AN186" s="357"/>
      <c r="AO186" s="357"/>
      <c r="AP186" s="357"/>
      <c r="AQ186" s="357"/>
      <c r="AR186" s="357"/>
      <c r="AS186" s="357"/>
      <c r="AT186" s="357"/>
      <c r="AU186" s="357"/>
      <c r="AV186" s="357"/>
      <c r="AW186" s="357"/>
      <c r="AX186" s="357"/>
      <c r="AY186" s="357"/>
      <c r="AZ186" s="357"/>
      <c r="BA186" s="357"/>
      <c r="BB186" s="357"/>
      <c r="BC186" s="357"/>
      <c r="BD186" s="357"/>
      <c r="BE186" s="357"/>
      <c r="BF186" s="357"/>
      <c r="BG186" s="357"/>
      <c r="BH186" s="357"/>
      <c r="BI186" s="357"/>
      <c r="BJ186" s="357"/>
      <c r="BK186" s="357"/>
      <c r="BL186" s="357"/>
      <c r="BM186" s="357"/>
      <c r="BN186" s="357"/>
      <c r="BO186" s="357"/>
      <c r="BP186" s="357"/>
      <c r="BQ186" s="357"/>
      <c r="BR186" s="357"/>
      <c r="BS186" s="357"/>
      <c r="BT186" s="357"/>
      <c r="BU186" s="357"/>
      <c r="BV186" s="357"/>
      <c r="BW186" s="357"/>
      <c r="BX186" s="357"/>
      <c r="BY186" s="357"/>
      <c r="BZ186" s="357"/>
      <c r="CA186" s="357"/>
      <c r="CB186" s="357"/>
      <c r="CC186" s="357"/>
      <c r="CD186" s="357"/>
      <c r="CE186" s="357"/>
      <c r="CF186" s="357"/>
      <c r="CG186" s="357"/>
      <c r="CH186" s="357"/>
      <c r="CI186" s="357"/>
      <c r="CJ186" s="357"/>
      <c r="CK186" s="357"/>
      <c r="CL186" s="357"/>
      <c r="CM186" s="357"/>
      <c r="CN186" s="357"/>
      <c r="CO186" s="357"/>
      <c r="CP186" s="357"/>
      <c r="CQ186" s="357"/>
      <c r="CR186" s="357"/>
      <c r="CS186" s="357"/>
      <c r="CT186" s="357"/>
      <c r="CU186" s="357"/>
      <c r="CV186" s="357"/>
      <c r="CW186" s="357"/>
      <c r="CX186" s="357"/>
      <c r="CY186" s="357"/>
      <c r="CZ186" s="357"/>
      <c r="DA186" s="357"/>
      <c r="DB186" s="357"/>
      <c r="DC186" s="357"/>
      <c r="DD186" s="357"/>
      <c r="DE186" s="357"/>
      <c r="DF186" s="357"/>
      <c r="DG186" s="357"/>
      <c r="DH186" s="357"/>
      <c r="DI186" s="357"/>
      <c r="DJ186" s="357"/>
      <c r="DK186" s="357"/>
      <c r="DL186" s="357"/>
      <c r="DM186" s="357"/>
      <c r="DN186" s="357"/>
      <c r="DO186" s="357"/>
      <c r="DP186" s="357"/>
      <c r="DQ186" s="357"/>
      <c r="DR186" s="357"/>
      <c r="DS186" s="357"/>
      <c r="DT186" s="357"/>
      <c r="DU186" s="357"/>
      <c r="DV186" s="357"/>
      <c r="DW186" s="357"/>
      <c r="DX186" s="357"/>
      <c r="DY186" s="357"/>
      <c r="DZ186" s="357"/>
      <c r="EA186" s="357"/>
      <c r="EB186" s="357"/>
      <c r="EC186" s="357"/>
      <c r="ED186" s="357"/>
      <c r="EE186" s="357"/>
      <c r="EF186" s="357"/>
      <c r="EG186" s="357"/>
      <c r="EH186" s="357"/>
      <c r="EI186" s="357"/>
      <c r="EJ186" s="357"/>
      <c r="EK186" s="357"/>
      <c r="EL186" s="357"/>
      <c r="EM186" s="357"/>
      <c r="EN186" s="357"/>
      <c r="EO186" s="357"/>
      <c r="EP186" s="357"/>
      <c r="EQ186" s="357"/>
      <c r="ER186" s="357"/>
      <c r="ES186" s="357"/>
      <c r="ET186" s="357"/>
      <c r="EU186" s="357"/>
      <c r="EV186" s="357"/>
      <c r="EW186" s="357"/>
      <c r="EX186" s="357"/>
      <c r="EY186" s="357"/>
      <c r="EZ186" s="357"/>
      <c r="FA186" s="357"/>
      <c r="FB186" s="357"/>
      <c r="FC186" s="357"/>
      <c r="FD186" s="357"/>
      <c r="FE186" s="357"/>
      <c r="FF186" s="357"/>
      <c r="FG186" s="357"/>
      <c r="FH186" s="357"/>
      <c r="FI186" s="357"/>
      <c r="FJ186" s="357"/>
      <c r="FK186" s="357"/>
      <c r="FL186" s="357"/>
      <c r="FM186" s="357"/>
      <c r="FN186" s="357"/>
      <c r="FO186" s="357"/>
      <c r="FP186" s="357"/>
      <c r="FQ186" s="357"/>
      <c r="FR186" s="357"/>
      <c r="FS186" s="357"/>
      <c r="FT186" s="357"/>
      <c r="FU186" s="357"/>
      <c r="FV186" s="357"/>
      <c r="FW186" s="357"/>
      <c r="FX186" s="357"/>
      <c r="FY186" s="357"/>
      <c r="FZ186" s="357"/>
      <c r="GA186" s="357"/>
      <c r="GB186" s="357"/>
      <c r="GC186" s="357"/>
      <c r="GD186" s="357"/>
      <c r="GE186" s="357"/>
      <c r="GF186" s="357"/>
      <c r="GG186" s="357"/>
      <c r="GH186" s="357"/>
      <c r="GI186" s="357"/>
      <c r="GJ186" s="357"/>
      <c r="GK186" s="357"/>
      <c r="GL186" s="357"/>
      <c r="GM186" s="357"/>
      <c r="GN186" s="357"/>
      <c r="GO186" s="357"/>
      <c r="GP186" s="357"/>
      <c r="GQ186" s="357"/>
      <c r="GR186" s="357"/>
      <c r="GS186" s="357"/>
      <c r="GT186" s="357"/>
      <c r="GU186" s="357"/>
      <c r="GV186" s="357"/>
      <c r="GW186" s="357"/>
      <c r="GX186" s="357"/>
      <c r="GY186" s="357"/>
      <c r="GZ186" s="357"/>
      <c r="HA186" s="357"/>
      <c r="HB186" s="357"/>
      <c r="HC186" s="357"/>
      <c r="HD186" s="357"/>
      <c r="HE186" s="357"/>
      <c r="HF186" s="357"/>
      <c r="HG186" s="357"/>
      <c r="HH186" s="357"/>
      <c r="HI186" s="357"/>
      <c r="HJ186" s="357"/>
      <c r="HK186" s="357"/>
      <c r="HL186" s="357"/>
      <c r="HM186" s="357"/>
      <c r="HN186" s="357"/>
      <c r="HO186" s="357"/>
      <c r="HP186" s="357"/>
      <c r="HQ186" s="357"/>
      <c r="HR186" s="357"/>
      <c r="HS186" s="357"/>
      <c r="HT186" s="357"/>
      <c r="HU186" s="357"/>
      <c r="HV186" s="357"/>
      <c r="HW186" s="357"/>
      <c r="HX186" s="357"/>
      <c r="HY186" s="357"/>
      <c r="HZ186" s="357"/>
      <c r="IA186" s="357"/>
      <c r="IB186" s="357"/>
      <c r="IC186" s="357"/>
      <c r="ID186" s="357"/>
      <c r="IE186" s="357"/>
      <c r="IF186" s="357"/>
      <c r="IG186" s="357"/>
      <c r="IH186" s="357"/>
      <c r="II186" s="357"/>
      <c r="IJ186" s="357"/>
      <c r="IK186" s="357"/>
      <c r="IL186" s="357"/>
      <c r="IM186" s="357"/>
      <c r="IN186" s="357"/>
      <c r="IO186" s="357"/>
      <c r="IP186" s="357"/>
      <c r="IQ186" s="357"/>
      <c r="IR186" s="357"/>
      <c r="IS186" s="357"/>
      <c r="IT186" s="357"/>
      <c r="IU186" s="357"/>
      <c r="IV186" s="357"/>
      <c r="IW186" s="357"/>
      <c r="IX186" s="357"/>
      <c r="IY186" s="357"/>
      <c r="IZ186" s="357"/>
      <c r="JA186" s="357"/>
      <c r="JB186" s="357"/>
      <c r="JC186" s="357"/>
      <c r="JD186" s="357"/>
      <c r="JE186" s="357"/>
      <c r="JF186" s="357"/>
      <c r="JG186" s="357"/>
      <c r="JH186" s="357"/>
      <c r="JI186" s="357"/>
      <c r="JJ186" s="357"/>
      <c r="JK186" s="357"/>
      <c r="JL186" s="357"/>
      <c r="JM186" s="357"/>
      <c r="JN186" s="357"/>
      <c r="JO186" s="357"/>
      <c r="JP186" s="357"/>
      <c r="JQ186" s="357"/>
      <c r="JR186" s="357"/>
      <c r="JS186" s="357"/>
      <c r="JT186" s="357"/>
      <c r="JU186" s="357"/>
      <c r="JV186" s="357"/>
      <c r="JW186" s="357"/>
      <c r="JX186" s="357"/>
      <c r="JY186" s="357"/>
      <c r="JZ186" s="357"/>
      <c r="KA186" s="357"/>
      <c r="KB186" s="357"/>
      <c r="KC186" s="357"/>
      <c r="KD186" s="357"/>
      <c r="KE186" s="357"/>
      <c r="KF186" s="357"/>
      <c r="KG186" s="357"/>
      <c r="KH186" s="357"/>
      <c r="KI186" s="357"/>
      <c r="KJ186" s="357"/>
      <c r="KK186" s="357"/>
      <c r="KL186" s="357"/>
      <c r="KM186" s="357"/>
      <c r="KN186" s="357"/>
      <c r="KO186" s="357"/>
      <c r="KP186" s="357"/>
      <c r="KQ186" s="357"/>
      <c r="KR186" s="357"/>
      <c r="KS186" s="357"/>
      <c r="KT186" s="357"/>
      <c r="KU186" s="357"/>
      <c r="KV186" s="357"/>
      <c r="KW186" s="357"/>
      <c r="KX186" s="357"/>
      <c r="KY186" s="357"/>
      <c r="KZ186" s="357"/>
      <c r="LA186" s="357"/>
      <c r="LB186" s="357"/>
      <c r="LC186" s="357"/>
      <c r="LD186" s="357"/>
      <c r="LE186" s="357"/>
      <c r="LF186" s="357"/>
      <c r="LG186" s="357"/>
      <c r="LH186" s="357"/>
      <c r="LI186" s="357"/>
      <c r="LJ186" s="357"/>
      <c r="LK186" s="357"/>
      <c r="LL186" s="357"/>
      <c r="LM186" s="357"/>
      <c r="LN186" s="357"/>
      <c r="LO186" s="357"/>
      <c r="LP186" s="357"/>
      <c r="LQ186" s="357"/>
      <c r="LR186" s="357"/>
      <c r="LS186" s="357"/>
      <c r="LT186" s="357"/>
      <c r="LU186" s="357"/>
      <c r="LV186" s="357"/>
      <c r="LW186" s="357"/>
      <c r="LX186" s="357"/>
      <c r="LY186" s="357"/>
      <c r="LZ186" s="357"/>
      <c r="MA186" s="357"/>
      <c r="MB186" s="357"/>
    </row>
    <row r="187" spans="1:340" s="358" customFormat="1" ht="22.5" customHeight="1">
      <c r="A187" s="475"/>
      <c r="B187" s="1145"/>
      <c r="C187" s="465"/>
      <c r="D187" s="1144"/>
      <c r="E187" s="1134" t="s">
        <v>3189</v>
      </c>
      <c r="F187" s="438">
        <f t="shared" si="43"/>
        <v>16000</v>
      </c>
      <c r="G187" s="438">
        <v>16000</v>
      </c>
      <c r="H187" s="391"/>
      <c r="I187" s="1675"/>
      <c r="J187" s="2538" t="s">
        <v>3190</v>
      </c>
      <c r="K187" s="2534"/>
      <c r="L187" s="2534"/>
      <c r="M187" s="2534"/>
      <c r="N187" s="2357"/>
      <c r="O187" s="2357"/>
      <c r="P187" s="2357"/>
      <c r="Q187" s="2539"/>
      <c r="R187" s="2533"/>
      <c r="S187" s="1675"/>
      <c r="T187" s="1675"/>
      <c r="U187" s="1675"/>
      <c r="V187" s="1675"/>
      <c r="W187" s="1675"/>
      <c r="X187" s="1675"/>
      <c r="Y187" s="656">
        <v>16000</v>
      </c>
      <c r="Z187" s="407">
        <v>16000000</v>
      </c>
      <c r="AB187" s="370"/>
      <c r="AD187" s="357"/>
      <c r="AE187" s="357"/>
      <c r="AF187" s="357"/>
      <c r="AG187" s="357"/>
      <c r="AH187" s="357"/>
      <c r="AI187" s="357"/>
      <c r="AJ187" s="357"/>
      <c r="AK187" s="357"/>
      <c r="AL187" s="357"/>
      <c r="AM187" s="357"/>
      <c r="AN187" s="357"/>
      <c r="AO187" s="357"/>
      <c r="AP187" s="357"/>
      <c r="AQ187" s="357"/>
      <c r="AR187" s="357"/>
      <c r="AS187" s="357"/>
      <c r="AT187" s="357"/>
      <c r="AU187" s="357"/>
      <c r="AV187" s="357"/>
      <c r="AW187" s="357"/>
      <c r="AX187" s="357"/>
      <c r="AY187" s="357"/>
      <c r="AZ187" s="357"/>
      <c r="BA187" s="357"/>
      <c r="BB187" s="357"/>
      <c r="BC187" s="357"/>
      <c r="BD187" s="357"/>
      <c r="BE187" s="357"/>
      <c r="BF187" s="357"/>
      <c r="BG187" s="357"/>
      <c r="BH187" s="357"/>
      <c r="BI187" s="357"/>
      <c r="BJ187" s="357"/>
      <c r="BK187" s="357"/>
      <c r="BL187" s="357"/>
      <c r="BM187" s="357"/>
      <c r="BN187" s="357"/>
      <c r="BO187" s="357"/>
      <c r="BP187" s="357"/>
      <c r="BQ187" s="357"/>
      <c r="BR187" s="357"/>
      <c r="BS187" s="357"/>
      <c r="BT187" s="357"/>
      <c r="BU187" s="357"/>
      <c r="BV187" s="357"/>
      <c r="BW187" s="357"/>
      <c r="BX187" s="357"/>
      <c r="BY187" s="357"/>
      <c r="BZ187" s="357"/>
      <c r="CA187" s="357"/>
      <c r="CB187" s="357"/>
      <c r="CC187" s="357"/>
      <c r="CD187" s="357"/>
      <c r="CE187" s="357"/>
      <c r="CF187" s="357"/>
      <c r="CG187" s="357"/>
      <c r="CH187" s="357"/>
      <c r="CI187" s="357"/>
      <c r="CJ187" s="357"/>
      <c r="CK187" s="357"/>
      <c r="CL187" s="357"/>
      <c r="CM187" s="357"/>
      <c r="CN187" s="357"/>
      <c r="CO187" s="357"/>
      <c r="CP187" s="357"/>
      <c r="CQ187" s="357"/>
      <c r="CR187" s="357"/>
      <c r="CS187" s="357"/>
      <c r="CT187" s="357"/>
      <c r="CU187" s="357"/>
      <c r="CV187" s="357"/>
      <c r="CW187" s="357"/>
      <c r="CX187" s="357"/>
      <c r="CY187" s="357"/>
      <c r="CZ187" s="357"/>
      <c r="DA187" s="357"/>
      <c r="DB187" s="357"/>
      <c r="DC187" s="357"/>
      <c r="DD187" s="357"/>
      <c r="DE187" s="357"/>
      <c r="DF187" s="357"/>
      <c r="DG187" s="357"/>
      <c r="DH187" s="357"/>
      <c r="DI187" s="357"/>
      <c r="DJ187" s="357"/>
      <c r="DK187" s="357"/>
      <c r="DL187" s="357"/>
      <c r="DM187" s="357"/>
      <c r="DN187" s="357"/>
      <c r="DO187" s="357"/>
      <c r="DP187" s="357"/>
      <c r="DQ187" s="357"/>
      <c r="DR187" s="357"/>
      <c r="DS187" s="357"/>
      <c r="DT187" s="357"/>
      <c r="DU187" s="357"/>
      <c r="DV187" s="357"/>
      <c r="DW187" s="357"/>
      <c r="DX187" s="357"/>
      <c r="DY187" s="357"/>
      <c r="DZ187" s="357"/>
      <c r="EA187" s="357"/>
      <c r="EB187" s="357"/>
      <c r="EC187" s="357"/>
      <c r="ED187" s="357"/>
      <c r="EE187" s="357"/>
      <c r="EF187" s="357"/>
      <c r="EG187" s="357"/>
      <c r="EH187" s="357"/>
      <c r="EI187" s="357"/>
      <c r="EJ187" s="357"/>
      <c r="EK187" s="357"/>
      <c r="EL187" s="357"/>
      <c r="EM187" s="357"/>
      <c r="EN187" s="357"/>
      <c r="EO187" s="357"/>
      <c r="EP187" s="357"/>
      <c r="EQ187" s="357"/>
      <c r="ER187" s="357"/>
      <c r="ES187" s="357"/>
      <c r="ET187" s="357"/>
      <c r="EU187" s="357"/>
      <c r="EV187" s="357"/>
      <c r="EW187" s="357"/>
      <c r="EX187" s="357"/>
      <c r="EY187" s="357"/>
      <c r="EZ187" s="357"/>
      <c r="FA187" s="357"/>
      <c r="FB187" s="357"/>
      <c r="FC187" s="357"/>
      <c r="FD187" s="357"/>
      <c r="FE187" s="357"/>
      <c r="FF187" s="357"/>
      <c r="FG187" s="357"/>
      <c r="FH187" s="357"/>
      <c r="FI187" s="357"/>
      <c r="FJ187" s="357"/>
      <c r="FK187" s="357"/>
      <c r="FL187" s="357"/>
      <c r="FM187" s="357"/>
      <c r="FN187" s="357"/>
      <c r="FO187" s="357"/>
      <c r="FP187" s="357"/>
      <c r="FQ187" s="357"/>
      <c r="FR187" s="357"/>
      <c r="FS187" s="357"/>
      <c r="FT187" s="357"/>
      <c r="FU187" s="357"/>
      <c r="FV187" s="357"/>
      <c r="FW187" s="357"/>
      <c r="FX187" s="357"/>
      <c r="FY187" s="357"/>
      <c r="FZ187" s="357"/>
      <c r="GA187" s="357"/>
      <c r="GB187" s="357"/>
      <c r="GC187" s="357"/>
      <c r="GD187" s="357"/>
      <c r="GE187" s="357"/>
      <c r="GF187" s="357"/>
      <c r="GG187" s="357"/>
      <c r="GH187" s="357"/>
      <c r="GI187" s="357"/>
      <c r="GJ187" s="357"/>
      <c r="GK187" s="357"/>
      <c r="GL187" s="357"/>
      <c r="GM187" s="357"/>
      <c r="GN187" s="357"/>
      <c r="GO187" s="357"/>
      <c r="GP187" s="357"/>
      <c r="GQ187" s="357"/>
      <c r="GR187" s="357"/>
      <c r="GS187" s="357"/>
      <c r="GT187" s="357"/>
      <c r="GU187" s="357"/>
      <c r="GV187" s="357"/>
      <c r="GW187" s="357"/>
      <c r="GX187" s="357"/>
      <c r="GY187" s="357"/>
      <c r="GZ187" s="357"/>
      <c r="HA187" s="357"/>
      <c r="HB187" s="357"/>
      <c r="HC187" s="357"/>
      <c r="HD187" s="357"/>
      <c r="HE187" s="357"/>
      <c r="HF187" s="357"/>
      <c r="HG187" s="357"/>
      <c r="HH187" s="357"/>
      <c r="HI187" s="357"/>
      <c r="HJ187" s="357"/>
      <c r="HK187" s="357"/>
      <c r="HL187" s="357"/>
      <c r="HM187" s="357"/>
      <c r="HN187" s="357"/>
      <c r="HO187" s="357"/>
      <c r="HP187" s="357"/>
      <c r="HQ187" s="357"/>
      <c r="HR187" s="357"/>
      <c r="HS187" s="357"/>
      <c r="HT187" s="357"/>
      <c r="HU187" s="357"/>
      <c r="HV187" s="357"/>
      <c r="HW187" s="357"/>
      <c r="HX187" s="357"/>
      <c r="HY187" s="357"/>
      <c r="HZ187" s="357"/>
      <c r="IA187" s="357"/>
      <c r="IB187" s="357"/>
      <c r="IC187" s="357"/>
      <c r="ID187" s="357"/>
      <c r="IE187" s="357"/>
      <c r="IF187" s="357"/>
      <c r="IG187" s="357"/>
      <c r="IH187" s="357"/>
      <c r="II187" s="357"/>
      <c r="IJ187" s="357"/>
      <c r="IK187" s="357"/>
      <c r="IL187" s="357"/>
      <c r="IM187" s="357"/>
      <c r="IN187" s="357"/>
      <c r="IO187" s="357"/>
      <c r="IP187" s="357"/>
      <c r="IQ187" s="357"/>
      <c r="IR187" s="357"/>
      <c r="IS187" s="357"/>
      <c r="IT187" s="357"/>
      <c r="IU187" s="357"/>
      <c r="IV187" s="357"/>
      <c r="IW187" s="357"/>
      <c r="IX187" s="357"/>
      <c r="IY187" s="357"/>
      <c r="IZ187" s="357"/>
      <c r="JA187" s="357"/>
      <c r="JB187" s="357"/>
      <c r="JC187" s="357"/>
      <c r="JD187" s="357"/>
      <c r="JE187" s="357"/>
      <c r="JF187" s="357"/>
      <c r="JG187" s="357"/>
      <c r="JH187" s="357"/>
      <c r="JI187" s="357"/>
      <c r="JJ187" s="357"/>
      <c r="JK187" s="357"/>
      <c r="JL187" s="357"/>
      <c r="JM187" s="357"/>
      <c r="JN187" s="357"/>
      <c r="JO187" s="357"/>
      <c r="JP187" s="357"/>
      <c r="JQ187" s="357"/>
      <c r="JR187" s="357"/>
      <c r="JS187" s="357"/>
      <c r="JT187" s="357"/>
      <c r="JU187" s="357"/>
      <c r="JV187" s="357"/>
      <c r="JW187" s="357"/>
      <c r="JX187" s="357"/>
      <c r="JY187" s="357"/>
      <c r="JZ187" s="357"/>
      <c r="KA187" s="357"/>
      <c r="KB187" s="357"/>
      <c r="KC187" s="357"/>
      <c r="KD187" s="357"/>
      <c r="KE187" s="357"/>
      <c r="KF187" s="357"/>
      <c r="KG187" s="357"/>
      <c r="KH187" s="357"/>
      <c r="KI187" s="357"/>
      <c r="KJ187" s="357"/>
      <c r="KK187" s="357"/>
      <c r="KL187" s="357"/>
      <c r="KM187" s="357"/>
      <c r="KN187" s="357"/>
      <c r="KO187" s="357"/>
      <c r="KP187" s="357"/>
      <c r="KQ187" s="357"/>
      <c r="KR187" s="357"/>
      <c r="KS187" s="357"/>
      <c r="KT187" s="357"/>
      <c r="KU187" s="357"/>
      <c r="KV187" s="357"/>
      <c r="KW187" s="357"/>
      <c r="KX187" s="357"/>
      <c r="KY187" s="357"/>
      <c r="KZ187" s="357"/>
      <c r="LA187" s="357"/>
      <c r="LB187" s="357"/>
      <c r="LC187" s="357"/>
      <c r="LD187" s="357"/>
      <c r="LE187" s="357"/>
      <c r="LF187" s="357"/>
      <c r="LG187" s="357"/>
      <c r="LH187" s="357"/>
      <c r="LI187" s="357"/>
      <c r="LJ187" s="357"/>
      <c r="LK187" s="357"/>
      <c r="LL187" s="357"/>
      <c r="LM187" s="357"/>
      <c r="LN187" s="357"/>
      <c r="LO187" s="357"/>
      <c r="LP187" s="357"/>
      <c r="LQ187" s="357"/>
      <c r="LR187" s="357"/>
      <c r="LS187" s="357"/>
      <c r="LT187" s="357"/>
      <c r="LU187" s="357"/>
      <c r="LV187" s="357"/>
      <c r="LW187" s="357"/>
      <c r="LX187" s="357"/>
      <c r="LY187" s="357"/>
      <c r="LZ187" s="357"/>
      <c r="MA187" s="357"/>
      <c r="MB187" s="357"/>
    </row>
    <row r="188" spans="1:340" s="358" customFormat="1" ht="22.5" customHeight="1">
      <c r="A188" s="475"/>
      <c r="B188" s="1145"/>
      <c r="C188" s="465"/>
      <c r="D188" s="1144"/>
      <c r="E188" s="1134"/>
      <c r="F188" s="438"/>
      <c r="G188" s="438"/>
      <c r="H188" s="391"/>
      <c r="I188" s="1675"/>
      <c r="J188" s="2538" t="s">
        <v>3191</v>
      </c>
      <c r="K188" s="2534"/>
      <c r="L188" s="2534"/>
      <c r="M188" s="2534"/>
      <c r="N188" s="2357"/>
      <c r="O188" s="2357"/>
      <c r="P188" s="2357"/>
      <c r="Q188" s="2539"/>
      <c r="R188" s="2533"/>
      <c r="S188" s="2539">
        <v>2500000</v>
      </c>
      <c r="T188" s="2539" t="s">
        <v>0</v>
      </c>
      <c r="U188" s="2357"/>
      <c r="V188" s="2539">
        <v>4</v>
      </c>
      <c r="W188" s="2539" t="s">
        <v>3192</v>
      </c>
      <c r="X188" s="1140" t="s">
        <v>1</v>
      </c>
      <c r="Y188" s="1674">
        <v>10000</v>
      </c>
      <c r="Z188" s="407">
        <v>10000000</v>
      </c>
      <c r="AB188" s="357"/>
      <c r="AD188" s="357"/>
      <c r="AE188" s="357"/>
      <c r="AF188" s="357"/>
      <c r="AG188" s="357"/>
      <c r="AH188" s="357"/>
      <c r="AI188" s="357"/>
      <c r="AJ188" s="357"/>
      <c r="AK188" s="357"/>
      <c r="AL188" s="357"/>
      <c r="AM188" s="357"/>
      <c r="AN188" s="357"/>
      <c r="AO188" s="357"/>
      <c r="AP188" s="357"/>
      <c r="AQ188" s="357"/>
      <c r="AR188" s="357"/>
      <c r="AS188" s="357"/>
      <c r="AT188" s="357"/>
      <c r="AU188" s="357"/>
      <c r="AV188" s="357"/>
      <c r="AW188" s="357"/>
      <c r="AX188" s="357"/>
      <c r="AY188" s="357"/>
      <c r="AZ188" s="357"/>
      <c r="BA188" s="357"/>
      <c r="BB188" s="357"/>
      <c r="BC188" s="357"/>
      <c r="BD188" s="357"/>
      <c r="BE188" s="357"/>
      <c r="BF188" s="357"/>
      <c r="BG188" s="357"/>
      <c r="BH188" s="357"/>
      <c r="BI188" s="357"/>
      <c r="BJ188" s="357"/>
      <c r="BK188" s="357"/>
      <c r="BL188" s="357"/>
      <c r="BM188" s="357"/>
      <c r="BN188" s="357"/>
      <c r="BO188" s="357"/>
      <c r="BP188" s="357"/>
      <c r="BQ188" s="357"/>
      <c r="BR188" s="357"/>
      <c r="BS188" s="357"/>
      <c r="BT188" s="357"/>
      <c r="BU188" s="357"/>
      <c r="BV188" s="357"/>
      <c r="BW188" s="357"/>
      <c r="BX188" s="357"/>
      <c r="BY188" s="357"/>
      <c r="BZ188" s="357"/>
      <c r="CA188" s="357"/>
      <c r="CB188" s="357"/>
      <c r="CC188" s="357"/>
      <c r="CD188" s="357"/>
      <c r="CE188" s="357"/>
      <c r="CF188" s="357"/>
      <c r="CG188" s="357"/>
      <c r="CH188" s="357"/>
      <c r="CI188" s="357"/>
      <c r="CJ188" s="357"/>
      <c r="CK188" s="357"/>
      <c r="CL188" s="357"/>
      <c r="CM188" s="357"/>
      <c r="CN188" s="357"/>
      <c r="CO188" s="357"/>
      <c r="CP188" s="357"/>
      <c r="CQ188" s="357"/>
      <c r="CR188" s="357"/>
      <c r="CS188" s="357"/>
      <c r="CT188" s="357"/>
      <c r="CU188" s="357"/>
      <c r="CV188" s="357"/>
      <c r="CW188" s="357"/>
      <c r="CX188" s="357"/>
      <c r="CY188" s="357"/>
      <c r="CZ188" s="357"/>
      <c r="DA188" s="357"/>
      <c r="DB188" s="357"/>
      <c r="DC188" s="357"/>
      <c r="DD188" s="357"/>
      <c r="DE188" s="357"/>
      <c r="DF188" s="357"/>
      <c r="DG188" s="357"/>
      <c r="DH188" s="357"/>
      <c r="DI188" s="357"/>
      <c r="DJ188" s="357"/>
      <c r="DK188" s="357"/>
      <c r="DL188" s="357"/>
      <c r="DM188" s="357"/>
      <c r="DN188" s="357"/>
      <c r="DO188" s="357"/>
      <c r="DP188" s="357"/>
      <c r="DQ188" s="357"/>
      <c r="DR188" s="357"/>
      <c r="DS188" s="357"/>
      <c r="DT188" s="357"/>
      <c r="DU188" s="357"/>
      <c r="DV188" s="357"/>
      <c r="DW188" s="357"/>
      <c r="DX188" s="357"/>
      <c r="DY188" s="357"/>
      <c r="DZ188" s="357"/>
      <c r="EA188" s="357"/>
      <c r="EB188" s="357"/>
      <c r="EC188" s="357"/>
      <c r="ED188" s="357"/>
      <c r="EE188" s="357"/>
      <c r="EF188" s="357"/>
      <c r="EG188" s="357"/>
      <c r="EH188" s="357"/>
      <c r="EI188" s="357"/>
      <c r="EJ188" s="357"/>
      <c r="EK188" s="357"/>
      <c r="EL188" s="357"/>
      <c r="EM188" s="357"/>
      <c r="EN188" s="357"/>
      <c r="EO188" s="357"/>
      <c r="EP188" s="357"/>
      <c r="EQ188" s="357"/>
      <c r="ER188" s="357"/>
      <c r="ES188" s="357"/>
      <c r="ET188" s="357"/>
      <c r="EU188" s="357"/>
      <c r="EV188" s="357"/>
      <c r="EW188" s="357"/>
      <c r="EX188" s="357"/>
      <c r="EY188" s="357"/>
      <c r="EZ188" s="357"/>
      <c r="FA188" s="357"/>
      <c r="FB188" s="357"/>
      <c r="FC188" s="357"/>
      <c r="FD188" s="357"/>
      <c r="FE188" s="357"/>
      <c r="FF188" s="357"/>
      <c r="FG188" s="357"/>
      <c r="FH188" s="357"/>
      <c r="FI188" s="357"/>
      <c r="FJ188" s="357"/>
      <c r="FK188" s="357"/>
      <c r="FL188" s="357"/>
      <c r="FM188" s="357"/>
      <c r="FN188" s="357"/>
      <c r="FO188" s="357"/>
      <c r="FP188" s="357"/>
      <c r="FQ188" s="357"/>
      <c r="FR188" s="357"/>
      <c r="FS188" s="357"/>
      <c r="FT188" s="357"/>
      <c r="FU188" s="357"/>
      <c r="FV188" s="357"/>
      <c r="FW188" s="357"/>
      <c r="FX188" s="357"/>
      <c r="FY188" s="357"/>
      <c r="FZ188" s="357"/>
      <c r="GA188" s="357"/>
      <c r="GB188" s="357"/>
      <c r="GC188" s="357"/>
      <c r="GD188" s="357"/>
      <c r="GE188" s="357"/>
      <c r="GF188" s="357"/>
      <c r="GG188" s="357"/>
      <c r="GH188" s="357"/>
      <c r="GI188" s="357"/>
      <c r="GJ188" s="357"/>
      <c r="GK188" s="357"/>
      <c r="GL188" s="357"/>
      <c r="GM188" s="357"/>
      <c r="GN188" s="357"/>
      <c r="GO188" s="357"/>
      <c r="GP188" s="357"/>
      <c r="GQ188" s="357"/>
      <c r="GR188" s="357"/>
      <c r="GS188" s="357"/>
      <c r="GT188" s="357"/>
      <c r="GU188" s="357"/>
      <c r="GV188" s="357"/>
      <c r="GW188" s="357"/>
      <c r="GX188" s="357"/>
      <c r="GY188" s="357"/>
      <c r="GZ188" s="357"/>
      <c r="HA188" s="357"/>
      <c r="HB188" s="357"/>
      <c r="HC188" s="357"/>
      <c r="HD188" s="357"/>
      <c r="HE188" s="357"/>
      <c r="HF188" s="357"/>
      <c r="HG188" s="357"/>
      <c r="HH188" s="357"/>
      <c r="HI188" s="357"/>
      <c r="HJ188" s="357"/>
      <c r="HK188" s="357"/>
      <c r="HL188" s="357"/>
      <c r="HM188" s="357"/>
      <c r="HN188" s="357"/>
      <c r="HO188" s="357"/>
      <c r="HP188" s="357"/>
      <c r="HQ188" s="357"/>
      <c r="HR188" s="357"/>
      <c r="HS188" s="357"/>
      <c r="HT188" s="357"/>
      <c r="HU188" s="357"/>
      <c r="HV188" s="357"/>
      <c r="HW188" s="357"/>
      <c r="HX188" s="357"/>
      <c r="HY188" s="357"/>
      <c r="HZ188" s="357"/>
      <c r="IA188" s="357"/>
      <c r="IB188" s="357"/>
      <c r="IC188" s="357"/>
      <c r="ID188" s="357"/>
      <c r="IE188" s="357"/>
      <c r="IF188" s="357"/>
      <c r="IG188" s="357"/>
      <c r="IH188" s="357"/>
      <c r="II188" s="357"/>
      <c r="IJ188" s="357"/>
      <c r="IK188" s="357"/>
      <c r="IL188" s="357"/>
      <c r="IM188" s="357"/>
      <c r="IN188" s="357"/>
      <c r="IO188" s="357"/>
      <c r="IP188" s="357"/>
      <c r="IQ188" s="357"/>
      <c r="IR188" s="357"/>
      <c r="IS188" s="357"/>
      <c r="IT188" s="357"/>
      <c r="IU188" s="357"/>
      <c r="IV188" s="357"/>
      <c r="IW188" s="357"/>
      <c r="IX188" s="357"/>
      <c r="IY188" s="357"/>
      <c r="IZ188" s="357"/>
      <c r="JA188" s="357"/>
      <c r="JB188" s="357"/>
      <c r="JC188" s="357"/>
      <c r="JD188" s="357"/>
      <c r="JE188" s="357"/>
      <c r="JF188" s="357"/>
      <c r="JG188" s="357"/>
      <c r="JH188" s="357"/>
      <c r="JI188" s="357"/>
      <c r="JJ188" s="357"/>
      <c r="JK188" s="357"/>
      <c r="JL188" s="357"/>
      <c r="JM188" s="357"/>
      <c r="JN188" s="357"/>
      <c r="JO188" s="357"/>
      <c r="JP188" s="357"/>
      <c r="JQ188" s="357"/>
      <c r="JR188" s="357"/>
      <c r="JS188" s="357"/>
      <c r="JT188" s="357"/>
      <c r="JU188" s="357"/>
      <c r="JV188" s="357"/>
      <c r="JW188" s="357"/>
      <c r="JX188" s="357"/>
      <c r="JY188" s="357"/>
      <c r="JZ188" s="357"/>
      <c r="KA188" s="357"/>
      <c r="KB188" s="357"/>
      <c r="KC188" s="357"/>
      <c r="KD188" s="357"/>
      <c r="KE188" s="357"/>
      <c r="KF188" s="357"/>
      <c r="KG188" s="357"/>
      <c r="KH188" s="357"/>
      <c r="KI188" s="357"/>
      <c r="KJ188" s="357"/>
      <c r="KK188" s="357"/>
      <c r="KL188" s="357"/>
      <c r="KM188" s="357"/>
      <c r="KN188" s="357"/>
      <c r="KO188" s="357"/>
      <c r="KP188" s="357"/>
      <c r="KQ188" s="357"/>
      <c r="KR188" s="357"/>
      <c r="KS188" s="357"/>
      <c r="KT188" s="357"/>
      <c r="KU188" s="357"/>
      <c r="KV188" s="357"/>
      <c r="KW188" s="357"/>
      <c r="KX188" s="357"/>
      <c r="KY188" s="357"/>
      <c r="KZ188" s="357"/>
      <c r="LA188" s="357"/>
      <c r="LB188" s="357"/>
      <c r="LC188" s="357"/>
      <c r="LD188" s="357"/>
      <c r="LE188" s="357"/>
      <c r="LF188" s="357"/>
      <c r="LG188" s="357"/>
      <c r="LH188" s="357"/>
      <c r="LI188" s="357"/>
      <c r="LJ188" s="357"/>
      <c r="LK188" s="357"/>
      <c r="LL188" s="357"/>
      <c r="LM188" s="357"/>
      <c r="LN188" s="357"/>
      <c r="LO188" s="357"/>
      <c r="LP188" s="357"/>
      <c r="LQ188" s="357"/>
      <c r="LR188" s="357"/>
      <c r="LS188" s="357"/>
      <c r="LT188" s="357"/>
      <c r="LU188" s="357"/>
      <c r="LV188" s="357"/>
      <c r="LW188" s="357"/>
      <c r="LX188" s="357"/>
      <c r="LY188" s="357"/>
      <c r="LZ188" s="357"/>
      <c r="MA188" s="357"/>
      <c r="MB188" s="357"/>
    </row>
    <row r="189" spans="1:340" s="358" customFormat="1" ht="22.5" customHeight="1">
      <c r="A189" s="475"/>
      <c r="B189" s="1145"/>
      <c r="C189" s="465"/>
      <c r="D189" s="1144"/>
      <c r="E189" s="1134"/>
      <c r="F189" s="438"/>
      <c r="G189" s="438"/>
      <c r="H189" s="391"/>
      <c r="I189" s="1675"/>
      <c r="J189" s="2538" t="s">
        <v>3193</v>
      </c>
      <c r="K189" s="2534"/>
      <c r="L189" s="2534"/>
      <c r="M189" s="2534"/>
      <c r="N189" s="2357"/>
      <c r="O189" s="2357"/>
      <c r="P189" s="2357"/>
      <c r="Q189" s="2539"/>
      <c r="R189" s="2533"/>
      <c r="S189" s="2539">
        <v>3000000</v>
      </c>
      <c r="T189" s="2539" t="s">
        <v>0</v>
      </c>
      <c r="U189" s="2357"/>
      <c r="V189" s="2539">
        <v>2</v>
      </c>
      <c r="W189" s="2539" t="s">
        <v>3192</v>
      </c>
      <c r="X189" s="1140" t="s">
        <v>1</v>
      </c>
      <c r="Y189" s="1674">
        <v>6000</v>
      </c>
      <c r="Z189" s="407">
        <v>6000000</v>
      </c>
      <c r="AB189" s="357"/>
      <c r="AD189" s="357"/>
      <c r="AE189" s="357"/>
      <c r="AF189" s="357"/>
      <c r="AG189" s="357"/>
      <c r="AH189" s="357"/>
      <c r="AI189" s="357"/>
      <c r="AJ189" s="357"/>
      <c r="AK189" s="357"/>
      <c r="AL189" s="357"/>
      <c r="AM189" s="357"/>
      <c r="AN189" s="357"/>
      <c r="AO189" s="357"/>
      <c r="AP189" s="357"/>
      <c r="AQ189" s="357"/>
      <c r="AR189" s="357"/>
      <c r="AS189" s="357"/>
      <c r="AT189" s="357"/>
      <c r="AU189" s="357"/>
      <c r="AV189" s="357"/>
      <c r="AW189" s="357"/>
      <c r="AX189" s="357"/>
      <c r="AY189" s="357"/>
      <c r="AZ189" s="357"/>
      <c r="BA189" s="357"/>
      <c r="BB189" s="357"/>
      <c r="BC189" s="357"/>
      <c r="BD189" s="357"/>
      <c r="BE189" s="357"/>
      <c r="BF189" s="357"/>
      <c r="BG189" s="357"/>
      <c r="BH189" s="357"/>
      <c r="BI189" s="357"/>
      <c r="BJ189" s="357"/>
      <c r="BK189" s="357"/>
      <c r="BL189" s="357"/>
      <c r="BM189" s="357"/>
      <c r="BN189" s="357"/>
      <c r="BO189" s="357"/>
      <c r="BP189" s="357"/>
      <c r="BQ189" s="357"/>
      <c r="BR189" s="357"/>
      <c r="BS189" s="357"/>
      <c r="BT189" s="357"/>
      <c r="BU189" s="357"/>
      <c r="BV189" s="357"/>
      <c r="BW189" s="357"/>
      <c r="BX189" s="357"/>
      <c r="BY189" s="357"/>
      <c r="BZ189" s="357"/>
      <c r="CA189" s="357"/>
      <c r="CB189" s="357"/>
      <c r="CC189" s="357"/>
      <c r="CD189" s="357"/>
      <c r="CE189" s="357"/>
      <c r="CF189" s="357"/>
      <c r="CG189" s="357"/>
      <c r="CH189" s="357"/>
      <c r="CI189" s="357"/>
      <c r="CJ189" s="357"/>
      <c r="CK189" s="357"/>
      <c r="CL189" s="357"/>
      <c r="CM189" s="357"/>
      <c r="CN189" s="357"/>
      <c r="CO189" s="357"/>
      <c r="CP189" s="357"/>
      <c r="CQ189" s="357"/>
      <c r="CR189" s="357"/>
      <c r="CS189" s="357"/>
      <c r="CT189" s="357"/>
      <c r="CU189" s="357"/>
      <c r="CV189" s="357"/>
      <c r="CW189" s="357"/>
      <c r="CX189" s="357"/>
      <c r="CY189" s="357"/>
      <c r="CZ189" s="357"/>
      <c r="DA189" s="357"/>
      <c r="DB189" s="357"/>
      <c r="DC189" s="357"/>
      <c r="DD189" s="357"/>
      <c r="DE189" s="357"/>
      <c r="DF189" s="357"/>
      <c r="DG189" s="357"/>
      <c r="DH189" s="357"/>
      <c r="DI189" s="357"/>
      <c r="DJ189" s="357"/>
      <c r="DK189" s="357"/>
      <c r="DL189" s="357"/>
      <c r="DM189" s="357"/>
      <c r="DN189" s="357"/>
      <c r="DO189" s="357"/>
      <c r="DP189" s="357"/>
      <c r="DQ189" s="357"/>
      <c r="DR189" s="357"/>
      <c r="DS189" s="357"/>
      <c r="DT189" s="357"/>
      <c r="DU189" s="357"/>
      <c r="DV189" s="357"/>
      <c r="DW189" s="357"/>
      <c r="DX189" s="357"/>
      <c r="DY189" s="357"/>
      <c r="DZ189" s="357"/>
      <c r="EA189" s="357"/>
      <c r="EB189" s="357"/>
      <c r="EC189" s="357"/>
      <c r="ED189" s="357"/>
      <c r="EE189" s="357"/>
      <c r="EF189" s="357"/>
      <c r="EG189" s="357"/>
      <c r="EH189" s="357"/>
      <c r="EI189" s="357"/>
      <c r="EJ189" s="357"/>
      <c r="EK189" s="357"/>
      <c r="EL189" s="357"/>
      <c r="EM189" s="357"/>
      <c r="EN189" s="357"/>
      <c r="EO189" s="357"/>
      <c r="EP189" s="357"/>
      <c r="EQ189" s="357"/>
      <c r="ER189" s="357"/>
      <c r="ES189" s="357"/>
      <c r="ET189" s="357"/>
      <c r="EU189" s="357"/>
      <c r="EV189" s="357"/>
      <c r="EW189" s="357"/>
      <c r="EX189" s="357"/>
      <c r="EY189" s="357"/>
      <c r="EZ189" s="357"/>
      <c r="FA189" s="357"/>
      <c r="FB189" s="357"/>
      <c r="FC189" s="357"/>
      <c r="FD189" s="357"/>
      <c r="FE189" s="357"/>
      <c r="FF189" s="357"/>
      <c r="FG189" s="357"/>
      <c r="FH189" s="357"/>
      <c r="FI189" s="357"/>
      <c r="FJ189" s="357"/>
      <c r="FK189" s="357"/>
      <c r="FL189" s="357"/>
      <c r="FM189" s="357"/>
      <c r="FN189" s="357"/>
      <c r="FO189" s="357"/>
      <c r="FP189" s="357"/>
      <c r="FQ189" s="357"/>
      <c r="FR189" s="357"/>
      <c r="FS189" s="357"/>
      <c r="FT189" s="357"/>
      <c r="FU189" s="357"/>
      <c r="FV189" s="357"/>
      <c r="FW189" s="357"/>
      <c r="FX189" s="357"/>
      <c r="FY189" s="357"/>
      <c r="FZ189" s="357"/>
      <c r="GA189" s="357"/>
      <c r="GB189" s="357"/>
      <c r="GC189" s="357"/>
      <c r="GD189" s="357"/>
      <c r="GE189" s="357"/>
      <c r="GF189" s="357"/>
      <c r="GG189" s="357"/>
      <c r="GH189" s="357"/>
      <c r="GI189" s="357"/>
      <c r="GJ189" s="357"/>
      <c r="GK189" s="357"/>
      <c r="GL189" s="357"/>
      <c r="GM189" s="357"/>
      <c r="GN189" s="357"/>
      <c r="GO189" s="357"/>
      <c r="GP189" s="357"/>
      <c r="GQ189" s="357"/>
      <c r="GR189" s="357"/>
      <c r="GS189" s="357"/>
      <c r="GT189" s="357"/>
      <c r="GU189" s="357"/>
      <c r="GV189" s="357"/>
      <c r="GW189" s="357"/>
      <c r="GX189" s="357"/>
      <c r="GY189" s="357"/>
      <c r="GZ189" s="357"/>
      <c r="HA189" s="357"/>
      <c r="HB189" s="357"/>
      <c r="HC189" s="357"/>
      <c r="HD189" s="357"/>
      <c r="HE189" s="357"/>
      <c r="HF189" s="357"/>
      <c r="HG189" s="357"/>
      <c r="HH189" s="357"/>
      <c r="HI189" s="357"/>
      <c r="HJ189" s="357"/>
      <c r="HK189" s="357"/>
      <c r="HL189" s="357"/>
      <c r="HM189" s="357"/>
      <c r="HN189" s="357"/>
      <c r="HO189" s="357"/>
      <c r="HP189" s="357"/>
      <c r="HQ189" s="357"/>
      <c r="HR189" s="357"/>
      <c r="HS189" s="357"/>
      <c r="HT189" s="357"/>
      <c r="HU189" s="357"/>
      <c r="HV189" s="357"/>
      <c r="HW189" s="357"/>
      <c r="HX189" s="357"/>
      <c r="HY189" s="357"/>
      <c r="HZ189" s="357"/>
      <c r="IA189" s="357"/>
      <c r="IB189" s="357"/>
      <c r="IC189" s="357"/>
      <c r="ID189" s="357"/>
      <c r="IE189" s="357"/>
      <c r="IF189" s="357"/>
      <c r="IG189" s="357"/>
      <c r="IH189" s="357"/>
      <c r="II189" s="357"/>
      <c r="IJ189" s="357"/>
      <c r="IK189" s="357"/>
      <c r="IL189" s="357"/>
      <c r="IM189" s="357"/>
      <c r="IN189" s="357"/>
      <c r="IO189" s="357"/>
      <c r="IP189" s="357"/>
      <c r="IQ189" s="357"/>
      <c r="IR189" s="357"/>
      <c r="IS189" s="357"/>
      <c r="IT189" s="357"/>
      <c r="IU189" s="357"/>
      <c r="IV189" s="357"/>
      <c r="IW189" s="357"/>
      <c r="IX189" s="357"/>
      <c r="IY189" s="357"/>
      <c r="IZ189" s="357"/>
      <c r="JA189" s="357"/>
      <c r="JB189" s="357"/>
      <c r="JC189" s="357"/>
      <c r="JD189" s="357"/>
      <c r="JE189" s="357"/>
      <c r="JF189" s="357"/>
      <c r="JG189" s="357"/>
      <c r="JH189" s="357"/>
      <c r="JI189" s="357"/>
      <c r="JJ189" s="357"/>
      <c r="JK189" s="357"/>
      <c r="JL189" s="357"/>
      <c r="JM189" s="357"/>
      <c r="JN189" s="357"/>
      <c r="JO189" s="357"/>
      <c r="JP189" s="357"/>
      <c r="JQ189" s="357"/>
      <c r="JR189" s="357"/>
      <c r="JS189" s="357"/>
      <c r="JT189" s="357"/>
      <c r="JU189" s="357"/>
      <c r="JV189" s="357"/>
      <c r="JW189" s="357"/>
      <c r="JX189" s="357"/>
      <c r="JY189" s="357"/>
      <c r="JZ189" s="357"/>
      <c r="KA189" s="357"/>
      <c r="KB189" s="357"/>
      <c r="KC189" s="357"/>
      <c r="KD189" s="357"/>
      <c r="KE189" s="357"/>
      <c r="KF189" s="357"/>
      <c r="KG189" s="357"/>
      <c r="KH189" s="357"/>
      <c r="KI189" s="357"/>
      <c r="KJ189" s="357"/>
      <c r="KK189" s="357"/>
      <c r="KL189" s="357"/>
      <c r="KM189" s="357"/>
      <c r="KN189" s="357"/>
      <c r="KO189" s="357"/>
      <c r="KP189" s="357"/>
      <c r="KQ189" s="357"/>
      <c r="KR189" s="357"/>
      <c r="KS189" s="357"/>
      <c r="KT189" s="357"/>
      <c r="KU189" s="357"/>
      <c r="KV189" s="357"/>
      <c r="KW189" s="357"/>
      <c r="KX189" s="357"/>
      <c r="KY189" s="357"/>
      <c r="KZ189" s="357"/>
      <c r="LA189" s="357"/>
      <c r="LB189" s="357"/>
      <c r="LC189" s="357"/>
      <c r="LD189" s="357"/>
      <c r="LE189" s="357"/>
      <c r="LF189" s="357"/>
      <c r="LG189" s="357"/>
      <c r="LH189" s="357"/>
      <c r="LI189" s="357"/>
      <c r="LJ189" s="357"/>
      <c r="LK189" s="357"/>
      <c r="LL189" s="357"/>
      <c r="LM189" s="357"/>
      <c r="LN189" s="357"/>
      <c r="LO189" s="357"/>
      <c r="LP189" s="357"/>
      <c r="LQ189" s="357"/>
      <c r="LR189" s="357"/>
      <c r="LS189" s="357"/>
      <c r="LT189" s="357"/>
      <c r="LU189" s="357"/>
      <c r="LV189" s="357"/>
      <c r="LW189" s="357"/>
      <c r="LX189" s="357"/>
      <c r="LY189" s="357"/>
      <c r="LZ189" s="357"/>
      <c r="MA189" s="357"/>
      <c r="MB189" s="357"/>
    </row>
    <row r="190" spans="1:340" s="358" customFormat="1" ht="22.5" customHeight="1">
      <c r="A190" s="2529"/>
      <c r="B190" s="471"/>
      <c r="C190" s="465"/>
      <c r="D190" s="1144"/>
      <c r="E190" s="1134" t="s">
        <v>3194</v>
      </c>
      <c r="F190" s="438">
        <f t="shared" ref="F190:F191" si="44">+Y190</f>
        <v>3000</v>
      </c>
      <c r="G190" s="438">
        <v>3000</v>
      </c>
      <c r="H190" s="391"/>
      <c r="I190" s="1675"/>
      <c r="J190" s="2538" t="s">
        <v>3195</v>
      </c>
      <c r="K190" s="2534"/>
      <c r="L190" s="2534"/>
      <c r="M190" s="2534"/>
      <c r="N190" s="2357"/>
      <c r="O190" s="2357"/>
      <c r="P190" s="2357"/>
      <c r="Q190" s="2539">
        <v>1</v>
      </c>
      <c r="R190" s="2533" t="s">
        <v>3196</v>
      </c>
      <c r="S190" s="2539">
        <v>1500000</v>
      </c>
      <c r="T190" s="2539" t="s">
        <v>0</v>
      </c>
      <c r="U190" s="2357"/>
      <c r="V190" s="2539">
        <v>2</v>
      </c>
      <c r="W190" s="2539" t="s">
        <v>3</v>
      </c>
      <c r="X190" s="1140" t="s">
        <v>1</v>
      </c>
      <c r="Y190" s="1674">
        <f>Z190/1000</f>
        <v>3000</v>
      </c>
      <c r="Z190" s="407">
        <f>Q190*S190*V190</f>
        <v>3000000</v>
      </c>
      <c r="AB190" s="357"/>
      <c r="AD190" s="357"/>
      <c r="AE190" s="357"/>
      <c r="AF190" s="357"/>
      <c r="AG190" s="357"/>
      <c r="AH190" s="357"/>
      <c r="AI190" s="357"/>
      <c r="AJ190" s="357"/>
      <c r="AK190" s="357"/>
      <c r="AL190" s="357"/>
      <c r="AM190" s="357"/>
      <c r="AN190" s="357"/>
      <c r="AO190" s="357"/>
      <c r="AP190" s="357"/>
      <c r="AQ190" s="357"/>
      <c r="AR190" s="357"/>
      <c r="AS190" s="357"/>
      <c r="AT190" s="357"/>
      <c r="AU190" s="357"/>
      <c r="AV190" s="357"/>
      <c r="AW190" s="357"/>
      <c r="AX190" s="357"/>
      <c r="AY190" s="357"/>
      <c r="AZ190" s="357"/>
      <c r="BA190" s="357"/>
      <c r="BB190" s="357"/>
      <c r="BC190" s="357"/>
      <c r="BD190" s="357"/>
      <c r="BE190" s="357"/>
      <c r="BF190" s="357"/>
      <c r="BG190" s="357"/>
      <c r="BH190" s="357"/>
      <c r="BI190" s="357"/>
      <c r="BJ190" s="357"/>
      <c r="BK190" s="357"/>
      <c r="BL190" s="357"/>
      <c r="BM190" s="357"/>
      <c r="BN190" s="357"/>
      <c r="BO190" s="357"/>
      <c r="BP190" s="357"/>
      <c r="BQ190" s="357"/>
      <c r="BR190" s="357"/>
      <c r="BS190" s="357"/>
      <c r="BT190" s="357"/>
      <c r="BU190" s="357"/>
      <c r="BV190" s="357"/>
      <c r="BW190" s="357"/>
      <c r="BX190" s="357"/>
      <c r="BY190" s="357"/>
      <c r="BZ190" s="357"/>
      <c r="CA190" s="357"/>
      <c r="CB190" s="357"/>
      <c r="CC190" s="357"/>
      <c r="CD190" s="357"/>
      <c r="CE190" s="357"/>
      <c r="CF190" s="357"/>
      <c r="CG190" s="357"/>
      <c r="CH190" s="357"/>
      <c r="CI190" s="357"/>
      <c r="CJ190" s="357"/>
      <c r="CK190" s="357"/>
      <c r="CL190" s="357"/>
      <c r="CM190" s="357"/>
      <c r="CN190" s="357"/>
      <c r="CO190" s="357"/>
      <c r="CP190" s="357"/>
      <c r="CQ190" s="357"/>
      <c r="CR190" s="357"/>
      <c r="CS190" s="357"/>
      <c r="CT190" s="357"/>
      <c r="CU190" s="357"/>
      <c r="CV190" s="357"/>
      <c r="CW190" s="357"/>
      <c r="CX190" s="357"/>
      <c r="CY190" s="357"/>
      <c r="CZ190" s="357"/>
      <c r="DA190" s="357"/>
      <c r="DB190" s="357"/>
      <c r="DC190" s="357"/>
      <c r="DD190" s="357"/>
      <c r="DE190" s="357"/>
      <c r="DF190" s="357"/>
      <c r="DG190" s="357"/>
      <c r="DH190" s="357"/>
      <c r="DI190" s="357"/>
      <c r="DJ190" s="357"/>
      <c r="DK190" s="357"/>
      <c r="DL190" s="357"/>
      <c r="DM190" s="357"/>
      <c r="DN190" s="357"/>
      <c r="DO190" s="357"/>
      <c r="DP190" s="357"/>
      <c r="DQ190" s="357"/>
      <c r="DR190" s="357"/>
      <c r="DS190" s="357"/>
      <c r="DT190" s="357"/>
      <c r="DU190" s="357"/>
      <c r="DV190" s="357"/>
      <c r="DW190" s="357"/>
      <c r="DX190" s="357"/>
      <c r="DY190" s="357"/>
      <c r="DZ190" s="357"/>
      <c r="EA190" s="357"/>
      <c r="EB190" s="357"/>
      <c r="EC190" s="357"/>
      <c r="ED190" s="357"/>
      <c r="EE190" s="357"/>
      <c r="EF190" s="357"/>
      <c r="EG190" s="357"/>
      <c r="EH190" s="357"/>
      <c r="EI190" s="357"/>
      <c r="EJ190" s="357"/>
      <c r="EK190" s="357"/>
      <c r="EL190" s="357"/>
      <c r="EM190" s="357"/>
      <c r="EN190" s="357"/>
      <c r="EO190" s="357"/>
      <c r="EP190" s="357"/>
      <c r="EQ190" s="357"/>
      <c r="ER190" s="357"/>
      <c r="ES190" s="357"/>
      <c r="ET190" s="357"/>
      <c r="EU190" s="357"/>
      <c r="EV190" s="357"/>
      <c r="EW190" s="357"/>
      <c r="EX190" s="357"/>
      <c r="EY190" s="357"/>
      <c r="EZ190" s="357"/>
      <c r="FA190" s="357"/>
      <c r="FB190" s="357"/>
      <c r="FC190" s="357"/>
      <c r="FD190" s="357"/>
      <c r="FE190" s="357"/>
      <c r="FF190" s="357"/>
      <c r="FG190" s="357"/>
      <c r="FH190" s="357"/>
      <c r="FI190" s="357"/>
      <c r="FJ190" s="357"/>
      <c r="FK190" s="357"/>
      <c r="FL190" s="357"/>
      <c r="FM190" s="357"/>
      <c r="FN190" s="357"/>
      <c r="FO190" s="357"/>
      <c r="FP190" s="357"/>
      <c r="FQ190" s="357"/>
      <c r="FR190" s="357"/>
      <c r="FS190" s="357"/>
      <c r="FT190" s="357"/>
      <c r="FU190" s="357"/>
      <c r="FV190" s="357"/>
      <c r="FW190" s="357"/>
      <c r="FX190" s="357"/>
      <c r="FY190" s="357"/>
      <c r="FZ190" s="357"/>
      <c r="GA190" s="357"/>
      <c r="GB190" s="357"/>
      <c r="GC190" s="357"/>
      <c r="GD190" s="357"/>
      <c r="GE190" s="357"/>
      <c r="GF190" s="357"/>
      <c r="GG190" s="357"/>
      <c r="GH190" s="357"/>
      <c r="GI190" s="357"/>
      <c r="GJ190" s="357"/>
      <c r="GK190" s="357"/>
      <c r="GL190" s="357"/>
      <c r="GM190" s="357"/>
      <c r="GN190" s="357"/>
      <c r="GO190" s="357"/>
      <c r="GP190" s="357"/>
      <c r="GQ190" s="357"/>
      <c r="GR190" s="357"/>
      <c r="GS190" s="357"/>
      <c r="GT190" s="357"/>
      <c r="GU190" s="357"/>
      <c r="GV190" s="357"/>
      <c r="GW190" s="357"/>
      <c r="GX190" s="357"/>
      <c r="GY190" s="357"/>
      <c r="GZ190" s="357"/>
      <c r="HA190" s="357"/>
      <c r="HB190" s="357"/>
      <c r="HC190" s="357"/>
      <c r="HD190" s="357"/>
      <c r="HE190" s="357"/>
      <c r="HF190" s="357"/>
      <c r="HG190" s="357"/>
      <c r="HH190" s="357"/>
      <c r="HI190" s="357"/>
      <c r="HJ190" s="357"/>
      <c r="HK190" s="357"/>
      <c r="HL190" s="357"/>
      <c r="HM190" s="357"/>
      <c r="HN190" s="357"/>
      <c r="HO190" s="357"/>
      <c r="HP190" s="357"/>
      <c r="HQ190" s="357"/>
      <c r="HR190" s="357"/>
      <c r="HS190" s="357"/>
      <c r="HT190" s="357"/>
      <c r="HU190" s="357"/>
      <c r="HV190" s="357"/>
      <c r="HW190" s="357"/>
      <c r="HX190" s="357"/>
      <c r="HY190" s="357"/>
      <c r="HZ190" s="357"/>
      <c r="IA190" s="357"/>
      <c r="IB190" s="357"/>
      <c r="IC190" s="357"/>
      <c r="ID190" s="357"/>
      <c r="IE190" s="357"/>
      <c r="IF190" s="357"/>
      <c r="IG190" s="357"/>
      <c r="IH190" s="357"/>
      <c r="II190" s="357"/>
      <c r="IJ190" s="357"/>
      <c r="IK190" s="357"/>
      <c r="IL190" s="357"/>
      <c r="IM190" s="357"/>
      <c r="IN190" s="357"/>
      <c r="IO190" s="357"/>
      <c r="IP190" s="357"/>
      <c r="IQ190" s="357"/>
      <c r="IR190" s="357"/>
      <c r="IS190" s="357"/>
      <c r="IT190" s="357"/>
      <c r="IU190" s="357"/>
      <c r="IV190" s="357"/>
      <c r="IW190" s="357"/>
      <c r="IX190" s="357"/>
      <c r="IY190" s="357"/>
      <c r="IZ190" s="357"/>
      <c r="JA190" s="357"/>
      <c r="JB190" s="357"/>
      <c r="JC190" s="357"/>
      <c r="JD190" s="357"/>
      <c r="JE190" s="357"/>
      <c r="JF190" s="357"/>
      <c r="JG190" s="357"/>
      <c r="JH190" s="357"/>
      <c r="JI190" s="357"/>
      <c r="JJ190" s="357"/>
      <c r="JK190" s="357"/>
      <c r="JL190" s="357"/>
      <c r="JM190" s="357"/>
      <c r="JN190" s="357"/>
      <c r="JO190" s="357"/>
      <c r="JP190" s="357"/>
      <c r="JQ190" s="357"/>
      <c r="JR190" s="357"/>
      <c r="JS190" s="357"/>
      <c r="JT190" s="357"/>
      <c r="JU190" s="357"/>
      <c r="JV190" s="357"/>
      <c r="JW190" s="357"/>
      <c r="JX190" s="357"/>
      <c r="JY190" s="357"/>
      <c r="JZ190" s="357"/>
      <c r="KA190" s="357"/>
      <c r="KB190" s="357"/>
      <c r="KC190" s="357"/>
      <c r="KD190" s="357"/>
      <c r="KE190" s="357"/>
      <c r="KF190" s="357"/>
      <c r="KG190" s="357"/>
      <c r="KH190" s="357"/>
      <c r="KI190" s="357"/>
      <c r="KJ190" s="357"/>
      <c r="KK190" s="357"/>
      <c r="KL190" s="357"/>
      <c r="KM190" s="357"/>
      <c r="KN190" s="357"/>
      <c r="KO190" s="357"/>
      <c r="KP190" s="357"/>
      <c r="KQ190" s="357"/>
      <c r="KR190" s="357"/>
      <c r="KS190" s="357"/>
      <c r="KT190" s="357"/>
      <c r="KU190" s="357"/>
      <c r="KV190" s="357"/>
      <c r="KW190" s="357"/>
      <c r="KX190" s="357"/>
      <c r="KY190" s="357"/>
      <c r="KZ190" s="357"/>
      <c r="LA190" s="357"/>
      <c r="LB190" s="357"/>
      <c r="LC190" s="357"/>
      <c r="LD190" s="357"/>
      <c r="LE190" s="357"/>
      <c r="LF190" s="357"/>
      <c r="LG190" s="357"/>
      <c r="LH190" s="357"/>
      <c r="LI190" s="357"/>
      <c r="LJ190" s="357"/>
      <c r="LK190" s="357"/>
      <c r="LL190" s="357"/>
      <c r="LM190" s="357"/>
      <c r="LN190" s="357"/>
      <c r="LO190" s="357"/>
      <c r="LP190" s="357"/>
      <c r="LQ190" s="357"/>
      <c r="LR190" s="357"/>
      <c r="LS190" s="357"/>
      <c r="LT190" s="357"/>
      <c r="LU190" s="357"/>
      <c r="LV190" s="357"/>
      <c r="LW190" s="357"/>
      <c r="LX190" s="357"/>
      <c r="LY190" s="357"/>
      <c r="LZ190" s="357"/>
      <c r="MA190" s="357"/>
      <c r="MB190" s="357"/>
    </row>
    <row r="191" spans="1:340" s="358" customFormat="1" ht="22.5" customHeight="1">
      <c r="A191" s="475"/>
      <c r="B191" s="1145"/>
      <c r="C191" s="465"/>
      <c r="D191" s="1144"/>
      <c r="E191" s="1134" t="s">
        <v>52</v>
      </c>
      <c r="F191" s="438">
        <f t="shared" si="44"/>
        <v>25000</v>
      </c>
      <c r="G191" s="438">
        <v>25000</v>
      </c>
      <c r="H191" s="391"/>
      <c r="I191" s="1675"/>
      <c r="J191" s="2538" t="s">
        <v>8</v>
      </c>
      <c r="K191" s="2534"/>
      <c r="L191" s="2534"/>
      <c r="M191" s="2534"/>
      <c r="N191" s="2534"/>
      <c r="O191" s="2534"/>
      <c r="P191" s="2357"/>
      <c r="Q191" s="2539"/>
      <c r="R191" s="2533"/>
      <c r="S191" s="2539"/>
      <c r="T191" s="2539"/>
      <c r="U191" s="2357"/>
      <c r="V191" s="2539"/>
      <c r="W191" s="2539"/>
      <c r="X191" s="1140"/>
      <c r="Y191" s="1674">
        <f>Z191/1000</f>
        <v>25000</v>
      </c>
      <c r="Z191" s="494">
        <f>Z192+Z193+Z194+Z195</f>
        <v>25000000</v>
      </c>
      <c r="AB191" s="357"/>
      <c r="AD191" s="357"/>
      <c r="AE191" s="357"/>
      <c r="AF191" s="357"/>
      <c r="AG191" s="357"/>
      <c r="AH191" s="357"/>
      <c r="AI191" s="357"/>
      <c r="AJ191" s="357"/>
      <c r="AK191" s="357"/>
      <c r="AL191" s="357"/>
      <c r="AM191" s="357"/>
      <c r="AN191" s="357"/>
      <c r="AO191" s="357"/>
      <c r="AP191" s="357"/>
      <c r="AQ191" s="357"/>
      <c r="AR191" s="357"/>
      <c r="AS191" s="357"/>
      <c r="AT191" s="357"/>
      <c r="AU191" s="357"/>
      <c r="AV191" s="357"/>
      <c r="AW191" s="357"/>
      <c r="AX191" s="357"/>
      <c r="AY191" s="357"/>
      <c r="AZ191" s="357"/>
      <c r="BA191" s="357"/>
      <c r="BB191" s="357"/>
      <c r="BC191" s="357"/>
      <c r="BD191" s="357"/>
      <c r="BE191" s="357"/>
      <c r="BF191" s="357"/>
      <c r="BG191" s="357"/>
      <c r="BH191" s="357"/>
      <c r="BI191" s="357"/>
      <c r="BJ191" s="357"/>
      <c r="BK191" s="357"/>
      <c r="BL191" s="357"/>
      <c r="BM191" s="357"/>
      <c r="BN191" s="357"/>
      <c r="BO191" s="357"/>
      <c r="BP191" s="357"/>
      <c r="BQ191" s="357"/>
      <c r="BR191" s="357"/>
      <c r="BS191" s="357"/>
      <c r="BT191" s="357"/>
      <c r="BU191" s="357"/>
      <c r="BV191" s="357"/>
      <c r="BW191" s="357"/>
      <c r="BX191" s="357"/>
      <c r="BY191" s="357"/>
      <c r="BZ191" s="357"/>
      <c r="CA191" s="357"/>
      <c r="CB191" s="357"/>
      <c r="CC191" s="357"/>
      <c r="CD191" s="357"/>
      <c r="CE191" s="357"/>
      <c r="CF191" s="357"/>
      <c r="CG191" s="357"/>
      <c r="CH191" s="357"/>
      <c r="CI191" s="357"/>
      <c r="CJ191" s="357"/>
      <c r="CK191" s="357"/>
      <c r="CL191" s="357"/>
      <c r="CM191" s="357"/>
      <c r="CN191" s="357"/>
      <c r="CO191" s="357"/>
      <c r="CP191" s="357"/>
      <c r="CQ191" s="357"/>
      <c r="CR191" s="357"/>
      <c r="CS191" s="357"/>
      <c r="CT191" s="357"/>
      <c r="CU191" s="357"/>
      <c r="CV191" s="357"/>
      <c r="CW191" s="357"/>
      <c r="CX191" s="357"/>
      <c r="CY191" s="357"/>
      <c r="CZ191" s="357"/>
      <c r="DA191" s="357"/>
      <c r="DB191" s="357"/>
      <c r="DC191" s="357"/>
      <c r="DD191" s="357"/>
      <c r="DE191" s="357"/>
      <c r="DF191" s="357"/>
      <c r="DG191" s="357"/>
      <c r="DH191" s="357"/>
      <c r="DI191" s="357"/>
      <c r="DJ191" s="357"/>
      <c r="DK191" s="357"/>
      <c r="DL191" s="357"/>
      <c r="DM191" s="357"/>
      <c r="DN191" s="357"/>
      <c r="DO191" s="357"/>
      <c r="DP191" s="357"/>
      <c r="DQ191" s="357"/>
      <c r="DR191" s="357"/>
      <c r="DS191" s="357"/>
      <c r="DT191" s="357"/>
      <c r="DU191" s="357"/>
      <c r="DV191" s="357"/>
      <c r="DW191" s="357"/>
      <c r="DX191" s="357"/>
      <c r="DY191" s="357"/>
      <c r="DZ191" s="357"/>
      <c r="EA191" s="357"/>
      <c r="EB191" s="357"/>
      <c r="EC191" s="357"/>
      <c r="ED191" s="357"/>
      <c r="EE191" s="357"/>
      <c r="EF191" s="357"/>
      <c r="EG191" s="357"/>
      <c r="EH191" s="357"/>
      <c r="EI191" s="357"/>
      <c r="EJ191" s="357"/>
      <c r="EK191" s="357"/>
      <c r="EL191" s="357"/>
      <c r="EM191" s="357"/>
      <c r="EN191" s="357"/>
      <c r="EO191" s="357"/>
      <c r="EP191" s="357"/>
      <c r="EQ191" s="357"/>
      <c r="ER191" s="357"/>
      <c r="ES191" s="357"/>
      <c r="ET191" s="357"/>
      <c r="EU191" s="357"/>
      <c r="EV191" s="357"/>
      <c r="EW191" s="357"/>
      <c r="EX191" s="357"/>
      <c r="EY191" s="357"/>
      <c r="EZ191" s="357"/>
      <c r="FA191" s="357"/>
      <c r="FB191" s="357"/>
      <c r="FC191" s="357"/>
      <c r="FD191" s="357"/>
      <c r="FE191" s="357"/>
      <c r="FF191" s="357"/>
      <c r="FG191" s="357"/>
      <c r="FH191" s="357"/>
      <c r="FI191" s="357"/>
      <c r="FJ191" s="357"/>
      <c r="FK191" s="357"/>
      <c r="FL191" s="357"/>
      <c r="FM191" s="357"/>
      <c r="FN191" s="357"/>
      <c r="FO191" s="357"/>
      <c r="FP191" s="357"/>
      <c r="FQ191" s="357"/>
      <c r="FR191" s="357"/>
      <c r="FS191" s="357"/>
      <c r="FT191" s="357"/>
      <c r="FU191" s="357"/>
      <c r="FV191" s="357"/>
      <c r="FW191" s="357"/>
      <c r="FX191" s="357"/>
      <c r="FY191" s="357"/>
      <c r="FZ191" s="357"/>
      <c r="GA191" s="357"/>
      <c r="GB191" s="357"/>
      <c r="GC191" s="357"/>
      <c r="GD191" s="357"/>
      <c r="GE191" s="357"/>
      <c r="GF191" s="357"/>
      <c r="GG191" s="357"/>
      <c r="GH191" s="357"/>
      <c r="GI191" s="357"/>
      <c r="GJ191" s="357"/>
      <c r="GK191" s="357"/>
      <c r="GL191" s="357"/>
      <c r="GM191" s="357"/>
      <c r="GN191" s="357"/>
      <c r="GO191" s="357"/>
      <c r="GP191" s="357"/>
      <c r="GQ191" s="357"/>
      <c r="GR191" s="357"/>
      <c r="GS191" s="357"/>
      <c r="GT191" s="357"/>
      <c r="GU191" s="357"/>
      <c r="GV191" s="357"/>
      <c r="GW191" s="357"/>
      <c r="GX191" s="357"/>
      <c r="GY191" s="357"/>
      <c r="GZ191" s="357"/>
      <c r="HA191" s="357"/>
      <c r="HB191" s="357"/>
      <c r="HC191" s="357"/>
      <c r="HD191" s="357"/>
      <c r="HE191" s="357"/>
      <c r="HF191" s="357"/>
      <c r="HG191" s="357"/>
      <c r="HH191" s="357"/>
      <c r="HI191" s="357"/>
      <c r="HJ191" s="357"/>
      <c r="HK191" s="357"/>
      <c r="HL191" s="357"/>
      <c r="HM191" s="357"/>
      <c r="HN191" s="357"/>
      <c r="HO191" s="357"/>
      <c r="HP191" s="357"/>
      <c r="HQ191" s="357"/>
      <c r="HR191" s="357"/>
      <c r="HS191" s="357"/>
      <c r="HT191" s="357"/>
      <c r="HU191" s="357"/>
      <c r="HV191" s="357"/>
      <c r="HW191" s="357"/>
      <c r="HX191" s="357"/>
      <c r="HY191" s="357"/>
      <c r="HZ191" s="357"/>
      <c r="IA191" s="357"/>
      <c r="IB191" s="357"/>
      <c r="IC191" s="357"/>
      <c r="ID191" s="357"/>
      <c r="IE191" s="357"/>
      <c r="IF191" s="357"/>
      <c r="IG191" s="357"/>
      <c r="IH191" s="357"/>
      <c r="II191" s="357"/>
      <c r="IJ191" s="357"/>
      <c r="IK191" s="357"/>
      <c r="IL191" s="357"/>
      <c r="IM191" s="357"/>
      <c r="IN191" s="357"/>
      <c r="IO191" s="357"/>
      <c r="IP191" s="357"/>
      <c r="IQ191" s="357"/>
      <c r="IR191" s="357"/>
      <c r="IS191" s="357"/>
      <c r="IT191" s="357"/>
      <c r="IU191" s="357"/>
      <c r="IV191" s="357"/>
      <c r="IW191" s="357"/>
      <c r="IX191" s="357"/>
      <c r="IY191" s="357"/>
      <c r="IZ191" s="357"/>
      <c r="JA191" s="357"/>
      <c r="JB191" s="357"/>
      <c r="JC191" s="357"/>
      <c r="JD191" s="357"/>
      <c r="JE191" s="357"/>
      <c r="JF191" s="357"/>
      <c r="JG191" s="357"/>
      <c r="JH191" s="357"/>
      <c r="JI191" s="357"/>
      <c r="JJ191" s="357"/>
      <c r="JK191" s="357"/>
      <c r="JL191" s="357"/>
      <c r="JM191" s="357"/>
      <c r="JN191" s="357"/>
      <c r="JO191" s="357"/>
      <c r="JP191" s="357"/>
      <c r="JQ191" s="357"/>
      <c r="JR191" s="357"/>
      <c r="JS191" s="357"/>
      <c r="JT191" s="357"/>
      <c r="JU191" s="357"/>
      <c r="JV191" s="357"/>
      <c r="JW191" s="357"/>
      <c r="JX191" s="357"/>
      <c r="JY191" s="357"/>
      <c r="JZ191" s="357"/>
      <c r="KA191" s="357"/>
      <c r="KB191" s="357"/>
      <c r="KC191" s="357"/>
      <c r="KD191" s="357"/>
      <c r="KE191" s="357"/>
      <c r="KF191" s="357"/>
      <c r="KG191" s="357"/>
      <c r="KH191" s="357"/>
      <c r="KI191" s="357"/>
      <c r="KJ191" s="357"/>
      <c r="KK191" s="357"/>
      <c r="KL191" s="357"/>
      <c r="KM191" s="357"/>
      <c r="KN191" s="357"/>
      <c r="KO191" s="357"/>
      <c r="KP191" s="357"/>
      <c r="KQ191" s="357"/>
      <c r="KR191" s="357"/>
      <c r="KS191" s="357"/>
      <c r="KT191" s="357"/>
      <c r="KU191" s="357"/>
      <c r="KV191" s="357"/>
      <c r="KW191" s="357"/>
      <c r="KX191" s="357"/>
      <c r="KY191" s="357"/>
      <c r="KZ191" s="357"/>
      <c r="LA191" s="357"/>
      <c r="LB191" s="357"/>
      <c r="LC191" s="357"/>
      <c r="LD191" s="357"/>
      <c r="LE191" s="357"/>
      <c r="LF191" s="357"/>
      <c r="LG191" s="357"/>
      <c r="LH191" s="357"/>
      <c r="LI191" s="357"/>
      <c r="LJ191" s="357"/>
      <c r="LK191" s="357"/>
      <c r="LL191" s="357"/>
      <c r="LM191" s="357"/>
      <c r="LN191" s="357"/>
      <c r="LO191" s="357"/>
      <c r="LP191" s="357"/>
      <c r="LQ191" s="357"/>
      <c r="LR191" s="357"/>
      <c r="LS191" s="357"/>
      <c r="LT191" s="357"/>
      <c r="LU191" s="357"/>
      <c r="LV191" s="357"/>
      <c r="LW191" s="357"/>
      <c r="LX191" s="357"/>
      <c r="LY191" s="357"/>
      <c r="LZ191" s="357"/>
      <c r="MA191" s="357"/>
      <c r="MB191" s="357"/>
    </row>
    <row r="192" spans="1:340" s="358" customFormat="1" ht="22.5" customHeight="1">
      <c r="A192" s="475"/>
      <c r="B192" s="1145"/>
      <c r="C192" s="465"/>
      <c r="D192" s="1144"/>
      <c r="E192" s="1134"/>
      <c r="F192" s="438"/>
      <c r="G192" s="438"/>
      <c r="H192" s="406"/>
      <c r="I192" s="1675"/>
      <c r="J192" s="2538" t="s">
        <v>3197</v>
      </c>
      <c r="K192" s="2534"/>
      <c r="L192" s="2534"/>
      <c r="M192" s="2534"/>
      <c r="N192" s="2357"/>
      <c r="O192" s="2357"/>
      <c r="P192" s="2357"/>
      <c r="Q192" s="2539"/>
      <c r="R192" s="2533"/>
      <c r="S192" s="2539">
        <v>300000</v>
      </c>
      <c r="T192" s="2539" t="s">
        <v>0</v>
      </c>
      <c r="U192" s="2357"/>
      <c r="V192" s="2539">
        <v>10</v>
      </c>
      <c r="W192" s="2539" t="s">
        <v>3192</v>
      </c>
      <c r="X192" s="1140" t="s">
        <v>1</v>
      </c>
      <c r="Y192" s="1674">
        <f t="shared" ref="Y192:Y194" si="45">Z192/1000</f>
        <v>3000</v>
      </c>
      <c r="Z192" s="407">
        <f t="shared" ref="Z192:Z193" si="46">S192*V192</f>
        <v>3000000</v>
      </c>
      <c r="AB192" s="357"/>
      <c r="AD192" s="357"/>
      <c r="AE192" s="357"/>
      <c r="AF192" s="357"/>
      <c r="AG192" s="357"/>
      <c r="AH192" s="357"/>
      <c r="AI192" s="357"/>
      <c r="AJ192" s="357"/>
      <c r="AK192" s="357"/>
      <c r="AL192" s="357"/>
      <c r="AM192" s="357"/>
      <c r="AN192" s="357"/>
      <c r="AO192" s="357"/>
      <c r="AP192" s="357"/>
      <c r="AQ192" s="357"/>
      <c r="AR192" s="357"/>
      <c r="AS192" s="357"/>
      <c r="AT192" s="357"/>
      <c r="AU192" s="357"/>
      <c r="AV192" s="357"/>
      <c r="AW192" s="357"/>
      <c r="AX192" s="357"/>
      <c r="AY192" s="357"/>
      <c r="AZ192" s="357"/>
      <c r="BA192" s="357"/>
      <c r="BB192" s="357"/>
      <c r="BC192" s="357"/>
      <c r="BD192" s="357"/>
      <c r="BE192" s="357"/>
      <c r="BF192" s="357"/>
      <c r="BG192" s="357"/>
      <c r="BH192" s="357"/>
      <c r="BI192" s="357"/>
      <c r="BJ192" s="357"/>
      <c r="BK192" s="357"/>
      <c r="BL192" s="357"/>
      <c r="BM192" s="357"/>
      <c r="BN192" s="357"/>
      <c r="BO192" s="357"/>
      <c r="BP192" s="357"/>
      <c r="BQ192" s="357"/>
      <c r="BR192" s="357"/>
      <c r="BS192" s="357"/>
      <c r="BT192" s="357"/>
      <c r="BU192" s="357"/>
      <c r="BV192" s="357"/>
      <c r="BW192" s="357"/>
      <c r="BX192" s="357"/>
      <c r="BY192" s="357"/>
      <c r="BZ192" s="357"/>
      <c r="CA192" s="357"/>
      <c r="CB192" s="357"/>
      <c r="CC192" s="357"/>
      <c r="CD192" s="357"/>
      <c r="CE192" s="357"/>
      <c r="CF192" s="357"/>
      <c r="CG192" s="357"/>
      <c r="CH192" s="357"/>
      <c r="CI192" s="357"/>
      <c r="CJ192" s="357"/>
      <c r="CK192" s="357"/>
      <c r="CL192" s="357"/>
      <c r="CM192" s="357"/>
      <c r="CN192" s="357"/>
      <c r="CO192" s="357"/>
      <c r="CP192" s="357"/>
      <c r="CQ192" s="357"/>
      <c r="CR192" s="357"/>
      <c r="CS192" s="357"/>
      <c r="CT192" s="357"/>
      <c r="CU192" s="357"/>
      <c r="CV192" s="357"/>
      <c r="CW192" s="357"/>
      <c r="CX192" s="357"/>
      <c r="CY192" s="357"/>
      <c r="CZ192" s="357"/>
      <c r="DA192" s="357"/>
      <c r="DB192" s="357"/>
      <c r="DC192" s="357"/>
      <c r="DD192" s="357"/>
      <c r="DE192" s="357"/>
      <c r="DF192" s="357"/>
      <c r="DG192" s="357"/>
      <c r="DH192" s="357"/>
      <c r="DI192" s="357"/>
      <c r="DJ192" s="357"/>
      <c r="DK192" s="357"/>
      <c r="DL192" s="357"/>
      <c r="DM192" s="357"/>
      <c r="DN192" s="357"/>
      <c r="DO192" s="357"/>
      <c r="DP192" s="357"/>
      <c r="DQ192" s="357"/>
      <c r="DR192" s="357"/>
      <c r="DS192" s="357"/>
      <c r="DT192" s="357"/>
      <c r="DU192" s="357"/>
      <c r="DV192" s="357"/>
      <c r="DW192" s="357"/>
      <c r="DX192" s="357"/>
      <c r="DY192" s="357"/>
      <c r="DZ192" s="357"/>
      <c r="EA192" s="357"/>
      <c r="EB192" s="357"/>
      <c r="EC192" s="357"/>
      <c r="ED192" s="357"/>
      <c r="EE192" s="357"/>
      <c r="EF192" s="357"/>
      <c r="EG192" s="357"/>
      <c r="EH192" s="357"/>
      <c r="EI192" s="357"/>
      <c r="EJ192" s="357"/>
      <c r="EK192" s="357"/>
      <c r="EL192" s="357"/>
      <c r="EM192" s="357"/>
      <c r="EN192" s="357"/>
      <c r="EO192" s="357"/>
      <c r="EP192" s="357"/>
      <c r="EQ192" s="357"/>
      <c r="ER192" s="357"/>
      <c r="ES192" s="357"/>
      <c r="ET192" s="357"/>
      <c r="EU192" s="357"/>
      <c r="EV192" s="357"/>
      <c r="EW192" s="357"/>
      <c r="EX192" s="357"/>
      <c r="EY192" s="357"/>
      <c r="EZ192" s="357"/>
      <c r="FA192" s="357"/>
      <c r="FB192" s="357"/>
      <c r="FC192" s="357"/>
      <c r="FD192" s="357"/>
      <c r="FE192" s="357"/>
      <c r="FF192" s="357"/>
      <c r="FG192" s="357"/>
      <c r="FH192" s="357"/>
      <c r="FI192" s="357"/>
      <c r="FJ192" s="357"/>
      <c r="FK192" s="357"/>
      <c r="FL192" s="357"/>
      <c r="FM192" s="357"/>
      <c r="FN192" s="357"/>
      <c r="FO192" s="357"/>
      <c r="FP192" s="357"/>
      <c r="FQ192" s="357"/>
      <c r="FR192" s="357"/>
      <c r="FS192" s="357"/>
      <c r="FT192" s="357"/>
      <c r="FU192" s="357"/>
      <c r="FV192" s="357"/>
      <c r="FW192" s="357"/>
      <c r="FX192" s="357"/>
      <c r="FY192" s="357"/>
      <c r="FZ192" s="357"/>
      <c r="GA192" s="357"/>
      <c r="GB192" s="357"/>
      <c r="GC192" s="357"/>
      <c r="GD192" s="357"/>
      <c r="GE192" s="357"/>
      <c r="GF192" s="357"/>
      <c r="GG192" s="357"/>
      <c r="GH192" s="357"/>
      <c r="GI192" s="357"/>
      <c r="GJ192" s="357"/>
      <c r="GK192" s="357"/>
      <c r="GL192" s="357"/>
      <c r="GM192" s="357"/>
      <c r="GN192" s="357"/>
      <c r="GO192" s="357"/>
      <c r="GP192" s="357"/>
      <c r="GQ192" s="357"/>
      <c r="GR192" s="357"/>
      <c r="GS192" s="357"/>
      <c r="GT192" s="357"/>
      <c r="GU192" s="357"/>
      <c r="GV192" s="357"/>
      <c r="GW192" s="357"/>
      <c r="GX192" s="357"/>
      <c r="GY192" s="357"/>
      <c r="GZ192" s="357"/>
      <c r="HA192" s="357"/>
      <c r="HB192" s="357"/>
      <c r="HC192" s="357"/>
      <c r="HD192" s="357"/>
      <c r="HE192" s="357"/>
      <c r="HF192" s="357"/>
      <c r="HG192" s="357"/>
      <c r="HH192" s="357"/>
      <c r="HI192" s="357"/>
      <c r="HJ192" s="357"/>
      <c r="HK192" s="357"/>
      <c r="HL192" s="357"/>
      <c r="HM192" s="357"/>
      <c r="HN192" s="357"/>
      <c r="HO192" s="357"/>
      <c r="HP192" s="357"/>
      <c r="HQ192" s="357"/>
      <c r="HR192" s="357"/>
      <c r="HS192" s="357"/>
      <c r="HT192" s="357"/>
      <c r="HU192" s="357"/>
      <c r="HV192" s="357"/>
      <c r="HW192" s="357"/>
      <c r="HX192" s="357"/>
      <c r="HY192" s="357"/>
      <c r="HZ192" s="357"/>
      <c r="IA192" s="357"/>
      <c r="IB192" s="357"/>
      <c r="IC192" s="357"/>
      <c r="ID192" s="357"/>
      <c r="IE192" s="357"/>
      <c r="IF192" s="357"/>
      <c r="IG192" s="357"/>
      <c r="IH192" s="357"/>
      <c r="II192" s="357"/>
      <c r="IJ192" s="357"/>
      <c r="IK192" s="357"/>
      <c r="IL192" s="357"/>
      <c r="IM192" s="357"/>
      <c r="IN192" s="357"/>
      <c r="IO192" s="357"/>
      <c r="IP192" s="357"/>
      <c r="IQ192" s="357"/>
      <c r="IR192" s="357"/>
      <c r="IS192" s="357"/>
      <c r="IT192" s="357"/>
      <c r="IU192" s="357"/>
      <c r="IV192" s="357"/>
      <c r="IW192" s="357"/>
      <c r="IX192" s="357"/>
      <c r="IY192" s="357"/>
      <c r="IZ192" s="357"/>
      <c r="JA192" s="357"/>
      <c r="JB192" s="357"/>
      <c r="JC192" s="357"/>
      <c r="JD192" s="357"/>
      <c r="JE192" s="357"/>
      <c r="JF192" s="357"/>
      <c r="JG192" s="357"/>
      <c r="JH192" s="357"/>
      <c r="JI192" s="357"/>
      <c r="JJ192" s="357"/>
      <c r="JK192" s="357"/>
      <c r="JL192" s="357"/>
      <c r="JM192" s="357"/>
      <c r="JN192" s="357"/>
      <c r="JO192" s="357"/>
      <c r="JP192" s="357"/>
      <c r="JQ192" s="357"/>
      <c r="JR192" s="357"/>
      <c r="JS192" s="357"/>
      <c r="JT192" s="357"/>
      <c r="JU192" s="357"/>
      <c r="JV192" s="357"/>
      <c r="JW192" s="357"/>
      <c r="JX192" s="357"/>
      <c r="JY192" s="357"/>
      <c r="JZ192" s="357"/>
      <c r="KA192" s="357"/>
      <c r="KB192" s="357"/>
      <c r="KC192" s="357"/>
      <c r="KD192" s="357"/>
      <c r="KE192" s="357"/>
      <c r="KF192" s="357"/>
      <c r="KG192" s="357"/>
      <c r="KH192" s="357"/>
      <c r="KI192" s="357"/>
      <c r="KJ192" s="357"/>
      <c r="KK192" s="357"/>
      <c r="KL192" s="357"/>
      <c r="KM192" s="357"/>
      <c r="KN192" s="357"/>
      <c r="KO192" s="357"/>
      <c r="KP192" s="357"/>
      <c r="KQ192" s="357"/>
      <c r="KR192" s="357"/>
      <c r="KS192" s="357"/>
      <c r="KT192" s="357"/>
      <c r="KU192" s="357"/>
      <c r="KV192" s="357"/>
      <c r="KW192" s="357"/>
      <c r="KX192" s="357"/>
      <c r="KY192" s="357"/>
      <c r="KZ192" s="357"/>
      <c r="LA192" s="357"/>
      <c r="LB192" s="357"/>
      <c r="LC192" s="357"/>
      <c r="LD192" s="357"/>
      <c r="LE192" s="357"/>
      <c r="LF192" s="357"/>
      <c r="LG192" s="357"/>
      <c r="LH192" s="357"/>
      <c r="LI192" s="357"/>
      <c r="LJ192" s="357"/>
      <c r="LK192" s="357"/>
      <c r="LL192" s="357"/>
      <c r="LM192" s="357"/>
      <c r="LN192" s="357"/>
      <c r="LO192" s="357"/>
      <c r="LP192" s="357"/>
      <c r="LQ192" s="357"/>
      <c r="LR192" s="357"/>
      <c r="LS192" s="357"/>
      <c r="LT192" s="357"/>
      <c r="LU192" s="357"/>
      <c r="LV192" s="357"/>
      <c r="LW192" s="357"/>
      <c r="LX192" s="357"/>
      <c r="LY192" s="357"/>
      <c r="LZ192" s="357"/>
      <c r="MA192" s="357"/>
      <c r="MB192" s="357"/>
    </row>
    <row r="193" spans="1:340" s="358" customFormat="1" ht="22.5" customHeight="1">
      <c r="A193" s="475"/>
      <c r="B193" s="1145"/>
      <c r="C193" s="465"/>
      <c r="D193" s="1144"/>
      <c r="E193" s="1134"/>
      <c r="F193" s="392"/>
      <c r="G193" s="392"/>
      <c r="H193" s="391"/>
      <c r="I193" s="1675"/>
      <c r="J193" s="2538" t="s">
        <v>3198</v>
      </c>
      <c r="K193" s="2534"/>
      <c r="L193" s="2534"/>
      <c r="M193" s="2534"/>
      <c r="N193" s="2357"/>
      <c r="O193" s="2357"/>
      <c r="P193" s="2357"/>
      <c r="Q193" s="2539"/>
      <c r="R193" s="2533"/>
      <c r="S193" s="2539">
        <v>200000</v>
      </c>
      <c r="T193" s="2539" t="s">
        <v>0</v>
      </c>
      <c r="U193" s="2357"/>
      <c r="V193" s="2539">
        <v>10</v>
      </c>
      <c r="W193" s="2539" t="s">
        <v>25</v>
      </c>
      <c r="X193" s="1140" t="s">
        <v>1</v>
      </c>
      <c r="Y193" s="1674">
        <f t="shared" si="45"/>
        <v>2000</v>
      </c>
      <c r="Z193" s="407">
        <f t="shared" si="46"/>
        <v>2000000</v>
      </c>
      <c r="AB193" s="357"/>
      <c r="AD193" s="357"/>
      <c r="AE193" s="357"/>
      <c r="AF193" s="357"/>
      <c r="AG193" s="357"/>
      <c r="AH193" s="357"/>
      <c r="AI193" s="357"/>
      <c r="AJ193" s="357"/>
      <c r="AK193" s="357"/>
      <c r="AL193" s="357"/>
      <c r="AM193" s="357"/>
      <c r="AN193" s="357"/>
      <c r="AO193" s="357"/>
      <c r="AP193" s="357"/>
      <c r="AQ193" s="357"/>
      <c r="AR193" s="357"/>
      <c r="AS193" s="357"/>
      <c r="AT193" s="357"/>
      <c r="AU193" s="357"/>
      <c r="AV193" s="357"/>
      <c r="AW193" s="357"/>
      <c r="AX193" s="357"/>
      <c r="AY193" s="357"/>
      <c r="AZ193" s="357"/>
      <c r="BA193" s="357"/>
      <c r="BB193" s="357"/>
      <c r="BC193" s="357"/>
      <c r="BD193" s="357"/>
      <c r="BE193" s="357"/>
      <c r="BF193" s="357"/>
      <c r="BG193" s="357"/>
      <c r="BH193" s="357"/>
      <c r="BI193" s="357"/>
      <c r="BJ193" s="357"/>
      <c r="BK193" s="357"/>
      <c r="BL193" s="357"/>
      <c r="BM193" s="357"/>
      <c r="BN193" s="357"/>
      <c r="BO193" s="357"/>
      <c r="BP193" s="357"/>
      <c r="BQ193" s="357"/>
      <c r="BR193" s="357"/>
      <c r="BS193" s="357"/>
      <c r="BT193" s="357"/>
      <c r="BU193" s="357"/>
      <c r="BV193" s="357"/>
      <c r="BW193" s="357"/>
      <c r="BX193" s="357"/>
      <c r="BY193" s="357"/>
      <c r="BZ193" s="357"/>
      <c r="CA193" s="357"/>
      <c r="CB193" s="357"/>
      <c r="CC193" s="357"/>
      <c r="CD193" s="357"/>
      <c r="CE193" s="357"/>
      <c r="CF193" s="357"/>
      <c r="CG193" s="357"/>
      <c r="CH193" s="357"/>
      <c r="CI193" s="357"/>
      <c r="CJ193" s="357"/>
      <c r="CK193" s="357"/>
      <c r="CL193" s="357"/>
      <c r="CM193" s="357"/>
      <c r="CN193" s="357"/>
      <c r="CO193" s="357"/>
      <c r="CP193" s="357"/>
      <c r="CQ193" s="357"/>
      <c r="CR193" s="357"/>
      <c r="CS193" s="357"/>
      <c r="CT193" s="357"/>
      <c r="CU193" s="357"/>
      <c r="CV193" s="357"/>
      <c r="CW193" s="357"/>
      <c r="CX193" s="357"/>
      <c r="CY193" s="357"/>
      <c r="CZ193" s="357"/>
      <c r="DA193" s="357"/>
      <c r="DB193" s="357"/>
      <c r="DC193" s="357"/>
      <c r="DD193" s="357"/>
      <c r="DE193" s="357"/>
      <c r="DF193" s="357"/>
      <c r="DG193" s="357"/>
      <c r="DH193" s="357"/>
      <c r="DI193" s="357"/>
      <c r="DJ193" s="357"/>
      <c r="DK193" s="357"/>
      <c r="DL193" s="357"/>
      <c r="DM193" s="357"/>
      <c r="DN193" s="357"/>
      <c r="DO193" s="357"/>
      <c r="DP193" s="357"/>
      <c r="DQ193" s="357"/>
      <c r="DR193" s="357"/>
      <c r="DS193" s="357"/>
      <c r="DT193" s="357"/>
      <c r="DU193" s="357"/>
      <c r="DV193" s="357"/>
      <c r="DW193" s="357"/>
      <c r="DX193" s="357"/>
      <c r="DY193" s="357"/>
      <c r="DZ193" s="357"/>
      <c r="EA193" s="357"/>
      <c r="EB193" s="357"/>
      <c r="EC193" s="357"/>
      <c r="ED193" s="357"/>
      <c r="EE193" s="357"/>
      <c r="EF193" s="357"/>
      <c r="EG193" s="357"/>
      <c r="EH193" s="357"/>
      <c r="EI193" s="357"/>
      <c r="EJ193" s="357"/>
      <c r="EK193" s="357"/>
      <c r="EL193" s="357"/>
      <c r="EM193" s="357"/>
      <c r="EN193" s="357"/>
      <c r="EO193" s="357"/>
      <c r="EP193" s="357"/>
      <c r="EQ193" s="357"/>
      <c r="ER193" s="357"/>
      <c r="ES193" s="357"/>
      <c r="ET193" s="357"/>
      <c r="EU193" s="357"/>
      <c r="EV193" s="357"/>
      <c r="EW193" s="357"/>
      <c r="EX193" s="357"/>
      <c r="EY193" s="357"/>
      <c r="EZ193" s="357"/>
      <c r="FA193" s="357"/>
      <c r="FB193" s="357"/>
      <c r="FC193" s="357"/>
      <c r="FD193" s="357"/>
      <c r="FE193" s="357"/>
      <c r="FF193" s="357"/>
      <c r="FG193" s="357"/>
      <c r="FH193" s="357"/>
      <c r="FI193" s="357"/>
      <c r="FJ193" s="357"/>
      <c r="FK193" s="357"/>
      <c r="FL193" s="357"/>
      <c r="FM193" s="357"/>
      <c r="FN193" s="357"/>
      <c r="FO193" s="357"/>
      <c r="FP193" s="357"/>
      <c r="FQ193" s="357"/>
      <c r="FR193" s="357"/>
      <c r="FS193" s="357"/>
      <c r="FT193" s="357"/>
      <c r="FU193" s="357"/>
      <c r="FV193" s="357"/>
      <c r="FW193" s="357"/>
      <c r="FX193" s="357"/>
      <c r="FY193" s="357"/>
      <c r="FZ193" s="357"/>
      <c r="GA193" s="357"/>
      <c r="GB193" s="357"/>
      <c r="GC193" s="357"/>
      <c r="GD193" s="357"/>
      <c r="GE193" s="357"/>
      <c r="GF193" s="357"/>
      <c r="GG193" s="357"/>
      <c r="GH193" s="357"/>
      <c r="GI193" s="357"/>
      <c r="GJ193" s="357"/>
      <c r="GK193" s="357"/>
      <c r="GL193" s="357"/>
      <c r="GM193" s="357"/>
      <c r="GN193" s="357"/>
      <c r="GO193" s="357"/>
      <c r="GP193" s="357"/>
      <c r="GQ193" s="357"/>
      <c r="GR193" s="357"/>
      <c r="GS193" s="357"/>
      <c r="GT193" s="357"/>
      <c r="GU193" s="357"/>
      <c r="GV193" s="357"/>
      <c r="GW193" s="357"/>
      <c r="GX193" s="357"/>
      <c r="GY193" s="357"/>
      <c r="GZ193" s="357"/>
      <c r="HA193" s="357"/>
      <c r="HB193" s="357"/>
      <c r="HC193" s="357"/>
      <c r="HD193" s="357"/>
      <c r="HE193" s="357"/>
      <c r="HF193" s="357"/>
      <c r="HG193" s="357"/>
      <c r="HH193" s="357"/>
      <c r="HI193" s="357"/>
      <c r="HJ193" s="357"/>
      <c r="HK193" s="357"/>
      <c r="HL193" s="357"/>
      <c r="HM193" s="357"/>
      <c r="HN193" s="357"/>
      <c r="HO193" s="357"/>
      <c r="HP193" s="357"/>
      <c r="HQ193" s="357"/>
      <c r="HR193" s="357"/>
      <c r="HS193" s="357"/>
      <c r="HT193" s="357"/>
      <c r="HU193" s="357"/>
      <c r="HV193" s="357"/>
      <c r="HW193" s="357"/>
      <c r="HX193" s="357"/>
      <c r="HY193" s="357"/>
      <c r="HZ193" s="357"/>
      <c r="IA193" s="357"/>
      <c r="IB193" s="357"/>
      <c r="IC193" s="357"/>
      <c r="ID193" s="357"/>
      <c r="IE193" s="357"/>
      <c r="IF193" s="357"/>
      <c r="IG193" s="357"/>
      <c r="IH193" s="357"/>
      <c r="II193" s="357"/>
      <c r="IJ193" s="357"/>
      <c r="IK193" s="357"/>
      <c r="IL193" s="357"/>
      <c r="IM193" s="357"/>
      <c r="IN193" s="357"/>
      <c r="IO193" s="357"/>
      <c r="IP193" s="357"/>
      <c r="IQ193" s="357"/>
      <c r="IR193" s="357"/>
      <c r="IS193" s="357"/>
      <c r="IT193" s="357"/>
      <c r="IU193" s="357"/>
      <c r="IV193" s="357"/>
      <c r="IW193" s="357"/>
      <c r="IX193" s="357"/>
      <c r="IY193" s="357"/>
      <c r="IZ193" s="357"/>
      <c r="JA193" s="357"/>
      <c r="JB193" s="357"/>
      <c r="JC193" s="357"/>
      <c r="JD193" s="357"/>
      <c r="JE193" s="357"/>
      <c r="JF193" s="357"/>
      <c r="JG193" s="357"/>
      <c r="JH193" s="357"/>
      <c r="JI193" s="357"/>
      <c r="JJ193" s="357"/>
      <c r="JK193" s="357"/>
      <c r="JL193" s="357"/>
      <c r="JM193" s="357"/>
      <c r="JN193" s="357"/>
      <c r="JO193" s="357"/>
      <c r="JP193" s="357"/>
      <c r="JQ193" s="357"/>
      <c r="JR193" s="357"/>
      <c r="JS193" s="357"/>
      <c r="JT193" s="357"/>
      <c r="JU193" s="357"/>
      <c r="JV193" s="357"/>
      <c r="JW193" s="357"/>
      <c r="JX193" s="357"/>
      <c r="JY193" s="357"/>
      <c r="JZ193" s="357"/>
      <c r="KA193" s="357"/>
      <c r="KB193" s="357"/>
      <c r="KC193" s="357"/>
      <c r="KD193" s="357"/>
      <c r="KE193" s="357"/>
      <c r="KF193" s="357"/>
      <c r="KG193" s="357"/>
      <c r="KH193" s="357"/>
      <c r="KI193" s="357"/>
      <c r="KJ193" s="357"/>
      <c r="KK193" s="357"/>
      <c r="KL193" s="357"/>
      <c r="KM193" s="357"/>
      <c r="KN193" s="357"/>
      <c r="KO193" s="357"/>
      <c r="KP193" s="357"/>
      <c r="KQ193" s="357"/>
      <c r="KR193" s="357"/>
      <c r="KS193" s="357"/>
      <c r="KT193" s="357"/>
      <c r="KU193" s="357"/>
      <c r="KV193" s="357"/>
      <c r="KW193" s="357"/>
      <c r="KX193" s="357"/>
      <c r="KY193" s="357"/>
      <c r="KZ193" s="357"/>
      <c r="LA193" s="357"/>
      <c r="LB193" s="357"/>
      <c r="LC193" s="357"/>
      <c r="LD193" s="357"/>
      <c r="LE193" s="357"/>
      <c r="LF193" s="357"/>
      <c r="LG193" s="357"/>
      <c r="LH193" s="357"/>
      <c r="LI193" s="357"/>
      <c r="LJ193" s="357"/>
      <c r="LK193" s="357"/>
      <c r="LL193" s="357"/>
      <c r="LM193" s="357"/>
      <c r="LN193" s="357"/>
      <c r="LO193" s="357"/>
      <c r="LP193" s="357"/>
      <c r="LQ193" s="357"/>
      <c r="LR193" s="357"/>
      <c r="LS193" s="357"/>
      <c r="LT193" s="357"/>
      <c r="LU193" s="357"/>
      <c r="LV193" s="357"/>
      <c r="LW193" s="357"/>
      <c r="LX193" s="357"/>
      <c r="LY193" s="357"/>
      <c r="LZ193" s="357"/>
      <c r="MA193" s="357"/>
      <c r="MB193" s="357"/>
    </row>
    <row r="194" spans="1:340" s="358" customFormat="1" ht="22.5" customHeight="1">
      <c r="A194" s="475"/>
      <c r="B194" s="1145"/>
      <c r="C194" s="465"/>
      <c r="D194" s="1144"/>
      <c r="E194" s="1134"/>
      <c r="F194" s="438"/>
      <c r="G194" s="392"/>
      <c r="H194" s="391"/>
      <c r="I194" s="1675"/>
      <c r="J194" s="2538" t="s">
        <v>3199</v>
      </c>
      <c r="K194" s="2534"/>
      <c r="L194" s="2534"/>
      <c r="M194" s="2534"/>
      <c r="N194" s="2357"/>
      <c r="O194" s="2357"/>
      <c r="P194" s="2357"/>
      <c r="Q194" s="2539">
        <v>50</v>
      </c>
      <c r="R194" s="2533" t="s">
        <v>28</v>
      </c>
      <c r="S194" s="2539">
        <v>100000</v>
      </c>
      <c r="T194" s="2539" t="s">
        <v>0</v>
      </c>
      <c r="U194" s="2539"/>
      <c r="V194" s="2539">
        <v>2</v>
      </c>
      <c r="W194" s="2539" t="s">
        <v>25</v>
      </c>
      <c r="X194" s="1140" t="s">
        <v>1</v>
      </c>
      <c r="Y194" s="1674">
        <f t="shared" si="45"/>
        <v>10000</v>
      </c>
      <c r="Z194" s="407">
        <f>Q194*S194*V194</f>
        <v>10000000</v>
      </c>
      <c r="AB194" s="357"/>
      <c r="AD194" s="357"/>
      <c r="AE194" s="357"/>
      <c r="AF194" s="357"/>
      <c r="AG194" s="357"/>
      <c r="AH194" s="357"/>
      <c r="AI194" s="357"/>
      <c r="AJ194" s="357"/>
      <c r="AK194" s="357"/>
      <c r="AL194" s="357"/>
      <c r="AM194" s="357"/>
      <c r="AN194" s="357"/>
      <c r="AO194" s="357"/>
      <c r="AP194" s="357"/>
      <c r="AQ194" s="357"/>
      <c r="AR194" s="357"/>
      <c r="AS194" s="357"/>
      <c r="AT194" s="357"/>
      <c r="AU194" s="357"/>
      <c r="AV194" s="357"/>
      <c r="AW194" s="357"/>
      <c r="AX194" s="357"/>
      <c r="AY194" s="357"/>
      <c r="AZ194" s="357"/>
      <c r="BA194" s="357"/>
      <c r="BB194" s="357"/>
      <c r="BC194" s="357"/>
      <c r="BD194" s="357"/>
      <c r="BE194" s="357"/>
      <c r="BF194" s="357"/>
      <c r="BG194" s="357"/>
      <c r="BH194" s="357"/>
      <c r="BI194" s="357"/>
      <c r="BJ194" s="357"/>
      <c r="BK194" s="357"/>
      <c r="BL194" s="357"/>
      <c r="BM194" s="357"/>
      <c r="BN194" s="357"/>
      <c r="BO194" s="357"/>
      <c r="BP194" s="357"/>
      <c r="BQ194" s="357"/>
      <c r="BR194" s="357"/>
      <c r="BS194" s="357"/>
      <c r="BT194" s="357"/>
      <c r="BU194" s="357"/>
      <c r="BV194" s="357"/>
      <c r="BW194" s="357"/>
      <c r="BX194" s="357"/>
      <c r="BY194" s="357"/>
      <c r="BZ194" s="357"/>
      <c r="CA194" s="357"/>
      <c r="CB194" s="357"/>
      <c r="CC194" s="357"/>
      <c r="CD194" s="357"/>
      <c r="CE194" s="357"/>
      <c r="CF194" s="357"/>
      <c r="CG194" s="357"/>
      <c r="CH194" s="357"/>
      <c r="CI194" s="357"/>
      <c r="CJ194" s="357"/>
      <c r="CK194" s="357"/>
      <c r="CL194" s="357"/>
      <c r="CM194" s="357"/>
      <c r="CN194" s="357"/>
      <c r="CO194" s="357"/>
      <c r="CP194" s="357"/>
      <c r="CQ194" s="357"/>
      <c r="CR194" s="357"/>
      <c r="CS194" s="357"/>
      <c r="CT194" s="357"/>
      <c r="CU194" s="357"/>
      <c r="CV194" s="357"/>
      <c r="CW194" s="357"/>
      <c r="CX194" s="357"/>
      <c r="CY194" s="357"/>
      <c r="CZ194" s="357"/>
      <c r="DA194" s="357"/>
      <c r="DB194" s="357"/>
      <c r="DC194" s="357"/>
      <c r="DD194" s="357"/>
      <c r="DE194" s="357"/>
      <c r="DF194" s="357"/>
      <c r="DG194" s="357"/>
      <c r="DH194" s="357"/>
      <c r="DI194" s="357"/>
      <c r="DJ194" s="357"/>
      <c r="DK194" s="357"/>
      <c r="DL194" s="357"/>
      <c r="DM194" s="357"/>
      <c r="DN194" s="357"/>
      <c r="DO194" s="357"/>
      <c r="DP194" s="357"/>
      <c r="DQ194" s="357"/>
      <c r="DR194" s="357"/>
      <c r="DS194" s="357"/>
      <c r="DT194" s="357"/>
      <c r="DU194" s="357"/>
      <c r="DV194" s="357"/>
      <c r="DW194" s="357"/>
      <c r="DX194" s="357"/>
      <c r="DY194" s="357"/>
      <c r="DZ194" s="357"/>
      <c r="EA194" s="357"/>
      <c r="EB194" s="357"/>
      <c r="EC194" s="357"/>
      <c r="ED194" s="357"/>
      <c r="EE194" s="357"/>
      <c r="EF194" s="357"/>
      <c r="EG194" s="357"/>
      <c r="EH194" s="357"/>
      <c r="EI194" s="357"/>
      <c r="EJ194" s="357"/>
      <c r="EK194" s="357"/>
      <c r="EL194" s="357"/>
      <c r="EM194" s="357"/>
      <c r="EN194" s="357"/>
      <c r="EO194" s="357"/>
      <c r="EP194" s="357"/>
      <c r="EQ194" s="357"/>
      <c r="ER194" s="357"/>
      <c r="ES194" s="357"/>
      <c r="ET194" s="357"/>
      <c r="EU194" s="357"/>
      <c r="EV194" s="357"/>
      <c r="EW194" s="357"/>
      <c r="EX194" s="357"/>
      <c r="EY194" s="357"/>
      <c r="EZ194" s="357"/>
      <c r="FA194" s="357"/>
      <c r="FB194" s="357"/>
      <c r="FC194" s="357"/>
      <c r="FD194" s="357"/>
      <c r="FE194" s="357"/>
      <c r="FF194" s="357"/>
      <c r="FG194" s="357"/>
      <c r="FH194" s="357"/>
      <c r="FI194" s="357"/>
      <c r="FJ194" s="357"/>
      <c r="FK194" s="357"/>
      <c r="FL194" s="357"/>
      <c r="FM194" s="357"/>
      <c r="FN194" s="357"/>
      <c r="FO194" s="357"/>
      <c r="FP194" s="357"/>
      <c r="FQ194" s="357"/>
      <c r="FR194" s="357"/>
      <c r="FS194" s="357"/>
      <c r="FT194" s="357"/>
      <c r="FU194" s="357"/>
      <c r="FV194" s="357"/>
      <c r="FW194" s="357"/>
      <c r="FX194" s="357"/>
      <c r="FY194" s="357"/>
      <c r="FZ194" s="357"/>
      <c r="GA194" s="357"/>
      <c r="GB194" s="357"/>
      <c r="GC194" s="357"/>
      <c r="GD194" s="357"/>
      <c r="GE194" s="357"/>
      <c r="GF194" s="357"/>
      <c r="GG194" s="357"/>
      <c r="GH194" s="357"/>
      <c r="GI194" s="357"/>
      <c r="GJ194" s="357"/>
      <c r="GK194" s="357"/>
      <c r="GL194" s="357"/>
      <c r="GM194" s="357"/>
      <c r="GN194" s="357"/>
      <c r="GO194" s="357"/>
      <c r="GP194" s="357"/>
      <c r="GQ194" s="357"/>
      <c r="GR194" s="357"/>
      <c r="GS194" s="357"/>
      <c r="GT194" s="357"/>
      <c r="GU194" s="357"/>
      <c r="GV194" s="357"/>
      <c r="GW194" s="357"/>
      <c r="GX194" s="357"/>
      <c r="GY194" s="357"/>
      <c r="GZ194" s="357"/>
      <c r="HA194" s="357"/>
      <c r="HB194" s="357"/>
      <c r="HC194" s="357"/>
      <c r="HD194" s="357"/>
      <c r="HE194" s="357"/>
      <c r="HF194" s="357"/>
      <c r="HG194" s="357"/>
      <c r="HH194" s="357"/>
      <c r="HI194" s="357"/>
      <c r="HJ194" s="357"/>
      <c r="HK194" s="357"/>
      <c r="HL194" s="357"/>
      <c r="HM194" s="357"/>
      <c r="HN194" s="357"/>
      <c r="HO194" s="357"/>
      <c r="HP194" s="357"/>
      <c r="HQ194" s="357"/>
      <c r="HR194" s="357"/>
      <c r="HS194" s="357"/>
      <c r="HT194" s="357"/>
      <c r="HU194" s="357"/>
      <c r="HV194" s="357"/>
      <c r="HW194" s="357"/>
      <c r="HX194" s="357"/>
      <c r="HY194" s="357"/>
      <c r="HZ194" s="357"/>
      <c r="IA194" s="357"/>
      <c r="IB194" s="357"/>
      <c r="IC194" s="357"/>
      <c r="ID194" s="357"/>
      <c r="IE194" s="357"/>
      <c r="IF194" s="357"/>
      <c r="IG194" s="357"/>
      <c r="IH194" s="357"/>
      <c r="II194" s="357"/>
      <c r="IJ194" s="357"/>
      <c r="IK194" s="357"/>
      <c r="IL194" s="357"/>
      <c r="IM194" s="357"/>
      <c r="IN194" s="357"/>
      <c r="IO194" s="357"/>
      <c r="IP194" s="357"/>
      <c r="IQ194" s="357"/>
      <c r="IR194" s="357"/>
      <c r="IS194" s="357"/>
      <c r="IT194" s="357"/>
      <c r="IU194" s="357"/>
      <c r="IV194" s="357"/>
      <c r="IW194" s="357"/>
      <c r="IX194" s="357"/>
      <c r="IY194" s="357"/>
      <c r="IZ194" s="357"/>
      <c r="JA194" s="357"/>
      <c r="JB194" s="357"/>
      <c r="JC194" s="357"/>
      <c r="JD194" s="357"/>
      <c r="JE194" s="357"/>
      <c r="JF194" s="357"/>
      <c r="JG194" s="357"/>
      <c r="JH194" s="357"/>
      <c r="JI194" s="357"/>
      <c r="JJ194" s="357"/>
      <c r="JK194" s="357"/>
      <c r="JL194" s="357"/>
      <c r="JM194" s="357"/>
      <c r="JN194" s="357"/>
      <c r="JO194" s="357"/>
      <c r="JP194" s="357"/>
      <c r="JQ194" s="357"/>
      <c r="JR194" s="357"/>
      <c r="JS194" s="357"/>
      <c r="JT194" s="357"/>
      <c r="JU194" s="357"/>
      <c r="JV194" s="357"/>
      <c r="JW194" s="357"/>
      <c r="JX194" s="357"/>
      <c r="JY194" s="357"/>
      <c r="JZ194" s="357"/>
      <c r="KA194" s="357"/>
      <c r="KB194" s="357"/>
      <c r="KC194" s="357"/>
      <c r="KD194" s="357"/>
      <c r="KE194" s="357"/>
      <c r="KF194" s="357"/>
      <c r="KG194" s="357"/>
      <c r="KH194" s="357"/>
      <c r="KI194" s="357"/>
      <c r="KJ194" s="357"/>
      <c r="KK194" s="357"/>
      <c r="KL194" s="357"/>
      <c r="KM194" s="357"/>
      <c r="KN194" s="357"/>
      <c r="KO194" s="357"/>
      <c r="KP194" s="357"/>
      <c r="KQ194" s="357"/>
      <c r="KR194" s="357"/>
      <c r="KS194" s="357"/>
      <c r="KT194" s="357"/>
      <c r="KU194" s="357"/>
      <c r="KV194" s="357"/>
      <c r="KW194" s="357"/>
      <c r="KX194" s="357"/>
      <c r="KY194" s="357"/>
      <c r="KZ194" s="357"/>
      <c r="LA194" s="357"/>
      <c r="LB194" s="357"/>
      <c r="LC194" s="357"/>
      <c r="LD194" s="357"/>
      <c r="LE194" s="357"/>
      <c r="LF194" s="357"/>
      <c r="LG194" s="357"/>
      <c r="LH194" s="357"/>
      <c r="LI194" s="357"/>
      <c r="LJ194" s="357"/>
      <c r="LK194" s="357"/>
      <c r="LL194" s="357"/>
      <c r="LM194" s="357"/>
      <c r="LN194" s="357"/>
      <c r="LO194" s="357"/>
      <c r="LP194" s="357"/>
      <c r="LQ194" s="357"/>
      <c r="LR194" s="357"/>
      <c r="LS194" s="357"/>
      <c r="LT194" s="357"/>
      <c r="LU194" s="357"/>
      <c r="LV194" s="357"/>
      <c r="LW194" s="357"/>
      <c r="LX194" s="357"/>
      <c r="LY194" s="357"/>
      <c r="LZ194" s="357"/>
      <c r="MA194" s="357"/>
      <c r="MB194" s="357"/>
    </row>
    <row r="195" spans="1:340" s="358" customFormat="1" ht="22.5" customHeight="1">
      <c r="A195" s="475"/>
      <c r="B195" s="1145"/>
      <c r="C195" s="465"/>
      <c r="D195" s="1144"/>
      <c r="E195" s="1134"/>
      <c r="F195" s="438"/>
      <c r="G195" s="392"/>
      <c r="H195" s="391"/>
      <c r="I195" s="1675"/>
      <c r="J195" s="2538" t="s">
        <v>3200</v>
      </c>
      <c r="K195" s="2534"/>
      <c r="L195" s="2534"/>
      <c r="M195" s="2534"/>
      <c r="N195" s="2357"/>
      <c r="O195" s="2357"/>
      <c r="P195" s="2357"/>
      <c r="Q195" s="2539"/>
      <c r="R195" s="2533"/>
      <c r="S195" s="2539">
        <v>10000000</v>
      </c>
      <c r="T195" s="2539" t="s">
        <v>3201</v>
      </c>
      <c r="U195" s="2539"/>
      <c r="V195" s="2539">
        <v>1</v>
      </c>
      <c r="W195" s="2539" t="s">
        <v>3202</v>
      </c>
      <c r="X195" s="2185"/>
      <c r="Y195" s="1674">
        <f>Z195/1000</f>
        <v>10000</v>
      </c>
      <c r="Z195" s="407">
        <f>S195*V195</f>
        <v>10000000</v>
      </c>
      <c r="AB195" s="357"/>
      <c r="AD195" s="357"/>
      <c r="AE195" s="357"/>
      <c r="AF195" s="357"/>
      <c r="AG195" s="357"/>
      <c r="AH195" s="357"/>
      <c r="AI195" s="357"/>
      <c r="AJ195" s="357"/>
      <c r="AK195" s="357"/>
      <c r="AL195" s="357"/>
      <c r="AM195" s="357"/>
      <c r="AN195" s="357"/>
      <c r="AO195" s="357"/>
      <c r="AP195" s="357"/>
      <c r="AQ195" s="357"/>
      <c r="AR195" s="357"/>
      <c r="AS195" s="357"/>
      <c r="AT195" s="357"/>
      <c r="AU195" s="357"/>
      <c r="AV195" s="357"/>
      <c r="AW195" s="357"/>
      <c r="AX195" s="357"/>
      <c r="AY195" s="357"/>
      <c r="AZ195" s="357"/>
      <c r="BA195" s="357"/>
      <c r="BB195" s="357"/>
      <c r="BC195" s="357"/>
      <c r="BD195" s="357"/>
      <c r="BE195" s="357"/>
      <c r="BF195" s="357"/>
      <c r="BG195" s="357"/>
      <c r="BH195" s="357"/>
      <c r="BI195" s="357"/>
      <c r="BJ195" s="357"/>
      <c r="BK195" s="357"/>
      <c r="BL195" s="357"/>
      <c r="BM195" s="357"/>
      <c r="BN195" s="357"/>
      <c r="BO195" s="357"/>
      <c r="BP195" s="357"/>
      <c r="BQ195" s="357"/>
      <c r="BR195" s="357"/>
      <c r="BS195" s="357"/>
      <c r="BT195" s="357"/>
      <c r="BU195" s="357"/>
      <c r="BV195" s="357"/>
      <c r="BW195" s="357"/>
      <c r="BX195" s="357"/>
      <c r="BY195" s="357"/>
      <c r="BZ195" s="357"/>
      <c r="CA195" s="357"/>
      <c r="CB195" s="357"/>
      <c r="CC195" s="357"/>
      <c r="CD195" s="357"/>
      <c r="CE195" s="357"/>
      <c r="CF195" s="357"/>
      <c r="CG195" s="357"/>
      <c r="CH195" s="357"/>
      <c r="CI195" s="357"/>
      <c r="CJ195" s="357"/>
      <c r="CK195" s="357"/>
      <c r="CL195" s="357"/>
      <c r="CM195" s="357"/>
      <c r="CN195" s="357"/>
      <c r="CO195" s="357"/>
      <c r="CP195" s="357"/>
      <c r="CQ195" s="357"/>
      <c r="CR195" s="357"/>
      <c r="CS195" s="357"/>
      <c r="CT195" s="357"/>
      <c r="CU195" s="357"/>
      <c r="CV195" s="357"/>
      <c r="CW195" s="357"/>
      <c r="CX195" s="357"/>
      <c r="CY195" s="357"/>
      <c r="CZ195" s="357"/>
      <c r="DA195" s="357"/>
      <c r="DB195" s="357"/>
      <c r="DC195" s="357"/>
      <c r="DD195" s="357"/>
      <c r="DE195" s="357"/>
      <c r="DF195" s="357"/>
      <c r="DG195" s="357"/>
      <c r="DH195" s="357"/>
      <c r="DI195" s="357"/>
      <c r="DJ195" s="357"/>
      <c r="DK195" s="357"/>
      <c r="DL195" s="357"/>
      <c r="DM195" s="357"/>
      <c r="DN195" s="357"/>
      <c r="DO195" s="357"/>
      <c r="DP195" s="357"/>
      <c r="DQ195" s="357"/>
      <c r="DR195" s="357"/>
      <c r="DS195" s="357"/>
      <c r="DT195" s="357"/>
      <c r="DU195" s="357"/>
      <c r="DV195" s="357"/>
      <c r="DW195" s="357"/>
      <c r="DX195" s="357"/>
      <c r="DY195" s="357"/>
      <c r="DZ195" s="357"/>
      <c r="EA195" s="357"/>
      <c r="EB195" s="357"/>
      <c r="EC195" s="357"/>
      <c r="ED195" s="357"/>
      <c r="EE195" s="357"/>
      <c r="EF195" s="357"/>
      <c r="EG195" s="357"/>
      <c r="EH195" s="357"/>
      <c r="EI195" s="357"/>
      <c r="EJ195" s="357"/>
      <c r="EK195" s="357"/>
      <c r="EL195" s="357"/>
      <c r="EM195" s="357"/>
      <c r="EN195" s="357"/>
      <c r="EO195" s="357"/>
      <c r="EP195" s="357"/>
      <c r="EQ195" s="357"/>
      <c r="ER195" s="357"/>
      <c r="ES195" s="357"/>
      <c r="ET195" s="357"/>
      <c r="EU195" s="357"/>
      <c r="EV195" s="357"/>
      <c r="EW195" s="357"/>
      <c r="EX195" s="357"/>
      <c r="EY195" s="357"/>
      <c r="EZ195" s="357"/>
      <c r="FA195" s="357"/>
      <c r="FB195" s="357"/>
      <c r="FC195" s="357"/>
      <c r="FD195" s="357"/>
      <c r="FE195" s="357"/>
      <c r="FF195" s="357"/>
      <c r="FG195" s="357"/>
      <c r="FH195" s="357"/>
      <c r="FI195" s="357"/>
      <c r="FJ195" s="357"/>
      <c r="FK195" s="357"/>
      <c r="FL195" s="357"/>
      <c r="FM195" s="357"/>
      <c r="FN195" s="357"/>
      <c r="FO195" s="357"/>
      <c r="FP195" s="357"/>
      <c r="FQ195" s="357"/>
      <c r="FR195" s="357"/>
      <c r="FS195" s="357"/>
      <c r="FT195" s="357"/>
      <c r="FU195" s="357"/>
      <c r="FV195" s="357"/>
      <c r="FW195" s="357"/>
      <c r="FX195" s="357"/>
      <c r="FY195" s="357"/>
      <c r="FZ195" s="357"/>
      <c r="GA195" s="357"/>
      <c r="GB195" s="357"/>
      <c r="GC195" s="357"/>
      <c r="GD195" s="357"/>
      <c r="GE195" s="357"/>
      <c r="GF195" s="357"/>
      <c r="GG195" s="357"/>
      <c r="GH195" s="357"/>
      <c r="GI195" s="357"/>
      <c r="GJ195" s="357"/>
      <c r="GK195" s="357"/>
      <c r="GL195" s="357"/>
      <c r="GM195" s="357"/>
      <c r="GN195" s="357"/>
      <c r="GO195" s="357"/>
      <c r="GP195" s="357"/>
      <c r="GQ195" s="357"/>
      <c r="GR195" s="357"/>
      <c r="GS195" s="357"/>
      <c r="GT195" s="357"/>
      <c r="GU195" s="357"/>
      <c r="GV195" s="357"/>
      <c r="GW195" s="357"/>
      <c r="GX195" s="357"/>
      <c r="GY195" s="357"/>
      <c r="GZ195" s="357"/>
      <c r="HA195" s="357"/>
      <c r="HB195" s="357"/>
      <c r="HC195" s="357"/>
      <c r="HD195" s="357"/>
      <c r="HE195" s="357"/>
      <c r="HF195" s="357"/>
      <c r="HG195" s="357"/>
      <c r="HH195" s="357"/>
      <c r="HI195" s="357"/>
      <c r="HJ195" s="357"/>
      <c r="HK195" s="357"/>
      <c r="HL195" s="357"/>
      <c r="HM195" s="357"/>
      <c r="HN195" s="357"/>
      <c r="HO195" s="357"/>
      <c r="HP195" s="357"/>
      <c r="HQ195" s="357"/>
      <c r="HR195" s="357"/>
      <c r="HS195" s="357"/>
      <c r="HT195" s="357"/>
      <c r="HU195" s="357"/>
      <c r="HV195" s="357"/>
      <c r="HW195" s="357"/>
      <c r="HX195" s="357"/>
      <c r="HY195" s="357"/>
      <c r="HZ195" s="357"/>
      <c r="IA195" s="357"/>
      <c r="IB195" s="357"/>
      <c r="IC195" s="357"/>
      <c r="ID195" s="357"/>
      <c r="IE195" s="357"/>
      <c r="IF195" s="357"/>
      <c r="IG195" s="357"/>
      <c r="IH195" s="357"/>
      <c r="II195" s="357"/>
      <c r="IJ195" s="357"/>
      <c r="IK195" s="357"/>
      <c r="IL195" s="357"/>
      <c r="IM195" s="357"/>
      <c r="IN195" s="357"/>
      <c r="IO195" s="357"/>
      <c r="IP195" s="357"/>
      <c r="IQ195" s="357"/>
      <c r="IR195" s="357"/>
      <c r="IS195" s="357"/>
      <c r="IT195" s="357"/>
      <c r="IU195" s="357"/>
      <c r="IV195" s="357"/>
      <c r="IW195" s="357"/>
      <c r="IX195" s="357"/>
      <c r="IY195" s="357"/>
      <c r="IZ195" s="357"/>
      <c r="JA195" s="357"/>
      <c r="JB195" s="357"/>
      <c r="JC195" s="357"/>
      <c r="JD195" s="357"/>
      <c r="JE195" s="357"/>
      <c r="JF195" s="357"/>
      <c r="JG195" s="357"/>
      <c r="JH195" s="357"/>
      <c r="JI195" s="357"/>
      <c r="JJ195" s="357"/>
      <c r="JK195" s="357"/>
      <c r="JL195" s="357"/>
      <c r="JM195" s="357"/>
      <c r="JN195" s="357"/>
      <c r="JO195" s="357"/>
      <c r="JP195" s="357"/>
      <c r="JQ195" s="357"/>
      <c r="JR195" s="357"/>
      <c r="JS195" s="357"/>
      <c r="JT195" s="357"/>
      <c r="JU195" s="357"/>
      <c r="JV195" s="357"/>
      <c r="JW195" s="357"/>
      <c r="JX195" s="357"/>
      <c r="JY195" s="357"/>
      <c r="JZ195" s="357"/>
      <c r="KA195" s="357"/>
      <c r="KB195" s="357"/>
      <c r="KC195" s="357"/>
      <c r="KD195" s="357"/>
      <c r="KE195" s="357"/>
      <c r="KF195" s="357"/>
      <c r="KG195" s="357"/>
      <c r="KH195" s="357"/>
      <c r="KI195" s="357"/>
      <c r="KJ195" s="357"/>
      <c r="KK195" s="357"/>
      <c r="KL195" s="357"/>
      <c r="KM195" s="357"/>
      <c r="KN195" s="357"/>
      <c r="KO195" s="357"/>
      <c r="KP195" s="357"/>
      <c r="KQ195" s="357"/>
      <c r="KR195" s="357"/>
      <c r="KS195" s="357"/>
      <c r="KT195" s="357"/>
      <c r="KU195" s="357"/>
      <c r="KV195" s="357"/>
      <c r="KW195" s="357"/>
      <c r="KX195" s="357"/>
      <c r="KY195" s="357"/>
      <c r="KZ195" s="357"/>
      <c r="LA195" s="357"/>
      <c r="LB195" s="357"/>
      <c r="LC195" s="357"/>
      <c r="LD195" s="357"/>
      <c r="LE195" s="357"/>
      <c r="LF195" s="357"/>
      <c r="LG195" s="357"/>
      <c r="LH195" s="357"/>
      <c r="LI195" s="357"/>
      <c r="LJ195" s="357"/>
      <c r="LK195" s="357"/>
      <c r="LL195" s="357"/>
      <c r="LM195" s="357"/>
      <c r="LN195" s="357"/>
      <c r="LO195" s="357"/>
      <c r="LP195" s="357"/>
      <c r="LQ195" s="357"/>
      <c r="LR195" s="357"/>
      <c r="LS195" s="357"/>
      <c r="LT195" s="357"/>
      <c r="LU195" s="357"/>
      <c r="LV195" s="357"/>
      <c r="LW195" s="357"/>
      <c r="LX195" s="357"/>
      <c r="LY195" s="357"/>
      <c r="LZ195" s="357"/>
      <c r="MA195" s="357"/>
      <c r="MB195" s="357"/>
    </row>
    <row r="196" spans="1:340" s="358" customFormat="1" ht="22.5" customHeight="1">
      <c r="A196" s="475"/>
      <c r="B196" s="1145"/>
      <c r="C196" s="465"/>
      <c r="D196" s="1144"/>
      <c r="E196" s="1134" t="s">
        <v>65</v>
      </c>
      <c r="F196" s="438">
        <f>+Y196</f>
        <v>110000</v>
      </c>
      <c r="G196" s="438">
        <v>110000</v>
      </c>
      <c r="H196" s="391"/>
      <c r="I196" s="1675"/>
      <c r="J196" s="2538" t="s">
        <v>8</v>
      </c>
      <c r="K196" s="2534"/>
      <c r="L196" s="2534"/>
      <c r="M196" s="2534"/>
      <c r="N196" s="2357"/>
      <c r="O196" s="2357"/>
      <c r="P196" s="2357"/>
      <c r="Q196" s="2539"/>
      <c r="R196" s="2533"/>
      <c r="S196" s="2539"/>
      <c r="T196" s="2539"/>
      <c r="U196" s="2357"/>
      <c r="V196" s="2539"/>
      <c r="W196" s="2539"/>
      <c r="X196" s="1140"/>
      <c r="Y196" s="1674">
        <f t="shared" si="42"/>
        <v>110000</v>
      </c>
      <c r="Z196" s="494">
        <f>+Z197+Z198+Z199+Z200</f>
        <v>110000000</v>
      </c>
      <c r="AB196" s="357"/>
      <c r="AD196" s="357"/>
      <c r="AE196" s="357"/>
      <c r="AF196" s="357"/>
      <c r="AG196" s="357"/>
      <c r="AH196" s="357"/>
      <c r="AI196" s="357"/>
      <c r="AJ196" s="357"/>
      <c r="AK196" s="357"/>
      <c r="AL196" s="357"/>
      <c r="AM196" s="357"/>
      <c r="AN196" s="357"/>
      <c r="AO196" s="357"/>
      <c r="AP196" s="357"/>
      <c r="AQ196" s="357"/>
      <c r="AR196" s="357"/>
      <c r="AS196" s="357"/>
      <c r="AT196" s="357"/>
      <c r="AU196" s="357"/>
      <c r="AV196" s="357"/>
      <c r="AW196" s="357"/>
      <c r="AX196" s="357"/>
      <c r="AY196" s="357"/>
      <c r="AZ196" s="357"/>
      <c r="BA196" s="357"/>
      <c r="BB196" s="357"/>
      <c r="BC196" s="357"/>
      <c r="BD196" s="357"/>
      <c r="BE196" s="357"/>
      <c r="BF196" s="357"/>
      <c r="BG196" s="357"/>
      <c r="BH196" s="357"/>
      <c r="BI196" s="357"/>
      <c r="BJ196" s="357"/>
      <c r="BK196" s="357"/>
      <c r="BL196" s="357"/>
      <c r="BM196" s="357"/>
      <c r="BN196" s="357"/>
      <c r="BO196" s="357"/>
      <c r="BP196" s="357"/>
      <c r="BQ196" s="357"/>
      <c r="BR196" s="357"/>
      <c r="BS196" s="357"/>
      <c r="BT196" s="357"/>
      <c r="BU196" s="357"/>
      <c r="BV196" s="357"/>
      <c r="BW196" s="357"/>
      <c r="BX196" s="357"/>
      <c r="BY196" s="357"/>
      <c r="BZ196" s="357"/>
      <c r="CA196" s="357"/>
      <c r="CB196" s="357"/>
      <c r="CC196" s="357"/>
      <c r="CD196" s="357"/>
      <c r="CE196" s="357"/>
      <c r="CF196" s="357"/>
      <c r="CG196" s="357"/>
      <c r="CH196" s="357"/>
      <c r="CI196" s="357"/>
      <c r="CJ196" s="357"/>
      <c r="CK196" s="357"/>
      <c r="CL196" s="357"/>
      <c r="CM196" s="357"/>
      <c r="CN196" s="357"/>
      <c r="CO196" s="357"/>
      <c r="CP196" s="357"/>
      <c r="CQ196" s="357"/>
      <c r="CR196" s="357"/>
      <c r="CS196" s="357"/>
      <c r="CT196" s="357"/>
      <c r="CU196" s="357"/>
      <c r="CV196" s="357"/>
      <c r="CW196" s="357"/>
      <c r="CX196" s="357"/>
      <c r="CY196" s="357"/>
      <c r="CZ196" s="357"/>
      <c r="DA196" s="357"/>
      <c r="DB196" s="357"/>
      <c r="DC196" s="357"/>
      <c r="DD196" s="357"/>
      <c r="DE196" s="357"/>
      <c r="DF196" s="357"/>
      <c r="DG196" s="357"/>
      <c r="DH196" s="357"/>
      <c r="DI196" s="357"/>
      <c r="DJ196" s="357"/>
      <c r="DK196" s="357"/>
      <c r="DL196" s="357"/>
      <c r="DM196" s="357"/>
      <c r="DN196" s="357"/>
      <c r="DO196" s="357"/>
      <c r="DP196" s="357"/>
      <c r="DQ196" s="357"/>
      <c r="DR196" s="357"/>
      <c r="DS196" s="357"/>
      <c r="DT196" s="357"/>
      <c r="DU196" s="357"/>
      <c r="DV196" s="357"/>
      <c r="DW196" s="357"/>
      <c r="DX196" s="357"/>
      <c r="DY196" s="357"/>
      <c r="DZ196" s="357"/>
      <c r="EA196" s="357"/>
      <c r="EB196" s="357"/>
      <c r="EC196" s="357"/>
      <c r="ED196" s="357"/>
      <c r="EE196" s="357"/>
      <c r="EF196" s="357"/>
      <c r="EG196" s="357"/>
      <c r="EH196" s="357"/>
      <c r="EI196" s="357"/>
      <c r="EJ196" s="357"/>
      <c r="EK196" s="357"/>
      <c r="EL196" s="357"/>
      <c r="EM196" s="357"/>
      <c r="EN196" s="357"/>
      <c r="EO196" s="357"/>
      <c r="EP196" s="357"/>
      <c r="EQ196" s="357"/>
      <c r="ER196" s="357"/>
      <c r="ES196" s="357"/>
      <c r="ET196" s="357"/>
      <c r="EU196" s="357"/>
      <c r="EV196" s="357"/>
      <c r="EW196" s="357"/>
      <c r="EX196" s="357"/>
      <c r="EY196" s="357"/>
      <c r="EZ196" s="357"/>
      <c r="FA196" s="357"/>
      <c r="FB196" s="357"/>
      <c r="FC196" s="357"/>
      <c r="FD196" s="357"/>
      <c r="FE196" s="357"/>
      <c r="FF196" s="357"/>
      <c r="FG196" s="357"/>
      <c r="FH196" s="357"/>
      <c r="FI196" s="357"/>
      <c r="FJ196" s="357"/>
      <c r="FK196" s="357"/>
      <c r="FL196" s="357"/>
      <c r="FM196" s="357"/>
      <c r="FN196" s="357"/>
      <c r="FO196" s="357"/>
      <c r="FP196" s="357"/>
      <c r="FQ196" s="357"/>
      <c r="FR196" s="357"/>
      <c r="FS196" s="357"/>
      <c r="FT196" s="357"/>
      <c r="FU196" s="357"/>
      <c r="FV196" s="357"/>
      <c r="FW196" s="357"/>
      <c r="FX196" s="357"/>
      <c r="FY196" s="357"/>
      <c r="FZ196" s="357"/>
      <c r="GA196" s="357"/>
      <c r="GB196" s="357"/>
      <c r="GC196" s="357"/>
      <c r="GD196" s="357"/>
      <c r="GE196" s="357"/>
      <c r="GF196" s="357"/>
      <c r="GG196" s="357"/>
      <c r="GH196" s="357"/>
      <c r="GI196" s="357"/>
      <c r="GJ196" s="357"/>
      <c r="GK196" s="357"/>
      <c r="GL196" s="357"/>
      <c r="GM196" s="357"/>
      <c r="GN196" s="357"/>
      <c r="GO196" s="357"/>
      <c r="GP196" s="357"/>
      <c r="GQ196" s="357"/>
      <c r="GR196" s="357"/>
      <c r="GS196" s="357"/>
      <c r="GT196" s="357"/>
      <c r="GU196" s="357"/>
      <c r="GV196" s="357"/>
      <c r="GW196" s="357"/>
      <c r="GX196" s="357"/>
      <c r="GY196" s="357"/>
      <c r="GZ196" s="357"/>
      <c r="HA196" s="357"/>
      <c r="HB196" s="357"/>
      <c r="HC196" s="357"/>
      <c r="HD196" s="357"/>
      <c r="HE196" s="357"/>
      <c r="HF196" s="357"/>
      <c r="HG196" s="357"/>
      <c r="HH196" s="357"/>
      <c r="HI196" s="357"/>
      <c r="HJ196" s="357"/>
      <c r="HK196" s="357"/>
      <c r="HL196" s="357"/>
      <c r="HM196" s="357"/>
      <c r="HN196" s="357"/>
      <c r="HO196" s="357"/>
      <c r="HP196" s="357"/>
      <c r="HQ196" s="357"/>
      <c r="HR196" s="357"/>
      <c r="HS196" s="357"/>
      <c r="HT196" s="357"/>
      <c r="HU196" s="357"/>
      <c r="HV196" s="357"/>
      <c r="HW196" s="357"/>
      <c r="HX196" s="357"/>
      <c r="HY196" s="357"/>
      <c r="HZ196" s="357"/>
      <c r="IA196" s="357"/>
      <c r="IB196" s="357"/>
      <c r="IC196" s="357"/>
      <c r="ID196" s="357"/>
      <c r="IE196" s="357"/>
      <c r="IF196" s="357"/>
      <c r="IG196" s="357"/>
      <c r="IH196" s="357"/>
      <c r="II196" s="357"/>
      <c r="IJ196" s="357"/>
      <c r="IK196" s="357"/>
      <c r="IL196" s="357"/>
      <c r="IM196" s="357"/>
      <c r="IN196" s="357"/>
      <c r="IO196" s="357"/>
      <c r="IP196" s="357"/>
      <c r="IQ196" s="357"/>
      <c r="IR196" s="357"/>
      <c r="IS196" s="357"/>
      <c r="IT196" s="357"/>
      <c r="IU196" s="357"/>
      <c r="IV196" s="357"/>
      <c r="IW196" s="357"/>
      <c r="IX196" s="357"/>
      <c r="IY196" s="357"/>
      <c r="IZ196" s="357"/>
      <c r="JA196" s="357"/>
      <c r="JB196" s="357"/>
      <c r="JC196" s="357"/>
      <c r="JD196" s="357"/>
      <c r="JE196" s="357"/>
      <c r="JF196" s="357"/>
      <c r="JG196" s="357"/>
      <c r="JH196" s="357"/>
      <c r="JI196" s="357"/>
      <c r="JJ196" s="357"/>
      <c r="JK196" s="357"/>
      <c r="JL196" s="357"/>
      <c r="JM196" s="357"/>
      <c r="JN196" s="357"/>
      <c r="JO196" s="357"/>
      <c r="JP196" s="357"/>
      <c r="JQ196" s="357"/>
      <c r="JR196" s="357"/>
      <c r="JS196" s="357"/>
      <c r="JT196" s="357"/>
      <c r="JU196" s="357"/>
      <c r="JV196" s="357"/>
      <c r="JW196" s="357"/>
      <c r="JX196" s="357"/>
      <c r="JY196" s="357"/>
      <c r="JZ196" s="357"/>
      <c r="KA196" s="357"/>
      <c r="KB196" s="357"/>
      <c r="KC196" s="357"/>
      <c r="KD196" s="357"/>
      <c r="KE196" s="357"/>
      <c r="KF196" s="357"/>
      <c r="KG196" s="357"/>
      <c r="KH196" s="357"/>
      <c r="KI196" s="357"/>
      <c r="KJ196" s="357"/>
      <c r="KK196" s="357"/>
      <c r="KL196" s="357"/>
      <c r="KM196" s="357"/>
      <c r="KN196" s="357"/>
      <c r="KO196" s="357"/>
      <c r="KP196" s="357"/>
      <c r="KQ196" s="357"/>
      <c r="KR196" s="357"/>
      <c r="KS196" s="357"/>
      <c r="KT196" s="357"/>
      <c r="KU196" s="357"/>
      <c r="KV196" s="357"/>
      <c r="KW196" s="357"/>
      <c r="KX196" s="357"/>
      <c r="KY196" s="357"/>
      <c r="KZ196" s="357"/>
      <c r="LA196" s="357"/>
      <c r="LB196" s="357"/>
      <c r="LC196" s="357"/>
      <c r="LD196" s="357"/>
      <c r="LE196" s="357"/>
      <c r="LF196" s="357"/>
      <c r="LG196" s="357"/>
      <c r="LH196" s="357"/>
      <c r="LI196" s="357"/>
      <c r="LJ196" s="357"/>
      <c r="LK196" s="357"/>
      <c r="LL196" s="357"/>
      <c r="LM196" s="357"/>
      <c r="LN196" s="357"/>
      <c r="LO196" s="357"/>
      <c r="LP196" s="357"/>
      <c r="LQ196" s="357"/>
      <c r="LR196" s="357"/>
      <c r="LS196" s="357"/>
      <c r="LT196" s="357"/>
      <c r="LU196" s="357"/>
      <c r="LV196" s="357"/>
      <c r="LW196" s="357"/>
      <c r="LX196" s="357"/>
      <c r="LY196" s="357"/>
      <c r="LZ196" s="357"/>
      <c r="MA196" s="357"/>
      <c r="MB196" s="357"/>
    </row>
    <row r="197" spans="1:340" s="358" customFormat="1" ht="22.5" customHeight="1">
      <c r="A197" s="475"/>
      <c r="B197" s="1145"/>
      <c r="C197" s="465"/>
      <c r="D197" s="1144"/>
      <c r="E197" s="1134"/>
      <c r="F197" s="438"/>
      <c r="G197" s="438"/>
      <c r="H197" s="406"/>
      <c r="I197" s="1675"/>
      <c r="J197" s="2538" t="s">
        <v>3203</v>
      </c>
      <c r="K197" s="2534"/>
      <c r="L197" s="2534"/>
      <c r="M197" s="2534"/>
      <c r="N197" s="2357"/>
      <c r="O197" s="2357"/>
      <c r="P197" s="2357"/>
      <c r="Q197" s="2539"/>
      <c r="R197" s="2533"/>
      <c r="S197" s="2539">
        <v>50000000</v>
      </c>
      <c r="T197" s="2539" t="s">
        <v>0</v>
      </c>
      <c r="U197" s="2357"/>
      <c r="V197" s="2539">
        <v>1</v>
      </c>
      <c r="W197" s="2539" t="s">
        <v>3204</v>
      </c>
      <c r="X197" s="1140" t="s">
        <v>1</v>
      </c>
      <c r="Y197" s="1674">
        <f t="shared" si="42"/>
        <v>50000</v>
      </c>
      <c r="Z197" s="407">
        <f>S197*V197</f>
        <v>50000000</v>
      </c>
      <c r="AB197" s="357"/>
      <c r="AD197" s="357"/>
      <c r="AE197" s="357"/>
      <c r="AF197" s="357"/>
      <c r="AG197" s="357"/>
      <c r="AH197" s="357"/>
      <c r="AI197" s="357"/>
      <c r="AJ197" s="357"/>
      <c r="AK197" s="357"/>
      <c r="AL197" s="357"/>
      <c r="AM197" s="357"/>
      <c r="AN197" s="357"/>
      <c r="AO197" s="357"/>
      <c r="AP197" s="357"/>
      <c r="AQ197" s="357"/>
      <c r="AR197" s="357"/>
      <c r="AS197" s="357"/>
      <c r="AT197" s="357"/>
      <c r="AU197" s="357"/>
      <c r="AV197" s="357"/>
      <c r="AW197" s="357"/>
      <c r="AX197" s="357"/>
      <c r="AY197" s="357"/>
      <c r="AZ197" s="357"/>
      <c r="BA197" s="357"/>
      <c r="BB197" s="357"/>
      <c r="BC197" s="357"/>
      <c r="BD197" s="357"/>
      <c r="BE197" s="357"/>
      <c r="BF197" s="357"/>
      <c r="BG197" s="357"/>
      <c r="BH197" s="357"/>
      <c r="BI197" s="357"/>
      <c r="BJ197" s="357"/>
      <c r="BK197" s="357"/>
      <c r="BL197" s="357"/>
      <c r="BM197" s="357"/>
      <c r="BN197" s="357"/>
      <c r="BO197" s="357"/>
      <c r="BP197" s="357"/>
      <c r="BQ197" s="357"/>
      <c r="BR197" s="357"/>
      <c r="BS197" s="357"/>
      <c r="BT197" s="357"/>
      <c r="BU197" s="357"/>
      <c r="BV197" s="357"/>
      <c r="BW197" s="357"/>
      <c r="BX197" s="357"/>
      <c r="BY197" s="357"/>
      <c r="BZ197" s="357"/>
      <c r="CA197" s="357"/>
      <c r="CB197" s="357"/>
      <c r="CC197" s="357"/>
      <c r="CD197" s="357"/>
      <c r="CE197" s="357"/>
      <c r="CF197" s="357"/>
      <c r="CG197" s="357"/>
      <c r="CH197" s="357"/>
      <c r="CI197" s="357"/>
      <c r="CJ197" s="357"/>
      <c r="CK197" s="357"/>
      <c r="CL197" s="357"/>
      <c r="CM197" s="357"/>
      <c r="CN197" s="357"/>
      <c r="CO197" s="357"/>
      <c r="CP197" s="357"/>
      <c r="CQ197" s="357"/>
      <c r="CR197" s="357"/>
      <c r="CS197" s="357"/>
      <c r="CT197" s="357"/>
      <c r="CU197" s="357"/>
      <c r="CV197" s="357"/>
      <c r="CW197" s="357"/>
      <c r="CX197" s="357"/>
      <c r="CY197" s="357"/>
      <c r="CZ197" s="357"/>
      <c r="DA197" s="357"/>
      <c r="DB197" s="357"/>
      <c r="DC197" s="357"/>
      <c r="DD197" s="357"/>
      <c r="DE197" s="357"/>
      <c r="DF197" s="357"/>
      <c r="DG197" s="357"/>
      <c r="DH197" s="357"/>
      <c r="DI197" s="357"/>
      <c r="DJ197" s="357"/>
      <c r="DK197" s="357"/>
      <c r="DL197" s="357"/>
      <c r="DM197" s="357"/>
      <c r="DN197" s="357"/>
      <c r="DO197" s="357"/>
      <c r="DP197" s="357"/>
      <c r="DQ197" s="357"/>
      <c r="DR197" s="357"/>
      <c r="DS197" s="357"/>
      <c r="DT197" s="357"/>
      <c r="DU197" s="357"/>
      <c r="DV197" s="357"/>
      <c r="DW197" s="357"/>
      <c r="DX197" s="357"/>
      <c r="DY197" s="357"/>
      <c r="DZ197" s="357"/>
      <c r="EA197" s="357"/>
      <c r="EB197" s="357"/>
      <c r="EC197" s="357"/>
      <c r="ED197" s="357"/>
      <c r="EE197" s="357"/>
      <c r="EF197" s="357"/>
      <c r="EG197" s="357"/>
      <c r="EH197" s="357"/>
      <c r="EI197" s="357"/>
      <c r="EJ197" s="357"/>
      <c r="EK197" s="357"/>
      <c r="EL197" s="357"/>
      <c r="EM197" s="357"/>
      <c r="EN197" s="357"/>
      <c r="EO197" s="357"/>
      <c r="EP197" s="357"/>
      <c r="EQ197" s="357"/>
      <c r="ER197" s="357"/>
      <c r="ES197" s="357"/>
      <c r="ET197" s="357"/>
      <c r="EU197" s="357"/>
      <c r="EV197" s="357"/>
      <c r="EW197" s="357"/>
      <c r="EX197" s="357"/>
      <c r="EY197" s="357"/>
      <c r="EZ197" s="357"/>
      <c r="FA197" s="357"/>
      <c r="FB197" s="357"/>
      <c r="FC197" s="357"/>
      <c r="FD197" s="357"/>
      <c r="FE197" s="357"/>
      <c r="FF197" s="357"/>
      <c r="FG197" s="357"/>
      <c r="FH197" s="357"/>
      <c r="FI197" s="357"/>
      <c r="FJ197" s="357"/>
      <c r="FK197" s="357"/>
      <c r="FL197" s="357"/>
      <c r="FM197" s="357"/>
      <c r="FN197" s="357"/>
      <c r="FO197" s="357"/>
      <c r="FP197" s="357"/>
      <c r="FQ197" s="357"/>
      <c r="FR197" s="357"/>
      <c r="FS197" s="357"/>
      <c r="FT197" s="357"/>
      <c r="FU197" s="357"/>
      <c r="FV197" s="357"/>
      <c r="FW197" s="357"/>
      <c r="FX197" s="357"/>
      <c r="FY197" s="357"/>
      <c r="FZ197" s="357"/>
      <c r="GA197" s="357"/>
      <c r="GB197" s="357"/>
      <c r="GC197" s="357"/>
      <c r="GD197" s="357"/>
      <c r="GE197" s="357"/>
      <c r="GF197" s="357"/>
      <c r="GG197" s="357"/>
      <c r="GH197" s="357"/>
      <c r="GI197" s="357"/>
      <c r="GJ197" s="357"/>
      <c r="GK197" s="357"/>
      <c r="GL197" s="357"/>
      <c r="GM197" s="357"/>
      <c r="GN197" s="357"/>
      <c r="GO197" s="357"/>
      <c r="GP197" s="357"/>
      <c r="GQ197" s="357"/>
      <c r="GR197" s="357"/>
      <c r="GS197" s="357"/>
      <c r="GT197" s="357"/>
      <c r="GU197" s="357"/>
      <c r="GV197" s="357"/>
      <c r="GW197" s="357"/>
      <c r="GX197" s="357"/>
      <c r="GY197" s="357"/>
      <c r="GZ197" s="357"/>
      <c r="HA197" s="357"/>
      <c r="HB197" s="357"/>
      <c r="HC197" s="357"/>
      <c r="HD197" s="357"/>
      <c r="HE197" s="357"/>
      <c r="HF197" s="357"/>
      <c r="HG197" s="357"/>
      <c r="HH197" s="357"/>
      <c r="HI197" s="357"/>
      <c r="HJ197" s="357"/>
      <c r="HK197" s="357"/>
      <c r="HL197" s="357"/>
      <c r="HM197" s="357"/>
      <c r="HN197" s="357"/>
      <c r="HO197" s="357"/>
      <c r="HP197" s="357"/>
      <c r="HQ197" s="357"/>
      <c r="HR197" s="357"/>
      <c r="HS197" s="357"/>
      <c r="HT197" s="357"/>
      <c r="HU197" s="357"/>
      <c r="HV197" s="357"/>
      <c r="HW197" s="357"/>
      <c r="HX197" s="357"/>
      <c r="HY197" s="357"/>
      <c r="HZ197" s="357"/>
      <c r="IA197" s="357"/>
      <c r="IB197" s="357"/>
      <c r="IC197" s="357"/>
      <c r="ID197" s="357"/>
      <c r="IE197" s="357"/>
      <c r="IF197" s="357"/>
      <c r="IG197" s="357"/>
      <c r="IH197" s="357"/>
      <c r="II197" s="357"/>
      <c r="IJ197" s="357"/>
      <c r="IK197" s="357"/>
      <c r="IL197" s="357"/>
      <c r="IM197" s="357"/>
      <c r="IN197" s="357"/>
      <c r="IO197" s="357"/>
      <c r="IP197" s="357"/>
      <c r="IQ197" s="357"/>
      <c r="IR197" s="357"/>
      <c r="IS197" s="357"/>
      <c r="IT197" s="357"/>
      <c r="IU197" s="357"/>
      <c r="IV197" s="357"/>
      <c r="IW197" s="357"/>
      <c r="IX197" s="357"/>
      <c r="IY197" s="357"/>
      <c r="IZ197" s="357"/>
      <c r="JA197" s="357"/>
      <c r="JB197" s="357"/>
      <c r="JC197" s="357"/>
      <c r="JD197" s="357"/>
      <c r="JE197" s="357"/>
      <c r="JF197" s="357"/>
      <c r="JG197" s="357"/>
      <c r="JH197" s="357"/>
      <c r="JI197" s="357"/>
      <c r="JJ197" s="357"/>
      <c r="JK197" s="357"/>
      <c r="JL197" s="357"/>
      <c r="JM197" s="357"/>
      <c r="JN197" s="357"/>
      <c r="JO197" s="357"/>
      <c r="JP197" s="357"/>
      <c r="JQ197" s="357"/>
      <c r="JR197" s="357"/>
      <c r="JS197" s="357"/>
      <c r="JT197" s="357"/>
      <c r="JU197" s="357"/>
      <c r="JV197" s="357"/>
      <c r="JW197" s="357"/>
      <c r="JX197" s="357"/>
      <c r="JY197" s="357"/>
      <c r="JZ197" s="357"/>
      <c r="KA197" s="357"/>
      <c r="KB197" s="357"/>
      <c r="KC197" s="357"/>
      <c r="KD197" s="357"/>
      <c r="KE197" s="357"/>
      <c r="KF197" s="357"/>
      <c r="KG197" s="357"/>
      <c r="KH197" s="357"/>
      <c r="KI197" s="357"/>
      <c r="KJ197" s="357"/>
      <c r="KK197" s="357"/>
      <c r="KL197" s="357"/>
      <c r="KM197" s="357"/>
      <c r="KN197" s="357"/>
      <c r="KO197" s="357"/>
      <c r="KP197" s="357"/>
      <c r="KQ197" s="357"/>
      <c r="KR197" s="357"/>
      <c r="KS197" s="357"/>
      <c r="KT197" s="357"/>
      <c r="KU197" s="357"/>
      <c r="KV197" s="357"/>
      <c r="KW197" s="357"/>
      <c r="KX197" s="357"/>
      <c r="KY197" s="357"/>
      <c r="KZ197" s="357"/>
      <c r="LA197" s="357"/>
      <c r="LB197" s="357"/>
      <c r="LC197" s="357"/>
      <c r="LD197" s="357"/>
      <c r="LE197" s="357"/>
      <c r="LF197" s="357"/>
      <c r="LG197" s="357"/>
      <c r="LH197" s="357"/>
      <c r="LI197" s="357"/>
      <c r="LJ197" s="357"/>
      <c r="LK197" s="357"/>
      <c r="LL197" s="357"/>
      <c r="LM197" s="357"/>
      <c r="LN197" s="357"/>
      <c r="LO197" s="357"/>
      <c r="LP197" s="357"/>
      <c r="LQ197" s="357"/>
      <c r="LR197" s="357"/>
      <c r="LS197" s="357"/>
      <c r="LT197" s="357"/>
      <c r="LU197" s="357"/>
      <c r="LV197" s="357"/>
      <c r="LW197" s="357"/>
      <c r="LX197" s="357"/>
      <c r="LY197" s="357"/>
      <c r="LZ197" s="357"/>
      <c r="MA197" s="357"/>
      <c r="MB197" s="357"/>
    </row>
    <row r="198" spans="1:340" s="358" customFormat="1" ht="22.5" customHeight="1">
      <c r="A198" s="475"/>
      <c r="B198" s="1145"/>
      <c r="C198" s="465"/>
      <c r="D198" s="1144"/>
      <c r="E198" s="1134"/>
      <c r="F198" s="438"/>
      <c r="G198" s="438"/>
      <c r="H198" s="406"/>
      <c r="I198" s="1675"/>
      <c r="J198" s="2538" t="s">
        <v>3205</v>
      </c>
      <c r="K198" s="2534"/>
      <c r="L198" s="2534"/>
      <c r="M198" s="2534"/>
      <c r="N198" s="2357"/>
      <c r="O198" s="2357"/>
      <c r="P198" s="2357"/>
      <c r="Q198" s="2539"/>
      <c r="R198" s="2533"/>
      <c r="S198" s="2539">
        <v>20000000</v>
      </c>
      <c r="T198" s="2539" t="s">
        <v>0</v>
      </c>
      <c r="U198" s="2357"/>
      <c r="V198" s="2539">
        <v>2</v>
      </c>
      <c r="W198" s="2539" t="s">
        <v>3</v>
      </c>
      <c r="X198" s="1140" t="s">
        <v>1</v>
      </c>
      <c r="Y198" s="1674">
        <f t="shared" si="42"/>
        <v>40000</v>
      </c>
      <c r="Z198" s="407">
        <f>S198*V198</f>
        <v>40000000</v>
      </c>
      <c r="AB198" s="357"/>
      <c r="AD198" s="357"/>
      <c r="AE198" s="357"/>
      <c r="AF198" s="357"/>
      <c r="AG198" s="357"/>
      <c r="AH198" s="357"/>
      <c r="AI198" s="357"/>
      <c r="AJ198" s="357"/>
      <c r="AK198" s="357"/>
      <c r="AL198" s="357"/>
      <c r="AM198" s="357"/>
      <c r="AN198" s="357"/>
      <c r="AO198" s="357"/>
      <c r="AP198" s="357"/>
      <c r="AQ198" s="357"/>
      <c r="AR198" s="357"/>
      <c r="AS198" s="357"/>
      <c r="AT198" s="357"/>
      <c r="AU198" s="357"/>
      <c r="AV198" s="357"/>
      <c r="AW198" s="357"/>
      <c r="AX198" s="357"/>
      <c r="AY198" s="357"/>
      <c r="AZ198" s="357"/>
      <c r="BA198" s="357"/>
      <c r="BB198" s="357"/>
      <c r="BC198" s="357"/>
      <c r="BD198" s="357"/>
      <c r="BE198" s="357"/>
      <c r="BF198" s="357"/>
      <c r="BG198" s="357"/>
      <c r="BH198" s="357"/>
      <c r="BI198" s="357"/>
      <c r="BJ198" s="357"/>
      <c r="BK198" s="357"/>
      <c r="BL198" s="357"/>
      <c r="BM198" s="357"/>
      <c r="BN198" s="357"/>
      <c r="BO198" s="357"/>
      <c r="BP198" s="357"/>
      <c r="BQ198" s="357"/>
      <c r="BR198" s="357"/>
      <c r="BS198" s="357"/>
      <c r="BT198" s="357"/>
      <c r="BU198" s="357"/>
      <c r="BV198" s="357"/>
      <c r="BW198" s="357"/>
      <c r="BX198" s="357"/>
      <c r="BY198" s="357"/>
      <c r="BZ198" s="357"/>
      <c r="CA198" s="357"/>
      <c r="CB198" s="357"/>
      <c r="CC198" s="357"/>
      <c r="CD198" s="357"/>
      <c r="CE198" s="357"/>
      <c r="CF198" s="357"/>
      <c r="CG198" s="357"/>
      <c r="CH198" s="357"/>
      <c r="CI198" s="357"/>
      <c r="CJ198" s="357"/>
      <c r="CK198" s="357"/>
      <c r="CL198" s="357"/>
      <c r="CM198" s="357"/>
      <c r="CN198" s="357"/>
      <c r="CO198" s="357"/>
      <c r="CP198" s="357"/>
      <c r="CQ198" s="357"/>
      <c r="CR198" s="357"/>
      <c r="CS198" s="357"/>
      <c r="CT198" s="357"/>
      <c r="CU198" s="357"/>
      <c r="CV198" s="357"/>
      <c r="CW198" s="357"/>
      <c r="CX198" s="357"/>
      <c r="CY198" s="357"/>
      <c r="CZ198" s="357"/>
      <c r="DA198" s="357"/>
      <c r="DB198" s="357"/>
      <c r="DC198" s="357"/>
      <c r="DD198" s="357"/>
      <c r="DE198" s="357"/>
      <c r="DF198" s="357"/>
      <c r="DG198" s="357"/>
      <c r="DH198" s="357"/>
      <c r="DI198" s="357"/>
      <c r="DJ198" s="357"/>
      <c r="DK198" s="357"/>
      <c r="DL198" s="357"/>
      <c r="DM198" s="357"/>
      <c r="DN198" s="357"/>
      <c r="DO198" s="357"/>
      <c r="DP198" s="357"/>
      <c r="DQ198" s="357"/>
      <c r="DR198" s="357"/>
      <c r="DS198" s="357"/>
      <c r="DT198" s="357"/>
      <c r="DU198" s="357"/>
      <c r="DV198" s="357"/>
      <c r="DW198" s="357"/>
      <c r="DX198" s="357"/>
      <c r="DY198" s="357"/>
      <c r="DZ198" s="357"/>
      <c r="EA198" s="357"/>
      <c r="EB198" s="357"/>
      <c r="EC198" s="357"/>
      <c r="ED198" s="357"/>
      <c r="EE198" s="357"/>
      <c r="EF198" s="357"/>
      <c r="EG198" s="357"/>
      <c r="EH198" s="357"/>
      <c r="EI198" s="357"/>
      <c r="EJ198" s="357"/>
      <c r="EK198" s="357"/>
      <c r="EL198" s="357"/>
      <c r="EM198" s="357"/>
      <c r="EN198" s="357"/>
      <c r="EO198" s="357"/>
      <c r="EP198" s="357"/>
      <c r="EQ198" s="357"/>
      <c r="ER198" s="357"/>
      <c r="ES198" s="357"/>
      <c r="ET198" s="357"/>
      <c r="EU198" s="357"/>
      <c r="EV198" s="357"/>
      <c r="EW198" s="357"/>
      <c r="EX198" s="357"/>
      <c r="EY198" s="357"/>
      <c r="EZ198" s="357"/>
      <c r="FA198" s="357"/>
      <c r="FB198" s="357"/>
      <c r="FC198" s="357"/>
      <c r="FD198" s="357"/>
      <c r="FE198" s="357"/>
      <c r="FF198" s="357"/>
      <c r="FG198" s="357"/>
      <c r="FH198" s="357"/>
      <c r="FI198" s="357"/>
      <c r="FJ198" s="357"/>
      <c r="FK198" s="357"/>
      <c r="FL198" s="357"/>
      <c r="FM198" s="357"/>
      <c r="FN198" s="357"/>
      <c r="FO198" s="357"/>
      <c r="FP198" s="357"/>
      <c r="FQ198" s="357"/>
      <c r="FR198" s="357"/>
      <c r="FS198" s="357"/>
      <c r="FT198" s="357"/>
      <c r="FU198" s="357"/>
      <c r="FV198" s="357"/>
      <c r="FW198" s="357"/>
      <c r="FX198" s="357"/>
      <c r="FY198" s="357"/>
      <c r="FZ198" s="357"/>
      <c r="GA198" s="357"/>
      <c r="GB198" s="357"/>
      <c r="GC198" s="357"/>
      <c r="GD198" s="357"/>
      <c r="GE198" s="357"/>
      <c r="GF198" s="357"/>
      <c r="GG198" s="357"/>
      <c r="GH198" s="357"/>
      <c r="GI198" s="357"/>
      <c r="GJ198" s="357"/>
      <c r="GK198" s="357"/>
      <c r="GL198" s="357"/>
      <c r="GM198" s="357"/>
      <c r="GN198" s="357"/>
      <c r="GO198" s="357"/>
      <c r="GP198" s="357"/>
      <c r="GQ198" s="357"/>
      <c r="GR198" s="357"/>
      <c r="GS198" s="357"/>
      <c r="GT198" s="357"/>
      <c r="GU198" s="357"/>
      <c r="GV198" s="357"/>
      <c r="GW198" s="357"/>
      <c r="GX198" s="357"/>
      <c r="GY198" s="357"/>
      <c r="GZ198" s="357"/>
      <c r="HA198" s="357"/>
      <c r="HB198" s="357"/>
      <c r="HC198" s="357"/>
      <c r="HD198" s="357"/>
      <c r="HE198" s="357"/>
      <c r="HF198" s="357"/>
      <c r="HG198" s="357"/>
      <c r="HH198" s="357"/>
      <c r="HI198" s="357"/>
      <c r="HJ198" s="357"/>
      <c r="HK198" s="357"/>
      <c r="HL198" s="357"/>
      <c r="HM198" s="357"/>
      <c r="HN198" s="357"/>
      <c r="HO198" s="357"/>
      <c r="HP198" s="357"/>
      <c r="HQ198" s="357"/>
      <c r="HR198" s="357"/>
      <c r="HS198" s="357"/>
      <c r="HT198" s="357"/>
      <c r="HU198" s="357"/>
      <c r="HV198" s="357"/>
      <c r="HW198" s="357"/>
      <c r="HX198" s="357"/>
      <c r="HY198" s="357"/>
      <c r="HZ198" s="357"/>
      <c r="IA198" s="357"/>
      <c r="IB198" s="357"/>
      <c r="IC198" s="357"/>
      <c r="ID198" s="357"/>
      <c r="IE198" s="357"/>
      <c r="IF198" s="357"/>
      <c r="IG198" s="357"/>
      <c r="IH198" s="357"/>
      <c r="II198" s="357"/>
      <c r="IJ198" s="357"/>
      <c r="IK198" s="357"/>
      <c r="IL198" s="357"/>
      <c r="IM198" s="357"/>
      <c r="IN198" s="357"/>
      <c r="IO198" s="357"/>
      <c r="IP198" s="357"/>
      <c r="IQ198" s="357"/>
      <c r="IR198" s="357"/>
      <c r="IS198" s="357"/>
      <c r="IT198" s="357"/>
      <c r="IU198" s="357"/>
      <c r="IV198" s="357"/>
      <c r="IW198" s="357"/>
      <c r="IX198" s="357"/>
      <c r="IY198" s="357"/>
      <c r="IZ198" s="357"/>
      <c r="JA198" s="357"/>
      <c r="JB198" s="357"/>
      <c r="JC198" s="357"/>
      <c r="JD198" s="357"/>
      <c r="JE198" s="357"/>
      <c r="JF198" s="357"/>
      <c r="JG198" s="357"/>
      <c r="JH198" s="357"/>
      <c r="JI198" s="357"/>
      <c r="JJ198" s="357"/>
      <c r="JK198" s="357"/>
      <c r="JL198" s="357"/>
      <c r="JM198" s="357"/>
      <c r="JN198" s="357"/>
      <c r="JO198" s="357"/>
      <c r="JP198" s="357"/>
      <c r="JQ198" s="357"/>
      <c r="JR198" s="357"/>
      <c r="JS198" s="357"/>
      <c r="JT198" s="357"/>
      <c r="JU198" s="357"/>
      <c r="JV198" s="357"/>
      <c r="JW198" s="357"/>
      <c r="JX198" s="357"/>
      <c r="JY198" s="357"/>
      <c r="JZ198" s="357"/>
      <c r="KA198" s="357"/>
      <c r="KB198" s="357"/>
      <c r="KC198" s="357"/>
      <c r="KD198" s="357"/>
      <c r="KE198" s="357"/>
      <c r="KF198" s="357"/>
      <c r="KG198" s="357"/>
      <c r="KH198" s="357"/>
      <c r="KI198" s="357"/>
      <c r="KJ198" s="357"/>
      <c r="KK198" s="357"/>
      <c r="KL198" s="357"/>
      <c r="KM198" s="357"/>
      <c r="KN198" s="357"/>
      <c r="KO198" s="357"/>
      <c r="KP198" s="357"/>
      <c r="KQ198" s="357"/>
      <c r="KR198" s="357"/>
      <c r="KS198" s="357"/>
      <c r="KT198" s="357"/>
      <c r="KU198" s="357"/>
      <c r="KV198" s="357"/>
      <c r="KW198" s="357"/>
      <c r="KX198" s="357"/>
      <c r="KY198" s="357"/>
      <c r="KZ198" s="357"/>
      <c r="LA198" s="357"/>
      <c r="LB198" s="357"/>
      <c r="LC198" s="357"/>
      <c r="LD198" s="357"/>
      <c r="LE198" s="357"/>
      <c r="LF198" s="357"/>
      <c r="LG198" s="357"/>
      <c r="LH198" s="357"/>
      <c r="LI198" s="357"/>
      <c r="LJ198" s="357"/>
      <c r="LK198" s="357"/>
      <c r="LL198" s="357"/>
      <c r="LM198" s="357"/>
      <c r="LN198" s="357"/>
      <c r="LO198" s="357"/>
      <c r="LP198" s="357"/>
      <c r="LQ198" s="357"/>
      <c r="LR198" s="357"/>
      <c r="LS198" s="357"/>
      <c r="LT198" s="357"/>
      <c r="LU198" s="357"/>
      <c r="LV198" s="357"/>
      <c r="LW198" s="357"/>
      <c r="LX198" s="357"/>
      <c r="LY198" s="357"/>
      <c r="LZ198" s="357"/>
      <c r="MA198" s="357"/>
      <c r="MB198" s="357"/>
    </row>
    <row r="199" spans="1:340" s="358" customFormat="1" ht="22.5" customHeight="1">
      <c r="A199" s="475"/>
      <c r="B199" s="1145"/>
      <c r="C199" s="465"/>
      <c r="D199" s="1144"/>
      <c r="E199" s="1134"/>
      <c r="F199" s="438"/>
      <c r="G199" s="438"/>
      <c r="H199" s="406"/>
      <c r="I199" s="1675"/>
      <c r="J199" s="2538" t="s">
        <v>3206</v>
      </c>
      <c r="K199" s="2534"/>
      <c r="L199" s="2534"/>
      <c r="M199" s="2534"/>
      <c r="N199" s="2357"/>
      <c r="O199" s="2357"/>
      <c r="P199" s="2357"/>
      <c r="Q199" s="2539"/>
      <c r="R199" s="2533"/>
      <c r="S199" s="2539">
        <v>2500000</v>
      </c>
      <c r="T199" s="2539" t="s">
        <v>0</v>
      </c>
      <c r="U199" s="2357"/>
      <c r="V199" s="2539">
        <v>2</v>
      </c>
      <c r="W199" s="2539" t="s">
        <v>3</v>
      </c>
      <c r="X199" s="1140" t="s">
        <v>1</v>
      </c>
      <c r="Y199" s="1674">
        <f t="shared" si="42"/>
        <v>5000</v>
      </c>
      <c r="Z199" s="407">
        <f>S199*V199</f>
        <v>5000000</v>
      </c>
      <c r="AB199" s="357"/>
      <c r="AD199" s="357"/>
      <c r="AE199" s="357"/>
      <c r="AF199" s="357"/>
      <c r="AG199" s="357"/>
      <c r="AH199" s="357"/>
      <c r="AI199" s="357"/>
      <c r="AJ199" s="357"/>
      <c r="AK199" s="357"/>
      <c r="AL199" s="357"/>
      <c r="AM199" s="357"/>
      <c r="AN199" s="357"/>
      <c r="AO199" s="357"/>
      <c r="AP199" s="357"/>
      <c r="AQ199" s="357"/>
      <c r="AR199" s="357"/>
      <c r="AS199" s="357"/>
      <c r="AT199" s="357"/>
      <c r="AU199" s="357"/>
      <c r="AV199" s="357"/>
      <c r="AW199" s="357"/>
      <c r="AX199" s="357"/>
      <c r="AY199" s="357"/>
      <c r="AZ199" s="357"/>
      <c r="BA199" s="357"/>
      <c r="BB199" s="357"/>
      <c r="BC199" s="357"/>
      <c r="BD199" s="357"/>
      <c r="BE199" s="357"/>
      <c r="BF199" s="357"/>
      <c r="BG199" s="357"/>
      <c r="BH199" s="357"/>
      <c r="BI199" s="357"/>
      <c r="BJ199" s="357"/>
      <c r="BK199" s="357"/>
      <c r="BL199" s="357"/>
      <c r="BM199" s="357"/>
      <c r="BN199" s="357"/>
      <c r="BO199" s="357"/>
      <c r="BP199" s="357"/>
      <c r="BQ199" s="357"/>
      <c r="BR199" s="357"/>
      <c r="BS199" s="357"/>
      <c r="BT199" s="357"/>
      <c r="BU199" s="357"/>
      <c r="BV199" s="357"/>
      <c r="BW199" s="357"/>
      <c r="BX199" s="357"/>
      <c r="BY199" s="357"/>
      <c r="BZ199" s="357"/>
      <c r="CA199" s="357"/>
      <c r="CB199" s="357"/>
      <c r="CC199" s="357"/>
      <c r="CD199" s="357"/>
      <c r="CE199" s="357"/>
      <c r="CF199" s="357"/>
      <c r="CG199" s="357"/>
      <c r="CH199" s="357"/>
      <c r="CI199" s="357"/>
      <c r="CJ199" s="357"/>
      <c r="CK199" s="357"/>
      <c r="CL199" s="357"/>
      <c r="CM199" s="357"/>
      <c r="CN199" s="357"/>
      <c r="CO199" s="357"/>
      <c r="CP199" s="357"/>
      <c r="CQ199" s="357"/>
      <c r="CR199" s="357"/>
      <c r="CS199" s="357"/>
      <c r="CT199" s="357"/>
      <c r="CU199" s="357"/>
      <c r="CV199" s="357"/>
      <c r="CW199" s="357"/>
      <c r="CX199" s="357"/>
      <c r="CY199" s="357"/>
      <c r="CZ199" s="357"/>
      <c r="DA199" s="357"/>
      <c r="DB199" s="357"/>
      <c r="DC199" s="357"/>
      <c r="DD199" s="357"/>
      <c r="DE199" s="357"/>
      <c r="DF199" s="357"/>
      <c r="DG199" s="357"/>
      <c r="DH199" s="357"/>
      <c r="DI199" s="357"/>
      <c r="DJ199" s="357"/>
      <c r="DK199" s="357"/>
      <c r="DL199" s="357"/>
      <c r="DM199" s="357"/>
      <c r="DN199" s="357"/>
      <c r="DO199" s="357"/>
      <c r="DP199" s="357"/>
      <c r="DQ199" s="357"/>
      <c r="DR199" s="357"/>
      <c r="DS199" s="357"/>
      <c r="DT199" s="357"/>
      <c r="DU199" s="357"/>
      <c r="DV199" s="357"/>
      <c r="DW199" s="357"/>
      <c r="DX199" s="357"/>
      <c r="DY199" s="357"/>
      <c r="DZ199" s="357"/>
      <c r="EA199" s="357"/>
      <c r="EB199" s="357"/>
      <c r="EC199" s="357"/>
      <c r="ED199" s="357"/>
      <c r="EE199" s="357"/>
      <c r="EF199" s="357"/>
      <c r="EG199" s="357"/>
      <c r="EH199" s="357"/>
      <c r="EI199" s="357"/>
      <c r="EJ199" s="357"/>
      <c r="EK199" s="357"/>
      <c r="EL199" s="357"/>
      <c r="EM199" s="357"/>
      <c r="EN199" s="357"/>
      <c r="EO199" s="357"/>
      <c r="EP199" s="357"/>
      <c r="EQ199" s="357"/>
      <c r="ER199" s="357"/>
      <c r="ES199" s="357"/>
      <c r="ET199" s="357"/>
      <c r="EU199" s="357"/>
      <c r="EV199" s="357"/>
      <c r="EW199" s="357"/>
      <c r="EX199" s="357"/>
      <c r="EY199" s="357"/>
      <c r="EZ199" s="357"/>
      <c r="FA199" s="357"/>
      <c r="FB199" s="357"/>
      <c r="FC199" s="357"/>
      <c r="FD199" s="357"/>
      <c r="FE199" s="357"/>
      <c r="FF199" s="357"/>
      <c r="FG199" s="357"/>
      <c r="FH199" s="357"/>
      <c r="FI199" s="357"/>
      <c r="FJ199" s="357"/>
      <c r="FK199" s="357"/>
      <c r="FL199" s="357"/>
      <c r="FM199" s="357"/>
      <c r="FN199" s="357"/>
      <c r="FO199" s="357"/>
      <c r="FP199" s="357"/>
      <c r="FQ199" s="357"/>
      <c r="FR199" s="357"/>
      <c r="FS199" s="357"/>
      <c r="FT199" s="357"/>
      <c r="FU199" s="357"/>
      <c r="FV199" s="357"/>
      <c r="FW199" s="357"/>
      <c r="FX199" s="357"/>
      <c r="FY199" s="357"/>
      <c r="FZ199" s="357"/>
      <c r="GA199" s="357"/>
      <c r="GB199" s="357"/>
      <c r="GC199" s="357"/>
      <c r="GD199" s="357"/>
      <c r="GE199" s="357"/>
      <c r="GF199" s="357"/>
      <c r="GG199" s="357"/>
      <c r="GH199" s="357"/>
      <c r="GI199" s="357"/>
      <c r="GJ199" s="357"/>
      <c r="GK199" s="357"/>
      <c r="GL199" s="357"/>
      <c r="GM199" s="357"/>
      <c r="GN199" s="357"/>
      <c r="GO199" s="357"/>
      <c r="GP199" s="357"/>
      <c r="GQ199" s="357"/>
      <c r="GR199" s="357"/>
      <c r="GS199" s="357"/>
      <c r="GT199" s="357"/>
      <c r="GU199" s="357"/>
      <c r="GV199" s="357"/>
      <c r="GW199" s="357"/>
      <c r="GX199" s="357"/>
      <c r="GY199" s="357"/>
      <c r="GZ199" s="357"/>
      <c r="HA199" s="357"/>
      <c r="HB199" s="357"/>
      <c r="HC199" s="357"/>
      <c r="HD199" s="357"/>
      <c r="HE199" s="357"/>
      <c r="HF199" s="357"/>
      <c r="HG199" s="357"/>
      <c r="HH199" s="357"/>
      <c r="HI199" s="357"/>
      <c r="HJ199" s="357"/>
      <c r="HK199" s="357"/>
      <c r="HL199" s="357"/>
      <c r="HM199" s="357"/>
      <c r="HN199" s="357"/>
      <c r="HO199" s="357"/>
      <c r="HP199" s="357"/>
      <c r="HQ199" s="357"/>
      <c r="HR199" s="357"/>
      <c r="HS199" s="357"/>
      <c r="HT199" s="357"/>
      <c r="HU199" s="357"/>
      <c r="HV199" s="357"/>
      <c r="HW199" s="357"/>
      <c r="HX199" s="357"/>
      <c r="HY199" s="357"/>
      <c r="HZ199" s="357"/>
      <c r="IA199" s="357"/>
      <c r="IB199" s="357"/>
      <c r="IC199" s="357"/>
      <c r="ID199" s="357"/>
      <c r="IE199" s="357"/>
      <c r="IF199" s="357"/>
      <c r="IG199" s="357"/>
      <c r="IH199" s="357"/>
      <c r="II199" s="357"/>
      <c r="IJ199" s="357"/>
      <c r="IK199" s="357"/>
      <c r="IL199" s="357"/>
      <c r="IM199" s="357"/>
      <c r="IN199" s="357"/>
      <c r="IO199" s="357"/>
      <c r="IP199" s="357"/>
      <c r="IQ199" s="357"/>
      <c r="IR199" s="357"/>
      <c r="IS199" s="357"/>
      <c r="IT199" s="357"/>
      <c r="IU199" s="357"/>
      <c r="IV199" s="357"/>
      <c r="IW199" s="357"/>
      <c r="IX199" s="357"/>
      <c r="IY199" s="357"/>
      <c r="IZ199" s="357"/>
      <c r="JA199" s="357"/>
      <c r="JB199" s="357"/>
      <c r="JC199" s="357"/>
      <c r="JD199" s="357"/>
      <c r="JE199" s="357"/>
      <c r="JF199" s="357"/>
      <c r="JG199" s="357"/>
      <c r="JH199" s="357"/>
      <c r="JI199" s="357"/>
      <c r="JJ199" s="357"/>
      <c r="JK199" s="357"/>
      <c r="JL199" s="357"/>
      <c r="JM199" s="357"/>
      <c r="JN199" s="357"/>
      <c r="JO199" s="357"/>
      <c r="JP199" s="357"/>
      <c r="JQ199" s="357"/>
      <c r="JR199" s="357"/>
      <c r="JS199" s="357"/>
      <c r="JT199" s="357"/>
      <c r="JU199" s="357"/>
      <c r="JV199" s="357"/>
      <c r="JW199" s="357"/>
      <c r="JX199" s="357"/>
      <c r="JY199" s="357"/>
      <c r="JZ199" s="357"/>
      <c r="KA199" s="357"/>
      <c r="KB199" s="357"/>
      <c r="KC199" s="357"/>
      <c r="KD199" s="357"/>
      <c r="KE199" s="357"/>
      <c r="KF199" s="357"/>
      <c r="KG199" s="357"/>
      <c r="KH199" s="357"/>
      <c r="KI199" s="357"/>
      <c r="KJ199" s="357"/>
      <c r="KK199" s="357"/>
      <c r="KL199" s="357"/>
      <c r="KM199" s="357"/>
      <c r="KN199" s="357"/>
      <c r="KO199" s="357"/>
      <c r="KP199" s="357"/>
      <c r="KQ199" s="357"/>
      <c r="KR199" s="357"/>
      <c r="KS199" s="357"/>
      <c r="KT199" s="357"/>
      <c r="KU199" s="357"/>
      <c r="KV199" s="357"/>
      <c r="KW199" s="357"/>
      <c r="KX199" s="357"/>
      <c r="KY199" s="357"/>
      <c r="KZ199" s="357"/>
      <c r="LA199" s="357"/>
      <c r="LB199" s="357"/>
      <c r="LC199" s="357"/>
      <c r="LD199" s="357"/>
      <c r="LE199" s="357"/>
      <c r="LF199" s="357"/>
      <c r="LG199" s="357"/>
      <c r="LH199" s="357"/>
      <c r="LI199" s="357"/>
      <c r="LJ199" s="357"/>
      <c r="LK199" s="357"/>
      <c r="LL199" s="357"/>
      <c r="LM199" s="357"/>
      <c r="LN199" s="357"/>
      <c r="LO199" s="357"/>
      <c r="LP199" s="357"/>
      <c r="LQ199" s="357"/>
      <c r="LR199" s="357"/>
      <c r="LS199" s="357"/>
      <c r="LT199" s="357"/>
      <c r="LU199" s="357"/>
      <c r="LV199" s="357"/>
      <c r="LW199" s="357"/>
      <c r="LX199" s="357"/>
      <c r="LY199" s="357"/>
      <c r="LZ199" s="357"/>
      <c r="MA199" s="357"/>
      <c r="MB199" s="357"/>
    </row>
    <row r="200" spans="1:340" s="358" customFormat="1" ht="22.5" customHeight="1">
      <c r="A200" s="475"/>
      <c r="B200" s="1145"/>
      <c r="C200" s="465"/>
      <c r="D200" s="1144"/>
      <c r="E200" s="1134"/>
      <c r="F200" s="438"/>
      <c r="G200" s="438"/>
      <c r="H200" s="406"/>
      <c r="I200" s="1127"/>
      <c r="J200" s="2538" t="s">
        <v>3207</v>
      </c>
      <c r="K200" s="2534"/>
      <c r="L200" s="2534"/>
      <c r="M200" s="2534"/>
      <c r="N200" s="2357"/>
      <c r="O200" s="2357"/>
      <c r="P200" s="2357"/>
      <c r="Q200" s="2539"/>
      <c r="R200" s="2533"/>
      <c r="S200" s="2539">
        <v>15000000</v>
      </c>
      <c r="T200" s="2539" t="s">
        <v>0</v>
      </c>
      <c r="U200" s="2357"/>
      <c r="V200" s="2539">
        <v>1</v>
      </c>
      <c r="W200" s="2539" t="s">
        <v>3204</v>
      </c>
      <c r="X200" s="1140" t="s">
        <v>1</v>
      </c>
      <c r="Y200" s="1674">
        <f t="shared" si="42"/>
        <v>15000</v>
      </c>
      <c r="Z200" s="407">
        <f>S200*V200</f>
        <v>15000000</v>
      </c>
      <c r="AB200" s="357"/>
      <c r="AD200" s="357"/>
      <c r="AE200" s="357"/>
      <c r="AF200" s="357"/>
      <c r="AG200" s="357"/>
      <c r="AH200" s="357"/>
      <c r="AI200" s="357"/>
      <c r="AJ200" s="357"/>
      <c r="AK200" s="357"/>
      <c r="AL200" s="357"/>
      <c r="AM200" s="357"/>
      <c r="AN200" s="357"/>
      <c r="AO200" s="357"/>
      <c r="AP200" s="357"/>
      <c r="AQ200" s="357"/>
      <c r="AR200" s="357"/>
      <c r="AS200" s="357"/>
      <c r="AT200" s="357"/>
      <c r="AU200" s="357"/>
      <c r="AV200" s="357"/>
      <c r="AW200" s="357"/>
      <c r="AX200" s="357"/>
      <c r="AY200" s="357"/>
      <c r="AZ200" s="357"/>
      <c r="BA200" s="357"/>
      <c r="BB200" s="357"/>
      <c r="BC200" s="357"/>
      <c r="BD200" s="357"/>
      <c r="BE200" s="357"/>
      <c r="BF200" s="357"/>
      <c r="BG200" s="357"/>
      <c r="BH200" s="357"/>
      <c r="BI200" s="357"/>
      <c r="BJ200" s="357"/>
      <c r="BK200" s="357"/>
      <c r="BL200" s="357"/>
      <c r="BM200" s="357"/>
      <c r="BN200" s="357"/>
      <c r="BO200" s="357"/>
      <c r="BP200" s="357"/>
      <c r="BQ200" s="357"/>
      <c r="BR200" s="357"/>
      <c r="BS200" s="357"/>
      <c r="BT200" s="357"/>
      <c r="BU200" s="357"/>
      <c r="BV200" s="357"/>
      <c r="BW200" s="357"/>
      <c r="BX200" s="357"/>
      <c r="BY200" s="357"/>
      <c r="BZ200" s="357"/>
      <c r="CA200" s="357"/>
      <c r="CB200" s="357"/>
      <c r="CC200" s="357"/>
      <c r="CD200" s="357"/>
      <c r="CE200" s="357"/>
      <c r="CF200" s="357"/>
      <c r="CG200" s="357"/>
      <c r="CH200" s="357"/>
      <c r="CI200" s="357"/>
      <c r="CJ200" s="357"/>
      <c r="CK200" s="357"/>
      <c r="CL200" s="357"/>
      <c r="CM200" s="357"/>
      <c r="CN200" s="357"/>
      <c r="CO200" s="357"/>
      <c r="CP200" s="357"/>
      <c r="CQ200" s="357"/>
      <c r="CR200" s="357"/>
      <c r="CS200" s="357"/>
      <c r="CT200" s="357"/>
      <c r="CU200" s="357"/>
      <c r="CV200" s="357"/>
      <c r="CW200" s="357"/>
      <c r="CX200" s="357"/>
      <c r="CY200" s="357"/>
      <c r="CZ200" s="357"/>
      <c r="DA200" s="357"/>
      <c r="DB200" s="357"/>
      <c r="DC200" s="357"/>
      <c r="DD200" s="357"/>
      <c r="DE200" s="357"/>
      <c r="DF200" s="357"/>
      <c r="DG200" s="357"/>
      <c r="DH200" s="357"/>
      <c r="DI200" s="357"/>
      <c r="DJ200" s="357"/>
      <c r="DK200" s="357"/>
      <c r="DL200" s="357"/>
      <c r="DM200" s="357"/>
      <c r="DN200" s="357"/>
      <c r="DO200" s="357"/>
      <c r="DP200" s="357"/>
      <c r="DQ200" s="357"/>
      <c r="DR200" s="357"/>
      <c r="DS200" s="357"/>
      <c r="DT200" s="357"/>
      <c r="DU200" s="357"/>
      <c r="DV200" s="357"/>
      <c r="DW200" s="357"/>
      <c r="DX200" s="357"/>
      <c r="DY200" s="357"/>
      <c r="DZ200" s="357"/>
      <c r="EA200" s="357"/>
      <c r="EB200" s="357"/>
      <c r="EC200" s="357"/>
      <c r="ED200" s="357"/>
      <c r="EE200" s="357"/>
      <c r="EF200" s="357"/>
      <c r="EG200" s="357"/>
      <c r="EH200" s="357"/>
      <c r="EI200" s="357"/>
      <c r="EJ200" s="357"/>
      <c r="EK200" s="357"/>
      <c r="EL200" s="357"/>
      <c r="EM200" s="357"/>
      <c r="EN200" s="357"/>
      <c r="EO200" s="357"/>
      <c r="EP200" s="357"/>
      <c r="EQ200" s="357"/>
      <c r="ER200" s="357"/>
      <c r="ES200" s="357"/>
      <c r="ET200" s="357"/>
      <c r="EU200" s="357"/>
      <c r="EV200" s="357"/>
      <c r="EW200" s="357"/>
      <c r="EX200" s="357"/>
      <c r="EY200" s="357"/>
      <c r="EZ200" s="357"/>
      <c r="FA200" s="357"/>
      <c r="FB200" s="357"/>
      <c r="FC200" s="357"/>
      <c r="FD200" s="357"/>
      <c r="FE200" s="357"/>
      <c r="FF200" s="357"/>
      <c r="FG200" s="357"/>
      <c r="FH200" s="357"/>
      <c r="FI200" s="357"/>
      <c r="FJ200" s="357"/>
      <c r="FK200" s="357"/>
      <c r="FL200" s="357"/>
      <c r="FM200" s="357"/>
      <c r="FN200" s="357"/>
      <c r="FO200" s="357"/>
      <c r="FP200" s="357"/>
      <c r="FQ200" s="357"/>
      <c r="FR200" s="357"/>
      <c r="FS200" s="357"/>
      <c r="FT200" s="357"/>
      <c r="FU200" s="357"/>
      <c r="FV200" s="357"/>
      <c r="FW200" s="357"/>
      <c r="FX200" s="357"/>
      <c r="FY200" s="357"/>
      <c r="FZ200" s="357"/>
      <c r="GA200" s="357"/>
      <c r="GB200" s="357"/>
      <c r="GC200" s="357"/>
      <c r="GD200" s="357"/>
      <c r="GE200" s="357"/>
      <c r="GF200" s="357"/>
      <c r="GG200" s="357"/>
      <c r="GH200" s="357"/>
      <c r="GI200" s="357"/>
      <c r="GJ200" s="357"/>
      <c r="GK200" s="357"/>
      <c r="GL200" s="357"/>
      <c r="GM200" s="357"/>
      <c r="GN200" s="357"/>
      <c r="GO200" s="357"/>
      <c r="GP200" s="357"/>
      <c r="GQ200" s="357"/>
      <c r="GR200" s="357"/>
      <c r="GS200" s="357"/>
      <c r="GT200" s="357"/>
      <c r="GU200" s="357"/>
      <c r="GV200" s="357"/>
      <c r="GW200" s="357"/>
      <c r="GX200" s="357"/>
      <c r="GY200" s="357"/>
      <c r="GZ200" s="357"/>
      <c r="HA200" s="357"/>
      <c r="HB200" s="357"/>
      <c r="HC200" s="357"/>
      <c r="HD200" s="357"/>
      <c r="HE200" s="357"/>
      <c r="HF200" s="357"/>
      <c r="HG200" s="357"/>
      <c r="HH200" s="357"/>
      <c r="HI200" s="357"/>
      <c r="HJ200" s="357"/>
      <c r="HK200" s="357"/>
      <c r="HL200" s="357"/>
      <c r="HM200" s="357"/>
      <c r="HN200" s="357"/>
      <c r="HO200" s="357"/>
      <c r="HP200" s="357"/>
      <c r="HQ200" s="357"/>
      <c r="HR200" s="357"/>
      <c r="HS200" s="357"/>
      <c r="HT200" s="357"/>
      <c r="HU200" s="357"/>
      <c r="HV200" s="357"/>
      <c r="HW200" s="357"/>
      <c r="HX200" s="357"/>
      <c r="HY200" s="357"/>
      <c r="HZ200" s="357"/>
      <c r="IA200" s="357"/>
      <c r="IB200" s="357"/>
      <c r="IC200" s="357"/>
      <c r="ID200" s="357"/>
      <c r="IE200" s="357"/>
      <c r="IF200" s="357"/>
      <c r="IG200" s="357"/>
      <c r="IH200" s="357"/>
      <c r="II200" s="357"/>
      <c r="IJ200" s="357"/>
      <c r="IK200" s="357"/>
      <c r="IL200" s="357"/>
      <c r="IM200" s="357"/>
      <c r="IN200" s="357"/>
      <c r="IO200" s="357"/>
      <c r="IP200" s="357"/>
      <c r="IQ200" s="357"/>
      <c r="IR200" s="357"/>
      <c r="IS200" s="357"/>
      <c r="IT200" s="357"/>
      <c r="IU200" s="357"/>
      <c r="IV200" s="357"/>
      <c r="IW200" s="357"/>
      <c r="IX200" s="357"/>
      <c r="IY200" s="357"/>
      <c r="IZ200" s="357"/>
      <c r="JA200" s="357"/>
      <c r="JB200" s="357"/>
      <c r="JC200" s="357"/>
      <c r="JD200" s="357"/>
      <c r="JE200" s="357"/>
      <c r="JF200" s="357"/>
      <c r="JG200" s="357"/>
      <c r="JH200" s="357"/>
      <c r="JI200" s="357"/>
      <c r="JJ200" s="357"/>
      <c r="JK200" s="357"/>
      <c r="JL200" s="357"/>
      <c r="JM200" s="357"/>
      <c r="JN200" s="357"/>
      <c r="JO200" s="357"/>
      <c r="JP200" s="357"/>
      <c r="JQ200" s="357"/>
      <c r="JR200" s="357"/>
      <c r="JS200" s="357"/>
      <c r="JT200" s="357"/>
      <c r="JU200" s="357"/>
      <c r="JV200" s="357"/>
      <c r="JW200" s="357"/>
      <c r="JX200" s="357"/>
      <c r="JY200" s="357"/>
      <c r="JZ200" s="357"/>
      <c r="KA200" s="357"/>
      <c r="KB200" s="357"/>
      <c r="KC200" s="357"/>
      <c r="KD200" s="357"/>
      <c r="KE200" s="357"/>
      <c r="KF200" s="357"/>
      <c r="KG200" s="357"/>
      <c r="KH200" s="357"/>
      <c r="KI200" s="357"/>
      <c r="KJ200" s="357"/>
      <c r="KK200" s="357"/>
      <c r="KL200" s="357"/>
      <c r="KM200" s="357"/>
      <c r="KN200" s="357"/>
      <c r="KO200" s="357"/>
      <c r="KP200" s="357"/>
      <c r="KQ200" s="357"/>
      <c r="KR200" s="357"/>
      <c r="KS200" s="357"/>
      <c r="KT200" s="357"/>
      <c r="KU200" s="357"/>
      <c r="KV200" s="357"/>
      <c r="KW200" s="357"/>
      <c r="KX200" s="357"/>
      <c r="KY200" s="357"/>
      <c r="KZ200" s="357"/>
      <c r="LA200" s="357"/>
      <c r="LB200" s="357"/>
      <c r="LC200" s="357"/>
      <c r="LD200" s="357"/>
      <c r="LE200" s="357"/>
      <c r="LF200" s="357"/>
      <c r="LG200" s="357"/>
      <c r="LH200" s="357"/>
      <c r="LI200" s="357"/>
      <c r="LJ200" s="357"/>
      <c r="LK200" s="357"/>
      <c r="LL200" s="357"/>
      <c r="LM200" s="357"/>
      <c r="LN200" s="357"/>
      <c r="LO200" s="357"/>
      <c r="LP200" s="357"/>
      <c r="LQ200" s="357"/>
      <c r="LR200" s="357"/>
      <c r="LS200" s="357"/>
      <c r="LT200" s="357"/>
      <c r="LU200" s="357"/>
      <c r="LV200" s="357"/>
      <c r="LW200" s="357"/>
      <c r="LX200" s="357"/>
      <c r="LY200" s="357"/>
      <c r="LZ200" s="357"/>
      <c r="MA200" s="357"/>
      <c r="MB200" s="357"/>
    </row>
    <row r="201" spans="1:340" s="358" customFormat="1" ht="22.5" customHeight="1">
      <c r="A201" s="475"/>
      <c r="B201" s="1145"/>
      <c r="C201" s="465"/>
      <c r="D201" s="1144"/>
      <c r="E201" s="1134" t="s">
        <v>56</v>
      </c>
      <c r="F201" s="438">
        <f t="shared" ref="F201:F202" si="47">+Y201</f>
        <v>10000</v>
      </c>
      <c r="G201" s="438">
        <v>10000</v>
      </c>
      <c r="H201" s="391"/>
      <c r="I201" s="1127"/>
      <c r="J201" s="2538" t="s">
        <v>3208</v>
      </c>
      <c r="K201" s="2534"/>
      <c r="L201" s="2534"/>
      <c r="M201" s="2534"/>
      <c r="N201" s="2357"/>
      <c r="O201" s="2357"/>
      <c r="P201" s="2357"/>
      <c r="Q201" s="2539"/>
      <c r="R201" s="2533"/>
      <c r="S201" s="2539">
        <v>5000000</v>
      </c>
      <c r="T201" s="2539" t="s">
        <v>0</v>
      </c>
      <c r="U201" s="2357"/>
      <c r="V201" s="2539">
        <v>2</v>
      </c>
      <c r="W201" s="2539" t="s">
        <v>3</v>
      </c>
      <c r="X201" s="1140" t="s">
        <v>1</v>
      </c>
      <c r="Y201" s="1674">
        <v>10000</v>
      </c>
      <c r="Z201" s="407">
        <v>10000000</v>
      </c>
      <c r="AB201" s="357"/>
      <c r="AD201" s="357"/>
      <c r="AE201" s="357"/>
      <c r="AF201" s="357"/>
      <c r="AG201" s="357"/>
      <c r="AH201" s="357"/>
      <c r="AI201" s="357"/>
      <c r="AJ201" s="357"/>
      <c r="AK201" s="357"/>
      <c r="AL201" s="357"/>
      <c r="AM201" s="357"/>
      <c r="AN201" s="357"/>
      <c r="AO201" s="357"/>
      <c r="AP201" s="357"/>
      <c r="AQ201" s="357"/>
      <c r="AR201" s="357"/>
      <c r="AS201" s="357"/>
      <c r="AT201" s="357"/>
      <c r="AU201" s="357"/>
      <c r="AV201" s="357"/>
      <c r="AW201" s="357"/>
      <c r="AX201" s="357"/>
      <c r="AY201" s="357"/>
      <c r="AZ201" s="357"/>
      <c r="BA201" s="357"/>
      <c r="BB201" s="357"/>
      <c r="BC201" s="357"/>
      <c r="BD201" s="357"/>
      <c r="BE201" s="357"/>
      <c r="BF201" s="357"/>
      <c r="BG201" s="357"/>
      <c r="BH201" s="357"/>
      <c r="BI201" s="357"/>
      <c r="BJ201" s="357"/>
      <c r="BK201" s="357"/>
      <c r="BL201" s="357"/>
      <c r="BM201" s="357"/>
      <c r="BN201" s="357"/>
      <c r="BO201" s="357"/>
      <c r="BP201" s="357"/>
      <c r="BQ201" s="357"/>
      <c r="BR201" s="357"/>
      <c r="BS201" s="357"/>
      <c r="BT201" s="357"/>
      <c r="BU201" s="357"/>
      <c r="BV201" s="357"/>
      <c r="BW201" s="357"/>
      <c r="BX201" s="357"/>
      <c r="BY201" s="357"/>
      <c r="BZ201" s="357"/>
      <c r="CA201" s="357"/>
      <c r="CB201" s="357"/>
      <c r="CC201" s="357"/>
      <c r="CD201" s="357"/>
      <c r="CE201" s="357"/>
      <c r="CF201" s="357"/>
      <c r="CG201" s="357"/>
      <c r="CH201" s="357"/>
      <c r="CI201" s="357"/>
      <c r="CJ201" s="357"/>
      <c r="CK201" s="357"/>
      <c r="CL201" s="357"/>
      <c r="CM201" s="357"/>
      <c r="CN201" s="357"/>
      <c r="CO201" s="357"/>
      <c r="CP201" s="357"/>
      <c r="CQ201" s="357"/>
      <c r="CR201" s="357"/>
      <c r="CS201" s="357"/>
      <c r="CT201" s="357"/>
      <c r="CU201" s="357"/>
      <c r="CV201" s="357"/>
      <c r="CW201" s="357"/>
      <c r="CX201" s="357"/>
      <c r="CY201" s="357"/>
      <c r="CZ201" s="357"/>
      <c r="DA201" s="357"/>
      <c r="DB201" s="357"/>
      <c r="DC201" s="357"/>
      <c r="DD201" s="357"/>
      <c r="DE201" s="357"/>
      <c r="DF201" s="357"/>
      <c r="DG201" s="357"/>
      <c r="DH201" s="357"/>
      <c r="DI201" s="357"/>
      <c r="DJ201" s="357"/>
      <c r="DK201" s="357"/>
      <c r="DL201" s="357"/>
      <c r="DM201" s="357"/>
      <c r="DN201" s="357"/>
      <c r="DO201" s="357"/>
      <c r="DP201" s="357"/>
      <c r="DQ201" s="357"/>
      <c r="DR201" s="357"/>
      <c r="DS201" s="357"/>
      <c r="DT201" s="357"/>
      <c r="DU201" s="357"/>
      <c r="DV201" s="357"/>
      <c r="DW201" s="357"/>
      <c r="DX201" s="357"/>
      <c r="DY201" s="357"/>
      <c r="DZ201" s="357"/>
      <c r="EA201" s="357"/>
      <c r="EB201" s="357"/>
      <c r="EC201" s="357"/>
      <c r="ED201" s="357"/>
      <c r="EE201" s="357"/>
      <c r="EF201" s="357"/>
      <c r="EG201" s="357"/>
      <c r="EH201" s="357"/>
      <c r="EI201" s="357"/>
      <c r="EJ201" s="357"/>
      <c r="EK201" s="357"/>
      <c r="EL201" s="357"/>
      <c r="EM201" s="357"/>
      <c r="EN201" s="357"/>
      <c r="EO201" s="357"/>
      <c r="EP201" s="357"/>
      <c r="EQ201" s="357"/>
      <c r="ER201" s="357"/>
      <c r="ES201" s="357"/>
      <c r="ET201" s="357"/>
      <c r="EU201" s="357"/>
      <c r="EV201" s="357"/>
      <c r="EW201" s="357"/>
      <c r="EX201" s="357"/>
      <c r="EY201" s="357"/>
      <c r="EZ201" s="357"/>
      <c r="FA201" s="357"/>
      <c r="FB201" s="357"/>
      <c r="FC201" s="357"/>
      <c r="FD201" s="357"/>
      <c r="FE201" s="357"/>
      <c r="FF201" s="357"/>
      <c r="FG201" s="357"/>
      <c r="FH201" s="357"/>
      <c r="FI201" s="357"/>
      <c r="FJ201" s="357"/>
      <c r="FK201" s="357"/>
      <c r="FL201" s="357"/>
      <c r="FM201" s="357"/>
      <c r="FN201" s="357"/>
      <c r="FO201" s="357"/>
      <c r="FP201" s="357"/>
      <c r="FQ201" s="357"/>
      <c r="FR201" s="357"/>
      <c r="FS201" s="357"/>
      <c r="FT201" s="357"/>
      <c r="FU201" s="357"/>
      <c r="FV201" s="357"/>
      <c r="FW201" s="357"/>
      <c r="FX201" s="357"/>
      <c r="FY201" s="357"/>
      <c r="FZ201" s="357"/>
      <c r="GA201" s="357"/>
      <c r="GB201" s="357"/>
      <c r="GC201" s="357"/>
      <c r="GD201" s="357"/>
      <c r="GE201" s="357"/>
      <c r="GF201" s="357"/>
      <c r="GG201" s="357"/>
      <c r="GH201" s="357"/>
      <c r="GI201" s="357"/>
      <c r="GJ201" s="357"/>
      <c r="GK201" s="357"/>
      <c r="GL201" s="357"/>
      <c r="GM201" s="357"/>
      <c r="GN201" s="357"/>
      <c r="GO201" s="357"/>
      <c r="GP201" s="357"/>
      <c r="GQ201" s="357"/>
      <c r="GR201" s="357"/>
      <c r="GS201" s="357"/>
      <c r="GT201" s="357"/>
      <c r="GU201" s="357"/>
      <c r="GV201" s="357"/>
      <c r="GW201" s="357"/>
      <c r="GX201" s="357"/>
      <c r="GY201" s="357"/>
      <c r="GZ201" s="357"/>
      <c r="HA201" s="357"/>
      <c r="HB201" s="357"/>
      <c r="HC201" s="357"/>
      <c r="HD201" s="357"/>
      <c r="HE201" s="357"/>
      <c r="HF201" s="357"/>
      <c r="HG201" s="357"/>
      <c r="HH201" s="357"/>
      <c r="HI201" s="357"/>
      <c r="HJ201" s="357"/>
      <c r="HK201" s="357"/>
      <c r="HL201" s="357"/>
      <c r="HM201" s="357"/>
      <c r="HN201" s="357"/>
      <c r="HO201" s="357"/>
      <c r="HP201" s="357"/>
      <c r="HQ201" s="357"/>
      <c r="HR201" s="357"/>
      <c r="HS201" s="357"/>
      <c r="HT201" s="357"/>
      <c r="HU201" s="357"/>
      <c r="HV201" s="357"/>
      <c r="HW201" s="357"/>
      <c r="HX201" s="357"/>
      <c r="HY201" s="357"/>
      <c r="HZ201" s="357"/>
      <c r="IA201" s="357"/>
      <c r="IB201" s="357"/>
      <c r="IC201" s="357"/>
      <c r="ID201" s="357"/>
      <c r="IE201" s="357"/>
      <c r="IF201" s="357"/>
      <c r="IG201" s="357"/>
      <c r="IH201" s="357"/>
      <c r="II201" s="357"/>
      <c r="IJ201" s="357"/>
      <c r="IK201" s="357"/>
      <c r="IL201" s="357"/>
      <c r="IM201" s="357"/>
      <c r="IN201" s="357"/>
      <c r="IO201" s="357"/>
      <c r="IP201" s="357"/>
      <c r="IQ201" s="357"/>
      <c r="IR201" s="357"/>
      <c r="IS201" s="357"/>
      <c r="IT201" s="357"/>
      <c r="IU201" s="357"/>
      <c r="IV201" s="357"/>
      <c r="IW201" s="357"/>
      <c r="IX201" s="357"/>
      <c r="IY201" s="357"/>
      <c r="IZ201" s="357"/>
      <c r="JA201" s="357"/>
      <c r="JB201" s="357"/>
      <c r="JC201" s="357"/>
      <c r="JD201" s="357"/>
      <c r="JE201" s="357"/>
      <c r="JF201" s="357"/>
      <c r="JG201" s="357"/>
      <c r="JH201" s="357"/>
      <c r="JI201" s="357"/>
      <c r="JJ201" s="357"/>
      <c r="JK201" s="357"/>
      <c r="JL201" s="357"/>
      <c r="JM201" s="357"/>
      <c r="JN201" s="357"/>
      <c r="JO201" s="357"/>
      <c r="JP201" s="357"/>
      <c r="JQ201" s="357"/>
      <c r="JR201" s="357"/>
      <c r="JS201" s="357"/>
      <c r="JT201" s="357"/>
      <c r="JU201" s="357"/>
      <c r="JV201" s="357"/>
      <c r="JW201" s="357"/>
      <c r="JX201" s="357"/>
      <c r="JY201" s="357"/>
      <c r="JZ201" s="357"/>
      <c r="KA201" s="357"/>
      <c r="KB201" s="357"/>
      <c r="KC201" s="357"/>
      <c r="KD201" s="357"/>
      <c r="KE201" s="357"/>
      <c r="KF201" s="357"/>
      <c r="KG201" s="357"/>
      <c r="KH201" s="357"/>
      <c r="KI201" s="357"/>
      <c r="KJ201" s="357"/>
      <c r="KK201" s="357"/>
      <c r="KL201" s="357"/>
      <c r="KM201" s="357"/>
      <c r="KN201" s="357"/>
      <c r="KO201" s="357"/>
      <c r="KP201" s="357"/>
      <c r="KQ201" s="357"/>
      <c r="KR201" s="357"/>
      <c r="KS201" s="357"/>
      <c r="KT201" s="357"/>
      <c r="KU201" s="357"/>
      <c r="KV201" s="357"/>
      <c r="KW201" s="357"/>
      <c r="KX201" s="357"/>
      <c r="KY201" s="357"/>
      <c r="KZ201" s="357"/>
      <c r="LA201" s="357"/>
      <c r="LB201" s="357"/>
      <c r="LC201" s="357"/>
      <c r="LD201" s="357"/>
      <c r="LE201" s="357"/>
      <c r="LF201" s="357"/>
      <c r="LG201" s="357"/>
      <c r="LH201" s="357"/>
      <c r="LI201" s="357"/>
      <c r="LJ201" s="357"/>
      <c r="LK201" s="357"/>
      <c r="LL201" s="357"/>
      <c r="LM201" s="357"/>
      <c r="LN201" s="357"/>
      <c r="LO201" s="357"/>
      <c r="LP201" s="357"/>
      <c r="LQ201" s="357"/>
      <c r="LR201" s="357"/>
      <c r="LS201" s="357"/>
      <c r="LT201" s="357"/>
      <c r="LU201" s="357"/>
      <c r="LV201" s="357"/>
      <c r="LW201" s="357"/>
      <c r="LX201" s="357"/>
      <c r="LY201" s="357"/>
      <c r="LZ201" s="357"/>
      <c r="MA201" s="357"/>
      <c r="MB201" s="357"/>
    </row>
    <row r="202" spans="1:340" s="358" customFormat="1" ht="22.5" customHeight="1">
      <c r="A202" s="2529"/>
      <c r="B202" s="471"/>
      <c r="C202" s="465"/>
      <c r="D202" s="2291"/>
      <c r="E202" s="855" t="s">
        <v>55</v>
      </c>
      <c r="F202" s="438">
        <f t="shared" si="47"/>
        <v>1000</v>
      </c>
      <c r="G202" s="931">
        <v>1000</v>
      </c>
      <c r="H202" s="425"/>
      <c r="I202" s="1127"/>
      <c r="J202" s="1627" t="s">
        <v>3209</v>
      </c>
      <c r="K202" s="2527"/>
      <c r="L202" s="2527"/>
      <c r="M202" s="2527"/>
      <c r="N202" s="2536"/>
      <c r="O202" s="2536"/>
      <c r="P202" s="2536"/>
      <c r="Q202" s="459">
        <v>2</v>
      </c>
      <c r="R202" s="457" t="s">
        <v>3196</v>
      </c>
      <c r="S202" s="459">
        <v>250000</v>
      </c>
      <c r="T202" s="459" t="s">
        <v>0</v>
      </c>
      <c r="U202" s="2536"/>
      <c r="V202" s="459">
        <v>2</v>
      </c>
      <c r="W202" s="459" t="s">
        <v>3</v>
      </c>
      <c r="X202" s="460" t="s">
        <v>1</v>
      </c>
      <c r="Y202" s="345">
        <f t="shared" si="42"/>
        <v>1000</v>
      </c>
      <c r="Z202" s="400">
        <f>Q202*S202*V202</f>
        <v>1000000</v>
      </c>
      <c r="AB202" s="357"/>
      <c r="AD202" s="357"/>
      <c r="AE202" s="357"/>
      <c r="AF202" s="357"/>
      <c r="AG202" s="357"/>
      <c r="AH202" s="357"/>
      <c r="AI202" s="357"/>
      <c r="AJ202" s="357"/>
      <c r="AK202" s="357"/>
      <c r="AL202" s="357"/>
      <c r="AM202" s="357"/>
      <c r="AN202" s="357"/>
      <c r="AO202" s="357"/>
      <c r="AP202" s="357"/>
      <c r="AQ202" s="357"/>
      <c r="AR202" s="357"/>
      <c r="AS202" s="357"/>
      <c r="AT202" s="357"/>
      <c r="AU202" s="357"/>
      <c r="AV202" s="357"/>
      <c r="AW202" s="357"/>
      <c r="AX202" s="357"/>
      <c r="AY202" s="357"/>
      <c r="AZ202" s="357"/>
      <c r="BA202" s="357"/>
      <c r="BB202" s="357"/>
      <c r="BC202" s="357"/>
      <c r="BD202" s="357"/>
      <c r="BE202" s="357"/>
      <c r="BF202" s="357"/>
      <c r="BG202" s="357"/>
      <c r="BH202" s="357"/>
      <c r="BI202" s="357"/>
      <c r="BJ202" s="357"/>
      <c r="BK202" s="357"/>
      <c r="BL202" s="357"/>
      <c r="BM202" s="357"/>
      <c r="BN202" s="357"/>
      <c r="BO202" s="357"/>
      <c r="BP202" s="357"/>
      <c r="BQ202" s="357"/>
      <c r="BR202" s="357"/>
      <c r="BS202" s="357"/>
      <c r="BT202" s="357"/>
      <c r="BU202" s="357"/>
      <c r="BV202" s="357"/>
      <c r="BW202" s="357"/>
      <c r="BX202" s="357"/>
      <c r="BY202" s="357"/>
      <c r="BZ202" s="357"/>
      <c r="CA202" s="357"/>
      <c r="CB202" s="357"/>
      <c r="CC202" s="357"/>
      <c r="CD202" s="357"/>
      <c r="CE202" s="357"/>
      <c r="CF202" s="357"/>
      <c r="CG202" s="357"/>
      <c r="CH202" s="357"/>
      <c r="CI202" s="357"/>
      <c r="CJ202" s="357"/>
      <c r="CK202" s="357"/>
      <c r="CL202" s="357"/>
      <c r="CM202" s="357"/>
      <c r="CN202" s="357"/>
      <c r="CO202" s="357"/>
      <c r="CP202" s="357"/>
      <c r="CQ202" s="357"/>
      <c r="CR202" s="357"/>
      <c r="CS202" s="357"/>
      <c r="CT202" s="357"/>
      <c r="CU202" s="357"/>
      <c r="CV202" s="357"/>
      <c r="CW202" s="357"/>
      <c r="CX202" s="357"/>
      <c r="CY202" s="357"/>
      <c r="CZ202" s="357"/>
      <c r="DA202" s="357"/>
      <c r="DB202" s="357"/>
      <c r="DC202" s="357"/>
      <c r="DD202" s="357"/>
      <c r="DE202" s="357"/>
      <c r="DF202" s="357"/>
      <c r="DG202" s="357"/>
      <c r="DH202" s="357"/>
      <c r="DI202" s="357"/>
      <c r="DJ202" s="357"/>
      <c r="DK202" s="357"/>
      <c r="DL202" s="357"/>
      <c r="DM202" s="357"/>
      <c r="DN202" s="357"/>
      <c r="DO202" s="357"/>
      <c r="DP202" s="357"/>
      <c r="DQ202" s="357"/>
      <c r="DR202" s="357"/>
      <c r="DS202" s="357"/>
      <c r="DT202" s="357"/>
      <c r="DU202" s="357"/>
      <c r="DV202" s="357"/>
      <c r="DW202" s="357"/>
      <c r="DX202" s="357"/>
      <c r="DY202" s="357"/>
      <c r="DZ202" s="357"/>
      <c r="EA202" s="357"/>
      <c r="EB202" s="357"/>
      <c r="EC202" s="357"/>
      <c r="ED202" s="357"/>
      <c r="EE202" s="357"/>
      <c r="EF202" s="357"/>
      <c r="EG202" s="357"/>
      <c r="EH202" s="357"/>
      <c r="EI202" s="357"/>
      <c r="EJ202" s="357"/>
      <c r="EK202" s="357"/>
      <c r="EL202" s="357"/>
      <c r="EM202" s="357"/>
      <c r="EN202" s="357"/>
      <c r="EO202" s="357"/>
      <c r="EP202" s="357"/>
      <c r="EQ202" s="357"/>
      <c r="ER202" s="357"/>
      <c r="ES202" s="357"/>
      <c r="ET202" s="357"/>
      <c r="EU202" s="357"/>
      <c r="EV202" s="357"/>
      <c r="EW202" s="357"/>
      <c r="EX202" s="357"/>
      <c r="EY202" s="357"/>
      <c r="EZ202" s="357"/>
      <c r="FA202" s="357"/>
      <c r="FB202" s="357"/>
      <c r="FC202" s="357"/>
      <c r="FD202" s="357"/>
      <c r="FE202" s="357"/>
      <c r="FF202" s="357"/>
      <c r="FG202" s="357"/>
      <c r="FH202" s="357"/>
      <c r="FI202" s="357"/>
      <c r="FJ202" s="357"/>
      <c r="FK202" s="357"/>
      <c r="FL202" s="357"/>
      <c r="FM202" s="357"/>
      <c r="FN202" s="357"/>
      <c r="FO202" s="357"/>
      <c r="FP202" s="357"/>
      <c r="FQ202" s="357"/>
      <c r="FR202" s="357"/>
      <c r="FS202" s="357"/>
      <c r="FT202" s="357"/>
      <c r="FU202" s="357"/>
      <c r="FV202" s="357"/>
      <c r="FW202" s="357"/>
      <c r="FX202" s="357"/>
      <c r="FY202" s="357"/>
      <c r="FZ202" s="357"/>
      <c r="GA202" s="357"/>
      <c r="GB202" s="357"/>
      <c r="GC202" s="357"/>
      <c r="GD202" s="357"/>
      <c r="GE202" s="357"/>
      <c r="GF202" s="357"/>
      <c r="GG202" s="357"/>
      <c r="GH202" s="357"/>
      <c r="GI202" s="357"/>
      <c r="GJ202" s="357"/>
      <c r="GK202" s="357"/>
      <c r="GL202" s="357"/>
      <c r="GM202" s="357"/>
      <c r="GN202" s="357"/>
      <c r="GO202" s="357"/>
      <c r="GP202" s="357"/>
      <c r="GQ202" s="357"/>
      <c r="GR202" s="357"/>
      <c r="GS202" s="357"/>
      <c r="GT202" s="357"/>
      <c r="GU202" s="357"/>
      <c r="GV202" s="357"/>
      <c r="GW202" s="357"/>
      <c r="GX202" s="357"/>
      <c r="GY202" s="357"/>
      <c r="GZ202" s="357"/>
      <c r="HA202" s="357"/>
      <c r="HB202" s="357"/>
      <c r="HC202" s="357"/>
      <c r="HD202" s="357"/>
      <c r="HE202" s="357"/>
      <c r="HF202" s="357"/>
      <c r="HG202" s="357"/>
      <c r="HH202" s="357"/>
      <c r="HI202" s="357"/>
      <c r="HJ202" s="357"/>
      <c r="HK202" s="357"/>
      <c r="HL202" s="357"/>
      <c r="HM202" s="357"/>
      <c r="HN202" s="357"/>
      <c r="HO202" s="357"/>
      <c r="HP202" s="357"/>
      <c r="HQ202" s="357"/>
      <c r="HR202" s="357"/>
      <c r="HS202" s="357"/>
      <c r="HT202" s="357"/>
      <c r="HU202" s="357"/>
      <c r="HV202" s="357"/>
      <c r="HW202" s="357"/>
      <c r="HX202" s="357"/>
      <c r="HY202" s="357"/>
      <c r="HZ202" s="357"/>
      <c r="IA202" s="357"/>
      <c r="IB202" s="357"/>
      <c r="IC202" s="357"/>
      <c r="ID202" s="357"/>
      <c r="IE202" s="357"/>
      <c r="IF202" s="357"/>
      <c r="IG202" s="357"/>
      <c r="IH202" s="357"/>
      <c r="II202" s="357"/>
      <c r="IJ202" s="357"/>
      <c r="IK202" s="357"/>
      <c r="IL202" s="357"/>
      <c r="IM202" s="357"/>
      <c r="IN202" s="357"/>
      <c r="IO202" s="357"/>
      <c r="IP202" s="357"/>
      <c r="IQ202" s="357"/>
      <c r="IR202" s="357"/>
      <c r="IS202" s="357"/>
      <c r="IT202" s="357"/>
      <c r="IU202" s="357"/>
      <c r="IV202" s="357"/>
      <c r="IW202" s="357"/>
      <c r="IX202" s="357"/>
      <c r="IY202" s="357"/>
      <c r="IZ202" s="357"/>
      <c r="JA202" s="357"/>
      <c r="JB202" s="357"/>
      <c r="JC202" s="357"/>
      <c r="JD202" s="357"/>
      <c r="JE202" s="357"/>
      <c r="JF202" s="357"/>
      <c r="JG202" s="357"/>
      <c r="JH202" s="357"/>
      <c r="JI202" s="357"/>
      <c r="JJ202" s="357"/>
      <c r="JK202" s="357"/>
      <c r="JL202" s="357"/>
      <c r="JM202" s="357"/>
      <c r="JN202" s="357"/>
      <c r="JO202" s="357"/>
      <c r="JP202" s="357"/>
      <c r="JQ202" s="357"/>
      <c r="JR202" s="357"/>
      <c r="JS202" s="357"/>
      <c r="JT202" s="357"/>
      <c r="JU202" s="357"/>
      <c r="JV202" s="357"/>
      <c r="JW202" s="357"/>
      <c r="JX202" s="357"/>
      <c r="JY202" s="357"/>
      <c r="JZ202" s="357"/>
      <c r="KA202" s="357"/>
      <c r="KB202" s="357"/>
      <c r="KC202" s="357"/>
      <c r="KD202" s="357"/>
      <c r="KE202" s="357"/>
      <c r="KF202" s="357"/>
      <c r="KG202" s="357"/>
      <c r="KH202" s="357"/>
      <c r="KI202" s="357"/>
      <c r="KJ202" s="357"/>
      <c r="KK202" s="357"/>
      <c r="KL202" s="357"/>
      <c r="KM202" s="357"/>
      <c r="KN202" s="357"/>
      <c r="KO202" s="357"/>
      <c r="KP202" s="357"/>
      <c r="KQ202" s="357"/>
      <c r="KR202" s="357"/>
      <c r="KS202" s="357"/>
      <c r="KT202" s="357"/>
      <c r="KU202" s="357"/>
      <c r="KV202" s="357"/>
      <c r="KW202" s="357"/>
      <c r="KX202" s="357"/>
      <c r="KY202" s="357"/>
      <c r="KZ202" s="357"/>
      <c r="LA202" s="357"/>
      <c r="LB202" s="357"/>
      <c r="LC202" s="357"/>
      <c r="LD202" s="357"/>
      <c r="LE202" s="357"/>
      <c r="LF202" s="357"/>
      <c r="LG202" s="357"/>
      <c r="LH202" s="357"/>
      <c r="LI202" s="357"/>
      <c r="LJ202" s="357"/>
      <c r="LK202" s="357"/>
      <c r="LL202" s="357"/>
      <c r="LM202" s="357"/>
      <c r="LN202" s="357"/>
      <c r="LO202" s="357"/>
      <c r="LP202" s="357"/>
      <c r="LQ202" s="357"/>
      <c r="LR202" s="357"/>
      <c r="LS202" s="357"/>
      <c r="LT202" s="357"/>
      <c r="LU202" s="357"/>
      <c r="LV202" s="357"/>
      <c r="LW202" s="357"/>
      <c r="LX202" s="357"/>
      <c r="LY202" s="357"/>
      <c r="LZ202" s="357"/>
      <c r="MA202" s="357"/>
      <c r="MB202" s="357"/>
    </row>
    <row r="203" spans="1:340" s="358" customFormat="1" ht="22.5" customHeight="1">
      <c r="A203" s="2529"/>
      <c r="B203" s="471"/>
      <c r="C203" s="1126"/>
      <c r="D203" s="3275" t="s">
        <v>3329</v>
      </c>
      <c r="E203" s="3276"/>
      <c r="F203" s="499">
        <f>SUM(F204:F231)</f>
        <v>200000</v>
      </c>
      <c r="G203" s="499">
        <f>SUM(G204:G231)</f>
        <v>200000</v>
      </c>
      <c r="H203" s="468">
        <f>F203-G203</f>
        <v>0</v>
      </c>
      <c r="I203" s="1127"/>
      <c r="J203" s="501"/>
      <c r="K203" s="2741"/>
      <c r="L203" s="2741"/>
      <c r="M203" s="2741"/>
      <c r="N203" s="2741"/>
      <c r="O203" s="2741"/>
      <c r="P203" s="484"/>
      <c r="Q203" s="2741"/>
      <c r="R203" s="1146"/>
      <c r="S203" s="484"/>
      <c r="T203" s="2741"/>
      <c r="U203" s="2741"/>
      <c r="V203" s="484"/>
      <c r="W203" s="2741"/>
      <c r="X203" s="502"/>
      <c r="Y203" s="503"/>
      <c r="Z203" s="503"/>
      <c r="AB203" s="357"/>
      <c r="AD203" s="357"/>
      <c r="AE203" s="357"/>
      <c r="AF203" s="357"/>
      <c r="AG203" s="357"/>
      <c r="AH203" s="357"/>
      <c r="AI203" s="357"/>
      <c r="AJ203" s="357"/>
      <c r="AK203" s="357"/>
      <c r="AL203" s="357"/>
      <c r="AM203" s="357"/>
      <c r="AN203" s="357"/>
      <c r="AO203" s="357"/>
      <c r="AP203" s="357"/>
      <c r="AQ203" s="357"/>
      <c r="AR203" s="357"/>
      <c r="AS203" s="357"/>
      <c r="AT203" s="357"/>
      <c r="AU203" s="357"/>
      <c r="AV203" s="357"/>
      <c r="AW203" s="357"/>
      <c r="AX203" s="357"/>
      <c r="AY203" s="357"/>
      <c r="AZ203" s="357"/>
      <c r="BA203" s="357"/>
      <c r="BB203" s="357"/>
      <c r="BC203" s="357"/>
      <c r="BD203" s="357"/>
      <c r="BE203" s="357"/>
      <c r="BF203" s="357"/>
      <c r="BG203" s="357"/>
      <c r="BH203" s="357"/>
      <c r="BI203" s="357"/>
      <c r="BJ203" s="357"/>
      <c r="BK203" s="357"/>
      <c r="BL203" s="357"/>
      <c r="BM203" s="357"/>
      <c r="BN203" s="357"/>
      <c r="BO203" s="357"/>
      <c r="BP203" s="357"/>
      <c r="BQ203" s="357"/>
      <c r="BR203" s="357"/>
      <c r="BS203" s="357"/>
      <c r="BT203" s="357"/>
      <c r="BU203" s="357"/>
      <c r="BV203" s="357"/>
      <c r="BW203" s="357"/>
      <c r="BX203" s="357"/>
      <c r="BY203" s="357"/>
      <c r="BZ203" s="357"/>
      <c r="CA203" s="357"/>
      <c r="CB203" s="357"/>
      <c r="CC203" s="357"/>
      <c r="CD203" s="357"/>
      <c r="CE203" s="357"/>
      <c r="CF203" s="357"/>
      <c r="CG203" s="357"/>
      <c r="CH203" s="357"/>
      <c r="CI203" s="357"/>
      <c r="CJ203" s="357"/>
      <c r="CK203" s="357"/>
      <c r="CL203" s="357"/>
      <c r="CM203" s="357"/>
      <c r="CN203" s="357"/>
      <c r="CO203" s="357"/>
      <c r="CP203" s="357"/>
      <c r="CQ203" s="357"/>
      <c r="CR203" s="357"/>
      <c r="CS203" s="357"/>
      <c r="CT203" s="357"/>
      <c r="CU203" s="357"/>
      <c r="CV203" s="357"/>
      <c r="CW203" s="357"/>
      <c r="CX203" s="357"/>
      <c r="CY203" s="357"/>
      <c r="CZ203" s="357"/>
      <c r="DA203" s="357"/>
      <c r="DB203" s="357"/>
      <c r="DC203" s="357"/>
      <c r="DD203" s="357"/>
      <c r="DE203" s="357"/>
      <c r="DF203" s="357"/>
      <c r="DG203" s="357"/>
      <c r="DH203" s="357"/>
      <c r="DI203" s="357"/>
      <c r="DJ203" s="357"/>
      <c r="DK203" s="357"/>
      <c r="DL203" s="357"/>
      <c r="DM203" s="357"/>
      <c r="DN203" s="357"/>
      <c r="DO203" s="357"/>
      <c r="DP203" s="357"/>
      <c r="DQ203" s="357"/>
      <c r="DR203" s="357"/>
      <c r="DS203" s="357"/>
      <c r="DT203" s="357"/>
      <c r="DU203" s="357"/>
      <c r="DV203" s="357"/>
      <c r="DW203" s="357"/>
      <c r="DX203" s="357"/>
      <c r="DY203" s="357"/>
      <c r="DZ203" s="357"/>
      <c r="EA203" s="357"/>
      <c r="EB203" s="357"/>
      <c r="EC203" s="357"/>
      <c r="ED203" s="357"/>
      <c r="EE203" s="357"/>
      <c r="EF203" s="357"/>
      <c r="EG203" s="357"/>
      <c r="EH203" s="357"/>
      <c r="EI203" s="357"/>
      <c r="EJ203" s="357"/>
      <c r="EK203" s="357"/>
      <c r="EL203" s="357"/>
      <c r="EM203" s="357"/>
      <c r="EN203" s="357"/>
      <c r="EO203" s="357"/>
      <c r="EP203" s="357"/>
      <c r="EQ203" s="357"/>
      <c r="ER203" s="357"/>
      <c r="ES203" s="357"/>
      <c r="ET203" s="357"/>
      <c r="EU203" s="357"/>
      <c r="EV203" s="357"/>
      <c r="EW203" s="357"/>
      <c r="EX203" s="357"/>
      <c r="EY203" s="357"/>
      <c r="EZ203" s="357"/>
      <c r="FA203" s="357"/>
      <c r="FB203" s="357"/>
      <c r="FC203" s="357"/>
      <c r="FD203" s="357"/>
      <c r="FE203" s="357"/>
      <c r="FF203" s="357"/>
      <c r="FG203" s="357"/>
      <c r="FH203" s="357"/>
      <c r="FI203" s="357"/>
      <c r="FJ203" s="357"/>
      <c r="FK203" s="357"/>
      <c r="FL203" s="357"/>
      <c r="FM203" s="357"/>
      <c r="FN203" s="357"/>
      <c r="FO203" s="357"/>
      <c r="FP203" s="357"/>
      <c r="FQ203" s="357"/>
      <c r="FR203" s="357"/>
      <c r="FS203" s="357"/>
      <c r="FT203" s="357"/>
      <c r="FU203" s="357"/>
      <c r="FV203" s="357"/>
      <c r="FW203" s="357"/>
      <c r="FX203" s="357"/>
      <c r="FY203" s="357"/>
      <c r="FZ203" s="357"/>
      <c r="GA203" s="357"/>
      <c r="GB203" s="357"/>
      <c r="GC203" s="357"/>
      <c r="GD203" s="357"/>
      <c r="GE203" s="357"/>
      <c r="GF203" s="357"/>
      <c r="GG203" s="357"/>
      <c r="GH203" s="357"/>
      <c r="GI203" s="357"/>
      <c r="GJ203" s="357"/>
      <c r="GK203" s="357"/>
      <c r="GL203" s="357"/>
      <c r="GM203" s="357"/>
      <c r="GN203" s="357"/>
      <c r="GO203" s="357"/>
      <c r="GP203" s="357"/>
      <c r="GQ203" s="357"/>
      <c r="GR203" s="357"/>
      <c r="GS203" s="357"/>
      <c r="GT203" s="357"/>
      <c r="GU203" s="357"/>
      <c r="GV203" s="357"/>
      <c r="GW203" s="357"/>
      <c r="GX203" s="357"/>
      <c r="GY203" s="357"/>
      <c r="GZ203" s="357"/>
      <c r="HA203" s="357"/>
      <c r="HB203" s="357"/>
      <c r="HC203" s="357"/>
      <c r="HD203" s="357"/>
      <c r="HE203" s="357"/>
      <c r="HF203" s="357"/>
      <c r="HG203" s="357"/>
      <c r="HH203" s="357"/>
      <c r="HI203" s="357"/>
      <c r="HJ203" s="357"/>
      <c r="HK203" s="357"/>
      <c r="HL203" s="357"/>
      <c r="HM203" s="357"/>
      <c r="HN203" s="357"/>
      <c r="HO203" s="357"/>
      <c r="HP203" s="357"/>
      <c r="HQ203" s="357"/>
      <c r="HR203" s="357"/>
      <c r="HS203" s="357"/>
      <c r="HT203" s="357"/>
      <c r="HU203" s="357"/>
      <c r="HV203" s="357"/>
      <c r="HW203" s="357"/>
      <c r="HX203" s="357"/>
      <c r="HY203" s="357"/>
      <c r="HZ203" s="357"/>
      <c r="IA203" s="357"/>
      <c r="IB203" s="357"/>
      <c r="IC203" s="357"/>
      <c r="ID203" s="357"/>
      <c r="IE203" s="357"/>
      <c r="IF203" s="357"/>
      <c r="IG203" s="357"/>
      <c r="IH203" s="357"/>
      <c r="II203" s="357"/>
      <c r="IJ203" s="357"/>
      <c r="IK203" s="357"/>
      <c r="IL203" s="357"/>
      <c r="IM203" s="357"/>
      <c r="IN203" s="357"/>
      <c r="IO203" s="357"/>
      <c r="IP203" s="357"/>
      <c r="IQ203" s="357"/>
      <c r="IR203" s="357"/>
      <c r="IS203" s="357"/>
      <c r="IT203" s="357"/>
      <c r="IU203" s="357"/>
      <c r="IV203" s="357"/>
      <c r="IW203" s="357"/>
      <c r="IX203" s="357"/>
      <c r="IY203" s="357"/>
      <c r="IZ203" s="357"/>
      <c r="JA203" s="357"/>
      <c r="JB203" s="357"/>
      <c r="JC203" s="357"/>
      <c r="JD203" s="357"/>
      <c r="JE203" s="357"/>
      <c r="JF203" s="357"/>
      <c r="JG203" s="357"/>
      <c r="JH203" s="357"/>
      <c r="JI203" s="357"/>
      <c r="JJ203" s="357"/>
      <c r="JK203" s="357"/>
      <c r="JL203" s="357"/>
      <c r="JM203" s="357"/>
      <c r="JN203" s="357"/>
      <c r="JO203" s="357"/>
      <c r="JP203" s="357"/>
      <c r="JQ203" s="357"/>
      <c r="JR203" s="357"/>
      <c r="JS203" s="357"/>
      <c r="JT203" s="357"/>
      <c r="JU203" s="357"/>
      <c r="JV203" s="357"/>
      <c r="JW203" s="357"/>
      <c r="JX203" s="357"/>
      <c r="JY203" s="357"/>
      <c r="JZ203" s="357"/>
      <c r="KA203" s="357"/>
      <c r="KB203" s="357"/>
      <c r="KC203" s="357"/>
      <c r="KD203" s="357"/>
      <c r="KE203" s="357"/>
      <c r="KF203" s="357"/>
      <c r="KG203" s="357"/>
      <c r="KH203" s="357"/>
      <c r="KI203" s="357"/>
      <c r="KJ203" s="357"/>
      <c r="KK203" s="357"/>
      <c r="KL203" s="357"/>
      <c r="KM203" s="357"/>
      <c r="KN203" s="357"/>
      <c r="KO203" s="357"/>
      <c r="KP203" s="357"/>
      <c r="KQ203" s="357"/>
      <c r="KR203" s="357"/>
      <c r="KS203" s="357"/>
      <c r="KT203" s="357"/>
      <c r="KU203" s="357"/>
      <c r="KV203" s="357"/>
      <c r="KW203" s="357"/>
      <c r="KX203" s="357"/>
      <c r="KY203" s="357"/>
      <c r="KZ203" s="357"/>
      <c r="LA203" s="357"/>
      <c r="LB203" s="357"/>
      <c r="LC203" s="357"/>
      <c r="LD203" s="357"/>
      <c r="LE203" s="357"/>
      <c r="LF203" s="357"/>
      <c r="LG203" s="357"/>
      <c r="LH203" s="357"/>
      <c r="LI203" s="357"/>
      <c r="LJ203" s="357"/>
      <c r="LK203" s="357"/>
      <c r="LL203" s="357"/>
      <c r="LM203" s="357"/>
      <c r="LN203" s="357"/>
      <c r="LO203" s="357"/>
      <c r="LP203" s="357"/>
      <c r="LQ203" s="357"/>
      <c r="LR203" s="357"/>
      <c r="LS203" s="357"/>
      <c r="LT203" s="357"/>
      <c r="LU203" s="357"/>
      <c r="LV203" s="357"/>
      <c r="LW203" s="357"/>
      <c r="LX203" s="357"/>
      <c r="LY203" s="357"/>
      <c r="LZ203" s="357"/>
      <c r="MA203" s="357"/>
      <c r="MB203" s="357"/>
    </row>
    <row r="204" spans="1:340" s="358" customFormat="1" ht="22.5" customHeight="1">
      <c r="A204" s="2742"/>
      <c r="B204" s="471"/>
      <c r="C204" s="1126"/>
      <c r="D204" s="934"/>
      <c r="E204" s="828" t="s">
        <v>4766</v>
      </c>
      <c r="F204" s="1141">
        <f>Y204</f>
        <v>22500</v>
      </c>
      <c r="G204" s="2749">
        <v>22500</v>
      </c>
      <c r="H204" s="1147"/>
      <c r="I204" s="1127"/>
      <c r="J204" s="2746" t="s">
        <v>3211</v>
      </c>
      <c r="K204" s="2745"/>
      <c r="L204" s="2745"/>
      <c r="M204" s="2745"/>
      <c r="N204" s="2745"/>
      <c r="O204" s="2745"/>
      <c r="P204" s="1675"/>
      <c r="Q204" s="2747">
        <v>1</v>
      </c>
      <c r="R204" s="2743" t="s">
        <v>33</v>
      </c>
      <c r="S204" s="2747">
        <v>2500000</v>
      </c>
      <c r="T204" s="2747" t="s">
        <v>264</v>
      </c>
      <c r="U204" s="1675"/>
      <c r="V204" s="2747">
        <v>9</v>
      </c>
      <c r="W204" s="2747" t="s">
        <v>49</v>
      </c>
      <c r="X204" s="1140" t="s">
        <v>266</v>
      </c>
      <c r="Y204" s="1674">
        <f t="shared" ref="Y204" si="48">Z204/1000</f>
        <v>22500</v>
      </c>
      <c r="Z204" s="407">
        <f>Q204*S204*V204</f>
        <v>22500000</v>
      </c>
      <c r="AB204" s="357"/>
      <c r="AD204" s="357"/>
      <c r="AE204" s="357"/>
      <c r="AF204" s="357"/>
      <c r="AG204" s="357"/>
      <c r="AH204" s="357"/>
      <c r="AI204" s="357"/>
      <c r="AJ204" s="357"/>
      <c r="AK204" s="357"/>
      <c r="AL204" s="357"/>
      <c r="AM204" s="357"/>
      <c r="AN204" s="357"/>
      <c r="AO204" s="357"/>
      <c r="AP204" s="357"/>
      <c r="AQ204" s="357"/>
      <c r="AR204" s="357"/>
      <c r="AS204" s="357"/>
      <c r="AT204" s="357"/>
      <c r="AU204" s="357"/>
      <c r="AV204" s="357"/>
      <c r="AW204" s="357"/>
      <c r="AX204" s="357"/>
      <c r="AY204" s="357"/>
      <c r="AZ204" s="357"/>
      <c r="BA204" s="357"/>
      <c r="BB204" s="357"/>
      <c r="BC204" s="357"/>
      <c r="BD204" s="357"/>
      <c r="BE204" s="357"/>
      <c r="BF204" s="357"/>
      <c r="BG204" s="357"/>
      <c r="BH204" s="357"/>
      <c r="BI204" s="357"/>
      <c r="BJ204" s="357"/>
      <c r="BK204" s="357"/>
      <c r="BL204" s="357"/>
      <c r="BM204" s="357"/>
      <c r="BN204" s="357"/>
      <c r="BO204" s="357"/>
      <c r="BP204" s="357"/>
      <c r="BQ204" s="357"/>
      <c r="BR204" s="357"/>
      <c r="BS204" s="357"/>
      <c r="BT204" s="357"/>
      <c r="BU204" s="357"/>
      <c r="BV204" s="357"/>
      <c r="BW204" s="357"/>
      <c r="BX204" s="357"/>
      <c r="BY204" s="357"/>
      <c r="BZ204" s="357"/>
      <c r="CA204" s="357"/>
      <c r="CB204" s="357"/>
      <c r="CC204" s="357"/>
      <c r="CD204" s="357"/>
      <c r="CE204" s="357"/>
      <c r="CF204" s="357"/>
      <c r="CG204" s="357"/>
      <c r="CH204" s="357"/>
      <c r="CI204" s="357"/>
      <c r="CJ204" s="357"/>
      <c r="CK204" s="357"/>
      <c r="CL204" s="357"/>
      <c r="CM204" s="357"/>
      <c r="CN204" s="357"/>
      <c r="CO204" s="357"/>
      <c r="CP204" s="357"/>
      <c r="CQ204" s="357"/>
      <c r="CR204" s="357"/>
      <c r="CS204" s="357"/>
      <c r="CT204" s="357"/>
      <c r="CU204" s="357"/>
      <c r="CV204" s="357"/>
      <c r="CW204" s="357"/>
      <c r="CX204" s="357"/>
      <c r="CY204" s="357"/>
      <c r="CZ204" s="357"/>
      <c r="DA204" s="357"/>
      <c r="DB204" s="357"/>
      <c r="DC204" s="357"/>
      <c r="DD204" s="357"/>
      <c r="DE204" s="357"/>
      <c r="DF204" s="357"/>
      <c r="DG204" s="357"/>
      <c r="DH204" s="357"/>
      <c r="DI204" s="357"/>
      <c r="DJ204" s="357"/>
      <c r="DK204" s="357"/>
      <c r="DL204" s="357"/>
      <c r="DM204" s="357"/>
      <c r="DN204" s="357"/>
      <c r="DO204" s="357"/>
      <c r="DP204" s="357"/>
      <c r="DQ204" s="357"/>
      <c r="DR204" s="357"/>
      <c r="DS204" s="357"/>
      <c r="DT204" s="357"/>
      <c r="DU204" s="357"/>
      <c r="DV204" s="357"/>
      <c r="DW204" s="357"/>
      <c r="DX204" s="357"/>
      <c r="DY204" s="357"/>
      <c r="DZ204" s="357"/>
      <c r="EA204" s="357"/>
      <c r="EB204" s="357"/>
      <c r="EC204" s="357"/>
      <c r="ED204" s="357"/>
      <c r="EE204" s="357"/>
      <c r="EF204" s="357"/>
      <c r="EG204" s="357"/>
      <c r="EH204" s="357"/>
      <c r="EI204" s="357"/>
      <c r="EJ204" s="357"/>
      <c r="EK204" s="357"/>
      <c r="EL204" s="357"/>
      <c r="EM204" s="357"/>
      <c r="EN204" s="357"/>
      <c r="EO204" s="357"/>
      <c r="EP204" s="357"/>
      <c r="EQ204" s="357"/>
      <c r="ER204" s="357"/>
      <c r="ES204" s="357"/>
      <c r="ET204" s="357"/>
      <c r="EU204" s="357"/>
      <c r="EV204" s="357"/>
      <c r="EW204" s="357"/>
      <c r="EX204" s="357"/>
      <c r="EY204" s="357"/>
      <c r="EZ204" s="357"/>
      <c r="FA204" s="357"/>
      <c r="FB204" s="357"/>
      <c r="FC204" s="357"/>
      <c r="FD204" s="357"/>
      <c r="FE204" s="357"/>
      <c r="FF204" s="357"/>
      <c r="FG204" s="357"/>
      <c r="FH204" s="357"/>
      <c r="FI204" s="357"/>
      <c r="FJ204" s="357"/>
      <c r="FK204" s="357"/>
      <c r="FL204" s="357"/>
      <c r="FM204" s="357"/>
      <c r="FN204" s="357"/>
      <c r="FO204" s="357"/>
      <c r="FP204" s="357"/>
      <c r="FQ204" s="357"/>
      <c r="FR204" s="357"/>
      <c r="FS204" s="357"/>
      <c r="FT204" s="357"/>
      <c r="FU204" s="357"/>
      <c r="FV204" s="357"/>
      <c r="FW204" s="357"/>
      <c r="FX204" s="357"/>
      <c r="FY204" s="357"/>
      <c r="FZ204" s="357"/>
      <c r="GA204" s="357"/>
      <c r="GB204" s="357"/>
      <c r="GC204" s="357"/>
      <c r="GD204" s="357"/>
      <c r="GE204" s="357"/>
      <c r="GF204" s="357"/>
      <c r="GG204" s="357"/>
      <c r="GH204" s="357"/>
      <c r="GI204" s="357"/>
      <c r="GJ204" s="357"/>
      <c r="GK204" s="357"/>
      <c r="GL204" s="357"/>
      <c r="GM204" s="357"/>
      <c r="GN204" s="357"/>
      <c r="GO204" s="357"/>
      <c r="GP204" s="357"/>
      <c r="GQ204" s="357"/>
      <c r="GR204" s="357"/>
      <c r="GS204" s="357"/>
      <c r="GT204" s="357"/>
      <c r="GU204" s="357"/>
      <c r="GV204" s="357"/>
      <c r="GW204" s="357"/>
      <c r="GX204" s="357"/>
      <c r="GY204" s="357"/>
      <c r="GZ204" s="357"/>
      <c r="HA204" s="357"/>
      <c r="HB204" s="357"/>
      <c r="HC204" s="357"/>
      <c r="HD204" s="357"/>
      <c r="HE204" s="357"/>
      <c r="HF204" s="357"/>
      <c r="HG204" s="357"/>
      <c r="HH204" s="357"/>
      <c r="HI204" s="357"/>
      <c r="HJ204" s="357"/>
      <c r="HK204" s="357"/>
      <c r="HL204" s="357"/>
      <c r="HM204" s="357"/>
      <c r="HN204" s="357"/>
      <c r="HO204" s="357"/>
      <c r="HP204" s="357"/>
      <c r="HQ204" s="357"/>
      <c r="HR204" s="357"/>
      <c r="HS204" s="357"/>
      <c r="HT204" s="357"/>
      <c r="HU204" s="357"/>
      <c r="HV204" s="357"/>
      <c r="HW204" s="357"/>
      <c r="HX204" s="357"/>
      <c r="HY204" s="357"/>
      <c r="HZ204" s="357"/>
      <c r="IA204" s="357"/>
      <c r="IB204" s="357"/>
      <c r="IC204" s="357"/>
      <c r="ID204" s="357"/>
      <c r="IE204" s="357"/>
      <c r="IF204" s="357"/>
      <c r="IG204" s="357"/>
      <c r="IH204" s="357"/>
      <c r="II204" s="357"/>
      <c r="IJ204" s="357"/>
      <c r="IK204" s="357"/>
      <c r="IL204" s="357"/>
      <c r="IM204" s="357"/>
      <c r="IN204" s="357"/>
      <c r="IO204" s="357"/>
      <c r="IP204" s="357"/>
      <c r="IQ204" s="357"/>
      <c r="IR204" s="357"/>
      <c r="IS204" s="357"/>
      <c r="IT204" s="357"/>
      <c r="IU204" s="357"/>
      <c r="IV204" s="357"/>
      <c r="IW204" s="357"/>
      <c r="IX204" s="357"/>
      <c r="IY204" s="357"/>
      <c r="IZ204" s="357"/>
      <c r="JA204" s="357"/>
      <c r="JB204" s="357"/>
      <c r="JC204" s="357"/>
      <c r="JD204" s="357"/>
      <c r="JE204" s="357"/>
      <c r="JF204" s="357"/>
      <c r="JG204" s="357"/>
      <c r="JH204" s="357"/>
      <c r="JI204" s="357"/>
      <c r="JJ204" s="357"/>
      <c r="JK204" s="357"/>
      <c r="JL204" s="357"/>
      <c r="JM204" s="357"/>
      <c r="JN204" s="357"/>
      <c r="JO204" s="357"/>
      <c r="JP204" s="357"/>
      <c r="JQ204" s="357"/>
      <c r="JR204" s="357"/>
      <c r="JS204" s="357"/>
      <c r="JT204" s="357"/>
      <c r="JU204" s="357"/>
      <c r="JV204" s="357"/>
      <c r="JW204" s="357"/>
      <c r="JX204" s="357"/>
      <c r="JY204" s="357"/>
      <c r="JZ204" s="357"/>
      <c r="KA204" s="357"/>
      <c r="KB204" s="357"/>
      <c r="KC204" s="357"/>
      <c r="KD204" s="357"/>
      <c r="KE204" s="357"/>
      <c r="KF204" s="357"/>
      <c r="KG204" s="357"/>
      <c r="KH204" s="357"/>
      <c r="KI204" s="357"/>
      <c r="KJ204" s="357"/>
      <c r="KK204" s="357"/>
      <c r="KL204" s="357"/>
      <c r="KM204" s="357"/>
      <c r="KN204" s="357"/>
      <c r="KO204" s="357"/>
      <c r="KP204" s="357"/>
      <c r="KQ204" s="357"/>
      <c r="KR204" s="357"/>
      <c r="KS204" s="357"/>
      <c r="KT204" s="357"/>
      <c r="KU204" s="357"/>
      <c r="KV204" s="357"/>
      <c r="KW204" s="357"/>
      <c r="KX204" s="357"/>
      <c r="KY204" s="357"/>
      <c r="KZ204" s="357"/>
      <c r="LA204" s="357"/>
      <c r="LB204" s="357"/>
      <c r="LC204" s="357"/>
      <c r="LD204" s="357"/>
      <c r="LE204" s="357"/>
      <c r="LF204" s="357"/>
      <c r="LG204" s="357"/>
      <c r="LH204" s="357"/>
      <c r="LI204" s="357"/>
      <c r="LJ204" s="357"/>
      <c r="LK204" s="357"/>
      <c r="LL204" s="357"/>
      <c r="LM204" s="357"/>
      <c r="LN204" s="357"/>
      <c r="LO204" s="357"/>
      <c r="LP204" s="357"/>
      <c r="LQ204" s="357"/>
      <c r="LR204" s="357"/>
      <c r="LS204" s="357"/>
      <c r="LT204" s="357"/>
      <c r="LU204" s="357"/>
      <c r="LV204" s="357"/>
      <c r="LW204" s="357"/>
      <c r="LX204" s="357"/>
      <c r="LY204" s="357"/>
      <c r="LZ204" s="357"/>
      <c r="MA204" s="357"/>
      <c r="MB204" s="357"/>
    </row>
    <row r="205" spans="1:340" s="358" customFormat="1" ht="22.5" customHeight="1">
      <c r="A205" s="2529"/>
      <c r="B205" s="471"/>
      <c r="C205" s="1126"/>
      <c r="D205" s="1148"/>
      <c r="E205" s="1134" t="s">
        <v>3210</v>
      </c>
      <c r="F205" s="1141">
        <f t="shared" ref="F205" si="49">Y205</f>
        <v>29000</v>
      </c>
      <c r="G205" s="1139">
        <v>29000</v>
      </c>
      <c r="H205" s="1147"/>
      <c r="I205" s="1127"/>
      <c r="J205" s="2746" t="s">
        <v>194</v>
      </c>
      <c r="K205" s="2745"/>
      <c r="L205" s="2745"/>
      <c r="M205" s="2745"/>
      <c r="N205" s="2745"/>
      <c r="O205" s="2745"/>
      <c r="P205" s="1675"/>
      <c r="Q205" s="2747">
        <v>2</v>
      </c>
      <c r="R205" s="2743" t="s">
        <v>3196</v>
      </c>
      <c r="S205" s="2747"/>
      <c r="T205" s="2747"/>
      <c r="U205" s="1675"/>
      <c r="V205" s="2747"/>
      <c r="W205" s="2747"/>
      <c r="X205" s="1140"/>
      <c r="Y205" s="1674">
        <f>Z205/1000</f>
        <v>29000</v>
      </c>
      <c r="Z205" s="407">
        <f>Z206+Z207</f>
        <v>29000000</v>
      </c>
      <c r="AB205" s="357"/>
      <c r="AD205" s="357"/>
      <c r="AE205" s="357"/>
      <c r="AF205" s="357"/>
      <c r="AG205" s="357"/>
      <c r="AH205" s="357"/>
      <c r="AI205" s="357"/>
      <c r="AJ205" s="357"/>
      <c r="AK205" s="357"/>
      <c r="AL205" s="357"/>
      <c r="AM205" s="357"/>
      <c r="AN205" s="357"/>
      <c r="AO205" s="357"/>
      <c r="AP205" s="357"/>
      <c r="AQ205" s="357"/>
      <c r="AR205" s="357"/>
      <c r="AS205" s="357"/>
      <c r="AT205" s="357"/>
      <c r="AU205" s="357"/>
      <c r="AV205" s="357"/>
      <c r="AW205" s="357"/>
      <c r="AX205" s="357"/>
      <c r="AY205" s="357"/>
      <c r="AZ205" s="357"/>
      <c r="BA205" s="357"/>
      <c r="BB205" s="357"/>
      <c r="BC205" s="357"/>
      <c r="BD205" s="357"/>
      <c r="BE205" s="357"/>
      <c r="BF205" s="357"/>
      <c r="BG205" s="357"/>
      <c r="BH205" s="357"/>
      <c r="BI205" s="357"/>
      <c r="BJ205" s="357"/>
      <c r="BK205" s="357"/>
      <c r="BL205" s="357"/>
      <c r="BM205" s="357"/>
      <c r="BN205" s="357"/>
      <c r="BO205" s="357"/>
      <c r="BP205" s="357"/>
      <c r="BQ205" s="357"/>
      <c r="BR205" s="357"/>
      <c r="BS205" s="357"/>
      <c r="BT205" s="357"/>
      <c r="BU205" s="357"/>
      <c r="BV205" s="357"/>
      <c r="BW205" s="357"/>
      <c r="BX205" s="357"/>
      <c r="BY205" s="357"/>
      <c r="BZ205" s="357"/>
      <c r="CA205" s="357"/>
      <c r="CB205" s="357"/>
      <c r="CC205" s="357"/>
      <c r="CD205" s="357"/>
      <c r="CE205" s="357"/>
      <c r="CF205" s="357"/>
      <c r="CG205" s="357"/>
      <c r="CH205" s="357"/>
      <c r="CI205" s="357"/>
      <c r="CJ205" s="357"/>
      <c r="CK205" s="357"/>
      <c r="CL205" s="357"/>
      <c r="CM205" s="357"/>
      <c r="CN205" s="357"/>
      <c r="CO205" s="357"/>
      <c r="CP205" s="357"/>
      <c r="CQ205" s="357"/>
      <c r="CR205" s="357"/>
      <c r="CS205" s="357"/>
      <c r="CT205" s="357"/>
      <c r="CU205" s="357"/>
      <c r="CV205" s="357"/>
      <c r="CW205" s="357"/>
      <c r="CX205" s="357"/>
      <c r="CY205" s="357"/>
      <c r="CZ205" s="357"/>
      <c r="DA205" s="357"/>
      <c r="DB205" s="357"/>
      <c r="DC205" s="357"/>
      <c r="DD205" s="357"/>
      <c r="DE205" s="357"/>
      <c r="DF205" s="357"/>
      <c r="DG205" s="357"/>
      <c r="DH205" s="357"/>
      <c r="DI205" s="357"/>
      <c r="DJ205" s="357"/>
      <c r="DK205" s="357"/>
      <c r="DL205" s="357"/>
      <c r="DM205" s="357"/>
      <c r="DN205" s="357"/>
      <c r="DO205" s="357"/>
      <c r="DP205" s="357"/>
      <c r="DQ205" s="357"/>
      <c r="DR205" s="357"/>
      <c r="DS205" s="357"/>
      <c r="DT205" s="357"/>
      <c r="DU205" s="357"/>
      <c r="DV205" s="357"/>
      <c r="DW205" s="357"/>
      <c r="DX205" s="357"/>
      <c r="DY205" s="357"/>
      <c r="DZ205" s="357"/>
      <c r="EA205" s="357"/>
      <c r="EB205" s="357"/>
      <c r="EC205" s="357"/>
      <c r="ED205" s="357"/>
      <c r="EE205" s="357"/>
      <c r="EF205" s="357"/>
      <c r="EG205" s="357"/>
      <c r="EH205" s="357"/>
      <c r="EI205" s="357"/>
      <c r="EJ205" s="357"/>
      <c r="EK205" s="357"/>
      <c r="EL205" s="357"/>
      <c r="EM205" s="357"/>
      <c r="EN205" s="357"/>
      <c r="EO205" s="357"/>
      <c r="EP205" s="357"/>
      <c r="EQ205" s="357"/>
      <c r="ER205" s="357"/>
      <c r="ES205" s="357"/>
      <c r="ET205" s="357"/>
      <c r="EU205" s="357"/>
      <c r="EV205" s="357"/>
      <c r="EW205" s="357"/>
      <c r="EX205" s="357"/>
      <c r="EY205" s="357"/>
      <c r="EZ205" s="357"/>
      <c r="FA205" s="357"/>
      <c r="FB205" s="357"/>
      <c r="FC205" s="357"/>
      <c r="FD205" s="357"/>
      <c r="FE205" s="357"/>
      <c r="FF205" s="357"/>
      <c r="FG205" s="357"/>
      <c r="FH205" s="357"/>
      <c r="FI205" s="357"/>
      <c r="FJ205" s="357"/>
      <c r="FK205" s="357"/>
      <c r="FL205" s="357"/>
      <c r="FM205" s="357"/>
      <c r="FN205" s="357"/>
      <c r="FO205" s="357"/>
      <c r="FP205" s="357"/>
      <c r="FQ205" s="357"/>
      <c r="FR205" s="357"/>
      <c r="FS205" s="357"/>
      <c r="FT205" s="357"/>
      <c r="FU205" s="357"/>
      <c r="FV205" s="357"/>
      <c r="FW205" s="357"/>
      <c r="FX205" s="357"/>
      <c r="FY205" s="357"/>
      <c r="FZ205" s="357"/>
      <c r="GA205" s="357"/>
      <c r="GB205" s="357"/>
      <c r="GC205" s="357"/>
      <c r="GD205" s="357"/>
      <c r="GE205" s="357"/>
      <c r="GF205" s="357"/>
      <c r="GG205" s="357"/>
      <c r="GH205" s="357"/>
      <c r="GI205" s="357"/>
      <c r="GJ205" s="357"/>
      <c r="GK205" s="357"/>
      <c r="GL205" s="357"/>
      <c r="GM205" s="357"/>
      <c r="GN205" s="357"/>
      <c r="GO205" s="357"/>
      <c r="GP205" s="357"/>
      <c r="GQ205" s="357"/>
      <c r="GR205" s="357"/>
      <c r="GS205" s="357"/>
      <c r="GT205" s="357"/>
      <c r="GU205" s="357"/>
      <c r="GV205" s="357"/>
      <c r="GW205" s="357"/>
      <c r="GX205" s="357"/>
      <c r="GY205" s="357"/>
      <c r="GZ205" s="357"/>
      <c r="HA205" s="357"/>
      <c r="HB205" s="357"/>
      <c r="HC205" s="357"/>
      <c r="HD205" s="357"/>
      <c r="HE205" s="357"/>
      <c r="HF205" s="357"/>
      <c r="HG205" s="357"/>
      <c r="HH205" s="357"/>
      <c r="HI205" s="357"/>
      <c r="HJ205" s="357"/>
      <c r="HK205" s="357"/>
      <c r="HL205" s="357"/>
      <c r="HM205" s="357"/>
      <c r="HN205" s="357"/>
      <c r="HO205" s="357"/>
      <c r="HP205" s="357"/>
      <c r="HQ205" s="357"/>
      <c r="HR205" s="357"/>
      <c r="HS205" s="357"/>
      <c r="HT205" s="357"/>
      <c r="HU205" s="357"/>
      <c r="HV205" s="357"/>
      <c r="HW205" s="357"/>
      <c r="HX205" s="357"/>
      <c r="HY205" s="357"/>
      <c r="HZ205" s="357"/>
      <c r="IA205" s="357"/>
      <c r="IB205" s="357"/>
      <c r="IC205" s="357"/>
      <c r="ID205" s="357"/>
      <c r="IE205" s="357"/>
      <c r="IF205" s="357"/>
      <c r="IG205" s="357"/>
      <c r="IH205" s="357"/>
      <c r="II205" s="357"/>
      <c r="IJ205" s="357"/>
      <c r="IK205" s="357"/>
      <c r="IL205" s="357"/>
      <c r="IM205" s="357"/>
      <c r="IN205" s="357"/>
      <c r="IO205" s="357"/>
      <c r="IP205" s="357"/>
      <c r="IQ205" s="357"/>
      <c r="IR205" s="357"/>
      <c r="IS205" s="357"/>
      <c r="IT205" s="357"/>
      <c r="IU205" s="357"/>
      <c r="IV205" s="357"/>
      <c r="IW205" s="357"/>
      <c r="IX205" s="357"/>
      <c r="IY205" s="357"/>
      <c r="IZ205" s="357"/>
      <c r="JA205" s="357"/>
      <c r="JB205" s="357"/>
      <c r="JC205" s="357"/>
      <c r="JD205" s="357"/>
      <c r="JE205" s="357"/>
      <c r="JF205" s="357"/>
      <c r="JG205" s="357"/>
      <c r="JH205" s="357"/>
      <c r="JI205" s="357"/>
      <c r="JJ205" s="357"/>
      <c r="JK205" s="357"/>
      <c r="JL205" s="357"/>
      <c r="JM205" s="357"/>
      <c r="JN205" s="357"/>
      <c r="JO205" s="357"/>
      <c r="JP205" s="357"/>
      <c r="JQ205" s="357"/>
      <c r="JR205" s="357"/>
      <c r="JS205" s="357"/>
      <c r="JT205" s="357"/>
      <c r="JU205" s="357"/>
      <c r="JV205" s="357"/>
      <c r="JW205" s="357"/>
      <c r="JX205" s="357"/>
      <c r="JY205" s="357"/>
      <c r="JZ205" s="357"/>
      <c r="KA205" s="357"/>
      <c r="KB205" s="357"/>
      <c r="KC205" s="357"/>
      <c r="KD205" s="357"/>
      <c r="KE205" s="357"/>
      <c r="KF205" s="357"/>
      <c r="KG205" s="357"/>
      <c r="KH205" s="357"/>
      <c r="KI205" s="357"/>
      <c r="KJ205" s="357"/>
      <c r="KK205" s="357"/>
      <c r="KL205" s="357"/>
      <c r="KM205" s="357"/>
      <c r="KN205" s="357"/>
      <c r="KO205" s="357"/>
      <c r="KP205" s="357"/>
      <c r="KQ205" s="357"/>
      <c r="KR205" s="357"/>
      <c r="KS205" s="357"/>
      <c r="KT205" s="357"/>
      <c r="KU205" s="357"/>
      <c r="KV205" s="357"/>
      <c r="KW205" s="357"/>
      <c r="KX205" s="357"/>
      <c r="KY205" s="357"/>
      <c r="KZ205" s="357"/>
      <c r="LA205" s="357"/>
      <c r="LB205" s="357"/>
      <c r="LC205" s="357"/>
      <c r="LD205" s="357"/>
      <c r="LE205" s="357"/>
      <c r="LF205" s="357"/>
      <c r="LG205" s="357"/>
      <c r="LH205" s="357"/>
      <c r="LI205" s="357"/>
      <c r="LJ205" s="357"/>
      <c r="LK205" s="357"/>
      <c r="LL205" s="357"/>
      <c r="LM205" s="357"/>
      <c r="LN205" s="357"/>
      <c r="LO205" s="357"/>
      <c r="LP205" s="357"/>
      <c r="LQ205" s="357"/>
      <c r="LR205" s="357"/>
      <c r="LS205" s="357"/>
      <c r="LT205" s="357"/>
      <c r="LU205" s="357"/>
      <c r="LV205" s="357"/>
      <c r="LW205" s="357"/>
      <c r="LX205" s="357"/>
      <c r="LY205" s="357"/>
      <c r="LZ205" s="357"/>
      <c r="MA205" s="357"/>
      <c r="MB205" s="357"/>
    </row>
    <row r="206" spans="1:340" s="358" customFormat="1" ht="22.5" customHeight="1">
      <c r="A206" s="2742"/>
      <c r="B206" s="471"/>
      <c r="C206" s="1126"/>
      <c r="D206" s="1148"/>
      <c r="E206" s="1134"/>
      <c r="F206" s="1141"/>
      <c r="G206" s="1139"/>
      <c r="H206" s="1147"/>
      <c r="I206" s="1127"/>
      <c r="J206" s="2744" t="s">
        <v>4767</v>
      </c>
      <c r="K206" s="2745"/>
      <c r="L206" s="2745"/>
      <c r="M206" s="2745"/>
      <c r="N206" s="2745"/>
      <c r="O206" s="2745"/>
      <c r="P206" s="1675"/>
      <c r="Q206" s="2747"/>
      <c r="R206" s="2743"/>
      <c r="S206" s="2747">
        <v>20000000</v>
      </c>
      <c r="T206" s="2747" t="s">
        <v>264</v>
      </c>
      <c r="U206" s="1675"/>
      <c r="V206" s="2747">
        <v>1</v>
      </c>
      <c r="W206" s="2747" t="s">
        <v>265</v>
      </c>
      <c r="X206" s="1140" t="s">
        <v>266</v>
      </c>
      <c r="Y206" s="1674">
        <f t="shared" ref="Y206:Y207" si="50">Z206/1000</f>
        <v>20000</v>
      </c>
      <c r="Z206" s="407">
        <f t="shared" ref="Z206:Z207" si="51">S206*V206</f>
        <v>20000000</v>
      </c>
      <c r="AB206" s="357"/>
      <c r="AD206" s="357"/>
      <c r="AE206" s="357"/>
      <c r="AF206" s="357"/>
      <c r="AG206" s="357"/>
      <c r="AH206" s="357"/>
      <c r="AI206" s="357"/>
      <c r="AJ206" s="357"/>
      <c r="AK206" s="357"/>
      <c r="AL206" s="357"/>
      <c r="AM206" s="357"/>
      <c r="AN206" s="357"/>
      <c r="AO206" s="357"/>
      <c r="AP206" s="357"/>
      <c r="AQ206" s="357"/>
      <c r="AR206" s="357"/>
      <c r="AS206" s="357"/>
      <c r="AT206" s="357"/>
      <c r="AU206" s="357"/>
      <c r="AV206" s="357"/>
      <c r="AW206" s="357"/>
      <c r="AX206" s="357"/>
      <c r="AY206" s="357"/>
      <c r="AZ206" s="357"/>
      <c r="BA206" s="357"/>
      <c r="BB206" s="357"/>
      <c r="BC206" s="357"/>
      <c r="BD206" s="357"/>
      <c r="BE206" s="357"/>
      <c r="BF206" s="357"/>
      <c r="BG206" s="357"/>
      <c r="BH206" s="357"/>
      <c r="BI206" s="357"/>
      <c r="BJ206" s="357"/>
      <c r="BK206" s="357"/>
      <c r="BL206" s="357"/>
      <c r="BM206" s="357"/>
      <c r="BN206" s="357"/>
      <c r="BO206" s="357"/>
      <c r="BP206" s="357"/>
      <c r="BQ206" s="357"/>
      <c r="BR206" s="357"/>
      <c r="BS206" s="357"/>
      <c r="BT206" s="357"/>
      <c r="BU206" s="357"/>
      <c r="BV206" s="357"/>
      <c r="BW206" s="357"/>
      <c r="BX206" s="357"/>
      <c r="BY206" s="357"/>
      <c r="BZ206" s="357"/>
      <c r="CA206" s="357"/>
      <c r="CB206" s="357"/>
      <c r="CC206" s="357"/>
      <c r="CD206" s="357"/>
      <c r="CE206" s="357"/>
      <c r="CF206" s="357"/>
      <c r="CG206" s="357"/>
      <c r="CH206" s="357"/>
      <c r="CI206" s="357"/>
      <c r="CJ206" s="357"/>
      <c r="CK206" s="357"/>
      <c r="CL206" s="357"/>
      <c r="CM206" s="357"/>
      <c r="CN206" s="357"/>
      <c r="CO206" s="357"/>
      <c r="CP206" s="357"/>
      <c r="CQ206" s="357"/>
      <c r="CR206" s="357"/>
      <c r="CS206" s="357"/>
      <c r="CT206" s="357"/>
      <c r="CU206" s="357"/>
      <c r="CV206" s="357"/>
      <c r="CW206" s="357"/>
      <c r="CX206" s="357"/>
      <c r="CY206" s="357"/>
      <c r="CZ206" s="357"/>
      <c r="DA206" s="357"/>
      <c r="DB206" s="357"/>
      <c r="DC206" s="357"/>
      <c r="DD206" s="357"/>
      <c r="DE206" s="357"/>
      <c r="DF206" s="357"/>
      <c r="DG206" s="357"/>
      <c r="DH206" s="357"/>
      <c r="DI206" s="357"/>
      <c r="DJ206" s="357"/>
      <c r="DK206" s="357"/>
      <c r="DL206" s="357"/>
      <c r="DM206" s="357"/>
      <c r="DN206" s="357"/>
      <c r="DO206" s="357"/>
      <c r="DP206" s="357"/>
      <c r="DQ206" s="357"/>
      <c r="DR206" s="357"/>
      <c r="DS206" s="357"/>
      <c r="DT206" s="357"/>
      <c r="DU206" s="357"/>
      <c r="DV206" s="357"/>
      <c r="DW206" s="357"/>
      <c r="DX206" s="357"/>
      <c r="DY206" s="357"/>
      <c r="DZ206" s="357"/>
      <c r="EA206" s="357"/>
      <c r="EB206" s="357"/>
      <c r="EC206" s="357"/>
      <c r="ED206" s="357"/>
      <c r="EE206" s="357"/>
      <c r="EF206" s="357"/>
      <c r="EG206" s="357"/>
      <c r="EH206" s="357"/>
      <c r="EI206" s="357"/>
      <c r="EJ206" s="357"/>
      <c r="EK206" s="357"/>
      <c r="EL206" s="357"/>
      <c r="EM206" s="357"/>
      <c r="EN206" s="357"/>
      <c r="EO206" s="357"/>
      <c r="EP206" s="357"/>
      <c r="EQ206" s="357"/>
      <c r="ER206" s="357"/>
      <c r="ES206" s="357"/>
      <c r="ET206" s="357"/>
      <c r="EU206" s="357"/>
      <c r="EV206" s="357"/>
      <c r="EW206" s="357"/>
      <c r="EX206" s="357"/>
      <c r="EY206" s="357"/>
      <c r="EZ206" s="357"/>
      <c r="FA206" s="357"/>
      <c r="FB206" s="357"/>
      <c r="FC206" s="357"/>
      <c r="FD206" s="357"/>
      <c r="FE206" s="357"/>
      <c r="FF206" s="357"/>
      <c r="FG206" s="357"/>
      <c r="FH206" s="357"/>
      <c r="FI206" s="357"/>
      <c r="FJ206" s="357"/>
      <c r="FK206" s="357"/>
      <c r="FL206" s="357"/>
      <c r="FM206" s="357"/>
      <c r="FN206" s="357"/>
      <c r="FO206" s="357"/>
      <c r="FP206" s="357"/>
      <c r="FQ206" s="357"/>
      <c r="FR206" s="357"/>
      <c r="FS206" s="357"/>
      <c r="FT206" s="357"/>
      <c r="FU206" s="357"/>
      <c r="FV206" s="357"/>
      <c r="FW206" s="357"/>
      <c r="FX206" s="357"/>
      <c r="FY206" s="357"/>
      <c r="FZ206" s="357"/>
      <c r="GA206" s="357"/>
      <c r="GB206" s="357"/>
      <c r="GC206" s="357"/>
      <c r="GD206" s="357"/>
      <c r="GE206" s="357"/>
      <c r="GF206" s="357"/>
      <c r="GG206" s="357"/>
      <c r="GH206" s="357"/>
      <c r="GI206" s="357"/>
      <c r="GJ206" s="357"/>
      <c r="GK206" s="357"/>
      <c r="GL206" s="357"/>
      <c r="GM206" s="357"/>
      <c r="GN206" s="357"/>
      <c r="GO206" s="357"/>
      <c r="GP206" s="357"/>
      <c r="GQ206" s="357"/>
      <c r="GR206" s="357"/>
      <c r="GS206" s="357"/>
      <c r="GT206" s="357"/>
      <c r="GU206" s="357"/>
      <c r="GV206" s="357"/>
      <c r="GW206" s="357"/>
      <c r="GX206" s="357"/>
      <c r="GY206" s="357"/>
      <c r="GZ206" s="357"/>
      <c r="HA206" s="357"/>
      <c r="HB206" s="357"/>
      <c r="HC206" s="357"/>
      <c r="HD206" s="357"/>
      <c r="HE206" s="357"/>
      <c r="HF206" s="357"/>
      <c r="HG206" s="357"/>
      <c r="HH206" s="357"/>
      <c r="HI206" s="357"/>
      <c r="HJ206" s="357"/>
      <c r="HK206" s="357"/>
      <c r="HL206" s="357"/>
      <c r="HM206" s="357"/>
      <c r="HN206" s="357"/>
      <c r="HO206" s="357"/>
      <c r="HP206" s="357"/>
      <c r="HQ206" s="357"/>
      <c r="HR206" s="357"/>
      <c r="HS206" s="357"/>
      <c r="HT206" s="357"/>
      <c r="HU206" s="357"/>
      <c r="HV206" s="357"/>
      <c r="HW206" s="357"/>
      <c r="HX206" s="357"/>
      <c r="HY206" s="357"/>
      <c r="HZ206" s="357"/>
      <c r="IA206" s="357"/>
      <c r="IB206" s="357"/>
      <c r="IC206" s="357"/>
      <c r="ID206" s="357"/>
      <c r="IE206" s="357"/>
      <c r="IF206" s="357"/>
      <c r="IG206" s="357"/>
      <c r="IH206" s="357"/>
      <c r="II206" s="357"/>
      <c r="IJ206" s="357"/>
      <c r="IK206" s="357"/>
      <c r="IL206" s="357"/>
      <c r="IM206" s="357"/>
      <c r="IN206" s="357"/>
      <c r="IO206" s="357"/>
      <c r="IP206" s="357"/>
      <c r="IQ206" s="357"/>
      <c r="IR206" s="357"/>
      <c r="IS206" s="357"/>
      <c r="IT206" s="357"/>
      <c r="IU206" s="357"/>
      <c r="IV206" s="357"/>
      <c r="IW206" s="357"/>
      <c r="IX206" s="357"/>
      <c r="IY206" s="357"/>
      <c r="IZ206" s="357"/>
      <c r="JA206" s="357"/>
      <c r="JB206" s="357"/>
      <c r="JC206" s="357"/>
      <c r="JD206" s="357"/>
      <c r="JE206" s="357"/>
      <c r="JF206" s="357"/>
      <c r="JG206" s="357"/>
      <c r="JH206" s="357"/>
      <c r="JI206" s="357"/>
      <c r="JJ206" s="357"/>
      <c r="JK206" s="357"/>
      <c r="JL206" s="357"/>
      <c r="JM206" s="357"/>
      <c r="JN206" s="357"/>
      <c r="JO206" s="357"/>
      <c r="JP206" s="357"/>
      <c r="JQ206" s="357"/>
      <c r="JR206" s="357"/>
      <c r="JS206" s="357"/>
      <c r="JT206" s="357"/>
      <c r="JU206" s="357"/>
      <c r="JV206" s="357"/>
      <c r="JW206" s="357"/>
      <c r="JX206" s="357"/>
      <c r="JY206" s="357"/>
      <c r="JZ206" s="357"/>
      <c r="KA206" s="357"/>
      <c r="KB206" s="357"/>
      <c r="KC206" s="357"/>
      <c r="KD206" s="357"/>
      <c r="KE206" s="357"/>
      <c r="KF206" s="357"/>
      <c r="KG206" s="357"/>
      <c r="KH206" s="357"/>
      <c r="KI206" s="357"/>
      <c r="KJ206" s="357"/>
      <c r="KK206" s="357"/>
      <c r="KL206" s="357"/>
      <c r="KM206" s="357"/>
      <c r="KN206" s="357"/>
      <c r="KO206" s="357"/>
      <c r="KP206" s="357"/>
      <c r="KQ206" s="357"/>
      <c r="KR206" s="357"/>
      <c r="KS206" s="357"/>
      <c r="KT206" s="357"/>
      <c r="KU206" s="357"/>
      <c r="KV206" s="357"/>
      <c r="KW206" s="357"/>
      <c r="KX206" s="357"/>
      <c r="KY206" s="357"/>
      <c r="KZ206" s="357"/>
      <c r="LA206" s="357"/>
      <c r="LB206" s="357"/>
      <c r="LC206" s="357"/>
      <c r="LD206" s="357"/>
      <c r="LE206" s="357"/>
      <c r="LF206" s="357"/>
      <c r="LG206" s="357"/>
      <c r="LH206" s="357"/>
      <c r="LI206" s="357"/>
      <c r="LJ206" s="357"/>
      <c r="LK206" s="357"/>
      <c r="LL206" s="357"/>
      <c r="LM206" s="357"/>
      <c r="LN206" s="357"/>
      <c r="LO206" s="357"/>
      <c r="LP206" s="357"/>
      <c r="LQ206" s="357"/>
      <c r="LR206" s="357"/>
      <c r="LS206" s="357"/>
      <c r="LT206" s="357"/>
      <c r="LU206" s="357"/>
      <c r="LV206" s="357"/>
      <c r="LW206" s="357"/>
      <c r="LX206" s="357"/>
      <c r="LY206" s="357"/>
      <c r="LZ206" s="357"/>
      <c r="MA206" s="357"/>
      <c r="MB206" s="357"/>
    </row>
    <row r="207" spans="1:340" s="358" customFormat="1" ht="22.5" customHeight="1">
      <c r="A207" s="2742"/>
      <c r="B207" s="471"/>
      <c r="C207" s="1126"/>
      <c r="D207" s="1148"/>
      <c r="E207" s="1134"/>
      <c r="F207" s="1141"/>
      <c r="G207" s="1139"/>
      <c r="H207" s="1147"/>
      <c r="I207" s="1127"/>
      <c r="J207" s="2746" t="s">
        <v>4768</v>
      </c>
      <c r="K207" s="2745"/>
      <c r="L207" s="2745"/>
      <c r="M207" s="2745"/>
      <c r="N207" s="2745"/>
      <c r="O207" s="2745"/>
      <c r="P207" s="1675"/>
      <c r="Q207" s="2747"/>
      <c r="R207" s="2743"/>
      <c r="S207" s="2747">
        <v>9000000</v>
      </c>
      <c r="T207" s="2747" t="s">
        <v>264</v>
      </c>
      <c r="U207" s="1675"/>
      <c r="V207" s="2747">
        <v>1</v>
      </c>
      <c r="W207" s="2747" t="s">
        <v>265</v>
      </c>
      <c r="X207" s="1140" t="s">
        <v>266</v>
      </c>
      <c r="Y207" s="1674">
        <f t="shared" si="50"/>
        <v>9000</v>
      </c>
      <c r="Z207" s="407">
        <f t="shared" si="51"/>
        <v>9000000</v>
      </c>
      <c r="AB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357"/>
      <c r="AN207" s="357"/>
      <c r="AO207" s="357"/>
      <c r="AP207" s="357"/>
      <c r="AQ207" s="357"/>
      <c r="AR207" s="357"/>
      <c r="AS207" s="357"/>
      <c r="AT207" s="357"/>
      <c r="AU207" s="357"/>
      <c r="AV207" s="357"/>
      <c r="AW207" s="357"/>
      <c r="AX207" s="357"/>
      <c r="AY207" s="357"/>
      <c r="AZ207" s="357"/>
      <c r="BA207" s="357"/>
      <c r="BB207" s="357"/>
      <c r="BC207" s="357"/>
      <c r="BD207" s="357"/>
      <c r="BE207" s="357"/>
      <c r="BF207" s="357"/>
      <c r="BG207" s="357"/>
      <c r="BH207" s="357"/>
      <c r="BI207" s="357"/>
      <c r="BJ207" s="357"/>
      <c r="BK207" s="357"/>
      <c r="BL207" s="357"/>
      <c r="BM207" s="357"/>
      <c r="BN207" s="357"/>
      <c r="BO207" s="357"/>
      <c r="BP207" s="357"/>
      <c r="BQ207" s="357"/>
      <c r="BR207" s="357"/>
      <c r="BS207" s="357"/>
      <c r="BT207" s="357"/>
      <c r="BU207" s="357"/>
      <c r="BV207" s="357"/>
      <c r="BW207" s="357"/>
      <c r="BX207" s="357"/>
      <c r="BY207" s="357"/>
      <c r="BZ207" s="357"/>
      <c r="CA207" s="357"/>
      <c r="CB207" s="357"/>
      <c r="CC207" s="357"/>
      <c r="CD207" s="357"/>
      <c r="CE207" s="357"/>
      <c r="CF207" s="357"/>
      <c r="CG207" s="357"/>
      <c r="CH207" s="357"/>
      <c r="CI207" s="357"/>
      <c r="CJ207" s="357"/>
      <c r="CK207" s="357"/>
      <c r="CL207" s="357"/>
      <c r="CM207" s="357"/>
      <c r="CN207" s="357"/>
      <c r="CO207" s="357"/>
      <c r="CP207" s="357"/>
      <c r="CQ207" s="357"/>
      <c r="CR207" s="357"/>
      <c r="CS207" s="357"/>
      <c r="CT207" s="357"/>
      <c r="CU207" s="357"/>
      <c r="CV207" s="357"/>
      <c r="CW207" s="357"/>
      <c r="CX207" s="357"/>
      <c r="CY207" s="357"/>
      <c r="CZ207" s="357"/>
      <c r="DA207" s="357"/>
      <c r="DB207" s="357"/>
      <c r="DC207" s="357"/>
      <c r="DD207" s="357"/>
      <c r="DE207" s="357"/>
      <c r="DF207" s="357"/>
      <c r="DG207" s="357"/>
      <c r="DH207" s="357"/>
      <c r="DI207" s="357"/>
      <c r="DJ207" s="357"/>
      <c r="DK207" s="357"/>
      <c r="DL207" s="357"/>
      <c r="DM207" s="357"/>
      <c r="DN207" s="357"/>
      <c r="DO207" s="357"/>
      <c r="DP207" s="357"/>
      <c r="DQ207" s="357"/>
      <c r="DR207" s="357"/>
      <c r="DS207" s="357"/>
      <c r="DT207" s="357"/>
      <c r="DU207" s="357"/>
      <c r="DV207" s="357"/>
      <c r="DW207" s="357"/>
      <c r="DX207" s="357"/>
      <c r="DY207" s="357"/>
      <c r="DZ207" s="357"/>
      <c r="EA207" s="357"/>
      <c r="EB207" s="357"/>
      <c r="EC207" s="357"/>
      <c r="ED207" s="357"/>
      <c r="EE207" s="357"/>
      <c r="EF207" s="357"/>
      <c r="EG207" s="357"/>
      <c r="EH207" s="357"/>
      <c r="EI207" s="357"/>
      <c r="EJ207" s="357"/>
      <c r="EK207" s="357"/>
      <c r="EL207" s="357"/>
      <c r="EM207" s="357"/>
      <c r="EN207" s="357"/>
      <c r="EO207" s="357"/>
      <c r="EP207" s="357"/>
      <c r="EQ207" s="357"/>
      <c r="ER207" s="357"/>
      <c r="ES207" s="357"/>
      <c r="ET207" s="357"/>
      <c r="EU207" s="357"/>
      <c r="EV207" s="357"/>
      <c r="EW207" s="357"/>
      <c r="EX207" s="357"/>
      <c r="EY207" s="357"/>
      <c r="EZ207" s="357"/>
      <c r="FA207" s="357"/>
      <c r="FB207" s="357"/>
      <c r="FC207" s="357"/>
      <c r="FD207" s="357"/>
      <c r="FE207" s="357"/>
      <c r="FF207" s="357"/>
      <c r="FG207" s="357"/>
      <c r="FH207" s="357"/>
      <c r="FI207" s="357"/>
      <c r="FJ207" s="357"/>
      <c r="FK207" s="357"/>
      <c r="FL207" s="357"/>
      <c r="FM207" s="357"/>
      <c r="FN207" s="357"/>
      <c r="FO207" s="357"/>
      <c r="FP207" s="357"/>
      <c r="FQ207" s="357"/>
      <c r="FR207" s="357"/>
      <c r="FS207" s="357"/>
      <c r="FT207" s="357"/>
      <c r="FU207" s="357"/>
      <c r="FV207" s="357"/>
      <c r="FW207" s="357"/>
      <c r="FX207" s="357"/>
      <c r="FY207" s="357"/>
      <c r="FZ207" s="357"/>
      <c r="GA207" s="357"/>
      <c r="GB207" s="357"/>
      <c r="GC207" s="357"/>
      <c r="GD207" s="357"/>
      <c r="GE207" s="357"/>
      <c r="GF207" s="357"/>
      <c r="GG207" s="357"/>
      <c r="GH207" s="357"/>
      <c r="GI207" s="357"/>
      <c r="GJ207" s="357"/>
      <c r="GK207" s="357"/>
      <c r="GL207" s="357"/>
      <c r="GM207" s="357"/>
      <c r="GN207" s="357"/>
      <c r="GO207" s="357"/>
      <c r="GP207" s="357"/>
      <c r="GQ207" s="357"/>
      <c r="GR207" s="357"/>
      <c r="GS207" s="357"/>
      <c r="GT207" s="357"/>
      <c r="GU207" s="357"/>
      <c r="GV207" s="357"/>
      <c r="GW207" s="357"/>
      <c r="GX207" s="357"/>
      <c r="GY207" s="357"/>
      <c r="GZ207" s="357"/>
      <c r="HA207" s="357"/>
      <c r="HB207" s="357"/>
      <c r="HC207" s="357"/>
      <c r="HD207" s="357"/>
      <c r="HE207" s="357"/>
      <c r="HF207" s="357"/>
      <c r="HG207" s="357"/>
      <c r="HH207" s="357"/>
      <c r="HI207" s="357"/>
      <c r="HJ207" s="357"/>
      <c r="HK207" s="357"/>
      <c r="HL207" s="357"/>
      <c r="HM207" s="357"/>
      <c r="HN207" s="357"/>
      <c r="HO207" s="357"/>
      <c r="HP207" s="357"/>
      <c r="HQ207" s="357"/>
      <c r="HR207" s="357"/>
      <c r="HS207" s="357"/>
      <c r="HT207" s="357"/>
      <c r="HU207" s="357"/>
      <c r="HV207" s="357"/>
      <c r="HW207" s="357"/>
      <c r="HX207" s="357"/>
      <c r="HY207" s="357"/>
      <c r="HZ207" s="357"/>
      <c r="IA207" s="357"/>
      <c r="IB207" s="357"/>
      <c r="IC207" s="357"/>
      <c r="ID207" s="357"/>
      <c r="IE207" s="357"/>
      <c r="IF207" s="357"/>
      <c r="IG207" s="357"/>
      <c r="IH207" s="357"/>
      <c r="II207" s="357"/>
      <c r="IJ207" s="357"/>
      <c r="IK207" s="357"/>
      <c r="IL207" s="357"/>
      <c r="IM207" s="357"/>
      <c r="IN207" s="357"/>
      <c r="IO207" s="357"/>
      <c r="IP207" s="357"/>
      <c r="IQ207" s="357"/>
      <c r="IR207" s="357"/>
      <c r="IS207" s="357"/>
      <c r="IT207" s="357"/>
      <c r="IU207" s="357"/>
      <c r="IV207" s="357"/>
      <c r="IW207" s="357"/>
      <c r="IX207" s="357"/>
      <c r="IY207" s="357"/>
      <c r="IZ207" s="357"/>
      <c r="JA207" s="357"/>
      <c r="JB207" s="357"/>
      <c r="JC207" s="357"/>
      <c r="JD207" s="357"/>
      <c r="JE207" s="357"/>
      <c r="JF207" s="357"/>
      <c r="JG207" s="357"/>
      <c r="JH207" s="357"/>
      <c r="JI207" s="357"/>
      <c r="JJ207" s="357"/>
      <c r="JK207" s="357"/>
      <c r="JL207" s="357"/>
      <c r="JM207" s="357"/>
      <c r="JN207" s="357"/>
      <c r="JO207" s="357"/>
      <c r="JP207" s="357"/>
      <c r="JQ207" s="357"/>
      <c r="JR207" s="357"/>
      <c r="JS207" s="357"/>
      <c r="JT207" s="357"/>
      <c r="JU207" s="357"/>
      <c r="JV207" s="357"/>
      <c r="JW207" s="357"/>
      <c r="JX207" s="357"/>
      <c r="JY207" s="357"/>
      <c r="JZ207" s="357"/>
      <c r="KA207" s="357"/>
      <c r="KB207" s="357"/>
      <c r="KC207" s="357"/>
      <c r="KD207" s="357"/>
      <c r="KE207" s="357"/>
      <c r="KF207" s="357"/>
      <c r="KG207" s="357"/>
      <c r="KH207" s="357"/>
      <c r="KI207" s="357"/>
      <c r="KJ207" s="357"/>
      <c r="KK207" s="357"/>
      <c r="KL207" s="357"/>
      <c r="KM207" s="357"/>
      <c r="KN207" s="357"/>
      <c r="KO207" s="357"/>
      <c r="KP207" s="357"/>
      <c r="KQ207" s="357"/>
      <c r="KR207" s="357"/>
      <c r="KS207" s="357"/>
      <c r="KT207" s="357"/>
      <c r="KU207" s="357"/>
      <c r="KV207" s="357"/>
      <c r="KW207" s="357"/>
      <c r="KX207" s="357"/>
      <c r="KY207" s="357"/>
      <c r="KZ207" s="357"/>
      <c r="LA207" s="357"/>
      <c r="LB207" s="357"/>
      <c r="LC207" s="357"/>
      <c r="LD207" s="357"/>
      <c r="LE207" s="357"/>
      <c r="LF207" s="357"/>
      <c r="LG207" s="357"/>
      <c r="LH207" s="357"/>
      <c r="LI207" s="357"/>
      <c r="LJ207" s="357"/>
      <c r="LK207" s="357"/>
      <c r="LL207" s="357"/>
      <c r="LM207" s="357"/>
      <c r="LN207" s="357"/>
      <c r="LO207" s="357"/>
      <c r="LP207" s="357"/>
      <c r="LQ207" s="357"/>
      <c r="LR207" s="357"/>
      <c r="LS207" s="357"/>
      <c r="LT207" s="357"/>
      <c r="LU207" s="357"/>
      <c r="LV207" s="357"/>
      <c r="LW207" s="357"/>
      <c r="LX207" s="357"/>
      <c r="LY207" s="357"/>
      <c r="LZ207" s="357"/>
      <c r="MA207" s="357"/>
      <c r="MB207" s="357"/>
    </row>
    <row r="208" spans="1:340" s="358" customFormat="1" ht="21" customHeight="1">
      <c r="A208" s="2529"/>
      <c r="B208" s="471"/>
      <c r="C208" s="1126"/>
      <c r="D208" s="1148"/>
      <c r="E208" s="1134" t="s">
        <v>3213</v>
      </c>
      <c r="F208" s="1141">
        <f t="shared" ref="F208:F210" si="52">Y208</f>
        <v>3000</v>
      </c>
      <c r="G208" s="1139">
        <v>3000</v>
      </c>
      <c r="H208" s="1147"/>
      <c r="I208" s="1127"/>
      <c r="J208" s="2746" t="s">
        <v>4769</v>
      </c>
      <c r="K208" s="2745"/>
      <c r="L208" s="2745"/>
      <c r="M208" s="2745"/>
      <c r="N208" s="2745"/>
      <c r="O208" s="2745"/>
      <c r="P208" s="1675"/>
      <c r="Q208" s="2747"/>
      <c r="R208" s="2743"/>
      <c r="S208" s="2747">
        <v>3000000</v>
      </c>
      <c r="T208" s="2747" t="s">
        <v>264</v>
      </c>
      <c r="U208" s="1675"/>
      <c r="V208" s="2747">
        <v>1</v>
      </c>
      <c r="W208" s="2747" t="s">
        <v>265</v>
      </c>
      <c r="X208" s="1140" t="s">
        <v>266</v>
      </c>
      <c r="Y208" s="1674">
        <f t="shared" ref="Y208:Y209" si="53">Z208/1000</f>
        <v>3000</v>
      </c>
      <c r="Z208" s="407">
        <f>S208*V208</f>
        <v>3000000</v>
      </c>
      <c r="AB208" s="357"/>
      <c r="AD208" s="357"/>
      <c r="AE208" s="357"/>
      <c r="AF208" s="357"/>
      <c r="AG208" s="357"/>
      <c r="AH208" s="357"/>
      <c r="AI208" s="357"/>
      <c r="AJ208" s="357"/>
      <c r="AK208" s="357"/>
      <c r="AL208" s="357"/>
      <c r="AM208" s="357"/>
      <c r="AN208" s="357"/>
      <c r="AO208" s="357"/>
      <c r="AP208" s="357"/>
      <c r="AQ208" s="357"/>
      <c r="AR208" s="357"/>
      <c r="AS208" s="357"/>
      <c r="AT208" s="357"/>
      <c r="AU208" s="357"/>
      <c r="AV208" s="357"/>
      <c r="AW208" s="357"/>
      <c r="AX208" s="357"/>
      <c r="AY208" s="357"/>
      <c r="AZ208" s="357"/>
      <c r="BA208" s="357"/>
      <c r="BB208" s="357"/>
      <c r="BC208" s="357"/>
      <c r="BD208" s="357"/>
      <c r="BE208" s="357"/>
      <c r="BF208" s="357"/>
      <c r="BG208" s="357"/>
      <c r="BH208" s="357"/>
      <c r="BI208" s="357"/>
      <c r="BJ208" s="357"/>
      <c r="BK208" s="357"/>
      <c r="BL208" s="357"/>
      <c r="BM208" s="357"/>
      <c r="BN208" s="357"/>
      <c r="BO208" s="357"/>
      <c r="BP208" s="357"/>
      <c r="BQ208" s="357"/>
      <c r="BR208" s="357"/>
      <c r="BS208" s="357"/>
      <c r="BT208" s="357"/>
      <c r="BU208" s="357"/>
      <c r="BV208" s="357"/>
      <c r="BW208" s="357"/>
      <c r="BX208" s="357"/>
      <c r="BY208" s="357"/>
      <c r="BZ208" s="357"/>
      <c r="CA208" s="357"/>
      <c r="CB208" s="357"/>
      <c r="CC208" s="357"/>
      <c r="CD208" s="357"/>
      <c r="CE208" s="357"/>
      <c r="CF208" s="357"/>
      <c r="CG208" s="357"/>
      <c r="CH208" s="357"/>
      <c r="CI208" s="357"/>
      <c r="CJ208" s="357"/>
      <c r="CK208" s="357"/>
      <c r="CL208" s="357"/>
      <c r="CM208" s="357"/>
      <c r="CN208" s="357"/>
      <c r="CO208" s="357"/>
      <c r="CP208" s="357"/>
      <c r="CQ208" s="357"/>
      <c r="CR208" s="357"/>
      <c r="CS208" s="357"/>
      <c r="CT208" s="357"/>
      <c r="CU208" s="357"/>
      <c r="CV208" s="357"/>
      <c r="CW208" s="357"/>
      <c r="CX208" s="357"/>
      <c r="CY208" s="357"/>
      <c r="CZ208" s="357"/>
      <c r="DA208" s="357"/>
      <c r="DB208" s="357"/>
      <c r="DC208" s="357"/>
      <c r="DD208" s="357"/>
      <c r="DE208" s="357"/>
      <c r="DF208" s="357"/>
      <c r="DG208" s="357"/>
      <c r="DH208" s="357"/>
      <c r="DI208" s="357"/>
      <c r="DJ208" s="357"/>
      <c r="DK208" s="357"/>
      <c r="DL208" s="357"/>
      <c r="DM208" s="357"/>
      <c r="DN208" s="357"/>
      <c r="DO208" s="357"/>
      <c r="DP208" s="357"/>
      <c r="DQ208" s="357"/>
      <c r="DR208" s="357"/>
      <c r="DS208" s="357"/>
      <c r="DT208" s="357"/>
      <c r="DU208" s="357"/>
      <c r="DV208" s="357"/>
      <c r="DW208" s="357"/>
      <c r="DX208" s="357"/>
      <c r="DY208" s="357"/>
      <c r="DZ208" s="357"/>
      <c r="EA208" s="357"/>
      <c r="EB208" s="357"/>
      <c r="EC208" s="357"/>
      <c r="ED208" s="357"/>
      <c r="EE208" s="357"/>
      <c r="EF208" s="357"/>
      <c r="EG208" s="357"/>
      <c r="EH208" s="357"/>
      <c r="EI208" s="357"/>
      <c r="EJ208" s="357"/>
      <c r="EK208" s="357"/>
      <c r="EL208" s="357"/>
      <c r="EM208" s="357"/>
      <c r="EN208" s="357"/>
      <c r="EO208" s="357"/>
      <c r="EP208" s="357"/>
      <c r="EQ208" s="357"/>
      <c r="ER208" s="357"/>
      <c r="ES208" s="357"/>
      <c r="ET208" s="357"/>
      <c r="EU208" s="357"/>
      <c r="EV208" s="357"/>
      <c r="EW208" s="357"/>
      <c r="EX208" s="357"/>
      <c r="EY208" s="357"/>
      <c r="EZ208" s="357"/>
      <c r="FA208" s="357"/>
      <c r="FB208" s="357"/>
      <c r="FC208" s="357"/>
      <c r="FD208" s="357"/>
      <c r="FE208" s="357"/>
      <c r="FF208" s="357"/>
      <c r="FG208" s="357"/>
      <c r="FH208" s="357"/>
      <c r="FI208" s="357"/>
      <c r="FJ208" s="357"/>
      <c r="FK208" s="357"/>
      <c r="FL208" s="357"/>
      <c r="FM208" s="357"/>
      <c r="FN208" s="357"/>
      <c r="FO208" s="357"/>
      <c r="FP208" s="357"/>
      <c r="FQ208" s="357"/>
      <c r="FR208" s="357"/>
      <c r="FS208" s="357"/>
      <c r="FT208" s="357"/>
      <c r="FU208" s="357"/>
      <c r="FV208" s="357"/>
      <c r="FW208" s="357"/>
      <c r="FX208" s="357"/>
      <c r="FY208" s="357"/>
      <c r="FZ208" s="357"/>
      <c r="GA208" s="357"/>
      <c r="GB208" s="357"/>
      <c r="GC208" s="357"/>
      <c r="GD208" s="357"/>
      <c r="GE208" s="357"/>
      <c r="GF208" s="357"/>
      <c r="GG208" s="357"/>
      <c r="GH208" s="357"/>
      <c r="GI208" s="357"/>
      <c r="GJ208" s="357"/>
      <c r="GK208" s="357"/>
      <c r="GL208" s="357"/>
      <c r="GM208" s="357"/>
      <c r="GN208" s="357"/>
      <c r="GO208" s="357"/>
      <c r="GP208" s="357"/>
      <c r="GQ208" s="357"/>
      <c r="GR208" s="357"/>
      <c r="GS208" s="357"/>
      <c r="GT208" s="357"/>
      <c r="GU208" s="357"/>
      <c r="GV208" s="357"/>
      <c r="GW208" s="357"/>
      <c r="GX208" s="357"/>
      <c r="GY208" s="357"/>
      <c r="GZ208" s="357"/>
      <c r="HA208" s="357"/>
      <c r="HB208" s="357"/>
      <c r="HC208" s="357"/>
      <c r="HD208" s="357"/>
      <c r="HE208" s="357"/>
      <c r="HF208" s="357"/>
      <c r="HG208" s="357"/>
      <c r="HH208" s="357"/>
      <c r="HI208" s="357"/>
      <c r="HJ208" s="357"/>
      <c r="HK208" s="357"/>
      <c r="HL208" s="357"/>
      <c r="HM208" s="357"/>
      <c r="HN208" s="357"/>
      <c r="HO208" s="357"/>
      <c r="HP208" s="357"/>
      <c r="HQ208" s="357"/>
      <c r="HR208" s="357"/>
      <c r="HS208" s="357"/>
      <c r="HT208" s="357"/>
      <c r="HU208" s="357"/>
      <c r="HV208" s="357"/>
      <c r="HW208" s="357"/>
      <c r="HX208" s="357"/>
      <c r="HY208" s="357"/>
      <c r="HZ208" s="357"/>
      <c r="IA208" s="357"/>
      <c r="IB208" s="357"/>
      <c r="IC208" s="357"/>
      <c r="ID208" s="357"/>
      <c r="IE208" s="357"/>
      <c r="IF208" s="357"/>
      <c r="IG208" s="357"/>
      <c r="IH208" s="357"/>
      <c r="II208" s="357"/>
      <c r="IJ208" s="357"/>
      <c r="IK208" s="357"/>
      <c r="IL208" s="357"/>
      <c r="IM208" s="357"/>
      <c r="IN208" s="357"/>
      <c r="IO208" s="357"/>
      <c r="IP208" s="357"/>
      <c r="IQ208" s="357"/>
      <c r="IR208" s="357"/>
      <c r="IS208" s="357"/>
      <c r="IT208" s="357"/>
      <c r="IU208" s="357"/>
      <c r="IV208" s="357"/>
      <c r="IW208" s="357"/>
      <c r="IX208" s="357"/>
      <c r="IY208" s="357"/>
      <c r="IZ208" s="357"/>
      <c r="JA208" s="357"/>
      <c r="JB208" s="357"/>
      <c r="JC208" s="357"/>
      <c r="JD208" s="357"/>
      <c r="JE208" s="357"/>
      <c r="JF208" s="357"/>
      <c r="JG208" s="357"/>
      <c r="JH208" s="357"/>
      <c r="JI208" s="357"/>
      <c r="JJ208" s="357"/>
      <c r="JK208" s="357"/>
      <c r="JL208" s="357"/>
      <c r="JM208" s="357"/>
      <c r="JN208" s="357"/>
      <c r="JO208" s="357"/>
      <c r="JP208" s="357"/>
      <c r="JQ208" s="357"/>
      <c r="JR208" s="357"/>
      <c r="JS208" s="357"/>
      <c r="JT208" s="357"/>
      <c r="JU208" s="357"/>
      <c r="JV208" s="357"/>
      <c r="JW208" s="357"/>
      <c r="JX208" s="357"/>
      <c r="JY208" s="357"/>
      <c r="JZ208" s="357"/>
      <c r="KA208" s="357"/>
      <c r="KB208" s="357"/>
      <c r="KC208" s="357"/>
      <c r="KD208" s="357"/>
      <c r="KE208" s="357"/>
      <c r="KF208" s="357"/>
      <c r="KG208" s="357"/>
      <c r="KH208" s="357"/>
      <c r="KI208" s="357"/>
      <c r="KJ208" s="357"/>
      <c r="KK208" s="357"/>
      <c r="KL208" s="357"/>
      <c r="KM208" s="357"/>
      <c r="KN208" s="357"/>
      <c r="KO208" s="357"/>
      <c r="KP208" s="357"/>
      <c r="KQ208" s="357"/>
      <c r="KR208" s="357"/>
      <c r="KS208" s="357"/>
      <c r="KT208" s="357"/>
      <c r="KU208" s="357"/>
      <c r="KV208" s="357"/>
      <c r="KW208" s="357"/>
      <c r="KX208" s="357"/>
      <c r="KY208" s="357"/>
      <c r="KZ208" s="357"/>
      <c r="LA208" s="357"/>
      <c r="LB208" s="357"/>
      <c r="LC208" s="357"/>
      <c r="LD208" s="357"/>
      <c r="LE208" s="357"/>
      <c r="LF208" s="357"/>
      <c r="LG208" s="357"/>
      <c r="LH208" s="357"/>
      <c r="LI208" s="357"/>
      <c r="LJ208" s="357"/>
      <c r="LK208" s="357"/>
      <c r="LL208" s="357"/>
      <c r="LM208" s="357"/>
      <c r="LN208" s="357"/>
      <c r="LO208" s="357"/>
      <c r="LP208" s="357"/>
      <c r="LQ208" s="357"/>
      <c r="LR208" s="357"/>
      <c r="LS208" s="357"/>
      <c r="LT208" s="357"/>
      <c r="LU208" s="357"/>
      <c r="LV208" s="357"/>
      <c r="LW208" s="357"/>
      <c r="LX208" s="357"/>
      <c r="LY208" s="357"/>
      <c r="LZ208" s="357"/>
      <c r="MA208" s="357"/>
      <c r="MB208" s="357"/>
    </row>
    <row r="209" spans="1:340" s="358" customFormat="1" ht="21" customHeight="1">
      <c r="A209" s="2892"/>
      <c r="B209" s="471"/>
      <c r="C209" s="1126"/>
      <c r="D209" s="1148"/>
      <c r="E209" s="1134" t="s">
        <v>224</v>
      </c>
      <c r="F209" s="1141">
        <f>Y209</f>
        <v>1000</v>
      </c>
      <c r="G209" s="1139">
        <v>1000</v>
      </c>
      <c r="H209" s="1147"/>
      <c r="I209" s="1675"/>
      <c r="J209" s="2899" t="s">
        <v>2698</v>
      </c>
      <c r="K209" s="2889"/>
      <c r="L209" s="2889"/>
      <c r="M209" s="2889"/>
      <c r="N209" s="2889"/>
      <c r="O209" s="2889"/>
      <c r="P209" s="1675"/>
      <c r="Q209" s="2900"/>
      <c r="R209" s="2895"/>
      <c r="S209" s="2900">
        <v>1000000</v>
      </c>
      <c r="T209" s="2900" t="s">
        <v>0</v>
      </c>
      <c r="U209" s="1675"/>
      <c r="V209" s="2900">
        <v>1</v>
      </c>
      <c r="W209" s="2900" t="s">
        <v>3</v>
      </c>
      <c r="X209" s="1140" t="s">
        <v>266</v>
      </c>
      <c r="Y209" s="1674">
        <f t="shared" si="53"/>
        <v>1000</v>
      </c>
      <c r="Z209" s="407">
        <f>S209*V209</f>
        <v>1000000</v>
      </c>
      <c r="AB209" s="357"/>
      <c r="AD209" s="357"/>
      <c r="AE209" s="357"/>
      <c r="AF209" s="357"/>
      <c r="AG209" s="357"/>
      <c r="AH209" s="357"/>
      <c r="AI209" s="357"/>
      <c r="AJ209" s="357"/>
      <c r="AK209" s="357"/>
      <c r="AL209" s="357"/>
      <c r="AM209" s="357"/>
      <c r="AN209" s="357"/>
      <c r="AO209" s="357"/>
      <c r="AP209" s="357"/>
      <c r="AQ209" s="357"/>
      <c r="AR209" s="357"/>
      <c r="AS209" s="357"/>
      <c r="AT209" s="357"/>
      <c r="AU209" s="357"/>
      <c r="AV209" s="357"/>
      <c r="AW209" s="357"/>
      <c r="AX209" s="357"/>
      <c r="AY209" s="357"/>
      <c r="AZ209" s="357"/>
      <c r="BA209" s="357"/>
      <c r="BB209" s="357"/>
      <c r="BC209" s="357"/>
      <c r="BD209" s="357"/>
      <c r="BE209" s="357"/>
      <c r="BF209" s="357"/>
      <c r="BG209" s="357"/>
      <c r="BH209" s="357"/>
      <c r="BI209" s="357"/>
      <c r="BJ209" s="357"/>
      <c r="BK209" s="357"/>
      <c r="BL209" s="357"/>
      <c r="BM209" s="357"/>
      <c r="BN209" s="357"/>
      <c r="BO209" s="357"/>
      <c r="BP209" s="357"/>
      <c r="BQ209" s="357"/>
      <c r="BR209" s="357"/>
      <c r="BS209" s="357"/>
      <c r="BT209" s="357"/>
      <c r="BU209" s="357"/>
      <c r="BV209" s="357"/>
      <c r="BW209" s="357"/>
      <c r="BX209" s="357"/>
      <c r="BY209" s="357"/>
      <c r="BZ209" s="357"/>
      <c r="CA209" s="357"/>
      <c r="CB209" s="357"/>
      <c r="CC209" s="357"/>
      <c r="CD209" s="357"/>
      <c r="CE209" s="357"/>
      <c r="CF209" s="357"/>
      <c r="CG209" s="357"/>
      <c r="CH209" s="357"/>
      <c r="CI209" s="357"/>
      <c r="CJ209" s="357"/>
      <c r="CK209" s="357"/>
      <c r="CL209" s="357"/>
      <c r="CM209" s="357"/>
      <c r="CN209" s="357"/>
      <c r="CO209" s="357"/>
      <c r="CP209" s="357"/>
      <c r="CQ209" s="357"/>
      <c r="CR209" s="357"/>
      <c r="CS209" s="357"/>
      <c r="CT209" s="357"/>
      <c r="CU209" s="357"/>
      <c r="CV209" s="357"/>
      <c r="CW209" s="357"/>
      <c r="CX209" s="357"/>
      <c r="CY209" s="357"/>
      <c r="CZ209" s="357"/>
      <c r="DA209" s="357"/>
      <c r="DB209" s="357"/>
      <c r="DC209" s="357"/>
      <c r="DD209" s="357"/>
      <c r="DE209" s="357"/>
      <c r="DF209" s="357"/>
      <c r="DG209" s="357"/>
      <c r="DH209" s="357"/>
      <c r="DI209" s="357"/>
      <c r="DJ209" s="357"/>
      <c r="DK209" s="357"/>
      <c r="DL209" s="357"/>
      <c r="DM209" s="357"/>
      <c r="DN209" s="357"/>
      <c r="DO209" s="357"/>
      <c r="DP209" s="357"/>
      <c r="DQ209" s="357"/>
      <c r="DR209" s="357"/>
      <c r="DS209" s="357"/>
      <c r="DT209" s="357"/>
      <c r="DU209" s="357"/>
      <c r="DV209" s="357"/>
      <c r="DW209" s="357"/>
      <c r="DX209" s="357"/>
      <c r="DY209" s="357"/>
      <c r="DZ209" s="357"/>
      <c r="EA209" s="357"/>
      <c r="EB209" s="357"/>
      <c r="EC209" s="357"/>
      <c r="ED209" s="357"/>
      <c r="EE209" s="357"/>
      <c r="EF209" s="357"/>
      <c r="EG209" s="357"/>
      <c r="EH209" s="357"/>
      <c r="EI209" s="357"/>
      <c r="EJ209" s="357"/>
      <c r="EK209" s="357"/>
      <c r="EL209" s="357"/>
      <c r="EM209" s="357"/>
      <c r="EN209" s="357"/>
      <c r="EO209" s="357"/>
      <c r="EP209" s="357"/>
      <c r="EQ209" s="357"/>
      <c r="ER209" s="357"/>
      <c r="ES209" s="357"/>
      <c r="ET209" s="357"/>
      <c r="EU209" s="357"/>
      <c r="EV209" s="357"/>
      <c r="EW209" s="357"/>
      <c r="EX209" s="357"/>
      <c r="EY209" s="357"/>
      <c r="EZ209" s="357"/>
      <c r="FA209" s="357"/>
      <c r="FB209" s="357"/>
      <c r="FC209" s="357"/>
      <c r="FD209" s="357"/>
      <c r="FE209" s="357"/>
      <c r="FF209" s="357"/>
      <c r="FG209" s="357"/>
      <c r="FH209" s="357"/>
      <c r="FI209" s="357"/>
      <c r="FJ209" s="357"/>
      <c r="FK209" s="357"/>
      <c r="FL209" s="357"/>
      <c r="FM209" s="357"/>
      <c r="FN209" s="357"/>
      <c r="FO209" s="357"/>
      <c r="FP209" s="357"/>
      <c r="FQ209" s="357"/>
      <c r="FR209" s="357"/>
      <c r="FS209" s="357"/>
      <c r="FT209" s="357"/>
      <c r="FU209" s="357"/>
      <c r="FV209" s="357"/>
      <c r="FW209" s="357"/>
      <c r="FX209" s="357"/>
      <c r="FY209" s="357"/>
      <c r="FZ209" s="357"/>
      <c r="GA209" s="357"/>
      <c r="GB209" s="357"/>
      <c r="GC209" s="357"/>
      <c r="GD209" s="357"/>
      <c r="GE209" s="357"/>
      <c r="GF209" s="357"/>
      <c r="GG209" s="357"/>
      <c r="GH209" s="357"/>
      <c r="GI209" s="357"/>
      <c r="GJ209" s="357"/>
      <c r="GK209" s="357"/>
      <c r="GL209" s="357"/>
      <c r="GM209" s="357"/>
      <c r="GN209" s="357"/>
      <c r="GO209" s="357"/>
      <c r="GP209" s="357"/>
      <c r="GQ209" s="357"/>
      <c r="GR209" s="357"/>
      <c r="GS209" s="357"/>
      <c r="GT209" s="357"/>
      <c r="GU209" s="357"/>
      <c r="GV209" s="357"/>
      <c r="GW209" s="357"/>
      <c r="GX209" s="357"/>
      <c r="GY209" s="357"/>
      <c r="GZ209" s="357"/>
      <c r="HA209" s="357"/>
      <c r="HB209" s="357"/>
      <c r="HC209" s="357"/>
      <c r="HD209" s="357"/>
      <c r="HE209" s="357"/>
      <c r="HF209" s="357"/>
      <c r="HG209" s="357"/>
      <c r="HH209" s="357"/>
      <c r="HI209" s="357"/>
      <c r="HJ209" s="357"/>
      <c r="HK209" s="357"/>
      <c r="HL209" s="357"/>
      <c r="HM209" s="357"/>
      <c r="HN209" s="357"/>
      <c r="HO209" s="357"/>
      <c r="HP209" s="357"/>
      <c r="HQ209" s="357"/>
      <c r="HR209" s="357"/>
      <c r="HS209" s="357"/>
      <c r="HT209" s="357"/>
      <c r="HU209" s="357"/>
      <c r="HV209" s="357"/>
      <c r="HW209" s="357"/>
      <c r="HX209" s="357"/>
      <c r="HY209" s="357"/>
      <c r="HZ209" s="357"/>
      <c r="IA209" s="357"/>
      <c r="IB209" s="357"/>
      <c r="IC209" s="357"/>
      <c r="ID209" s="357"/>
      <c r="IE209" s="357"/>
      <c r="IF209" s="357"/>
      <c r="IG209" s="357"/>
      <c r="IH209" s="357"/>
      <c r="II209" s="357"/>
      <c r="IJ209" s="357"/>
      <c r="IK209" s="357"/>
      <c r="IL209" s="357"/>
      <c r="IM209" s="357"/>
      <c r="IN209" s="357"/>
      <c r="IO209" s="357"/>
      <c r="IP209" s="357"/>
      <c r="IQ209" s="357"/>
      <c r="IR209" s="357"/>
      <c r="IS209" s="357"/>
      <c r="IT209" s="357"/>
      <c r="IU209" s="357"/>
      <c r="IV209" s="357"/>
      <c r="IW209" s="357"/>
      <c r="IX209" s="357"/>
      <c r="IY209" s="357"/>
      <c r="IZ209" s="357"/>
      <c r="JA209" s="357"/>
      <c r="JB209" s="357"/>
      <c r="JC209" s="357"/>
      <c r="JD209" s="357"/>
      <c r="JE209" s="357"/>
      <c r="JF209" s="357"/>
      <c r="JG209" s="357"/>
      <c r="JH209" s="357"/>
      <c r="JI209" s="357"/>
      <c r="JJ209" s="357"/>
      <c r="JK209" s="357"/>
      <c r="JL209" s="357"/>
      <c r="JM209" s="357"/>
      <c r="JN209" s="357"/>
      <c r="JO209" s="357"/>
      <c r="JP209" s="357"/>
      <c r="JQ209" s="357"/>
      <c r="JR209" s="357"/>
      <c r="JS209" s="357"/>
      <c r="JT209" s="357"/>
      <c r="JU209" s="357"/>
      <c r="JV209" s="357"/>
      <c r="JW209" s="357"/>
      <c r="JX209" s="357"/>
      <c r="JY209" s="357"/>
      <c r="JZ209" s="357"/>
      <c r="KA209" s="357"/>
      <c r="KB209" s="357"/>
      <c r="KC209" s="357"/>
      <c r="KD209" s="357"/>
      <c r="KE209" s="357"/>
      <c r="KF209" s="357"/>
      <c r="KG209" s="357"/>
      <c r="KH209" s="357"/>
      <c r="KI209" s="357"/>
      <c r="KJ209" s="357"/>
      <c r="KK209" s="357"/>
      <c r="KL209" s="357"/>
      <c r="KM209" s="357"/>
      <c r="KN209" s="357"/>
      <c r="KO209" s="357"/>
      <c r="KP209" s="357"/>
      <c r="KQ209" s="357"/>
      <c r="KR209" s="357"/>
      <c r="KS209" s="357"/>
      <c r="KT209" s="357"/>
      <c r="KU209" s="357"/>
      <c r="KV209" s="357"/>
      <c r="KW209" s="357"/>
      <c r="KX209" s="357"/>
      <c r="KY209" s="357"/>
      <c r="KZ209" s="357"/>
      <c r="LA209" s="357"/>
      <c r="LB209" s="357"/>
      <c r="LC209" s="357"/>
      <c r="LD209" s="357"/>
      <c r="LE209" s="357"/>
      <c r="LF209" s="357"/>
      <c r="LG209" s="357"/>
      <c r="LH209" s="357"/>
      <c r="LI209" s="357"/>
      <c r="LJ209" s="357"/>
      <c r="LK209" s="357"/>
      <c r="LL209" s="357"/>
      <c r="LM209" s="357"/>
      <c r="LN209" s="357"/>
      <c r="LO209" s="357"/>
      <c r="LP209" s="357"/>
      <c r="LQ209" s="357"/>
      <c r="LR209" s="357"/>
      <c r="LS209" s="357"/>
      <c r="LT209" s="357"/>
      <c r="LU209" s="357"/>
      <c r="LV209" s="357"/>
      <c r="LW209" s="357"/>
      <c r="LX209" s="357"/>
      <c r="LY209" s="357"/>
      <c r="LZ209" s="357"/>
      <c r="MA209" s="357"/>
      <c r="MB209" s="357"/>
    </row>
    <row r="210" spans="1:340" s="358" customFormat="1" ht="21" customHeight="1">
      <c r="A210" s="2529"/>
      <c r="B210" s="471"/>
      <c r="C210" s="1126"/>
      <c r="D210" s="1148"/>
      <c r="E210" s="1134" t="s">
        <v>3189</v>
      </c>
      <c r="F210" s="1141">
        <f t="shared" si="52"/>
        <v>30500</v>
      </c>
      <c r="G210" s="1139">
        <v>30500</v>
      </c>
      <c r="H210" s="1147"/>
      <c r="I210" s="1127"/>
      <c r="J210" s="2746" t="s">
        <v>3190</v>
      </c>
      <c r="K210" s="2745"/>
      <c r="L210" s="2745"/>
      <c r="M210" s="2745"/>
      <c r="N210" s="2745"/>
      <c r="O210" s="2745"/>
      <c r="P210" s="1675"/>
      <c r="Q210" s="2747"/>
      <c r="R210" s="2743"/>
      <c r="S210" s="2747"/>
      <c r="T210" s="2747"/>
      <c r="U210" s="1675"/>
      <c r="V210" s="2747"/>
      <c r="W210" s="2747"/>
      <c r="X210" s="1140"/>
      <c r="Y210" s="1674">
        <f>Z210/1000</f>
        <v>30500</v>
      </c>
      <c r="Z210" s="494">
        <f>Z211+Z212+Z213</f>
        <v>30500000</v>
      </c>
      <c r="AB210" s="357"/>
      <c r="AD210" s="357"/>
      <c r="AE210" s="357"/>
      <c r="AF210" s="357"/>
      <c r="AG210" s="357"/>
      <c r="AH210" s="357"/>
      <c r="AI210" s="357"/>
      <c r="AJ210" s="357"/>
      <c r="AK210" s="357"/>
      <c r="AL210" s="357"/>
      <c r="AM210" s="357"/>
      <c r="AN210" s="357"/>
      <c r="AO210" s="357"/>
      <c r="AP210" s="357"/>
      <c r="AQ210" s="357"/>
      <c r="AR210" s="357"/>
      <c r="AS210" s="357"/>
      <c r="AT210" s="357"/>
      <c r="AU210" s="357"/>
      <c r="AV210" s="357"/>
      <c r="AW210" s="357"/>
      <c r="AX210" s="357"/>
      <c r="AY210" s="357"/>
      <c r="AZ210" s="357"/>
      <c r="BA210" s="357"/>
      <c r="BB210" s="357"/>
      <c r="BC210" s="357"/>
      <c r="BD210" s="357"/>
      <c r="BE210" s="357"/>
      <c r="BF210" s="357"/>
      <c r="BG210" s="357"/>
      <c r="BH210" s="357"/>
      <c r="BI210" s="357"/>
      <c r="BJ210" s="357"/>
      <c r="BK210" s="357"/>
      <c r="BL210" s="357"/>
      <c r="BM210" s="357"/>
      <c r="BN210" s="357"/>
      <c r="BO210" s="357"/>
      <c r="BP210" s="357"/>
      <c r="BQ210" s="357"/>
      <c r="BR210" s="357"/>
      <c r="BS210" s="357"/>
      <c r="BT210" s="357"/>
      <c r="BU210" s="357"/>
      <c r="BV210" s="357"/>
      <c r="BW210" s="357"/>
      <c r="BX210" s="357"/>
      <c r="BY210" s="357"/>
      <c r="BZ210" s="357"/>
      <c r="CA210" s="357"/>
      <c r="CB210" s="357"/>
      <c r="CC210" s="357"/>
      <c r="CD210" s="357"/>
      <c r="CE210" s="357"/>
      <c r="CF210" s="357"/>
      <c r="CG210" s="357"/>
      <c r="CH210" s="357"/>
      <c r="CI210" s="357"/>
      <c r="CJ210" s="357"/>
      <c r="CK210" s="357"/>
      <c r="CL210" s="357"/>
      <c r="CM210" s="357"/>
      <c r="CN210" s="357"/>
      <c r="CO210" s="357"/>
      <c r="CP210" s="357"/>
      <c r="CQ210" s="357"/>
      <c r="CR210" s="357"/>
      <c r="CS210" s="357"/>
      <c r="CT210" s="357"/>
      <c r="CU210" s="357"/>
      <c r="CV210" s="357"/>
      <c r="CW210" s="357"/>
      <c r="CX210" s="357"/>
      <c r="CY210" s="357"/>
      <c r="CZ210" s="357"/>
      <c r="DA210" s="357"/>
      <c r="DB210" s="357"/>
      <c r="DC210" s="357"/>
      <c r="DD210" s="357"/>
      <c r="DE210" s="357"/>
      <c r="DF210" s="357"/>
      <c r="DG210" s="357"/>
      <c r="DH210" s="357"/>
      <c r="DI210" s="357"/>
      <c r="DJ210" s="357"/>
      <c r="DK210" s="357"/>
      <c r="DL210" s="357"/>
      <c r="DM210" s="357"/>
      <c r="DN210" s="357"/>
      <c r="DO210" s="357"/>
      <c r="DP210" s="357"/>
      <c r="DQ210" s="357"/>
      <c r="DR210" s="357"/>
      <c r="DS210" s="357"/>
      <c r="DT210" s="357"/>
      <c r="DU210" s="357"/>
      <c r="DV210" s="357"/>
      <c r="DW210" s="357"/>
      <c r="DX210" s="357"/>
      <c r="DY210" s="357"/>
      <c r="DZ210" s="357"/>
      <c r="EA210" s="357"/>
      <c r="EB210" s="357"/>
      <c r="EC210" s="357"/>
      <c r="ED210" s="357"/>
      <c r="EE210" s="357"/>
      <c r="EF210" s="357"/>
      <c r="EG210" s="357"/>
      <c r="EH210" s="357"/>
      <c r="EI210" s="357"/>
      <c r="EJ210" s="357"/>
      <c r="EK210" s="357"/>
      <c r="EL210" s="357"/>
      <c r="EM210" s="357"/>
      <c r="EN210" s="357"/>
      <c r="EO210" s="357"/>
      <c r="EP210" s="357"/>
      <c r="EQ210" s="357"/>
      <c r="ER210" s="357"/>
      <c r="ES210" s="357"/>
      <c r="ET210" s="357"/>
      <c r="EU210" s="357"/>
      <c r="EV210" s="357"/>
      <c r="EW210" s="357"/>
      <c r="EX210" s="357"/>
      <c r="EY210" s="357"/>
      <c r="EZ210" s="357"/>
      <c r="FA210" s="357"/>
      <c r="FB210" s="357"/>
      <c r="FC210" s="357"/>
      <c r="FD210" s="357"/>
      <c r="FE210" s="357"/>
      <c r="FF210" s="357"/>
      <c r="FG210" s="357"/>
      <c r="FH210" s="357"/>
      <c r="FI210" s="357"/>
      <c r="FJ210" s="357"/>
      <c r="FK210" s="357"/>
      <c r="FL210" s="357"/>
      <c r="FM210" s="357"/>
      <c r="FN210" s="357"/>
      <c r="FO210" s="357"/>
      <c r="FP210" s="357"/>
      <c r="FQ210" s="357"/>
      <c r="FR210" s="357"/>
      <c r="FS210" s="357"/>
      <c r="FT210" s="357"/>
      <c r="FU210" s="357"/>
      <c r="FV210" s="357"/>
      <c r="FW210" s="357"/>
      <c r="FX210" s="357"/>
      <c r="FY210" s="357"/>
      <c r="FZ210" s="357"/>
      <c r="GA210" s="357"/>
      <c r="GB210" s="357"/>
      <c r="GC210" s="357"/>
      <c r="GD210" s="357"/>
      <c r="GE210" s="357"/>
      <c r="GF210" s="357"/>
      <c r="GG210" s="357"/>
      <c r="GH210" s="357"/>
      <c r="GI210" s="357"/>
      <c r="GJ210" s="357"/>
      <c r="GK210" s="357"/>
      <c r="GL210" s="357"/>
      <c r="GM210" s="357"/>
      <c r="GN210" s="357"/>
      <c r="GO210" s="357"/>
      <c r="GP210" s="357"/>
      <c r="GQ210" s="357"/>
      <c r="GR210" s="357"/>
      <c r="GS210" s="357"/>
      <c r="GT210" s="357"/>
      <c r="GU210" s="357"/>
      <c r="GV210" s="357"/>
      <c r="GW210" s="357"/>
      <c r="GX210" s="357"/>
      <c r="GY210" s="357"/>
      <c r="GZ210" s="357"/>
      <c r="HA210" s="357"/>
      <c r="HB210" s="357"/>
      <c r="HC210" s="357"/>
      <c r="HD210" s="357"/>
      <c r="HE210" s="357"/>
      <c r="HF210" s="357"/>
      <c r="HG210" s="357"/>
      <c r="HH210" s="357"/>
      <c r="HI210" s="357"/>
      <c r="HJ210" s="357"/>
      <c r="HK210" s="357"/>
      <c r="HL210" s="357"/>
      <c r="HM210" s="357"/>
      <c r="HN210" s="357"/>
      <c r="HO210" s="357"/>
      <c r="HP210" s="357"/>
      <c r="HQ210" s="357"/>
      <c r="HR210" s="357"/>
      <c r="HS210" s="357"/>
      <c r="HT210" s="357"/>
      <c r="HU210" s="357"/>
      <c r="HV210" s="357"/>
      <c r="HW210" s="357"/>
      <c r="HX210" s="357"/>
      <c r="HY210" s="357"/>
      <c r="HZ210" s="357"/>
      <c r="IA210" s="357"/>
      <c r="IB210" s="357"/>
      <c r="IC210" s="357"/>
      <c r="ID210" s="357"/>
      <c r="IE210" s="357"/>
      <c r="IF210" s="357"/>
      <c r="IG210" s="357"/>
      <c r="IH210" s="357"/>
      <c r="II210" s="357"/>
      <c r="IJ210" s="357"/>
      <c r="IK210" s="357"/>
      <c r="IL210" s="357"/>
      <c r="IM210" s="357"/>
      <c r="IN210" s="357"/>
      <c r="IO210" s="357"/>
      <c r="IP210" s="357"/>
      <c r="IQ210" s="357"/>
      <c r="IR210" s="357"/>
      <c r="IS210" s="357"/>
      <c r="IT210" s="357"/>
      <c r="IU210" s="357"/>
      <c r="IV210" s="357"/>
      <c r="IW210" s="357"/>
      <c r="IX210" s="357"/>
      <c r="IY210" s="357"/>
      <c r="IZ210" s="357"/>
      <c r="JA210" s="357"/>
      <c r="JB210" s="357"/>
      <c r="JC210" s="357"/>
      <c r="JD210" s="357"/>
      <c r="JE210" s="357"/>
      <c r="JF210" s="357"/>
      <c r="JG210" s="357"/>
      <c r="JH210" s="357"/>
      <c r="JI210" s="357"/>
      <c r="JJ210" s="357"/>
      <c r="JK210" s="357"/>
      <c r="JL210" s="357"/>
      <c r="JM210" s="357"/>
      <c r="JN210" s="357"/>
      <c r="JO210" s="357"/>
      <c r="JP210" s="357"/>
      <c r="JQ210" s="357"/>
      <c r="JR210" s="357"/>
      <c r="JS210" s="357"/>
      <c r="JT210" s="357"/>
      <c r="JU210" s="357"/>
      <c r="JV210" s="357"/>
      <c r="JW210" s="357"/>
      <c r="JX210" s="357"/>
      <c r="JY210" s="357"/>
      <c r="JZ210" s="357"/>
      <c r="KA210" s="357"/>
      <c r="KB210" s="357"/>
      <c r="KC210" s="357"/>
      <c r="KD210" s="357"/>
      <c r="KE210" s="357"/>
      <c r="KF210" s="357"/>
      <c r="KG210" s="357"/>
      <c r="KH210" s="357"/>
      <c r="KI210" s="357"/>
      <c r="KJ210" s="357"/>
      <c r="KK210" s="357"/>
      <c r="KL210" s="357"/>
      <c r="KM210" s="357"/>
      <c r="KN210" s="357"/>
      <c r="KO210" s="357"/>
      <c r="KP210" s="357"/>
      <c r="KQ210" s="357"/>
      <c r="KR210" s="357"/>
      <c r="KS210" s="357"/>
      <c r="KT210" s="357"/>
      <c r="KU210" s="357"/>
      <c r="KV210" s="357"/>
      <c r="KW210" s="357"/>
      <c r="KX210" s="357"/>
      <c r="KY210" s="357"/>
      <c r="KZ210" s="357"/>
      <c r="LA210" s="357"/>
      <c r="LB210" s="357"/>
      <c r="LC210" s="357"/>
      <c r="LD210" s="357"/>
      <c r="LE210" s="357"/>
      <c r="LF210" s="357"/>
      <c r="LG210" s="357"/>
      <c r="LH210" s="357"/>
      <c r="LI210" s="357"/>
      <c r="LJ210" s="357"/>
      <c r="LK210" s="357"/>
      <c r="LL210" s="357"/>
      <c r="LM210" s="357"/>
      <c r="LN210" s="357"/>
      <c r="LO210" s="357"/>
      <c r="LP210" s="357"/>
      <c r="LQ210" s="357"/>
      <c r="LR210" s="357"/>
      <c r="LS210" s="357"/>
      <c r="LT210" s="357"/>
      <c r="LU210" s="357"/>
      <c r="LV210" s="357"/>
      <c r="LW210" s="357"/>
      <c r="LX210" s="357"/>
      <c r="LY210" s="357"/>
      <c r="LZ210" s="357"/>
      <c r="MA210" s="357"/>
      <c r="MB210" s="357"/>
    </row>
    <row r="211" spans="1:340" s="358" customFormat="1" ht="21" customHeight="1">
      <c r="A211" s="2529"/>
      <c r="B211" s="471"/>
      <c r="C211" s="1126"/>
      <c r="D211" s="1148"/>
      <c r="E211" s="1134"/>
      <c r="F211" s="1141"/>
      <c r="G211" s="1139"/>
      <c r="H211" s="404"/>
      <c r="I211" s="1675"/>
      <c r="J211" s="2744" t="s">
        <v>4778</v>
      </c>
      <c r="K211" s="2745"/>
      <c r="L211" s="2745"/>
      <c r="M211" s="2745"/>
      <c r="N211" s="2745"/>
      <c r="O211" s="2745"/>
      <c r="P211" s="1675"/>
      <c r="Q211" s="2747">
        <v>2</v>
      </c>
      <c r="R211" s="2743" t="s">
        <v>3196</v>
      </c>
      <c r="S211" s="2747">
        <v>25000</v>
      </c>
      <c r="T211" s="2747" t="s">
        <v>3201</v>
      </c>
      <c r="U211" s="1675"/>
      <c r="V211" s="2747">
        <v>10</v>
      </c>
      <c r="W211" s="2747" t="s">
        <v>203</v>
      </c>
      <c r="X211" s="1140" t="s">
        <v>3212</v>
      </c>
      <c r="Y211" s="1674">
        <f t="shared" ref="Y211:Y231" si="54">Z211/1000</f>
        <v>500</v>
      </c>
      <c r="Z211" s="407">
        <f>Q211*S211*V211</f>
        <v>500000</v>
      </c>
      <c r="AB211" s="357"/>
      <c r="AD211" s="357"/>
      <c r="AE211" s="357"/>
      <c r="AF211" s="357"/>
      <c r="AG211" s="357"/>
      <c r="AH211" s="357"/>
      <c r="AI211" s="357"/>
      <c r="AJ211" s="357"/>
      <c r="AK211" s="357"/>
      <c r="AL211" s="357"/>
      <c r="AM211" s="357"/>
      <c r="AN211" s="357"/>
      <c r="AO211" s="357"/>
      <c r="AP211" s="357"/>
      <c r="AQ211" s="357"/>
      <c r="AR211" s="357"/>
      <c r="AS211" s="357"/>
      <c r="AT211" s="357"/>
      <c r="AU211" s="357"/>
      <c r="AV211" s="357"/>
      <c r="AW211" s="357"/>
      <c r="AX211" s="357"/>
      <c r="AY211" s="357"/>
      <c r="AZ211" s="357"/>
      <c r="BA211" s="357"/>
      <c r="BB211" s="357"/>
      <c r="BC211" s="357"/>
      <c r="BD211" s="357"/>
      <c r="BE211" s="357"/>
      <c r="BF211" s="357"/>
      <c r="BG211" s="357"/>
      <c r="BH211" s="357"/>
      <c r="BI211" s="357"/>
      <c r="BJ211" s="357"/>
      <c r="BK211" s="357"/>
      <c r="BL211" s="357"/>
      <c r="BM211" s="357"/>
      <c r="BN211" s="357"/>
      <c r="BO211" s="357"/>
      <c r="BP211" s="357"/>
      <c r="BQ211" s="357"/>
      <c r="BR211" s="357"/>
      <c r="BS211" s="357"/>
      <c r="BT211" s="357"/>
      <c r="BU211" s="357"/>
      <c r="BV211" s="357"/>
      <c r="BW211" s="357"/>
      <c r="BX211" s="357"/>
      <c r="BY211" s="357"/>
      <c r="BZ211" s="357"/>
      <c r="CA211" s="357"/>
      <c r="CB211" s="357"/>
      <c r="CC211" s="357"/>
      <c r="CD211" s="357"/>
      <c r="CE211" s="357"/>
      <c r="CF211" s="357"/>
      <c r="CG211" s="357"/>
      <c r="CH211" s="357"/>
      <c r="CI211" s="357"/>
      <c r="CJ211" s="357"/>
      <c r="CK211" s="357"/>
      <c r="CL211" s="357"/>
      <c r="CM211" s="357"/>
      <c r="CN211" s="357"/>
      <c r="CO211" s="357"/>
      <c r="CP211" s="357"/>
      <c r="CQ211" s="357"/>
      <c r="CR211" s="357"/>
      <c r="CS211" s="357"/>
      <c r="CT211" s="357"/>
      <c r="CU211" s="357"/>
      <c r="CV211" s="357"/>
      <c r="CW211" s="357"/>
      <c r="CX211" s="357"/>
      <c r="CY211" s="357"/>
      <c r="CZ211" s="357"/>
      <c r="DA211" s="357"/>
      <c r="DB211" s="357"/>
      <c r="DC211" s="357"/>
      <c r="DD211" s="357"/>
      <c r="DE211" s="357"/>
      <c r="DF211" s="357"/>
      <c r="DG211" s="357"/>
      <c r="DH211" s="357"/>
      <c r="DI211" s="357"/>
      <c r="DJ211" s="357"/>
      <c r="DK211" s="357"/>
      <c r="DL211" s="357"/>
      <c r="DM211" s="357"/>
      <c r="DN211" s="357"/>
      <c r="DO211" s="357"/>
      <c r="DP211" s="357"/>
      <c r="DQ211" s="357"/>
      <c r="DR211" s="357"/>
      <c r="DS211" s="357"/>
      <c r="DT211" s="357"/>
      <c r="DU211" s="357"/>
      <c r="DV211" s="357"/>
      <c r="DW211" s="357"/>
      <c r="DX211" s="357"/>
      <c r="DY211" s="357"/>
      <c r="DZ211" s="357"/>
      <c r="EA211" s="357"/>
      <c r="EB211" s="357"/>
      <c r="EC211" s="357"/>
      <c r="ED211" s="357"/>
      <c r="EE211" s="357"/>
      <c r="EF211" s="357"/>
      <c r="EG211" s="357"/>
      <c r="EH211" s="357"/>
      <c r="EI211" s="357"/>
      <c r="EJ211" s="357"/>
      <c r="EK211" s="357"/>
      <c r="EL211" s="357"/>
      <c r="EM211" s="357"/>
      <c r="EN211" s="357"/>
      <c r="EO211" s="357"/>
      <c r="EP211" s="357"/>
      <c r="EQ211" s="357"/>
      <c r="ER211" s="357"/>
      <c r="ES211" s="357"/>
      <c r="ET211" s="357"/>
      <c r="EU211" s="357"/>
      <c r="EV211" s="357"/>
      <c r="EW211" s="357"/>
      <c r="EX211" s="357"/>
      <c r="EY211" s="357"/>
      <c r="EZ211" s="357"/>
      <c r="FA211" s="357"/>
      <c r="FB211" s="357"/>
      <c r="FC211" s="357"/>
      <c r="FD211" s="357"/>
      <c r="FE211" s="357"/>
      <c r="FF211" s="357"/>
      <c r="FG211" s="357"/>
      <c r="FH211" s="357"/>
      <c r="FI211" s="357"/>
      <c r="FJ211" s="357"/>
      <c r="FK211" s="357"/>
      <c r="FL211" s="357"/>
      <c r="FM211" s="357"/>
      <c r="FN211" s="357"/>
      <c r="FO211" s="357"/>
      <c r="FP211" s="357"/>
      <c r="FQ211" s="357"/>
      <c r="FR211" s="357"/>
      <c r="FS211" s="357"/>
      <c r="FT211" s="357"/>
      <c r="FU211" s="357"/>
      <c r="FV211" s="357"/>
      <c r="FW211" s="357"/>
      <c r="FX211" s="357"/>
      <c r="FY211" s="357"/>
      <c r="FZ211" s="357"/>
      <c r="GA211" s="357"/>
      <c r="GB211" s="357"/>
      <c r="GC211" s="357"/>
      <c r="GD211" s="357"/>
      <c r="GE211" s="357"/>
      <c r="GF211" s="357"/>
      <c r="GG211" s="357"/>
      <c r="GH211" s="357"/>
      <c r="GI211" s="357"/>
      <c r="GJ211" s="357"/>
      <c r="GK211" s="357"/>
      <c r="GL211" s="357"/>
      <c r="GM211" s="357"/>
      <c r="GN211" s="357"/>
      <c r="GO211" s="357"/>
      <c r="GP211" s="357"/>
      <c r="GQ211" s="357"/>
      <c r="GR211" s="357"/>
      <c r="GS211" s="357"/>
      <c r="GT211" s="357"/>
      <c r="GU211" s="357"/>
      <c r="GV211" s="357"/>
      <c r="GW211" s="357"/>
      <c r="GX211" s="357"/>
      <c r="GY211" s="357"/>
      <c r="GZ211" s="357"/>
      <c r="HA211" s="357"/>
      <c r="HB211" s="357"/>
      <c r="HC211" s="357"/>
      <c r="HD211" s="357"/>
      <c r="HE211" s="357"/>
      <c r="HF211" s="357"/>
      <c r="HG211" s="357"/>
      <c r="HH211" s="357"/>
      <c r="HI211" s="357"/>
      <c r="HJ211" s="357"/>
      <c r="HK211" s="357"/>
      <c r="HL211" s="357"/>
      <c r="HM211" s="357"/>
      <c r="HN211" s="357"/>
      <c r="HO211" s="357"/>
      <c r="HP211" s="357"/>
      <c r="HQ211" s="357"/>
      <c r="HR211" s="357"/>
      <c r="HS211" s="357"/>
      <c r="HT211" s="357"/>
      <c r="HU211" s="357"/>
      <c r="HV211" s="357"/>
      <c r="HW211" s="357"/>
      <c r="HX211" s="357"/>
      <c r="HY211" s="357"/>
      <c r="HZ211" s="357"/>
      <c r="IA211" s="357"/>
      <c r="IB211" s="357"/>
      <c r="IC211" s="357"/>
      <c r="ID211" s="357"/>
      <c r="IE211" s="357"/>
      <c r="IF211" s="357"/>
      <c r="IG211" s="357"/>
      <c r="IH211" s="357"/>
      <c r="II211" s="357"/>
      <c r="IJ211" s="357"/>
      <c r="IK211" s="357"/>
      <c r="IL211" s="357"/>
      <c r="IM211" s="357"/>
      <c r="IN211" s="357"/>
      <c r="IO211" s="357"/>
      <c r="IP211" s="357"/>
      <c r="IQ211" s="357"/>
      <c r="IR211" s="357"/>
      <c r="IS211" s="357"/>
      <c r="IT211" s="357"/>
      <c r="IU211" s="357"/>
      <c r="IV211" s="357"/>
      <c r="IW211" s="357"/>
      <c r="IX211" s="357"/>
      <c r="IY211" s="357"/>
      <c r="IZ211" s="357"/>
      <c r="JA211" s="357"/>
      <c r="JB211" s="357"/>
      <c r="JC211" s="357"/>
      <c r="JD211" s="357"/>
      <c r="JE211" s="357"/>
      <c r="JF211" s="357"/>
      <c r="JG211" s="357"/>
      <c r="JH211" s="357"/>
      <c r="JI211" s="357"/>
      <c r="JJ211" s="357"/>
      <c r="JK211" s="357"/>
      <c r="JL211" s="357"/>
      <c r="JM211" s="357"/>
      <c r="JN211" s="357"/>
      <c r="JO211" s="357"/>
      <c r="JP211" s="357"/>
      <c r="JQ211" s="357"/>
      <c r="JR211" s="357"/>
      <c r="JS211" s="357"/>
      <c r="JT211" s="357"/>
      <c r="JU211" s="357"/>
      <c r="JV211" s="357"/>
      <c r="JW211" s="357"/>
      <c r="JX211" s="357"/>
      <c r="JY211" s="357"/>
      <c r="JZ211" s="357"/>
      <c r="KA211" s="357"/>
      <c r="KB211" s="357"/>
      <c r="KC211" s="357"/>
      <c r="KD211" s="357"/>
      <c r="KE211" s="357"/>
      <c r="KF211" s="357"/>
      <c r="KG211" s="357"/>
      <c r="KH211" s="357"/>
      <c r="KI211" s="357"/>
      <c r="KJ211" s="357"/>
      <c r="KK211" s="357"/>
      <c r="KL211" s="357"/>
      <c r="KM211" s="357"/>
      <c r="KN211" s="357"/>
      <c r="KO211" s="357"/>
      <c r="KP211" s="357"/>
      <c r="KQ211" s="357"/>
      <c r="KR211" s="357"/>
      <c r="KS211" s="357"/>
      <c r="KT211" s="357"/>
      <c r="KU211" s="357"/>
      <c r="KV211" s="357"/>
      <c r="KW211" s="357"/>
      <c r="KX211" s="357"/>
      <c r="KY211" s="357"/>
      <c r="KZ211" s="357"/>
      <c r="LA211" s="357"/>
      <c r="LB211" s="357"/>
      <c r="LC211" s="357"/>
      <c r="LD211" s="357"/>
      <c r="LE211" s="357"/>
      <c r="LF211" s="357"/>
      <c r="LG211" s="357"/>
      <c r="LH211" s="357"/>
      <c r="LI211" s="357"/>
      <c r="LJ211" s="357"/>
      <c r="LK211" s="357"/>
      <c r="LL211" s="357"/>
      <c r="LM211" s="357"/>
      <c r="LN211" s="357"/>
      <c r="LO211" s="357"/>
      <c r="LP211" s="357"/>
      <c r="LQ211" s="357"/>
      <c r="LR211" s="357"/>
      <c r="LS211" s="357"/>
      <c r="LT211" s="357"/>
      <c r="LU211" s="357"/>
      <c r="LV211" s="357"/>
      <c r="LW211" s="357"/>
      <c r="LX211" s="357"/>
      <c r="LY211" s="357"/>
      <c r="LZ211" s="357"/>
      <c r="MA211" s="357"/>
      <c r="MB211" s="357"/>
    </row>
    <row r="212" spans="1:340" s="358" customFormat="1" ht="21" customHeight="1">
      <c r="A212" s="2529"/>
      <c r="B212" s="471"/>
      <c r="C212" s="1126"/>
      <c r="D212" s="1148"/>
      <c r="E212" s="1134"/>
      <c r="F212" s="1141"/>
      <c r="G212" s="1139"/>
      <c r="H212" s="404"/>
      <c r="I212" s="1675"/>
      <c r="J212" s="2746" t="s">
        <v>4777</v>
      </c>
      <c r="K212" s="2745"/>
      <c r="L212" s="2745"/>
      <c r="M212" s="2745"/>
      <c r="N212" s="2745"/>
      <c r="O212" s="2745"/>
      <c r="P212" s="1675"/>
      <c r="Q212" s="2747"/>
      <c r="R212" s="2743"/>
      <c r="S212" s="2747">
        <v>2000000</v>
      </c>
      <c r="T212" s="2747" t="s">
        <v>3201</v>
      </c>
      <c r="U212" s="1675"/>
      <c r="V212" s="2747">
        <v>5</v>
      </c>
      <c r="W212" s="2747" t="s">
        <v>3214</v>
      </c>
      <c r="X212" s="1140" t="s">
        <v>3212</v>
      </c>
      <c r="Y212" s="1674">
        <f t="shared" si="54"/>
        <v>10000</v>
      </c>
      <c r="Z212" s="407">
        <f>S212*V212</f>
        <v>10000000</v>
      </c>
      <c r="AB212" s="357"/>
      <c r="AD212" s="357"/>
      <c r="AE212" s="357"/>
      <c r="AF212" s="357"/>
      <c r="AG212" s="357"/>
      <c r="AH212" s="357"/>
      <c r="AI212" s="357"/>
      <c r="AJ212" s="357"/>
      <c r="AK212" s="357"/>
      <c r="AL212" s="357"/>
      <c r="AM212" s="357"/>
      <c r="AN212" s="357"/>
      <c r="AO212" s="357"/>
      <c r="AP212" s="357"/>
      <c r="AQ212" s="357"/>
      <c r="AR212" s="357"/>
      <c r="AS212" s="357"/>
      <c r="AT212" s="357"/>
      <c r="AU212" s="357"/>
      <c r="AV212" s="357"/>
      <c r="AW212" s="357"/>
      <c r="AX212" s="357"/>
      <c r="AY212" s="357"/>
      <c r="AZ212" s="357"/>
      <c r="BA212" s="357"/>
      <c r="BB212" s="357"/>
      <c r="BC212" s="357"/>
      <c r="BD212" s="357"/>
      <c r="BE212" s="357"/>
      <c r="BF212" s="357"/>
      <c r="BG212" s="357"/>
      <c r="BH212" s="357"/>
      <c r="BI212" s="357"/>
      <c r="BJ212" s="357"/>
      <c r="BK212" s="357"/>
      <c r="BL212" s="357"/>
      <c r="BM212" s="357"/>
      <c r="BN212" s="357"/>
      <c r="BO212" s="357"/>
      <c r="BP212" s="357"/>
      <c r="BQ212" s="357"/>
      <c r="BR212" s="357"/>
      <c r="BS212" s="357"/>
      <c r="BT212" s="357"/>
      <c r="BU212" s="357"/>
      <c r="BV212" s="357"/>
      <c r="BW212" s="357"/>
      <c r="BX212" s="357"/>
      <c r="BY212" s="357"/>
      <c r="BZ212" s="357"/>
      <c r="CA212" s="357"/>
      <c r="CB212" s="357"/>
      <c r="CC212" s="357"/>
      <c r="CD212" s="357"/>
      <c r="CE212" s="357"/>
      <c r="CF212" s="357"/>
      <c r="CG212" s="357"/>
      <c r="CH212" s="357"/>
      <c r="CI212" s="357"/>
      <c r="CJ212" s="357"/>
      <c r="CK212" s="357"/>
      <c r="CL212" s="357"/>
      <c r="CM212" s="357"/>
      <c r="CN212" s="357"/>
      <c r="CO212" s="357"/>
      <c r="CP212" s="357"/>
      <c r="CQ212" s="357"/>
      <c r="CR212" s="357"/>
      <c r="CS212" s="357"/>
      <c r="CT212" s="357"/>
      <c r="CU212" s="357"/>
      <c r="CV212" s="357"/>
      <c r="CW212" s="357"/>
      <c r="CX212" s="357"/>
      <c r="CY212" s="357"/>
      <c r="CZ212" s="357"/>
      <c r="DA212" s="357"/>
      <c r="DB212" s="357"/>
      <c r="DC212" s="357"/>
      <c r="DD212" s="357"/>
      <c r="DE212" s="357"/>
      <c r="DF212" s="357"/>
      <c r="DG212" s="357"/>
      <c r="DH212" s="357"/>
      <c r="DI212" s="357"/>
      <c r="DJ212" s="357"/>
      <c r="DK212" s="357"/>
      <c r="DL212" s="357"/>
      <c r="DM212" s="357"/>
      <c r="DN212" s="357"/>
      <c r="DO212" s="357"/>
      <c r="DP212" s="357"/>
      <c r="DQ212" s="357"/>
      <c r="DR212" s="357"/>
      <c r="DS212" s="357"/>
      <c r="DT212" s="357"/>
      <c r="DU212" s="357"/>
      <c r="DV212" s="357"/>
      <c r="DW212" s="357"/>
      <c r="DX212" s="357"/>
      <c r="DY212" s="357"/>
      <c r="DZ212" s="357"/>
      <c r="EA212" s="357"/>
      <c r="EB212" s="357"/>
      <c r="EC212" s="357"/>
      <c r="ED212" s="357"/>
      <c r="EE212" s="357"/>
      <c r="EF212" s="357"/>
      <c r="EG212" s="357"/>
      <c r="EH212" s="357"/>
      <c r="EI212" s="357"/>
      <c r="EJ212" s="357"/>
      <c r="EK212" s="357"/>
      <c r="EL212" s="357"/>
      <c r="EM212" s="357"/>
      <c r="EN212" s="357"/>
      <c r="EO212" s="357"/>
      <c r="EP212" s="357"/>
      <c r="EQ212" s="357"/>
      <c r="ER212" s="357"/>
      <c r="ES212" s="357"/>
      <c r="ET212" s="357"/>
      <c r="EU212" s="357"/>
      <c r="EV212" s="357"/>
      <c r="EW212" s="357"/>
      <c r="EX212" s="357"/>
      <c r="EY212" s="357"/>
      <c r="EZ212" s="357"/>
      <c r="FA212" s="357"/>
      <c r="FB212" s="357"/>
      <c r="FC212" s="357"/>
      <c r="FD212" s="357"/>
      <c r="FE212" s="357"/>
      <c r="FF212" s="357"/>
      <c r="FG212" s="357"/>
      <c r="FH212" s="357"/>
      <c r="FI212" s="357"/>
      <c r="FJ212" s="357"/>
      <c r="FK212" s="357"/>
      <c r="FL212" s="357"/>
      <c r="FM212" s="357"/>
      <c r="FN212" s="357"/>
      <c r="FO212" s="357"/>
      <c r="FP212" s="357"/>
      <c r="FQ212" s="357"/>
      <c r="FR212" s="357"/>
      <c r="FS212" s="357"/>
      <c r="FT212" s="357"/>
      <c r="FU212" s="357"/>
      <c r="FV212" s="357"/>
      <c r="FW212" s="357"/>
      <c r="FX212" s="357"/>
      <c r="FY212" s="357"/>
      <c r="FZ212" s="357"/>
      <c r="GA212" s="357"/>
      <c r="GB212" s="357"/>
      <c r="GC212" s="357"/>
      <c r="GD212" s="357"/>
      <c r="GE212" s="357"/>
      <c r="GF212" s="357"/>
      <c r="GG212" s="357"/>
      <c r="GH212" s="357"/>
      <c r="GI212" s="357"/>
      <c r="GJ212" s="357"/>
      <c r="GK212" s="357"/>
      <c r="GL212" s="357"/>
      <c r="GM212" s="357"/>
      <c r="GN212" s="357"/>
      <c r="GO212" s="357"/>
      <c r="GP212" s="357"/>
      <c r="GQ212" s="357"/>
      <c r="GR212" s="357"/>
      <c r="GS212" s="357"/>
      <c r="GT212" s="357"/>
      <c r="GU212" s="357"/>
      <c r="GV212" s="357"/>
      <c r="GW212" s="357"/>
      <c r="GX212" s="357"/>
      <c r="GY212" s="357"/>
      <c r="GZ212" s="357"/>
      <c r="HA212" s="357"/>
      <c r="HB212" s="357"/>
      <c r="HC212" s="357"/>
      <c r="HD212" s="357"/>
      <c r="HE212" s="357"/>
      <c r="HF212" s="357"/>
      <c r="HG212" s="357"/>
      <c r="HH212" s="357"/>
      <c r="HI212" s="357"/>
      <c r="HJ212" s="357"/>
      <c r="HK212" s="357"/>
      <c r="HL212" s="357"/>
      <c r="HM212" s="357"/>
      <c r="HN212" s="357"/>
      <c r="HO212" s="357"/>
      <c r="HP212" s="357"/>
      <c r="HQ212" s="357"/>
      <c r="HR212" s="357"/>
      <c r="HS212" s="357"/>
      <c r="HT212" s="357"/>
      <c r="HU212" s="357"/>
      <c r="HV212" s="357"/>
      <c r="HW212" s="357"/>
      <c r="HX212" s="357"/>
      <c r="HY212" s="357"/>
      <c r="HZ212" s="357"/>
      <c r="IA212" s="357"/>
      <c r="IB212" s="357"/>
      <c r="IC212" s="357"/>
      <c r="ID212" s="357"/>
      <c r="IE212" s="357"/>
      <c r="IF212" s="357"/>
      <c r="IG212" s="357"/>
      <c r="IH212" s="357"/>
      <c r="II212" s="357"/>
      <c r="IJ212" s="357"/>
      <c r="IK212" s="357"/>
      <c r="IL212" s="357"/>
      <c r="IM212" s="357"/>
      <c r="IN212" s="357"/>
      <c r="IO212" s="357"/>
      <c r="IP212" s="357"/>
      <c r="IQ212" s="357"/>
      <c r="IR212" s="357"/>
      <c r="IS212" s="357"/>
      <c r="IT212" s="357"/>
      <c r="IU212" s="357"/>
      <c r="IV212" s="357"/>
      <c r="IW212" s="357"/>
      <c r="IX212" s="357"/>
      <c r="IY212" s="357"/>
      <c r="IZ212" s="357"/>
      <c r="JA212" s="357"/>
      <c r="JB212" s="357"/>
      <c r="JC212" s="357"/>
      <c r="JD212" s="357"/>
      <c r="JE212" s="357"/>
      <c r="JF212" s="357"/>
      <c r="JG212" s="357"/>
      <c r="JH212" s="357"/>
      <c r="JI212" s="357"/>
      <c r="JJ212" s="357"/>
      <c r="JK212" s="357"/>
      <c r="JL212" s="357"/>
      <c r="JM212" s="357"/>
      <c r="JN212" s="357"/>
      <c r="JO212" s="357"/>
      <c r="JP212" s="357"/>
      <c r="JQ212" s="357"/>
      <c r="JR212" s="357"/>
      <c r="JS212" s="357"/>
      <c r="JT212" s="357"/>
      <c r="JU212" s="357"/>
      <c r="JV212" s="357"/>
      <c r="JW212" s="357"/>
      <c r="JX212" s="357"/>
      <c r="JY212" s="357"/>
      <c r="JZ212" s="357"/>
      <c r="KA212" s="357"/>
      <c r="KB212" s="357"/>
      <c r="KC212" s="357"/>
      <c r="KD212" s="357"/>
      <c r="KE212" s="357"/>
      <c r="KF212" s="357"/>
      <c r="KG212" s="357"/>
      <c r="KH212" s="357"/>
      <c r="KI212" s="357"/>
      <c r="KJ212" s="357"/>
      <c r="KK212" s="357"/>
      <c r="KL212" s="357"/>
      <c r="KM212" s="357"/>
      <c r="KN212" s="357"/>
      <c r="KO212" s="357"/>
      <c r="KP212" s="357"/>
      <c r="KQ212" s="357"/>
      <c r="KR212" s="357"/>
      <c r="KS212" s="357"/>
      <c r="KT212" s="357"/>
      <c r="KU212" s="357"/>
      <c r="KV212" s="357"/>
      <c r="KW212" s="357"/>
      <c r="KX212" s="357"/>
      <c r="KY212" s="357"/>
      <c r="KZ212" s="357"/>
      <c r="LA212" s="357"/>
      <c r="LB212" s="357"/>
      <c r="LC212" s="357"/>
      <c r="LD212" s="357"/>
      <c r="LE212" s="357"/>
      <c r="LF212" s="357"/>
      <c r="LG212" s="357"/>
      <c r="LH212" s="357"/>
      <c r="LI212" s="357"/>
      <c r="LJ212" s="357"/>
      <c r="LK212" s="357"/>
      <c r="LL212" s="357"/>
      <c r="LM212" s="357"/>
      <c r="LN212" s="357"/>
      <c r="LO212" s="357"/>
      <c r="LP212" s="357"/>
      <c r="LQ212" s="357"/>
      <c r="LR212" s="357"/>
      <c r="LS212" s="357"/>
      <c r="LT212" s="357"/>
      <c r="LU212" s="357"/>
      <c r="LV212" s="357"/>
      <c r="LW212" s="357"/>
      <c r="LX212" s="357"/>
      <c r="LY212" s="357"/>
      <c r="LZ212" s="357"/>
      <c r="MA212" s="357"/>
      <c r="MB212" s="357"/>
    </row>
    <row r="213" spans="1:340" s="358" customFormat="1" ht="21" customHeight="1">
      <c r="A213" s="2742"/>
      <c r="B213" s="471"/>
      <c r="C213" s="1126"/>
      <c r="D213" s="1148"/>
      <c r="E213" s="1134"/>
      <c r="F213" s="1141"/>
      <c r="G213" s="1139"/>
      <c r="H213" s="404"/>
      <c r="I213" s="1675"/>
      <c r="J213" s="2746" t="s">
        <v>4776</v>
      </c>
      <c r="K213" s="2745"/>
      <c r="L213" s="2745"/>
      <c r="M213" s="2745"/>
      <c r="N213" s="2745"/>
      <c r="O213" s="2745"/>
      <c r="P213" s="1675"/>
      <c r="Q213" s="2747">
        <v>2</v>
      </c>
      <c r="R213" s="2743" t="s">
        <v>202</v>
      </c>
      <c r="S213" s="2747">
        <v>2500000</v>
      </c>
      <c r="T213" s="2747" t="s">
        <v>264</v>
      </c>
      <c r="U213" s="1675"/>
      <c r="V213" s="2747">
        <v>4</v>
      </c>
      <c r="W213" s="2747" t="s">
        <v>3214</v>
      </c>
      <c r="X213" s="1140" t="s">
        <v>266</v>
      </c>
      <c r="Y213" s="1674">
        <f t="shared" ref="Y213" si="55">Z213/1000</f>
        <v>20000</v>
      </c>
      <c r="Z213" s="407">
        <f>Q213*S213*V213</f>
        <v>20000000</v>
      </c>
      <c r="AB213" s="357"/>
      <c r="AD213" s="357"/>
      <c r="AE213" s="357"/>
      <c r="AF213" s="357"/>
      <c r="AG213" s="357"/>
      <c r="AH213" s="357"/>
      <c r="AI213" s="357"/>
      <c r="AJ213" s="357"/>
      <c r="AK213" s="357"/>
      <c r="AL213" s="357"/>
      <c r="AM213" s="357"/>
      <c r="AN213" s="357"/>
      <c r="AO213" s="357"/>
      <c r="AP213" s="357"/>
      <c r="AQ213" s="357"/>
      <c r="AR213" s="357"/>
      <c r="AS213" s="357"/>
      <c r="AT213" s="357"/>
      <c r="AU213" s="357"/>
      <c r="AV213" s="357"/>
      <c r="AW213" s="357"/>
      <c r="AX213" s="357"/>
      <c r="AY213" s="357"/>
      <c r="AZ213" s="357"/>
      <c r="BA213" s="357"/>
      <c r="BB213" s="357"/>
      <c r="BC213" s="357"/>
      <c r="BD213" s="357"/>
      <c r="BE213" s="357"/>
      <c r="BF213" s="357"/>
      <c r="BG213" s="357"/>
      <c r="BH213" s="357"/>
      <c r="BI213" s="357"/>
      <c r="BJ213" s="357"/>
      <c r="BK213" s="357"/>
      <c r="BL213" s="357"/>
      <c r="BM213" s="357"/>
      <c r="BN213" s="357"/>
      <c r="BO213" s="357"/>
      <c r="BP213" s="357"/>
      <c r="BQ213" s="357"/>
      <c r="BR213" s="357"/>
      <c r="BS213" s="357"/>
      <c r="BT213" s="357"/>
      <c r="BU213" s="357"/>
      <c r="BV213" s="357"/>
      <c r="BW213" s="357"/>
      <c r="BX213" s="357"/>
      <c r="BY213" s="357"/>
      <c r="BZ213" s="357"/>
      <c r="CA213" s="357"/>
      <c r="CB213" s="357"/>
      <c r="CC213" s="357"/>
      <c r="CD213" s="357"/>
      <c r="CE213" s="357"/>
      <c r="CF213" s="357"/>
      <c r="CG213" s="357"/>
      <c r="CH213" s="357"/>
      <c r="CI213" s="357"/>
      <c r="CJ213" s="357"/>
      <c r="CK213" s="357"/>
      <c r="CL213" s="357"/>
      <c r="CM213" s="357"/>
      <c r="CN213" s="357"/>
      <c r="CO213" s="357"/>
      <c r="CP213" s="357"/>
      <c r="CQ213" s="357"/>
      <c r="CR213" s="357"/>
      <c r="CS213" s="357"/>
      <c r="CT213" s="357"/>
      <c r="CU213" s="357"/>
      <c r="CV213" s="357"/>
      <c r="CW213" s="357"/>
      <c r="CX213" s="357"/>
      <c r="CY213" s="357"/>
      <c r="CZ213" s="357"/>
      <c r="DA213" s="357"/>
      <c r="DB213" s="357"/>
      <c r="DC213" s="357"/>
      <c r="DD213" s="357"/>
      <c r="DE213" s="357"/>
      <c r="DF213" s="357"/>
      <c r="DG213" s="357"/>
      <c r="DH213" s="357"/>
      <c r="DI213" s="357"/>
      <c r="DJ213" s="357"/>
      <c r="DK213" s="357"/>
      <c r="DL213" s="357"/>
      <c r="DM213" s="357"/>
      <c r="DN213" s="357"/>
      <c r="DO213" s="357"/>
      <c r="DP213" s="357"/>
      <c r="DQ213" s="357"/>
      <c r="DR213" s="357"/>
      <c r="DS213" s="357"/>
      <c r="DT213" s="357"/>
      <c r="DU213" s="357"/>
      <c r="DV213" s="357"/>
      <c r="DW213" s="357"/>
      <c r="DX213" s="357"/>
      <c r="DY213" s="357"/>
      <c r="DZ213" s="357"/>
      <c r="EA213" s="357"/>
      <c r="EB213" s="357"/>
      <c r="EC213" s="357"/>
      <c r="ED213" s="357"/>
      <c r="EE213" s="357"/>
      <c r="EF213" s="357"/>
      <c r="EG213" s="357"/>
      <c r="EH213" s="357"/>
      <c r="EI213" s="357"/>
      <c r="EJ213" s="357"/>
      <c r="EK213" s="357"/>
      <c r="EL213" s="357"/>
      <c r="EM213" s="357"/>
      <c r="EN213" s="357"/>
      <c r="EO213" s="357"/>
      <c r="EP213" s="357"/>
      <c r="EQ213" s="357"/>
      <c r="ER213" s="357"/>
      <c r="ES213" s="357"/>
      <c r="ET213" s="357"/>
      <c r="EU213" s="357"/>
      <c r="EV213" s="357"/>
      <c r="EW213" s="357"/>
      <c r="EX213" s="357"/>
      <c r="EY213" s="357"/>
      <c r="EZ213" s="357"/>
      <c r="FA213" s="357"/>
      <c r="FB213" s="357"/>
      <c r="FC213" s="357"/>
      <c r="FD213" s="357"/>
      <c r="FE213" s="357"/>
      <c r="FF213" s="357"/>
      <c r="FG213" s="357"/>
      <c r="FH213" s="357"/>
      <c r="FI213" s="357"/>
      <c r="FJ213" s="357"/>
      <c r="FK213" s="357"/>
      <c r="FL213" s="357"/>
      <c r="FM213" s="357"/>
      <c r="FN213" s="357"/>
      <c r="FO213" s="357"/>
      <c r="FP213" s="357"/>
      <c r="FQ213" s="357"/>
      <c r="FR213" s="357"/>
      <c r="FS213" s="357"/>
      <c r="FT213" s="357"/>
      <c r="FU213" s="357"/>
      <c r="FV213" s="357"/>
      <c r="FW213" s="357"/>
      <c r="FX213" s="357"/>
      <c r="FY213" s="357"/>
      <c r="FZ213" s="357"/>
      <c r="GA213" s="357"/>
      <c r="GB213" s="357"/>
      <c r="GC213" s="357"/>
      <c r="GD213" s="357"/>
      <c r="GE213" s="357"/>
      <c r="GF213" s="357"/>
      <c r="GG213" s="357"/>
      <c r="GH213" s="357"/>
      <c r="GI213" s="357"/>
      <c r="GJ213" s="357"/>
      <c r="GK213" s="357"/>
      <c r="GL213" s="357"/>
      <c r="GM213" s="357"/>
      <c r="GN213" s="357"/>
      <c r="GO213" s="357"/>
      <c r="GP213" s="357"/>
      <c r="GQ213" s="357"/>
      <c r="GR213" s="357"/>
      <c r="GS213" s="357"/>
      <c r="GT213" s="357"/>
      <c r="GU213" s="357"/>
      <c r="GV213" s="357"/>
      <c r="GW213" s="357"/>
      <c r="GX213" s="357"/>
      <c r="GY213" s="357"/>
      <c r="GZ213" s="357"/>
      <c r="HA213" s="357"/>
      <c r="HB213" s="357"/>
      <c r="HC213" s="357"/>
      <c r="HD213" s="357"/>
      <c r="HE213" s="357"/>
      <c r="HF213" s="357"/>
      <c r="HG213" s="357"/>
      <c r="HH213" s="357"/>
      <c r="HI213" s="357"/>
      <c r="HJ213" s="357"/>
      <c r="HK213" s="357"/>
      <c r="HL213" s="357"/>
      <c r="HM213" s="357"/>
      <c r="HN213" s="357"/>
      <c r="HO213" s="357"/>
      <c r="HP213" s="357"/>
      <c r="HQ213" s="357"/>
      <c r="HR213" s="357"/>
      <c r="HS213" s="357"/>
      <c r="HT213" s="357"/>
      <c r="HU213" s="357"/>
      <c r="HV213" s="357"/>
      <c r="HW213" s="357"/>
      <c r="HX213" s="357"/>
      <c r="HY213" s="357"/>
      <c r="HZ213" s="357"/>
      <c r="IA213" s="357"/>
      <c r="IB213" s="357"/>
      <c r="IC213" s="357"/>
      <c r="ID213" s="357"/>
      <c r="IE213" s="357"/>
      <c r="IF213" s="357"/>
      <c r="IG213" s="357"/>
      <c r="IH213" s="357"/>
      <c r="II213" s="357"/>
      <c r="IJ213" s="357"/>
      <c r="IK213" s="357"/>
      <c r="IL213" s="357"/>
      <c r="IM213" s="357"/>
      <c r="IN213" s="357"/>
      <c r="IO213" s="357"/>
      <c r="IP213" s="357"/>
      <c r="IQ213" s="357"/>
      <c r="IR213" s="357"/>
      <c r="IS213" s="357"/>
      <c r="IT213" s="357"/>
      <c r="IU213" s="357"/>
      <c r="IV213" s="357"/>
      <c r="IW213" s="357"/>
      <c r="IX213" s="357"/>
      <c r="IY213" s="357"/>
      <c r="IZ213" s="357"/>
      <c r="JA213" s="357"/>
      <c r="JB213" s="357"/>
      <c r="JC213" s="357"/>
      <c r="JD213" s="357"/>
      <c r="JE213" s="357"/>
      <c r="JF213" s="357"/>
      <c r="JG213" s="357"/>
      <c r="JH213" s="357"/>
      <c r="JI213" s="357"/>
      <c r="JJ213" s="357"/>
      <c r="JK213" s="357"/>
      <c r="JL213" s="357"/>
      <c r="JM213" s="357"/>
      <c r="JN213" s="357"/>
      <c r="JO213" s="357"/>
      <c r="JP213" s="357"/>
      <c r="JQ213" s="357"/>
      <c r="JR213" s="357"/>
      <c r="JS213" s="357"/>
      <c r="JT213" s="357"/>
      <c r="JU213" s="357"/>
      <c r="JV213" s="357"/>
      <c r="JW213" s="357"/>
      <c r="JX213" s="357"/>
      <c r="JY213" s="357"/>
      <c r="JZ213" s="357"/>
      <c r="KA213" s="357"/>
      <c r="KB213" s="357"/>
      <c r="KC213" s="357"/>
      <c r="KD213" s="357"/>
      <c r="KE213" s="357"/>
      <c r="KF213" s="357"/>
      <c r="KG213" s="357"/>
      <c r="KH213" s="357"/>
      <c r="KI213" s="357"/>
      <c r="KJ213" s="357"/>
      <c r="KK213" s="357"/>
      <c r="KL213" s="357"/>
      <c r="KM213" s="357"/>
      <c r="KN213" s="357"/>
      <c r="KO213" s="357"/>
      <c r="KP213" s="357"/>
      <c r="KQ213" s="357"/>
      <c r="KR213" s="357"/>
      <c r="KS213" s="357"/>
      <c r="KT213" s="357"/>
      <c r="KU213" s="357"/>
      <c r="KV213" s="357"/>
      <c r="KW213" s="357"/>
      <c r="KX213" s="357"/>
      <c r="KY213" s="357"/>
      <c r="KZ213" s="357"/>
      <c r="LA213" s="357"/>
      <c r="LB213" s="357"/>
      <c r="LC213" s="357"/>
      <c r="LD213" s="357"/>
      <c r="LE213" s="357"/>
      <c r="LF213" s="357"/>
      <c r="LG213" s="357"/>
      <c r="LH213" s="357"/>
      <c r="LI213" s="357"/>
      <c r="LJ213" s="357"/>
      <c r="LK213" s="357"/>
      <c r="LL213" s="357"/>
      <c r="LM213" s="357"/>
      <c r="LN213" s="357"/>
      <c r="LO213" s="357"/>
      <c r="LP213" s="357"/>
      <c r="LQ213" s="357"/>
      <c r="LR213" s="357"/>
      <c r="LS213" s="357"/>
      <c r="LT213" s="357"/>
      <c r="LU213" s="357"/>
      <c r="LV213" s="357"/>
      <c r="LW213" s="357"/>
      <c r="LX213" s="357"/>
      <c r="LY213" s="357"/>
      <c r="LZ213" s="357"/>
      <c r="MA213" s="357"/>
      <c r="MB213" s="357"/>
    </row>
    <row r="214" spans="1:340" s="358" customFormat="1" ht="21" customHeight="1">
      <c r="A214" s="2529"/>
      <c r="B214" s="471"/>
      <c r="C214" s="1126"/>
      <c r="D214" s="1148"/>
      <c r="E214" s="1134" t="s">
        <v>3216</v>
      </c>
      <c r="F214" s="1141">
        <f>Y214</f>
        <v>18000</v>
      </c>
      <c r="G214" s="1139">
        <v>18000</v>
      </c>
      <c r="H214" s="1147"/>
      <c r="I214" s="1675"/>
      <c r="J214" s="2746" t="s">
        <v>194</v>
      </c>
      <c r="K214" s="2745"/>
      <c r="L214" s="2747"/>
      <c r="M214" s="2745"/>
      <c r="N214" s="2745"/>
      <c r="O214" s="2745"/>
      <c r="P214" s="1675"/>
      <c r="Q214" s="2747"/>
      <c r="R214" s="2743"/>
      <c r="S214" s="2747"/>
      <c r="T214" s="2747"/>
      <c r="U214" s="1675"/>
      <c r="V214" s="2747"/>
      <c r="W214" s="2747"/>
      <c r="X214" s="1140"/>
      <c r="Y214" s="1674">
        <f>Z214/1000</f>
        <v>18000</v>
      </c>
      <c r="Z214" s="407">
        <f>SUM(Z215:Z218)</f>
        <v>18000000</v>
      </c>
      <c r="AB214" s="357"/>
      <c r="AD214" s="357"/>
      <c r="AE214" s="357"/>
      <c r="AF214" s="357"/>
      <c r="AG214" s="357"/>
      <c r="AH214" s="357"/>
      <c r="AI214" s="357"/>
      <c r="AJ214" s="357"/>
      <c r="AK214" s="357"/>
      <c r="AL214" s="357"/>
      <c r="AM214" s="357"/>
      <c r="AN214" s="357"/>
      <c r="AO214" s="357"/>
      <c r="AP214" s="357"/>
      <c r="AQ214" s="357"/>
      <c r="AR214" s="357"/>
      <c r="AS214" s="357"/>
      <c r="AT214" s="357"/>
      <c r="AU214" s="357"/>
      <c r="AV214" s="357"/>
      <c r="AW214" s="357"/>
      <c r="AX214" s="357"/>
      <c r="AY214" s="357"/>
      <c r="AZ214" s="357"/>
      <c r="BA214" s="357"/>
      <c r="BB214" s="357"/>
      <c r="BC214" s="357"/>
      <c r="BD214" s="357"/>
      <c r="BE214" s="357"/>
      <c r="BF214" s="357"/>
      <c r="BG214" s="357"/>
      <c r="BH214" s="357"/>
      <c r="BI214" s="357"/>
      <c r="BJ214" s="357"/>
      <c r="BK214" s="357"/>
      <c r="BL214" s="357"/>
      <c r="BM214" s="357"/>
      <c r="BN214" s="357"/>
      <c r="BO214" s="357"/>
      <c r="BP214" s="357"/>
      <c r="BQ214" s="357"/>
      <c r="BR214" s="357"/>
      <c r="BS214" s="357"/>
      <c r="BT214" s="357"/>
      <c r="BU214" s="357"/>
      <c r="BV214" s="357"/>
      <c r="BW214" s="357"/>
      <c r="BX214" s="357"/>
      <c r="BY214" s="357"/>
      <c r="BZ214" s="357"/>
      <c r="CA214" s="357"/>
      <c r="CB214" s="357"/>
      <c r="CC214" s="357"/>
      <c r="CD214" s="357"/>
      <c r="CE214" s="357"/>
      <c r="CF214" s="357"/>
      <c r="CG214" s="357"/>
      <c r="CH214" s="357"/>
      <c r="CI214" s="357"/>
      <c r="CJ214" s="357"/>
      <c r="CK214" s="357"/>
      <c r="CL214" s="357"/>
      <c r="CM214" s="357"/>
      <c r="CN214" s="357"/>
      <c r="CO214" s="357"/>
      <c r="CP214" s="357"/>
      <c r="CQ214" s="357"/>
      <c r="CR214" s="357"/>
      <c r="CS214" s="357"/>
      <c r="CT214" s="357"/>
      <c r="CU214" s="357"/>
      <c r="CV214" s="357"/>
      <c r="CW214" s="357"/>
      <c r="CX214" s="357"/>
      <c r="CY214" s="357"/>
      <c r="CZ214" s="357"/>
      <c r="DA214" s="357"/>
      <c r="DB214" s="357"/>
      <c r="DC214" s="357"/>
      <c r="DD214" s="357"/>
      <c r="DE214" s="357"/>
      <c r="DF214" s="357"/>
      <c r="DG214" s="357"/>
      <c r="DH214" s="357"/>
      <c r="DI214" s="357"/>
      <c r="DJ214" s="357"/>
      <c r="DK214" s="357"/>
      <c r="DL214" s="357"/>
      <c r="DM214" s="357"/>
      <c r="DN214" s="357"/>
      <c r="DO214" s="357"/>
      <c r="DP214" s="357"/>
      <c r="DQ214" s="357"/>
      <c r="DR214" s="357"/>
      <c r="DS214" s="357"/>
      <c r="DT214" s="357"/>
      <c r="DU214" s="357"/>
      <c r="DV214" s="357"/>
      <c r="DW214" s="357"/>
      <c r="DX214" s="357"/>
      <c r="DY214" s="357"/>
      <c r="DZ214" s="357"/>
      <c r="EA214" s="357"/>
      <c r="EB214" s="357"/>
      <c r="EC214" s="357"/>
      <c r="ED214" s="357"/>
      <c r="EE214" s="357"/>
      <c r="EF214" s="357"/>
      <c r="EG214" s="357"/>
      <c r="EH214" s="357"/>
      <c r="EI214" s="357"/>
      <c r="EJ214" s="357"/>
      <c r="EK214" s="357"/>
      <c r="EL214" s="357"/>
      <c r="EM214" s="357"/>
      <c r="EN214" s="357"/>
      <c r="EO214" s="357"/>
      <c r="EP214" s="357"/>
      <c r="EQ214" s="357"/>
      <c r="ER214" s="357"/>
      <c r="ES214" s="357"/>
      <c r="ET214" s="357"/>
      <c r="EU214" s="357"/>
      <c r="EV214" s="357"/>
      <c r="EW214" s="357"/>
      <c r="EX214" s="357"/>
      <c r="EY214" s="357"/>
      <c r="EZ214" s="357"/>
      <c r="FA214" s="357"/>
      <c r="FB214" s="357"/>
      <c r="FC214" s="357"/>
      <c r="FD214" s="357"/>
      <c r="FE214" s="357"/>
      <c r="FF214" s="357"/>
      <c r="FG214" s="357"/>
      <c r="FH214" s="357"/>
      <c r="FI214" s="357"/>
      <c r="FJ214" s="357"/>
      <c r="FK214" s="357"/>
      <c r="FL214" s="357"/>
      <c r="FM214" s="357"/>
      <c r="FN214" s="357"/>
      <c r="FO214" s="357"/>
      <c r="FP214" s="357"/>
      <c r="FQ214" s="357"/>
      <c r="FR214" s="357"/>
      <c r="FS214" s="357"/>
      <c r="FT214" s="357"/>
      <c r="FU214" s="357"/>
      <c r="FV214" s="357"/>
      <c r="FW214" s="357"/>
      <c r="FX214" s="357"/>
      <c r="FY214" s="357"/>
      <c r="FZ214" s="357"/>
      <c r="GA214" s="357"/>
      <c r="GB214" s="357"/>
      <c r="GC214" s="357"/>
      <c r="GD214" s="357"/>
      <c r="GE214" s="357"/>
      <c r="GF214" s="357"/>
      <c r="GG214" s="357"/>
      <c r="GH214" s="357"/>
      <c r="GI214" s="357"/>
      <c r="GJ214" s="357"/>
      <c r="GK214" s="357"/>
      <c r="GL214" s="357"/>
      <c r="GM214" s="357"/>
      <c r="GN214" s="357"/>
      <c r="GO214" s="357"/>
      <c r="GP214" s="357"/>
      <c r="GQ214" s="357"/>
      <c r="GR214" s="357"/>
      <c r="GS214" s="357"/>
      <c r="GT214" s="357"/>
      <c r="GU214" s="357"/>
      <c r="GV214" s="357"/>
      <c r="GW214" s="357"/>
      <c r="GX214" s="357"/>
      <c r="GY214" s="357"/>
      <c r="GZ214" s="357"/>
      <c r="HA214" s="357"/>
      <c r="HB214" s="357"/>
      <c r="HC214" s="357"/>
      <c r="HD214" s="357"/>
      <c r="HE214" s="357"/>
      <c r="HF214" s="357"/>
      <c r="HG214" s="357"/>
      <c r="HH214" s="357"/>
      <c r="HI214" s="357"/>
      <c r="HJ214" s="357"/>
      <c r="HK214" s="357"/>
      <c r="HL214" s="357"/>
      <c r="HM214" s="357"/>
      <c r="HN214" s="357"/>
      <c r="HO214" s="357"/>
      <c r="HP214" s="357"/>
      <c r="HQ214" s="357"/>
      <c r="HR214" s="357"/>
      <c r="HS214" s="357"/>
      <c r="HT214" s="357"/>
      <c r="HU214" s="357"/>
      <c r="HV214" s="357"/>
      <c r="HW214" s="357"/>
      <c r="HX214" s="357"/>
      <c r="HY214" s="357"/>
      <c r="HZ214" s="357"/>
      <c r="IA214" s="357"/>
      <c r="IB214" s="357"/>
      <c r="IC214" s="357"/>
      <c r="ID214" s="357"/>
      <c r="IE214" s="357"/>
      <c r="IF214" s="357"/>
      <c r="IG214" s="357"/>
      <c r="IH214" s="357"/>
      <c r="II214" s="357"/>
      <c r="IJ214" s="357"/>
      <c r="IK214" s="357"/>
      <c r="IL214" s="357"/>
      <c r="IM214" s="357"/>
      <c r="IN214" s="357"/>
      <c r="IO214" s="357"/>
      <c r="IP214" s="357"/>
      <c r="IQ214" s="357"/>
      <c r="IR214" s="357"/>
      <c r="IS214" s="357"/>
      <c r="IT214" s="357"/>
      <c r="IU214" s="357"/>
      <c r="IV214" s="357"/>
      <c r="IW214" s="357"/>
      <c r="IX214" s="357"/>
      <c r="IY214" s="357"/>
      <c r="IZ214" s="357"/>
      <c r="JA214" s="357"/>
      <c r="JB214" s="357"/>
      <c r="JC214" s="357"/>
      <c r="JD214" s="357"/>
      <c r="JE214" s="357"/>
      <c r="JF214" s="357"/>
      <c r="JG214" s="357"/>
      <c r="JH214" s="357"/>
      <c r="JI214" s="357"/>
      <c r="JJ214" s="357"/>
      <c r="JK214" s="357"/>
      <c r="JL214" s="357"/>
      <c r="JM214" s="357"/>
      <c r="JN214" s="357"/>
      <c r="JO214" s="357"/>
      <c r="JP214" s="357"/>
      <c r="JQ214" s="357"/>
      <c r="JR214" s="357"/>
      <c r="JS214" s="357"/>
      <c r="JT214" s="357"/>
      <c r="JU214" s="357"/>
      <c r="JV214" s="357"/>
      <c r="JW214" s="357"/>
      <c r="JX214" s="357"/>
      <c r="JY214" s="357"/>
      <c r="JZ214" s="357"/>
      <c r="KA214" s="357"/>
      <c r="KB214" s="357"/>
      <c r="KC214" s="357"/>
      <c r="KD214" s="357"/>
      <c r="KE214" s="357"/>
      <c r="KF214" s="357"/>
      <c r="KG214" s="357"/>
      <c r="KH214" s="357"/>
      <c r="KI214" s="357"/>
      <c r="KJ214" s="357"/>
      <c r="KK214" s="357"/>
      <c r="KL214" s="357"/>
      <c r="KM214" s="357"/>
      <c r="KN214" s="357"/>
      <c r="KO214" s="357"/>
      <c r="KP214" s="357"/>
      <c r="KQ214" s="357"/>
      <c r="KR214" s="357"/>
      <c r="KS214" s="357"/>
      <c r="KT214" s="357"/>
      <c r="KU214" s="357"/>
      <c r="KV214" s="357"/>
      <c r="KW214" s="357"/>
      <c r="KX214" s="357"/>
      <c r="KY214" s="357"/>
      <c r="KZ214" s="357"/>
      <c r="LA214" s="357"/>
      <c r="LB214" s="357"/>
      <c r="LC214" s="357"/>
      <c r="LD214" s="357"/>
      <c r="LE214" s="357"/>
      <c r="LF214" s="357"/>
      <c r="LG214" s="357"/>
      <c r="LH214" s="357"/>
      <c r="LI214" s="357"/>
      <c r="LJ214" s="357"/>
      <c r="LK214" s="357"/>
      <c r="LL214" s="357"/>
      <c r="LM214" s="357"/>
      <c r="LN214" s="357"/>
      <c r="LO214" s="357"/>
      <c r="LP214" s="357"/>
      <c r="LQ214" s="357"/>
      <c r="LR214" s="357"/>
      <c r="LS214" s="357"/>
      <c r="LT214" s="357"/>
      <c r="LU214" s="357"/>
      <c r="LV214" s="357"/>
      <c r="LW214" s="357"/>
      <c r="LX214" s="357"/>
      <c r="LY214" s="357"/>
      <c r="LZ214" s="357"/>
      <c r="MA214" s="357"/>
      <c r="MB214" s="357"/>
    </row>
    <row r="215" spans="1:340" s="358" customFormat="1" ht="21" customHeight="1">
      <c r="A215" s="2742"/>
      <c r="B215" s="471"/>
      <c r="C215" s="1126"/>
      <c r="D215" s="1148"/>
      <c r="E215" s="1134"/>
      <c r="F215" s="1141"/>
      <c r="G215" s="1139"/>
      <c r="H215" s="1147"/>
      <c r="I215" s="1675"/>
      <c r="J215" s="2744" t="s">
        <v>4785</v>
      </c>
      <c r="K215" s="2745"/>
      <c r="L215" s="2745"/>
      <c r="M215" s="2745"/>
      <c r="N215" s="2745"/>
      <c r="O215" s="2745"/>
      <c r="P215" s="1675"/>
      <c r="Q215" s="2747"/>
      <c r="R215" s="2743"/>
      <c r="S215" s="2747">
        <v>3000000</v>
      </c>
      <c r="T215" s="2747" t="s">
        <v>264</v>
      </c>
      <c r="U215" s="1675"/>
      <c r="V215" s="2747">
        <v>1</v>
      </c>
      <c r="W215" s="2747" t="s">
        <v>196</v>
      </c>
      <c r="X215" s="1140" t="s">
        <v>266</v>
      </c>
      <c r="Y215" s="1674">
        <f t="shared" ref="Y215:Y218" si="56">Z215/1000</f>
        <v>3000</v>
      </c>
      <c r="Z215" s="407">
        <f>S215*V215</f>
        <v>3000000</v>
      </c>
      <c r="AB215" s="357"/>
      <c r="AD215" s="357"/>
      <c r="AE215" s="357"/>
      <c r="AF215" s="357"/>
      <c r="AG215" s="357"/>
      <c r="AH215" s="357"/>
      <c r="AI215" s="357"/>
      <c r="AJ215" s="357"/>
      <c r="AK215" s="357"/>
      <c r="AL215" s="357"/>
      <c r="AM215" s="357"/>
      <c r="AN215" s="357"/>
      <c r="AO215" s="357"/>
      <c r="AP215" s="357"/>
      <c r="AQ215" s="357"/>
      <c r="AR215" s="357"/>
      <c r="AS215" s="357"/>
      <c r="AT215" s="357"/>
      <c r="AU215" s="357"/>
      <c r="AV215" s="357"/>
      <c r="AW215" s="357"/>
      <c r="AX215" s="357"/>
      <c r="AY215" s="357"/>
      <c r="AZ215" s="357"/>
      <c r="BA215" s="357"/>
      <c r="BB215" s="357"/>
      <c r="BC215" s="357"/>
      <c r="BD215" s="357"/>
      <c r="BE215" s="357"/>
      <c r="BF215" s="357"/>
      <c r="BG215" s="357"/>
      <c r="BH215" s="357"/>
      <c r="BI215" s="357"/>
      <c r="BJ215" s="357"/>
      <c r="BK215" s="357"/>
      <c r="BL215" s="357"/>
      <c r="BM215" s="357"/>
      <c r="BN215" s="357"/>
      <c r="BO215" s="357"/>
      <c r="BP215" s="357"/>
      <c r="BQ215" s="357"/>
      <c r="BR215" s="357"/>
      <c r="BS215" s="357"/>
      <c r="BT215" s="357"/>
      <c r="BU215" s="357"/>
      <c r="BV215" s="357"/>
      <c r="BW215" s="357"/>
      <c r="BX215" s="357"/>
      <c r="BY215" s="357"/>
      <c r="BZ215" s="357"/>
      <c r="CA215" s="357"/>
      <c r="CB215" s="357"/>
      <c r="CC215" s="357"/>
      <c r="CD215" s="357"/>
      <c r="CE215" s="357"/>
      <c r="CF215" s="357"/>
      <c r="CG215" s="357"/>
      <c r="CH215" s="357"/>
      <c r="CI215" s="357"/>
      <c r="CJ215" s="357"/>
      <c r="CK215" s="357"/>
      <c r="CL215" s="357"/>
      <c r="CM215" s="357"/>
      <c r="CN215" s="357"/>
      <c r="CO215" s="357"/>
      <c r="CP215" s="357"/>
      <c r="CQ215" s="357"/>
      <c r="CR215" s="357"/>
      <c r="CS215" s="357"/>
      <c r="CT215" s="357"/>
      <c r="CU215" s="357"/>
      <c r="CV215" s="357"/>
      <c r="CW215" s="357"/>
      <c r="CX215" s="357"/>
      <c r="CY215" s="357"/>
      <c r="CZ215" s="357"/>
      <c r="DA215" s="357"/>
      <c r="DB215" s="357"/>
      <c r="DC215" s="357"/>
      <c r="DD215" s="357"/>
      <c r="DE215" s="357"/>
      <c r="DF215" s="357"/>
      <c r="DG215" s="357"/>
      <c r="DH215" s="357"/>
      <c r="DI215" s="357"/>
      <c r="DJ215" s="357"/>
      <c r="DK215" s="357"/>
      <c r="DL215" s="357"/>
      <c r="DM215" s="357"/>
      <c r="DN215" s="357"/>
      <c r="DO215" s="357"/>
      <c r="DP215" s="357"/>
      <c r="DQ215" s="357"/>
      <c r="DR215" s="357"/>
      <c r="DS215" s="357"/>
      <c r="DT215" s="357"/>
      <c r="DU215" s="357"/>
      <c r="DV215" s="357"/>
      <c r="DW215" s="357"/>
      <c r="DX215" s="357"/>
      <c r="DY215" s="357"/>
      <c r="DZ215" s="357"/>
      <c r="EA215" s="357"/>
      <c r="EB215" s="357"/>
      <c r="EC215" s="357"/>
      <c r="ED215" s="357"/>
      <c r="EE215" s="357"/>
      <c r="EF215" s="357"/>
      <c r="EG215" s="357"/>
      <c r="EH215" s="357"/>
      <c r="EI215" s="357"/>
      <c r="EJ215" s="357"/>
      <c r="EK215" s="357"/>
      <c r="EL215" s="357"/>
      <c r="EM215" s="357"/>
      <c r="EN215" s="357"/>
      <c r="EO215" s="357"/>
      <c r="EP215" s="357"/>
      <c r="EQ215" s="357"/>
      <c r="ER215" s="357"/>
      <c r="ES215" s="357"/>
      <c r="ET215" s="357"/>
      <c r="EU215" s="357"/>
      <c r="EV215" s="357"/>
      <c r="EW215" s="357"/>
      <c r="EX215" s="357"/>
      <c r="EY215" s="357"/>
      <c r="EZ215" s="357"/>
      <c r="FA215" s="357"/>
      <c r="FB215" s="357"/>
      <c r="FC215" s="357"/>
      <c r="FD215" s="357"/>
      <c r="FE215" s="357"/>
      <c r="FF215" s="357"/>
      <c r="FG215" s="357"/>
      <c r="FH215" s="357"/>
      <c r="FI215" s="357"/>
      <c r="FJ215" s="357"/>
      <c r="FK215" s="357"/>
      <c r="FL215" s="357"/>
      <c r="FM215" s="357"/>
      <c r="FN215" s="357"/>
      <c r="FO215" s="357"/>
      <c r="FP215" s="357"/>
      <c r="FQ215" s="357"/>
      <c r="FR215" s="357"/>
      <c r="FS215" s="357"/>
      <c r="FT215" s="357"/>
      <c r="FU215" s="357"/>
      <c r="FV215" s="357"/>
      <c r="FW215" s="357"/>
      <c r="FX215" s="357"/>
      <c r="FY215" s="357"/>
      <c r="FZ215" s="357"/>
      <c r="GA215" s="357"/>
      <c r="GB215" s="357"/>
      <c r="GC215" s="357"/>
      <c r="GD215" s="357"/>
      <c r="GE215" s="357"/>
      <c r="GF215" s="357"/>
      <c r="GG215" s="357"/>
      <c r="GH215" s="357"/>
      <c r="GI215" s="357"/>
      <c r="GJ215" s="357"/>
      <c r="GK215" s="357"/>
      <c r="GL215" s="357"/>
      <c r="GM215" s="357"/>
      <c r="GN215" s="357"/>
      <c r="GO215" s="357"/>
      <c r="GP215" s="357"/>
      <c r="GQ215" s="357"/>
      <c r="GR215" s="357"/>
      <c r="GS215" s="357"/>
      <c r="GT215" s="357"/>
      <c r="GU215" s="357"/>
      <c r="GV215" s="357"/>
      <c r="GW215" s="357"/>
      <c r="GX215" s="357"/>
      <c r="GY215" s="357"/>
      <c r="GZ215" s="357"/>
      <c r="HA215" s="357"/>
      <c r="HB215" s="357"/>
      <c r="HC215" s="357"/>
      <c r="HD215" s="357"/>
      <c r="HE215" s="357"/>
      <c r="HF215" s="357"/>
      <c r="HG215" s="357"/>
      <c r="HH215" s="357"/>
      <c r="HI215" s="357"/>
      <c r="HJ215" s="357"/>
      <c r="HK215" s="357"/>
      <c r="HL215" s="357"/>
      <c r="HM215" s="357"/>
      <c r="HN215" s="357"/>
      <c r="HO215" s="357"/>
      <c r="HP215" s="357"/>
      <c r="HQ215" s="357"/>
      <c r="HR215" s="357"/>
      <c r="HS215" s="357"/>
      <c r="HT215" s="357"/>
      <c r="HU215" s="357"/>
      <c r="HV215" s="357"/>
      <c r="HW215" s="357"/>
      <c r="HX215" s="357"/>
      <c r="HY215" s="357"/>
      <c r="HZ215" s="357"/>
      <c r="IA215" s="357"/>
      <c r="IB215" s="357"/>
      <c r="IC215" s="357"/>
      <c r="ID215" s="357"/>
      <c r="IE215" s="357"/>
      <c r="IF215" s="357"/>
      <c r="IG215" s="357"/>
      <c r="IH215" s="357"/>
      <c r="II215" s="357"/>
      <c r="IJ215" s="357"/>
      <c r="IK215" s="357"/>
      <c r="IL215" s="357"/>
      <c r="IM215" s="357"/>
      <c r="IN215" s="357"/>
      <c r="IO215" s="357"/>
      <c r="IP215" s="357"/>
      <c r="IQ215" s="357"/>
      <c r="IR215" s="357"/>
      <c r="IS215" s="357"/>
      <c r="IT215" s="357"/>
      <c r="IU215" s="357"/>
      <c r="IV215" s="357"/>
      <c r="IW215" s="357"/>
      <c r="IX215" s="357"/>
      <c r="IY215" s="357"/>
      <c r="IZ215" s="357"/>
      <c r="JA215" s="357"/>
      <c r="JB215" s="357"/>
      <c r="JC215" s="357"/>
      <c r="JD215" s="357"/>
      <c r="JE215" s="357"/>
      <c r="JF215" s="357"/>
      <c r="JG215" s="357"/>
      <c r="JH215" s="357"/>
      <c r="JI215" s="357"/>
      <c r="JJ215" s="357"/>
      <c r="JK215" s="357"/>
      <c r="JL215" s="357"/>
      <c r="JM215" s="357"/>
      <c r="JN215" s="357"/>
      <c r="JO215" s="357"/>
      <c r="JP215" s="357"/>
      <c r="JQ215" s="357"/>
      <c r="JR215" s="357"/>
      <c r="JS215" s="357"/>
      <c r="JT215" s="357"/>
      <c r="JU215" s="357"/>
      <c r="JV215" s="357"/>
      <c r="JW215" s="357"/>
      <c r="JX215" s="357"/>
      <c r="JY215" s="357"/>
      <c r="JZ215" s="357"/>
      <c r="KA215" s="357"/>
      <c r="KB215" s="357"/>
      <c r="KC215" s="357"/>
      <c r="KD215" s="357"/>
      <c r="KE215" s="357"/>
      <c r="KF215" s="357"/>
      <c r="KG215" s="357"/>
      <c r="KH215" s="357"/>
      <c r="KI215" s="357"/>
      <c r="KJ215" s="357"/>
      <c r="KK215" s="357"/>
      <c r="KL215" s="357"/>
      <c r="KM215" s="357"/>
      <c r="KN215" s="357"/>
      <c r="KO215" s="357"/>
      <c r="KP215" s="357"/>
      <c r="KQ215" s="357"/>
      <c r="KR215" s="357"/>
      <c r="KS215" s="357"/>
      <c r="KT215" s="357"/>
      <c r="KU215" s="357"/>
      <c r="KV215" s="357"/>
      <c r="KW215" s="357"/>
      <c r="KX215" s="357"/>
      <c r="KY215" s="357"/>
      <c r="KZ215" s="357"/>
      <c r="LA215" s="357"/>
      <c r="LB215" s="357"/>
      <c r="LC215" s="357"/>
      <c r="LD215" s="357"/>
      <c r="LE215" s="357"/>
      <c r="LF215" s="357"/>
      <c r="LG215" s="357"/>
      <c r="LH215" s="357"/>
      <c r="LI215" s="357"/>
      <c r="LJ215" s="357"/>
      <c r="LK215" s="357"/>
      <c r="LL215" s="357"/>
      <c r="LM215" s="357"/>
      <c r="LN215" s="357"/>
      <c r="LO215" s="357"/>
      <c r="LP215" s="357"/>
      <c r="LQ215" s="357"/>
      <c r="LR215" s="357"/>
      <c r="LS215" s="357"/>
      <c r="LT215" s="357"/>
      <c r="LU215" s="357"/>
      <c r="LV215" s="357"/>
      <c r="LW215" s="357"/>
      <c r="LX215" s="357"/>
      <c r="LY215" s="357"/>
      <c r="LZ215" s="357"/>
      <c r="MA215" s="357"/>
      <c r="MB215" s="357"/>
    </row>
    <row r="216" spans="1:340" s="358" customFormat="1" ht="21" customHeight="1">
      <c r="A216" s="2742"/>
      <c r="B216" s="471"/>
      <c r="C216" s="1126"/>
      <c r="D216" s="1148"/>
      <c r="E216" s="1134"/>
      <c r="F216" s="1141"/>
      <c r="G216" s="1139"/>
      <c r="H216" s="1147"/>
      <c r="I216" s="1675"/>
      <c r="J216" s="2746" t="s">
        <v>4786</v>
      </c>
      <c r="K216" s="2745"/>
      <c r="L216" s="2745"/>
      <c r="M216" s="2745"/>
      <c r="N216" s="2745"/>
      <c r="O216" s="2745"/>
      <c r="P216" s="1675"/>
      <c r="Q216" s="2747"/>
      <c r="R216" s="2743"/>
      <c r="S216" s="1672">
        <v>500000</v>
      </c>
      <c r="T216" s="1671" t="s">
        <v>264</v>
      </c>
      <c r="U216" s="1671"/>
      <c r="V216" s="1671">
        <v>4</v>
      </c>
      <c r="W216" s="1671" t="s">
        <v>203</v>
      </c>
      <c r="X216" s="397" t="s">
        <v>266</v>
      </c>
      <c r="Y216" s="1674">
        <f t="shared" si="56"/>
        <v>2000</v>
      </c>
      <c r="Z216" s="407">
        <f t="shared" ref="Z216:Z217" si="57">S216*V216</f>
        <v>2000000</v>
      </c>
      <c r="AB216" s="357"/>
      <c r="AD216" s="357"/>
      <c r="AE216" s="357"/>
      <c r="AF216" s="357"/>
      <c r="AG216" s="357"/>
      <c r="AH216" s="357"/>
      <c r="AI216" s="357"/>
      <c r="AJ216" s="357"/>
      <c r="AK216" s="357"/>
      <c r="AL216" s="357"/>
      <c r="AM216" s="357"/>
      <c r="AN216" s="357"/>
      <c r="AO216" s="357"/>
      <c r="AP216" s="357"/>
      <c r="AQ216" s="357"/>
      <c r="AR216" s="357"/>
      <c r="AS216" s="357"/>
      <c r="AT216" s="357"/>
      <c r="AU216" s="357"/>
      <c r="AV216" s="357"/>
      <c r="AW216" s="357"/>
      <c r="AX216" s="357"/>
      <c r="AY216" s="357"/>
      <c r="AZ216" s="357"/>
      <c r="BA216" s="357"/>
      <c r="BB216" s="357"/>
      <c r="BC216" s="357"/>
      <c r="BD216" s="357"/>
      <c r="BE216" s="357"/>
      <c r="BF216" s="357"/>
      <c r="BG216" s="357"/>
      <c r="BH216" s="357"/>
      <c r="BI216" s="357"/>
      <c r="BJ216" s="357"/>
      <c r="BK216" s="357"/>
      <c r="BL216" s="357"/>
      <c r="BM216" s="357"/>
      <c r="BN216" s="357"/>
      <c r="BO216" s="357"/>
      <c r="BP216" s="357"/>
      <c r="BQ216" s="357"/>
      <c r="BR216" s="357"/>
      <c r="BS216" s="357"/>
      <c r="BT216" s="357"/>
      <c r="BU216" s="357"/>
      <c r="BV216" s="357"/>
      <c r="BW216" s="357"/>
      <c r="BX216" s="357"/>
      <c r="BY216" s="357"/>
      <c r="BZ216" s="357"/>
      <c r="CA216" s="357"/>
      <c r="CB216" s="357"/>
      <c r="CC216" s="357"/>
      <c r="CD216" s="357"/>
      <c r="CE216" s="357"/>
      <c r="CF216" s="357"/>
      <c r="CG216" s="357"/>
      <c r="CH216" s="357"/>
      <c r="CI216" s="357"/>
      <c r="CJ216" s="357"/>
      <c r="CK216" s="357"/>
      <c r="CL216" s="357"/>
      <c r="CM216" s="357"/>
      <c r="CN216" s="357"/>
      <c r="CO216" s="357"/>
      <c r="CP216" s="357"/>
      <c r="CQ216" s="357"/>
      <c r="CR216" s="357"/>
      <c r="CS216" s="357"/>
      <c r="CT216" s="357"/>
      <c r="CU216" s="357"/>
      <c r="CV216" s="357"/>
      <c r="CW216" s="357"/>
      <c r="CX216" s="357"/>
      <c r="CY216" s="357"/>
      <c r="CZ216" s="357"/>
      <c r="DA216" s="357"/>
      <c r="DB216" s="357"/>
      <c r="DC216" s="357"/>
      <c r="DD216" s="357"/>
      <c r="DE216" s="357"/>
      <c r="DF216" s="357"/>
      <c r="DG216" s="357"/>
      <c r="DH216" s="357"/>
      <c r="DI216" s="357"/>
      <c r="DJ216" s="357"/>
      <c r="DK216" s="357"/>
      <c r="DL216" s="357"/>
      <c r="DM216" s="357"/>
      <c r="DN216" s="357"/>
      <c r="DO216" s="357"/>
      <c r="DP216" s="357"/>
      <c r="DQ216" s="357"/>
      <c r="DR216" s="357"/>
      <c r="DS216" s="357"/>
      <c r="DT216" s="357"/>
      <c r="DU216" s="357"/>
      <c r="DV216" s="357"/>
      <c r="DW216" s="357"/>
      <c r="DX216" s="357"/>
      <c r="DY216" s="357"/>
      <c r="DZ216" s="357"/>
      <c r="EA216" s="357"/>
      <c r="EB216" s="357"/>
      <c r="EC216" s="357"/>
      <c r="ED216" s="357"/>
      <c r="EE216" s="357"/>
      <c r="EF216" s="357"/>
      <c r="EG216" s="357"/>
      <c r="EH216" s="357"/>
      <c r="EI216" s="357"/>
      <c r="EJ216" s="357"/>
      <c r="EK216" s="357"/>
      <c r="EL216" s="357"/>
      <c r="EM216" s="357"/>
      <c r="EN216" s="357"/>
      <c r="EO216" s="357"/>
      <c r="EP216" s="357"/>
      <c r="EQ216" s="357"/>
      <c r="ER216" s="357"/>
      <c r="ES216" s="357"/>
      <c r="ET216" s="357"/>
      <c r="EU216" s="357"/>
      <c r="EV216" s="357"/>
      <c r="EW216" s="357"/>
      <c r="EX216" s="357"/>
      <c r="EY216" s="357"/>
      <c r="EZ216" s="357"/>
      <c r="FA216" s="357"/>
      <c r="FB216" s="357"/>
      <c r="FC216" s="357"/>
      <c r="FD216" s="357"/>
      <c r="FE216" s="357"/>
      <c r="FF216" s="357"/>
      <c r="FG216" s="357"/>
      <c r="FH216" s="357"/>
      <c r="FI216" s="357"/>
      <c r="FJ216" s="357"/>
      <c r="FK216" s="357"/>
      <c r="FL216" s="357"/>
      <c r="FM216" s="357"/>
      <c r="FN216" s="357"/>
      <c r="FO216" s="357"/>
      <c r="FP216" s="357"/>
      <c r="FQ216" s="357"/>
      <c r="FR216" s="357"/>
      <c r="FS216" s="357"/>
      <c r="FT216" s="357"/>
      <c r="FU216" s="357"/>
      <c r="FV216" s="357"/>
      <c r="FW216" s="357"/>
      <c r="FX216" s="357"/>
      <c r="FY216" s="357"/>
      <c r="FZ216" s="357"/>
      <c r="GA216" s="357"/>
      <c r="GB216" s="357"/>
      <c r="GC216" s="357"/>
      <c r="GD216" s="357"/>
      <c r="GE216" s="357"/>
      <c r="GF216" s="357"/>
      <c r="GG216" s="357"/>
      <c r="GH216" s="357"/>
      <c r="GI216" s="357"/>
      <c r="GJ216" s="357"/>
      <c r="GK216" s="357"/>
      <c r="GL216" s="357"/>
      <c r="GM216" s="357"/>
      <c r="GN216" s="357"/>
      <c r="GO216" s="357"/>
      <c r="GP216" s="357"/>
      <c r="GQ216" s="357"/>
      <c r="GR216" s="357"/>
      <c r="GS216" s="357"/>
      <c r="GT216" s="357"/>
      <c r="GU216" s="357"/>
      <c r="GV216" s="357"/>
      <c r="GW216" s="357"/>
      <c r="GX216" s="357"/>
      <c r="GY216" s="357"/>
      <c r="GZ216" s="357"/>
      <c r="HA216" s="357"/>
      <c r="HB216" s="357"/>
      <c r="HC216" s="357"/>
      <c r="HD216" s="357"/>
      <c r="HE216" s="357"/>
      <c r="HF216" s="357"/>
      <c r="HG216" s="357"/>
      <c r="HH216" s="357"/>
      <c r="HI216" s="357"/>
      <c r="HJ216" s="357"/>
      <c r="HK216" s="357"/>
      <c r="HL216" s="357"/>
      <c r="HM216" s="357"/>
      <c r="HN216" s="357"/>
      <c r="HO216" s="357"/>
      <c r="HP216" s="357"/>
      <c r="HQ216" s="357"/>
      <c r="HR216" s="357"/>
      <c r="HS216" s="357"/>
      <c r="HT216" s="357"/>
      <c r="HU216" s="357"/>
      <c r="HV216" s="357"/>
      <c r="HW216" s="357"/>
      <c r="HX216" s="357"/>
      <c r="HY216" s="357"/>
      <c r="HZ216" s="357"/>
      <c r="IA216" s="357"/>
      <c r="IB216" s="357"/>
      <c r="IC216" s="357"/>
      <c r="ID216" s="357"/>
      <c r="IE216" s="357"/>
      <c r="IF216" s="357"/>
      <c r="IG216" s="357"/>
      <c r="IH216" s="357"/>
      <c r="II216" s="357"/>
      <c r="IJ216" s="357"/>
      <c r="IK216" s="357"/>
      <c r="IL216" s="357"/>
      <c r="IM216" s="357"/>
      <c r="IN216" s="357"/>
      <c r="IO216" s="357"/>
      <c r="IP216" s="357"/>
      <c r="IQ216" s="357"/>
      <c r="IR216" s="357"/>
      <c r="IS216" s="357"/>
      <c r="IT216" s="357"/>
      <c r="IU216" s="357"/>
      <c r="IV216" s="357"/>
      <c r="IW216" s="357"/>
      <c r="IX216" s="357"/>
      <c r="IY216" s="357"/>
      <c r="IZ216" s="357"/>
      <c r="JA216" s="357"/>
      <c r="JB216" s="357"/>
      <c r="JC216" s="357"/>
      <c r="JD216" s="357"/>
      <c r="JE216" s="357"/>
      <c r="JF216" s="357"/>
      <c r="JG216" s="357"/>
      <c r="JH216" s="357"/>
      <c r="JI216" s="357"/>
      <c r="JJ216" s="357"/>
      <c r="JK216" s="357"/>
      <c r="JL216" s="357"/>
      <c r="JM216" s="357"/>
      <c r="JN216" s="357"/>
      <c r="JO216" s="357"/>
      <c r="JP216" s="357"/>
      <c r="JQ216" s="357"/>
      <c r="JR216" s="357"/>
      <c r="JS216" s="357"/>
      <c r="JT216" s="357"/>
      <c r="JU216" s="357"/>
      <c r="JV216" s="357"/>
      <c r="JW216" s="357"/>
      <c r="JX216" s="357"/>
      <c r="JY216" s="357"/>
      <c r="JZ216" s="357"/>
      <c r="KA216" s="357"/>
      <c r="KB216" s="357"/>
      <c r="KC216" s="357"/>
      <c r="KD216" s="357"/>
      <c r="KE216" s="357"/>
      <c r="KF216" s="357"/>
      <c r="KG216" s="357"/>
      <c r="KH216" s="357"/>
      <c r="KI216" s="357"/>
      <c r="KJ216" s="357"/>
      <c r="KK216" s="357"/>
      <c r="KL216" s="357"/>
      <c r="KM216" s="357"/>
      <c r="KN216" s="357"/>
      <c r="KO216" s="357"/>
      <c r="KP216" s="357"/>
      <c r="KQ216" s="357"/>
      <c r="KR216" s="357"/>
      <c r="KS216" s="357"/>
      <c r="KT216" s="357"/>
      <c r="KU216" s="357"/>
      <c r="KV216" s="357"/>
      <c r="KW216" s="357"/>
      <c r="KX216" s="357"/>
      <c r="KY216" s="357"/>
      <c r="KZ216" s="357"/>
      <c r="LA216" s="357"/>
      <c r="LB216" s="357"/>
      <c r="LC216" s="357"/>
      <c r="LD216" s="357"/>
      <c r="LE216" s="357"/>
      <c r="LF216" s="357"/>
      <c r="LG216" s="357"/>
      <c r="LH216" s="357"/>
      <c r="LI216" s="357"/>
      <c r="LJ216" s="357"/>
      <c r="LK216" s="357"/>
      <c r="LL216" s="357"/>
      <c r="LM216" s="357"/>
      <c r="LN216" s="357"/>
      <c r="LO216" s="357"/>
      <c r="LP216" s="357"/>
      <c r="LQ216" s="357"/>
      <c r="LR216" s="357"/>
      <c r="LS216" s="357"/>
      <c r="LT216" s="357"/>
      <c r="LU216" s="357"/>
      <c r="LV216" s="357"/>
      <c r="LW216" s="357"/>
      <c r="LX216" s="357"/>
      <c r="LY216" s="357"/>
      <c r="LZ216" s="357"/>
      <c r="MA216" s="357"/>
      <c r="MB216" s="357"/>
    </row>
    <row r="217" spans="1:340" s="358" customFormat="1" ht="21" customHeight="1">
      <c r="A217" s="2742"/>
      <c r="B217" s="471"/>
      <c r="C217" s="1126"/>
      <c r="D217" s="1148"/>
      <c r="E217" s="1134"/>
      <c r="F217" s="1141"/>
      <c r="G217" s="1139"/>
      <c r="H217" s="1147"/>
      <c r="I217" s="1675"/>
      <c r="J217" s="2746" t="s">
        <v>4787</v>
      </c>
      <c r="K217" s="2745"/>
      <c r="L217" s="2745"/>
      <c r="M217" s="2745"/>
      <c r="N217" s="2745"/>
      <c r="O217" s="2745"/>
      <c r="P217" s="1675"/>
      <c r="Q217" s="2747"/>
      <c r="R217" s="2743"/>
      <c r="S217" s="2747">
        <v>500000</v>
      </c>
      <c r="T217" s="2747" t="s">
        <v>264</v>
      </c>
      <c r="U217" s="1675"/>
      <c r="V217" s="2747">
        <v>20</v>
      </c>
      <c r="W217" s="2747" t="s">
        <v>220</v>
      </c>
      <c r="X217" s="1140" t="s">
        <v>266</v>
      </c>
      <c r="Y217" s="1674">
        <f t="shared" si="56"/>
        <v>10000</v>
      </c>
      <c r="Z217" s="407">
        <f t="shared" si="57"/>
        <v>10000000</v>
      </c>
      <c r="AB217" s="357"/>
      <c r="AD217" s="357"/>
      <c r="AE217" s="357"/>
      <c r="AF217" s="357"/>
      <c r="AG217" s="357"/>
      <c r="AH217" s="357"/>
      <c r="AI217" s="357"/>
      <c r="AJ217" s="357"/>
      <c r="AK217" s="357"/>
      <c r="AL217" s="357"/>
      <c r="AM217" s="357"/>
      <c r="AN217" s="357"/>
      <c r="AO217" s="357"/>
      <c r="AP217" s="357"/>
      <c r="AQ217" s="357"/>
      <c r="AR217" s="357"/>
      <c r="AS217" s="357"/>
      <c r="AT217" s="357"/>
      <c r="AU217" s="357"/>
      <c r="AV217" s="357"/>
      <c r="AW217" s="357"/>
      <c r="AX217" s="357"/>
      <c r="AY217" s="357"/>
      <c r="AZ217" s="357"/>
      <c r="BA217" s="357"/>
      <c r="BB217" s="357"/>
      <c r="BC217" s="357"/>
      <c r="BD217" s="357"/>
      <c r="BE217" s="357"/>
      <c r="BF217" s="357"/>
      <c r="BG217" s="357"/>
      <c r="BH217" s="357"/>
      <c r="BI217" s="357"/>
      <c r="BJ217" s="357"/>
      <c r="BK217" s="357"/>
      <c r="BL217" s="357"/>
      <c r="BM217" s="357"/>
      <c r="BN217" s="357"/>
      <c r="BO217" s="357"/>
      <c r="BP217" s="357"/>
      <c r="BQ217" s="357"/>
      <c r="BR217" s="357"/>
      <c r="BS217" s="357"/>
      <c r="BT217" s="357"/>
      <c r="BU217" s="357"/>
      <c r="BV217" s="357"/>
      <c r="BW217" s="357"/>
      <c r="BX217" s="357"/>
      <c r="BY217" s="357"/>
      <c r="BZ217" s="357"/>
      <c r="CA217" s="357"/>
      <c r="CB217" s="357"/>
      <c r="CC217" s="357"/>
      <c r="CD217" s="357"/>
      <c r="CE217" s="357"/>
      <c r="CF217" s="357"/>
      <c r="CG217" s="357"/>
      <c r="CH217" s="357"/>
      <c r="CI217" s="357"/>
      <c r="CJ217" s="357"/>
      <c r="CK217" s="357"/>
      <c r="CL217" s="357"/>
      <c r="CM217" s="357"/>
      <c r="CN217" s="357"/>
      <c r="CO217" s="357"/>
      <c r="CP217" s="357"/>
      <c r="CQ217" s="357"/>
      <c r="CR217" s="357"/>
      <c r="CS217" s="357"/>
      <c r="CT217" s="357"/>
      <c r="CU217" s="357"/>
      <c r="CV217" s="357"/>
      <c r="CW217" s="357"/>
      <c r="CX217" s="357"/>
      <c r="CY217" s="357"/>
      <c r="CZ217" s="357"/>
      <c r="DA217" s="357"/>
      <c r="DB217" s="357"/>
      <c r="DC217" s="357"/>
      <c r="DD217" s="357"/>
      <c r="DE217" s="357"/>
      <c r="DF217" s="357"/>
      <c r="DG217" s="357"/>
      <c r="DH217" s="357"/>
      <c r="DI217" s="357"/>
      <c r="DJ217" s="357"/>
      <c r="DK217" s="357"/>
      <c r="DL217" s="357"/>
      <c r="DM217" s="357"/>
      <c r="DN217" s="357"/>
      <c r="DO217" s="357"/>
      <c r="DP217" s="357"/>
      <c r="DQ217" s="357"/>
      <c r="DR217" s="357"/>
      <c r="DS217" s="357"/>
      <c r="DT217" s="357"/>
      <c r="DU217" s="357"/>
      <c r="DV217" s="357"/>
      <c r="DW217" s="357"/>
      <c r="DX217" s="357"/>
      <c r="DY217" s="357"/>
      <c r="DZ217" s="357"/>
      <c r="EA217" s="357"/>
      <c r="EB217" s="357"/>
      <c r="EC217" s="357"/>
      <c r="ED217" s="357"/>
      <c r="EE217" s="357"/>
      <c r="EF217" s="357"/>
      <c r="EG217" s="357"/>
      <c r="EH217" s="357"/>
      <c r="EI217" s="357"/>
      <c r="EJ217" s="357"/>
      <c r="EK217" s="357"/>
      <c r="EL217" s="357"/>
      <c r="EM217" s="357"/>
      <c r="EN217" s="357"/>
      <c r="EO217" s="357"/>
      <c r="EP217" s="357"/>
      <c r="EQ217" s="357"/>
      <c r="ER217" s="357"/>
      <c r="ES217" s="357"/>
      <c r="ET217" s="357"/>
      <c r="EU217" s="357"/>
      <c r="EV217" s="357"/>
      <c r="EW217" s="357"/>
      <c r="EX217" s="357"/>
      <c r="EY217" s="357"/>
      <c r="EZ217" s="357"/>
      <c r="FA217" s="357"/>
      <c r="FB217" s="357"/>
      <c r="FC217" s="357"/>
      <c r="FD217" s="357"/>
      <c r="FE217" s="357"/>
      <c r="FF217" s="357"/>
      <c r="FG217" s="357"/>
      <c r="FH217" s="357"/>
      <c r="FI217" s="357"/>
      <c r="FJ217" s="357"/>
      <c r="FK217" s="357"/>
      <c r="FL217" s="357"/>
      <c r="FM217" s="357"/>
      <c r="FN217" s="357"/>
      <c r="FO217" s="357"/>
      <c r="FP217" s="357"/>
      <c r="FQ217" s="357"/>
      <c r="FR217" s="357"/>
      <c r="FS217" s="357"/>
      <c r="FT217" s="357"/>
      <c r="FU217" s="357"/>
      <c r="FV217" s="357"/>
      <c r="FW217" s="357"/>
      <c r="FX217" s="357"/>
      <c r="FY217" s="357"/>
      <c r="FZ217" s="357"/>
      <c r="GA217" s="357"/>
      <c r="GB217" s="357"/>
      <c r="GC217" s="357"/>
      <c r="GD217" s="357"/>
      <c r="GE217" s="357"/>
      <c r="GF217" s="357"/>
      <c r="GG217" s="357"/>
      <c r="GH217" s="357"/>
      <c r="GI217" s="357"/>
      <c r="GJ217" s="357"/>
      <c r="GK217" s="357"/>
      <c r="GL217" s="357"/>
      <c r="GM217" s="357"/>
      <c r="GN217" s="357"/>
      <c r="GO217" s="357"/>
      <c r="GP217" s="357"/>
      <c r="GQ217" s="357"/>
      <c r="GR217" s="357"/>
      <c r="GS217" s="357"/>
      <c r="GT217" s="357"/>
      <c r="GU217" s="357"/>
      <c r="GV217" s="357"/>
      <c r="GW217" s="357"/>
      <c r="GX217" s="357"/>
      <c r="GY217" s="357"/>
      <c r="GZ217" s="357"/>
      <c r="HA217" s="357"/>
      <c r="HB217" s="357"/>
      <c r="HC217" s="357"/>
      <c r="HD217" s="357"/>
      <c r="HE217" s="357"/>
      <c r="HF217" s="357"/>
      <c r="HG217" s="357"/>
      <c r="HH217" s="357"/>
      <c r="HI217" s="357"/>
      <c r="HJ217" s="357"/>
      <c r="HK217" s="357"/>
      <c r="HL217" s="357"/>
      <c r="HM217" s="357"/>
      <c r="HN217" s="357"/>
      <c r="HO217" s="357"/>
      <c r="HP217" s="357"/>
      <c r="HQ217" s="357"/>
      <c r="HR217" s="357"/>
      <c r="HS217" s="357"/>
      <c r="HT217" s="357"/>
      <c r="HU217" s="357"/>
      <c r="HV217" s="357"/>
      <c r="HW217" s="357"/>
      <c r="HX217" s="357"/>
      <c r="HY217" s="357"/>
      <c r="HZ217" s="357"/>
      <c r="IA217" s="357"/>
      <c r="IB217" s="357"/>
      <c r="IC217" s="357"/>
      <c r="ID217" s="357"/>
      <c r="IE217" s="357"/>
      <c r="IF217" s="357"/>
      <c r="IG217" s="357"/>
      <c r="IH217" s="357"/>
      <c r="II217" s="357"/>
      <c r="IJ217" s="357"/>
      <c r="IK217" s="357"/>
      <c r="IL217" s="357"/>
      <c r="IM217" s="357"/>
      <c r="IN217" s="357"/>
      <c r="IO217" s="357"/>
      <c r="IP217" s="357"/>
      <c r="IQ217" s="357"/>
      <c r="IR217" s="357"/>
      <c r="IS217" s="357"/>
      <c r="IT217" s="357"/>
      <c r="IU217" s="357"/>
      <c r="IV217" s="357"/>
      <c r="IW217" s="357"/>
      <c r="IX217" s="357"/>
      <c r="IY217" s="357"/>
      <c r="IZ217" s="357"/>
      <c r="JA217" s="357"/>
      <c r="JB217" s="357"/>
      <c r="JC217" s="357"/>
      <c r="JD217" s="357"/>
      <c r="JE217" s="357"/>
      <c r="JF217" s="357"/>
      <c r="JG217" s="357"/>
      <c r="JH217" s="357"/>
      <c r="JI217" s="357"/>
      <c r="JJ217" s="357"/>
      <c r="JK217" s="357"/>
      <c r="JL217" s="357"/>
      <c r="JM217" s="357"/>
      <c r="JN217" s="357"/>
      <c r="JO217" s="357"/>
      <c r="JP217" s="357"/>
      <c r="JQ217" s="357"/>
      <c r="JR217" s="357"/>
      <c r="JS217" s="357"/>
      <c r="JT217" s="357"/>
      <c r="JU217" s="357"/>
      <c r="JV217" s="357"/>
      <c r="JW217" s="357"/>
      <c r="JX217" s="357"/>
      <c r="JY217" s="357"/>
      <c r="JZ217" s="357"/>
      <c r="KA217" s="357"/>
      <c r="KB217" s="357"/>
      <c r="KC217" s="357"/>
      <c r="KD217" s="357"/>
      <c r="KE217" s="357"/>
      <c r="KF217" s="357"/>
      <c r="KG217" s="357"/>
      <c r="KH217" s="357"/>
      <c r="KI217" s="357"/>
      <c r="KJ217" s="357"/>
      <c r="KK217" s="357"/>
      <c r="KL217" s="357"/>
      <c r="KM217" s="357"/>
      <c r="KN217" s="357"/>
      <c r="KO217" s="357"/>
      <c r="KP217" s="357"/>
      <c r="KQ217" s="357"/>
      <c r="KR217" s="357"/>
      <c r="KS217" s="357"/>
      <c r="KT217" s="357"/>
      <c r="KU217" s="357"/>
      <c r="KV217" s="357"/>
      <c r="KW217" s="357"/>
      <c r="KX217" s="357"/>
      <c r="KY217" s="357"/>
      <c r="KZ217" s="357"/>
      <c r="LA217" s="357"/>
      <c r="LB217" s="357"/>
      <c r="LC217" s="357"/>
      <c r="LD217" s="357"/>
      <c r="LE217" s="357"/>
      <c r="LF217" s="357"/>
      <c r="LG217" s="357"/>
      <c r="LH217" s="357"/>
      <c r="LI217" s="357"/>
      <c r="LJ217" s="357"/>
      <c r="LK217" s="357"/>
      <c r="LL217" s="357"/>
      <c r="LM217" s="357"/>
      <c r="LN217" s="357"/>
      <c r="LO217" s="357"/>
      <c r="LP217" s="357"/>
      <c r="LQ217" s="357"/>
      <c r="LR217" s="357"/>
      <c r="LS217" s="357"/>
      <c r="LT217" s="357"/>
      <c r="LU217" s="357"/>
      <c r="LV217" s="357"/>
      <c r="LW217" s="357"/>
      <c r="LX217" s="357"/>
      <c r="LY217" s="357"/>
      <c r="LZ217" s="357"/>
      <c r="MA217" s="357"/>
      <c r="MB217" s="357"/>
    </row>
    <row r="218" spans="1:340" s="358" customFormat="1" ht="21" customHeight="1">
      <c r="A218" s="2742"/>
      <c r="B218" s="471"/>
      <c r="C218" s="1126"/>
      <c r="D218" s="1148"/>
      <c r="E218" s="1134"/>
      <c r="F218" s="1141"/>
      <c r="G218" s="1139"/>
      <c r="H218" s="1147"/>
      <c r="I218" s="1675"/>
      <c r="J218" s="2744" t="s">
        <v>4788</v>
      </c>
      <c r="K218" s="2745"/>
      <c r="L218" s="2745"/>
      <c r="M218" s="2745"/>
      <c r="N218" s="2745"/>
      <c r="O218" s="2745"/>
      <c r="P218" s="1675"/>
      <c r="Q218" s="2747">
        <v>3</v>
      </c>
      <c r="R218" s="2743" t="s">
        <v>202</v>
      </c>
      <c r="S218" s="2747">
        <v>250000</v>
      </c>
      <c r="T218" s="2747" t="s">
        <v>264</v>
      </c>
      <c r="U218" s="1675"/>
      <c r="V218" s="2747">
        <v>4</v>
      </c>
      <c r="W218" s="2747" t="s">
        <v>3214</v>
      </c>
      <c r="X218" s="1140" t="s">
        <v>266</v>
      </c>
      <c r="Y218" s="1674">
        <f t="shared" si="56"/>
        <v>3000</v>
      </c>
      <c r="Z218" s="407">
        <f>Q218*S218*V218</f>
        <v>3000000</v>
      </c>
      <c r="AB218" s="357"/>
      <c r="AD218" s="357"/>
      <c r="AE218" s="357"/>
      <c r="AF218" s="357"/>
      <c r="AG218" s="357"/>
      <c r="AH218" s="357"/>
      <c r="AI218" s="357"/>
      <c r="AJ218" s="357"/>
      <c r="AK218" s="357"/>
      <c r="AL218" s="357"/>
      <c r="AM218" s="357"/>
      <c r="AN218" s="357"/>
      <c r="AO218" s="357"/>
      <c r="AP218" s="357"/>
      <c r="AQ218" s="357"/>
      <c r="AR218" s="357"/>
      <c r="AS218" s="357"/>
      <c r="AT218" s="357"/>
      <c r="AU218" s="357"/>
      <c r="AV218" s="357"/>
      <c r="AW218" s="357"/>
      <c r="AX218" s="357"/>
      <c r="AY218" s="357"/>
      <c r="AZ218" s="357"/>
      <c r="BA218" s="357"/>
      <c r="BB218" s="357"/>
      <c r="BC218" s="357"/>
      <c r="BD218" s="357"/>
      <c r="BE218" s="357"/>
      <c r="BF218" s="357"/>
      <c r="BG218" s="357"/>
      <c r="BH218" s="357"/>
      <c r="BI218" s="357"/>
      <c r="BJ218" s="357"/>
      <c r="BK218" s="357"/>
      <c r="BL218" s="357"/>
      <c r="BM218" s="357"/>
      <c r="BN218" s="357"/>
      <c r="BO218" s="357"/>
      <c r="BP218" s="357"/>
      <c r="BQ218" s="357"/>
      <c r="BR218" s="357"/>
      <c r="BS218" s="357"/>
      <c r="BT218" s="357"/>
      <c r="BU218" s="357"/>
      <c r="BV218" s="357"/>
      <c r="BW218" s="357"/>
      <c r="BX218" s="357"/>
      <c r="BY218" s="357"/>
      <c r="BZ218" s="357"/>
      <c r="CA218" s="357"/>
      <c r="CB218" s="357"/>
      <c r="CC218" s="357"/>
      <c r="CD218" s="357"/>
      <c r="CE218" s="357"/>
      <c r="CF218" s="357"/>
      <c r="CG218" s="357"/>
      <c r="CH218" s="357"/>
      <c r="CI218" s="357"/>
      <c r="CJ218" s="357"/>
      <c r="CK218" s="357"/>
      <c r="CL218" s="357"/>
      <c r="CM218" s="357"/>
      <c r="CN218" s="357"/>
      <c r="CO218" s="357"/>
      <c r="CP218" s="357"/>
      <c r="CQ218" s="357"/>
      <c r="CR218" s="357"/>
      <c r="CS218" s="357"/>
      <c r="CT218" s="357"/>
      <c r="CU218" s="357"/>
      <c r="CV218" s="357"/>
      <c r="CW218" s="357"/>
      <c r="CX218" s="357"/>
      <c r="CY218" s="357"/>
      <c r="CZ218" s="357"/>
      <c r="DA218" s="357"/>
      <c r="DB218" s="357"/>
      <c r="DC218" s="357"/>
      <c r="DD218" s="357"/>
      <c r="DE218" s="357"/>
      <c r="DF218" s="357"/>
      <c r="DG218" s="357"/>
      <c r="DH218" s="357"/>
      <c r="DI218" s="357"/>
      <c r="DJ218" s="357"/>
      <c r="DK218" s="357"/>
      <c r="DL218" s="357"/>
      <c r="DM218" s="357"/>
      <c r="DN218" s="357"/>
      <c r="DO218" s="357"/>
      <c r="DP218" s="357"/>
      <c r="DQ218" s="357"/>
      <c r="DR218" s="357"/>
      <c r="DS218" s="357"/>
      <c r="DT218" s="357"/>
      <c r="DU218" s="357"/>
      <c r="DV218" s="357"/>
      <c r="DW218" s="357"/>
      <c r="DX218" s="357"/>
      <c r="DY218" s="357"/>
      <c r="DZ218" s="357"/>
      <c r="EA218" s="357"/>
      <c r="EB218" s="357"/>
      <c r="EC218" s="357"/>
      <c r="ED218" s="357"/>
      <c r="EE218" s="357"/>
      <c r="EF218" s="357"/>
      <c r="EG218" s="357"/>
      <c r="EH218" s="357"/>
      <c r="EI218" s="357"/>
      <c r="EJ218" s="357"/>
      <c r="EK218" s="357"/>
      <c r="EL218" s="357"/>
      <c r="EM218" s="357"/>
      <c r="EN218" s="357"/>
      <c r="EO218" s="357"/>
      <c r="EP218" s="357"/>
      <c r="EQ218" s="357"/>
      <c r="ER218" s="357"/>
      <c r="ES218" s="357"/>
      <c r="ET218" s="357"/>
      <c r="EU218" s="357"/>
      <c r="EV218" s="357"/>
      <c r="EW218" s="357"/>
      <c r="EX218" s="357"/>
      <c r="EY218" s="357"/>
      <c r="EZ218" s="357"/>
      <c r="FA218" s="357"/>
      <c r="FB218" s="357"/>
      <c r="FC218" s="357"/>
      <c r="FD218" s="357"/>
      <c r="FE218" s="357"/>
      <c r="FF218" s="357"/>
      <c r="FG218" s="357"/>
      <c r="FH218" s="357"/>
      <c r="FI218" s="357"/>
      <c r="FJ218" s="357"/>
      <c r="FK218" s="357"/>
      <c r="FL218" s="357"/>
      <c r="FM218" s="357"/>
      <c r="FN218" s="357"/>
      <c r="FO218" s="357"/>
      <c r="FP218" s="357"/>
      <c r="FQ218" s="357"/>
      <c r="FR218" s="357"/>
      <c r="FS218" s="357"/>
      <c r="FT218" s="357"/>
      <c r="FU218" s="357"/>
      <c r="FV218" s="357"/>
      <c r="FW218" s="357"/>
      <c r="FX218" s="357"/>
      <c r="FY218" s="357"/>
      <c r="FZ218" s="357"/>
      <c r="GA218" s="357"/>
      <c r="GB218" s="357"/>
      <c r="GC218" s="357"/>
      <c r="GD218" s="357"/>
      <c r="GE218" s="357"/>
      <c r="GF218" s="357"/>
      <c r="GG218" s="357"/>
      <c r="GH218" s="357"/>
      <c r="GI218" s="357"/>
      <c r="GJ218" s="357"/>
      <c r="GK218" s="357"/>
      <c r="GL218" s="357"/>
      <c r="GM218" s="357"/>
      <c r="GN218" s="357"/>
      <c r="GO218" s="357"/>
      <c r="GP218" s="357"/>
      <c r="GQ218" s="357"/>
      <c r="GR218" s="357"/>
      <c r="GS218" s="357"/>
      <c r="GT218" s="357"/>
      <c r="GU218" s="357"/>
      <c r="GV218" s="357"/>
      <c r="GW218" s="357"/>
      <c r="GX218" s="357"/>
      <c r="GY218" s="357"/>
      <c r="GZ218" s="357"/>
      <c r="HA218" s="357"/>
      <c r="HB218" s="357"/>
      <c r="HC218" s="357"/>
      <c r="HD218" s="357"/>
      <c r="HE218" s="357"/>
      <c r="HF218" s="357"/>
      <c r="HG218" s="357"/>
      <c r="HH218" s="357"/>
      <c r="HI218" s="357"/>
      <c r="HJ218" s="357"/>
      <c r="HK218" s="357"/>
      <c r="HL218" s="357"/>
      <c r="HM218" s="357"/>
      <c r="HN218" s="357"/>
      <c r="HO218" s="357"/>
      <c r="HP218" s="357"/>
      <c r="HQ218" s="357"/>
      <c r="HR218" s="357"/>
      <c r="HS218" s="357"/>
      <c r="HT218" s="357"/>
      <c r="HU218" s="357"/>
      <c r="HV218" s="357"/>
      <c r="HW218" s="357"/>
      <c r="HX218" s="357"/>
      <c r="HY218" s="357"/>
      <c r="HZ218" s="357"/>
      <c r="IA218" s="357"/>
      <c r="IB218" s="357"/>
      <c r="IC218" s="357"/>
      <c r="ID218" s="357"/>
      <c r="IE218" s="357"/>
      <c r="IF218" s="357"/>
      <c r="IG218" s="357"/>
      <c r="IH218" s="357"/>
      <c r="II218" s="357"/>
      <c r="IJ218" s="357"/>
      <c r="IK218" s="357"/>
      <c r="IL218" s="357"/>
      <c r="IM218" s="357"/>
      <c r="IN218" s="357"/>
      <c r="IO218" s="357"/>
      <c r="IP218" s="357"/>
      <c r="IQ218" s="357"/>
      <c r="IR218" s="357"/>
      <c r="IS218" s="357"/>
      <c r="IT218" s="357"/>
      <c r="IU218" s="357"/>
      <c r="IV218" s="357"/>
      <c r="IW218" s="357"/>
      <c r="IX218" s="357"/>
      <c r="IY218" s="357"/>
      <c r="IZ218" s="357"/>
      <c r="JA218" s="357"/>
      <c r="JB218" s="357"/>
      <c r="JC218" s="357"/>
      <c r="JD218" s="357"/>
      <c r="JE218" s="357"/>
      <c r="JF218" s="357"/>
      <c r="JG218" s="357"/>
      <c r="JH218" s="357"/>
      <c r="JI218" s="357"/>
      <c r="JJ218" s="357"/>
      <c r="JK218" s="357"/>
      <c r="JL218" s="357"/>
      <c r="JM218" s="357"/>
      <c r="JN218" s="357"/>
      <c r="JO218" s="357"/>
      <c r="JP218" s="357"/>
      <c r="JQ218" s="357"/>
      <c r="JR218" s="357"/>
      <c r="JS218" s="357"/>
      <c r="JT218" s="357"/>
      <c r="JU218" s="357"/>
      <c r="JV218" s="357"/>
      <c r="JW218" s="357"/>
      <c r="JX218" s="357"/>
      <c r="JY218" s="357"/>
      <c r="JZ218" s="357"/>
      <c r="KA218" s="357"/>
      <c r="KB218" s="357"/>
      <c r="KC218" s="357"/>
      <c r="KD218" s="357"/>
      <c r="KE218" s="357"/>
      <c r="KF218" s="357"/>
      <c r="KG218" s="357"/>
      <c r="KH218" s="357"/>
      <c r="KI218" s="357"/>
      <c r="KJ218" s="357"/>
      <c r="KK218" s="357"/>
      <c r="KL218" s="357"/>
      <c r="KM218" s="357"/>
      <c r="KN218" s="357"/>
      <c r="KO218" s="357"/>
      <c r="KP218" s="357"/>
      <c r="KQ218" s="357"/>
      <c r="KR218" s="357"/>
      <c r="KS218" s="357"/>
      <c r="KT218" s="357"/>
      <c r="KU218" s="357"/>
      <c r="KV218" s="357"/>
      <c r="KW218" s="357"/>
      <c r="KX218" s="357"/>
      <c r="KY218" s="357"/>
      <c r="KZ218" s="357"/>
      <c r="LA218" s="357"/>
      <c r="LB218" s="357"/>
      <c r="LC218" s="357"/>
      <c r="LD218" s="357"/>
      <c r="LE218" s="357"/>
      <c r="LF218" s="357"/>
      <c r="LG218" s="357"/>
      <c r="LH218" s="357"/>
      <c r="LI218" s="357"/>
      <c r="LJ218" s="357"/>
      <c r="LK218" s="357"/>
      <c r="LL218" s="357"/>
      <c r="LM218" s="357"/>
      <c r="LN218" s="357"/>
      <c r="LO218" s="357"/>
      <c r="LP218" s="357"/>
      <c r="LQ218" s="357"/>
      <c r="LR218" s="357"/>
      <c r="LS218" s="357"/>
      <c r="LT218" s="357"/>
      <c r="LU218" s="357"/>
      <c r="LV218" s="357"/>
      <c r="LW218" s="357"/>
      <c r="LX218" s="357"/>
      <c r="LY218" s="357"/>
      <c r="LZ218" s="357"/>
      <c r="MA218" s="357"/>
      <c r="MB218" s="357"/>
    </row>
    <row r="219" spans="1:340" s="358" customFormat="1" ht="21" customHeight="1">
      <c r="A219" s="2529"/>
      <c r="B219" s="471"/>
      <c r="C219" s="1126"/>
      <c r="D219" s="1148"/>
      <c r="E219" s="1134" t="s">
        <v>3218</v>
      </c>
      <c r="F219" s="1141">
        <f>Y219</f>
        <v>79000</v>
      </c>
      <c r="G219" s="1139">
        <v>79000</v>
      </c>
      <c r="H219" s="1147"/>
      <c r="I219" s="1675"/>
      <c r="J219" s="2746" t="s">
        <v>3190</v>
      </c>
      <c r="K219" s="2745"/>
      <c r="L219" s="2745"/>
      <c r="M219" s="2745"/>
      <c r="N219" s="2745"/>
      <c r="O219" s="2745"/>
      <c r="P219" s="1675"/>
      <c r="Q219" s="2747"/>
      <c r="R219" s="2743"/>
      <c r="S219" s="2747"/>
      <c r="T219" s="2747"/>
      <c r="U219" s="1675"/>
      <c r="V219" s="2747"/>
      <c r="W219" s="2747"/>
      <c r="X219" s="1140"/>
      <c r="Y219" s="1674">
        <f t="shared" si="54"/>
        <v>79000</v>
      </c>
      <c r="Z219" s="494">
        <f>SUM(Z220:Z225)</f>
        <v>79000000</v>
      </c>
      <c r="AB219" s="357"/>
      <c r="AD219" s="357"/>
      <c r="AE219" s="357"/>
      <c r="AF219" s="357"/>
      <c r="AG219" s="357"/>
      <c r="AH219" s="357"/>
      <c r="AI219" s="357"/>
      <c r="AJ219" s="357"/>
      <c r="AK219" s="357"/>
      <c r="AL219" s="357"/>
      <c r="AM219" s="357"/>
      <c r="AN219" s="357"/>
      <c r="AO219" s="357"/>
      <c r="AP219" s="357"/>
      <c r="AQ219" s="357"/>
      <c r="AR219" s="357"/>
      <c r="AS219" s="357"/>
      <c r="AT219" s="357"/>
      <c r="AU219" s="357"/>
      <c r="AV219" s="357"/>
      <c r="AW219" s="357"/>
      <c r="AX219" s="357"/>
      <c r="AY219" s="357"/>
      <c r="AZ219" s="357"/>
      <c r="BA219" s="357"/>
      <c r="BB219" s="357"/>
      <c r="BC219" s="357"/>
      <c r="BD219" s="357"/>
      <c r="BE219" s="357"/>
      <c r="BF219" s="357"/>
      <c r="BG219" s="357"/>
      <c r="BH219" s="357"/>
      <c r="BI219" s="357"/>
      <c r="BJ219" s="357"/>
      <c r="BK219" s="357"/>
      <c r="BL219" s="357"/>
      <c r="BM219" s="357"/>
      <c r="BN219" s="357"/>
      <c r="BO219" s="357"/>
      <c r="BP219" s="357"/>
      <c r="BQ219" s="357"/>
      <c r="BR219" s="357"/>
      <c r="BS219" s="357"/>
      <c r="BT219" s="357"/>
      <c r="BU219" s="357"/>
      <c r="BV219" s="357"/>
      <c r="BW219" s="357"/>
      <c r="BX219" s="357"/>
      <c r="BY219" s="357"/>
      <c r="BZ219" s="357"/>
      <c r="CA219" s="357"/>
      <c r="CB219" s="357"/>
      <c r="CC219" s="357"/>
      <c r="CD219" s="357"/>
      <c r="CE219" s="357"/>
      <c r="CF219" s="357"/>
      <c r="CG219" s="357"/>
      <c r="CH219" s="357"/>
      <c r="CI219" s="357"/>
      <c r="CJ219" s="357"/>
      <c r="CK219" s="357"/>
      <c r="CL219" s="357"/>
      <c r="CM219" s="357"/>
      <c r="CN219" s="357"/>
      <c r="CO219" s="357"/>
      <c r="CP219" s="357"/>
      <c r="CQ219" s="357"/>
      <c r="CR219" s="357"/>
      <c r="CS219" s="357"/>
      <c r="CT219" s="357"/>
      <c r="CU219" s="357"/>
      <c r="CV219" s="357"/>
      <c r="CW219" s="357"/>
      <c r="CX219" s="357"/>
      <c r="CY219" s="357"/>
      <c r="CZ219" s="357"/>
      <c r="DA219" s="357"/>
      <c r="DB219" s="357"/>
      <c r="DC219" s="357"/>
      <c r="DD219" s="357"/>
      <c r="DE219" s="357"/>
      <c r="DF219" s="357"/>
      <c r="DG219" s="357"/>
      <c r="DH219" s="357"/>
      <c r="DI219" s="357"/>
      <c r="DJ219" s="357"/>
      <c r="DK219" s="357"/>
      <c r="DL219" s="357"/>
      <c r="DM219" s="357"/>
      <c r="DN219" s="357"/>
      <c r="DO219" s="357"/>
      <c r="DP219" s="357"/>
      <c r="DQ219" s="357"/>
      <c r="DR219" s="357"/>
      <c r="DS219" s="357"/>
      <c r="DT219" s="357"/>
      <c r="DU219" s="357"/>
      <c r="DV219" s="357"/>
      <c r="DW219" s="357"/>
      <c r="DX219" s="357"/>
      <c r="DY219" s="357"/>
      <c r="DZ219" s="357"/>
      <c r="EA219" s="357"/>
      <c r="EB219" s="357"/>
      <c r="EC219" s="357"/>
      <c r="ED219" s="357"/>
      <c r="EE219" s="357"/>
      <c r="EF219" s="357"/>
      <c r="EG219" s="357"/>
      <c r="EH219" s="357"/>
      <c r="EI219" s="357"/>
      <c r="EJ219" s="357"/>
      <c r="EK219" s="357"/>
      <c r="EL219" s="357"/>
      <c r="EM219" s="357"/>
      <c r="EN219" s="357"/>
      <c r="EO219" s="357"/>
      <c r="EP219" s="357"/>
      <c r="EQ219" s="357"/>
      <c r="ER219" s="357"/>
      <c r="ES219" s="357"/>
      <c r="ET219" s="357"/>
      <c r="EU219" s="357"/>
      <c r="EV219" s="357"/>
      <c r="EW219" s="357"/>
      <c r="EX219" s="357"/>
      <c r="EY219" s="357"/>
      <c r="EZ219" s="357"/>
      <c r="FA219" s="357"/>
      <c r="FB219" s="357"/>
      <c r="FC219" s="357"/>
      <c r="FD219" s="357"/>
      <c r="FE219" s="357"/>
      <c r="FF219" s="357"/>
      <c r="FG219" s="357"/>
      <c r="FH219" s="357"/>
      <c r="FI219" s="357"/>
      <c r="FJ219" s="357"/>
      <c r="FK219" s="357"/>
      <c r="FL219" s="357"/>
      <c r="FM219" s="357"/>
      <c r="FN219" s="357"/>
      <c r="FO219" s="357"/>
      <c r="FP219" s="357"/>
      <c r="FQ219" s="357"/>
      <c r="FR219" s="357"/>
      <c r="FS219" s="357"/>
      <c r="FT219" s="357"/>
      <c r="FU219" s="357"/>
      <c r="FV219" s="357"/>
      <c r="FW219" s="357"/>
      <c r="FX219" s="357"/>
      <c r="FY219" s="357"/>
      <c r="FZ219" s="357"/>
      <c r="GA219" s="357"/>
      <c r="GB219" s="357"/>
      <c r="GC219" s="357"/>
      <c r="GD219" s="357"/>
      <c r="GE219" s="357"/>
      <c r="GF219" s="357"/>
      <c r="GG219" s="357"/>
      <c r="GH219" s="357"/>
      <c r="GI219" s="357"/>
      <c r="GJ219" s="357"/>
      <c r="GK219" s="357"/>
      <c r="GL219" s="357"/>
      <c r="GM219" s="357"/>
      <c r="GN219" s="357"/>
      <c r="GO219" s="357"/>
      <c r="GP219" s="357"/>
      <c r="GQ219" s="357"/>
      <c r="GR219" s="357"/>
      <c r="GS219" s="357"/>
      <c r="GT219" s="357"/>
      <c r="GU219" s="357"/>
      <c r="GV219" s="357"/>
      <c r="GW219" s="357"/>
      <c r="GX219" s="357"/>
      <c r="GY219" s="357"/>
      <c r="GZ219" s="357"/>
      <c r="HA219" s="357"/>
      <c r="HB219" s="357"/>
      <c r="HC219" s="357"/>
      <c r="HD219" s="357"/>
      <c r="HE219" s="357"/>
      <c r="HF219" s="357"/>
      <c r="HG219" s="357"/>
      <c r="HH219" s="357"/>
      <c r="HI219" s="357"/>
      <c r="HJ219" s="357"/>
      <c r="HK219" s="357"/>
      <c r="HL219" s="357"/>
      <c r="HM219" s="357"/>
      <c r="HN219" s="357"/>
      <c r="HO219" s="357"/>
      <c r="HP219" s="357"/>
      <c r="HQ219" s="357"/>
      <c r="HR219" s="357"/>
      <c r="HS219" s="357"/>
      <c r="HT219" s="357"/>
      <c r="HU219" s="357"/>
      <c r="HV219" s="357"/>
      <c r="HW219" s="357"/>
      <c r="HX219" s="357"/>
      <c r="HY219" s="357"/>
      <c r="HZ219" s="357"/>
      <c r="IA219" s="357"/>
      <c r="IB219" s="357"/>
      <c r="IC219" s="357"/>
      <c r="ID219" s="357"/>
      <c r="IE219" s="357"/>
      <c r="IF219" s="357"/>
      <c r="IG219" s="357"/>
      <c r="IH219" s="357"/>
      <c r="II219" s="357"/>
      <c r="IJ219" s="357"/>
      <c r="IK219" s="357"/>
      <c r="IL219" s="357"/>
      <c r="IM219" s="357"/>
      <c r="IN219" s="357"/>
      <c r="IO219" s="357"/>
      <c r="IP219" s="357"/>
      <c r="IQ219" s="357"/>
      <c r="IR219" s="357"/>
      <c r="IS219" s="357"/>
      <c r="IT219" s="357"/>
      <c r="IU219" s="357"/>
      <c r="IV219" s="357"/>
      <c r="IW219" s="357"/>
      <c r="IX219" s="357"/>
      <c r="IY219" s="357"/>
      <c r="IZ219" s="357"/>
      <c r="JA219" s="357"/>
      <c r="JB219" s="357"/>
      <c r="JC219" s="357"/>
      <c r="JD219" s="357"/>
      <c r="JE219" s="357"/>
      <c r="JF219" s="357"/>
      <c r="JG219" s="357"/>
      <c r="JH219" s="357"/>
      <c r="JI219" s="357"/>
      <c r="JJ219" s="357"/>
      <c r="JK219" s="357"/>
      <c r="JL219" s="357"/>
      <c r="JM219" s="357"/>
      <c r="JN219" s="357"/>
      <c r="JO219" s="357"/>
      <c r="JP219" s="357"/>
      <c r="JQ219" s="357"/>
      <c r="JR219" s="357"/>
      <c r="JS219" s="357"/>
      <c r="JT219" s="357"/>
      <c r="JU219" s="357"/>
      <c r="JV219" s="357"/>
      <c r="JW219" s="357"/>
      <c r="JX219" s="357"/>
      <c r="JY219" s="357"/>
      <c r="JZ219" s="357"/>
      <c r="KA219" s="357"/>
      <c r="KB219" s="357"/>
      <c r="KC219" s="357"/>
      <c r="KD219" s="357"/>
      <c r="KE219" s="357"/>
      <c r="KF219" s="357"/>
      <c r="KG219" s="357"/>
      <c r="KH219" s="357"/>
      <c r="KI219" s="357"/>
      <c r="KJ219" s="357"/>
      <c r="KK219" s="357"/>
      <c r="KL219" s="357"/>
      <c r="KM219" s="357"/>
      <c r="KN219" s="357"/>
      <c r="KO219" s="357"/>
      <c r="KP219" s="357"/>
      <c r="KQ219" s="357"/>
      <c r="KR219" s="357"/>
      <c r="KS219" s="357"/>
      <c r="KT219" s="357"/>
      <c r="KU219" s="357"/>
      <c r="KV219" s="357"/>
      <c r="KW219" s="357"/>
      <c r="KX219" s="357"/>
      <c r="KY219" s="357"/>
      <c r="KZ219" s="357"/>
      <c r="LA219" s="357"/>
      <c r="LB219" s="357"/>
      <c r="LC219" s="357"/>
      <c r="LD219" s="357"/>
      <c r="LE219" s="357"/>
      <c r="LF219" s="357"/>
      <c r="LG219" s="357"/>
      <c r="LH219" s="357"/>
      <c r="LI219" s="357"/>
      <c r="LJ219" s="357"/>
      <c r="LK219" s="357"/>
      <c r="LL219" s="357"/>
      <c r="LM219" s="357"/>
      <c r="LN219" s="357"/>
      <c r="LO219" s="357"/>
      <c r="LP219" s="357"/>
      <c r="LQ219" s="357"/>
      <c r="LR219" s="357"/>
      <c r="LS219" s="357"/>
      <c r="LT219" s="357"/>
      <c r="LU219" s="357"/>
      <c r="LV219" s="357"/>
      <c r="LW219" s="357"/>
      <c r="LX219" s="357"/>
      <c r="LY219" s="357"/>
      <c r="LZ219" s="357"/>
      <c r="MA219" s="357"/>
      <c r="MB219" s="357"/>
    </row>
    <row r="220" spans="1:340" s="358" customFormat="1" ht="21" customHeight="1">
      <c r="A220" s="2529"/>
      <c r="B220" s="471"/>
      <c r="C220" s="1126"/>
      <c r="D220" s="1145"/>
      <c r="E220" s="465"/>
      <c r="F220" s="1805"/>
      <c r="G220" s="1115"/>
      <c r="H220" s="404"/>
      <c r="I220" s="1675"/>
      <c r="J220" s="2744" t="s">
        <v>4784</v>
      </c>
      <c r="K220" s="2745"/>
      <c r="L220" s="2745"/>
      <c r="M220" s="2745"/>
      <c r="N220" s="506"/>
      <c r="O220" s="1671"/>
      <c r="P220" s="1675"/>
      <c r="Q220" s="1671"/>
      <c r="R220" s="1675"/>
      <c r="S220" s="2747">
        <v>40000000</v>
      </c>
      <c r="T220" s="2747" t="s">
        <v>3201</v>
      </c>
      <c r="U220" s="1675"/>
      <c r="V220" s="2747">
        <v>1</v>
      </c>
      <c r="W220" s="2747" t="s">
        <v>3202</v>
      </c>
      <c r="X220" s="1140" t="s">
        <v>3212</v>
      </c>
      <c r="Y220" s="1674">
        <f t="shared" si="54"/>
        <v>40000</v>
      </c>
      <c r="Z220" s="407">
        <f>S220*V220</f>
        <v>40000000</v>
      </c>
      <c r="AB220" s="357"/>
      <c r="AD220" s="357"/>
      <c r="AE220" s="357"/>
      <c r="AF220" s="357"/>
      <c r="AG220" s="357"/>
      <c r="AH220" s="357"/>
      <c r="AI220" s="357"/>
      <c r="AJ220" s="357"/>
      <c r="AK220" s="357"/>
      <c r="AL220" s="357"/>
      <c r="AM220" s="357"/>
      <c r="AN220" s="357"/>
      <c r="AO220" s="357"/>
      <c r="AP220" s="357"/>
      <c r="AQ220" s="357"/>
      <c r="AR220" s="357"/>
      <c r="AS220" s="357"/>
      <c r="AT220" s="357"/>
      <c r="AU220" s="357"/>
      <c r="AV220" s="357"/>
      <c r="AW220" s="357"/>
      <c r="AX220" s="357"/>
      <c r="AY220" s="357"/>
      <c r="AZ220" s="357"/>
      <c r="BA220" s="357"/>
      <c r="BB220" s="357"/>
      <c r="BC220" s="357"/>
      <c r="BD220" s="357"/>
      <c r="BE220" s="357"/>
      <c r="BF220" s="357"/>
      <c r="BG220" s="357"/>
      <c r="BH220" s="357"/>
      <c r="BI220" s="357"/>
      <c r="BJ220" s="357"/>
      <c r="BK220" s="357"/>
      <c r="BL220" s="357"/>
      <c r="BM220" s="357"/>
      <c r="BN220" s="357"/>
      <c r="BO220" s="357"/>
      <c r="BP220" s="357"/>
      <c r="BQ220" s="357"/>
      <c r="BR220" s="357"/>
      <c r="BS220" s="357"/>
      <c r="BT220" s="357"/>
      <c r="BU220" s="357"/>
      <c r="BV220" s="357"/>
      <c r="BW220" s="357"/>
      <c r="BX220" s="357"/>
      <c r="BY220" s="357"/>
      <c r="BZ220" s="357"/>
      <c r="CA220" s="357"/>
      <c r="CB220" s="357"/>
      <c r="CC220" s="357"/>
      <c r="CD220" s="357"/>
      <c r="CE220" s="357"/>
      <c r="CF220" s="357"/>
      <c r="CG220" s="357"/>
      <c r="CH220" s="357"/>
      <c r="CI220" s="357"/>
      <c r="CJ220" s="357"/>
      <c r="CK220" s="357"/>
      <c r="CL220" s="357"/>
      <c r="CM220" s="357"/>
      <c r="CN220" s="357"/>
      <c r="CO220" s="357"/>
      <c r="CP220" s="357"/>
      <c r="CQ220" s="357"/>
      <c r="CR220" s="357"/>
      <c r="CS220" s="357"/>
      <c r="CT220" s="357"/>
      <c r="CU220" s="357"/>
      <c r="CV220" s="357"/>
      <c r="CW220" s="357"/>
      <c r="CX220" s="357"/>
      <c r="CY220" s="357"/>
      <c r="CZ220" s="357"/>
      <c r="DA220" s="357"/>
      <c r="DB220" s="357"/>
      <c r="DC220" s="357"/>
      <c r="DD220" s="357"/>
      <c r="DE220" s="357"/>
      <c r="DF220" s="357"/>
      <c r="DG220" s="357"/>
      <c r="DH220" s="357"/>
      <c r="DI220" s="357"/>
      <c r="DJ220" s="357"/>
      <c r="DK220" s="357"/>
      <c r="DL220" s="357"/>
      <c r="DM220" s="357"/>
      <c r="DN220" s="357"/>
      <c r="DO220" s="357"/>
      <c r="DP220" s="357"/>
      <c r="DQ220" s="357"/>
      <c r="DR220" s="357"/>
      <c r="DS220" s="357"/>
      <c r="DT220" s="357"/>
      <c r="DU220" s="357"/>
      <c r="DV220" s="357"/>
      <c r="DW220" s="357"/>
      <c r="DX220" s="357"/>
      <c r="DY220" s="357"/>
      <c r="DZ220" s="357"/>
      <c r="EA220" s="357"/>
      <c r="EB220" s="357"/>
      <c r="EC220" s="357"/>
      <c r="ED220" s="357"/>
      <c r="EE220" s="357"/>
      <c r="EF220" s="357"/>
      <c r="EG220" s="357"/>
      <c r="EH220" s="357"/>
      <c r="EI220" s="357"/>
      <c r="EJ220" s="357"/>
      <c r="EK220" s="357"/>
      <c r="EL220" s="357"/>
      <c r="EM220" s="357"/>
      <c r="EN220" s="357"/>
      <c r="EO220" s="357"/>
      <c r="EP220" s="357"/>
      <c r="EQ220" s="357"/>
      <c r="ER220" s="357"/>
      <c r="ES220" s="357"/>
      <c r="ET220" s="357"/>
      <c r="EU220" s="357"/>
      <c r="EV220" s="357"/>
      <c r="EW220" s="357"/>
      <c r="EX220" s="357"/>
      <c r="EY220" s="357"/>
      <c r="EZ220" s="357"/>
      <c r="FA220" s="357"/>
      <c r="FB220" s="357"/>
      <c r="FC220" s="357"/>
      <c r="FD220" s="357"/>
      <c r="FE220" s="357"/>
      <c r="FF220" s="357"/>
      <c r="FG220" s="357"/>
      <c r="FH220" s="357"/>
      <c r="FI220" s="357"/>
      <c r="FJ220" s="357"/>
      <c r="FK220" s="357"/>
      <c r="FL220" s="357"/>
      <c r="FM220" s="357"/>
      <c r="FN220" s="357"/>
      <c r="FO220" s="357"/>
      <c r="FP220" s="357"/>
      <c r="FQ220" s="357"/>
      <c r="FR220" s="357"/>
      <c r="FS220" s="357"/>
      <c r="FT220" s="357"/>
      <c r="FU220" s="357"/>
      <c r="FV220" s="357"/>
      <c r="FW220" s="357"/>
      <c r="FX220" s="357"/>
      <c r="FY220" s="357"/>
      <c r="FZ220" s="357"/>
      <c r="GA220" s="357"/>
      <c r="GB220" s="357"/>
      <c r="GC220" s="357"/>
      <c r="GD220" s="357"/>
      <c r="GE220" s="357"/>
      <c r="GF220" s="357"/>
      <c r="GG220" s="357"/>
      <c r="GH220" s="357"/>
      <c r="GI220" s="357"/>
      <c r="GJ220" s="357"/>
      <c r="GK220" s="357"/>
      <c r="GL220" s="357"/>
      <c r="GM220" s="357"/>
      <c r="GN220" s="357"/>
      <c r="GO220" s="357"/>
      <c r="GP220" s="357"/>
      <c r="GQ220" s="357"/>
      <c r="GR220" s="357"/>
      <c r="GS220" s="357"/>
      <c r="GT220" s="357"/>
      <c r="GU220" s="357"/>
      <c r="GV220" s="357"/>
      <c r="GW220" s="357"/>
      <c r="GX220" s="357"/>
      <c r="GY220" s="357"/>
      <c r="GZ220" s="357"/>
      <c r="HA220" s="357"/>
      <c r="HB220" s="357"/>
      <c r="HC220" s="357"/>
      <c r="HD220" s="357"/>
      <c r="HE220" s="357"/>
      <c r="HF220" s="357"/>
      <c r="HG220" s="357"/>
      <c r="HH220" s="357"/>
      <c r="HI220" s="357"/>
      <c r="HJ220" s="357"/>
      <c r="HK220" s="357"/>
      <c r="HL220" s="357"/>
      <c r="HM220" s="357"/>
      <c r="HN220" s="357"/>
      <c r="HO220" s="357"/>
      <c r="HP220" s="357"/>
      <c r="HQ220" s="357"/>
      <c r="HR220" s="357"/>
      <c r="HS220" s="357"/>
      <c r="HT220" s="357"/>
      <c r="HU220" s="357"/>
      <c r="HV220" s="357"/>
      <c r="HW220" s="357"/>
      <c r="HX220" s="357"/>
      <c r="HY220" s="357"/>
      <c r="HZ220" s="357"/>
      <c r="IA220" s="357"/>
      <c r="IB220" s="357"/>
      <c r="IC220" s="357"/>
      <c r="ID220" s="357"/>
      <c r="IE220" s="357"/>
      <c r="IF220" s="357"/>
      <c r="IG220" s="357"/>
      <c r="IH220" s="357"/>
      <c r="II220" s="357"/>
      <c r="IJ220" s="357"/>
      <c r="IK220" s="357"/>
      <c r="IL220" s="357"/>
      <c r="IM220" s="357"/>
      <c r="IN220" s="357"/>
      <c r="IO220" s="357"/>
      <c r="IP220" s="357"/>
      <c r="IQ220" s="357"/>
      <c r="IR220" s="357"/>
      <c r="IS220" s="357"/>
      <c r="IT220" s="357"/>
      <c r="IU220" s="357"/>
      <c r="IV220" s="357"/>
      <c r="IW220" s="357"/>
      <c r="IX220" s="357"/>
      <c r="IY220" s="357"/>
      <c r="IZ220" s="357"/>
      <c r="JA220" s="357"/>
      <c r="JB220" s="357"/>
      <c r="JC220" s="357"/>
      <c r="JD220" s="357"/>
      <c r="JE220" s="357"/>
      <c r="JF220" s="357"/>
      <c r="JG220" s="357"/>
      <c r="JH220" s="357"/>
      <c r="JI220" s="357"/>
      <c r="JJ220" s="357"/>
      <c r="JK220" s="357"/>
      <c r="JL220" s="357"/>
      <c r="JM220" s="357"/>
      <c r="JN220" s="357"/>
      <c r="JO220" s="357"/>
      <c r="JP220" s="357"/>
      <c r="JQ220" s="357"/>
      <c r="JR220" s="357"/>
      <c r="JS220" s="357"/>
      <c r="JT220" s="357"/>
      <c r="JU220" s="357"/>
      <c r="JV220" s="357"/>
      <c r="JW220" s="357"/>
      <c r="JX220" s="357"/>
      <c r="JY220" s="357"/>
      <c r="JZ220" s="357"/>
      <c r="KA220" s="357"/>
      <c r="KB220" s="357"/>
      <c r="KC220" s="357"/>
      <c r="KD220" s="357"/>
      <c r="KE220" s="357"/>
      <c r="KF220" s="357"/>
      <c r="KG220" s="357"/>
      <c r="KH220" s="357"/>
      <c r="KI220" s="357"/>
      <c r="KJ220" s="357"/>
      <c r="KK220" s="357"/>
      <c r="KL220" s="357"/>
      <c r="KM220" s="357"/>
      <c r="KN220" s="357"/>
      <c r="KO220" s="357"/>
      <c r="KP220" s="357"/>
      <c r="KQ220" s="357"/>
      <c r="KR220" s="357"/>
      <c r="KS220" s="357"/>
      <c r="KT220" s="357"/>
      <c r="KU220" s="357"/>
      <c r="KV220" s="357"/>
      <c r="KW220" s="357"/>
      <c r="KX220" s="357"/>
      <c r="KY220" s="357"/>
      <c r="KZ220" s="357"/>
      <c r="LA220" s="357"/>
      <c r="LB220" s="357"/>
      <c r="LC220" s="357"/>
      <c r="LD220" s="357"/>
      <c r="LE220" s="357"/>
      <c r="LF220" s="357"/>
      <c r="LG220" s="357"/>
      <c r="LH220" s="357"/>
      <c r="LI220" s="357"/>
      <c r="LJ220" s="357"/>
      <c r="LK220" s="357"/>
      <c r="LL220" s="357"/>
      <c r="LM220" s="357"/>
      <c r="LN220" s="357"/>
      <c r="LO220" s="357"/>
      <c r="LP220" s="357"/>
      <c r="LQ220" s="357"/>
      <c r="LR220" s="357"/>
      <c r="LS220" s="357"/>
      <c r="LT220" s="357"/>
      <c r="LU220" s="357"/>
      <c r="LV220" s="357"/>
      <c r="LW220" s="357"/>
      <c r="LX220" s="357"/>
      <c r="LY220" s="357"/>
      <c r="LZ220" s="357"/>
      <c r="MA220" s="357"/>
      <c r="MB220" s="357"/>
    </row>
    <row r="221" spans="1:340" s="358" customFormat="1" ht="21" customHeight="1">
      <c r="A221" s="2529"/>
      <c r="B221" s="471"/>
      <c r="C221" s="1126"/>
      <c r="D221" s="1148"/>
      <c r="E221" s="1134"/>
      <c r="F221" s="1141"/>
      <c r="G221" s="1139"/>
      <c r="H221" s="404"/>
      <c r="I221" s="1675"/>
      <c r="J221" s="2746" t="s">
        <v>4783</v>
      </c>
      <c r="K221" s="2745"/>
      <c r="L221" s="2745"/>
      <c r="M221" s="2745"/>
      <c r="N221" s="2745"/>
      <c r="O221" s="1673" t="s">
        <v>3219</v>
      </c>
      <c r="P221" s="1675" t="s">
        <v>3219</v>
      </c>
      <c r="Q221" s="1671"/>
      <c r="R221" s="1675"/>
      <c r="S221" s="1672">
        <v>5000000</v>
      </c>
      <c r="T221" s="1671" t="s">
        <v>3201</v>
      </c>
      <c r="U221" s="1671"/>
      <c r="V221" s="1671">
        <v>1</v>
      </c>
      <c r="W221" s="1671" t="s">
        <v>203</v>
      </c>
      <c r="X221" s="397" t="s">
        <v>3212</v>
      </c>
      <c r="Y221" s="1674">
        <f t="shared" si="54"/>
        <v>5000</v>
      </c>
      <c r="Z221" s="407">
        <f t="shared" ref="Z221:Z225" si="58">S221*V221</f>
        <v>5000000</v>
      </c>
      <c r="AB221" s="357"/>
      <c r="AD221" s="357"/>
      <c r="AE221" s="357"/>
      <c r="AF221" s="357"/>
      <c r="AG221" s="357"/>
      <c r="AH221" s="357"/>
      <c r="AI221" s="357"/>
      <c r="AJ221" s="357"/>
      <c r="AK221" s="357"/>
      <c r="AL221" s="357"/>
      <c r="AM221" s="357"/>
      <c r="AN221" s="357"/>
      <c r="AO221" s="357"/>
      <c r="AP221" s="357"/>
      <c r="AQ221" s="357"/>
      <c r="AR221" s="357"/>
      <c r="AS221" s="357"/>
      <c r="AT221" s="357"/>
      <c r="AU221" s="357"/>
      <c r="AV221" s="357"/>
      <c r="AW221" s="357"/>
      <c r="AX221" s="357"/>
      <c r="AY221" s="357"/>
      <c r="AZ221" s="357"/>
      <c r="BA221" s="357"/>
      <c r="BB221" s="357"/>
      <c r="BC221" s="357"/>
      <c r="BD221" s="357"/>
      <c r="BE221" s="357"/>
      <c r="BF221" s="357"/>
      <c r="BG221" s="357"/>
      <c r="BH221" s="357"/>
      <c r="BI221" s="357"/>
      <c r="BJ221" s="357"/>
      <c r="BK221" s="357"/>
      <c r="BL221" s="357"/>
      <c r="BM221" s="357"/>
      <c r="BN221" s="357"/>
      <c r="BO221" s="357"/>
      <c r="BP221" s="357"/>
      <c r="BQ221" s="357"/>
      <c r="BR221" s="357"/>
      <c r="BS221" s="357"/>
      <c r="BT221" s="357"/>
      <c r="BU221" s="357"/>
      <c r="BV221" s="357"/>
      <c r="BW221" s="357"/>
      <c r="BX221" s="357"/>
      <c r="BY221" s="357"/>
      <c r="BZ221" s="357"/>
      <c r="CA221" s="357"/>
      <c r="CB221" s="357"/>
      <c r="CC221" s="357"/>
      <c r="CD221" s="357"/>
      <c r="CE221" s="357"/>
      <c r="CF221" s="357"/>
      <c r="CG221" s="357"/>
      <c r="CH221" s="357"/>
      <c r="CI221" s="357"/>
      <c r="CJ221" s="357"/>
      <c r="CK221" s="357"/>
      <c r="CL221" s="357"/>
      <c r="CM221" s="357"/>
      <c r="CN221" s="357"/>
      <c r="CO221" s="357"/>
      <c r="CP221" s="357"/>
      <c r="CQ221" s="357"/>
      <c r="CR221" s="357"/>
      <c r="CS221" s="357"/>
      <c r="CT221" s="357"/>
      <c r="CU221" s="357"/>
      <c r="CV221" s="357"/>
      <c r="CW221" s="357"/>
      <c r="CX221" s="357"/>
      <c r="CY221" s="357"/>
      <c r="CZ221" s="357"/>
      <c r="DA221" s="357"/>
      <c r="DB221" s="357"/>
      <c r="DC221" s="357"/>
      <c r="DD221" s="357"/>
      <c r="DE221" s="357"/>
      <c r="DF221" s="357"/>
      <c r="DG221" s="357"/>
      <c r="DH221" s="357"/>
      <c r="DI221" s="357"/>
      <c r="DJ221" s="357"/>
      <c r="DK221" s="357"/>
      <c r="DL221" s="357"/>
      <c r="DM221" s="357"/>
      <c r="DN221" s="357"/>
      <c r="DO221" s="357"/>
      <c r="DP221" s="357"/>
      <c r="DQ221" s="357"/>
      <c r="DR221" s="357"/>
      <c r="DS221" s="357"/>
      <c r="DT221" s="357"/>
      <c r="DU221" s="357"/>
      <c r="DV221" s="357"/>
      <c r="DW221" s="357"/>
      <c r="DX221" s="357"/>
      <c r="DY221" s="357"/>
      <c r="DZ221" s="357"/>
      <c r="EA221" s="357"/>
      <c r="EB221" s="357"/>
      <c r="EC221" s="357"/>
      <c r="ED221" s="357"/>
      <c r="EE221" s="357"/>
      <c r="EF221" s="357"/>
      <c r="EG221" s="357"/>
      <c r="EH221" s="357"/>
      <c r="EI221" s="357"/>
      <c r="EJ221" s="357"/>
      <c r="EK221" s="357"/>
      <c r="EL221" s="357"/>
      <c r="EM221" s="357"/>
      <c r="EN221" s="357"/>
      <c r="EO221" s="357"/>
      <c r="EP221" s="357"/>
      <c r="EQ221" s="357"/>
      <c r="ER221" s="357"/>
      <c r="ES221" s="357"/>
      <c r="ET221" s="357"/>
      <c r="EU221" s="357"/>
      <c r="EV221" s="357"/>
      <c r="EW221" s="357"/>
      <c r="EX221" s="357"/>
      <c r="EY221" s="357"/>
      <c r="EZ221" s="357"/>
      <c r="FA221" s="357"/>
      <c r="FB221" s="357"/>
      <c r="FC221" s="357"/>
      <c r="FD221" s="357"/>
      <c r="FE221" s="357"/>
      <c r="FF221" s="357"/>
      <c r="FG221" s="357"/>
      <c r="FH221" s="357"/>
      <c r="FI221" s="357"/>
      <c r="FJ221" s="357"/>
      <c r="FK221" s="357"/>
      <c r="FL221" s="357"/>
      <c r="FM221" s="357"/>
      <c r="FN221" s="357"/>
      <c r="FO221" s="357"/>
      <c r="FP221" s="357"/>
      <c r="FQ221" s="357"/>
      <c r="FR221" s="357"/>
      <c r="FS221" s="357"/>
      <c r="FT221" s="357"/>
      <c r="FU221" s="357"/>
      <c r="FV221" s="357"/>
      <c r="FW221" s="357"/>
      <c r="FX221" s="357"/>
      <c r="FY221" s="357"/>
      <c r="FZ221" s="357"/>
      <c r="GA221" s="357"/>
      <c r="GB221" s="357"/>
      <c r="GC221" s="357"/>
      <c r="GD221" s="357"/>
      <c r="GE221" s="357"/>
      <c r="GF221" s="357"/>
      <c r="GG221" s="357"/>
      <c r="GH221" s="357"/>
      <c r="GI221" s="357"/>
      <c r="GJ221" s="357"/>
      <c r="GK221" s="357"/>
      <c r="GL221" s="357"/>
      <c r="GM221" s="357"/>
      <c r="GN221" s="357"/>
      <c r="GO221" s="357"/>
      <c r="GP221" s="357"/>
      <c r="GQ221" s="357"/>
      <c r="GR221" s="357"/>
      <c r="GS221" s="357"/>
      <c r="GT221" s="357"/>
      <c r="GU221" s="357"/>
      <c r="GV221" s="357"/>
      <c r="GW221" s="357"/>
      <c r="GX221" s="357"/>
      <c r="GY221" s="357"/>
      <c r="GZ221" s="357"/>
      <c r="HA221" s="357"/>
      <c r="HB221" s="357"/>
      <c r="HC221" s="357"/>
      <c r="HD221" s="357"/>
      <c r="HE221" s="357"/>
      <c r="HF221" s="357"/>
      <c r="HG221" s="357"/>
      <c r="HH221" s="357"/>
      <c r="HI221" s="357"/>
      <c r="HJ221" s="357"/>
      <c r="HK221" s="357"/>
      <c r="HL221" s="357"/>
      <c r="HM221" s="357"/>
      <c r="HN221" s="357"/>
      <c r="HO221" s="357"/>
      <c r="HP221" s="357"/>
      <c r="HQ221" s="357"/>
      <c r="HR221" s="357"/>
      <c r="HS221" s="357"/>
      <c r="HT221" s="357"/>
      <c r="HU221" s="357"/>
      <c r="HV221" s="357"/>
      <c r="HW221" s="357"/>
      <c r="HX221" s="357"/>
      <c r="HY221" s="357"/>
      <c r="HZ221" s="357"/>
      <c r="IA221" s="357"/>
      <c r="IB221" s="357"/>
      <c r="IC221" s="357"/>
      <c r="ID221" s="357"/>
      <c r="IE221" s="357"/>
      <c r="IF221" s="357"/>
      <c r="IG221" s="357"/>
      <c r="IH221" s="357"/>
      <c r="II221" s="357"/>
      <c r="IJ221" s="357"/>
      <c r="IK221" s="357"/>
      <c r="IL221" s="357"/>
      <c r="IM221" s="357"/>
      <c r="IN221" s="357"/>
      <c r="IO221" s="357"/>
      <c r="IP221" s="357"/>
      <c r="IQ221" s="357"/>
      <c r="IR221" s="357"/>
      <c r="IS221" s="357"/>
      <c r="IT221" s="357"/>
      <c r="IU221" s="357"/>
      <c r="IV221" s="357"/>
      <c r="IW221" s="357"/>
      <c r="IX221" s="357"/>
      <c r="IY221" s="357"/>
      <c r="IZ221" s="357"/>
      <c r="JA221" s="357"/>
      <c r="JB221" s="357"/>
      <c r="JC221" s="357"/>
      <c r="JD221" s="357"/>
      <c r="JE221" s="357"/>
      <c r="JF221" s="357"/>
      <c r="JG221" s="357"/>
      <c r="JH221" s="357"/>
      <c r="JI221" s="357"/>
      <c r="JJ221" s="357"/>
      <c r="JK221" s="357"/>
      <c r="JL221" s="357"/>
      <c r="JM221" s="357"/>
      <c r="JN221" s="357"/>
      <c r="JO221" s="357"/>
      <c r="JP221" s="357"/>
      <c r="JQ221" s="357"/>
      <c r="JR221" s="357"/>
      <c r="JS221" s="357"/>
      <c r="JT221" s="357"/>
      <c r="JU221" s="357"/>
      <c r="JV221" s="357"/>
      <c r="JW221" s="357"/>
      <c r="JX221" s="357"/>
      <c r="JY221" s="357"/>
      <c r="JZ221" s="357"/>
      <c r="KA221" s="357"/>
      <c r="KB221" s="357"/>
      <c r="KC221" s="357"/>
      <c r="KD221" s="357"/>
      <c r="KE221" s="357"/>
      <c r="KF221" s="357"/>
      <c r="KG221" s="357"/>
      <c r="KH221" s="357"/>
      <c r="KI221" s="357"/>
      <c r="KJ221" s="357"/>
      <c r="KK221" s="357"/>
      <c r="KL221" s="357"/>
      <c r="KM221" s="357"/>
      <c r="KN221" s="357"/>
      <c r="KO221" s="357"/>
      <c r="KP221" s="357"/>
      <c r="KQ221" s="357"/>
      <c r="KR221" s="357"/>
      <c r="KS221" s="357"/>
      <c r="KT221" s="357"/>
      <c r="KU221" s="357"/>
      <c r="KV221" s="357"/>
      <c r="KW221" s="357"/>
      <c r="KX221" s="357"/>
      <c r="KY221" s="357"/>
      <c r="KZ221" s="357"/>
      <c r="LA221" s="357"/>
      <c r="LB221" s="357"/>
      <c r="LC221" s="357"/>
      <c r="LD221" s="357"/>
      <c r="LE221" s="357"/>
      <c r="LF221" s="357"/>
      <c r="LG221" s="357"/>
      <c r="LH221" s="357"/>
      <c r="LI221" s="357"/>
      <c r="LJ221" s="357"/>
      <c r="LK221" s="357"/>
      <c r="LL221" s="357"/>
      <c r="LM221" s="357"/>
      <c r="LN221" s="357"/>
      <c r="LO221" s="357"/>
      <c r="LP221" s="357"/>
      <c r="LQ221" s="357"/>
      <c r="LR221" s="357"/>
      <c r="LS221" s="357"/>
      <c r="LT221" s="357"/>
      <c r="LU221" s="357"/>
      <c r="LV221" s="357"/>
      <c r="LW221" s="357"/>
      <c r="LX221" s="357"/>
      <c r="LY221" s="357"/>
      <c r="LZ221" s="357"/>
      <c r="MA221" s="357"/>
      <c r="MB221" s="357"/>
    </row>
    <row r="222" spans="1:340" s="358" customFormat="1" ht="21" customHeight="1">
      <c r="A222" s="2529"/>
      <c r="B222" s="471"/>
      <c r="C222" s="1126"/>
      <c r="D222" s="1148"/>
      <c r="E222" s="1134"/>
      <c r="F222" s="1141"/>
      <c r="G222" s="1139"/>
      <c r="H222" s="404"/>
      <c r="I222" s="1675"/>
      <c r="J222" s="2746" t="s">
        <v>4782</v>
      </c>
      <c r="K222" s="2745"/>
      <c r="L222" s="2745"/>
      <c r="M222" s="2745"/>
      <c r="N222" s="2745"/>
      <c r="O222" s="1673" t="s">
        <v>3219</v>
      </c>
      <c r="P222" s="1675" t="s">
        <v>3219</v>
      </c>
      <c r="Q222" s="2747"/>
      <c r="R222" s="2743"/>
      <c r="S222" s="2747">
        <v>14000000</v>
      </c>
      <c r="T222" s="2747" t="s">
        <v>3201</v>
      </c>
      <c r="U222" s="1675"/>
      <c r="V222" s="2747">
        <v>1</v>
      </c>
      <c r="W222" s="2747" t="s">
        <v>3202</v>
      </c>
      <c r="X222" s="1140" t="s">
        <v>3212</v>
      </c>
      <c r="Y222" s="1674">
        <f t="shared" si="54"/>
        <v>14000</v>
      </c>
      <c r="Z222" s="407">
        <f t="shared" si="58"/>
        <v>14000000</v>
      </c>
      <c r="AB222" s="357"/>
      <c r="AD222" s="357"/>
      <c r="AE222" s="357"/>
      <c r="AF222" s="357"/>
      <c r="AG222" s="357"/>
      <c r="AH222" s="357"/>
      <c r="AI222" s="357"/>
      <c r="AJ222" s="357"/>
      <c r="AK222" s="357"/>
      <c r="AL222" s="357"/>
      <c r="AM222" s="357"/>
      <c r="AN222" s="357"/>
      <c r="AO222" s="357"/>
      <c r="AP222" s="357"/>
      <c r="AQ222" s="357"/>
      <c r="AR222" s="357"/>
      <c r="AS222" s="357"/>
      <c r="AT222" s="357"/>
      <c r="AU222" s="357"/>
      <c r="AV222" s="357"/>
      <c r="AW222" s="357"/>
      <c r="AX222" s="357"/>
      <c r="AY222" s="357"/>
      <c r="AZ222" s="357"/>
      <c r="BA222" s="357"/>
      <c r="BB222" s="357"/>
      <c r="BC222" s="357"/>
      <c r="BD222" s="357"/>
      <c r="BE222" s="357"/>
      <c r="BF222" s="357"/>
      <c r="BG222" s="357"/>
      <c r="BH222" s="357"/>
      <c r="BI222" s="357"/>
      <c r="BJ222" s="357"/>
      <c r="BK222" s="357"/>
      <c r="BL222" s="357"/>
      <c r="BM222" s="357"/>
      <c r="BN222" s="357"/>
      <c r="BO222" s="357"/>
      <c r="BP222" s="357"/>
      <c r="BQ222" s="357"/>
      <c r="BR222" s="357"/>
      <c r="BS222" s="357"/>
      <c r="BT222" s="357"/>
      <c r="BU222" s="357"/>
      <c r="BV222" s="357"/>
      <c r="BW222" s="357"/>
      <c r="BX222" s="357"/>
      <c r="BY222" s="357"/>
      <c r="BZ222" s="357"/>
      <c r="CA222" s="357"/>
      <c r="CB222" s="357"/>
      <c r="CC222" s="357"/>
      <c r="CD222" s="357"/>
      <c r="CE222" s="357"/>
      <c r="CF222" s="357"/>
      <c r="CG222" s="357"/>
      <c r="CH222" s="357"/>
      <c r="CI222" s="357"/>
      <c r="CJ222" s="357"/>
      <c r="CK222" s="357"/>
      <c r="CL222" s="357"/>
      <c r="CM222" s="357"/>
      <c r="CN222" s="357"/>
      <c r="CO222" s="357"/>
      <c r="CP222" s="357"/>
      <c r="CQ222" s="357"/>
      <c r="CR222" s="357"/>
      <c r="CS222" s="357"/>
      <c r="CT222" s="357"/>
      <c r="CU222" s="357"/>
      <c r="CV222" s="357"/>
      <c r="CW222" s="357"/>
      <c r="CX222" s="357"/>
      <c r="CY222" s="357"/>
      <c r="CZ222" s="357"/>
      <c r="DA222" s="357"/>
      <c r="DB222" s="357"/>
      <c r="DC222" s="357"/>
      <c r="DD222" s="357"/>
      <c r="DE222" s="357"/>
      <c r="DF222" s="357"/>
      <c r="DG222" s="357"/>
      <c r="DH222" s="357"/>
      <c r="DI222" s="357"/>
      <c r="DJ222" s="357"/>
      <c r="DK222" s="357"/>
      <c r="DL222" s="357"/>
      <c r="DM222" s="357"/>
      <c r="DN222" s="357"/>
      <c r="DO222" s="357"/>
      <c r="DP222" s="357"/>
      <c r="DQ222" s="357"/>
      <c r="DR222" s="357"/>
      <c r="DS222" s="357"/>
      <c r="DT222" s="357"/>
      <c r="DU222" s="357"/>
      <c r="DV222" s="357"/>
      <c r="DW222" s="357"/>
      <c r="DX222" s="357"/>
      <c r="DY222" s="357"/>
      <c r="DZ222" s="357"/>
      <c r="EA222" s="357"/>
      <c r="EB222" s="357"/>
      <c r="EC222" s="357"/>
      <c r="ED222" s="357"/>
      <c r="EE222" s="357"/>
      <c r="EF222" s="357"/>
      <c r="EG222" s="357"/>
      <c r="EH222" s="357"/>
      <c r="EI222" s="357"/>
      <c r="EJ222" s="357"/>
      <c r="EK222" s="357"/>
      <c r="EL222" s="357"/>
      <c r="EM222" s="357"/>
      <c r="EN222" s="357"/>
      <c r="EO222" s="357"/>
      <c r="EP222" s="357"/>
      <c r="EQ222" s="357"/>
      <c r="ER222" s="357"/>
      <c r="ES222" s="357"/>
      <c r="ET222" s="357"/>
      <c r="EU222" s="357"/>
      <c r="EV222" s="357"/>
      <c r="EW222" s="357"/>
      <c r="EX222" s="357"/>
      <c r="EY222" s="357"/>
      <c r="EZ222" s="357"/>
      <c r="FA222" s="357"/>
      <c r="FB222" s="357"/>
      <c r="FC222" s="357"/>
      <c r="FD222" s="357"/>
      <c r="FE222" s="357"/>
      <c r="FF222" s="357"/>
      <c r="FG222" s="357"/>
      <c r="FH222" s="357"/>
      <c r="FI222" s="357"/>
      <c r="FJ222" s="357"/>
      <c r="FK222" s="357"/>
      <c r="FL222" s="357"/>
      <c r="FM222" s="357"/>
      <c r="FN222" s="357"/>
      <c r="FO222" s="357"/>
      <c r="FP222" s="357"/>
      <c r="FQ222" s="357"/>
      <c r="FR222" s="357"/>
      <c r="FS222" s="357"/>
      <c r="FT222" s="357"/>
      <c r="FU222" s="357"/>
      <c r="FV222" s="357"/>
      <c r="FW222" s="357"/>
      <c r="FX222" s="357"/>
      <c r="FY222" s="357"/>
      <c r="FZ222" s="357"/>
      <c r="GA222" s="357"/>
      <c r="GB222" s="357"/>
      <c r="GC222" s="357"/>
      <c r="GD222" s="357"/>
      <c r="GE222" s="357"/>
      <c r="GF222" s="357"/>
      <c r="GG222" s="357"/>
      <c r="GH222" s="357"/>
      <c r="GI222" s="357"/>
      <c r="GJ222" s="357"/>
      <c r="GK222" s="357"/>
      <c r="GL222" s="357"/>
      <c r="GM222" s="357"/>
      <c r="GN222" s="357"/>
      <c r="GO222" s="357"/>
      <c r="GP222" s="357"/>
      <c r="GQ222" s="357"/>
      <c r="GR222" s="357"/>
      <c r="GS222" s="357"/>
      <c r="GT222" s="357"/>
      <c r="GU222" s="357"/>
      <c r="GV222" s="357"/>
      <c r="GW222" s="357"/>
      <c r="GX222" s="357"/>
      <c r="GY222" s="357"/>
      <c r="GZ222" s="357"/>
      <c r="HA222" s="357"/>
      <c r="HB222" s="357"/>
      <c r="HC222" s="357"/>
      <c r="HD222" s="357"/>
      <c r="HE222" s="357"/>
      <c r="HF222" s="357"/>
      <c r="HG222" s="357"/>
      <c r="HH222" s="357"/>
      <c r="HI222" s="357"/>
      <c r="HJ222" s="357"/>
      <c r="HK222" s="357"/>
      <c r="HL222" s="357"/>
      <c r="HM222" s="357"/>
      <c r="HN222" s="357"/>
      <c r="HO222" s="357"/>
      <c r="HP222" s="357"/>
      <c r="HQ222" s="357"/>
      <c r="HR222" s="357"/>
      <c r="HS222" s="357"/>
      <c r="HT222" s="357"/>
      <c r="HU222" s="357"/>
      <c r="HV222" s="357"/>
      <c r="HW222" s="357"/>
      <c r="HX222" s="357"/>
      <c r="HY222" s="357"/>
      <c r="HZ222" s="357"/>
      <c r="IA222" s="357"/>
      <c r="IB222" s="357"/>
      <c r="IC222" s="357"/>
      <c r="ID222" s="357"/>
      <c r="IE222" s="357"/>
      <c r="IF222" s="357"/>
      <c r="IG222" s="357"/>
      <c r="IH222" s="357"/>
      <c r="II222" s="357"/>
      <c r="IJ222" s="357"/>
      <c r="IK222" s="357"/>
      <c r="IL222" s="357"/>
      <c r="IM222" s="357"/>
      <c r="IN222" s="357"/>
      <c r="IO222" s="357"/>
      <c r="IP222" s="357"/>
      <c r="IQ222" s="357"/>
      <c r="IR222" s="357"/>
      <c r="IS222" s="357"/>
      <c r="IT222" s="357"/>
      <c r="IU222" s="357"/>
      <c r="IV222" s="357"/>
      <c r="IW222" s="357"/>
      <c r="IX222" s="357"/>
      <c r="IY222" s="357"/>
      <c r="IZ222" s="357"/>
      <c r="JA222" s="357"/>
      <c r="JB222" s="357"/>
      <c r="JC222" s="357"/>
      <c r="JD222" s="357"/>
      <c r="JE222" s="357"/>
      <c r="JF222" s="357"/>
      <c r="JG222" s="357"/>
      <c r="JH222" s="357"/>
      <c r="JI222" s="357"/>
      <c r="JJ222" s="357"/>
      <c r="JK222" s="357"/>
      <c r="JL222" s="357"/>
      <c r="JM222" s="357"/>
      <c r="JN222" s="357"/>
      <c r="JO222" s="357"/>
      <c r="JP222" s="357"/>
      <c r="JQ222" s="357"/>
      <c r="JR222" s="357"/>
      <c r="JS222" s="357"/>
      <c r="JT222" s="357"/>
      <c r="JU222" s="357"/>
      <c r="JV222" s="357"/>
      <c r="JW222" s="357"/>
      <c r="JX222" s="357"/>
      <c r="JY222" s="357"/>
      <c r="JZ222" s="357"/>
      <c r="KA222" s="357"/>
      <c r="KB222" s="357"/>
      <c r="KC222" s="357"/>
      <c r="KD222" s="357"/>
      <c r="KE222" s="357"/>
      <c r="KF222" s="357"/>
      <c r="KG222" s="357"/>
      <c r="KH222" s="357"/>
      <c r="KI222" s="357"/>
      <c r="KJ222" s="357"/>
      <c r="KK222" s="357"/>
      <c r="KL222" s="357"/>
      <c r="KM222" s="357"/>
      <c r="KN222" s="357"/>
      <c r="KO222" s="357"/>
      <c r="KP222" s="357"/>
      <c r="KQ222" s="357"/>
      <c r="KR222" s="357"/>
      <c r="KS222" s="357"/>
      <c r="KT222" s="357"/>
      <c r="KU222" s="357"/>
      <c r="KV222" s="357"/>
      <c r="KW222" s="357"/>
      <c r="KX222" s="357"/>
      <c r="KY222" s="357"/>
      <c r="KZ222" s="357"/>
      <c r="LA222" s="357"/>
      <c r="LB222" s="357"/>
      <c r="LC222" s="357"/>
      <c r="LD222" s="357"/>
      <c r="LE222" s="357"/>
      <c r="LF222" s="357"/>
      <c r="LG222" s="357"/>
      <c r="LH222" s="357"/>
      <c r="LI222" s="357"/>
      <c r="LJ222" s="357"/>
      <c r="LK222" s="357"/>
      <c r="LL222" s="357"/>
      <c r="LM222" s="357"/>
      <c r="LN222" s="357"/>
      <c r="LO222" s="357"/>
      <c r="LP222" s="357"/>
      <c r="LQ222" s="357"/>
      <c r="LR222" s="357"/>
      <c r="LS222" s="357"/>
      <c r="LT222" s="357"/>
      <c r="LU222" s="357"/>
      <c r="LV222" s="357"/>
      <c r="LW222" s="357"/>
      <c r="LX222" s="357"/>
      <c r="LY222" s="357"/>
      <c r="LZ222" s="357"/>
      <c r="MA222" s="357"/>
      <c r="MB222" s="357"/>
    </row>
    <row r="223" spans="1:340" s="358" customFormat="1" ht="21" customHeight="1">
      <c r="A223" s="2529"/>
      <c r="B223" s="471"/>
      <c r="C223" s="1126"/>
      <c r="D223" s="1145"/>
      <c r="E223" s="465"/>
      <c r="F223" s="1805"/>
      <c r="G223" s="1115"/>
      <c r="H223" s="404"/>
      <c r="I223" s="1675"/>
      <c r="J223" s="2744" t="s">
        <v>4781</v>
      </c>
      <c r="K223" s="2745"/>
      <c r="L223" s="2745"/>
      <c r="M223" s="2745"/>
      <c r="N223" s="506"/>
      <c r="O223" s="1671"/>
      <c r="P223" s="1671"/>
      <c r="Q223" s="1671"/>
      <c r="R223" s="1671"/>
      <c r="S223" s="1672">
        <v>4000000</v>
      </c>
      <c r="T223" s="1671" t="s">
        <v>3201</v>
      </c>
      <c r="U223" s="1671"/>
      <c r="V223" s="1671">
        <v>1</v>
      </c>
      <c r="W223" s="1671" t="s">
        <v>3202</v>
      </c>
      <c r="X223" s="397" t="s">
        <v>3212</v>
      </c>
      <c r="Y223" s="1674">
        <f t="shared" si="54"/>
        <v>4000</v>
      </c>
      <c r="Z223" s="407">
        <f t="shared" si="58"/>
        <v>4000000</v>
      </c>
      <c r="AB223" s="357"/>
      <c r="AD223" s="357"/>
      <c r="AE223" s="357"/>
      <c r="AF223" s="357"/>
      <c r="AG223" s="357"/>
      <c r="AH223" s="357"/>
      <c r="AI223" s="357"/>
      <c r="AJ223" s="357"/>
      <c r="AK223" s="357"/>
      <c r="AL223" s="357"/>
      <c r="AM223" s="357"/>
      <c r="AN223" s="357"/>
      <c r="AO223" s="357"/>
      <c r="AP223" s="357"/>
      <c r="AQ223" s="357"/>
      <c r="AR223" s="357"/>
      <c r="AS223" s="357"/>
      <c r="AT223" s="357"/>
      <c r="AU223" s="357"/>
      <c r="AV223" s="357"/>
      <c r="AW223" s="357"/>
      <c r="AX223" s="357"/>
      <c r="AY223" s="357"/>
      <c r="AZ223" s="357"/>
      <c r="BA223" s="357"/>
      <c r="BB223" s="357"/>
      <c r="BC223" s="357"/>
      <c r="BD223" s="357"/>
      <c r="BE223" s="357"/>
      <c r="BF223" s="357"/>
      <c r="BG223" s="357"/>
      <c r="BH223" s="357"/>
      <c r="BI223" s="357"/>
      <c r="BJ223" s="357"/>
      <c r="BK223" s="357"/>
      <c r="BL223" s="357"/>
      <c r="BM223" s="357"/>
      <c r="BN223" s="357"/>
      <c r="BO223" s="357"/>
      <c r="BP223" s="357"/>
      <c r="BQ223" s="357"/>
      <c r="BR223" s="357"/>
      <c r="BS223" s="357"/>
      <c r="BT223" s="357"/>
      <c r="BU223" s="357"/>
      <c r="BV223" s="357"/>
      <c r="BW223" s="357"/>
      <c r="BX223" s="357"/>
      <c r="BY223" s="357"/>
      <c r="BZ223" s="357"/>
      <c r="CA223" s="357"/>
      <c r="CB223" s="357"/>
      <c r="CC223" s="357"/>
      <c r="CD223" s="357"/>
      <c r="CE223" s="357"/>
      <c r="CF223" s="357"/>
      <c r="CG223" s="357"/>
      <c r="CH223" s="357"/>
      <c r="CI223" s="357"/>
      <c r="CJ223" s="357"/>
      <c r="CK223" s="357"/>
      <c r="CL223" s="357"/>
      <c r="CM223" s="357"/>
      <c r="CN223" s="357"/>
      <c r="CO223" s="357"/>
      <c r="CP223" s="357"/>
      <c r="CQ223" s="357"/>
      <c r="CR223" s="357"/>
      <c r="CS223" s="357"/>
      <c r="CT223" s="357"/>
      <c r="CU223" s="357"/>
      <c r="CV223" s="357"/>
      <c r="CW223" s="357"/>
      <c r="CX223" s="357"/>
      <c r="CY223" s="357"/>
      <c r="CZ223" s="357"/>
      <c r="DA223" s="357"/>
      <c r="DB223" s="357"/>
      <c r="DC223" s="357"/>
      <c r="DD223" s="357"/>
      <c r="DE223" s="357"/>
      <c r="DF223" s="357"/>
      <c r="DG223" s="357"/>
      <c r="DH223" s="357"/>
      <c r="DI223" s="357"/>
      <c r="DJ223" s="357"/>
      <c r="DK223" s="357"/>
      <c r="DL223" s="357"/>
      <c r="DM223" s="357"/>
      <c r="DN223" s="357"/>
      <c r="DO223" s="357"/>
      <c r="DP223" s="357"/>
      <c r="DQ223" s="357"/>
      <c r="DR223" s="357"/>
      <c r="DS223" s="357"/>
      <c r="DT223" s="357"/>
      <c r="DU223" s="357"/>
      <c r="DV223" s="357"/>
      <c r="DW223" s="357"/>
      <c r="DX223" s="357"/>
      <c r="DY223" s="357"/>
      <c r="DZ223" s="357"/>
      <c r="EA223" s="357"/>
      <c r="EB223" s="357"/>
      <c r="EC223" s="357"/>
      <c r="ED223" s="357"/>
      <c r="EE223" s="357"/>
      <c r="EF223" s="357"/>
      <c r="EG223" s="357"/>
      <c r="EH223" s="357"/>
      <c r="EI223" s="357"/>
      <c r="EJ223" s="357"/>
      <c r="EK223" s="357"/>
      <c r="EL223" s="357"/>
      <c r="EM223" s="357"/>
      <c r="EN223" s="357"/>
      <c r="EO223" s="357"/>
      <c r="EP223" s="357"/>
      <c r="EQ223" s="357"/>
      <c r="ER223" s="357"/>
      <c r="ES223" s="357"/>
      <c r="ET223" s="357"/>
      <c r="EU223" s="357"/>
      <c r="EV223" s="357"/>
      <c r="EW223" s="357"/>
      <c r="EX223" s="357"/>
      <c r="EY223" s="357"/>
      <c r="EZ223" s="357"/>
      <c r="FA223" s="357"/>
      <c r="FB223" s="357"/>
      <c r="FC223" s="357"/>
      <c r="FD223" s="357"/>
      <c r="FE223" s="357"/>
      <c r="FF223" s="357"/>
      <c r="FG223" s="357"/>
      <c r="FH223" s="357"/>
      <c r="FI223" s="357"/>
      <c r="FJ223" s="357"/>
      <c r="FK223" s="357"/>
      <c r="FL223" s="357"/>
      <c r="FM223" s="357"/>
      <c r="FN223" s="357"/>
      <c r="FO223" s="357"/>
      <c r="FP223" s="357"/>
      <c r="FQ223" s="357"/>
      <c r="FR223" s="357"/>
      <c r="FS223" s="357"/>
      <c r="FT223" s="357"/>
      <c r="FU223" s="357"/>
      <c r="FV223" s="357"/>
      <c r="FW223" s="357"/>
      <c r="FX223" s="357"/>
      <c r="FY223" s="357"/>
      <c r="FZ223" s="357"/>
      <c r="GA223" s="357"/>
      <c r="GB223" s="357"/>
      <c r="GC223" s="357"/>
      <c r="GD223" s="357"/>
      <c r="GE223" s="357"/>
      <c r="GF223" s="357"/>
      <c r="GG223" s="357"/>
      <c r="GH223" s="357"/>
      <c r="GI223" s="357"/>
      <c r="GJ223" s="357"/>
      <c r="GK223" s="357"/>
      <c r="GL223" s="357"/>
      <c r="GM223" s="357"/>
      <c r="GN223" s="357"/>
      <c r="GO223" s="357"/>
      <c r="GP223" s="357"/>
      <c r="GQ223" s="357"/>
      <c r="GR223" s="357"/>
      <c r="GS223" s="357"/>
      <c r="GT223" s="357"/>
      <c r="GU223" s="357"/>
      <c r="GV223" s="357"/>
      <c r="GW223" s="357"/>
      <c r="GX223" s="357"/>
      <c r="GY223" s="357"/>
      <c r="GZ223" s="357"/>
      <c r="HA223" s="357"/>
      <c r="HB223" s="357"/>
      <c r="HC223" s="357"/>
      <c r="HD223" s="357"/>
      <c r="HE223" s="357"/>
      <c r="HF223" s="357"/>
      <c r="HG223" s="357"/>
      <c r="HH223" s="357"/>
      <c r="HI223" s="357"/>
      <c r="HJ223" s="357"/>
      <c r="HK223" s="357"/>
      <c r="HL223" s="357"/>
      <c r="HM223" s="357"/>
      <c r="HN223" s="357"/>
      <c r="HO223" s="357"/>
      <c r="HP223" s="357"/>
      <c r="HQ223" s="357"/>
      <c r="HR223" s="357"/>
      <c r="HS223" s="357"/>
      <c r="HT223" s="357"/>
      <c r="HU223" s="357"/>
      <c r="HV223" s="357"/>
      <c r="HW223" s="357"/>
      <c r="HX223" s="357"/>
      <c r="HY223" s="357"/>
      <c r="HZ223" s="357"/>
      <c r="IA223" s="357"/>
      <c r="IB223" s="357"/>
      <c r="IC223" s="357"/>
      <c r="ID223" s="357"/>
      <c r="IE223" s="357"/>
      <c r="IF223" s="357"/>
      <c r="IG223" s="357"/>
      <c r="IH223" s="357"/>
      <c r="II223" s="357"/>
      <c r="IJ223" s="357"/>
      <c r="IK223" s="357"/>
      <c r="IL223" s="357"/>
      <c r="IM223" s="357"/>
      <c r="IN223" s="357"/>
      <c r="IO223" s="357"/>
      <c r="IP223" s="357"/>
      <c r="IQ223" s="357"/>
      <c r="IR223" s="357"/>
      <c r="IS223" s="357"/>
      <c r="IT223" s="357"/>
      <c r="IU223" s="357"/>
      <c r="IV223" s="357"/>
      <c r="IW223" s="357"/>
      <c r="IX223" s="357"/>
      <c r="IY223" s="357"/>
      <c r="IZ223" s="357"/>
      <c r="JA223" s="357"/>
      <c r="JB223" s="357"/>
      <c r="JC223" s="357"/>
      <c r="JD223" s="357"/>
      <c r="JE223" s="357"/>
      <c r="JF223" s="357"/>
      <c r="JG223" s="357"/>
      <c r="JH223" s="357"/>
      <c r="JI223" s="357"/>
      <c r="JJ223" s="357"/>
      <c r="JK223" s="357"/>
      <c r="JL223" s="357"/>
      <c r="JM223" s="357"/>
      <c r="JN223" s="357"/>
      <c r="JO223" s="357"/>
      <c r="JP223" s="357"/>
      <c r="JQ223" s="357"/>
      <c r="JR223" s="357"/>
      <c r="JS223" s="357"/>
      <c r="JT223" s="357"/>
      <c r="JU223" s="357"/>
      <c r="JV223" s="357"/>
      <c r="JW223" s="357"/>
      <c r="JX223" s="357"/>
      <c r="JY223" s="357"/>
      <c r="JZ223" s="357"/>
      <c r="KA223" s="357"/>
      <c r="KB223" s="357"/>
      <c r="KC223" s="357"/>
      <c r="KD223" s="357"/>
      <c r="KE223" s="357"/>
      <c r="KF223" s="357"/>
      <c r="KG223" s="357"/>
      <c r="KH223" s="357"/>
      <c r="KI223" s="357"/>
      <c r="KJ223" s="357"/>
      <c r="KK223" s="357"/>
      <c r="KL223" s="357"/>
      <c r="KM223" s="357"/>
      <c r="KN223" s="357"/>
      <c r="KO223" s="357"/>
      <c r="KP223" s="357"/>
      <c r="KQ223" s="357"/>
      <c r="KR223" s="357"/>
      <c r="KS223" s="357"/>
      <c r="KT223" s="357"/>
      <c r="KU223" s="357"/>
      <c r="KV223" s="357"/>
      <c r="KW223" s="357"/>
      <c r="KX223" s="357"/>
      <c r="KY223" s="357"/>
      <c r="KZ223" s="357"/>
      <c r="LA223" s="357"/>
      <c r="LB223" s="357"/>
      <c r="LC223" s="357"/>
      <c r="LD223" s="357"/>
      <c r="LE223" s="357"/>
      <c r="LF223" s="357"/>
      <c r="LG223" s="357"/>
      <c r="LH223" s="357"/>
      <c r="LI223" s="357"/>
      <c r="LJ223" s="357"/>
      <c r="LK223" s="357"/>
      <c r="LL223" s="357"/>
      <c r="LM223" s="357"/>
      <c r="LN223" s="357"/>
      <c r="LO223" s="357"/>
      <c r="LP223" s="357"/>
      <c r="LQ223" s="357"/>
      <c r="LR223" s="357"/>
      <c r="LS223" s="357"/>
      <c r="LT223" s="357"/>
      <c r="LU223" s="357"/>
      <c r="LV223" s="357"/>
      <c r="LW223" s="357"/>
      <c r="LX223" s="357"/>
      <c r="LY223" s="357"/>
      <c r="LZ223" s="357"/>
      <c r="MA223" s="357"/>
      <c r="MB223" s="357"/>
    </row>
    <row r="224" spans="1:340" s="358" customFormat="1" ht="21" customHeight="1">
      <c r="A224" s="2529"/>
      <c r="B224" s="471"/>
      <c r="C224" s="1126"/>
      <c r="D224" s="1145"/>
      <c r="E224" s="465"/>
      <c r="F224" s="1805"/>
      <c r="G224" s="1115"/>
      <c r="H224" s="404"/>
      <c r="I224" s="1675"/>
      <c r="J224" s="2744" t="s">
        <v>4780</v>
      </c>
      <c r="K224" s="2745"/>
      <c r="L224" s="2745"/>
      <c r="M224" s="2745"/>
      <c r="N224" s="506"/>
      <c r="O224" s="1671"/>
      <c r="P224" s="1671"/>
      <c r="Q224" s="1671"/>
      <c r="R224" s="1671"/>
      <c r="S224" s="1672">
        <v>8000000</v>
      </c>
      <c r="T224" s="1671" t="s">
        <v>3201</v>
      </c>
      <c r="U224" s="1671"/>
      <c r="V224" s="1671">
        <v>1</v>
      </c>
      <c r="W224" s="1671" t="s">
        <v>265</v>
      </c>
      <c r="X224" s="397" t="s">
        <v>3212</v>
      </c>
      <c r="Y224" s="1674">
        <f t="shared" si="54"/>
        <v>8000</v>
      </c>
      <c r="Z224" s="407">
        <f t="shared" si="58"/>
        <v>8000000</v>
      </c>
      <c r="AB224" s="357"/>
      <c r="AD224" s="357"/>
      <c r="AE224" s="357"/>
      <c r="AF224" s="357"/>
      <c r="AG224" s="357"/>
      <c r="AH224" s="357"/>
      <c r="AI224" s="357"/>
      <c r="AJ224" s="357"/>
      <c r="AK224" s="357"/>
      <c r="AL224" s="357"/>
      <c r="AM224" s="357"/>
      <c r="AN224" s="357"/>
      <c r="AO224" s="357"/>
      <c r="AP224" s="357"/>
      <c r="AQ224" s="357"/>
      <c r="AR224" s="357"/>
      <c r="AS224" s="357"/>
      <c r="AT224" s="357"/>
      <c r="AU224" s="357"/>
      <c r="AV224" s="357"/>
      <c r="AW224" s="357"/>
      <c r="AX224" s="357"/>
      <c r="AY224" s="357"/>
      <c r="AZ224" s="357"/>
      <c r="BA224" s="357"/>
      <c r="BB224" s="357"/>
      <c r="BC224" s="357"/>
      <c r="BD224" s="357"/>
      <c r="BE224" s="357"/>
      <c r="BF224" s="357"/>
      <c r="BG224" s="357"/>
      <c r="BH224" s="357"/>
      <c r="BI224" s="357"/>
      <c r="BJ224" s="357"/>
      <c r="BK224" s="357"/>
      <c r="BL224" s="357"/>
      <c r="BM224" s="357"/>
      <c r="BN224" s="357"/>
      <c r="BO224" s="357"/>
      <c r="BP224" s="357"/>
      <c r="BQ224" s="357"/>
      <c r="BR224" s="357"/>
      <c r="BS224" s="357"/>
      <c r="BT224" s="357"/>
      <c r="BU224" s="357"/>
      <c r="BV224" s="357"/>
      <c r="BW224" s="357"/>
      <c r="BX224" s="357"/>
      <c r="BY224" s="357"/>
      <c r="BZ224" s="357"/>
      <c r="CA224" s="357"/>
      <c r="CB224" s="357"/>
      <c r="CC224" s="357"/>
      <c r="CD224" s="357"/>
      <c r="CE224" s="357"/>
      <c r="CF224" s="357"/>
      <c r="CG224" s="357"/>
      <c r="CH224" s="357"/>
      <c r="CI224" s="357"/>
      <c r="CJ224" s="357"/>
      <c r="CK224" s="357"/>
      <c r="CL224" s="357"/>
      <c r="CM224" s="357"/>
      <c r="CN224" s="357"/>
      <c r="CO224" s="357"/>
      <c r="CP224" s="357"/>
      <c r="CQ224" s="357"/>
      <c r="CR224" s="357"/>
      <c r="CS224" s="357"/>
      <c r="CT224" s="357"/>
      <c r="CU224" s="357"/>
      <c r="CV224" s="357"/>
      <c r="CW224" s="357"/>
      <c r="CX224" s="357"/>
      <c r="CY224" s="357"/>
      <c r="CZ224" s="357"/>
      <c r="DA224" s="357"/>
      <c r="DB224" s="357"/>
      <c r="DC224" s="357"/>
      <c r="DD224" s="357"/>
      <c r="DE224" s="357"/>
      <c r="DF224" s="357"/>
      <c r="DG224" s="357"/>
      <c r="DH224" s="357"/>
      <c r="DI224" s="357"/>
      <c r="DJ224" s="357"/>
      <c r="DK224" s="357"/>
      <c r="DL224" s="357"/>
      <c r="DM224" s="357"/>
      <c r="DN224" s="357"/>
      <c r="DO224" s="357"/>
      <c r="DP224" s="357"/>
      <c r="DQ224" s="357"/>
      <c r="DR224" s="357"/>
      <c r="DS224" s="357"/>
      <c r="DT224" s="357"/>
      <c r="DU224" s="357"/>
      <c r="DV224" s="357"/>
      <c r="DW224" s="357"/>
      <c r="DX224" s="357"/>
      <c r="DY224" s="357"/>
      <c r="DZ224" s="357"/>
      <c r="EA224" s="357"/>
      <c r="EB224" s="357"/>
      <c r="EC224" s="357"/>
      <c r="ED224" s="357"/>
      <c r="EE224" s="357"/>
      <c r="EF224" s="357"/>
      <c r="EG224" s="357"/>
      <c r="EH224" s="357"/>
      <c r="EI224" s="357"/>
      <c r="EJ224" s="357"/>
      <c r="EK224" s="357"/>
      <c r="EL224" s="357"/>
      <c r="EM224" s="357"/>
      <c r="EN224" s="357"/>
      <c r="EO224" s="357"/>
      <c r="EP224" s="357"/>
      <c r="EQ224" s="357"/>
      <c r="ER224" s="357"/>
      <c r="ES224" s="357"/>
      <c r="ET224" s="357"/>
      <c r="EU224" s="357"/>
      <c r="EV224" s="357"/>
      <c r="EW224" s="357"/>
      <c r="EX224" s="357"/>
      <c r="EY224" s="357"/>
      <c r="EZ224" s="357"/>
      <c r="FA224" s="357"/>
      <c r="FB224" s="357"/>
      <c r="FC224" s="357"/>
      <c r="FD224" s="357"/>
      <c r="FE224" s="357"/>
      <c r="FF224" s="357"/>
      <c r="FG224" s="357"/>
      <c r="FH224" s="357"/>
      <c r="FI224" s="357"/>
      <c r="FJ224" s="357"/>
      <c r="FK224" s="357"/>
      <c r="FL224" s="357"/>
      <c r="FM224" s="357"/>
      <c r="FN224" s="357"/>
      <c r="FO224" s="357"/>
      <c r="FP224" s="357"/>
      <c r="FQ224" s="357"/>
      <c r="FR224" s="357"/>
      <c r="FS224" s="357"/>
      <c r="FT224" s="357"/>
      <c r="FU224" s="357"/>
      <c r="FV224" s="357"/>
      <c r="FW224" s="357"/>
      <c r="FX224" s="357"/>
      <c r="FY224" s="357"/>
      <c r="FZ224" s="357"/>
      <c r="GA224" s="357"/>
      <c r="GB224" s="357"/>
      <c r="GC224" s="357"/>
      <c r="GD224" s="357"/>
      <c r="GE224" s="357"/>
      <c r="GF224" s="357"/>
      <c r="GG224" s="357"/>
      <c r="GH224" s="357"/>
      <c r="GI224" s="357"/>
      <c r="GJ224" s="357"/>
      <c r="GK224" s="357"/>
      <c r="GL224" s="357"/>
      <c r="GM224" s="357"/>
      <c r="GN224" s="357"/>
      <c r="GO224" s="357"/>
      <c r="GP224" s="357"/>
      <c r="GQ224" s="357"/>
      <c r="GR224" s="357"/>
      <c r="GS224" s="357"/>
      <c r="GT224" s="357"/>
      <c r="GU224" s="357"/>
      <c r="GV224" s="357"/>
      <c r="GW224" s="357"/>
      <c r="GX224" s="357"/>
      <c r="GY224" s="357"/>
      <c r="GZ224" s="357"/>
      <c r="HA224" s="357"/>
      <c r="HB224" s="357"/>
      <c r="HC224" s="357"/>
      <c r="HD224" s="357"/>
      <c r="HE224" s="357"/>
      <c r="HF224" s="357"/>
      <c r="HG224" s="357"/>
      <c r="HH224" s="357"/>
      <c r="HI224" s="357"/>
      <c r="HJ224" s="357"/>
      <c r="HK224" s="357"/>
      <c r="HL224" s="357"/>
      <c r="HM224" s="357"/>
      <c r="HN224" s="357"/>
      <c r="HO224" s="357"/>
      <c r="HP224" s="357"/>
      <c r="HQ224" s="357"/>
      <c r="HR224" s="357"/>
      <c r="HS224" s="357"/>
      <c r="HT224" s="357"/>
      <c r="HU224" s="357"/>
      <c r="HV224" s="357"/>
      <c r="HW224" s="357"/>
      <c r="HX224" s="357"/>
      <c r="HY224" s="357"/>
      <c r="HZ224" s="357"/>
      <c r="IA224" s="357"/>
      <c r="IB224" s="357"/>
      <c r="IC224" s="357"/>
      <c r="ID224" s="357"/>
      <c r="IE224" s="357"/>
      <c r="IF224" s="357"/>
      <c r="IG224" s="357"/>
      <c r="IH224" s="357"/>
      <c r="II224" s="357"/>
      <c r="IJ224" s="357"/>
      <c r="IK224" s="357"/>
      <c r="IL224" s="357"/>
      <c r="IM224" s="357"/>
      <c r="IN224" s="357"/>
      <c r="IO224" s="357"/>
      <c r="IP224" s="357"/>
      <c r="IQ224" s="357"/>
      <c r="IR224" s="357"/>
      <c r="IS224" s="357"/>
      <c r="IT224" s="357"/>
      <c r="IU224" s="357"/>
      <c r="IV224" s="357"/>
      <c r="IW224" s="357"/>
      <c r="IX224" s="357"/>
      <c r="IY224" s="357"/>
      <c r="IZ224" s="357"/>
      <c r="JA224" s="357"/>
      <c r="JB224" s="357"/>
      <c r="JC224" s="357"/>
      <c r="JD224" s="357"/>
      <c r="JE224" s="357"/>
      <c r="JF224" s="357"/>
      <c r="JG224" s="357"/>
      <c r="JH224" s="357"/>
      <c r="JI224" s="357"/>
      <c r="JJ224" s="357"/>
      <c r="JK224" s="357"/>
      <c r="JL224" s="357"/>
      <c r="JM224" s="357"/>
      <c r="JN224" s="357"/>
      <c r="JO224" s="357"/>
      <c r="JP224" s="357"/>
      <c r="JQ224" s="357"/>
      <c r="JR224" s="357"/>
      <c r="JS224" s="357"/>
      <c r="JT224" s="357"/>
      <c r="JU224" s="357"/>
      <c r="JV224" s="357"/>
      <c r="JW224" s="357"/>
      <c r="JX224" s="357"/>
      <c r="JY224" s="357"/>
      <c r="JZ224" s="357"/>
      <c r="KA224" s="357"/>
      <c r="KB224" s="357"/>
      <c r="KC224" s="357"/>
      <c r="KD224" s="357"/>
      <c r="KE224" s="357"/>
      <c r="KF224" s="357"/>
      <c r="KG224" s="357"/>
      <c r="KH224" s="357"/>
      <c r="KI224" s="357"/>
      <c r="KJ224" s="357"/>
      <c r="KK224" s="357"/>
      <c r="KL224" s="357"/>
      <c r="KM224" s="357"/>
      <c r="KN224" s="357"/>
      <c r="KO224" s="357"/>
      <c r="KP224" s="357"/>
      <c r="KQ224" s="357"/>
      <c r="KR224" s="357"/>
      <c r="KS224" s="357"/>
      <c r="KT224" s="357"/>
      <c r="KU224" s="357"/>
      <c r="KV224" s="357"/>
      <c r="KW224" s="357"/>
      <c r="KX224" s="357"/>
      <c r="KY224" s="357"/>
      <c r="KZ224" s="357"/>
      <c r="LA224" s="357"/>
      <c r="LB224" s="357"/>
      <c r="LC224" s="357"/>
      <c r="LD224" s="357"/>
      <c r="LE224" s="357"/>
      <c r="LF224" s="357"/>
      <c r="LG224" s="357"/>
      <c r="LH224" s="357"/>
      <c r="LI224" s="357"/>
      <c r="LJ224" s="357"/>
      <c r="LK224" s="357"/>
      <c r="LL224" s="357"/>
      <c r="LM224" s="357"/>
      <c r="LN224" s="357"/>
      <c r="LO224" s="357"/>
      <c r="LP224" s="357"/>
      <c r="LQ224" s="357"/>
      <c r="LR224" s="357"/>
      <c r="LS224" s="357"/>
      <c r="LT224" s="357"/>
      <c r="LU224" s="357"/>
      <c r="LV224" s="357"/>
      <c r="LW224" s="357"/>
      <c r="LX224" s="357"/>
      <c r="LY224" s="357"/>
      <c r="LZ224" s="357"/>
      <c r="MA224" s="357"/>
      <c r="MB224" s="357"/>
    </row>
    <row r="225" spans="1:340" s="358" customFormat="1" ht="21" customHeight="1">
      <c r="A225" s="2742"/>
      <c r="B225" s="471"/>
      <c r="C225" s="1126"/>
      <c r="D225" s="1145"/>
      <c r="E225" s="465"/>
      <c r="F225" s="1805"/>
      <c r="G225" s="1115"/>
      <c r="H225" s="404"/>
      <c r="I225" s="1675"/>
      <c r="J225" s="2744" t="s">
        <v>4779</v>
      </c>
      <c r="K225" s="2745"/>
      <c r="L225" s="2745"/>
      <c r="M225" s="2745"/>
      <c r="N225" s="506"/>
      <c r="O225" s="1671"/>
      <c r="P225" s="1671"/>
      <c r="Q225" s="1671"/>
      <c r="R225" s="1671"/>
      <c r="S225" s="1672">
        <v>8000000</v>
      </c>
      <c r="T225" s="1671" t="s">
        <v>264</v>
      </c>
      <c r="U225" s="1671"/>
      <c r="V225" s="1671">
        <v>1</v>
      </c>
      <c r="W225" s="1671" t="s">
        <v>265</v>
      </c>
      <c r="X225" s="397" t="s">
        <v>266</v>
      </c>
      <c r="Y225" s="1674">
        <f t="shared" ref="Y225" si="59">Z225/1000</f>
        <v>8000</v>
      </c>
      <c r="Z225" s="407">
        <f t="shared" si="58"/>
        <v>8000000</v>
      </c>
      <c r="AB225" s="357"/>
      <c r="AD225" s="357"/>
      <c r="AE225" s="357"/>
      <c r="AF225" s="357"/>
      <c r="AG225" s="357"/>
      <c r="AH225" s="357"/>
      <c r="AI225" s="357"/>
      <c r="AJ225" s="357"/>
      <c r="AK225" s="357"/>
      <c r="AL225" s="357"/>
      <c r="AM225" s="357"/>
      <c r="AN225" s="357"/>
      <c r="AO225" s="357"/>
      <c r="AP225" s="357"/>
      <c r="AQ225" s="357"/>
      <c r="AR225" s="357"/>
      <c r="AS225" s="357"/>
      <c r="AT225" s="357"/>
      <c r="AU225" s="357"/>
      <c r="AV225" s="357"/>
      <c r="AW225" s="357"/>
      <c r="AX225" s="357"/>
      <c r="AY225" s="357"/>
      <c r="AZ225" s="357"/>
      <c r="BA225" s="357"/>
      <c r="BB225" s="357"/>
      <c r="BC225" s="357"/>
      <c r="BD225" s="357"/>
      <c r="BE225" s="357"/>
      <c r="BF225" s="357"/>
      <c r="BG225" s="357"/>
      <c r="BH225" s="357"/>
      <c r="BI225" s="357"/>
      <c r="BJ225" s="357"/>
      <c r="BK225" s="357"/>
      <c r="BL225" s="357"/>
      <c r="BM225" s="357"/>
      <c r="BN225" s="357"/>
      <c r="BO225" s="357"/>
      <c r="BP225" s="357"/>
      <c r="BQ225" s="357"/>
      <c r="BR225" s="357"/>
      <c r="BS225" s="357"/>
      <c r="BT225" s="357"/>
      <c r="BU225" s="357"/>
      <c r="BV225" s="357"/>
      <c r="BW225" s="357"/>
      <c r="BX225" s="357"/>
      <c r="BY225" s="357"/>
      <c r="BZ225" s="357"/>
      <c r="CA225" s="357"/>
      <c r="CB225" s="357"/>
      <c r="CC225" s="357"/>
      <c r="CD225" s="357"/>
      <c r="CE225" s="357"/>
      <c r="CF225" s="357"/>
      <c r="CG225" s="357"/>
      <c r="CH225" s="357"/>
      <c r="CI225" s="357"/>
      <c r="CJ225" s="357"/>
      <c r="CK225" s="357"/>
      <c r="CL225" s="357"/>
      <c r="CM225" s="357"/>
      <c r="CN225" s="357"/>
      <c r="CO225" s="357"/>
      <c r="CP225" s="357"/>
      <c r="CQ225" s="357"/>
      <c r="CR225" s="357"/>
      <c r="CS225" s="357"/>
      <c r="CT225" s="357"/>
      <c r="CU225" s="357"/>
      <c r="CV225" s="357"/>
      <c r="CW225" s="357"/>
      <c r="CX225" s="357"/>
      <c r="CY225" s="357"/>
      <c r="CZ225" s="357"/>
      <c r="DA225" s="357"/>
      <c r="DB225" s="357"/>
      <c r="DC225" s="357"/>
      <c r="DD225" s="357"/>
      <c r="DE225" s="357"/>
      <c r="DF225" s="357"/>
      <c r="DG225" s="357"/>
      <c r="DH225" s="357"/>
      <c r="DI225" s="357"/>
      <c r="DJ225" s="357"/>
      <c r="DK225" s="357"/>
      <c r="DL225" s="357"/>
      <c r="DM225" s="357"/>
      <c r="DN225" s="357"/>
      <c r="DO225" s="357"/>
      <c r="DP225" s="357"/>
      <c r="DQ225" s="357"/>
      <c r="DR225" s="357"/>
      <c r="DS225" s="357"/>
      <c r="DT225" s="357"/>
      <c r="DU225" s="357"/>
      <c r="DV225" s="357"/>
      <c r="DW225" s="357"/>
      <c r="DX225" s="357"/>
      <c r="DY225" s="357"/>
      <c r="DZ225" s="357"/>
      <c r="EA225" s="357"/>
      <c r="EB225" s="357"/>
      <c r="EC225" s="357"/>
      <c r="ED225" s="357"/>
      <c r="EE225" s="357"/>
      <c r="EF225" s="357"/>
      <c r="EG225" s="357"/>
      <c r="EH225" s="357"/>
      <c r="EI225" s="357"/>
      <c r="EJ225" s="357"/>
      <c r="EK225" s="357"/>
      <c r="EL225" s="357"/>
      <c r="EM225" s="357"/>
      <c r="EN225" s="357"/>
      <c r="EO225" s="357"/>
      <c r="EP225" s="357"/>
      <c r="EQ225" s="357"/>
      <c r="ER225" s="357"/>
      <c r="ES225" s="357"/>
      <c r="ET225" s="357"/>
      <c r="EU225" s="357"/>
      <c r="EV225" s="357"/>
      <c r="EW225" s="357"/>
      <c r="EX225" s="357"/>
      <c r="EY225" s="357"/>
      <c r="EZ225" s="357"/>
      <c r="FA225" s="357"/>
      <c r="FB225" s="357"/>
      <c r="FC225" s="357"/>
      <c r="FD225" s="357"/>
      <c r="FE225" s="357"/>
      <c r="FF225" s="357"/>
      <c r="FG225" s="357"/>
      <c r="FH225" s="357"/>
      <c r="FI225" s="357"/>
      <c r="FJ225" s="357"/>
      <c r="FK225" s="357"/>
      <c r="FL225" s="357"/>
      <c r="FM225" s="357"/>
      <c r="FN225" s="357"/>
      <c r="FO225" s="357"/>
      <c r="FP225" s="357"/>
      <c r="FQ225" s="357"/>
      <c r="FR225" s="357"/>
      <c r="FS225" s="357"/>
      <c r="FT225" s="357"/>
      <c r="FU225" s="357"/>
      <c r="FV225" s="357"/>
      <c r="FW225" s="357"/>
      <c r="FX225" s="357"/>
      <c r="FY225" s="357"/>
      <c r="FZ225" s="357"/>
      <c r="GA225" s="357"/>
      <c r="GB225" s="357"/>
      <c r="GC225" s="357"/>
      <c r="GD225" s="357"/>
      <c r="GE225" s="357"/>
      <c r="GF225" s="357"/>
      <c r="GG225" s="357"/>
      <c r="GH225" s="357"/>
      <c r="GI225" s="357"/>
      <c r="GJ225" s="357"/>
      <c r="GK225" s="357"/>
      <c r="GL225" s="357"/>
      <c r="GM225" s="357"/>
      <c r="GN225" s="357"/>
      <c r="GO225" s="357"/>
      <c r="GP225" s="357"/>
      <c r="GQ225" s="357"/>
      <c r="GR225" s="357"/>
      <c r="GS225" s="357"/>
      <c r="GT225" s="357"/>
      <c r="GU225" s="357"/>
      <c r="GV225" s="357"/>
      <c r="GW225" s="357"/>
      <c r="GX225" s="357"/>
      <c r="GY225" s="357"/>
      <c r="GZ225" s="357"/>
      <c r="HA225" s="357"/>
      <c r="HB225" s="357"/>
      <c r="HC225" s="357"/>
      <c r="HD225" s="357"/>
      <c r="HE225" s="357"/>
      <c r="HF225" s="357"/>
      <c r="HG225" s="357"/>
      <c r="HH225" s="357"/>
      <c r="HI225" s="357"/>
      <c r="HJ225" s="357"/>
      <c r="HK225" s="357"/>
      <c r="HL225" s="357"/>
      <c r="HM225" s="357"/>
      <c r="HN225" s="357"/>
      <c r="HO225" s="357"/>
      <c r="HP225" s="357"/>
      <c r="HQ225" s="357"/>
      <c r="HR225" s="357"/>
      <c r="HS225" s="357"/>
      <c r="HT225" s="357"/>
      <c r="HU225" s="357"/>
      <c r="HV225" s="357"/>
      <c r="HW225" s="357"/>
      <c r="HX225" s="357"/>
      <c r="HY225" s="357"/>
      <c r="HZ225" s="357"/>
      <c r="IA225" s="357"/>
      <c r="IB225" s="357"/>
      <c r="IC225" s="357"/>
      <c r="ID225" s="357"/>
      <c r="IE225" s="357"/>
      <c r="IF225" s="357"/>
      <c r="IG225" s="357"/>
      <c r="IH225" s="357"/>
      <c r="II225" s="357"/>
      <c r="IJ225" s="357"/>
      <c r="IK225" s="357"/>
      <c r="IL225" s="357"/>
      <c r="IM225" s="357"/>
      <c r="IN225" s="357"/>
      <c r="IO225" s="357"/>
      <c r="IP225" s="357"/>
      <c r="IQ225" s="357"/>
      <c r="IR225" s="357"/>
      <c r="IS225" s="357"/>
      <c r="IT225" s="357"/>
      <c r="IU225" s="357"/>
      <c r="IV225" s="357"/>
      <c r="IW225" s="357"/>
      <c r="IX225" s="357"/>
      <c r="IY225" s="357"/>
      <c r="IZ225" s="357"/>
      <c r="JA225" s="357"/>
      <c r="JB225" s="357"/>
      <c r="JC225" s="357"/>
      <c r="JD225" s="357"/>
      <c r="JE225" s="357"/>
      <c r="JF225" s="357"/>
      <c r="JG225" s="357"/>
      <c r="JH225" s="357"/>
      <c r="JI225" s="357"/>
      <c r="JJ225" s="357"/>
      <c r="JK225" s="357"/>
      <c r="JL225" s="357"/>
      <c r="JM225" s="357"/>
      <c r="JN225" s="357"/>
      <c r="JO225" s="357"/>
      <c r="JP225" s="357"/>
      <c r="JQ225" s="357"/>
      <c r="JR225" s="357"/>
      <c r="JS225" s="357"/>
      <c r="JT225" s="357"/>
      <c r="JU225" s="357"/>
      <c r="JV225" s="357"/>
      <c r="JW225" s="357"/>
      <c r="JX225" s="357"/>
      <c r="JY225" s="357"/>
      <c r="JZ225" s="357"/>
      <c r="KA225" s="357"/>
      <c r="KB225" s="357"/>
      <c r="KC225" s="357"/>
      <c r="KD225" s="357"/>
      <c r="KE225" s="357"/>
      <c r="KF225" s="357"/>
      <c r="KG225" s="357"/>
      <c r="KH225" s="357"/>
      <c r="KI225" s="357"/>
      <c r="KJ225" s="357"/>
      <c r="KK225" s="357"/>
      <c r="KL225" s="357"/>
      <c r="KM225" s="357"/>
      <c r="KN225" s="357"/>
      <c r="KO225" s="357"/>
      <c r="KP225" s="357"/>
      <c r="KQ225" s="357"/>
      <c r="KR225" s="357"/>
      <c r="KS225" s="357"/>
      <c r="KT225" s="357"/>
      <c r="KU225" s="357"/>
      <c r="KV225" s="357"/>
      <c r="KW225" s="357"/>
      <c r="KX225" s="357"/>
      <c r="KY225" s="357"/>
      <c r="KZ225" s="357"/>
      <c r="LA225" s="357"/>
      <c r="LB225" s="357"/>
      <c r="LC225" s="357"/>
      <c r="LD225" s="357"/>
      <c r="LE225" s="357"/>
      <c r="LF225" s="357"/>
      <c r="LG225" s="357"/>
      <c r="LH225" s="357"/>
      <c r="LI225" s="357"/>
      <c r="LJ225" s="357"/>
      <c r="LK225" s="357"/>
      <c r="LL225" s="357"/>
      <c r="LM225" s="357"/>
      <c r="LN225" s="357"/>
      <c r="LO225" s="357"/>
      <c r="LP225" s="357"/>
      <c r="LQ225" s="357"/>
      <c r="LR225" s="357"/>
      <c r="LS225" s="357"/>
      <c r="LT225" s="357"/>
      <c r="LU225" s="357"/>
      <c r="LV225" s="357"/>
      <c r="LW225" s="357"/>
      <c r="LX225" s="357"/>
      <c r="LY225" s="357"/>
      <c r="LZ225" s="357"/>
      <c r="MA225" s="357"/>
      <c r="MB225" s="357"/>
    </row>
    <row r="226" spans="1:340" s="358" customFormat="1" ht="21" customHeight="1">
      <c r="A226" s="2529"/>
      <c r="B226" s="471"/>
      <c r="C226" s="1126"/>
      <c r="D226" s="1145"/>
      <c r="E226" s="465" t="s">
        <v>3220</v>
      </c>
      <c r="F226" s="1141">
        <f>Y226</f>
        <v>10000</v>
      </c>
      <c r="G226" s="1139">
        <v>10000</v>
      </c>
      <c r="H226" s="1147"/>
      <c r="I226" s="1675"/>
      <c r="J226" s="2744" t="s">
        <v>194</v>
      </c>
      <c r="K226" s="2745"/>
      <c r="L226" s="2745"/>
      <c r="M226" s="2745"/>
      <c r="N226" s="506"/>
      <c r="O226" s="1671"/>
      <c r="P226" s="1671"/>
      <c r="Q226" s="1671"/>
      <c r="R226" s="1671"/>
      <c r="S226" s="1672"/>
      <c r="T226" s="1671"/>
      <c r="U226" s="1671"/>
      <c r="V226" s="1671"/>
      <c r="W226" s="1671"/>
      <c r="X226" s="397"/>
      <c r="Y226" s="1674">
        <f t="shared" si="54"/>
        <v>10000</v>
      </c>
      <c r="Z226" s="407">
        <f>Z227+Z228</f>
        <v>10000000</v>
      </c>
      <c r="AB226" s="357"/>
      <c r="AD226" s="357"/>
      <c r="AE226" s="357"/>
      <c r="AF226" s="357"/>
      <c r="AG226" s="357"/>
      <c r="AH226" s="357"/>
      <c r="AI226" s="357"/>
      <c r="AJ226" s="357"/>
      <c r="AK226" s="357"/>
      <c r="AL226" s="357"/>
      <c r="AM226" s="357"/>
      <c r="AN226" s="357"/>
      <c r="AO226" s="357"/>
      <c r="AP226" s="357"/>
      <c r="AQ226" s="357"/>
      <c r="AR226" s="357"/>
      <c r="AS226" s="357"/>
      <c r="AT226" s="357"/>
      <c r="AU226" s="357"/>
      <c r="AV226" s="357"/>
      <c r="AW226" s="357"/>
      <c r="AX226" s="357"/>
      <c r="AY226" s="357"/>
      <c r="AZ226" s="357"/>
      <c r="BA226" s="357"/>
      <c r="BB226" s="357"/>
      <c r="BC226" s="357"/>
      <c r="BD226" s="357"/>
      <c r="BE226" s="357"/>
      <c r="BF226" s="357"/>
      <c r="BG226" s="357"/>
      <c r="BH226" s="357"/>
      <c r="BI226" s="357"/>
      <c r="BJ226" s="357"/>
      <c r="BK226" s="357"/>
      <c r="BL226" s="357"/>
      <c r="BM226" s="357"/>
      <c r="BN226" s="357"/>
      <c r="BO226" s="357"/>
      <c r="BP226" s="357"/>
      <c r="BQ226" s="357"/>
      <c r="BR226" s="357"/>
      <c r="BS226" s="357"/>
      <c r="BT226" s="357"/>
      <c r="BU226" s="357"/>
      <c r="BV226" s="357"/>
      <c r="BW226" s="357"/>
      <c r="BX226" s="357"/>
      <c r="BY226" s="357"/>
      <c r="BZ226" s="357"/>
      <c r="CA226" s="357"/>
      <c r="CB226" s="357"/>
      <c r="CC226" s="357"/>
      <c r="CD226" s="357"/>
      <c r="CE226" s="357"/>
      <c r="CF226" s="357"/>
      <c r="CG226" s="357"/>
      <c r="CH226" s="357"/>
      <c r="CI226" s="357"/>
      <c r="CJ226" s="357"/>
      <c r="CK226" s="357"/>
      <c r="CL226" s="357"/>
      <c r="CM226" s="357"/>
      <c r="CN226" s="357"/>
      <c r="CO226" s="357"/>
      <c r="CP226" s="357"/>
      <c r="CQ226" s="357"/>
      <c r="CR226" s="357"/>
      <c r="CS226" s="357"/>
      <c r="CT226" s="357"/>
      <c r="CU226" s="357"/>
      <c r="CV226" s="357"/>
      <c r="CW226" s="357"/>
      <c r="CX226" s="357"/>
      <c r="CY226" s="357"/>
      <c r="CZ226" s="357"/>
      <c r="DA226" s="357"/>
      <c r="DB226" s="357"/>
      <c r="DC226" s="357"/>
      <c r="DD226" s="357"/>
      <c r="DE226" s="357"/>
      <c r="DF226" s="357"/>
      <c r="DG226" s="357"/>
      <c r="DH226" s="357"/>
      <c r="DI226" s="357"/>
      <c r="DJ226" s="357"/>
      <c r="DK226" s="357"/>
      <c r="DL226" s="357"/>
      <c r="DM226" s="357"/>
      <c r="DN226" s="357"/>
      <c r="DO226" s="357"/>
      <c r="DP226" s="357"/>
      <c r="DQ226" s="357"/>
      <c r="DR226" s="357"/>
      <c r="DS226" s="357"/>
      <c r="DT226" s="357"/>
      <c r="DU226" s="357"/>
      <c r="DV226" s="357"/>
      <c r="DW226" s="357"/>
      <c r="DX226" s="357"/>
      <c r="DY226" s="357"/>
      <c r="DZ226" s="357"/>
      <c r="EA226" s="357"/>
      <c r="EB226" s="357"/>
      <c r="EC226" s="357"/>
      <c r="ED226" s="357"/>
      <c r="EE226" s="357"/>
      <c r="EF226" s="357"/>
      <c r="EG226" s="357"/>
      <c r="EH226" s="357"/>
      <c r="EI226" s="357"/>
      <c r="EJ226" s="357"/>
      <c r="EK226" s="357"/>
      <c r="EL226" s="357"/>
      <c r="EM226" s="357"/>
      <c r="EN226" s="357"/>
      <c r="EO226" s="357"/>
      <c r="EP226" s="357"/>
      <c r="EQ226" s="357"/>
      <c r="ER226" s="357"/>
      <c r="ES226" s="357"/>
      <c r="ET226" s="357"/>
      <c r="EU226" s="357"/>
      <c r="EV226" s="357"/>
      <c r="EW226" s="357"/>
      <c r="EX226" s="357"/>
      <c r="EY226" s="357"/>
      <c r="EZ226" s="357"/>
      <c r="FA226" s="357"/>
      <c r="FB226" s="357"/>
      <c r="FC226" s="357"/>
      <c r="FD226" s="357"/>
      <c r="FE226" s="357"/>
      <c r="FF226" s="357"/>
      <c r="FG226" s="357"/>
      <c r="FH226" s="357"/>
      <c r="FI226" s="357"/>
      <c r="FJ226" s="357"/>
      <c r="FK226" s="357"/>
      <c r="FL226" s="357"/>
      <c r="FM226" s="357"/>
      <c r="FN226" s="357"/>
      <c r="FO226" s="357"/>
      <c r="FP226" s="357"/>
      <c r="FQ226" s="357"/>
      <c r="FR226" s="357"/>
      <c r="FS226" s="357"/>
      <c r="FT226" s="357"/>
      <c r="FU226" s="357"/>
      <c r="FV226" s="357"/>
      <c r="FW226" s="357"/>
      <c r="FX226" s="357"/>
      <c r="FY226" s="357"/>
      <c r="FZ226" s="357"/>
      <c r="GA226" s="357"/>
      <c r="GB226" s="357"/>
      <c r="GC226" s="357"/>
      <c r="GD226" s="357"/>
      <c r="GE226" s="357"/>
      <c r="GF226" s="357"/>
      <c r="GG226" s="357"/>
      <c r="GH226" s="357"/>
      <c r="GI226" s="357"/>
      <c r="GJ226" s="357"/>
      <c r="GK226" s="357"/>
      <c r="GL226" s="357"/>
      <c r="GM226" s="357"/>
      <c r="GN226" s="357"/>
      <c r="GO226" s="357"/>
      <c r="GP226" s="357"/>
      <c r="GQ226" s="357"/>
      <c r="GR226" s="357"/>
      <c r="GS226" s="357"/>
      <c r="GT226" s="357"/>
      <c r="GU226" s="357"/>
      <c r="GV226" s="357"/>
      <c r="GW226" s="357"/>
      <c r="GX226" s="357"/>
      <c r="GY226" s="357"/>
      <c r="GZ226" s="357"/>
      <c r="HA226" s="357"/>
      <c r="HB226" s="357"/>
      <c r="HC226" s="357"/>
      <c r="HD226" s="357"/>
      <c r="HE226" s="357"/>
      <c r="HF226" s="357"/>
      <c r="HG226" s="357"/>
      <c r="HH226" s="357"/>
      <c r="HI226" s="357"/>
      <c r="HJ226" s="357"/>
      <c r="HK226" s="357"/>
      <c r="HL226" s="357"/>
      <c r="HM226" s="357"/>
      <c r="HN226" s="357"/>
      <c r="HO226" s="357"/>
      <c r="HP226" s="357"/>
      <c r="HQ226" s="357"/>
      <c r="HR226" s="357"/>
      <c r="HS226" s="357"/>
      <c r="HT226" s="357"/>
      <c r="HU226" s="357"/>
      <c r="HV226" s="357"/>
      <c r="HW226" s="357"/>
      <c r="HX226" s="357"/>
      <c r="HY226" s="357"/>
      <c r="HZ226" s="357"/>
      <c r="IA226" s="357"/>
      <c r="IB226" s="357"/>
      <c r="IC226" s="357"/>
      <c r="ID226" s="357"/>
      <c r="IE226" s="357"/>
      <c r="IF226" s="357"/>
      <c r="IG226" s="357"/>
      <c r="IH226" s="357"/>
      <c r="II226" s="357"/>
      <c r="IJ226" s="357"/>
      <c r="IK226" s="357"/>
      <c r="IL226" s="357"/>
      <c r="IM226" s="357"/>
      <c r="IN226" s="357"/>
      <c r="IO226" s="357"/>
      <c r="IP226" s="357"/>
      <c r="IQ226" s="357"/>
      <c r="IR226" s="357"/>
      <c r="IS226" s="357"/>
      <c r="IT226" s="357"/>
      <c r="IU226" s="357"/>
      <c r="IV226" s="357"/>
      <c r="IW226" s="357"/>
      <c r="IX226" s="357"/>
      <c r="IY226" s="357"/>
      <c r="IZ226" s="357"/>
      <c r="JA226" s="357"/>
      <c r="JB226" s="357"/>
      <c r="JC226" s="357"/>
      <c r="JD226" s="357"/>
      <c r="JE226" s="357"/>
      <c r="JF226" s="357"/>
      <c r="JG226" s="357"/>
      <c r="JH226" s="357"/>
      <c r="JI226" s="357"/>
      <c r="JJ226" s="357"/>
      <c r="JK226" s="357"/>
      <c r="JL226" s="357"/>
      <c r="JM226" s="357"/>
      <c r="JN226" s="357"/>
      <c r="JO226" s="357"/>
      <c r="JP226" s="357"/>
      <c r="JQ226" s="357"/>
      <c r="JR226" s="357"/>
      <c r="JS226" s="357"/>
      <c r="JT226" s="357"/>
      <c r="JU226" s="357"/>
      <c r="JV226" s="357"/>
      <c r="JW226" s="357"/>
      <c r="JX226" s="357"/>
      <c r="JY226" s="357"/>
      <c r="JZ226" s="357"/>
      <c r="KA226" s="357"/>
      <c r="KB226" s="357"/>
      <c r="KC226" s="357"/>
      <c r="KD226" s="357"/>
      <c r="KE226" s="357"/>
      <c r="KF226" s="357"/>
      <c r="KG226" s="357"/>
      <c r="KH226" s="357"/>
      <c r="KI226" s="357"/>
      <c r="KJ226" s="357"/>
      <c r="KK226" s="357"/>
      <c r="KL226" s="357"/>
      <c r="KM226" s="357"/>
      <c r="KN226" s="357"/>
      <c r="KO226" s="357"/>
      <c r="KP226" s="357"/>
      <c r="KQ226" s="357"/>
      <c r="KR226" s="357"/>
      <c r="KS226" s="357"/>
      <c r="KT226" s="357"/>
      <c r="KU226" s="357"/>
      <c r="KV226" s="357"/>
      <c r="KW226" s="357"/>
      <c r="KX226" s="357"/>
      <c r="KY226" s="357"/>
      <c r="KZ226" s="357"/>
      <c r="LA226" s="357"/>
      <c r="LB226" s="357"/>
      <c r="LC226" s="357"/>
      <c r="LD226" s="357"/>
      <c r="LE226" s="357"/>
      <c r="LF226" s="357"/>
      <c r="LG226" s="357"/>
      <c r="LH226" s="357"/>
      <c r="LI226" s="357"/>
      <c r="LJ226" s="357"/>
      <c r="LK226" s="357"/>
      <c r="LL226" s="357"/>
      <c r="LM226" s="357"/>
      <c r="LN226" s="357"/>
      <c r="LO226" s="357"/>
      <c r="LP226" s="357"/>
      <c r="LQ226" s="357"/>
      <c r="LR226" s="357"/>
      <c r="LS226" s="357"/>
      <c r="LT226" s="357"/>
      <c r="LU226" s="357"/>
      <c r="LV226" s="357"/>
      <c r="LW226" s="357"/>
      <c r="LX226" s="357"/>
      <c r="LY226" s="357"/>
      <c r="LZ226" s="357"/>
      <c r="MA226" s="357"/>
      <c r="MB226" s="357"/>
    </row>
    <row r="227" spans="1:340" s="358" customFormat="1" ht="21" customHeight="1">
      <c r="A227" s="2742"/>
      <c r="B227" s="471"/>
      <c r="C227" s="1126"/>
      <c r="D227" s="1145"/>
      <c r="E227" s="465"/>
      <c r="F227" s="1141"/>
      <c r="G227" s="1139"/>
      <c r="H227" s="1147"/>
      <c r="I227" s="1675"/>
      <c r="J227" s="2744" t="s">
        <v>4770</v>
      </c>
      <c r="K227" s="2745"/>
      <c r="L227" s="2745"/>
      <c r="M227" s="2745"/>
      <c r="N227" s="2745"/>
      <c r="O227" s="1671"/>
      <c r="P227" s="1671"/>
      <c r="Q227" s="1671"/>
      <c r="R227" s="1671"/>
      <c r="S227" s="1672">
        <v>2000000</v>
      </c>
      <c r="T227" s="1671" t="s">
        <v>264</v>
      </c>
      <c r="U227" s="1671"/>
      <c r="V227" s="1671">
        <v>1</v>
      </c>
      <c r="W227" s="1671" t="s">
        <v>265</v>
      </c>
      <c r="X227" s="397"/>
      <c r="Y227" s="1674">
        <f t="shared" ref="Y227:Y229" si="60">Z227/1000</f>
        <v>2000</v>
      </c>
      <c r="Z227" s="407">
        <f t="shared" ref="Z227" si="61">S227*V227</f>
        <v>2000000</v>
      </c>
      <c r="AB227" s="357"/>
      <c r="AD227" s="357"/>
      <c r="AE227" s="357"/>
      <c r="AF227" s="357"/>
      <c r="AG227" s="357"/>
      <c r="AH227" s="357"/>
      <c r="AI227" s="357"/>
      <c r="AJ227" s="357"/>
      <c r="AK227" s="357"/>
      <c r="AL227" s="357"/>
      <c r="AM227" s="357"/>
      <c r="AN227" s="357"/>
      <c r="AO227" s="357"/>
      <c r="AP227" s="357"/>
      <c r="AQ227" s="357"/>
      <c r="AR227" s="357"/>
      <c r="AS227" s="357"/>
      <c r="AT227" s="357"/>
      <c r="AU227" s="357"/>
      <c r="AV227" s="357"/>
      <c r="AW227" s="357"/>
      <c r="AX227" s="357"/>
      <c r="AY227" s="357"/>
      <c r="AZ227" s="357"/>
      <c r="BA227" s="357"/>
      <c r="BB227" s="357"/>
      <c r="BC227" s="357"/>
      <c r="BD227" s="357"/>
      <c r="BE227" s="357"/>
      <c r="BF227" s="357"/>
      <c r="BG227" s="357"/>
      <c r="BH227" s="357"/>
      <c r="BI227" s="357"/>
      <c r="BJ227" s="357"/>
      <c r="BK227" s="357"/>
      <c r="BL227" s="357"/>
      <c r="BM227" s="357"/>
      <c r="BN227" s="357"/>
      <c r="BO227" s="357"/>
      <c r="BP227" s="357"/>
      <c r="BQ227" s="357"/>
      <c r="BR227" s="357"/>
      <c r="BS227" s="357"/>
      <c r="BT227" s="357"/>
      <c r="BU227" s="357"/>
      <c r="BV227" s="357"/>
      <c r="BW227" s="357"/>
      <c r="BX227" s="357"/>
      <c r="BY227" s="357"/>
      <c r="BZ227" s="357"/>
      <c r="CA227" s="357"/>
      <c r="CB227" s="357"/>
      <c r="CC227" s="357"/>
      <c r="CD227" s="357"/>
      <c r="CE227" s="357"/>
      <c r="CF227" s="357"/>
      <c r="CG227" s="357"/>
      <c r="CH227" s="357"/>
      <c r="CI227" s="357"/>
      <c r="CJ227" s="357"/>
      <c r="CK227" s="357"/>
      <c r="CL227" s="357"/>
      <c r="CM227" s="357"/>
      <c r="CN227" s="357"/>
      <c r="CO227" s="357"/>
      <c r="CP227" s="357"/>
      <c r="CQ227" s="357"/>
      <c r="CR227" s="357"/>
      <c r="CS227" s="357"/>
      <c r="CT227" s="357"/>
      <c r="CU227" s="357"/>
      <c r="CV227" s="357"/>
      <c r="CW227" s="357"/>
      <c r="CX227" s="357"/>
      <c r="CY227" s="357"/>
      <c r="CZ227" s="357"/>
      <c r="DA227" s="357"/>
      <c r="DB227" s="357"/>
      <c r="DC227" s="357"/>
      <c r="DD227" s="357"/>
      <c r="DE227" s="357"/>
      <c r="DF227" s="357"/>
      <c r="DG227" s="357"/>
      <c r="DH227" s="357"/>
      <c r="DI227" s="357"/>
      <c r="DJ227" s="357"/>
      <c r="DK227" s="357"/>
      <c r="DL227" s="357"/>
      <c r="DM227" s="357"/>
      <c r="DN227" s="357"/>
      <c r="DO227" s="357"/>
      <c r="DP227" s="357"/>
      <c r="DQ227" s="357"/>
      <c r="DR227" s="357"/>
      <c r="DS227" s="357"/>
      <c r="DT227" s="357"/>
      <c r="DU227" s="357"/>
      <c r="DV227" s="357"/>
      <c r="DW227" s="357"/>
      <c r="DX227" s="357"/>
      <c r="DY227" s="357"/>
      <c r="DZ227" s="357"/>
      <c r="EA227" s="357"/>
      <c r="EB227" s="357"/>
      <c r="EC227" s="357"/>
      <c r="ED227" s="357"/>
      <c r="EE227" s="357"/>
      <c r="EF227" s="357"/>
      <c r="EG227" s="357"/>
      <c r="EH227" s="357"/>
      <c r="EI227" s="357"/>
      <c r="EJ227" s="357"/>
      <c r="EK227" s="357"/>
      <c r="EL227" s="357"/>
      <c r="EM227" s="357"/>
      <c r="EN227" s="357"/>
      <c r="EO227" s="357"/>
      <c r="EP227" s="357"/>
      <c r="EQ227" s="357"/>
      <c r="ER227" s="357"/>
      <c r="ES227" s="357"/>
      <c r="ET227" s="357"/>
      <c r="EU227" s="357"/>
      <c r="EV227" s="357"/>
      <c r="EW227" s="357"/>
      <c r="EX227" s="357"/>
      <c r="EY227" s="357"/>
      <c r="EZ227" s="357"/>
      <c r="FA227" s="357"/>
      <c r="FB227" s="357"/>
      <c r="FC227" s="357"/>
      <c r="FD227" s="357"/>
      <c r="FE227" s="357"/>
      <c r="FF227" s="357"/>
      <c r="FG227" s="357"/>
      <c r="FH227" s="357"/>
      <c r="FI227" s="357"/>
      <c r="FJ227" s="357"/>
      <c r="FK227" s="357"/>
      <c r="FL227" s="357"/>
      <c r="FM227" s="357"/>
      <c r="FN227" s="357"/>
      <c r="FO227" s="357"/>
      <c r="FP227" s="357"/>
      <c r="FQ227" s="357"/>
      <c r="FR227" s="357"/>
      <c r="FS227" s="357"/>
      <c r="FT227" s="357"/>
      <c r="FU227" s="357"/>
      <c r="FV227" s="357"/>
      <c r="FW227" s="357"/>
      <c r="FX227" s="357"/>
      <c r="FY227" s="357"/>
      <c r="FZ227" s="357"/>
      <c r="GA227" s="357"/>
      <c r="GB227" s="357"/>
      <c r="GC227" s="357"/>
      <c r="GD227" s="357"/>
      <c r="GE227" s="357"/>
      <c r="GF227" s="357"/>
      <c r="GG227" s="357"/>
      <c r="GH227" s="357"/>
      <c r="GI227" s="357"/>
      <c r="GJ227" s="357"/>
      <c r="GK227" s="357"/>
      <c r="GL227" s="357"/>
      <c r="GM227" s="357"/>
      <c r="GN227" s="357"/>
      <c r="GO227" s="357"/>
      <c r="GP227" s="357"/>
      <c r="GQ227" s="357"/>
      <c r="GR227" s="357"/>
      <c r="GS227" s="357"/>
      <c r="GT227" s="357"/>
      <c r="GU227" s="357"/>
      <c r="GV227" s="357"/>
      <c r="GW227" s="357"/>
      <c r="GX227" s="357"/>
      <c r="GY227" s="357"/>
      <c r="GZ227" s="357"/>
      <c r="HA227" s="357"/>
      <c r="HB227" s="357"/>
      <c r="HC227" s="357"/>
      <c r="HD227" s="357"/>
      <c r="HE227" s="357"/>
      <c r="HF227" s="357"/>
      <c r="HG227" s="357"/>
      <c r="HH227" s="357"/>
      <c r="HI227" s="357"/>
      <c r="HJ227" s="357"/>
      <c r="HK227" s="357"/>
      <c r="HL227" s="357"/>
      <c r="HM227" s="357"/>
      <c r="HN227" s="357"/>
      <c r="HO227" s="357"/>
      <c r="HP227" s="357"/>
      <c r="HQ227" s="357"/>
      <c r="HR227" s="357"/>
      <c r="HS227" s="357"/>
      <c r="HT227" s="357"/>
      <c r="HU227" s="357"/>
      <c r="HV227" s="357"/>
      <c r="HW227" s="357"/>
      <c r="HX227" s="357"/>
      <c r="HY227" s="357"/>
      <c r="HZ227" s="357"/>
      <c r="IA227" s="357"/>
      <c r="IB227" s="357"/>
      <c r="IC227" s="357"/>
      <c r="ID227" s="357"/>
      <c r="IE227" s="357"/>
      <c r="IF227" s="357"/>
      <c r="IG227" s="357"/>
      <c r="IH227" s="357"/>
      <c r="II227" s="357"/>
      <c r="IJ227" s="357"/>
      <c r="IK227" s="357"/>
      <c r="IL227" s="357"/>
      <c r="IM227" s="357"/>
      <c r="IN227" s="357"/>
      <c r="IO227" s="357"/>
      <c r="IP227" s="357"/>
      <c r="IQ227" s="357"/>
      <c r="IR227" s="357"/>
      <c r="IS227" s="357"/>
      <c r="IT227" s="357"/>
      <c r="IU227" s="357"/>
      <c r="IV227" s="357"/>
      <c r="IW227" s="357"/>
      <c r="IX227" s="357"/>
      <c r="IY227" s="357"/>
      <c r="IZ227" s="357"/>
      <c r="JA227" s="357"/>
      <c r="JB227" s="357"/>
      <c r="JC227" s="357"/>
      <c r="JD227" s="357"/>
      <c r="JE227" s="357"/>
      <c r="JF227" s="357"/>
      <c r="JG227" s="357"/>
      <c r="JH227" s="357"/>
      <c r="JI227" s="357"/>
      <c r="JJ227" s="357"/>
      <c r="JK227" s="357"/>
      <c r="JL227" s="357"/>
      <c r="JM227" s="357"/>
      <c r="JN227" s="357"/>
      <c r="JO227" s="357"/>
      <c r="JP227" s="357"/>
      <c r="JQ227" s="357"/>
      <c r="JR227" s="357"/>
      <c r="JS227" s="357"/>
      <c r="JT227" s="357"/>
      <c r="JU227" s="357"/>
      <c r="JV227" s="357"/>
      <c r="JW227" s="357"/>
      <c r="JX227" s="357"/>
      <c r="JY227" s="357"/>
      <c r="JZ227" s="357"/>
      <c r="KA227" s="357"/>
      <c r="KB227" s="357"/>
      <c r="KC227" s="357"/>
      <c r="KD227" s="357"/>
      <c r="KE227" s="357"/>
      <c r="KF227" s="357"/>
      <c r="KG227" s="357"/>
      <c r="KH227" s="357"/>
      <c r="KI227" s="357"/>
      <c r="KJ227" s="357"/>
      <c r="KK227" s="357"/>
      <c r="KL227" s="357"/>
      <c r="KM227" s="357"/>
      <c r="KN227" s="357"/>
      <c r="KO227" s="357"/>
      <c r="KP227" s="357"/>
      <c r="KQ227" s="357"/>
      <c r="KR227" s="357"/>
      <c r="KS227" s="357"/>
      <c r="KT227" s="357"/>
      <c r="KU227" s="357"/>
      <c r="KV227" s="357"/>
      <c r="KW227" s="357"/>
      <c r="KX227" s="357"/>
      <c r="KY227" s="357"/>
      <c r="KZ227" s="357"/>
      <c r="LA227" s="357"/>
      <c r="LB227" s="357"/>
      <c r="LC227" s="357"/>
      <c r="LD227" s="357"/>
      <c r="LE227" s="357"/>
      <c r="LF227" s="357"/>
      <c r="LG227" s="357"/>
      <c r="LH227" s="357"/>
      <c r="LI227" s="357"/>
      <c r="LJ227" s="357"/>
      <c r="LK227" s="357"/>
      <c r="LL227" s="357"/>
      <c r="LM227" s="357"/>
      <c r="LN227" s="357"/>
      <c r="LO227" s="357"/>
      <c r="LP227" s="357"/>
      <c r="LQ227" s="357"/>
      <c r="LR227" s="357"/>
      <c r="LS227" s="357"/>
      <c r="LT227" s="357"/>
      <c r="LU227" s="357"/>
      <c r="LV227" s="357"/>
      <c r="LW227" s="357"/>
      <c r="LX227" s="357"/>
      <c r="LY227" s="357"/>
      <c r="LZ227" s="357"/>
      <c r="MA227" s="357"/>
      <c r="MB227" s="357"/>
    </row>
    <row r="228" spans="1:340" s="358" customFormat="1" ht="21" customHeight="1">
      <c r="A228" s="2742"/>
      <c r="B228" s="471"/>
      <c r="C228" s="1126"/>
      <c r="D228" s="1145"/>
      <c r="E228" s="465"/>
      <c r="F228" s="1141"/>
      <c r="G228" s="1139"/>
      <c r="H228" s="1147"/>
      <c r="I228" s="1675"/>
      <c r="J228" s="2746" t="s">
        <v>4771</v>
      </c>
      <c r="K228" s="2745"/>
      <c r="L228" s="2745"/>
      <c r="M228" s="2745"/>
      <c r="N228" s="2745"/>
      <c r="O228" s="1671"/>
      <c r="P228" s="1671"/>
      <c r="Q228" s="2747">
        <v>4</v>
      </c>
      <c r="R228" s="2743" t="s">
        <v>531</v>
      </c>
      <c r="S228" s="1672">
        <v>500000</v>
      </c>
      <c r="T228" s="1671" t="s">
        <v>264</v>
      </c>
      <c r="U228" s="1671"/>
      <c r="V228" s="1671">
        <v>4</v>
      </c>
      <c r="W228" s="1671" t="s">
        <v>265</v>
      </c>
      <c r="X228" s="397"/>
      <c r="Y228" s="1674">
        <f t="shared" si="60"/>
        <v>8000</v>
      </c>
      <c r="Z228" s="407">
        <f>Q228*S228*V228</f>
        <v>8000000</v>
      </c>
      <c r="AB228" s="357"/>
      <c r="AD228" s="357"/>
      <c r="AE228" s="357"/>
      <c r="AF228" s="357"/>
      <c r="AG228" s="357"/>
      <c r="AH228" s="357"/>
      <c r="AI228" s="357"/>
      <c r="AJ228" s="357"/>
      <c r="AK228" s="357"/>
      <c r="AL228" s="357"/>
      <c r="AM228" s="357"/>
      <c r="AN228" s="357"/>
      <c r="AO228" s="357"/>
      <c r="AP228" s="357"/>
      <c r="AQ228" s="357"/>
      <c r="AR228" s="357"/>
      <c r="AS228" s="357"/>
      <c r="AT228" s="357"/>
      <c r="AU228" s="357"/>
      <c r="AV228" s="357"/>
      <c r="AW228" s="357"/>
      <c r="AX228" s="357"/>
      <c r="AY228" s="357"/>
      <c r="AZ228" s="357"/>
      <c r="BA228" s="357"/>
      <c r="BB228" s="357"/>
      <c r="BC228" s="357"/>
      <c r="BD228" s="357"/>
      <c r="BE228" s="357"/>
      <c r="BF228" s="357"/>
      <c r="BG228" s="357"/>
      <c r="BH228" s="357"/>
      <c r="BI228" s="357"/>
      <c r="BJ228" s="357"/>
      <c r="BK228" s="357"/>
      <c r="BL228" s="357"/>
      <c r="BM228" s="357"/>
      <c r="BN228" s="357"/>
      <c r="BO228" s="357"/>
      <c r="BP228" s="357"/>
      <c r="BQ228" s="357"/>
      <c r="BR228" s="357"/>
      <c r="BS228" s="357"/>
      <c r="BT228" s="357"/>
      <c r="BU228" s="357"/>
      <c r="BV228" s="357"/>
      <c r="BW228" s="357"/>
      <c r="BX228" s="357"/>
      <c r="BY228" s="357"/>
      <c r="BZ228" s="357"/>
      <c r="CA228" s="357"/>
      <c r="CB228" s="357"/>
      <c r="CC228" s="357"/>
      <c r="CD228" s="357"/>
      <c r="CE228" s="357"/>
      <c r="CF228" s="357"/>
      <c r="CG228" s="357"/>
      <c r="CH228" s="357"/>
      <c r="CI228" s="357"/>
      <c r="CJ228" s="357"/>
      <c r="CK228" s="357"/>
      <c r="CL228" s="357"/>
      <c r="CM228" s="357"/>
      <c r="CN228" s="357"/>
      <c r="CO228" s="357"/>
      <c r="CP228" s="357"/>
      <c r="CQ228" s="357"/>
      <c r="CR228" s="357"/>
      <c r="CS228" s="357"/>
      <c r="CT228" s="357"/>
      <c r="CU228" s="357"/>
      <c r="CV228" s="357"/>
      <c r="CW228" s="357"/>
      <c r="CX228" s="357"/>
      <c r="CY228" s="357"/>
      <c r="CZ228" s="357"/>
      <c r="DA228" s="357"/>
      <c r="DB228" s="357"/>
      <c r="DC228" s="357"/>
      <c r="DD228" s="357"/>
      <c r="DE228" s="357"/>
      <c r="DF228" s="357"/>
      <c r="DG228" s="357"/>
      <c r="DH228" s="357"/>
      <c r="DI228" s="357"/>
      <c r="DJ228" s="357"/>
      <c r="DK228" s="357"/>
      <c r="DL228" s="357"/>
      <c r="DM228" s="357"/>
      <c r="DN228" s="357"/>
      <c r="DO228" s="357"/>
      <c r="DP228" s="357"/>
      <c r="DQ228" s="357"/>
      <c r="DR228" s="357"/>
      <c r="DS228" s="357"/>
      <c r="DT228" s="357"/>
      <c r="DU228" s="357"/>
      <c r="DV228" s="357"/>
      <c r="DW228" s="357"/>
      <c r="DX228" s="357"/>
      <c r="DY228" s="357"/>
      <c r="DZ228" s="357"/>
      <c r="EA228" s="357"/>
      <c r="EB228" s="357"/>
      <c r="EC228" s="357"/>
      <c r="ED228" s="357"/>
      <c r="EE228" s="357"/>
      <c r="EF228" s="357"/>
      <c r="EG228" s="357"/>
      <c r="EH228" s="357"/>
      <c r="EI228" s="357"/>
      <c r="EJ228" s="357"/>
      <c r="EK228" s="357"/>
      <c r="EL228" s="357"/>
      <c r="EM228" s="357"/>
      <c r="EN228" s="357"/>
      <c r="EO228" s="357"/>
      <c r="EP228" s="357"/>
      <c r="EQ228" s="357"/>
      <c r="ER228" s="357"/>
      <c r="ES228" s="357"/>
      <c r="ET228" s="357"/>
      <c r="EU228" s="357"/>
      <c r="EV228" s="357"/>
      <c r="EW228" s="357"/>
      <c r="EX228" s="357"/>
      <c r="EY228" s="357"/>
      <c r="EZ228" s="357"/>
      <c r="FA228" s="357"/>
      <c r="FB228" s="357"/>
      <c r="FC228" s="357"/>
      <c r="FD228" s="357"/>
      <c r="FE228" s="357"/>
      <c r="FF228" s="357"/>
      <c r="FG228" s="357"/>
      <c r="FH228" s="357"/>
      <c r="FI228" s="357"/>
      <c r="FJ228" s="357"/>
      <c r="FK228" s="357"/>
      <c r="FL228" s="357"/>
      <c r="FM228" s="357"/>
      <c r="FN228" s="357"/>
      <c r="FO228" s="357"/>
      <c r="FP228" s="357"/>
      <c r="FQ228" s="357"/>
      <c r="FR228" s="357"/>
      <c r="FS228" s="357"/>
      <c r="FT228" s="357"/>
      <c r="FU228" s="357"/>
      <c r="FV228" s="357"/>
      <c r="FW228" s="357"/>
      <c r="FX228" s="357"/>
      <c r="FY228" s="357"/>
      <c r="FZ228" s="357"/>
      <c r="GA228" s="357"/>
      <c r="GB228" s="357"/>
      <c r="GC228" s="357"/>
      <c r="GD228" s="357"/>
      <c r="GE228" s="357"/>
      <c r="GF228" s="357"/>
      <c r="GG228" s="357"/>
      <c r="GH228" s="357"/>
      <c r="GI228" s="357"/>
      <c r="GJ228" s="357"/>
      <c r="GK228" s="357"/>
      <c r="GL228" s="357"/>
      <c r="GM228" s="357"/>
      <c r="GN228" s="357"/>
      <c r="GO228" s="357"/>
      <c r="GP228" s="357"/>
      <c r="GQ228" s="357"/>
      <c r="GR228" s="357"/>
      <c r="GS228" s="357"/>
      <c r="GT228" s="357"/>
      <c r="GU228" s="357"/>
      <c r="GV228" s="357"/>
      <c r="GW228" s="357"/>
      <c r="GX228" s="357"/>
      <c r="GY228" s="357"/>
      <c r="GZ228" s="357"/>
      <c r="HA228" s="357"/>
      <c r="HB228" s="357"/>
      <c r="HC228" s="357"/>
      <c r="HD228" s="357"/>
      <c r="HE228" s="357"/>
      <c r="HF228" s="357"/>
      <c r="HG228" s="357"/>
      <c r="HH228" s="357"/>
      <c r="HI228" s="357"/>
      <c r="HJ228" s="357"/>
      <c r="HK228" s="357"/>
      <c r="HL228" s="357"/>
      <c r="HM228" s="357"/>
      <c r="HN228" s="357"/>
      <c r="HO228" s="357"/>
      <c r="HP228" s="357"/>
      <c r="HQ228" s="357"/>
      <c r="HR228" s="357"/>
      <c r="HS228" s="357"/>
      <c r="HT228" s="357"/>
      <c r="HU228" s="357"/>
      <c r="HV228" s="357"/>
      <c r="HW228" s="357"/>
      <c r="HX228" s="357"/>
      <c r="HY228" s="357"/>
      <c r="HZ228" s="357"/>
      <c r="IA228" s="357"/>
      <c r="IB228" s="357"/>
      <c r="IC228" s="357"/>
      <c r="ID228" s="357"/>
      <c r="IE228" s="357"/>
      <c r="IF228" s="357"/>
      <c r="IG228" s="357"/>
      <c r="IH228" s="357"/>
      <c r="II228" s="357"/>
      <c r="IJ228" s="357"/>
      <c r="IK228" s="357"/>
      <c r="IL228" s="357"/>
      <c r="IM228" s="357"/>
      <c r="IN228" s="357"/>
      <c r="IO228" s="357"/>
      <c r="IP228" s="357"/>
      <c r="IQ228" s="357"/>
      <c r="IR228" s="357"/>
      <c r="IS228" s="357"/>
      <c r="IT228" s="357"/>
      <c r="IU228" s="357"/>
      <c r="IV228" s="357"/>
      <c r="IW228" s="357"/>
      <c r="IX228" s="357"/>
      <c r="IY228" s="357"/>
      <c r="IZ228" s="357"/>
      <c r="JA228" s="357"/>
      <c r="JB228" s="357"/>
      <c r="JC228" s="357"/>
      <c r="JD228" s="357"/>
      <c r="JE228" s="357"/>
      <c r="JF228" s="357"/>
      <c r="JG228" s="357"/>
      <c r="JH228" s="357"/>
      <c r="JI228" s="357"/>
      <c r="JJ228" s="357"/>
      <c r="JK228" s="357"/>
      <c r="JL228" s="357"/>
      <c r="JM228" s="357"/>
      <c r="JN228" s="357"/>
      <c r="JO228" s="357"/>
      <c r="JP228" s="357"/>
      <c r="JQ228" s="357"/>
      <c r="JR228" s="357"/>
      <c r="JS228" s="357"/>
      <c r="JT228" s="357"/>
      <c r="JU228" s="357"/>
      <c r="JV228" s="357"/>
      <c r="JW228" s="357"/>
      <c r="JX228" s="357"/>
      <c r="JY228" s="357"/>
      <c r="JZ228" s="357"/>
      <c r="KA228" s="357"/>
      <c r="KB228" s="357"/>
      <c r="KC228" s="357"/>
      <c r="KD228" s="357"/>
      <c r="KE228" s="357"/>
      <c r="KF228" s="357"/>
      <c r="KG228" s="357"/>
      <c r="KH228" s="357"/>
      <c r="KI228" s="357"/>
      <c r="KJ228" s="357"/>
      <c r="KK228" s="357"/>
      <c r="KL228" s="357"/>
      <c r="KM228" s="357"/>
      <c r="KN228" s="357"/>
      <c r="KO228" s="357"/>
      <c r="KP228" s="357"/>
      <c r="KQ228" s="357"/>
      <c r="KR228" s="357"/>
      <c r="KS228" s="357"/>
      <c r="KT228" s="357"/>
      <c r="KU228" s="357"/>
      <c r="KV228" s="357"/>
      <c r="KW228" s="357"/>
      <c r="KX228" s="357"/>
      <c r="KY228" s="357"/>
      <c r="KZ228" s="357"/>
      <c r="LA228" s="357"/>
      <c r="LB228" s="357"/>
      <c r="LC228" s="357"/>
      <c r="LD228" s="357"/>
      <c r="LE228" s="357"/>
      <c r="LF228" s="357"/>
      <c r="LG228" s="357"/>
      <c r="LH228" s="357"/>
      <c r="LI228" s="357"/>
      <c r="LJ228" s="357"/>
      <c r="LK228" s="357"/>
      <c r="LL228" s="357"/>
      <c r="LM228" s="357"/>
      <c r="LN228" s="357"/>
      <c r="LO228" s="357"/>
      <c r="LP228" s="357"/>
      <c r="LQ228" s="357"/>
      <c r="LR228" s="357"/>
      <c r="LS228" s="357"/>
      <c r="LT228" s="357"/>
      <c r="LU228" s="357"/>
      <c r="LV228" s="357"/>
      <c r="LW228" s="357"/>
      <c r="LX228" s="357"/>
      <c r="LY228" s="357"/>
      <c r="LZ228" s="357"/>
      <c r="MA228" s="357"/>
      <c r="MB228" s="357"/>
    </row>
    <row r="229" spans="1:340" s="358" customFormat="1" ht="21" customHeight="1">
      <c r="A229" s="2742"/>
      <c r="B229" s="471"/>
      <c r="C229" s="1126"/>
      <c r="D229" s="1145"/>
      <c r="E229" s="465" t="s">
        <v>4774</v>
      </c>
      <c r="F229" s="1141">
        <f t="shared" ref="F229:F231" si="62">Y229</f>
        <v>2500</v>
      </c>
      <c r="G229" s="1139">
        <v>2500</v>
      </c>
      <c r="H229" s="1147"/>
      <c r="I229" s="1675"/>
      <c r="J229" s="2746" t="s">
        <v>4775</v>
      </c>
      <c r="K229" s="2745"/>
      <c r="L229" s="2745"/>
      <c r="M229" s="2745"/>
      <c r="N229" s="2745"/>
      <c r="O229" s="2745"/>
      <c r="P229" s="1675"/>
      <c r="Q229" s="2747"/>
      <c r="R229" s="2743"/>
      <c r="S229" s="2747">
        <v>2500000</v>
      </c>
      <c r="T229" s="2747" t="s">
        <v>0</v>
      </c>
      <c r="U229" s="1675"/>
      <c r="V229" s="2747">
        <v>1</v>
      </c>
      <c r="W229" s="2747" t="s">
        <v>3</v>
      </c>
      <c r="X229" s="1140" t="s">
        <v>266</v>
      </c>
      <c r="Y229" s="1674">
        <f t="shared" si="60"/>
        <v>2500</v>
      </c>
      <c r="Z229" s="407">
        <f>S229*V229</f>
        <v>2500000</v>
      </c>
      <c r="AB229" s="357"/>
      <c r="AD229" s="357"/>
      <c r="AE229" s="357"/>
      <c r="AF229" s="357"/>
      <c r="AG229" s="357"/>
      <c r="AH229" s="357"/>
      <c r="AI229" s="357"/>
      <c r="AJ229" s="357"/>
      <c r="AK229" s="357"/>
      <c r="AL229" s="357"/>
      <c r="AM229" s="357"/>
      <c r="AN229" s="357"/>
      <c r="AO229" s="357"/>
      <c r="AP229" s="357"/>
      <c r="AQ229" s="357"/>
      <c r="AR229" s="357"/>
      <c r="AS229" s="357"/>
      <c r="AT229" s="357"/>
      <c r="AU229" s="357"/>
      <c r="AV229" s="357"/>
      <c r="AW229" s="357"/>
      <c r="AX229" s="357"/>
      <c r="AY229" s="357"/>
      <c r="AZ229" s="357"/>
      <c r="BA229" s="357"/>
      <c r="BB229" s="357"/>
      <c r="BC229" s="357"/>
      <c r="BD229" s="357"/>
      <c r="BE229" s="357"/>
      <c r="BF229" s="357"/>
      <c r="BG229" s="357"/>
      <c r="BH229" s="357"/>
      <c r="BI229" s="357"/>
      <c r="BJ229" s="357"/>
      <c r="BK229" s="357"/>
      <c r="BL229" s="357"/>
      <c r="BM229" s="357"/>
      <c r="BN229" s="357"/>
      <c r="BO229" s="357"/>
      <c r="BP229" s="357"/>
      <c r="BQ229" s="357"/>
      <c r="BR229" s="357"/>
      <c r="BS229" s="357"/>
      <c r="BT229" s="357"/>
      <c r="BU229" s="357"/>
      <c r="BV229" s="357"/>
      <c r="BW229" s="357"/>
      <c r="BX229" s="357"/>
      <c r="BY229" s="357"/>
      <c r="BZ229" s="357"/>
      <c r="CA229" s="357"/>
      <c r="CB229" s="357"/>
      <c r="CC229" s="357"/>
      <c r="CD229" s="357"/>
      <c r="CE229" s="357"/>
      <c r="CF229" s="357"/>
      <c r="CG229" s="357"/>
      <c r="CH229" s="357"/>
      <c r="CI229" s="357"/>
      <c r="CJ229" s="357"/>
      <c r="CK229" s="357"/>
      <c r="CL229" s="357"/>
      <c r="CM229" s="357"/>
      <c r="CN229" s="357"/>
      <c r="CO229" s="357"/>
      <c r="CP229" s="357"/>
      <c r="CQ229" s="357"/>
      <c r="CR229" s="357"/>
      <c r="CS229" s="357"/>
      <c r="CT229" s="357"/>
      <c r="CU229" s="357"/>
      <c r="CV229" s="357"/>
      <c r="CW229" s="357"/>
      <c r="CX229" s="357"/>
      <c r="CY229" s="357"/>
      <c r="CZ229" s="357"/>
      <c r="DA229" s="357"/>
      <c r="DB229" s="357"/>
      <c r="DC229" s="357"/>
      <c r="DD229" s="357"/>
      <c r="DE229" s="357"/>
      <c r="DF229" s="357"/>
      <c r="DG229" s="357"/>
      <c r="DH229" s="357"/>
      <c r="DI229" s="357"/>
      <c r="DJ229" s="357"/>
      <c r="DK229" s="357"/>
      <c r="DL229" s="357"/>
      <c r="DM229" s="357"/>
      <c r="DN229" s="357"/>
      <c r="DO229" s="357"/>
      <c r="DP229" s="357"/>
      <c r="DQ229" s="357"/>
      <c r="DR229" s="357"/>
      <c r="DS229" s="357"/>
      <c r="DT229" s="357"/>
      <c r="DU229" s="357"/>
      <c r="DV229" s="357"/>
      <c r="DW229" s="357"/>
      <c r="DX229" s="357"/>
      <c r="DY229" s="357"/>
      <c r="DZ229" s="357"/>
      <c r="EA229" s="357"/>
      <c r="EB229" s="357"/>
      <c r="EC229" s="357"/>
      <c r="ED229" s="357"/>
      <c r="EE229" s="357"/>
      <c r="EF229" s="357"/>
      <c r="EG229" s="357"/>
      <c r="EH229" s="357"/>
      <c r="EI229" s="357"/>
      <c r="EJ229" s="357"/>
      <c r="EK229" s="357"/>
      <c r="EL229" s="357"/>
      <c r="EM229" s="357"/>
      <c r="EN229" s="357"/>
      <c r="EO229" s="357"/>
      <c r="EP229" s="357"/>
      <c r="EQ229" s="357"/>
      <c r="ER229" s="357"/>
      <c r="ES229" s="357"/>
      <c r="ET229" s="357"/>
      <c r="EU229" s="357"/>
      <c r="EV229" s="357"/>
      <c r="EW229" s="357"/>
      <c r="EX229" s="357"/>
      <c r="EY229" s="357"/>
      <c r="EZ229" s="357"/>
      <c r="FA229" s="357"/>
      <c r="FB229" s="357"/>
      <c r="FC229" s="357"/>
      <c r="FD229" s="357"/>
      <c r="FE229" s="357"/>
      <c r="FF229" s="357"/>
      <c r="FG229" s="357"/>
      <c r="FH229" s="357"/>
      <c r="FI229" s="357"/>
      <c r="FJ229" s="357"/>
      <c r="FK229" s="357"/>
      <c r="FL229" s="357"/>
      <c r="FM229" s="357"/>
      <c r="FN229" s="357"/>
      <c r="FO229" s="357"/>
      <c r="FP229" s="357"/>
      <c r="FQ229" s="357"/>
      <c r="FR229" s="357"/>
      <c r="FS229" s="357"/>
      <c r="FT229" s="357"/>
      <c r="FU229" s="357"/>
      <c r="FV229" s="357"/>
      <c r="FW229" s="357"/>
      <c r="FX229" s="357"/>
      <c r="FY229" s="357"/>
      <c r="FZ229" s="357"/>
      <c r="GA229" s="357"/>
      <c r="GB229" s="357"/>
      <c r="GC229" s="357"/>
      <c r="GD229" s="357"/>
      <c r="GE229" s="357"/>
      <c r="GF229" s="357"/>
      <c r="GG229" s="357"/>
      <c r="GH229" s="357"/>
      <c r="GI229" s="357"/>
      <c r="GJ229" s="357"/>
      <c r="GK229" s="357"/>
      <c r="GL229" s="357"/>
      <c r="GM229" s="357"/>
      <c r="GN229" s="357"/>
      <c r="GO229" s="357"/>
      <c r="GP229" s="357"/>
      <c r="GQ229" s="357"/>
      <c r="GR229" s="357"/>
      <c r="GS229" s="357"/>
      <c r="GT229" s="357"/>
      <c r="GU229" s="357"/>
      <c r="GV229" s="357"/>
      <c r="GW229" s="357"/>
      <c r="GX229" s="357"/>
      <c r="GY229" s="357"/>
      <c r="GZ229" s="357"/>
      <c r="HA229" s="357"/>
      <c r="HB229" s="357"/>
      <c r="HC229" s="357"/>
      <c r="HD229" s="357"/>
      <c r="HE229" s="357"/>
      <c r="HF229" s="357"/>
      <c r="HG229" s="357"/>
      <c r="HH229" s="357"/>
      <c r="HI229" s="357"/>
      <c r="HJ229" s="357"/>
      <c r="HK229" s="357"/>
      <c r="HL229" s="357"/>
      <c r="HM229" s="357"/>
      <c r="HN229" s="357"/>
      <c r="HO229" s="357"/>
      <c r="HP229" s="357"/>
      <c r="HQ229" s="357"/>
      <c r="HR229" s="357"/>
      <c r="HS229" s="357"/>
      <c r="HT229" s="357"/>
      <c r="HU229" s="357"/>
      <c r="HV229" s="357"/>
      <c r="HW229" s="357"/>
      <c r="HX229" s="357"/>
      <c r="HY229" s="357"/>
      <c r="HZ229" s="357"/>
      <c r="IA229" s="357"/>
      <c r="IB229" s="357"/>
      <c r="IC229" s="357"/>
      <c r="ID229" s="357"/>
      <c r="IE229" s="357"/>
      <c r="IF229" s="357"/>
      <c r="IG229" s="357"/>
      <c r="IH229" s="357"/>
      <c r="II229" s="357"/>
      <c r="IJ229" s="357"/>
      <c r="IK229" s="357"/>
      <c r="IL229" s="357"/>
      <c r="IM229" s="357"/>
      <c r="IN229" s="357"/>
      <c r="IO229" s="357"/>
      <c r="IP229" s="357"/>
      <c r="IQ229" s="357"/>
      <c r="IR229" s="357"/>
      <c r="IS229" s="357"/>
      <c r="IT229" s="357"/>
      <c r="IU229" s="357"/>
      <c r="IV229" s="357"/>
      <c r="IW229" s="357"/>
      <c r="IX229" s="357"/>
      <c r="IY229" s="357"/>
      <c r="IZ229" s="357"/>
      <c r="JA229" s="357"/>
      <c r="JB229" s="357"/>
      <c r="JC229" s="357"/>
      <c r="JD229" s="357"/>
      <c r="JE229" s="357"/>
      <c r="JF229" s="357"/>
      <c r="JG229" s="357"/>
      <c r="JH229" s="357"/>
      <c r="JI229" s="357"/>
      <c r="JJ229" s="357"/>
      <c r="JK229" s="357"/>
      <c r="JL229" s="357"/>
      <c r="JM229" s="357"/>
      <c r="JN229" s="357"/>
      <c r="JO229" s="357"/>
      <c r="JP229" s="357"/>
      <c r="JQ229" s="357"/>
      <c r="JR229" s="357"/>
      <c r="JS229" s="357"/>
      <c r="JT229" s="357"/>
      <c r="JU229" s="357"/>
      <c r="JV229" s="357"/>
      <c r="JW229" s="357"/>
      <c r="JX229" s="357"/>
      <c r="JY229" s="357"/>
      <c r="JZ229" s="357"/>
      <c r="KA229" s="357"/>
      <c r="KB229" s="357"/>
      <c r="KC229" s="357"/>
      <c r="KD229" s="357"/>
      <c r="KE229" s="357"/>
      <c r="KF229" s="357"/>
      <c r="KG229" s="357"/>
      <c r="KH229" s="357"/>
      <c r="KI229" s="357"/>
      <c r="KJ229" s="357"/>
      <c r="KK229" s="357"/>
      <c r="KL229" s="357"/>
      <c r="KM229" s="357"/>
      <c r="KN229" s="357"/>
      <c r="KO229" s="357"/>
      <c r="KP229" s="357"/>
      <c r="KQ229" s="357"/>
      <c r="KR229" s="357"/>
      <c r="KS229" s="357"/>
      <c r="KT229" s="357"/>
      <c r="KU229" s="357"/>
      <c r="KV229" s="357"/>
      <c r="KW229" s="357"/>
      <c r="KX229" s="357"/>
      <c r="KY229" s="357"/>
      <c r="KZ229" s="357"/>
      <c r="LA229" s="357"/>
      <c r="LB229" s="357"/>
      <c r="LC229" s="357"/>
      <c r="LD229" s="357"/>
      <c r="LE229" s="357"/>
      <c r="LF229" s="357"/>
      <c r="LG229" s="357"/>
      <c r="LH229" s="357"/>
      <c r="LI229" s="357"/>
      <c r="LJ229" s="357"/>
      <c r="LK229" s="357"/>
      <c r="LL229" s="357"/>
      <c r="LM229" s="357"/>
      <c r="LN229" s="357"/>
      <c r="LO229" s="357"/>
      <c r="LP229" s="357"/>
      <c r="LQ229" s="357"/>
      <c r="LR229" s="357"/>
      <c r="LS229" s="357"/>
      <c r="LT229" s="357"/>
      <c r="LU229" s="357"/>
      <c r="LV229" s="357"/>
      <c r="LW229" s="357"/>
      <c r="LX229" s="357"/>
      <c r="LY229" s="357"/>
      <c r="LZ229" s="357"/>
      <c r="MA229" s="357"/>
      <c r="MB229" s="357"/>
    </row>
    <row r="230" spans="1:340" s="358" customFormat="1" ht="21" customHeight="1">
      <c r="A230" s="2529"/>
      <c r="B230" s="471"/>
      <c r="C230" s="1126"/>
      <c r="D230" s="1131"/>
      <c r="E230" s="1134" t="s">
        <v>3221</v>
      </c>
      <c r="F230" s="1141">
        <f t="shared" si="62"/>
        <v>2500</v>
      </c>
      <c r="G230" s="1139">
        <v>2500</v>
      </c>
      <c r="H230" s="1147"/>
      <c r="I230" s="1675"/>
      <c r="J230" s="2746" t="s">
        <v>4772</v>
      </c>
      <c r="K230" s="2745"/>
      <c r="L230" s="2745"/>
      <c r="M230" s="2745"/>
      <c r="N230" s="2745"/>
      <c r="O230" s="2745"/>
      <c r="P230" s="1675"/>
      <c r="Q230" s="2747"/>
      <c r="R230" s="2743"/>
      <c r="S230" s="2747">
        <v>2500000</v>
      </c>
      <c r="T230" s="2747" t="s">
        <v>3201</v>
      </c>
      <c r="U230" s="1675"/>
      <c r="V230" s="2747">
        <v>1</v>
      </c>
      <c r="W230" s="2747" t="s">
        <v>3223</v>
      </c>
      <c r="X230" s="1140" t="s">
        <v>3212</v>
      </c>
      <c r="Y230" s="1674">
        <f t="shared" si="54"/>
        <v>2500</v>
      </c>
      <c r="Z230" s="407">
        <f>S230*V230</f>
        <v>2500000</v>
      </c>
      <c r="AB230" s="357"/>
      <c r="AD230" s="357"/>
      <c r="AE230" s="357"/>
      <c r="AF230" s="357"/>
      <c r="AG230" s="357"/>
      <c r="AH230" s="357"/>
      <c r="AI230" s="357"/>
      <c r="AJ230" s="357"/>
      <c r="AK230" s="357"/>
      <c r="AL230" s="357"/>
      <c r="AM230" s="357"/>
      <c r="AN230" s="357"/>
      <c r="AO230" s="357"/>
      <c r="AP230" s="357"/>
      <c r="AQ230" s="357"/>
      <c r="AR230" s="357"/>
      <c r="AS230" s="357"/>
      <c r="AT230" s="357"/>
      <c r="AU230" s="357"/>
      <c r="AV230" s="357"/>
      <c r="AW230" s="357"/>
      <c r="AX230" s="357"/>
      <c r="AY230" s="357"/>
      <c r="AZ230" s="357"/>
      <c r="BA230" s="357"/>
      <c r="BB230" s="357"/>
      <c r="BC230" s="357"/>
      <c r="BD230" s="357"/>
      <c r="BE230" s="357"/>
      <c r="BF230" s="357"/>
      <c r="BG230" s="357"/>
      <c r="BH230" s="357"/>
      <c r="BI230" s="357"/>
      <c r="BJ230" s="357"/>
      <c r="BK230" s="357"/>
      <c r="BL230" s="357"/>
      <c r="BM230" s="357"/>
      <c r="BN230" s="357"/>
      <c r="BO230" s="357"/>
      <c r="BP230" s="357"/>
      <c r="BQ230" s="357"/>
      <c r="BR230" s="357"/>
      <c r="BS230" s="357"/>
      <c r="BT230" s="357"/>
      <c r="BU230" s="357"/>
      <c r="BV230" s="357"/>
      <c r="BW230" s="357"/>
      <c r="BX230" s="357"/>
      <c r="BY230" s="357"/>
      <c r="BZ230" s="357"/>
      <c r="CA230" s="357"/>
      <c r="CB230" s="357"/>
      <c r="CC230" s="357"/>
      <c r="CD230" s="357"/>
      <c r="CE230" s="357"/>
      <c r="CF230" s="357"/>
      <c r="CG230" s="357"/>
      <c r="CH230" s="357"/>
      <c r="CI230" s="357"/>
      <c r="CJ230" s="357"/>
      <c r="CK230" s="357"/>
      <c r="CL230" s="357"/>
      <c r="CM230" s="357"/>
      <c r="CN230" s="357"/>
      <c r="CO230" s="357"/>
      <c r="CP230" s="357"/>
      <c r="CQ230" s="357"/>
      <c r="CR230" s="357"/>
      <c r="CS230" s="357"/>
      <c r="CT230" s="357"/>
      <c r="CU230" s="357"/>
      <c r="CV230" s="357"/>
      <c r="CW230" s="357"/>
      <c r="CX230" s="357"/>
      <c r="CY230" s="357"/>
      <c r="CZ230" s="357"/>
      <c r="DA230" s="357"/>
      <c r="DB230" s="357"/>
      <c r="DC230" s="357"/>
      <c r="DD230" s="357"/>
      <c r="DE230" s="357"/>
      <c r="DF230" s="357"/>
      <c r="DG230" s="357"/>
      <c r="DH230" s="357"/>
      <c r="DI230" s="357"/>
      <c r="DJ230" s="357"/>
      <c r="DK230" s="357"/>
      <c r="DL230" s="357"/>
      <c r="DM230" s="357"/>
      <c r="DN230" s="357"/>
      <c r="DO230" s="357"/>
      <c r="DP230" s="357"/>
      <c r="DQ230" s="357"/>
      <c r="DR230" s="357"/>
      <c r="DS230" s="357"/>
      <c r="DT230" s="357"/>
      <c r="DU230" s="357"/>
      <c r="DV230" s="357"/>
      <c r="DW230" s="357"/>
      <c r="DX230" s="357"/>
      <c r="DY230" s="357"/>
      <c r="DZ230" s="357"/>
      <c r="EA230" s="357"/>
      <c r="EB230" s="357"/>
      <c r="EC230" s="357"/>
      <c r="ED230" s="357"/>
      <c r="EE230" s="357"/>
      <c r="EF230" s="357"/>
      <c r="EG230" s="357"/>
      <c r="EH230" s="357"/>
      <c r="EI230" s="357"/>
      <c r="EJ230" s="357"/>
      <c r="EK230" s="357"/>
      <c r="EL230" s="357"/>
      <c r="EM230" s="357"/>
      <c r="EN230" s="357"/>
      <c r="EO230" s="357"/>
      <c r="EP230" s="357"/>
      <c r="EQ230" s="357"/>
      <c r="ER230" s="357"/>
      <c r="ES230" s="357"/>
      <c r="ET230" s="357"/>
      <c r="EU230" s="357"/>
      <c r="EV230" s="357"/>
      <c r="EW230" s="357"/>
      <c r="EX230" s="357"/>
      <c r="EY230" s="357"/>
      <c r="EZ230" s="357"/>
      <c r="FA230" s="357"/>
      <c r="FB230" s="357"/>
      <c r="FC230" s="357"/>
      <c r="FD230" s="357"/>
      <c r="FE230" s="357"/>
      <c r="FF230" s="357"/>
      <c r="FG230" s="357"/>
      <c r="FH230" s="357"/>
      <c r="FI230" s="357"/>
      <c r="FJ230" s="357"/>
      <c r="FK230" s="357"/>
      <c r="FL230" s="357"/>
      <c r="FM230" s="357"/>
      <c r="FN230" s="357"/>
      <c r="FO230" s="357"/>
      <c r="FP230" s="357"/>
      <c r="FQ230" s="357"/>
      <c r="FR230" s="357"/>
      <c r="FS230" s="357"/>
      <c r="FT230" s="357"/>
      <c r="FU230" s="357"/>
      <c r="FV230" s="357"/>
      <c r="FW230" s="357"/>
      <c r="FX230" s="357"/>
      <c r="FY230" s="357"/>
      <c r="FZ230" s="357"/>
      <c r="GA230" s="357"/>
      <c r="GB230" s="357"/>
      <c r="GC230" s="357"/>
      <c r="GD230" s="357"/>
      <c r="GE230" s="357"/>
      <c r="GF230" s="357"/>
      <c r="GG230" s="357"/>
      <c r="GH230" s="357"/>
      <c r="GI230" s="357"/>
      <c r="GJ230" s="357"/>
      <c r="GK230" s="357"/>
      <c r="GL230" s="357"/>
      <c r="GM230" s="357"/>
      <c r="GN230" s="357"/>
      <c r="GO230" s="357"/>
      <c r="GP230" s="357"/>
      <c r="GQ230" s="357"/>
      <c r="GR230" s="357"/>
      <c r="GS230" s="357"/>
      <c r="GT230" s="357"/>
      <c r="GU230" s="357"/>
      <c r="GV230" s="357"/>
      <c r="GW230" s="357"/>
      <c r="GX230" s="357"/>
      <c r="GY230" s="357"/>
      <c r="GZ230" s="357"/>
      <c r="HA230" s="357"/>
      <c r="HB230" s="357"/>
      <c r="HC230" s="357"/>
      <c r="HD230" s="357"/>
      <c r="HE230" s="357"/>
      <c r="HF230" s="357"/>
      <c r="HG230" s="357"/>
      <c r="HH230" s="357"/>
      <c r="HI230" s="357"/>
      <c r="HJ230" s="357"/>
      <c r="HK230" s="357"/>
      <c r="HL230" s="357"/>
      <c r="HM230" s="357"/>
      <c r="HN230" s="357"/>
      <c r="HO230" s="357"/>
      <c r="HP230" s="357"/>
      <c r="HQ230" s="357"/>
      <c r="HR230" s="357"/>
      <c r="HS230" s="357"/>
      <c r="HT230" s="357"/>
      <c r="HU230" s="357"/>
      <c r="HV230" s="357"/>
      <c r="HW230" s="357"/>
      <c r="HX230" s="357"/>
      <c r="HY230" s="357"/>
      <c r="HZ230" s="357"/>
      <c r="IA230" s="357"/>
      <c r="IB230" s="357"/>
      <c r="IC230" s="357"/>
      <c r="ID230" s="357"/>
      <c r="IE230" s="357"/>
      <c r="IF230" s="357"/>
      <c r="IG230" s="357"/>
      <c r="IH230" s="357"/>
      <c r="II230" s="357"/>
      <c r="IJ230" s="357"/>
      <c r="IK230" s="357"/>
      <c r="IL230" s="357"/>
      <c r="IM230" s="357"/>
      <c r="IN230" s="357"/>
      <c r="IO230" s="357"/>
      <c r="IP230" s="357"/>
      <c r="IQ230" s="357"/>
      <c r="IR230" s="357"/>
      <c r="IS230" s="357"/>
      <c r="IT230" s="357"/>
      <c r="IU230" s="357"/>
      <c r="IV230" s="357"/>
      <c r="IW230" s="357"/>
      <c r="IX230" s="357"/>
      <c r="IY230" s="357"/>
      <c r="IZ230" s="357"/>
      <c r="JA230" s="357"/>
      <c r="JB230" s="357"/>
      <c r="JC230" s="357"/>
      <c r="JD230" s="357"/>
      <c r="JE230" s="357"/>
      <c r="JF230" s="357"/>
      <c r="JG230" s="357"/>
      <c r="JH230" s="357"/>
      <c r="JI230" s="357"/>
      <c r="JJ230" s="357"/>
      <c r="JK230" s="357"/>
      <c r="JL230" s="357"/>
      <c r="JM230" s="357"/>
      <c r="JN230" s="357"/>
      <c r="JO230" s="357"/>
      <c r="JP230" s="357"/>
      <c r="JQ230" s="357"/>
      <c r="JR230" s="357"/>
      <c r="JS230" s="357"/>
      <c r="JT230" s="357"/>
      <c r="JU230" s="357"/>
      <c r="JV230" s="357"/>
      <c r="JW230" s="357"/>
      <c r="JX230" s="357"/>
      <c r="JY230" s="357"/>
      <c r="JZ230" s="357"/>
      <c r="KA230" s="357"/>
      <c r="KB230" s="357"/>
      <c r="KC230" s="357"/>
      <c r="KD230" s="357"/>
      <c r="KE230" s="357"/>
      <c r="KF230" s="357"/>
      <c r="KG230" s="357"/>
      <c r="KH230" s="357"/>
      <c r="KI230" s="357"/>
      <c r="KJ230" s="357"/>
      <c r="KK230" s="357"/>
      <c r="KL230" s="357"/>
      <c r="KM230" s="357"/>
      <c r="KN230" s="357"/>
      <c r="KO230" s="357"/>
      <c r="KP230" s="357"/>
      <c r="KQ230" s="357"/>
      <c r="KR230" s="357"/>
      <c r="KS230" s="357"/>
      <c r="KT230" s="357"/>
      <c r="KU230" s="357"/>
      <c r="KV230" s="357"/>
      <c r="KW230" s="357"/>
      <c r="KX230" s="357"/>
      <c r="KY230" s="357"/>
      <c r="KZ230" s="357"/>
      <c r="LA230" s="357"/>
      <c r="LB230" s="357"/>
      <c r="LC230" s="357"/>
      <c r="LD230" s="357"/>
      <c r="LE230" s="357"/>
      <c r="LF230" s="357"/>
      <c r="LG230" s="357"/>
      <c r="LH230" s="357"/>
      <c r="LI230" s="357"/>
      <c r="LJ230" s="357"/>
      <c r="LK230" s="357"/>
      <c r="LL230" s="357"/>
      <c r="LM230" s="357"/>
      <c r="LN230" s="357"/>
      <c r="LO230" s="357"/>
      <c r="LP230" s="357"/>
      <c r="LQ230" s="357"/>
      <c r="LR230" s="357"/>
      <c r="LS230" s="357"/>
      <c r="LT230" s="357"/>
      <c r="LU230" s="357"/>
      <c r="LV230" s="357"/>
      <c r="LW230" s="357"/>
      <c r="LX230" s="357"/>
      <c r="LY230" s="357"/>
      <c r="LZ230" s="357"/>
      <c r="MA230" s="357"/>
      <c r="MB230" s="357"/>
    </row>
    <row r="231" spans="1:340" s="358" customFormat="1" ht="21" customHeight="1">
      <c r="A231" s="475"/>
      <c r="B231" s="1145"/>
      <c r="C231" s="1126"/>
      <c r="D231" s="453"/>
      <c r="E231" s="855" t="s">
        <v>3224</v>
      </c>
      <c r="F231" s="1141">
        <f t="shared" si="62"/>
        <v>2000</v>
      </c>
      <c r="G231" s="455">
        <v>2000</v>
      </c>
      <c r="H231" s="1147"/>
      <c r="I231" s="1675"/>
      <c r="J231" s="1627" t="s">
        <v>4773</v>
      </c>
      <c r="K231" s="2740"/>
      <c r="L231" s="2740"/>
      <c r="M231" s="2740"/>
      <c r="N231" s="2740"/>
      <c r="O231" s="2740"/>
      <c r="P231" s="1626"/>
      <c r="Q231" s="459">
        <v>10</v>
      </c>
      <c r="R231" s="457" t="s">
        <v>3222</v>
      </c>
      <c r="S231" s="459">
        <v>20000</v>
      </c>
      <c r="T231" s="459" t="s">
        <v>3201</v>
      </c>
      <c r="U231" s="1626"/>
      <c r="V231" s="459">
        <v>10</v>
      </c>
      <c r="W231" s="459" t="s">
        <v>3223</v>
      </c>
      <c r="X231" s="460" t="s">
        <v>3212</v>
      </c>
      <c r="Y231" s="1674">
        <f t="shared" si="54"/>
        <v>2000</v>
      </c>
      <c r="Z231" s="407">
        <f>Q231*S231*V231</f>
        <v>2000000</v>
      </c>
      <c r="AB231" s="357"/>
      <c r="AD231" s="357"/>
      <c r="AE231" s="357"/>
      <c r="AF231" s="357"/>
      <c r="AG231" s="357"/>
      <c r="AH231" s="357"/>
      <c r="AI231" s="357"/>
      <c r="AJ231" s="357"/>
      <c r="AK231" s="357"/>
      <c r="AL231" s="357"/>
      <c r="AM231" s="357"/>
      <c r="AN231" s="357"/>
      <c r="AO231" s="357"/>
      <c r="AP231" s="357"/>
      <c r="AQ231" s="357"/>
      <c r="AR231" s="357"/>
      <c r="AS231" s="357"/>
      <c r="AT231" s="357"/>
      <c r="AU231" s="357"/>
      <c r="AV231" s="357"/>
      <c r="AW231" s="357"/>
      <c r="AX231" s="357"/>
      <c r="AY231" s="357"/>
      <c r="AZ231" s="357"/>
      <c r="BA231" s="357"/>
      <c r="BB231" s="357"/>
      <c r="BC231" s="357"/>
      <c r="BD231" s="357"/>
      <c r="BE231" s="357"/>
      <c r="BF231" s="357"/>
      <c r="BG231" s="357"/>
      <c r="BH231" s="357"/>
      <c r="BI231" s="357"/>
      <c r="BJ231" s="357"/>
      <c r="BK231" s="357"/>
      <c r="BL231" s="357"/>
      <c r="BM231" s="357"/>
      <c r="BN231" s="357"/>
      <c r="BO231" s="357"/>
      <c r="BP231" s="357"/>
      <c r="BQ231" s="357"/>
      <c r="BR231" s="357"/>
      <c r="BS231" s="357"/>
      <c r="BT231" s="357"/>
      <c r="BU231" s="357"/>
      <c r="BV231" s="357"/>
      <c r="BW231" s="357"/>
      <c r="BX231" s="357"/>
      <c r="BY231" s="357"/>
      <c r="BZ231" s="357"/>
      <c r="CA231" s="357"/>
      <c r="CB231" s="357"/>
      <c r="CC231" s="357"/>
      <c r="CD231" s="357"/>
      <c r="CE231" s="357"/>
      <c r="CF231" s="357"/>
      <c r="CG231" s="357"/>
      <c r="CH231" s="357"/>
      <c r="CI231" s="357"/>
      <c r="CJ231" s="357"/>
      <c r="CK231" s="357"/>
      <c r="CL231" s="357"/>
      <c r="CM231" s="357"/>
      <c r="CN231" s="357"/>
      <c r="CO231" s="357"/>
      <c r="CP231" s="357"/>
      <c r="CQ231" s="357"/>
      <c r="CR231" s="357"/>
      <c r="CS231" s="357"/>
      <c r="CT231" s="357"/>
      <c r="CU231" s="357"/>
      <c r="CV231" s="357"/>
      <c r="CW231" s="357"/>
      <c r="CX231" s="357"/>
      <c r="CY231" s="357"/>
      <c r="CZ231" s="357"/>
      <c r="DA231" s="357"/>
      <c r="DB231" s="357"/>
      <c r="DC231" s="357"/>
      <c r="DD231" s="357"/>
      <c r="DE231" s="357"/>
      <c r="DF231" s="357"/>
      <c r="DG231" s="357"/>
      <c r="DH231" s="357"/>
      <c r="DI231" s="357"/>
      <c r="DJ231" s="357"/>
      <c r="DK231" s="357"/>
      <c r="DL231" s="357"/>
      <c r="DM231" s="357"/>
      <c r="DN231" s="357"/>
      <c r="DO231" s="357"/>
      <c r="DP231" s="357"/>
      <c r="DQ231" s="357"/>
      <c r="DR231" s="357"/>
      <c r="DS231" s="357"/>
      <c r="DT231" s="357"/>
      <c r="DU231" s="357"/>
      <c r="DV231" s="357"/>
      <c r="DW231" s="357"/>
      <c r="DX231" s="357"/>
      <c r="DY231" s="357"/>
      <c r="DZ231" s="357"/>
      <c r="EA231" s="357"/>
      <c r="EB231" s="357"/>
      <c r="EC231" s="357"/>
      <c r="ED231" s="357"/>
      <c r="EE231" s="357"/>
      <c r="EF231" s="357"/>
      <c r="EG231" s="357"/>
      <c r="EH231" s="357"/>
      <c r="EI231" s="357"/>
      <c r="EJ231" s="357"/>
      <c r="EK231" s="357"/>
      <c r="EL231" s="357"/>
      <c r="EM231" s="357"/>
      <c r="EN231" s="357"/>
      <c r="EO231" s="357"/>
      <c r="EP231" s="357"/>
      <c r="EQ231" s="357"/>
      <c r="ER231" s="357"/>
      <c r="ES231" s="357"/>
      <c r="ET231" s="357"/>
      <c r="EU231" s="357"/>
      <c r="EV231" s="357"/>
      <c r="EW231" s="357"/>
      <c r="EX231" s="357"/>
      <c r="EY231" s="357"/>
      <c r="EZ231" s="357"/>
      <c r="FA231" s="357"/>
      <c r="FB231" s="357"/>
      <c r="FC231" s="357"/>
      <c r="FD231" s="357"/>
      <c r="FE231" s="357"/>
      <c r="FF231" s="357"/>
      <c r="FG231" s="357"/>
      <c r="FH231" s="357"/>
      <c r="FI231" s="357"/>
      <c r="FJ231" s="357"/>
      <c r="FK231" s="357"/>
      <c r="FL231" s="357"/>
      <c r="FM231" s="357"/>
      <c r="FN231" s="357"/>
      <c r="FO231" s="357"/>
      <c r="FP231" s="357"/>
      <c r="FQ231" s="357"/>
      <c r="FR231" s="357"/>
      <c r="FS231" s="357"/>
      <c r="FT231" s="357"/>
      <c r="FU231" s="357"/>
      <c r="FV231" s="357"/>
      <c r="FW231" s="357"/>
      <c r="FX231" s="357"/>
      <c r="FY231" s="357"/>
      <c r="FZ231" s="357"/>
      <c r="GA231" s="357"/>
      <c r="GB231" s="357"/>
      <c r="GC231" s="357"/>
      <c r="GD231" s="357"/>
      <c r="GE231" s="357"/>
      <c r="GF231" s="357"/>
      <c r="GG231" s="357"/>
      <c r="GH231" s="357"/>
      <c r="GI231" s="357"/>
      <c r="GJ231" s="357"/>
      <c r="GK231" s="357"/>
      <c r="GL231" s="357"/>
      <c r="GM231" s="357"/>
      <c r="GN231" s="357"/>
      <c r="GO231" s="357"/>
      <c r="GP231" s="357"/>
      <c r="GQ231" s="357"/>
      <c r="GR231" s="357"/>
      <c r="GS231" s="357"/>
      <c r="GT231" s="357"/>
      <c r="GU231" s="357"/>
      <c r="GV231" s="357"/>
      <c r="GW231" s="357"/>
      <c r="GX231" s="357"/>
      <c r="GY231" s="357"/>
      <c r="GZ231" s="357"/>
      <c r="HA231" s="357"/>
      <c r="HB231" s="357"/>
      <c r="HC231" s="357"/>
      <c r="HD231" s="357"/>
      <c r="HE231" s="357"/>
      <c r="HF231" s="357"/>
      <c r="HG231" s="357"/>
      <c r="HH231" s="357"/>
      <c r="HI231" s="357"/>
      <c r="HJ231" s="357"/>
      <c r="HK231" s="357"/>
      <c r="HL231" s="357"/>
      <c r="HM231" s="357"/>
      <c r="HN231" s="357"/>
      <c r="HO231" s="357"/>
      <c r="HP231" s="357"/>
      <c r="HQ231" s="357"/>
      <c r="HR231" s="357"/>
      <c r="HS231" s="357"/>
      <c r="HT231" s="357"/>
      <c r="HU231" s="357"/>
      <c r="HV231" s="357"/>
      <c r="HW231" s="357"/>
      <c r="HX231" s="357"/>
      <c r="HY231" s="357"/>
      <c r="HZ231" s="357"/>
      <c r="IA231" s="357"/>
      <c r="IB231" s="357"/>
      <c r="IC231" s="357"/>
      <c r="ID231" s="357"/>
      <c r="IE231" s="357"/>
      <c r="IF231" s="357"/>
      <c r="IG231" s="357"/>
      <c r="IH231" s="357"/>
      <c r="II231" s="357"/>
      <c r="IJ231" s="357"/>
      <c r="IK231" s="357"/>
      <c r="IL231" s="357"/>
      <c r="IM231" s="357"/>
      <c r="IN231" s="357"/>
      <c r="IO231" s="357"/>
      <c r="IP231" s="357"/>
      <c r="IQ231" s="357"/>
      <c r="IR231" s="357"/>
      <c r="IS231" s="357"/>
      <c r="IT231" s="357"/>
      <c r="IU231" s="357"/>
      <c r="IV231" s="357"/>
      <c r="IW231" s="357"/>
      <c r="IX231" s="357"/>
      <c r="IY231" s="357"/>
      <c r="IZ231" s="357"/>
      <c r="JA231" s="357"/>
      <c r="JB231" s="357"/>
      <c r="JC231" s="357"/>
      <c r="JD231" s="357"/>
      <c r="JE231" s="357"/>
      <c r="JF231" s="357"/>
      <c r="JG231" s="357"/>
      <c r="JH231" s="357"/>
      <c r="JI231" s="357"/>
      <c r="JJ231" s="357"/>
      <c r="JK231" s="357"/>
      <c r="JL231" s="357"/>
      <c r="JM231" s="357"/>
      <c r="JN231" s="357"/>
      <c r="JO231" s="357"/>
      <c r="JP231" s="357"/>
      <c r="JQ231" s="357"/>
      <c r="JR231" s="357"/>
      <c r="JS231" s="357"/>
      <c r="JT231" s="357"/>
      <c r="JU231" s="357"/>
      <c r="JV231" s="357"/>
      <c r="JW231" s="357"/>
      <c r="JX231" s="357"/>
      <c r="JY231" s="357"/>
      <c r="JZ231" s="357"/>
      <c r="KA231" s="357"/>
      <c r="KB231" s="357"/>
      <c r="KC231" s="357"/>
      <c r="KD231" s="357"/>
      <c r="KE231" s="357"/>
      <c r="KF231" s="357"/>
      <c r="KG231" s="357"/>
      <c r="KH231" s="357"/>
      <c r="KI231" s="357"/>
      <c r="KJ231" s="357"/>
      <c r="KK231" s="357"/>
      <c r="KL231" s="357"/>
      <c r="KM231" s="357"/>
      <c r="KN231" s="357"/>
      <c r="KO231" s="357"/>
      <c r="KP231" s="357"/>
      <c r="KQ231" s="357"/>
      <c r="KR231" s="357"/>
      <c r="KS231" s="357"/>
      <c r="KT231" s="357"/>
      <c r="KU231" s="357"/>
      <c r="KV231" s="357"/>
      <c r="KW231" s="357"/>
      <c r="KX231" s="357"/>
      <c r="KY231" s="357"/>
      <c r="KZ231" s="357"/>
      <c r="LA231" s="357"/>
      <c r="LB231" s="357"/>
      <c r="LC231" s="357"/>
      <c r="LD231" s="357"/>
      <c r="LE231" s="357"/>
      <c r="LF231" s="357"/>
      <c r="LG231" s="357"/>
      <c r="LH231" s="357"/>
      <c r="LI231" s="357"/>
      <c r="LJ231" s="357"/>
      <c r="LK231" s="357"/>
      <c r="LL231" s="357"/>
      <c r="LM231" s="357"/>
      <c r="LN231" s="357"/>
      <c r="LO231" s="357"/>
      <c r="LP231" s="357"/>
      <c r="LQ231" s="357"/>
      <c r="LR231" s="357"/>
      <c r="LS231" s="357"/>
      <c r="LT231" s="357"/>
      <c r="LU231" s="357"/>
      <c r="LV231" s="357"/>
      <c r="LW231" s="357"/>
      <c r="LX231" s="357"/>
      <c r="LY231" s="357"/>
      <c r="LZ231" s="357"/>
      <c r="MA231" s="357"/>
      <c r="MB231" s="357"/>
    </row>
    <row r="232" spans="1:340" s="358" customFormat="1" ht="21" customHeight="1">
      <c r="A232" s="2529"/>
      <c r="B232" s="1145"/>
      <c r="C232" s="470"/>
      <c r="D232" s="3284" t="s">
        <v>3328</v>
      </c>
      <c r="E232" s="3285"/>
      <c r="F232" s="373">
        <f>SUM(F233:F267)</f>
        <v>300000</v>
      </c>
      <c r="G232" s="373">
        <f>SUM(G233:G267)</f>
        <v>300000</v>
      </c>
      <c r="H232" s="468">
        <f>F232-G232</f>
        <v>0</v>
      </c>
      <c r="I232" s="2357"/>
      <c r="J232" s="1901"/>
      <c r="K232" s="1902"/>
      <c r="L232" s="1902"/>
      <c r="M232" s="1902"/>
      <c r="N232" s="1902"/>
      <c r="O232" s="1902"/>
      <c r="P232" s="1902"/>
      <c r="Q232" s="799"/>
      <c r="R232" s="376"/>
      <c r="S232" s="375"/>
      <c r="T232" s="376"/>
      <c r="U232" s="375"/>
      <c r="V232" s="376"/>
      <c r="W232" s="375"/>
      <c r="X232" s="375"/>
      <c r="Y232" s="801"/>
      <c r="Z232" s="503"/>
      <c r="AB232" s="357"/>
      <c r="AD232" s="357"/>
      <c r="AE232" s="357"/>
      <c r="AF232" s="357"/>
      <c r="AG232" s="357"/>
      <c r="AH232" s="357"/>
      <c r="AI232" s="357"/>
      <c r="AJ232" s="357"/>
      <c r="AK232" s="357"/>
      <c r="AL232" s="357"/>
      <c r="AM232" s="357"/>
      <c r="AN232" s="357"/>
      <c r="AO232" s="357"/>
      <c r="AP232" s="357"/>
      <c r="AQ232" s="357"/>
      <c r="AR232" s="357"/>
      <c r="AS232" s="357"/>
      <c r="AT232" s="357"/>
      <c r="AU232" s="357"/>
      <c r="AV232" s="357"/>
      <c r="AW232" s="357"/>
      <c r="AX232" s="357"/>
      <c r="AY232" s="357"/>
      <c r="AZ232" s="357"/>
      <c r="BA232" s="357"/>
      <c r="BB232" s="357"/>
      <c r="BC232" s="357"/>
      <c r="BD232" s="357"/>
      <c r="BE232" s="357"/>
      <c r="BF232" s="357"/>
      <c r="BG232" s="357"/>
      <c r="BH232" s="357"/>
      <c r="BI232" s="357"/>
      <c r="BJ232" s="357"/>
      <c r="BK232" s="357"/>
      <c r="BL232" s="357"/>
      <c r="BM232" s="357"/>
      <c r="BN232" s="357"/>
      <c r="BO232" s="357"/>
      <c r="BP232" s="357"/>
      <c r="BQ232" s="357"/>
      <c r="BR232" s="357"/>
      <c r="BS232" s="357"/>
      <c r="BT232" s="357"/>
      <c r="BU232" s="357"/>
      <c r="BV232" s="357"/>
      <c r="BW232" s="357"/>
      <c r="BX232" s="357"/>
      <c r="BY232" s="357"/>
      <c r="BZ232" s="357"/>
      <c r="CA232" s="357"/>
      <c r="CB232" s="357"/>
      <c r="CC232" s="357"/>
      <c r="CD232" s="357"/>
      <c r="CE232" s="357"/>
      <c r="CF232" s="357"/>
      <c r="CG232" s="357"/>
      <c r="CH232" s="357"/>
      <c r="CI232" s="357"/>
      <c r="CJ232" s="357"/>
      <c r="CK232" s="357"/>
      <c r="CL232" s="357"/>
      <c r="CM232" s="357"/>
      <c r="CN232" s="357"/>
      <c r="CO232" s="357"/>
      <c r="CP232" s="357"/>
      <c r="CQ232" s="357"/>
      <c r="CR232" s="357"/>
      <c r="CS232" s="357"/>
      <c r="CT232" s="357"/>
      <c r="CU232" s="357"/>
      <c r="CV232" s="357"/>
      <c r="CW232" s="357"/>
      <c r="CX232" s="357"/>
      <c r="CY232" s="357"/>
      <c r="CZ232" s="357"/>
      <c r="DA232" s="357"/>
      <c r="DB232" s="357"/>
      <c r="DC232" s="357"/>
      <c r="DD232" s="357"/>
      <c r="DE232" s="357"/>
      <c r="DF232" s="357"/>
      <c r="DG232" s="357"/>
      <c r="DH232" s="357"/>
      <c r="DI232" s="357"/>
      <c r="DJ232" s="357"/>
      <c r="DK232" s="357"/>
      <c r="DL232" s="357"/>
      <c r="DM232" s="357"/>
      <c r="DN232" s="357"/>
      <c r="DO232" s="357"/>
      <c r="DP232" s="357"/>
      <c r="DQ232" s="357"/>
      <c r="DR232" s="357"/>
      <c r="DS232" s="357"/>
      <c r="DT232" s="357"/>
      <c r="DU232" s="357"/>
      <c r="DV232" s="357"/>
      <c r="DW232" s="357"/>
      <c r="DX232" s="357"/>
      <c r="DY232" s="357"/>
      <c r="DZ232" s="357"/>
      <c r="EA232" s="357"/>
      <c r="EB232" s="357"/>
      <c r="EC232" s="357"/>
      <c r="ED232" s="357"/>
      <c r="EE232" s="357"/>
      <c r="EF232" s="357"/>
      <c r="EG232" s="357"/>
      <c r="EH232" s="357"/>
      <c r="EI232" s="357"/>
      <c r="EJ232" s="357"/>
      <c r="EK232" s="357"/>
      <c r="EL232" s="357"/>
      <c r="EM232" s="357"/>
      <c r="EN232" s="357"/>
      <c r="EO232" s="357"/>
      <c r="EP232" s="357"/>
      <c r="EQ232" s="357"/>
      <c r="ER232" s="357"/>
      <c r="ES232" s="357"/>
      <c r="ET232" s="357"/>
      <c r="EU232" s="357"/>
      <c r="EV232" s="357"/>
      <c r="EW232" s="357"/>
      <c r="EX232" s="357"/>
      <c r="EY232" s="357"/>
      <c r="EZ232" s="357"/>
      <c r="FA232" s="357"/>
      <c r="FB232" s="357"/>
      <c r="FC232" s="357"/>
      <c r="FD232" s="357"/>
      <c r="FE232" s="357"/>
      <c r="FF232" s="357"/>
      <c r="FG232" s="357"/>
      <c r="FH232" s="357"/>
      <c r="FI232" s="357"/>
      <c r="FJ232" s="357"/>
      <c r="FK232" s="357"/>
      <c r="FL232" s="357"/>
      <c r="FM232" s="357"/>
      <c r="FN232" s="357"/>
      <c r="FO232" s="357"/>
      <c r="FP232" s="357"/>
      <c r="FQ232" s="357"/>
      <c r="FR232" s="357"/>
      <c r="FS232" s="357"/>
      <c r="FT232" s="357"/>
      <c r="FU232" s="357"/>
      <c r="FV232" s="357"/>
      <c r="FW232" s="357"/>
      <c r="FX232" s="357"/>
      <c r="FY232" s="357"/>
      <c r="FZ232" s="357"/>
      <c r="GA232" s="357"/>
      <c r="GB232" s="357"/>
      <c r="GC232" s="357"/>
      <c r="GD232" s="357"/>
      <c r="GE232" s="357"/>
      <c r="GF232" s="357"/>
      <c r="GG232" s="357"/>
      <c r="GH232" s="357"/>
      <c r="GI232" s="357"/>
      <c r="GJ232" s="357"/>
      <c r="GK232" s="357"/>
      <c r="GL232" s="357"/>
      <c r="GM232" s="357"/>
      <c r="GN232" s="357"/>
      <c r="GO232" s="357"/>
      <c r="GP232" s="357"/>
      <c r="GQ232" s="357"/>
      <c r="GR232" s="357"/>
      <c r="GS232" s="357"/>
      <c r="GT232" s="357"/>
      <c r="GU232" s="357"/>
      <c r="GV232" s="357"/>
      <c r="GW232" s="357"/>
      <c r="GX232" s="357"/>
      <c r="GY232" s="357"/>
      <c r="GZ232" s="357"/>
      <c r="HA232" s="357"/>
      <c r="HB232" s="357"/>
      <c r="HC232" s="357"/>
      <c r="HD232" s="357"/>
      <c r="HE232" s="357"/>
      <c r="HF232" s="357"/>
      <c r="HG232" s="357"/>
      <c r="HH232" s="357"/>
      <c r="HI232" s="357"/>
      <c r="HJ232" s="357"/>
      <c r="HK232" s="357"/>
      <c r="HL232" s="357"/>
      <c r="HM232" s="357"/>
      <c r="HN232" s="357"/>
      <c r="HO232" s="357"/>
      <c r="HP232" s="357"/>
      <c r="HQ232" s="357"/>
      <c r="HR232" s="357"/>
      <c r="HS232" s="357"/>
      <c r="HT232" s="357"/>
      <c r="HU232" s="357"/>
      <c r="HV232" s="357"/>
      <c r="HW232" s="357"/>
      <c r="HX232" s="357"/>
      <c r="HY232" s="357"/>
      <c r="HZ232" s="357"/>
      <c r="IA232" s="357"/>
      <c r="IB232" s="357"/>
      <c r="IC232" s="357"/>
      <c r="ID232" s="357"/>
      <c r="IE232" s="357"/>
      <c r="IF232" s="357"/>
      <c r="IG232" s="357"/>
      <c r="IH232" s="357"/>
      <c r="II232" s="357"/>
      <c r="IJ232" s="357"/>
      <c r="IK232" s="357"/>
      <c r="IL232" s="357"/>
      <c r="IM232" s="357"/>
      <c r="IN232" s="357"/>
      <c r="IO232" s="357"/>
      <c r="IP232" s="357"/>
      <c r="IQ232" s="357"/>
      <c r="IR232" s="357"/>
      <c r="IS232" s="357"/>
      <c r="IT232" s="357"/>
      <c r="IU232" s="357"/>
      <c r="IV232" s="357"/>
      <c r="IW232" s="357"/>
      <c r="IX232" s="357"/>
      <c r="IY232" s="357"/>
      <c r="IZ232" s="357"/>
      <c r="JA232" s="357"/>
      <c r="JB232" s="357"/>
      <c r="JC232" s="357"/>
      <c r="JD232" s="357"/>
      <c r="JE232" s="357"/>
      <c r="JF232" s="357"/>
      <c r="JG232" s="357"/>
      <c r="JH232" s="357"/>
      <c r="JI232" s="357"/>
      <c r="JJ232" s="357"/>
      <c r="JK232" s="357"/>
      <c r="JL232" s="357"/>
      <c r="JM232" s="357"/>
      <c r="JN232" s="357"/>
      <c r="JO232" s="357"/>
      <c r="JP232" s="357"/>
      <c r="JQ232" s="357"/>
      <c r="JR232" s="357"/>
      <c r="JS232" s="357"/>
      <c r="JT232" s="357"/>
      <c r="JU232" s="357"/>
      <c r="JV232" s="357"/>
      <c r="JW232" s="357"/>
      <c r="JX232" s="357"/>
      <c r="JY232" s="357"/>
      <c r="JZ232" s="357"/>
      <c r="KA232" s="357"/>
      <c r="KB232" s="357"/>
      <c r="KC232" s="357"/>
      <c r="KD232" s="357"/>
      <c r="KE232" s="357"/>
      <c r="KF232" s="357"/>
      <c r="KG232" s="357"/>
      <c r="KH232" s="357"/>
      <c r="KI232" s="357"/>
      <c r="KJ232" s="357"/>
      <c r="KK232" s="357"/>
      <c r="KL232" s="357"/>
      <c r="KM232" s="357"/>
      <c r="KN232" s="357"/>
      <c r="KO232" s="357"/>
      <c r="KP232" s="357"/>
      <c r="KQ232" s="357"/>
      <c r="KR232" s="357"/>
      <c r="KS232" s="357"/>
      <c r="KT232" s="357"/>
      <c r="KU232" s="357"/>
      <c r="KV232" s="357"/>
      <c r="KW232" s="357"/>
      <c r="KX232" s="357"/>
      <c r="KY232" s="357"/>
      <c r="KZ232" s="357"/>
      <c r="LA232" s="357"/>
      <c r="LB232" s="357"/>
      <c r="LC232" s="357"/>
      <c r="LD232" s="357"/>
      <c r="LE232" s="357"/>
      <c r="LF232" s="357"/>
      <c r="LG232" s="357"/>
      <c r="LH232" s="357"/>
      <c r="LI232" s="357"/>
      <c r="LJ232" s="357"/>
      <c r="LK232" s="357"/>
      <c r="LL232" s="357"/>
      <c r="LM232" s="357"/>
      <c r="LN232" s="357"/>
      <c r="LO232" s="357"/>
      <c r="LP232" s="357"/>
      <c r="LQ232" s="357"/>
      <c r="LR232" s="357"/>
      <c r="LS232" s="357"/>
      <c r="LT232" s="357"/>
      <c r="LU232" s="357"/>
      <c r="LV232" s="357"/>
      <c r="LW232" s="357"/>
      <c r="LX232" s="357"/>
      <c r="LY232" s="357"/>
      <c r="LZ232" s="357"/>
      <c r="MA232" s="357"/>
      <c r="MB232" s="357"/>
    </row>
    <row r="233" spans="1:340" s="358" customFormat="1" ht="21" customHeight="1">
      <c r="A233" s="2529"/>
      <c r="B233" s="1145"/>
      <c r="C233" s="470"/>
      <c r="D233" s="470"/>
      <c r="E233" s="1126" t="s">
        <v>3225</v>
      </c>
      <c r="F233" s="598">
        <f>+Y233</f>
        <v>60000</v>
      </c>
      <c r="G233" s="337">
        <v>60000</v>
      </c>
      <c r="H233" s="338"/>
      <c r="I233" s="2357"/>
      <c r="J233" s="1903" t="s">
        <v>3190</v>
      </c>
      <c r="K233" s="807"/>
      <c r="L233" s="807"/>
      <c r="M233" s="807"/>
      <c r="N233" s="646"/>
      <c r="O233" s="646"/>
      <c r="P233" s="646"/>
      <c r="Q233" s="650"/>
      <c r="R233" s="2533"/>
      <c r="S233" s="2533" t="s">
        <v>3226</v>
      </c>
      <c r="T233" s="2539" t="s">
        <v>3226</v>
      </c>
      <c r="U233" s="2539" t="s">
        <v>3226</v>
      </c>
      <c r="V233" s="2539" t="s">
        <v>3226</v>
      </c>
      <c r="W233" s="2539" t="s">
        <v>3226</v>
      </c>
      <c r="X233" s="1140" t="s">
        <v>3226</v>
      </c>
      <c r="Y233" s="1674">
        <f t="shared" ref="Y233" si="63">+Z233/1000</f>
        <v>60000</v>
      </c>
      <c r="Z233" s="1324">
        <f>+Z234+Z235</f>
        <v>60000000</v>
      </c>
      <c r="AB233" s="357"/>
      <c r="AD233" s="357"/>
      <c r="AE233" s="357"/>
      <c r="AF233" s="357"/>
      <c r="AG233" s="357"/>
      <c r="AH233" s="357"/>
      <c r="AI233" s="357"/>
      <c r="AJ233" s="357"/>
      <c r="AK233" s="357"/>
      <c r="AL233" s="357"/>
      <c r="AM233" s="357"/>
      <c r="AN233" s="357"/>
      <c r="AO233" s="357"/>
      <c r="AP233" s="357"/>
      <c r="AQ233" s="357"/>
      <c r="AR233" s="357"/>
      <c r="AS233" s="357"/>
      <c r="AT233" s="357"/>
      <c r="AU233" s="357"/>
      <c r="AV233" s="357"/>
      <c r="AW233" s="357"/>
      <c r="AX233" s="357"/>
      <c r="AY233" s="357"/>
      <c r="AZ233" s="357"/>
      <c r="BA233" s="357"/>
      <c r="BB233" s="357"/>
      <c r="BC233" s="357"/>
      <c r="BD233" s="357"/>
      <c r="BE233" s="357"/>
      <c r="BF233" s="357"/>
      <c r="BG233" s="357"/>
      <c r="BH233" s="357"/>
      <c r="BI233" s="357"/>
      <c r="BJ233" s="357"/>
      <c r="BK233" s="357"/>
      <c r="BL233" s="357"/>
      <c r="BM233" s="357"/>
      <c r="BN233" s="357"/>
      <c r="BO233" s="357"/>
      <c r="BP233" s="357"/>
      <c r="BQ233" s="357"/>
      <c r="BR233" s="357"/>
      <c r="BS233" s="357"/>
      <c r="BT233" s="357"/>
      <c r="BU233" s="357"/>
      <c r="BV233" s="357"/>
      <c r="BW233" s="357"/>
      <c r="BX233" s="357"/>
      <c r="BY233" s="357"/>
      <c r="BZ233" s="357"/>
      <c r="CA233" s="357"/>
      <c r="CB233" s="357"/>
      <c r="CC233" s="357"/>
      <c r="CD233" s="357"/>
      <c r="CE233" s="357"/>
      <c r="CF233" s="357"/>
      <c r="CG233" s="357"/>
      <c r="CH233" s="357"/>
      <c r="CI233" s="357"/>
      <c r="CJ233" s="357"/>
      <c r="CK233" s="357"/>
      <c r="CL233" s="357"/>
      <c r="CM233" s="357"/>
      <c r="CN233" s="357"/>
      <c r="CO233" s="357"/>
      <c r="CP233" s="357"/>
      <c r="CQ233" s="357"/>
      <c r="CR233" s="357"/>
      <c r="CS233" s="357"/>
      <c r="CT233" s="357"/>
      <c r="CU233" s="357"/>
      <c r="CV233" s="357"/>
      <c r="CW233" s="357"/>
      <c r="CX233" s="357"/>
      <c r="CY233" s="357"/>
      <c r="CZ233" s="357"/>
      <c r="DA233" s="357"/>
      <c r="DB233" s="357"/>
      <c r="DC233" s="357"/>
      <c r="DD233" s="357"/>
      <c r="DE233" s="357"/>
      <c r="DF233" s="357"/>
      <c r="DG233" s="357"/>
      <c r="DH233" s="357"/>
      <c r="DI233" s="357"/>
      <c r="DJ233" s="357"/>
      <c r="DK233" s="357"/>
      <c r="DL233" s="357"/>
      <c r="DM233" s="357"/>
      <c r="DN233" s="357"/>
      <c r="DO233" s="357"/>
      <c r="DP233" s="357"/>
      <c r="DQ233" s="357"/>
      <c r="DR233" s="357"/>
      <c r="DS233" s="357"/>
      <c r="DT233" s="357"/>
      <c r="DU233" s="357"/>
      <c r="DV233" s="357"/>
      <c r="DW233" s="357"/>
      <c r="DX233" s="357"/>
      <c r="DY233" s="357"/>
      <c r="DZ233" s="357"/>
      <c r="EA233" s="357"/>
      <c r="EB233" s="357"/>
      <c r="EC233" s="357"/>
      <c r="ED233" s="357"/>
      <c r="EE233" s="357"/>
      <c r="EF233" s="357"/>
      <c r="EG233" s="357"/>
      <c r="EH233" s="357"/>
      <c r="EI233" s="357"/>
      <c r="EJ233" s="357"/>
      <c r="EK233" s="357"/>
      <c r="EL233" s="357"/>
      <c r="EM233" s="357"/>
      <c r="EN233" s="357"/>
      <c r="EO233" s="357"/>
      <c r="EP233" s="357"/>
      <c r="EQ233" s="357"/>
      <c r="ER233" s="357"/>
      <c r="ES233" s="357"/>
      <c r="ET233" s="357"/>
      <c r="EU233" s="357"/>
      <c r="EV233" s="357"/>
      <c r="EW233" s="357"/>
      <c r="EX233" s="357"/>
      <c r="EY233" s="357"/>
      <c r="EZ233" s="357"/>
      <c r="FA233" s="357"/>
      <c r="FB233" s="357"/>
      <c r="FC233" s="357"/>
      <c r="FD233" s="357"/>
      <c r="FE233" s="357"/>
      <c r="FF233" s="357"/>
      <c r="FG233" s="357"/>
      <c r="FH233" s="357"/>
      <c r="FI233" s="357"/>
      <c r="FJ233" s="357"/>
      <c r="FK233" s="357"/>
      <c r="FL233" s="357"/>
      <c r="FM233" s="357"/>
      <c r="FN233" s="357"/>
      <c r="FO233" s="357"/>
      <c r="FP233" s="357"/>
      <c r="FQ233" s="357"/>
      <c r="FR233" s="357"/>
      <c r="FS233" s="357"/>
      <c r="FT233" s="357"/>
      <c r="FU233" s="357"/>
      <c r="FV233" s="357"/>
      <c r="FW233" s="357"/>
      <c r="FX233" s="357"/>
      <c r="FY233" s="357"/>
      <c r="FZ233" s="357"/>
      <c r="GA233" s="357"/>
      <c r="GB233" s="357"/>
      <c r="GC233" s="357"/>
      <c r="GD233" s="357"/>
      <c r="GE233" s="357"/>
      <c r="GF233" s="357"/>
      <c r="GG233" s="357"/>
      <c r="GH233" s="357"/>
      <c r="GI233" s="357"/>
      <c r="GJ233" s="357"/>
      <c r="GK233" s="357"/>
      <c r="GL233" s="357"/>
      <c r="GM233" s="357"/>
      <c r="GN233" s="357"/>
      <c r="GO233" s="357"/>
      <c r="GP233" s="357"/>
      <c r="GQ233" s="357"/>
      <c r="GR233" s="357"/>
      <c r="GS233" s="357"/>
      <c r="GT233" s="357"/>
      <c r="GU233" s="357"/>
      <c r="GV233" s="357"/>
      <c r="GW233" s="357"/>
      <c r="GX233" s="357"/>
      <c r="GY233" s="357"/>
      <c r="GZ233" s="357"/>
      <c r="HA233" s="357"/>
      <c r="HB233" s="357"/>
      <c r="HC233" s="357"/>
      <c r="HD233" s="357"/>
      <c r="HE233" s="357"/>
      <c r="HF233" s="357"/>
      <c r="HG233" s="357"/>
      <c r="HH233" s="357"/>
      <c r="HI233" s="357"/>
      <c r="HJ233" s="357"/>
      <c r="HK233" s="357"/>
      <c r="HL233" s="357"/>
      <c r="HM233" s="357"/>
      <c r="HN233" s="357"/>
      <c r="HO233" s="357"/>
      <c r="HP233" s="357"/>
      <c r="HQ233" s="357"/>
      <c r="HR233" s="357"/>
      <c r="HS233" s="357"/>
      <c r="HT233" s="357"/>
      <c r="HU233" s="357"/>
      <c r="HV233" s="357"/>
      <c r="HW233" s="357"/>
      <c r="HX233" s="357"/>
      <c r="HY233" s="357"/>
      <c r="HZ233" s="357"/>
      <c r="IA233" s="357"/>
      <c r="IB233" s="357"/>
      <c r="IC233" s="357"/>
      <c r="ID233" s="357"/>
      <c r="IE233" s="357"/>
      <c r="IF233" s="357"/>
      <c r="IG233" s="357"/>
      <c r="IH233" s="357"/>
      <c r="II233" s="357"/>
      <c r="IJ233" s="357"/>
      <c r="IK233" s="357"/>
      <c r="IL233" s="357"/>
      <c r="IM233" s="357"/>
      <c r="IN233" s="357"/>
      <c r="IO233" s="357"/>
      <c r="IP233" s="357"/>
      <c r="IQ233" s="357"/>
      <c r="IR233" s="357"/>
      <c r="IS233" s="357"/>
      <c r="IT233" s="357"/>
      <c r="IU233" s="357"/>
      <c r="IV233" s="357"/>
      <c r="IW233" s="357"/>
      <c r="IX233" s="357"/>
      <c r="IY233" s="357"/>
      <c r="IZ233" s="357"/>
      <c r="JA233" s="357"/>
      <c r="JB233" s="357"/>
      <c r="JC233" s="357"/>
      <c r="JD233" s="357"/>
      <c r="JE233" s="357"/>
      <c r="JF233" s="357"/>
      <c r="JG233" s="357"/>
      <c r="JH233" s="357"/>
      <c r="JI233" s="357"/>
      <c r="JJ233" s="357"/>
      <c r="JK233" s="357"/>
      <c r="JL233" s="357"/>
      <c r="JM233" s="357"/>
      <c r="JN233" s="357"/>
      <c r="JO233" s="357"/>
      <c r="JP233" s="357"/>
      <c r="JQ233" s="357"/>
      <c r="JR233" s="357"/>
      <c r="JS233" s="357"/>
      <c r="JT233" s="357"/>
      <c r="JU233" s="357"/>
      <c r="JV233" s="357"/>
      <c r="JW233" s="357"/>
      <c r="JX233" s="357"/>
      <c r="JY233" s="357"/>
      <c r="JZ233" s="357"/>
      <c r="KA233" s="357"/>
      <c r="KB233" s="357"/>
      <c r="KC233" s="357"/>
      <c r="KD233" s="357"/>
      <c r="KE233" s="357"/>
      <c r="KF233" s="357"/>
      <c r="KG233" s="357"/>
      <c r="KH233" s="357"/>
      <c r="KI233" s="357"/>
      <c r="KJ233" s="357"/>
      <c r="KK233" s="357"/>
      <c r="KL233" s="357"/>
      <c r="KM233" s="357"/>
      <c r="KN233" s="357"/>
      <c r="KO233" s="357"/>
      <c r="KP233" s="357"/>
      <c r="KQ233" s="357"/>
      <c r="KR233" s="357"/>
      <c r="KS233" s="357"/>
      <c r="KT233" s="357"/>
      <c r="KU233" s="357"/>
      <c r="KV233" s="357"/>
      <c r="KW233" s="357"/>
      <c r="KX233" s="357"/>
      <c r="KY233" s="357"/>
      <c r="KZ233" s="357"/>
      <c r="LA233" s="357"/>
      <c r="LB233" s="357"/>
      <c r="LC233" s="357"/>
      <c r="LD233" s="357"/>
      <c r="LE233" s="357"/>
      <c r="LF233" s="357"/>
      <c r="LG233" s="357"/>
      <c r="LH233" s="357"/>
      <c r="LI233" s="357"/>
      <c r="LJ233" s="357"/>
      <c r="LK233" s="357"/>
      <c r="LL233" s="357"/>
      <c r="LM233" s="357"/>
      <c r="LN233" s="357"/>
      <c r="LO233" s="357"/>
      <c r="LP233" s="357"/>
      <c r="LQ233" s="357"/>
      <c r="LR233" s="357"/>
      <c r="LS233" s="357"/>
      <c r="LT233" s="357"/>
      <c r="LU233" s="357"/>
      <c r="LV233" s="357"/>
      <c r="LW233" s="357"/>
      <c r="LX233" s="357"/>
      <c r="LY233" s="357"/>
      <c r="LZ233" s="357"/>
      <c r="MA233" s="357"/>
      <c r="MB233" s="357"/>
    </row>
    <row r="234" spans="1:340" s="358" customFormat="1" ht="21" customHeight="1">
      <c r="A234" s="2529"/>
      <c r="B234" s="1145"/>
      <c r="C234" s="470"/>
      <c r="D234" s="1126"/>
      <c r="E234" s="1126"/>
      <c r="F234" s="598"/>
      <c r="G234" s="337"/>
      <c r="H234" s="338"/>
      <c r="I234" s="2357"/>
      <c r="J234" s="1903" t="s">
        <v>3227</v>
      </c>
      <c r="K234" s="807"/>
      <c r="L234" s="807"/>
      <c r="M234" s="807"/>
      <c r="N234" s="646"/>
      <c r="O234" s="1905"/>
      <c r="P234" s="2533"/>
      <c r="Q234" s="1905">
        <v>1</v>
      </c>
      <c r="R234" s="2533" t="s">
        <v>3228</v>
      </c>
      <c r="S234" s="1672">
        <v>2500000</v>
      </c>
      <c r="T234" s="1671" t="s">
        <v>3201</v>
      </c>
      <c r="U234" s="1671"/>
      <c r="V234" s="1671">
        <v>12</v>
      </c>
      <c r="W234" s="1671" t="s">
        <v>3229</v>
      </c>
      <c r="X234" s="397" t="s">
        <v>3212</v>
      </c>
      <c r="Y234" s="1674">
        <f t="shared" ref="Y234:Y267" si="64">Z234/1000</f>
        <v>30000</v>
      </c>
      <c r="Z234" s="407">
        <f>Q234*S234*V234</f>
        <v>30000000</v>
      </c>
      <c r="AB234" s="357"/>
      <c r="AD234" s="357"/>
      <c r="AE234" s="357"/>
      <c r="AF234" s="357"/>
      <c r="AG234" s="357"/>
      <c r="AH234" s="357"/>
      <c r="AI234" s="357"/>
      <c r="AJ234" s="357"/>
      <c r="AK234" s="357"/>
      <c r="AL234" s="357"/>
      <c r="AM234" s="357"/>
      <c r="AN234" s="357"/>
      <c r="AO234" s="357"/>
      <c r="AP234" s="357"/>
      <c r="AQ234" s="357"/>
      <c r="AR234" s="357"/>
      <c r="AS234" s="357"/>
      <c r="AT234" s="357"/>
      <c r="AU234" s="357"/>
      <c r="AV234" s="357"/>
      <c r="AW234" s="357"/>
      <c r="AX234" s="357"/>
      <c r="AY234" s="357"/>
      <c r="AZ234" s="357"/>
      <c r="BA234" s="357"/>
      <c r="BB234" s="357"/>
      <c r="BC234" s="357"/>
      <c r="BD234" s="357"/>
      <c r="BE234" s="357"/>
      <c r="BF234" s="357"/>
      <c r="BG234" s="357"/>
      <c r="BH234" s="357"/>
      <c r="BI234" s="357"/>
      <c r="BJ234" s="357"/>
      <c r="BK234" s="357"/>
      <c r="BL234" s="357"/>
      <c r="BM234" s="357"/>
      <c r="BN234" s="357"/>
      <c r="BO234" s="357"/>
      <c r="BP234" s="357"/>
      <c r="BQ234" s="357"/>
      <c r="BR234" s="357"/>
      <c r="BS234" s="357"/>
      <c r="BT234" s="357"/>
      <c r="BU234" s="357"/>
      <c r="BV234" s="357"/>
      <c r="BW234" s="357"/>
      <c r="BX234" s="357"/>
      <c r="BY234" s="357"/>
      <c r="BZ234" s="357"/>
      <c r="CA234" s="357"/>
      <c r="CB234" s="357"/>
      <c r="CC234" s="357"/>
      <c r="CD234" s="357"/>
      <c r="CE234" s="357"/>
      <c r="CF234" s="357"/>
      <c r="CG234" s="357"/>
      <c r="CH234" s="357"/>
      <c r="CI234" s="357"/>
      <c r="CJ234" s="357"/>
      <c r="CK234" s="357"/>
      <c r="CL234" s="357"/>
      <c r="CM234" s="357"/>
      <c r="CN234" s="357"/>
      <c r="CO234" s="357"/>
      <c r="CP234" s="357"/>
      <c r="CQ234" s="357"/>
      <c r="CR234" s="357"/>
      <c r="CS234" s="357"/>
      <c r="CT234" s="357"/>
      <c r="CU234" s="357"/>
      <c r="CV234" s="357"/>
      <c r="CW234" s="357"/>
      <c r="CX234" s="357"/>
      <c r="CY234" s="357"/>
      <c r="CZ234" s="357"/>
      <c r="DA234" s="357"/>
      <c r="DB234" s="357"/>
      <c r="DC234" s="357"/>
      <c r="DD234" s="357"/>
      <c r="DE234" s="357"/>
      <c r="DF234" s="357"/>
      <c r="DG234" s="357"/>
      <c r="DH234" s="357"/>
      <c r="DI234" s="357"/>
      <c r="DJ234" s="357"/>
      <c r="DK234" s="357"/>
      <c r="DL234" s="357"/>
      <c r="DM234" s="357"/>
      <c r="DN234" s="357"/>
      <c r="DO234" s="357"/>
      <c r="DP234" s="357"/>
      <c r="DQ234" s="357"/>
      <c r="DR234" s="357"/>
      <c r="DS234" s="357"/>
      <c r="DT234" s="357"/>
      <c r="DU234" s="357"/>
      <c r="DV234" s="357"/>
      <c r="DW234" s="357"/>
      <c r="DX234" s="357"/>
      <c r="DY234" s="357"/>
      <c r="DZ234" s="357"/>
      <c r="EA234" s="357"/>
      <c r="EB234" s="357"/>
      <c r="EC234" s="357"/>
      <c r="ED234" s="357"/>
      <c r="EE234" s="357"/>
      <c r="EF234" s="357"/>
      <c r="EG234" s="357"/>
      <c r="EH234" s="357"/>
      <c r="EI234" s="357"/>
      <c r="EJ234" s="357"/>
      <c r="EK234" s="357"/>
      <c r="EL234" s="357"/>
      <c r="EM234" s="357"/>
      <c r="EN234" s="357"/>
      <c r="EO234" s="357"/>
      <c r="EP234" s="357"/>
      <c r="EQ234" s="357"/>
      <c r="ER234" s="357"/>
      <c r="ES234" s="357"/>
      <c r="ET234" s="357"/>
      <c r="EU234" s="357"/>
      <c r="EV234" s="357"/>
      <c r="EW234" s="357"/>
      <c r="EX234" s="357"/>
      <c r="EY234" s="357"/>
      <c r="EZ234" s="357"/>
      <c r="FA234" s="357"/>
      <c r="FB234" s="357"/>
      <c r="FC234" s="357"/>
      <c r="FD234" s="357"/>
      <c r="FE234" s="357"/>
      <c r="FF234" s="357"/>
      <c r="FG234" s="357"/>
      <c r="FH234" s="357"/>
      <c r="FI234" s="357"/>
      <c r="FJ234" s="357"/>
      <c r="FK234" s="357"/>
      <c r="FL234" s="357"/>
      <c r="FM234" s="357"/>
      <c r="FN234" s="357"/>
      <c r="FO234" s="357"/>
      <c r="FP234" s="357"/>
      <c r="FQ234" s="357"/>
      <c r="FR234" s="357"/>
      <c r="FS234" s="357"/>
      <c r="FT234" s="357"/>
      <c r="FU234" s="357"/>
      <c r="FV234" s="357"/>
      <c r="FW234" s="357"/>
      <c r="FX234" s="357"/>
      <c r="FY234" s="357"/>
      <c r="FZ234" s="357"/>
      <c r="GA234" s="357"/>
      <c r="GB234" s="357"/>
      <c r="GC234" s="357"/>
      <c r="GD234" s="357"/>
      <c r="GE234" s="357"/>
      <c r="GF234" s="357"/>
      <c r="GG234" s="357"/>
      <c r="GH234" s="357"/>
      <c r="GI234" s="357"/>
      <c r="GJ234" s="357"/>
      <c r="GK234" s="357"/>
      <c r="GL234" s="357"/>
      <c r="GM234" s="357"/>
      <c r="GN234" s="357"/>
      <c r="GO234" s="357"/>
      <c r="GP234" s="357"/>
      <c r="GQ234" s="357"/>
      <c r="GR234" s="357"/>
      <c r="GS234" s="357"/>
      <c r="GT234" s="357"/>
      <c r="GU234" s="357"/>
      <c r="GV234" s="357"/>
      <c r="GW234" s="357"/>
      <c r="GX234" s="357"/>
      <c r="GY234" s="357"/>
      <c r="GZ234" s="357"/>
      <c r="HA234" s="357"/>
      <c r="HB234" s="357"/>
      <c r="HC234" s="357"/>
      <c r="HD234" s="357"/>
      <c r="HE234" s="357"/>
      <c r="HF234" s="357"/>
      <c r="HG234" s="357"/>
      <c r="HH234" s="357"/>
      <c r="HI234" s="357"/>
      <c r="HJ234" s="357"/>
      <c r="HK234" s="357"/>
      <c r="HL234" s="357"/>
      <c r="HM234" s="357"/>
      <c r="HN234" s="357"/>
      <c r="HO234" s="357"/>
      <c r="HP234" s="357"/>
      <c r="HQ234" s="357"/>
      <c r="HR234" s="357"/>
      <c r="HS234" s="357"/>
      <c r="HT234" s="357"/>
      <c r="HU234" s="357"/>
      <c r="HV234" s="357"/>
      <c r="HW234" s="357"/>
      <c r="HX234" s="357"/>
      <c r="HY234" s="357"/>
      <c r="HZ234" s="357"/>
      <c r="IA234" s="357"/>
      <c r="IB234" s="357"/>
      <c r="IC234" s="357"/>
      <c r="ID234" s="357"/>
      <c r="IE234" s="357"/>
      <c r="IF234" s="357"/>
      <c r="IG234" s="357"/>
      <c r="IH234" s="357"/>
      <c r="II234" s="357"/>
      <c r="IJ234" s="357"/>
      <c r="IK234" s="357"/>
      <c r="IL234" s="357"/>
      <c r="IM234" s="357"/>
      <c r="IN234" s="357"/>
      <c r="IO234" s="357"/>
      <c r="IP234" s="357"/>
      <c r="IQ234" s="357"/>
      <c r="IR234" s="357"/>
      <c r="IS234" s="357"/>
      <c r="IT234" s="357"/>
      <c r="IU234" s="357"/>
      <c r="IV234" s="357"/>
      <c r="IW234" s="357"/>
      <c r="IX234" s="357"/>
      <c r="IY234" s="357"/>
      <c r="IZ234" s="357"/>
      <c r="JA234" s="357"/>
      <c r="JB234" s="357"/>
      <c r="JC234" s="357"/>
      <c r="JD234" s="357"/>
      <c r="JE234" s="357"/>
      <c r="JF234" s="357"/>
      <c r="JG234" s="357"/>
      <c r="JH234" s="357"/>
      <c r="JI234" s="357"/>
      <c r="JJ234" s="357"/>
      <c r="JK234" s="357"/>
      <c r="JL234" s="357"/>
      <c r="JM234" s="357"/>
      <c r="JN234" s="357"/>
      <c r="JO234" s="357"/>
      <c r="JP234" s="357"/>
      <c r="JQ234" s="357"/>
      <c r="JR234" s="357"/>
      <c r="JS234" s="357"/>
      <c r="JT234" s="357"/>
      <c r="JU234" s="357"/>
      <c r="JV234" s="357"/>
      <c r="JW234" s="357"/>
      <c r="JX234" s="357"/>
      <c r="JY234" s="357"/>
      <c r="JZ234" s="357"/>
      <c r="KA234" s="357"/>
      <c r="KB234" s="357"/>
      <c r="KC234" s="357"/>
      <c r="KD234" s="357"/>
      <c r="KE234" s="357"/>
      <c r="KF234" s="357"/>
      <c r="KG234" s="357"/>
      <c r="KH234" s="357"/>
      <c r="KI234" s="357"/>
      <c r="KJ234" s="357"/>
      <c r="KK234" s="357"/>
      <c r="KL234" s="357"/>
      <c r="KM234" s="357"/>
      <c r="KN234" s="357"/>
      <c r="KO234" s="357"/>
      <c r="KP234" s="357"/>
      <c r="KQ234" s="357"/>
      <c r="KR234" s="357"/>
      <c r="KS234" s="357"/>
      <c r="KT234" s="357"/>
      <c r="KU234" s="357"/>
      <c r="KV234" s="357"/>
      <c r="KW234" s="357"/>
      <c r="KX234" s="357"/>
      <c r="KY234" s="357"/>
      <c r="KZ234" s="357"/>
      <c r="LA234" s="357"/>
      <c r="LB234" s="357"/>
      <c r="LC234" s="357"/>
      <c r="LD234" s="357"/>
      <c r="LE234" s="357"/>
      <c r="LF234" s="357"/>
      <c r="LG234" s="357"/>
      <c r="LH234" s="357"/>
      <c r="LI234" s="357"/>
      <c r="LJ234" s="357"/>
      <c r="LK234" s="357"/>
      <c r="LL234" s="357"/>
      <c r="LM234" s="357"/>
      <c r="LN234" s="357"/>
      <c r="LO234" s="357"/>
      <c r="LP234" s="357"/>
      <c r="LQ234" s="357"/>
      <c r="LR234" s="357"/>
      <c r="LS234" s="357"/>
      <c r="LT234" s="357"/>
      <c r="LU234" s="357"/>
      <c r="LV234" s="357"/>
      <c r="LW234" s="357"/>
      <c r="LX234" s="357"/>
      <c r="LY234" s="357"/>
      <c r="LZ234" s="357"/>
      <c r="MA234" s="357"/>
      <c r="MB234" s="357"/>
    </row>
    <row r="235" spans="1:340" s="358" customFormat="1" ht="21" customHeight="1">
      <c r="A235" s="2529"/>
      <c r="B235" s="1145"/>
      <c r="C235" s="470"/>
      <c r="D235" s="1126"/>
      <c r="E235" s="1126"/>
      <c r="F235" s="598"/>
      <c r="G235" s="337"/>
      <c r="H235" s="338"/>
      <c r="I235" s="2357"/>
      <c r="J235" s="1903" t="s">
        <v>3230</v>
      </c>
      <c r="K235" s="807"/>
      <c r="L235" s="807"/>
      <c r="M235" s="807"/>
      <c r="N235" s="646"/>
      <c r="O235" s="1905"/>
      <c r="P235" s="2533"/>
      <c r="Q235" s="1905">
        <v>1</v>
      </c>
      <c r="R235" s="2533" t="s">
        <v>3228</v>
      </c>
      <c r="S235" s="1672">
        <v>2500000</v>
      </c>
      <c r="T235" s="1671" t="s">
        <v>3201</v>
      </c>
      <c r="U235" s="1671"/>
      <c r="V235" s="1671">
        <v>12</v>
      </c>
      <c r="W235" s="1671" t="s">
        <v>3231</v>
      </c>
      <c r="X235" s="397" t="s">
        <v>3212</v>
      </c>
      <c r="Y235" s="1674">
        <f t="shared" si="64"/>
        <v>30000</v>
      </c>
      <c r="Z235" s="407">
        <f>Q235*S235*V235</f>
        <v>30000000</v>
      </c>
      <c r="AB235" s="357"/>
      <c r="AD235" s="357"/>
      <c r="AE235" s="357"/>
      <c r="AF235" s="357"/>
      <c r="AG235" s="357"/>
      <c r="AH235" s="357"/>
      <c r="AI235" s="357"/>
      <c r="AJ235" s="357"/>
      <c r="AK235" s="357"/>
      <c r="AL235" s="357"/>
      <c r="AM235" s="357"/>
      <c r="AN235" s="357"/>
      <c r="AO235" s="357"/>
      <c r="AP235" s="357"/>
      <c r="AQ235" s="357"/>
      <c r="AR235" s="357"/>
      <c r="AS235" s="357"/>
      <c r="AT235" s="357"/>
      <c r="AU235" s="357"/>
      <c r="AV235" s="357"/>
      <c r="AW235" s="357"/>
      <c r="AX235" s="357"/>
      <c r="AY235" s="357"/>
      <c r="AZ235" s="357"/>
      <c r="BA235" s="357"/>
      <c r="BB235" s="357"/>
      <c r="BC235" s="357"/>
      <c r="BD235" s="357"/>
      <c r="BE235" s="357"/>
      <c r="BF235" s="357"/>
      <c r="BG235" s="357"/>
      <c r="BH235" s="357"/>
      <c r="BI235" s="357"/>
      <c r="BJ235" s="357"/>
      <c r="BK235" s="357"/>
      <c r="BL235" s="357"/>
      <c r="BM235" s="357"/>
      <c r="BN235" s="357"/>
      <c r="BO235" s="357"/>
      <c r="BP235" s="357"/>
      <c r="BQ235" s="357"/>
      <c r="BR235" s="357"/>
      <c r="BS235" s="357"/>
      <c r="BT235" s="357"/>
      <c r="BU235" s="357"/>
      <c r="BV235" s="357"/>
      <c r="BW235" s="357"/>
      <c r="BX235" s="357"/>
      <c r="BY235" s="357"/>
      <c r="BZ235" s="357"/>
      <c r="CA235" s="357"/>
      <c r="CB235" s="357"/>
      <c r="CC235" s="357"/>
      <c r="CD235" s="357"/>
      <c r="CE235" s="357"/>
      <c r="CF235" s="357"/>
      <c r="CG235" s="357"/>
      <c r="CH235" s="357"/>
      <c r="CI235" s="357"/>
      <c r="CJ235" s="357"/>
      <c r="CK235" s="357"/>
      <c r="CL235" s="357"/>
      <c r="CM235" s="357"/>
      <c r="CN235" s="357"/>
      <c r="CO235" s="357"/>
      <c r="CP235" s="357"/>
      <c r="CQ235" s="357"/>
      <c r="CR235" s="357"/>
      <c r="CS235" s="357"/>
      <c r="CT235" s="357"/>
      <c r="CU235" s="357"/>
      <c r="CV235" s="357"/>
      <c r="CW235" s="357"/>
      <c r="CX235" s="357"/>
      <c r="CY235" s="357"/>
      <c r="CZ235" s="357"/>
      <c r="DA235" s="357"/>
      <c r="DB235" s="357"/>
      <c r="DC235" s="357"/>
      <c r="DD235" s="357"/>
      <c r="DE235" s="357"/>
      <c r="DF235" s="357"/>
      <c r="DG235" s="357"/>
      <c r="DH235" s="357"/>
      <c r="DI235" s="357"/>
      <c r="DJ235" s="357"/>
      <c r="DK235" s="357"/>
      <c r="DL235" s="357"/>
      <c r="DM235" s="357"/>
      <c r="DN235" s="357"/>
      <c r="DO235" s="357"/>
      <c r="DP235" s="357"/>
      <c r="DQ235" s="357"/>
      <c r="DR235" s="357"/>
      <c r="DS235" s="357"/>
      <c r="DT235" s="357"/>
      <c r="DU235" s="357"/>
      <c r="DV235" s="357"/>
      <c r="DW235" s="357"/>
      <c r="DX235" s="357"/>
      <c r="DY235" s="357"/>
      <c r="DZ235" s="357"/>
      <c r="EA235" s="357"/>
      <c r="EB235" s="357"/>
      <c r="EC235" s="357"/>
      <c r="ED235" s="357"/>
      <c r="EE235" s="357"/>
      <c r="EF235" s="357"/>
      <c r="EG235" s="357"/>
      <c r="EH235" s="357"/>
      <c r="EI235" s="357"/>
      <c r="EJ235" s="357"/>
      <c r="EK235" s="357"/>
      <c r="EL235" s="357"/>
      <c r="EM235" s="357"/>
      <c r="EN235" s="357"/>
      <c r="EO235" s="357"/>
      <c r="EP235" s="357"/>
      <c r="EQ235" s="357"/>
      <c r="ER235" s="357"/>
      <c r="ES235" s="357"/>
      <c r="ET235" s="357"/>
      <c r="EU235" s="357"/>
      <c r="EV235" s="357"/>
      <c r="EW235" s="357"/>
      <c r="EX235" s="357"/>
      <c r="EY235" s="357"/>
      <c r="EZ235" s="357"/>
      <c r="FA235" s="357"/>
      <c r="FB235" s="357"/>
      <c r="FC235" s="357"/>
      <c r="FD235" s="357"/>
      <c r="FE235" s="357"/>
      <c r="FF235" s="357"/>
      <c r="FG235" s="357"/>
      <c r="FH235" s="357"/>
      <c r="FI235" s="357"/>
      <c r="FJ235" s="357"/>
      <c r="FK235" s="357"/>
      <c r="FL235" s="357"/>
      <c r="FM235" s="357"/>
      <c r="FN235" s="357"/>
      <c r="FO235" s="357"/>
      <c r="FP235" s="357"/>
      <c r="FQ235" s="357"/>
      <c r="FR235" s="357"/>
      <c r="FS235" s="357"/>
      <c r="FT235" s="357"/>
      <c r="FU235" s="357"/>
      <c r="FV235" s="357"/>
      <c r="FW235" s="357"/>
      <c r="FX235" s="357"/>
      <c r="FY235" s="357"/>
      <c r="FZ235" s="357"/>
      <c r="GA235" s="357"/>
      <c r="GB235" s="357"/>
      <c r="GC235" s="357"/>
      <c r="GD235" s="357"/>
      <c r="GE235" s="357"/>
      <c r="GF235" s="357"/>
      <c r="GG235" s="357"/>
      <c r="GH235" s="357"/>
      <c r="GI235" s="357"/>
      <c r="GJ235" s="357"/>
      <c r="GK235" s="357"/>
      <c r="GL235" s="357"/>
      <c r="GM235" s="357"/>
      <c r="GN235" s="357"/>
      <c r="GO235" s="357"/>
      <c r="GP235" s="357"/>
      <c r="GQ235" s="357"/>
      <c r="GR235" s="357"/>
      <c r="GS235" s="357"/>
      <c r="GT235" s="357"/>
      <c r="GU235" s="357"/>
      <c r="GV235" s="357"/>
      <c r="GW235" s="357"/>
      <c r="GX235" s="357"/>
      <c r="GY235" s="357"/>
      <c r="GZ235" s="357"/>
      <c r="HA235" s="357"/>
      <c r="HB235" s="357"/>
      <c r="HC235" s="357"/>
      <c r="HD235" s="357"/>
      <c r="HE235" s="357"/>
      <c r="HF235" s="357"/>
      <c r="HG235" s="357"/>
      <c r="HH235" s="357"/>
      <c r="HI235" s="357"/>
      <c r="HJ235" s="357"/>
      <c r="HK235" s="357"/>
      <c r="HL235" s="357"/>
      <c r="HM235" s="357"/>
      <c r="HN235" s="357"/>
      <c r="HO235" s="357"/>
      <c r="HP235" s="357"/>
      <c r="HQ235" s="357"/>
      <c r="HR235" s="357"/>
      <c r="HS235" s="357"/>
      <c r="HT235" s="357"/>
      <c r="HU235" s="357"/>
      <c r="HV235" s="357"/>
      <c r="HW235" s="357"/>
      <c r="HX235" s="357"/>
      <c r="HY235" s="357"/>
      <c r="HZ235" s="357"/>
      <c r="IA235" s="357"/>
      <c r="IB235" s="357"/>
      <c r="IC235" s="357"/>
      <c r="ID235" s="357"/>
      <c r="IE235" s="357"/>
      <c r="IF235" s="357"/>
      <c r="IG235" s="357"/>
      <c r="IH235" s="357"/>
      <c r="II235" s="357"/>
      <c r="IJ235" s="357"/>
      <c r="IK235" s="357"/>
      <c r="IL235" s="357"/>
      <c r="IM235" s="357"/>
      <c r="IN235" s="357"/>
      <c r="IO235" s="357"/>
      <c r="IP235" s="357"/>
      <c r="IQ235" s="357"/>
      <c r="IR235" s="357"/>
      <c r="IS235" s="357"/>
      <c r="IT235" s="357"/>
      <c r="IU235" s="357"/>
      <c r="IV235" s="357"/>
      <c r="IW235" s="357"/>
      <c r="IX235" s="357"/>
      <c r="IY235" s="357"/>
      <c r="IZ235" s="357"/>
      <c r="JA235" s="357"/>
      <c r="JB235" s="357"/>
      <c r="JC235" s="357"/>
      <c r="JD235" s="357"/>
      <c r="JE235" s="357"/>
      <c r="JF235" s="357"/>
      <c r="JG235" s="357"/>
      <c r="JH235" s="357"/>
      <c r="JI235" s="357"/>
      <c r="JJ235" s="357"/>
      <c r="JK235" s="357"/>
      <c r="JL235" s="357"/>
      <c r="JM235" s="357"/>
      <c r="JN235" s="357"/>
      <c r="JO235" s="357"/>
      <c r="JP235" s="357"/>
      <c r="JQ235" s="357"/>
      <c r="JR235" s="357"/>
      <c r="JS235" s="357"/>
      <c r="JT235" s="357"/>
      <c r="JU235" s="357"/>
      <c r="JV235" s="357"/>
      <c r="JW235" s="357"/>
      <c r="JX235" s="357"/>
      <c r="JY235" s="357"/>
      <c r="JZ235" s="357"/>
      <c r="KA235" s="357"/>
      <c r="KB235" s="357"/>
      <c r="KC235" s="357"/>
      <c r="KD235" s="357"/>
      <c r="KE235" s="357"/>
      <c r="KF235" s="357"/>
      <c r="KG235" s="357"/>
      <c r="KH235" s="357"/>
      <c r="KI235" s="357"/>
      <c r="KJ235" s="357"/>
      <c r="KK235" s="357"/>
      <c r="KL235" s="357"/>
      <c r="KM235" s="357"/>
      <c r="KN235" s="357"/>
      <c r="KO235" s="357"/>
      <c r="KP235" s="357"/>
      <c r="KQ235" s="357"/>
      <c r="KR235" s="357"/>
      <c r="KS235" s="357"/>
      <c r="KT235" s="357"/>
      <c r="KU235" s="357"/>
      <c r="KV235" s="357"/>
      <c r="KW235" s="357"/>
      <c r="KX235" s="357"/>
      <c r="KY235" s="357"/>
      <c r="KZ235" s="357"/>
      <c r="LA235" s="357"/>
      <c r="LB235" s="357"/>
      <c r="LC235" s="357"/>
      <c r="LD235" s="357"/>
      <c r="LE235" s="357"/>
      <c r="LF235" s="357"/>
      <c r="LG235" s="357"/>
      <c r="LH235" s="357"/>
      <c r="LI235" s="357"/>
      <c r="LJ235" s="357"/>
      <c r="LK235" s="357"/>
      <c r="LL235" s="357"/>
      <c r="LM235" s="357"/>
      <c r="LN235" s="357"/>
      <c r="LO235" s="357"/>
      <c r="LP235" s="357"/>
      <c r="LQ235" s="357"/>
      <c r="LR235" s="357"/>
      <c r="LS235" s="357"/>
      <c r="LT235" s="357"/>
      <c r="LU235" s="357"/>
      <c r="LV235" s="357"/>
      <c r="LW235" s="357"/>
      <c r="LX235" s="357"/>
      <c r="LY235" s="357"/>
      <c r="LZ235" s="357"/>
      <c r="MA235" s="357"/>
      <c r="MB235" s="357"/>
    </row>
    <row r="236" spans="1:340" s="358" customFormat="1" ht="21" customHeight="1">
      <c r="A236" s="2529"/>
      <c r="B236" s="1145"/>
      <c r="C236" s="2357"/>
      <c r="D236" s="1126"/>
      <c r="E236" s="470" t="s">
        <v>3232</v>
      </c>
      <c r="F236" s="598">
        <f>ROUNDUP(+Z236/1000,0)</f>
        <v>7500</v>
      </c>
      <c r="G236" s="337">
        <v>7500</v>
      </c>
      <c r="H236" s="338"/>
      <c r="I236" s="2357"/>
      <c r="J236" s="1903" t="s">
        <v>307</v>
      </c>
      <c r="K236" s="807"/>
      <c r="L236" s="807"/>
      <c r="M236" s="807"/>
      <c r="N236" s="646"/>
      <c r="O236" s="646"/>
      <c r="P236" s="646"/>
      <c r="Q236" s="408"/>
      <c r="R236" s="2533"/>
      <c r="S236" s="1672">
        <v>1500000</v>
      </c>
      <c r="T236" s="1671" t="s">
        <v>3201</v>
      </c>
      <c r="U236" s="1671"/>
      <c r="V236" s="1671">
        <v>5</v>
      </c>
      <c r="W236" s="1671" t="s">
        <v>3</v>
      </c>
      <c r="X236" s="397" t="s">
        <v>1</v>
      </c>
      <c r="Y236" s="1674">
        <f t="shared" si="64"/>
        <v>7500</v>
      </c>
      <c r="Z236" s="407">
        <f>S236*V236</f>
        <v>7500000</v>
      </c>
      <c r="AB236" s="357"/>
      <c r="AD236" s="357"/>
      <c r="AE236" s="357"/>
      <c r="AF236" s="357"/>
      <c r="AG236" s="357"/>
      <c r="AH236" s="357"/>
      <c r="AI236" s="357"/>
      <c r="AJ236" s="357"/>
      <c r="AK236" s="357"/>
      <c r="AL236" s="357"/>
      <c r="AM236" s="357"/>
      <c r="AN236" s="357"/>
      <c r="AO236" s="357"/>
      <c r="AP236" s="357"/>
      <c r="AQ236" s="357"/>
      <c r="AR236" s="357"/>
      <c r="AS236" s="357"/>
      <c r="AT236" s="357"/>
      <c r="AU236" s="357"/>
      <c r="AV236" s="357"/>
      <c r="AW236" s="357"/>
      <c r="AX236" s="357"/>
      <c r="AY236" s="357"/>
      <c r="AZ236" s="357"/>
      <c r="BA236" s="357"/>
      <c r="BB236" s="357"/>
      <c r="BC236" s="357"/>
      <c r="BD236" s="357"/>
      <c r="BE236" s="357"/>
      <c r="BF236" s="357"/>
      <c r="BG236" s="357"/>
      <c r="BH236" s="357"/>
      <c r="BI236" s="357"/>
      <c r="BJ236" s="357"/>
      <c r="BK236" s="357"/>
      <c r="BL236" s="357"/>
      <c r="BM236" s="357"/>
      <c r="BN236" s="357"/>
      <c r="BO236" s="357"/>
      <c r="BP236" s="357"/>
      <c r="BQ236" s="357"/>
      <c r="BR236" s="357"/>
      <c r="BS236" s="357"/>
      <c r="BT236" s="357"/>
      <c r="BU236" s="357"/>
      <c r="BV236" s="357"/>
      <c r="BW236" s="357"/>
      <c r="BX236" s="357"/>
      <c r="BY236" s="357"/>
      <c r="BZ236" s="357"/>
      <c r="CA236" s="357"/>
      <c r="CB236" s="357"/>
      <c r="CC236" s="357"/>
      <c r="CD236" s="357"/>
      <c r="CE236" s="357"/>
      <c r="CF236" s="357"/>
      <c r="CG236" s="357"/>
      <c r="CH236" s="357"/>
      <c r="CI236" s="357"/>
      <c r="CJ236" s="357"/>
      <c r="CK236" s="357"/>
      <c r="CL236" s="357"/>
      <c r="CM236" s="357"/>
      <c r="CN236" s="357"/>
      <c r="CO236" s="357"/>
      <c r="CP236" s="357"/>
      <c r="CQ236" s="357"/>
      <c r="CR236" s="357"/>
      <c r="CS236" s="357"/>
      <c r="CT236" s="357"/>
      <c r="CU236" s="357"/>
      <c r="CV236" s="357"/>
      <c r="CW236" s="357"/>
      <c r="CX236" s="357"/>
      <c r="CY236" s="357"/>
      <c r="CZ236" s="357"/>
      <c r="DA236" s="357"/>
      <c r="DB236" s="357"/>
      <c r="DC236" s="357"/>
      <c r="DD236" s="357"/>
      <c r="DE236" s="357"/>
      <c r="DF236" s="357"/>
      <c r="DG236" s="357"/>
      <c r="DH236" s="357"/>
      <c r="DI236" s="357"/>
      <c r="DJ236" s="357"/>
      <c r="DK236" s="357"/>
      <c r="DL236" s="357"/>
      <c r="DM236" s="357"/>
      <c r="DN236" s="357"/>
      <c r="DO236" s="357"/>
      <c r="DP236" s="357"/>
      <c r="DQ236" s="357"/>
      <c r="DR236" s="357"/>
      <c r="DS236" s="357"/>
      <c r="DT236" s="357"/>
      <c r="DU236" s="357"/>
      <c r="DV236" s="357"/>
      <c r="DW236" s="357"/>
      <c r="DX236" s="357"/>
      <c r="DY236" s="357"/>
      <c r="DZ236" s="357"/>
      <c r="EA236" s="357"/>
      <c r="EB236" s="357"/>
      <c r="EC236" s="357"/>
      <c r="ED236" s="357"/>
      <c r="EE236" s="357"/>
      <c r="EF236" s="357"/>
      <c r="EG236" s="357"/>
      <c r="EH236" s="357"/>
      <c r="EI236" s="357"/>
      <c r="EJ236" s="357"/>
      <c r="EK236" s="357"/>
      <c r="EL236" s="357"/>
      <c r="EM236" s="357"/>
      <c r="EN236" s="357"/>
      <c r="EO236" s="357"/>
      <c r="EP236" s="357"/>
      <c r="EQ236" s="357"/>
      <c r="ER236" s="357"/>
      <c r="ES236" s="357"/>
      <c r="ET236" s="357"/>
      <c r="EU236" s="357"/>
      <c r="EV236" s="357"/>
      <c r="EW236" s="357"/>
      <c r="EX236" s="357"/>
      <c r="EY236" s="357"/>
      <c r="EZ236" s="357"/>
      <c r="FA236" s="357"/>
      <c r="FB236" s="357"/>
      <c r="FC236" s="357"/>
      <c r="FD236" s="357"/>
      <c r="FE236" s="357"/>
      <c r="FF236" s="357"/>
      <c r="FG236" s="357"/>
      <c r="FH236" s="357"/>
      <c r="FI236" s="357"/>
      <c r="FJ236" s="357"/>
      <c r="FK236" s="357"/>
      <c r="FL236" s="357"/>
      <c r="FM236" s="357"/>
      <c r="FN236" s="357"/>
      <c r="FO236" s="357"/>
      <c r="FP236" s="357"/>
      <c r="FQ236" s="357"/>
      <c r="FR236" s="357"/>
      <c r="FS236" s="357"/>
      <c r="FT236" s="357"/>
      <c r="FU236" s="357"/>
      <c r="FV236" s="357"/>
      <c r="FW236" s="357"/>
      <c r="FX236" s="357"/>
      <c r="FY236" s="357"/>
      <c r="FZ236" s="357"/>
      <c r="GA236" s="357"/>
      <c r="GB236" s="357"/>
      <c r="GC236" s="357"/>
      <c r="GD236" s="357"/>
      <c r="GE236" s="357"/>
      <c r="GF236" s="357"/>
      <c r="GG236" s="357"/>
      <c r="GH236" s="357"/>
      <c r="GI236" s="357"/>
      <c r="GJ236" s="357"/>
      <c r="GK236" s="357"/>
      <c r="GL236" s="357"/>
      <c r="GM236" s="357"/>
      <c r="GN236" s="357"/>
      <c r="GO236" s="357"/>
      <c r="GP236" s="357"/>
      <c r="GQ236" s="357"/>
      <c r="GR236" s="357"/>
      <c r="GS236" s="357"/>
      <c r="GT236" s="357"/>
      <c r="GU236" s="357"/>
      <c r="GV236" s="357"/>
      <c r="GW236" s="357"/>
      <c r="GX236" s="357"/>
      <c r="GY236" s="357"/>
      <c r="GZ236" s="357"/>
      <c r="HA236" s="357"/>
      <c r="HB236" s="357"/>
      <c r="HC236" s="357"/>
      <c r="HD236" s="357"/>
      <c r="HE236" s="357"/>
      <c r="HF236" s="357"/>
      <c r="HG236" s="357"/>
      <c r="HH236" s="357"/>
      <c r="HI236" s="357"/>
      <c r="HJ236" s="357"/>
      <c r="HK236" s="357"/>
      <c r="HL236" s="357"/>
      <c r="HM236" s="357"/>
      <c r="HN236" s="357"/>
      <c r="HO236" s="357"/>
      <c r="HP236" s="357"/>
      <c r="HQ236" s="357"/>
      <c r="HR236" s="357"/>
      <c r="HS236" s="357"/>
      <c r="HT236" s="357"/>
      <c r="HU236" s="357"/>
      <c r="HV236" s="357"/>
      <c r="HW236" s="357"/>
      <c r="HX236" s="357"/>
      <c r="HY236" s="357"/>
      <c r="HZ236" s="357"/>
      <c r="IA236" s="357"/>
      <c r="IB236" s="357"/>
      <c r="IC236" s="357"/>
      <c r="ID236" s="357"/>
      <c r="IE236" s="357"/>
      <c r="IF236" s="357"/>
      <c r="IG236" s="357"/>
      <c r="IH236" s="357"/>
      <c r="II236" s="357"/>
      <c r="IJ236" s="357"/>
      <c r="IK236" s="357"/>
      <c r="IL236" s="357"/>
      <c r="IM236" s="357"/>
      <c r="IN236" s="357"/>
      <c r="IO236" s="357"/>
      <c r="IP236" s="357"/>
      <c r="IQ236" s="357"/>
      <c r="IR236" s="357"/>
      <c r="IS236" s="357"/>
      <c r="IT236" s="357"/>
      <c r="IU236" s="357"/>
      <c r="IV236" s="357"/>
      <c r="IW236" s="357"/>
      <c r="IX236" s="357"/>
      <c r="IY236" s="357"/>
      <c r="IZ236" s="357"/>
      <c r="JA236" s="357"/>
      <c r="JB236" s="357"/>
      <c r="JC236" s="357"/>
      <c r="JD236" s="357"/>
      <c r="JE236" s="357"/>
      <c r="JF236" s="357"/>
      <c r="JG236" s="357"/>
      <c r="JH236" s="357"/>
      <c r="JI236" s="357"/>
      <c r="JJ236" s="357"/>
      <c r="JK236" s="357"/>
      <c r="JL236" s="357"/>
      <c r="JM236" s="357"/>
      <c r="JN236" s="357"/>
      <c r="JO236" s="357"/>
      <c r="JP236" s="357"/>
      <c r="JQ236" s="357"/>
      <c r="JR236" s="357"/>
      <c r="JS236" s="357"/>
      <c r="JT236" s="357"/>
      <c r="JU236" s="357"/>
      <c r="JV236" s="357"/>
      <c r="JW236" s="357"/>
      <c r="JX236" s="357"/>
      <c r="JY236" s="357"/>
      <c r="JZ236" s="357"/>
      <c r="KA236" s="357"/>
      <c r="KB236" s="357"/>
      <c r="KC236" s="357"/>
      <c r="KD236" s="357"/>
      <c r="KE236" s="357"/>
      <c r="KF236" s="357"/>
      <c r="KG236" s="357"/>
      <c r="KH236" s="357"/>
      <c r="KI236" s="357"/>
      <c r="KJ236" s="357"/>
      <c r="KK236" s="357"/>
      <c r="KL236" s="357"/>
      <c r="KM236" s="357"/>
      <c r="KN236" s="357"/>
      <c r="KO236" s="357"/>
      <c r="KP236" s="357"/>
      <c r="KQ236" s="357"/>
      <c r="KR236" s="357"/>
      <c r="KS236" s="357"/>
      <c r="KT236" s="357"/>
      <c r="KU236" s="357"/>
      <c r="KV236" s="357"/>
      <c r="KW236" s="357"/>
      <c r="KX236" s="357"/>
      <c r="KY236" s="357"/>
      <c r="KZ236" s="357"/>
      <c r="LA236" s="357"/>
      <c r="LB236" s="357"/>
      <c r="LC236" s="357"/>
      <c r="LD236" s="357"/>
      <c r="LE236" s="357"/>
      <c r="LF236" s="357"/>
      <c r="LG236" s="357"/>
      <c r="LH236" s="357"/>
      <c r="LI236" s="357"/>
      <c r="LJ236" s="357"/>
      <c r="LK236" s="357"/>
      <c r="LL236" s="357"/>
      <c r="LM236" s="357"/>
      <c r="LN236" s="357"/>
      <c r="LO236" s="357"/>
      <c r="LP236" s="357"/>
      <c r="LQ236" s="357"/>
      <c r="LR236" s="357"/>
      <c r="LS236" s="357"/>
      <c r="LT236" s="357"/>
      <c r="LU236" s="357"/>
      <c r="LV236" s="357"/>
      <c r="LW236" s="357"/>
      <c r="LX236" s="357"/>
      <c r="LY236" s="357"/>
      <c r="LZ236" s="357"/>
      <c r="MA236" s="357"/>
      <c r="MB236" s="357"/>
    </row>
    <row r="237" spans="1:340" s="358" customFormat="1" ht="21" customHeight="1">
      <c r="A237" s="2529"/>
      <c r="B237" s="1145"/>
      <c r="C237" s="2357"/>
      <c r="D237" s="1126"/>
      <c r="E237" s="1126" t="s">
        <v>3210</v>
      </c>
      <c r="F237" s="598">
        <f>ROUNDUP(+Z237/1000,0)</f>
        <v>24000</v>
      </c>
      <c r="G237" s="337">
        <v>24000</v>
      </c>
      <c r="H237" s="338"/>
      <c r="I237" s="2357"/>
      <c r="J237" s="1903" t="s">
        <v>3190</v>
      </c>
      <c r="K237" s="807"/>
      <c r="L237" s="807"/>
      <c r="M237" s="807"/>
      <c r="N237" s="646"/>
      <c r="O237" s="646"/>
      <c r="P237" s="646"/>
      <c r="Q237" s="650"/>
      <c r="R237" s="2533"/>
      <c r="S237" s="2533" t="s">
        <v>3226</v>
      </c>
      <c r="T237" s="2539" t="s">
        <v>3226</v>
      </c>
      <c r="U237" s="2539" t="s">
        <v>3226</v>
      </c>
      <c r="V237" s="2539" t="s">
        <v>3226</v>
      </c>
      <c r="W237" s="2539" t="s">
        <v>3226</v>
      </c>
      <c r="X237" s="1140" t="s">
        <v>3226</v>
      </c>
      <c r="Y237" s="1674">
        <f t="shared" si="64"/>
        <v>24000</v>
      </c>
      <c r="Z237" s="1324">
        <f>+Z238+Z239</f>
        <v>24000000</v>
      </c>
      <c r="AB237" s="357"/>
      <c r="AD237" s="357"/>
      <c r="AE237" s="357"/>
      <c r="AF237" s="357"/>
      <c r="AG237" s="357"/>
      <c r="AH237" s="357"/>
      <c r="AI237" s="357"/>
      <c r="AJ237" s="357"/>
      <c r="AK237" s="357"/>
      <c r="AL237" s="357"/>
      <c r="AM237" s="357"/>
      <c r="AN237" s="357"/>
      <c r="AO237" s="357"/>
      <c r="AP237" s="357"/>
      <c r="AQ237" s="357"/>
      <c r="AR237" s="357"/>
      <c r="AS237" s="357"/>
      <c r="AT237" s="357"/>
      <c r="AU237" s="357"/>
      <c r="AV237" s="357"/>
      <c r="AW237" s="357"/>
      <c r="AX237" s="357"/>
      <c r="AY237" s="357"/>
      <c r="AZ237" s="357"/>
      <c r="BA237" s="357"/>
      <c r="BB237" s="357"/>
      <c r="BC237" s="357"/>
      <c r="BD237" s="357"/>
      <c r="BE237" s="357"/>
      <c r="BF237" s="357"/>
      <c r="BG237" s="357"/>
      <c r="BH237" s="357"/>
      <c r="BI237" s="357"/>
      <c r="BJ237" s="357"/>
      <c r="BK237" s="357"/>
      <c r="BL237" s="357"/>
      <c r="BM237" s="357"/>
      <c r="BN237" s="357"/>
      <c r="BO237" s="357"/>
      <c r="BP237" s="357"/>
      <c r="BQ237" s="357"/>
      <c r="BR237" s="357"/>
      <c r="BS237" s="357"/>
      <c r="BT237" s="357"/>
      <c r="BU237" s="357"/>
      <c r="BV237" s="357"/>
      <c r="BW237" s="357"/>
      <c r="BX237" s="357"/>
      <c r="BY237" s="357"/>
      <c r="BZ237" s="357"/>
      <c r="CA237" s="357"/>
      <c r="CB237" s="357"/>
      <c r="CC237" s="357"/>
      <c r="CD237" s="357"/>
      <c r="CE237" s="357"/>
      <c r="CF237" s="357"/>
      <c r="CG237" s="357"/>
      <c r="CH237" s="357"/>
      <c r="CI237" s="357"/>
      <c r="CJ237" s="357"/>
      <c r="CK237" s="357"/>
      <c r="CL237" s="357"/>
      <c r="CM237" s="357"/>
      <c r="CN237" s="357"/>
      <c r="CO237" s="357"/>
      <c r="CP237" s="357"/>
      <c r="CQ237" s="357"/>
      <c r="CR237" s="357"/>
      <c r="CS237" s="357"/>
      <c r="CT237" s="357"/>
      <c r="CU237" s="357"/>
      <c r="CV237" s="357"/>
      <c r="CW237" s="357"/>
      <c r="CX237" s="357"/>
      <c r="CY237" s="357"/>
      <c r="CZ237" s="357"/>
      <c r="DA237" s="357"/>
      <c r="DB237" s="357"/>
      <c r="DC237" s="357"/>
      <c r="DD237" s="357"/>
      <c r="DE237" s="357"/>
      <c r="DF237" s="357"/>
      <c r="DG237" s="357"/>
      <c r="DH237" s="357"/>
      <c r="DI237" s="357"/>
      <c r="DJ237" s="357"/>
      <c r="DK237" s="357"/>
      <c r="DL237" s="357"/>
      <c r="DM237" s="357"/>
      <c r="DN237" s="357"/>
      <c r="DO237" s="357"/>
      <c r="DP237" s="357"/>
      <c r="DQ237" s="357"/>
      <c r="DR237" s="357"/>
      <c r="DS237" s="357"/>
      <c r="DT237" s="357"/>
      <c r="DU237" s="357"/>
      <c r="DV237" s="357"/>
      <c r="DW237" s="357"/>
      <c r="DX237" s="357"/>
      <c r="DY237" s="357"/>
      <c r="DZ237" s="357"/>
      <c r="EA237" s="357"/>
      <c r="EB237" s="357"/>
      <c r="EC237" s="357"/>
      <c r="ED237" s="357"/>
      <c r="EE237" s="357"/>
      <c r="EF237" s="357"/>
      <c r="EG237" s="357"/>
      <c r="EH237" s="357"/>
      <c r="EI237" s="357"/>
      <c r="EJ237" s="357"/>
      <c r="EK237" s="357"/>
      <c r="EL237" s="357"/>
      <c r="EM237" s="357"/>
      <c r="EN237" s="357"/>
      <c r="EO237" s="357"/>
      <c r="EP237" s="357"/>
      <c r="EQ237" s="357"/>
      <c r="ER237" s="357"/>
      <c r="ES237" s="357"/>
      <c r="ET237" s="357"/>
      <c r="EU237" s="357"/>
      <c r="EV237" s="357"/>
      <c r="EW237" s="357"/>
      <c r="EX237" s="357"/>
      <c r="EY237" s="357"/>
      <c r="EZ237" s="357"/>
      <c r="FA237" s="357"/>
      <c r="FB237" s="357"/>
      <c r="FC237" s="357"/>
      <c r="FD237" s="357"/>
      <c r="FE237" s="357"/>
      <c r="FF237" s="357"/>
      <c r="FG237" s="357"/>
      <c r="FH237" s="357"/>
      <c r="FI237" s="357"/>
      <c r="FJ237" s="357"/>
      <c r="FK237" s="357"/>
      <c r="FL237" s="357"/>
      <c r="FM237" s="357"/>
      <c r="FN237" s="357"/>
      <c r="FO237" s="357"/>
      <c r="FP237" s="357"/>
      <c r="FQ237" s="357"/>
      <c r="FR237" s="357"/>
      <c r="FS237" s="357"/>
      <c r="FT237" s="357"/>
      <c r="FU237" s="357"/>
      <c r="FV237" s="357"/>
      <c r="FW237" s="357"/>
      <c r="FX237" s="357"/>
      <c r="FY237" s="357"/>
      <c r="FZ237" s="357"/>
      <c r="GA237" s="357"/>
      <c r="GB237" s="357"/>
      <c r="GC237" s="357"/>
      <c r="GD237" s="357"/>
      <c r="GE237" s="357"/>
      <c r="GF237" s="357"/>
      <c r="GG237" s="357"/>
      <c r="GH237" s="357"/>
      <c r="GI237" s="357"/>
      <c r="GJ237" s="357"/>
      <c r="GK237" s="357"/>
      <c r="GL237" s="357"/>
      <c r="GM237" s="357"/>
      <c r="GN237" s="357"/>
      <c r="GO237" s="357"/>
      <c r="GP237" s="357"/>
      <c r="GQ237" s="357"/>
      <c r="GR237" s="357"/>
      <c r="GS237" s="357"/>
      <c r="GT237" s="357"/>
      <c r="GU237" s="357"/>
      <c r="GV237" s="357"/>
      <c r="GW237" s="357"/>
      <c r="GX237" s="357"/>
      <c r="GY237" s="357"/>
      <c r="GZ237" s="357"/>
      <c r="HA237" s="357"/>
      <c r="HB237" s="357"/>
      <c r="HC237" s="357"/>
      <c r="HD237" s="357"/>
      <c r="HE237" s="357"/>
      <c r="HF237" s="357"/>
      <c r="HG237" s="357"/>
      <c r="HH237" s="357"/>
      <c r="HI237" s="357"/>
      <c r="HJ237" s="357"/>
      <c r="HK237" s="357"/>
      <c r="HL237" s="357"/>
      <c r="HM237" s="357"/>
      <c r="HN237" s="357"/>
      <c r="HO237" s="357"/>
      <c r="HP237" s="357"/>
      <c r="HQ237" s="357"/>
      <c r="HR237" s="357"/>
      <c r="HS237" s="357"/>
      <c r="HT237" s="357"/>
      <c r="HU237" s="357"/>
      <c r="HV237" s="357"/>
      <c r="HW237" s="357"/>
      <c r="HX237" s="357"/>
      <c r="HY237" s="357"/>
      <c r="HZ237" s="357"/>
      <c r="IA237" s="357"/>
      <c r="IB237" s="357"/>
      <c r="IC237" s="357"/>
      <c r="ID237" s="357"/>
      <c r="IE237" s="357"/>
      <c r="IF237" s="357"/>
      <c r="IG237" s="357"/>
      <c r="IH237" s="357"/>
      <c r="II237" s="357"/>
      <c r="IJ237" s="357"/>
      <c r="IK237" s="357"/>
      <c r="IL237" s="357"/>
      <c r="IM237" s="357"/>
      <c r="IN237" s="357"/>
      <c r="IO237" s="357"/>
      <c r="IP237" s="357"/>
      <c r="IQ237" s="357"/>
      <c r="IR237" s="357"/>
      <c r="IS237" s="357"/>
      <c r="IT237" s="357"/>
      <c r="IU237" s="357"/>
      <c r="IV237" s="357"/>
      <c r="IW237" s="357"/>
      <c r="IX237" s="357"/>
      <c r="IY237" s="357"/>
      <c r="IZ237" s="357"/>
      <c r="JA237" s="357"/>
      <c r="JB237" s="357"/>
      <c r="JC237" s="357"/>
      <c r="JD237" s="357"/>
      <c r="JE237" s="357"/>
      <c r="JF237" s="357"/>
      <c r="JG237" s="357"/>
      <c r="JH237" s="357"/>
      <c r="JI237" s="357"/>
      <c r="JJ237" s="357"/>
      <c r="JK237" s="357"/>
      <c r="JL237" s="357"/>
      <c r="JM237" s="357"/>
      <c r="JN237" s="357"/>
      <c r="JO237" s="357"/>
      <c r="JP237" s="357"/>
      <c r="JQ237" s="357"/>
      <c r="JR237" s="357"/>
      <c r="JS237" s="357"/>
      <c r="JT237" s="357"/>
      <c r="JU237" s="357"/>
      <c r="JV237" s="357"/>
      <c r="JW237" s="357"/>
      <c r="JX237" s="357"/>
      <c r="JY237" s="357"/>
      <c r="JZ237" s="357"/>
      <c r="KA237" s="357"/>
      <c r="KB237" s="357"/>
      <c r="KC237" s="357"/>
      <c r="KD237" s="357"/>
      <c r="KE237" s="357"/>
      <c r="KF237" s="357"/>
      <c r="KG237" s="357"/>
      <c r="KH237" s="357"/>
      <c r="KI237" s="357"/>
      <c r="KJ237" s="357"/>
      <c r="KK237" s="357"/>
      <c r="KL237" s="357"/>
      <c r="KM237" s="357"/>
      <c r="KN237" s="357"/>
      <c r="KO237" s="357"/>
      <c r="KP237" s="357"/>
      <c r="KQ237" s="357"/>
      <c r="KR237" s="357"/>
      <c r="KS237" s="357"/>
      <c r="KT237" s="357"/>
      <c r="KU237" s="357"/>
      <c r="KV237" s="357"/>
      <c r="KW237" s="357"/>
      <c r="KX237" s="357"/>
      <c r="KY237" s="357"/>
      <c r="KZ237" s="357"/>
      <c r="LA237" s="357"/>
      <c r="LB237" s="357"/>
      <c r="LC237" s="357"/>
      <c r="LD237" s="357"/>
      <c r="LE237" s="357"/>
      <c r="LF237" s="357"/>
      <c r="LG237" s="357"/>
      <c r="LH237" s="357"/>
      <c r="LI237" s="357"/>
      <c r="LJ237" s="357"/>
      <c r="LK237" s="357"/>
      <c r="LL237" s="357"/>
      <c r="LM237" s="357"/>
      <c r="LN237" s="357"/>
      <c r="LO237" s="357"/>
      <c r="LP237" s="357"/>
      <c r="LQ237" s="357"/>
      <c r="LR237" s="357"/>
      <c r="LS237" s="357"/>
      <c r="LT237" s="357"/>
      <c r="LU237" s="357"/>
      <c r="LV237" s="357"/>
      <c r="LW237" s="357"/>
      <c r="LX237" s="357"/>
      <c r="LY237" s="357"/>
      <c r="LZ237" s="357"/>
      <c r="MA237" s="357"/>
      <c r="MB237" s="357"/>
    </row>
    <row r="238" spans="1:340" s="358" customFormat="1" ht="21" customHeight="1">
      <c r="A238" s="2529"/>
      <c r="B238" s="1145"/>
      <c r="C238" s="2357"/>
      <c r="D238" s="1126"/>
      <c r="E238" s="1126"/>
      <c r="F238" s="598"/>
      <c r="G238" s="337"/>
      <c r="H238" s="338"/>
      <c r="I238" s="2357"/>
      <c r="J238" s="1903" t="s">
        <v>3233</v>
      </c>
      <c r="K238" s="807"/>
      <c r="L238" s="807"/>
      <c r="M238" s="807"/>
      <c r="N238" s="646"/>
      <c r="O238" s="646"/>
      <c r="P238" s="646"/>
      <c r="Q238" s="408">
        <v>1000</v>
      </c>
      <c r="R238" s="2533" t="s">
        <v>3234</v>
      </c>
      <c r="S238" s="1672">
        <v>12000</v>
      </c>
      <c r="T238" s="1671" t="s">
        <v>3201</v>
      </c>
      <c r="U238" s="1671"/>
      <c r="V238" s="1671">
        <v>1</v>
      </c>
      <c r="W238" s="1671" t="s">
        <v>3202</v>
      </c>
      <c r="X238" s="397" t="s">
        <v>3212</v>
      </c>
      <c r="Y238" s="1674">
        <f t="shared" si="64"/>
        <v>12000</v>
      </c>
      <c r="Z238" s="407">
        <f>Q238*S238*V238</f>
        <v>12000000</v>
      </c>
      <c r="AB238" s="357"/>
      <c r="AD238" s="357"/>
      <c r="AE238" s="357"/>
      <c r="AF238" s="357"/>
      <c r="AG238" s="357"/>
      <c r="AH238" s="357"/>
      <c r="AI238" s="357"/>
      <c r="AJ238" s="357"/>
      <c r="AK238" s="357"/>
      <c r="AL238" s="357"/>
      <c r="AM238" s="357"/>
      <c r="AN238" s="357"/>
      <c r="AO238" s="357"/>
      <c r="AP238" s="357"/>
      <c r="AQ238" s="357"/>
      <c r="AR238" s="357"/>
      <c r="AS238" s="357"/>
      <c r="AT238" s="357"/>
      <c r="AU238" s="357"/>
      <c r="AV238" s="357"/>
      <c r="AW238" s="357"/>
      <c r="AX238" s="357"/>
      <c r="AY238" s="357"/>
      <c r="AZ238" s="357"/>
      <c r="BA238" s="357"/>
      <c r="BB238" s="357"/>
      <c r="BC238" s="357"/>
      <c r="BD238" s="357"/>
      <c r="BE238" s="357"/>
      <c r="BF238" s="357"/>
      <c r="BG238" s="357"/>
      <c r="BH238" s="357"/>
      <c r="BI238" s="357"/>
      <c r="BJ238" s="357"/>
      <c r="BK238" s="357"/>
      <c r="BL238" s="357"/>
      <c r="BM238" s="357"/>
      <c r="BN238" s="357"/>
      <c r="BO238" s="357"/>
      <c r="BP238" s="357"/>
      <c r="BQ238" s="357"/>
      <c r="BR238" s="357"/>
      <c r="BS238" s="357"/>
      <c r="BT238" s="357"/>
      <c r="BU238" s="357"/>
      <c r="BV238" s="357"/>
      <c r="BW238" s="357"/>
      <c r="BX238" s="357"/>
      <c r="BY238" s="357"/>
      <c r="BZ238" s="357"/>
      <c r="CA238" s="357"/>
      <c r="CB238" s="357"/>
      <c r="CC238" s="357"/>
      <c r="CD238" s="357"/>
      <c r="CE238" s="357"/>
      <c r="CF238" s="357"/>
      <c r="CG238" s="357"/>
      <c r="CH238" s="357"/>
      <c r="CI238" s="357"/>
      <c r="CJ238" s="357"/>
      <c r="CK238" s="357"/>
      <c r="CL238" s="357"/>
      <c r="CM238" s="357"/>
      <c r="CN238" s="357"/>
      <c r="CO238" s="357"/>
      <c r="CP238" s="357"/>
      <c r="CQ238" s="357"/>
      <c r="CR238" s="357"/>
      <c r="CS238" s="357"/>
      <c r="CT238" s="357"/>
      <c r="CU238" s="357"/>
      <c r="CV238" s="357"/>
      <c r="CW238" s="357"/>
      <c r="CX238" s="357"/>
      <c r="CY238" s="357"/>
      <c r="CZ238" s="357"/>
      <c r="DA238" s="357"/>
      <c r="DB238" s="357"/>
      <c r="DC238" s="357"/>
      <c r="DD238" s="357"/>
      <c r="DE238" s="357"/>
      <c r="DF238" s="357"/>
      <c r="DG238" s="357"/>
      <c r="DH238" s="357"/>
      <c r="DI238" s="357"/>
      <c r="DJ238" s="357"/>
      <c r="DK238" s="357"/>
      <c r="DL238" s="357"/>
      <c r="DM238" s="357"/>
      <c r="DN238" s="357"/>
      <c r="DO238" s="357"/>
      <c r="DP238" s="357"/>
      <c r="DQ238" s="357"/>
      <c r="DR238" s="357"/>
      <c r="DS238" s="357"/>
      <c r="DT238" s="357"/>
      <c r="DU238" s="357"/>
      <c r="DV238" s="357"/>
      <c r="DW238" s="357"/>
      <c r="DX238" s="357"/>
      <c r="DY238" s="357"/>
      <c r="DZ238" s="357"/>
      <c r="EA238" s="357"/>
      <c r="EB238" s="357"/>
      <c r="EC238" s="357"/>
      <c r="ED238" s="357"/>
      <c r="EE238" s="357"/>
      <c r="EF238" s="357"/>
      <c r="EG238" s="357"/>
      <c r="EH238" s="357"/>
      <c r="EI238" s="357"/>
      <c r="EJ238" s="357"/>
      <c r="EK238" s="357"/>
      <c r="EL238" s="357"/>
      <c r="EM238" s="357"/>
      <c r="EN238" s="357"/>
      <c r="EO238" s="357"/>
      <c r="EP238" s="357"/>
      <c r="EQ238" s="357"/>
      <c r="ER238" s="357"/>
      <c r="ES238" s="357"/>
      <c r="ET238" s="357"/>
      <c r="EU238" s="357"/>
      <c r="EV238" s="357"/>
      <c r="EW238" s="357"/>
      <c r="EX238" s="357"/>
      <c r="EY238" s="357"/>
      <c r="EZ238" s="357"/>
      <c r="FA238" s="357"/>
      <c r="FB238" s="357"/>
      <c r="FC238" s="357"/>
      <c r="FD238" s="357"/>
      <c r="FE238" s="357"/>
      <c r="FF238" s="357"/>
      <c r="FG238" s="357"/>
      <c r="FH238" s="357"/>
      <c r="FI238" s="357"/>
      <c r="FJ238" s="357"/>
      <c r="FK238" s="357"/>
      <c r="FL238" s="357"/>
      <c r="FM238" s="357"/>
      <c r="FN238" s="357"/>
      <c r="FO238" s="357"/>
      <c r="FP238" s="357"/>
      <c r="FQ238" s="357"/>
      <c r="FR238" s="357"/>
      <c r="FS238" s="357"/>
      <c r="FT238" s="357"/>
      <c r="FU238" s="357"/>
      <c r="FV238" s="357"/>
      <c r="FW238" s="357"/>
      <c r="FX238" s="357"/>
      <c r="FY238" s="357"/>
      <c r="FZ238" s="357"/>
      <c r="GA238" s="357"/>
      <c r="GB238" s="357"/>
      <c r="GC238" s="357"/>
      <c r="GD238" s="357"/>
      <c r="GE238" s="357"/>
      <c r="GF238" s="357"/>
      <c r="GG238" s="357"/>
      <c r="GH238" s="357"/>
      <c r="GI238" s="357"/>
      <c r="GJ238" s="357"/>
      <c r="GK238" s="357"/>
      <c r="GL238" s="357"/>
      <c r="GM238" s="357"/>
      <c r="GN238" s="357"/>
      <c r="GO238" s="357"/>
      <c r="GP238" s="357"/>
      <c r="GQ238" s="357"/>
      <c r="GR238" s="357"/>
      <c r="GS238" s="357"/>
      <c r="GT238" s="357"/>
      <c r="GU238" s="357"/>
      <c r="GV238" s="357"/>
      <c r="GW238" s="357"/>
      <c r="GX238" s="357"/>
      <c r="GY238" s="357"/>
      <c r="GZ238" s="357"/>
      <c r="HA238" s="357"/>
      <c r="HB238" s="357"/>
      <c r="HC238" s="357"/>
      <c r="HD238" s="357"/>
      <c r="HE238" s="357"/>
      <c r="HF238" s="357"/>
      <c r="HG238" s="357"/>
      <c r="HH238" s="357"/>
      <c r="HI238" s="357"/>
      <c r="HJ238" s="357"/>
      <c r="HK238" s="357"/>
      <c r="HL238" s="357"/>
      <c r="HM238" s="357"/>
      <c r="HN238" s="357"/>
      <c r="HO238" s="357"/>
      <c r="HP238" s="357"/>
      <c r="HQ238" s="357"/>
      <c r="HR238" s="357"/>
      <c r="HS238" s="357"/>
      <c r="HT238" s="357"/>
      <c r="HU238" s="357"/>
      <c r="HV238" s="357"/>
      <c r="HW238" s="357"/>
      <c r="HX238" s="357"/>
      <c r="HY238" s="357"/>
      <c r="HZ238" s="357"/>
      <c r="IA238" s="357"/>
      <c r="IB238" s="357"/>
      <c r="IC238" s="357"/>
      <c r="ID238" s="357"/>
      <c r="IE238" s="357"/>
      <c r="IF238" s="357"/>
      <c r="IG238" s="357"/>
      <c r="IH238" s="357"/>
      <c r="II238" s="357"/>
      <c r="IJ238" s="357"/>
      <c r="IK238" s="357"/>
      <c r="IL238" s="357"/>
      <c r="IM238" s="357"/>
      <c r="IN238" s="357"/>
      <c r="IO238" s="357"/>
      <c r="IP238" s="357"/>
      <c r="IQ238" s="357"/>
      <c r="IR238" s="357"/>
      <c r="IS238" s="357"/>
      <c r="IT238" s="357"/>
      <c r="IU238" s="357"/>
      <c r="IV238" s="357"/>
      <c r="IW238" s="357"/>
      <c r="IX238" s="357"/>
      <c r="IY238" s="357"/>
      <c r="IZ238" s="357"/>
      <c r="JA238" s="357"/>
      <c r="JB238" s="357"/>
      <c r="JC238" s="357"/>
      <c r="JD238" s="357"/>
      <c r="JE238" s="357"/>
      <c r="JF238" s="357"/>
      <c r="JG238" s="357"/>
      <c r="JH238" s="357"/>
      <c r="JI238" s="357"/>
      <c r="JJ238" s="357"/>
      <c r="JK238" s="357"/>
      <c r="JL238" s="357"/>
      <c r="JM238" s="357"/>
      <c r="JN238" s="357"/>
      <c r="JO238" s="357"/>
      <c r="JP238" s="357"/>
      <c r="JQ238" s="357"/>
      <c r="JR238" s="357"/>
      <c r="JS238" s="357"/>
      <c r="JT238" s="357"/>
      <c r="JU238" s="357"/>
      <c r="JV238" s="357"/>
      <c r="JW238" s="357"/>
      <c r="JX238" s="357"/>
      <c r="JY238" s="357"/>
      <c r="JZ238" s="357"/>
      <c r="KA238" s="357"/>
      <c r="KB238" s="357"/>
      <c r="KC238" s="357"/>
      <c r="KD238" s="357"/>
      <c r="KE238" s="357"/>
      <c r="KF238" s="357"/>
      <c r="KG238" s="357"/>
      <c r="KH238" s="357"/>
      <c r="KI238" s="357"/>
      <c r="KJ238" s="357"/>
      <c r="KK238" s="357"/>
      <c r="KL238" s="357"/>
      <c r="KM238" s="357"/>
      <c r="KN238" s="357"/>
      <c r="KO238" s="357"/>
      <c r="KP238" s="357"/>
      <c r="KQ238" s="357"/>
      <c r="KR238" s="357"/>
      <c r="KS238" s="357"/>
      <c r="KT238" s="357"/>
      <c r="KU238" s="357"/>
      <c r="KV238" s="357"/>
      <c r="KW238" s="357"/>
      <c r="KX238" s="357"/>
      <c r="KY238" s="357"/>
      <c r="KZ238" s="357"/>
      <c r="LA238" s="357"/>
      <c r="LB238" s="357"/>
      <c r="LC238" s="357"/>
      <c r="LD238" s="357"/>
      <c r="LE238" s="357"/>
      <c r="LF238" s="357"/>
      <c r="LG238" s="357"/>
      <c r="LH238" s="357"/>
      <c r="LI238" s="357"/>
      <c r="LJ238" s="357"/>
      <c r="LK238" s="357"/>
      <c r="LL238" s="357"/>
      <c r="LM238" s="357"/>
      <c r="LN238" s="357"/>
      <c r="LO238" s="357"/>
      <c r="LP238" s="357"/>
      <c r="LQ238" s="357"/>
      <c r="LR238" s="357"/>
      <c r="LS238" s="357"/>
      <c r="LT238" s="357"/>
      <c r="LU238" s="357"/>
      <c r="LV238" s="357"/>
      <c r="LW238" s="357"/>
      <c r="LX238" s="357"/>
      <c r="LY238" s="357"/>
      <c r="LZ238" s="357"/>
      <c r="MA238" s="357"/>
      <c r="MB238" s="357"/>
    </row>
    <row r="239" spans="1:340" s="358" customFormat="1" ht="21" customHeight="1">
      <c r="A239" s="2529"/>
      <c r="B239" s="1145"/>
      <c r="C239" s="2357"/>
      <c r="D239" s="1126"/>
      <c r="E239" s="1126"/>
      <c r="F239" s="598"/>
      <c r="G239" s="337"/>
      <c r="H239" s="338"/>
      <c r="I239" s="2357"/>
      <c r="J239" s="1903" t="s">
        <v>3235</v>
      </c>
      <c r="K239" s="807"/>
      <c r="L239" s="807"/>
      <c r="M239" s="807"/>
      <c r="N239" s="646"/>
      <c r="O239" s="646"/>
      <c r="P239" s="646"/>
      <c r="Q239" s="408">
        <v>6000</v>
      </c>
      <c r="R239" s="2533" t="s">
        <v>3234</v>
      </c>
      <c r="S239" s="1672">
        <v>1000</v>
      </c>
      <c r="T239" s="1671" t="s">
        <v>3201</v>
      </c>
      <c r="U239" s="1671"/>
      <c r="V239" s="1671">
        <v>2</v>
      </c>
      <c r="W239" s="1671" t="s">
        <v>3202</v>
      </c>
      <c r="X239" s="397" t="s">
        <v>3212</v>
      </c>
      <c r="Y239" s="1674">
        <f t="shared" si="64"/>
        <v>12000</v>
      </c>
      <c r="Z239" s="407">
        <f>Q239*S239*V239</f>
        <v>12000000</v>
      </c>
      <c r="AB239" s="357"/>
      <c r="AD239" s="357"/>
      <c r="AE239" s="357"/>
      <c r="AF239" s="357"/>
      <c r="AG239" s="357"/>
      <c r="AH239" s="357"/>
      <c r="AI239" s="357"/>
      <c r="AJ239" s="357"/>
      <c r="AK239" s="357"/>
      <c r="AL239" s="357"/>
      <c r="AM239" s="357"/>
      <c r="AN239" s="357"/>
      <c r="AO239" s="357"/>
      <c r="AP239" s="357"/>
      <c r="AQ239" s="357"/>
      <c r="AR239" s="357"/>
      <c r="AS239" s="357"/>
      <c r="AT239" s="357"/>
      <c r="AU239" s="357"/>
      <c r="AV239" s="357"/>
      <c r="AW239" s="357"/>
      <c r="AX239" s="357"/>
      <c r="AY239" s="357"/>
      <c r="AZ239" s="357"/>
      <c r="BA239" s="357"/>
      <c r="BB239" s="357"/>
      <c r="BC239" s="357"/>
      <c r="BD239" s="357"/>
      <c r="BE239" s="357"/>
      <c r="BF239" s="357"/>
      <c r="BG239" s="357"/>
      <c r="BH239" s="357"/>
      <c r="BI239" s="357"/>
      <c r="BJ239" s="357"/>
      <c r="BK239" s="357"/>
      <c r="BL239" s="357"/>
      <c r="BM239" s="357"/>
      <c r="BN239" s="357"/>
      <c r="BO239" s="357"/>
      <c r="BP239" s="357"/>
      <c r="BQ239" s="357"/>
      <c r="BR239" s="357"/>
      <c r="BS239" s="357"/>
      <c r="BT239" s="357"/>
      <c r="BU239" s="357"/>
      <c r="BV239" s="357"/>
      <c r="BW239" s="357"/>
      <c r="BX239" s="357"/>
      <c r="BY239" s="357"/>
      <c r="BZ239" s="357"/>
      <c r="CA239" s="357"/>
      <c r="CB239" s="357"/>
      <c r="CC239" s="357"/>
      <c r="CD239" s="357"/>
      <c r="CE239" s="357"/>
      <c r="CF239" s="357"/>
      <c r="CG239" s="357"/>
      <c r="CH239" s="357"/>
      <c r="CI239" s="357"/>
      <c r="CJ239" s="357"/>
      <c r="CK239" s="357"/>
      <c r="CL239" s="357"/>
      <c r="CM239" s="357"/>
      <c r="CN239" s="357"/>
      <c r="CO239" s="357"/>
      <c r="CP239" s="357"/>
      <c r="CQ239" s="357"/>
      <c r="CR239" s="357"/>
      <c r="CS239" s="357"/>
      <c r="CT239" s="357"/>
      <c r="CU239" s="357"/>
      <c r="CV239" s="357"/>
      <c r="CW239" s="357"/>
      <c r="CX239" s="357"/>
      <c r="CY239" s="357"/>
      <c r="CZ239" s="357"/>
      <c r="DA239" s="357"/>
      <c r="DB239" s="357"/>
      <c r="DC239" s="357"/>
      <c r="DD239" s="357"/>
      <c r="DE239" s="357"/>
      <c r="DF239" s="357"/>
      <c r="DG239" s="357"/>
      <c r="DH239" s="357"/>
      <c r="DI239" s="357"/>
      <c r="DJ239" s="357"/>
      <c r="DK239" s="357"/>
      <c r="DL239" s="357"/>
      <c r="DM239" s="357"/>
      <c r="DN239" s="357"/>
      <c r="DO239" s="357"/>
      <c r="DP239" s="357"/>
      <c r="DQ239" s="357"/>
      <c r="DR239" s="357"/>
      <c r="DS239" s="357"/>
      <c r="DT239" s="357"/>
      <c r="DU239" s="357"/>
      <c r="DV239" s="357"/>
      <c r="DW239" s="357"/>
      <c r="DX239" s="357"/>
      <c r="DY239" s="357"/>
      <c r="DZ239" s="357"/>
      <c r="EA239" s="357"/>
      <c r="EB239" s="357"/>
      <c r="EC239" s="357"/>
      <c r="ED239" s="357"/>
      <c r="EE239" s="357"/>
      <c r="EF239" s="357"/>
      <c r="EG239" s="357"/>
      <c r="EH239" s="357"/>
      <c r="EI239" s="357"/>
      <c r="EJ239" s="357"/>
      <c r="EK239" s="357"/>
      <c r="EL239" s="357"/>
      <c r="EM239" s="357"/>
      <c r="EN239" s="357"/>
      <c r="EO239" s="357"/>
      <c r="EP239" s="357"/>
      <c r="EQ239" s="357"/>
      <c r="ER239" s="357"/>
      <c r="ES239" s="357"/>
      <c r="ET239" s="357"/>
      <c r="EU239" s="357"/>
      <c r="EV239" s="357"/>
      <c r="EW239" s="357"/>
      <c r="EX239" s="357"/>
      <c r="EY239" s="357"/>
      <c r="EZ239" s="357"/>
      <c r="FA239" s="357"/>
      <c r="FB239" s="357"/>
      <c r="FC239" s="357"/>
      <c r="FD239" s="357"/>
      <c r="FE239" s="357"/>
      <c r="FF239" s="357"/>
      <c r="FG239" s="357"/>
      <c r="FH239" s="357"/>
      <c r="FI239" s="357"/>
      <c r="FJ239" s="357"/>
      <c r="FK239" s="357"/>
      <c r="FL239" s="357"/>
      <c r="FM239" s="357"/>
      <c r="FN239" s="357"/>
      <c r="FO239" s="357"/>
      <c r="FP239" s="357"/>
      <c r="FQ239" s="357"/>
      <c r="FR239" s="357"/>
      <c r="FS239" s="357"/>
      <c r="FT239" s="357"/>
      <c r="FU239" s="357"/>
      <c r="FV239" s="357"/>
      <c r="FW239" s="357"/>
      <c r="FX239" s="357"/>
      <c r="FY239" s="357"/>
      <c r="FZ239" s="357"/>
      <c r="GA239" s="357"/>
      <c r="GB239" s="357"/>
      <c r="GC239" s="357"/>
      <c r="GD239" s="357"/>
      <c r="GE239" s="357"/>
      <c r="GF239" s="357"/>
      <c r="GG239" s="357"/>
      <c r="GH239" s="357"/>
      <c r="GI239" s="357"/>
      <c r="GJ239" s="357"/>
      <c r="GK239" s="357"/>
      <c r="GL239" s="357"/>
      <c r="GM239" s="357"/>
      <c r="GN239" s="357"/>
      <c r="GO239" s="357"/>
      <c r="GP239" s="357"/>
      <c r="GQ239" s="357"/>
      <c r="GR239" s="357"/>
      <c r="GS239" s="357"/>
      <c r="GT239" s="357"/>
      <c r="GU239" s="357"/>
      <c r="GV239" s="357"/>
      <c r="GW239" s="357"/>
      <c r="GX239" s="357"/>
      <c r="GY239" s="357"/>
      <c r="GZ239" s="357"/>
      <c r="HA239" s="357"/>
      <c r="HB239" s="357"/>
      <c r="HC239" s="357"/>
      <c r="HD239" s="357"/>
      <c r="HE239" s="357"/>
      <c r="HF239" s="357"/>
      <c r="HG239" s="357"/>
      <c r="HH239" s="357"/>
      <c r="HI239" s="357"/>
      <c r="HJ239" s="357"/>
      <c r="HK239" s="357"/>
      <c r="HL239" s="357"/>
      <c r="HM239" s="357"/>
      <c r="HN239" s="357"/>
      <c r="HO239" s="357"/>
      <c r="HP239" s="357"/>
      <c r="HQ239" s="357"/>
      <c r="HR239" s="357"/>
      <c r="HS239" s="357"/>
      <c r="HT239" s="357"/>
      <c r="HU239" s="357"/>
      <c r="HV239" s="357"/>
      <c r="HW239" s="357"/>
      <c r="HX239" s="357"/>
      <c r="HY239" s="357"/>
      <c r="HZ239" s="357"/>
      <c r="IA239" s="357"/>
      <c r="IB239" s="357"/>
      <c r="IC239" s="357"/>
      <c r="ID239" s="357"/>
      <c r="IE239" s="357"/>
      <c r="IF239" s="357"/>
      <c r="IG239" s="357"/>
      <c r="IH239" s="357"/>
      <c r="II239" s="357"/>
      <c r="IJ239" s="357"/>
      <c r="IK239" s="357"/>
      <c r="IL239" s="357"/>
      <c r="IM239" s="357"/>
      <c r="IN239" s="357"/>
      <c r="IO239" s="357"/>
      <c r="IP239" s="357"/>
      <c r="IQ239" s="357"/>
      <c r="IR239" s="357"/>
      <c r="IS239" s="357"/>
      <c r="IT239" s="357"/>
      <c r="IU239" s="357"/>
      <c r="IV239" s="357"/>
      <c r="IW239" s="357"/>
      <c r="IX239" s="357"/>
      <c r="IY239" s="357"/>
      <c r="IZ239" s="357"/>
      <c r="JA239" s="357"/>
      <c r="JB239" s="357"/>
      <c r="JC239" s="357"/>
      <c r="JD239" s="357"/>
      <c r="JE239" s="357"/>
      <c r="JF239" s="357"/>
      <c r="JG239" s="357"/>
      <c r="JH239" s="357"/>
      <c r="JI239" s="357"/>
      <c r="JJ239" s="357"/>
      <c r="JK239" s="357"/>
      <c r="JL239" s="357"/>
      <c r="JM239" s="357"/>
      <c r="JN239" s="357"/>
      <c r="JO239" s="357"/>
      <c r="JP239" s="357"/>
      <c r="JQ239" s="357"/>
      <c r="JR239" s="357"/>
      <c r="JS239" s="357"/>
      <c r="JT239" s="357"/>
      <c r="JU239" s="357"/>
      <c r="JV239" s="357"/>
      <c r="JW239" s="357"/>
      <c r="JX239" s="357"/>
      <c r="JY239" s="357"/>
      <c r="JZ239" s="357"/>
      <c r="KA239" s="357"/>
      <c r="KB239" s="357"/>
      <c r="KC239" s="357"/>
      <c r="KD239" s="357"/>
      <c r="KE239" s="357"/>
      <c r="KF239" s="357"/>
      <c r="KG239" s="357"/>
      <c r="KH239" s="357"/>
      <c r="KI239" s="357"/>
      <c r="KJ239" s="357"/>
      <c r="KK239" s="357"/>
      <c r="KL239" s="357"/>
      <c r="KM239" s="357"/>
      <c r="KN239" s="357"/>
      <c r="KO239" s="357"/>
      <c r="KP239" s="357"/>
      <c r="KQ239" s="357"/>
      <c r="KR239" s="357"/>
      <c r="KS239" s="357"/>
      <c r="KT239" s="357"/>
      <c r="KU239" s="357"/>
      <c r="KV239" s="357"/>
      <c r="KW239" s="357"/>
      <c r="KX239" s="357"/>
      <c r="KY239" s="357"/>
      <c r="KZ239" s="357"/>
      <c r="LA239" s="357"/>
      <c r="LB239" s="357"/>
      <c r="LC239" s="357"/>
      <c r="LD239" s="357"/>
      <c r="LE239" s="357"/>
      <c r="LF239" s="357"/>
      <c r="LG239" s="357"/>
      <c r="LH239" s="357"/>
      <c r="LI239" s="357"/>
      <c r="LJ239" s="357"/>
      <c r="LK239" s="357"/>
      <c r="LL239" s="357"/>
      <c r="LM239" s="357"/>
      <c r="LN239" s="357"/>
      <c r="LO239" s="357"/>
      <c r="LP239" s="357"/>
      <c r="LQ239" s="357"/>
      <c r="LR239" s="357"/>
      <c r="LS239" s="357"/>
      <c r="LT239" s="357"/>
      <c r="LU239" s="357"/>
      <c r="LV239" s="357"/>
      <c r="LW239" s="357"/>
      <c r="LX239" s="357"/>
      <c r="LY239" s="357"/>
      <c r="LZ239" s="357"/>
      <c r="MA239" s="357"/>
      <c r="MB239" s="357"/>
    </row>
    <row r="240" spans="1:340" s="358" customFormat="1" ht="21" customHeight="1">
      <c r="A240" s="2529"/>
      <c r="B240" s="1145"/>
      <c r="C240" s="2357"/>
      <c r="D240" s="1126"/>
      <c r="E240" s="470" t="s">
        <v>3236</v>
      </c>
      <c r="F240" s="598">
        <f>ROUNDUP(+Z240/1000,0)</f>
        <v>2000</v>
      </c>
      <c r="G240" s="337">
        <v>2000</v>
      </c>
      <c r="H240" s="338"/>
      <c r="I240" s="2357"/>
      <c r="J240" s="1903" t="s">
        <v>3237</v>
      </c>
      <c r="K240" s="807"/>
      <c r="L240" s="807"/>
      <c r="M240" s="807"/>
      <c r="N240" s="646"/>
      <c r="O240" s="646"/>
      <c r="P240" s="646"/>
      <c r="Q240" s="650"/>
      <c r="R240" s="2533"/>
      <c r="S240" s="1672">
        <v>100000</v>
      </c>
      <c r="T240" s="1671" t="s">
        <v>3201</v>
      </c>
      <c r="U240" s="1671"/>
      <c r="V240" s="1671">
        <v>20</v>
      </c>
      <c r="W240" s="1671" t="s">
        <v>3217</v>
      </c>
      <c r="X240" s="397" t="s">
        <v>3212</v>
      </c>
      <c r="Y240" s="1674">
        <f t="shared" si="64"/>
        <v>2000</v>
      </c>
      <c r="Z240" s="407">
        <f>S240*V240</f>
        <v>2000000</v>
      </c>
      <c r="AB240" s="357"/>
      <c r="AD240" s="357"/>
      <c r="AE240" s="357"/>
      <c r="AF240" s="357"/>
      <c r="AG240" s="357"/>
      <c r="AH240" s="357"/>
      <c r="AI240" s="357"/>
      <c r="AJ240" s="357"/>
      <c r="AK240" s="357"/>
      <c r="AL240" s="357"/>
      <c r="AM240" s="357"/>
      <c r="AN240" s="357"/>
      <c r="AO240" s="357"/>
      <c r="AP240" s="357"/>
      <c r="AQ240" s="357"/>
      <c r="AR240" s="357"/>
      <c r="AS240" s="357"/>
      <c r="AT240" s="357"/>
      <c r="AU240" s="357"/>
      <c r="AV240" s="357"/>
      <c r="AW240" s="357"/>
      <c r="AX240" s="357"/>
      <c r="AY240" s="357"/>
      <c r="AZ240" s="357"/>
      <c r="BA240" s="357"/>
      <c r="BB240" s="357"/>
      <c r="BC240" s="357"/>
      <c r="BD240" s="357"/>
      <c r="BE240" s="357"/>
      <c r="BF240" s="357"/>
      <c r="BG240" s="357"/>
      <c r="BH240" s="357"/>
      <c r="BI240" s="357"/>
      <c r="BJ240" s="357"/>
      <c r="BK240" s="357"/>
      <c r="BL240" s="357"/>
      <c r="BM240" s="357"/>
      <c r="BN240" s="357"/>
      <c r="BO240" s="357"/>
      <c r="BP240" s="357"/>
      <c r="BQ240" s="357"/>
      <c r="BR240" s="357"/>
      <c r="BS240" s="357"/>
      <c r="BT240" s="357"/>
      <c r="BU240" s="357"/>
      <c r="BV240" s="357"/>
      <c r="BW240" s="357"/>
      <c r="BX240" s="357"/>
      <c r="BY240" s="357"/>
      <c r="BZ240" s="357"/>
      <c r="CA240" s="357"/>
      <c r="CB240" s="357"/>
      <c r="CC240" s="357"/>
      <c r="CD240" s="357"/>
      <c r="CE240" s="357"/>
      <c r="CF240" s="357"/>
      <c r="CG240" s="357"/>
      <c r="CH240" s="357"/>
      <c r="CI240" s="357"/>
      <c r="CJ240" s="357"/>
      <c r="CK240" s="357"/>
      <c r="CL240" s="357"/>
      <c r="CM240" s="357"/>
      <c r="CN240" s="357"/>
      <c r="CO240" s="357"/>
      <c r="CP240" s="357"/>
      <c r="CQ240" s="357"/>
      <c r="CR240" s="357"/>
      <c r="CS240" s="357"/>
      <c r="CT240" s="357"/>
      <c r="CU240" s="357"/>
      <c r="CV240" s="357"/>
      <c r="CW240" s="357"/>
      <c r="CX240" s="357"/>
      <c r="CY240" s="357"/>
      <c r="CZ240" s="357"/>
      <c r="DA240" s="357"/>
      <c r="DB240" s="357"/>
      <c r="DC240" s="357"/>
      <c r="DD240" s="357"/>
      <c r="DE240" s="357"/>
      <c r="DF240" s="357"/>
      <c r="DG240" s="357"/>
      <c r="DH240" s="357"/>
      <c r="DI240" s="357"/>
      <c r="DJ240" s="357"/>
      <c r="DK240" s="357"/>
      <c r="DL240" s="357"/>
      <c r="DM240" s="357"/>
      <c r="DN240" s="357"/>
      <c r="DO240" s="357"/>
      <c r="DP240" s="357"/>
      <c r="DQ240" s="357"/>
      <c r="DR240" s="357"/>
      <c r="DS240" s="357"/>
      <c r="DT240" s="357"/>
      <c r="DU240" s="357"/>
      <c r="DV240" s="357"/>
      <c r="DW240" s="357"/>
      <c r="DX240" s="357"/>
      <c r="DY240" s="357"/>
      <c r="DZ240" s="357"/>
      <c r="EA240" s="357"/>
      <c r="EB240" s="357"/>
      <c r="EC240" s="357"/>
      <c r="ED240" s="357"/>
      <c r="EE240" s="357"/>
      <c r="EF240" s="357"/>
      <c r="EG240" s="357"/>
      <c r="EH240" s="357"/>
      <c r="EI240" s="357"/>
      <c r="EJ240" s="357"/>
      <c r="EK240" s="357"/>
      <c r="EL240" s="357"/>
      <c r="EM240" s="357"/>
      <c r="EN240" s="357"/>
      <c r="EO240" s="357"/>
      <c r="EP240" s="357"/>
      <c r="EQ240" s="357"/>
      <c r="ER240" s="357"/>
      <c r="ES240" s="357"/>
      <c r="ET240" s="357"/>
      <c r="EU240" s="357"/>
      <c r="EV240" s="357"/>
      <c r="EW240" s="357"/>
      <c r="EX240" s="357"/>
      <c r="EY240" s="357"/>
      <c r="EZ240" s="357"/>
      <c r="FA240" s="357"/>
      <c r="FB240" s="357"/>
      <c r="FC240" s="357"/>
      <c r="FD240" s="357"/>
      <c r="FE240" s="357"/>
      <c r="FF240" s="357"/>
      <c r="FG240" s="357"/>
      <c r="FH240" s="357"/>
      <c r="FI240" s="357"/>
      <c r="FJ240" s="357"/>
      <c r="FK240" s="357"/>
      <c r="FL240" s="357"/>
      <c r="FM240" s="357"/>
      <c r="FN240" s="357"/>
      <c r="FO240" s="357"/>
      <c r="FP240" s="357"/>
      <c r="FQ240" s="357"/>
      <c r="FR240" s="357"/>
      <c r="FS240" s="357"/>
      <c r="FT240" s="357"/>
      <c r="FU240" s="357"/>
      <c r="FV240" s="357"/>
      <c r="FW240" s="357"/>
      <c r="FX240" s="357"/>
      <c r="FY240" s="357"/>
      <c r="FZ240" s="357"/>
      <c r="GA240" s="357"/>
      <c r="GB240" s="357"/>
      <c r="GC240" s="357"/>
      <c r="GD240" s="357"/>
      <c r="GE240" s="357"/>
      <c r="GF240" s="357"/>
      <c r="GG240" s="357"/>
      <c r="GH240" s="357"/>
      <c r="GI240" s="357"/>
      <c r="GJ240" s="357"/>
      <c r="GK240" s="357"/>
      <c r="GL240" s="357"/>
      <c r="GM240" s="357"/>
      <c r="GN240" s="357"/>
      <c r="GO240" s="357"/>
      <c r="GP240" s="357"/>
      <c r="GQ240" s="357"/>
      <c r="GR240" s="357"/>
      <c r="GS240" s="357"/>
      <c r="GT240" s="357"/>
      <c r="GU240" s="357"/>
      <c r="GV240" s="357"/>
      <c r="GW240" s="357"/>
      <c r="GX240" s="357"/>
      <c r="GY240" s="357"/>
      <c r="GZ240" s="357"/>
      <c r="HA240" s="357"/>
      <c r="HB240" s="357"/>
      <c r="HC240" s="357"/>
      <c r="HD240" s="357"/>
      <c r="HE240" s="357"/>
      <c r="HF240" s="357"/>
      <c r="HG240" s="357"/>
      <c r="HH240" s="357"/>
      <c r="HI240" s="357"/>
      <c r="HJ240" s="357"/>
      <c r="HK240" s="357"/>
      <c r="HL240" s="357"/>
      <c r="HM240" s="357"/>
      <c r="HN240" s="357"/>
      <c r="HO240" s="357"/>
      <c r="HP240" s="357"/>
      <c r="HQ240" s="357"/>
      <c r="HR240" s="357"/>
      <c r="HS240" s="357"/>
      <c r="HT240" s="357"/>
      <c r="HU240" s="357"/>
      <c r="HV240" s="357"/>
      <c r="HW240" s="357"/>
      <c r="HX240" s="357"/>
      <c r="HY240" s="357"/>
      <c r="HZ240" s="357"/>
      <c r="IA240" s="357"/>
      <c r="IB240" s="357"/>
      <c r="IC240" s="357"/>
      <c r="ID240" s="357"/>
      <c r="IE240" s="357"/>
      <c r="IF240" s="357"/>
      <c r="IG240" s="357"/>
      <c r="IH240" s="357"/>
      <c r="II240" s="357"/>
      <c r="IJ240" s="357"/>
      <c r="IK240" s="357"/>
      <c r="IL240" s="357"/>
      <c r="IM240" s="357"/>
      <c r="IN240" s="357"/>
      <c r="IO240" s="357"/>
      <c r="IP240" s="357"/>
      <c r="IQ240" s="357"/>
      <c r="IR240" s="357"/>
      <c r="IS240" s="357"/>
      <c r="IT240" s="357"/>
      <c r="IU240" s="357"/>
      <c r="IV240" s="357"/>
      <c r="IW240" s="357"/>
      <c r="IX240" s="357"/>
      <c r="IY240" s="357"/>
      <c r="IZ240" s="357"/>
      <c r="JA240" s="357"/>
      <c r="JB240" s="357"/>
      <c r="JC240" s="357"/>
      <c r="JD240" s="357"/>
      <c r="JE240" s="357"/>
      <c r="JF240" s="357"/>
      <c r="JG240" s="357"/>
      <c r="JH240" s="357"/>
      <c r="JI240" s="357"/>
      <c r="JJ240" s="357"/>
      <c r="JK240" s="357"/>
      <c r="JL240" s="357"/>
      <c r="JM240" s="357"/>
      <c r="JN240" s="357"/>
      <c r="JO240" s="357"/>
      <c r="JP240" s="357"/>
      <c r="JQ240" s="357"/>
      <c r="JR240" s="357"/>
      <c r="JS240" s="357"/>
      <c r="JT240" s="357"/>
      <c r="JU240" s="357"/>
      <c r="JV240" s="357"/>
      <c r="JW240" s="357"/>
      <c r="JX240" s="357"/>
      <c r="JY240" s="357"/>
      <c r="JZ240" s="357"/>
      <c r="KA240" s="357"/>
      <c r="KB240" s="357"/>
      <c r="KC240" s="357"/>
      <c r="KD240" s="357"/>
      <c r="KE240" s="357"/>
      <c r="KF240" s="357"/>
      <c r="KG240" s="357"/>
      <c r="KH240" s="357"/>
      <c r="KI240" s="357"/>
      <c r="KJ240" s="357"/>
      <c r="KK240" s="357"/>
      <c r="KL240" s="357"/>
      <c r="KM240" s="357"/>
      <c r="KN240" s="357"/>
      <c r="KO240" s="357"/>
      <c r="KP240" s="357"/>
      <c r="KQ240" s="357"/>
      <c r="KR240" s="357"/>
      <c r="KS240" s="357"/>
      <c r="KT240" s="357"/>
      <c r="KU240" s="357"/>
      <c r="KV240" s="357"/>
      <c r="KW240" s="357"/>
      <c r="KX240" s="357"/>
      <c r="KY240" s="357"/>
      <c r="KZ240" s="357"/>
      <c r="LA240" s="357"/>
      <c r="LB240" s="357"/>
      <c r="LC240" s="357"/>
      <c r="LD240" s="357"/>
      <c r="LE240" s="357"/>
      <c r="LF240" s="357"/>
      <c r="LG240" s="357"/>
      <c r="LH240" s="357"/>
      <c r="LI240" s="357"/>
      <c r="LJ240" s="357"/>
      <c r="LK240" s="357"/>
      <c r="LL240" s="357"/>
      <c r="LM240" s="357"/>
      <c r="LN240" s="357"/>
      <c r="LO240" s="357"/>
      <c r="LP240" s="357"/>
      <c r="LQ240" s="357"/>
      <c r="LR240" s="357"/>
      <c r="LS240" s="357"/>
      <c r="LT240" s="357"/>
      <c r="LU240" s="357"/>
      <c r="LV240" s="357"/>
      <c r="LW240" s="357"/>
      <c r="LX240" s="357"/>
      <c r="LY240" s="357"/>
      <c r="LZ240" s="357"/>
      <c r="MA240" s="357"/>
      <c r="MB240" s="357"/>
    </row>
    <row r="241" spans="1:340" s="358" customFormat="1" ht="21" customHeight="1">
      <c r="A241" s="2529"/>
      <c r="B241" s="1145"/>
      <c r="C241" s="2357"/>
      <c r="D241" s="1126"/>
      <c r="E241" s="1126" t="s">
        <v>3215</v>
      </c>
      <c r="F241" s="598">
        <f>ROUNDUP(+Z241/1000,0)</f>
        <v>5400</v>
      </c>
      <c r="G241" s="337">
        <v>5400</v>
      </c>
      <c r="H241" s="338"/>
      <c r="I241" s="2357"/>
      <c r="J241" s="1903" t="s">
        <v>3238</v>
      </c>
      <c r="K241" s="807"/>
      <c r="L241" s="807"/>
      <c r="M241" s="807"/>
      <c r="N241" s="646"/>
      <c r="O241" s="646"/>
      <c r="P241" s="646"/>
      <c r="Q241" s="408"/>
      <c r="R241" s="2533"/>
      <c r="S241" s="1672">
        <v>200000</v>
      </c>
      <c r="T241" s="1671" t="s">
        <v>3201</v>
      </c>
      <c r="U241" s="1671"/>
      <c r="V241" s="1671">
        <v>27</v>
      </c>
      <c r="W241" s="1671" t="s">
        <v>3</v>
      </c>
      <c r="X241" s="397" t="s">
        <v>3212</v>
      </c>
      <c r="Y241" s="1674">
        <f t="shared" si="64"/>
        <v>5400</v>
      </c>
      <c r="Z241" s="355">
        <f>S241*V241</f>
        <v>5400000</v>
      </c>
      <c r="AB241" s="357"/>
      <c r="AD241" s="357"/>
      <c r="AE241" s="357"/>
      <c r="AF241" s="357"/>
      <c r="AG241" s="357"/>
      <c r="AH241" s="357"/>
      <c r="AI241" s="357"/>
      <c r="AJ241" s="357"/>
      <c r="AK241" s="357"/>
      <c r="AL241" s="357"/>
      <c r="AM241" s="357"/>
      <c r="AN241" s="357"/>
      <c r="AO241" s="357"/>
      <c r="AP241" s="357"/>
      <c r="AQ241" s="357"/>
      <c r="AR241" s="357"/>
      <c r="AS241" s="357"/>
      <c r="AT241" s="357"/>
      <c r="AU241" s="357"/>
      <c r="AV241" s="357"/>
      <c r="AW241" s="357"/>
      <c r="AX241" s="357"/>
      <c r="AY241" s="357"/>
      <c r="AZ241" s="357"/>
      <c r="BA241" s="357"/>
      <c r="BB241" s="357"/>
      <c r="BC241" s="357"/>
      <c r="BD241" s="357"/>
      <c r="BE241" s="357"/>
      <c r="BF241" s="357"/>
      <c r="BG241" s="357"/>
      <c r="BH241" s="357"/>
      <c r="BI241" s="357"/>
      <c r="BJ241" s="357"/>
      <c r="BK241" s="357"/>
      <c r="BL241" s="357"/>
      <c r="BM241" s="357"/>
      <c r="BN241" s="357"/>
      <c r="BO241" s="357"/>
      <c r="BP241" s="357"/>
      <c r="BQ241" s="357"/>
      <c r="BR241" s="357"/>
      <c r="BS241" s="357"/>
      <c r="BT241" s="357"/>
      <c r="BU241" s="357"/>
      <c r="BV241" s="357"/>
      <c r="BW241" s="357"/>
      <c r="BX241" s="357"/>
      <c r="BY241" s="357"/>
      <c r="BZ241" s="357"/>
      <c r="CA241" s="357"/>
      <c r="CB241" s="357"/>
      <c r="CC241" s="357"/>
      <c r="CD241" s="357"/>
      <c r="CE241" s="357"/>
      <c r="CF241" s="357"/>
      <c r="CG241" s="357"/>
      <c r="CH241" s="357"/>
      <c r="CI241" s="357"/>
      <c r="CJ241" s="357"/>
      <c r="CK241" s="357"/>
      <c r="CL241" s="357"/>
      <c r="CM241" s="357"/>
      <c r="CN241" s="357"/>
      <c r="CO241" s="357"/>
      <c r="CP241" s="357"/>
      <c r="CQ241" s="357"/>
      <c r="CR241" s="357"/>
      <c r="CS241" s="357"/>
      <c r="CT241" s="357"/>
      <c r="CU241" s="357"/>
      <c r="CV241" s="357"/>
      <c r="CW241" s="357"/>
      <c r="CX241" s="357"/>
      <c r="CY241" s="357"/>
      <c r="CZ241" s="357"/>
      <c r="DA241" s="357"/>
      <c r="DB241" s="357"/>
      <c r="DC241" s="357"/>
      <c r="DD241" s="357"/>
      <c r="DE241" s="357"/>
      <c r="DF241" s="357"/>
      <c r="DG241" s="357"/>
      <c r="DH241" s="357"/>
      <c r="DI241" s="357"/>
      <c r="DJ241" s="357"/>
      <c r="DK241" s="357"/>
      <c r="DL241" s="357"/>
      <c r="DM241" s="357"/>
      <c r="DN241" s="357"/>
      <c r="DO241" s="357"/>
      <c r="DP241" s="357"/>
      <c r="DQ241" s="357"/>
      <c r="DR241" s="357"/>
      <c r="DS241" s="357"/>
      <c r="DT241" s="357"/>
      <c r="DU241" s="357"/>
      <c r="DV241" s="357"/>
      <c r="DW241" s="357"/>
      <c r="DX241" s="357"/>
      <c r="DY241" s="357"/>
      <c r="DZ241" s="357"/>
      <c r="EA241" s="357"/>
      <c r="EB241" s="357"/>
      <c r="EC241" s="357"/>
      <c r="ED241" s="357"/>
      <c r="EE241" s="357"/>
      <c r="EF241" s="357"/>
      <c r="EG241" s="357"/>
      <c r="EH241" s="357"/>
      <c r="EI241" s="357"/>
      <c r="EJ241" s="357"/>
      <c r="EK241" s="357"/>
      <c r="EL241" s="357"/>
      <c r="EM241" s="357"/>
      <c r="EN241" s="357"/>
      <c r="EO241" s="357"/>
      <c r="EP241" s="357"/>
      <c r="EQ241" s="357"/>
      <c r="ER241" s="357"/>
      <c r="ES241" s="357"/>
      <c r="ET241" s="357"/>
      <c r="EU241" s="357"/>
      <c r="EV241" s="357"/>
      <c r="EW241" s="357"/>
      <c r="EX241" s="357"/>
      <c r="EY241" s="357"/>
      <c r="EZ241" s="357"/>
      <c r="FA241" s="357"/>
      <c r="FB241" s="357"/>
      <c r="FC241" s="357"/>
      <c r="FD241" s="357"/>
      <c r="FE241" s="357"/>
      <c r="FF241" s="357"/>
      <c r="FG241" s="357"/>
      <c r="FH241" s="357"/>
      <c r="FI241" s="357"/>
      <c r="FJ241" s="357"/>
      <c r="FK241" s="357"/>
      <c r="FL241" s="357"/>
      <c r="FM241" s="357"/>
      <c r="FN241" s="357"/>
      <c r="FO241" s="357"/>
      <c r="FP241" s="357"/>
      <c r="FQ241" s="357"/>
      <c r="FR241" s="357"/>
      <c r="FS241" s="357"/>
      <c r="FT241" s="357"/>
      <c r="FU241" s="357"/>
      <c r="FV241" s="357"/>
      <c r="FW241" s="357"/>
      <c r="FX241" s="357"/>
      <c r="FY241" s="357"/>
      <c r="FZ241" s="357"/>
      <c r="GA241" s="357"/>
      <c r="GB241" s="357"/>
      <c r="GC241" s="357"/>
      <c r="GD241" s="357"/>
      <c r="GE241" s="357"/>
      <c r="GF241" s="357"/>
      <c r="GG241" s="357"/>
      <c r="GH241" s="357"/>
      <c r="GI241" s="357"/>
      <c r="GJ241" s="357"/>
      <c r="GK241" s="357"/>
      <c r="GL241" s="357"/>
      <c r="GM241" s="357"/>
      <c r="GN241" s="357"/>
      <c r="GO241" s="357"/>
      <c r="GP241" s="357"/>
      <c r="GQ241" s="357"/>
      <c r="GR241" s="357"/>
      <c r="GS241" s="357"/>
      <c r="GT241" s="357"/>
      <c r="GU241" s="357"/>
      <c r="GV241" s="357"/>
      <c r="GW241" s="357"/>
      <c r="GX241" s="357"/>
      <c r="GY241" s="357"/>
      <c r="GZ241" s="357"/>
      <c r="HA241" s="357"/>
      <c r="HB241" s="357"/>
      <c r="HC241" s="357"/>
      <c r="HD241" s="357"/>
      <c r="HE241" s="357"/>
      <c r="HF241" s="357"/>
      <c r="HG241" s="357"/>
      <c r="HH241" s="357"/>
      <c r="HI241" s="357"/>
      <c r="HJ241" s="357"/>
      <c r="HK241" s="357"/>
      <c r="HL241" s="357"/>
      <c r="HM241" s="357"/>
      <c r="HN241" s="357"/>
      <c r="HO241" s="357"/>
      <c r="HP241" s="357"/>
      <c r="HQ241" s="357"/>
      <c r="HR241" s="357"/>
      <c r="HS241" s="357"/>
      <c r="HT241" s="357"/>
      <c r="HU241" s="357"/>
      <c r="HV241" s="357"/>
      <c r="HW241" s="357"/>
      <c r="HX241" s="357"/>
      <c r="HY241" s="357"/>
      <c r="HZ241" s="357"/>
      <c r="IA241" s="357"/>
      <c r="IB241" s="357"/>
      <c r="IC241" s="357"/>
      <c r="ID241" s="357"/>
      <c r="IE241" s="357"/>
      <c r="IF241" s="357"/>
      <c r="IG241" s="357"/>
      <c r="IH241" s="357"/>
      <c r="II241" s="357"/>
      <c r="IJ241" s="357"/>
      <c r="IK241" s="357"/>
      <c r="IL241" s="357"/>
      <c r="IM241" s="357"/>
      <c r="IN241" s="357"/>
      <c r="IO241" s="357"/>
      <c r="IP241" s="357"/>
      <c r="IQ241" s="357"/>
      <c r="IR241" s="357"/>
      <c r="IS241" s="357"/>
      <c r="IT241" s="357"/>
      <c r="IU241" s="357"/>
      <c r="IV241" s="357"/>
      <c r="IW241" s="357"/>
      <c r="IX241" s="357"/>
      <c r="IY241" s="357"/>
      <c r="IZ241" s="357"/>
      <c r="JA241" s="357"/>
      <c r="JB241" s="357"/>
      <c r="JC241" s="357"/>
      <c r="JD241" s="357"/>
      <c r="JE241" s="357"/>
      <c r="JF241" s="357"/>
      <c r="JG241" s="357"/>
      <c r="JH241" s="357"/>
      <c r="JI241" s="357"/>
      <c r="JJ241" s="357"/>
      <c r="JK241" s="357"/>
      <c r="JL241" s="357"/>
      <c r="JM241" s="357"/>
      <c r="JN241" s="357"/>
      <c r="JO241" s="357"/>
      <c r="JP241" s="357"/>
      <c r="JQ241" s="357"/>
      <c r="JR241" s="357"/>
      <c r="JS241" s="357"/>
      <c r="JT241" s="357"/>
      <c r="JU241" s="357"/>
      <c r="JV241" s="357"/>
      <c r="JW241" s="357"/>
      <c r="JX241" s="357"/>
      <c r="JY241" s="357"/>
      <c r="JZ241" s="357"/>
      <c r="KA241" s="357"/>
      <c r="KB241" s="357"/>
      <c r="KC241" s="357"/>
      <c r="KD241" s="357"/>
      <c r="KE241" s="357"/>
      <c r="KF241" s="357"/>
      <c r="KG241" s="357"/>
      <c r="KH241" s="357"/>
      <c r="KI241" s="357"/>
      <c r="KJ241" s="357"/>
      <c r="KK241" s="357"/>
      <c r="KL241" s="357"/>
      <c r="KM241" s="357"/>
      <c r="KN241" s="357"/>
      <c r="KO241" s="357"/>
      <c r="KP241" s="357"/>
      <c r="KQ241" s="357"/>
      <c r="KR241" s="357"/>
      <c r="KS241" s="357"/>
      <c r="KT241" s="357"/>
      <c r="KU241" s="357"/>
      <c r="KV241" s="357"/>
      <c r="KW241" s="357"/>
      <c r="KX241" s="357"/>
      <c r="KY241" s="357"/>
      <c r="KZ241" s="357"/>
      <c r="LA241" s="357"/>
      <c r="LB241" s="357"/>
      <c r="LC241" s="357"/>
      <c r="LD241" s="357"/>
      <c r="LE241" s="357"/>
      <c r="LF241" s="357"/>
      <c r="LG241" s="357"/>
      <c r="LH241" s="357"/>
      <c r="LI241" s="357"/>
      <c r="LJ241" s="357"/>
      <c r="LK241" s="357"/>
      <c r="LL241" s="357"/>
      <c r="LM241" s="357"/>
      <c r="LN241" s="357"/>
      <c r="LO241" s="357"/>
      <c r="LP241" s="357"/>
      <c r="LQ241" s="357"/>
      <c r="LR241" s="357"/>
      <c r="LS241" s="357"/>
      <c r="LT241" s="357"/>
      <c r="LU241" s="357"/>
      <c r="LV241" s="357"/>
      <c r="LW241" s="357"/>
      <c r="LX241" s="357"/>
      <c r="LY241" s="357"/>
      <c r="LZ241" s="357"/>
      <c r="MA241" s="357"/>
      <c r="MB241" s="357"/>
    </row>
    <row r="242" spans="1:340" s="358" customFormat="1" ht="21" customHeight="1">
      <c r="A242" s="2529"/>
      <c r="B242" s="1145"/>
      <c r="C242" s="470"/>
      <c r="D242" s="1126"/>
      <c r="E242" s="875" t="s">
        <v>3189</v>
      </c>
      <c r="F242" s="598">
        <f>SUM(Y242)</f>
        <v>12550</v>
      </c>
      <c r="G242" s="337">
        <v>12550</v>
      </c>
      <c r="H242" s="338"/>
      <c r="I242" s="2357"/>
      <c r="J242" s="1903" t="s">
        <v>8</v>
      </c>
      <c r="K242" s="807"/>
      <c r="L242" s="807"/>
      <c r="M242" s="807"/>
      <c r="N242" s="646"/>
      <c r="O242" s="646"/>
      <c r="P242" s="646"/>
      <c r="Q242" s="650"/>
      <c r="R242" s="2533"/>
      <c r="S242" s="2533" t="s">
        <v>19</v>
      </c>
      <c r="T242" s="2539" t="s">
        <v>19</v>
      </c>
      <c r="U242" s="2539" t="s">
        <v>19</v>
      </c>
      <c r="V242" s="2539" t="s">
        <v>19</v>
      </c>
      <c r="W242" s="2539" t="s">
        <v>19</v>
      </c>
      <c r="X242" s="1140" t="s">
        <v>19</v>
      </c>
      <c r="Y242" s="1674">
        <f t="shared" si="64"/>
        <v>12550</v>
      </c>
      <c r="Z242" s="1324">
        <f>+Z243+Z244+Z245+Z246</f>
        <v>12550000</v>
      </c>
      <c r="AB242" s="357"/>
      <c r="AD242" s="357"/>
      <c r="AE242" s="357"/>
      <c r="AF242" s="357"/>
      <c r="AG242" s="357"/>
      <c r="AH242" s="357"/>
      <c r="AI242" s="357"/>
      <c r="AJ242" s="357"/>
      <c r="AK242" s="357"/>
      <c r="AL242" s="357"/>
      <c r="AM242" s="357"/>
      <c r="AN242" s="357"/>
      <c r="AO242" s="357"/>
      <c r="AP242" s="357"/>
      <c r="AQ242" s="357"/>
      <c r="AR242" s="357"/>
      <c r="AS242" s="357"/>
      <c r="AT242" s="357"/>
      <c r="AU242" s="357"/>
      <c r="AV242" s="357"/>
      <c r="AW242" s="357"/>
      <c r="AX242" s="357"/>
      <c r="AY242" s="357"/>
      <c r="AZ242" s="357"/>
      <c r="BA242" s="357"/>
      <c r="BB242" s="357"/>
      <c r="BC242" s="357"/>
      <c r="BD242" s="357"/>
      <c r="BE242" s="357"/>
      <c r="BF242" s="357"/>
      <c r="BG242" s="357"/>
      <c r="BH242" s="357"/>
      <c r="BI242" s="357"/>
      <c r="BJ242" s="357"/>
      <c r="BK242" s="357"/>
      <c r="BL242" s="357"/>
      <c r="BM242" s="357"/>
      <c r="BN242" s="357"/>
      <c r="BO242" s="357"/>
      <c r="BP242" s="357"/>
      <c r="BQ242" s="357"/>
      <c r="BR242" s="357"/>
      <c r="BS242" s="357"/>
      <c r="BT242" s="357"/>
      <c r="BU242" s="357"/>
      <c r="BV242" s="357"/>
      <c r="BW242" s="357"/>
      <c r="BX242" s="357"/>
      <c r="BY242" s="357"/>
      <c r="BZ242" s="357"/>
      <c r="CA242" s="357"/>
      <c r="CB242" s="357"/>
      <c r="CC242" s="357"/>
      <c r="CD242" s="357"/>
      <c r="CE242" s="357"/>
      <c r="CF242" s="357"/>
      <c r="CG242" s="357"/>
      <c r="CH242" s="357"/>
      <c r="CI242" s="357"/>
      <c r="CJ242" s="357"/>
      <c r="CK242" s="357"/>
      <c r="CL242" s="357"/>
      <c r="CM242" s="357"/>
      <c r="CN242" s="357"/>
      <c r="CO242" s="357"/>
      <c r="CP242" s="357"/>
      <c r="CQ242" s="357"/>
      <c r="CR242" s="357"/>
      <c r="CS242" s="357"/>
      <c r="CT242" s="357"/>
      <c r="CU242" s="357"/>
      <c r="CV242" s="357"/>
      <c r="CW242" s="357"/>
      <c r="CX242" s="357"/>
      <c r="CY242" s="357"/>
      <c r="CZ242" s="357"/>
      <c r="DA242" s="357"/>
      <c r="DB242" s="357"/>
      <c r="DC242" s="357"/>
      <c r="DD242" s="357"/>
      <c r="DE242" s="357"/>
      <c r="DF242" s="357"/>
      <c r="DG242" s="357"/>
      <c r="DH242" s="357"/>
      <c r="DI242" s="357"/>
      <c r="DJ242" s="357"/>
      <c r="DK242" s="357"/>
      <c r="DL242" s="357"/>
      <c r="DM242" s="357"/>
      <c r="DN242" s="357"/>
      <c r="DO242" s="357"/>
      <c r="DP242" s="357"/>
      <c r="DQ242" s="357"/>
      <c r="DR242" s="357"/>
      <c r="DS242" s="357"/>
      <c r="DT242" s="357"/>
      <c r="DU242" s="357"/>
      <c r="DV242" s="357"/>
      <c r="DW242" s="357"/>
      <c r="DX242" s="357"/>
      <c r="DY242" s="357"/>
      <c r="DZ242" s="357"/>
      <c r="EA242" s="357"/>
      <c r="EB242" s="357"/>
      <c r="EC242" s="357"/>
      <c r="ED242" s="357"/>
      <c r="EE242" s="357"/>
      <c r="EF242" s="357"/>
      <c r="EG242" s="357"/>
      <c r="EH242" s="357"/>
      <c r="EI242" s="357"/>
      <c r="EJ242" s="357"/>
      <c r="EK242" s="357"/>
      <c r="EL242" s="357"/>
      <c r="EM242" s="357"/>
      <c r="EN242" s="357"/>
      <c r="EO242" s="357"/>
      <c r="EP242" s="357"/>
      <c r="EQ242" s="357"/>
      <c r="ER242" s="357"/>
      <c r="ES242" s="357"/>
      <c r="ET242" s="357"/>
      <c r="EU242" s="357"/>
      <c r="EV242" s="357"/>
      <c r="EW242" s="357"/>
      <c r="EX242" s="357"/>
      <c r="EY242" s="357"/>
      <c r="EZ242" s="357"/>
      <c r="FA242" s="357"/>
      <c r="FB242" s="357"/>
      <c r="FC242" s="357"/>
      <c r="FD242" s="357"/>
      <c r="FE242" s="357"/>
      <c r="FF242" s="357"/>
      <c r="FG242" s="357"/>
      <c r="FH242" s="357"/>
      <c r="FI242" s="357"/>
      <c r="FJ242" s="357"/>
      <c r="FK242" s="357"/>
      <c r="FL242" s="357"/>
      <c r="FM242" s="357"/>
      <c r="FN242" s="357"/>
      <c r="FO242" s="357"/>
      <c r="FP242" s="357"/>
      <c r="FQ242" s="357"/>
      <c r="FR242" s="357"/>
      <c r="FS242" s="357"/>
      <c r="FT242" s="357"/>
      <c r="FU242" s="357"/>
      <c r="FV242" s="357"/>
      <c r="FW242" s="357"/>
      <c r="FX242" s="357"/>
      <c r="FY242" s="357"/>
      <c r="FZ242" s="357"/>
      <c r="GA242" s="357"/>
      <c r="GB242" s="357"/>
      <c r="GC242" s="357"/>
      <c r="GD242" s="357"/>
      <c r="GE242" s="357"/>
      <c r="GF242" s="357"/>
      <c r="GG242" s="357"/>
      <c r="GH242" s="357"/>
      <c r="GI242" s="357"/>
      <c r="GJ242" s="357"/>
      <c r="GK242" s="357"/>
      <c r="GL242" s="357"/>
      <c r="GM242" s="357"/>
      <c r="GN242" s="357"/>
      <c r="GO242" s="357"/>
      <c r="GP242" s="357"/>
      <c r="GQ242" s="357"/>
      <c r="GR242" s="357"/>
      <c r="GS242" s="357"/>
      <c r="GT242" s="357"/>
      <c r="GU242" s="357"/>
      <c r="GV242" s="357"/>
      <c r="GW242" s="357"/>
      <c r="GX242" s="357"/>
      <c r="GY242" s="357"/>
      <c r="GZ242" s="357"/>
      <c r="HA242" s="357"/>
      <c r="HB242" s="357"/>
      <c r="HC242" s="357"/>
      <c r="HD242" s="357"/>
      <c r="HE242" s="357"/>
      <c r="HF242" s="357"/>
      <c r="HG242" s="357"/>
      <c r="HH242" s="357"/>
      <c r="HI242" s="357"/>
      <c r="HJ242" s="357"/>
      <c r="HK242" s="357"/>
      <c r="HL242" s="357"/>
      <c r="HM242" s="357"/>
      <c r="HN242" s="357"/>
      <c r="HO242" s="357"/>
      <c r="HP242" s="357"/>
      <c r="HQ242" s="357"/>
      <c r="HR242" s="357"/>
      <c r="HS242" s="357"/>
      <c r="HT242" s="357"/>
      <c r="HU242" s="357"/>
      <c r="HV242" s="357"/>
      <c r="HW242" s="357"/>
      <c r="HX242" s="357"/>
      <c r="HY242" s="357"/>
      <c r="HZ242" s="357"/>
      <c r="IA242" s="357"/>
      <c r="IB242" s="357"/>
      <c r="IC242" s="357"/>
      <c r="ID242" s="357"/>
      <c r="IE242" s="357"/>
      <c r="IF242" s="357"/>
      <c r="IG242" s="357"/>
      <c r="IH242" s="357"/>
      <c r="II242" s="357"/>
      <c r="IJ242" s="357"/>
      <c r="IK242" s="357"/>
      <c r="IL242" s="357"/>
      <c r="IM242" s="357"/>
      <c r="IN242" s="357"/>
      <c r="IO242" s="357"/>
      <c r="IP242" s="357"/>
      <c r="IQ242" s="357"/>
      <c r="IR242" s="357"/>
      <c r="IS242" s="357"/>
      <c r="IT242" s="357"/>
      <c r="IU242" s="357"/>
      <c r="IV242" s="357"/>
      <c r="IW242" s="357"/>
      <c r="IX242" s="357"/>
      <c r="IY242" s="357"/>
      <c r="IZ242" s="357"/>
      <c r="JA242" s="357"/>
      <c r="JB242" s="357"/>
      <c r="JC242" s="357"/>
      <c r="JD242" s="357"/>
      <c r="JE242" s="357"/>
      <c r="JF242" s="357"/>
      <c r="JG242" s="357"/>
      <c r="JH242" s="357"/>
      <c r="JI242" s="357"/>
      <c r="JJ242" s="357"/>
      <c r="JK242" s="357"/>
      <c r="JL242" s="357"/>
      <c r="JM242" s="357"/>
      <c r="JN242" s="357"/>
      <c r="JO242" s="357"/>
      <c r="JP242" s="357"/>
      <c r="JQ242" s="357"/>
      <c r="JR242" s="357"/>
      <c r="JS242" s="357"/>
      <c r="JT242" s="357"/>
      <c r="JU242" s="357"/>
      <c r="JV242" s="357"/>
      <c r="JW242" s="357"/>
      <c r="JX242" s="357"/>
      <c r="JY242" s="357"/>
      <c r="JZ242" s="357"/>
      <c r="KA242" s="357"/>
      <c r="KB242" s="357"/>
      <c r="KC242" s="357"/>
      <c r="KD242" s="357"/>
      <c r="KE242" s="357"/>
      <c r="KF242" s="357"/>
      <c r="KG242" s="357"/>
      <c r="KH242" s="357"/>
      <c r="KI242" s="357"/>
      <c r="KJ242" s="357"/>
      <c r="KK242" s="357"/>
      <c r="KL242" s="357"/>
      <c r="KM242" s="357"/>
      <c r="KN242" s="357"/>
      <c r="KO242" s="357"/>
      <c r="KP242" s="357"/>
      <c r="KQ242" s="357"/>
      <c r="KR242" s="357"/>
      <c r="KS242" s="357"/>
      <c r="KT242" s="357"/>
      <c r="KU242" s="357"/>
      <c r="KV242" s="357"/>
      <c r="KW242" s="357"/>
      <c r="KX242" s="357"/>
      <c r="KY242" s="357"/>
      <c r="KZ242" s="357"/>
      <c r="LA242" s="357"/>
      <c r="LB242" s="357"/>
      <c r="LC242" s="357"/>
      <c r="LD242" s="357"/>
      <c r="LE242" s="357"/>
      <c r="LF242" s="357"/>
      <c r="LG242" s="357"/>
      <c r="LH242" s="357"/>
      <c r="LI242" s="357"/>
      <c r="LJ242" s="357"/>
      <c r="LK242" s="357"/>
      <c r="LL242" s="357"/>
      <c r="LM242" s="357"/>
      <c r="LN242" s="357"/>
      <c r="LO242" s="357"/>
      <c r="LP242" s="357"/>
      <c r="LQ242" s="357"/>
      <c r="LR242" s="357"/>
      <c r="LS242" s="357"/>
      <c r="LT242" s="357"/>
      <c r="LU242" s="357"/>
      <c r="LV242" s="357"/>
      <c r="LW242" s="357"/>
      <c r="LX242" s="357"/>
      <c r="LY242" s="357"/>
      <c r="LZ242" s="357"/>
      <c r="MA242" s="357"/>
      <c r="MB242" s="357"/>
    </row>
    <row r="243" spans="1:340" s="358" customFormat="1" ht="21" customHeight="1">
      <c r="A243" s="2529"/>
      <c r="B243" s="1145"/>
      <c r="C243" s="470"/>
      <c r="D243" s="1126"/>
      <c r="E243" s="1126"/>
      <c r="F243" s="598"/>
      <c r="G243" s="337"/>
      <c r="H243" s="338"/>
      <c r="I243" s="2357"/>
      <c r="J243" s="1903" t="s">
        <v>3239</v>
      </c>
      <c r="K243" s="807"/>
      <c r="L243" s="807"/>
      <c r="M243" s="807"/>
      <c r="N243" s="646"/>
      <c r="O243" s="646"/>
      <c r="P243" s="646"/>
      <c r="Q243" s="650" t="s">
        <v>3240</v>
      </c>
      <c r="R243" s="2533" t="s">
        <v>123</v>
      </c>
      <c r="S243" s="1672">
        <v>1500000</v>
      </c>
      <c r="T243" s="1671" t="s">
        <v>0</v>
      </c>
      <c r="U243" s="1671"/>
      <c r="V243" s="1671">
        <v>1</v>
      </c>
      <c r="W243" s="1671" t="s">
        <v>3</v>
      </c>
      <c r="X243" s="397" t="s">
        <v>1</v>
      </c>
      <c r="Y243" s="1674">
        <f t="shared" si="64"/>
        <v>7500</v>
      </c>
      <c r="Z243" s="407">
        <f>Q243*S243*V243</f>
        <v>7500000</v>
      </c>
      <c r="AB243" s="357"/>
      <c r="AD243" s="357"/>
      <c r="AE243" s="357"/>
      <c r="AF243" s="357"/>
      <c r="AG243" s="357"/>
      <c r="AH243" s="357"/>
      <c r="AI243" s="357"/>
      <c r="AJ243" s="357"/>
      <c r="AK243" s="357"/>
      <c r="AL243" s="357"/>
      <c r="AM243" s="357"/>
      <c r="AN243" s="357"/>
      <c r="AO243" s="357"/>
      <c r="AP243" s="357"/>
      <c r="AQ243" s="357"/>
      <c r="AR243" s="357"/>
      <c r="AS243" s="357"/>
      <c r="AT243" s="357"/>
      <c r="AU243" s="357"/>
      <c r="AV243" s="357"/>
      <c r="AW243" s="357"/>
      <c r="AX243" s="357"/>
      <c r="AY243" s="357"/>
      <c r="AZ243" s="357"/>
      <c r="BA243" s="357"/>
      <c r="BB243" s="357"/>
      <c r="BC243" s="357"/>
      <c r="BD243" s="357"/>
      <c r="BE243" s="357"/>
      <c r="BF243" s="357"/>
      <c r="BG243" s="357"/>
      <c r="BH243" s="357"/>
      <c r="BI243" s="357"/>
      <c r="BJ243" s="357"/>
      <c r="BK243" s="357"/>
      <c r="BL243" s="357"/>
      <c r="BM243" s="357"/>
      <c r="BN243" s="357"/>
      <c r="BO243" s="357"/>
      <c r="BP243" s="357"/>
      <c r="BQ243" s="357"/>
      <c r="BR243" s="357"/>
      <c r="BS243" s="357"/>
      <c r="BT243" s="357"/>
      <c r="BU243" s="357"/>
      <c r="BV243" s="357"/>
      <c r="BW243" s="357"/>
      <c r="BX243" s="357"/>
      <c r="BY243" s="357"/>
      <c r="BZ243" s="357"/>
      <c r="CA243" s="357"/>
      <c r="CB243" s="357"/>
      <c r="CC243" s="357"/>
      <c r="CD243" s="357"/>
      <c r="CE243" s="357"/>
      <c r="CF243" s="357"/>
      <c r="CG243" s="357"/>
      <c r="CH243" s="357"/>
      <c r="CI243" s="357"/>
      <c r="CJ243" s="357"/>
      <c r="CK243" s="357"/>
      <c r="CL243" s="357"/>
      <c r="CM243" s="357"/>
      <c r="CN243" s="357"/>
      <c r="CO243" s="357"/>
      <c r="CP243" s="357"/>
      <c r="CQ243" s="357"/>
      <c r="CR243" s="357"/>
      <c r="CS243" s="357"/>
      <c r="CT243" s="357"/>
      <c r="CU243" s="357"/>
      <c r="CV243" s="357"/>
      <c r="CW243" s="357"/>
      <c r="CX243" s="357"/>
      <c r="CY243" s="357"/>
      <c r="CZ243" s="357"/>
      <c r="DA243" s="357"/>
      <c r="DB243" s="357"/>
      <c r="DC243" s="357"/>
      <c r="DD243" s="357"/>
      <c r="DE243" s="357"/>
      <c r="DF243" s="357"/>
      <c r="DG243" s="357"/>
      <c r="DH243" s="357"/>
      <c r="DI243" s="357"/>
      <c r="DJ243" s="357"/>
      <c r="DK243" s="357"/>
      <c r="DL243" s="357"/>
      <c r="DM243" s="357"/>
      <c r="DN243" s="357"/>
      <c r="DO243" s="357"/>
      <c r="DP243" s="357"/>
      <c r="DQ243" s="357"/>
      <c r="DR243" s="357"/>
      <c r="DS243" s="357"/>
      <c r="DT243" s="357"/>
      <c r="DU243" s="357"/>
      <c r="DV243" s="357"/>
      <c r="DW243" s="357"/>
      <c r="DX243" s="357"/>
      <c r="DY243" s="357"/>
      <c r="DZ243" s="357"/>
      <c r="EA243" s="357"/>
      <c r="EB243" s="357"/>
      <c r="EC243" s="357"/>
      <c r="ED243" s="357"/>
      <c r="EE243" s="357"/>
      <c r="EF243" s="357"/>
      <c r="EG243" s="357"/>
      <c r="EH243" s="357"/>
      <c r="EI243" s="357"/>
      <c r="EJ243" s="357"/>
      <c r="EK243" s="357"/>
      <c r="EL243" s="357"/>
      <c r="EM243" s="357"/>
      <c r="EN243" s="357"/>
      <c r="EO243" s="357"/>
      <c r="EP243" s="357"/>
      <c r="EQ243" s="357"/>
      <c r="ER243" s="357"/>
      <c r="ES243" s="357"/>
      <c r="ET243" s="357"/>
      <c r="EU243" s="357"/>
      <c r="EV243" s="357"/>
      <c r="EW243" s="357"/>
      <c r="EX243" s="357"/>
      <c r="EY243" s="357"/>
      <c r="EZ243" s="357"/>
      <c r="FA243" s="357"/>
      <c r="FB243" s="357"/>
      <c r="FC243" s="357"/>
      <c r="FD243" s="357"/>
      <c r="FE243" s="357"/>
      <c r="FF243" s="357"/>
      <c r="FG243" s="357"/>
      <c r="FH243" s="357"/>
      <c r="FI243" s="357"/>
      <c r="FJ243" s="357"/>
      <c r="FK243" s="357"/>
      <c r="FL243" s="357"/>
      <c r="FM243" s="357"/>
      <c r="FN243" s="357"/>
      <c r="FO243" s="357"/>
      <c r="FP243" s="357"/>
      <c r="FQ243" s="357"/>
      <c r="FR243" s="357"/>
      <c r="FS243" s="357"/>
      <c r="FT243" s="357"/>
      <c r="FU243" s="357"/>
      <c r="FV243" s="357"/>
      <c r="FW243" s="357"/>
      <c r="FX243" s="357"/>
      <c r="FY243" s="357"/>
      <c r="FZ243" s="357"/>
      <c r="GA243" s="357"/>
      <c r="GB243" s="357"/>
      <c r="GC243" s="357"/>
      <c r="GD243" s="357"/>
      <c r="GE243" s="357"/>
      <c r="GF243" s="357"/>
      <c r="GG243" s="357"/>
      <c r="GH243" s="357"/>
      <c r="GI243" s="357"/>
      <c r="GJ243" s="357"/>
      <c r="GK243" s="357"/>
      <c r="GL243" s="357"/>
      <c r="GM243" s="357"/>
      <c r="GN243" s="357"/>
      <c r="GO243" s="357"/>
      <c r="GP243" s="357"/>
      <c r="GQ243" s="357"/>
      <c r="GR243" s="357"/>
      <c r="GS243" s="357"/>
      <c r="GT243" s="357"/>
      <c r="GU243" s="357"/>
      <c r="GV243" s="357"/>
      <c r="GW243" s="357"/>
      <c r="GX243" s="357"/>
      <c r="GY243" s="357"/>
      <c r="GZ243" s="357"/>
      <c r="HA243" s="357"/>
      <c r="HB243" s="357"/>
      <c r="HC243" s="357"/>
      <c r="HD243" s="357"/>
      <c r="HE243" s="357"/>
      <c r="HF243" s="357"/>
      <c r="HG243" s="357"/>
      <c r="HH243" s="357"/>
      <c r="HI243" s="357"/>
      <c r="HJ243" s="357"/>
      <c r="HK243" s="357"/>
      <c r="HL243" s="357"/>
      <c r="HM243" s="357"/>
      <c r="HN243" s="357"/>
      <c r="HO243" s="357"/>
      <c r="HP243" s="357"/>
      <c r="HQ243" s="357"/>
      <c r="HR243" s="357"/>
      <c r="HS243" s="357"/>
      <c r="HT243" s="357"/>
      <c r="HU243" s="357"/>
      <c r="HV243" s="357"/>
      <c r="HW243" s="357"/>
      <c r="HX243" s="357"/>
      <c r="HY243" s="357"/>
      <c r="HZ243" s="357"/>
      <c r="IA243" s="357"/>
      <c r="IB243" s="357"/>
      <c r="IC243" s="357"/>
      <c r="ID243" s="357"/>
      <c r="IE243" s="357"/>
      <c r="IF243" s="357"/>
      <c r="IG243" s="357"/>
      <c r="IH243" s="357"/>
      <c r="II243" s="357"/>
      <c r="IJ243" s="357"/>
      <c r="IK243" s="357"/>
      <c r="IL243" s="357"/>
      <c r="IM243" s="357"/>
      <c r="IN243" s="357"/>
      <c r="IO243" s="357"/>
      <c r="IP243" s="357"/>
      <c r="IQ243" s="357"/>
      <c r="IR243" s="357"/>
      <c r="IS243" s="357"/>
      <c r="IT243" s="357"/>
      <c r="IU243" s="357"/>
      <c r="IV243" s="357"/>
      <c r="IW243" s="357"/>
      <c r="IX243" s="357"/>
      <c r="IY243" s="357"/>
      <c r="IZ243" s="357"/>
      <c r="JA243" s="357"/>
      <c r="JB243" s="357"/>
      <c r="JC243" s="357"/>
      <c r="JD243" s="357"/>
      <c r="JE243" s="357"/>
      <c r="JF243" s="357"/>
      <c r="JG243" s="357"/>
      <c r="JH243" s="357"/>
      <c r="JI243" s="357"/>
      <c r="JJ243" s="357"/>
      <c r="JK243" s="357"/>
      <c r="JL243" s="357"/>
      <c r="JM243" s="357"/>
      <c r="JN243" s="357"/>
      <c r="JO243" s="357"/>
      <c r="JP243" s="357"/>
      <c r="JQ243" s="357"/>
      <c r="JR243" s="357"/>
      <c r="JS243" s="357"/>
      <c r="JT243" s="357"/>
      <c r="JU243" s="357"/>
      <c r="JV243" s="357"/>
      <c r="JW243" s="357"/>
      <c r="JX243" s="357"/>
      <c r="JY243" s="357"/>
      <c r="JZ243" s="357"/>
      <c r="KA243" s="357"/>
      <c r="KB243" s="357"/>
      <c r="KC243" s="357"/>
      <c r="KD243" s="357"/>
      <c r="KE243" s="357"/>
      <c r="KF243" s="357"/>
      <c r="KG243" s="357"/>
      <c r="KH243" s="357"/>
      <c r="KI243" s="357"/>
      <c r="KJ243" s="357"/>
      <c r="KK243" s="357"/>
      <c r="KL243" s="357"/>
      <c r="KM243" s="357"/>
      <c r="KN243" s="357"/>
      <c r="KO243" s="357"/>
      <c r="KP243" s="357"/>
      <c r="KQ243" s="357"/>
      <c r="KR243" s="357"/>
      <c r="KS243" s="357"/>
      <c r="KT243" s="357"/>
      <c r="KU243" s="357"/>
      <c r="KV243" s="357"/>
      <c r="KW243" s="357"/>
      <c r="KX243" s="357"/>
      <c r="KY243" s="357"/>
      <c r="KZ243" s="357"/>
      <c r="LA243" s="357"/>
      <c r="LB243" s="357"/>
      <c r="LC243" s="357"/>
      <c r="LD243" s="357"/>
      <c r="LE243" s="357"/>
      <c r="LF243" s="357"/>
      <c r="LG243" s="357"/>
      <c r="LH243" s="357"/>
      <c r="LI243" s="357"/>
      <c r="LJ243" s="357"/>
      <c r="LK243" s="357"/>
      <c r="LL243" s="357"/>
      <c r="LM243" s="357"/>
      <c r="LN243" s="357"/>
      <c r="LO243" s="357"/>
      <c r="LP243" s="357"/>
      <c r="LQ243" s="357"/>
      <c r="LR243" s="357"/>
      <c r="LS243" s="357"/>
      <c r="LT243" s="357"/>
      <c r="LU243" s="357"/>
      <c r="LV243" s="357"/>
      <c r="LW243" s="357"/>
      <c r="LX243" s="357"/>
      <c r="LY243" s="357"/>
      <c r="LZ243" s="357"/>
      <c r="MA243" s="357"/>
      <c r="MB243" s="357"/>
    </row>
    <row r="244" spans="1:340" s="358" customFormat="1" ht="21" customHeight="1">
      <c r="A244" s="2529"/>
      <c r="B244" s="1145"/>
      <c r="C244" s="470"/>
      <c r="D244" s="470"/>
      <c r="E244" s="1126"/>
      <c r="F244" s="598"/>
      <c r="G244" s="337"/>
      <c r="H244" s="338"/>
      <c r="I244" s="2357"/>
      <c r="J244" s="1903" t="s">
        <v>3241</v>
      </c>
      <c r="K244" s="807"/>
      <c r="L244" s="807"/>
      <c r="M244" s="807"/>
      <c r="N244" s="646"/>
      <c r="O244" s="646"/>
      <c r="P244" s="646"/>
      <c r="Q244" s="1905">
        <v>5</v>
      </c>
      <c r="R244" s="2533" t="s">
        <v>123</v>
      </c>
      <c r="S244" s="1672">
        <v>150000</v>
      </c>
      <c r="T244" s="1671" t="s">
        <v>0</v>
      </c>
      <c r="U244" s="1671"/>
      <c r="V244" s="1671">
        <v>4</v>
      </c>
      <c r="W244" s="1671" t="s">
        <v>306</v>
      </c>
      <c r="X244" s="397" t="s">
        <v>1</v>
      </c>
      <c r="Y244" s="1674">
        <f t="shared" si="64"/>
        <v>3000</v>
      </c>
      <c r="Z244" s="407">
        <f>Q244*S244*V244</f>
        <v>3000000</v>
      </c>
      <c r="AB244" s="357"/>
      <c r="AD244" s="357"/>
      <c r="AE244" s="357"/>
      <c r="AF244" s="357"/>
      <c r="AG244" s="357"/>
      <c r="AH244" s="357"/>
      <c r="AI244" s="357"/>
      <c r="AJ244" s="357"/>
      <c r="AK244" s="357"/>
      <c r="AL244" s="357"/>
      <c r="AM244" s="357"/>
      <c r="AN244" s="357"/>
      <c r="AO244" s="357"/>
      <c r="AP244" s="357"/>
      <c r="AQ244" s="357"/>
      <c r="AR244" s="357"/>
      <c r="AS244" s="357"/>
      <c r="AT244" s="357"/>
      <c r="AU244" s="357"/>
      <c r="AV244" s="357"/>
      <c r="AW244" s="357"/>
      <c r="AX244" s="357"/>
      <c r="AY244" s="357"/>
      <c r="AZ244" s="357"/>
      <c r="BA244" s="357"/>
      <c r="BB244" s="357"/>
      <c r="BC244" s="357"/>
      <c r="BD244" s="357"/>
      <c r="BE244" s="357"/>
      <c r="BF244" s="357"/>
      <c r="BG244" s="357"/>
      <c r="BH244" s="357"/>
      <c r="BI244" s="357"/>
      <c r="BJ244" s="357"/>
      <c r="BK244" s="357"/>
      <c r="BL244" s="357"/>
      <c r="BM244" s="357"/>
      <c r="BN244" s="357"/>
      <c r="BO244" s="357"/>
      <c r="BP244" s="357"/>
      <c r="BQ244" s="357"/>
      <c r="BR244" s="357"/>
      <c r="BS244" s="357"/>
      <c r="BT244" s="357"/>
      <c r="BU244" s="357"/>
      <c r="BV244" s="357"/>
      <c r="BW244" s="357"/>
      <c r="BX244" s="357"/>
      <c r="BY244" s="357"/>
      <c r="BZ244" s="357"/>
      <c r="CA244" s="357"/>
      <c r="CB244" s="357"/>
      <c r="CC244" s="357"/>
      <c r="CD244" s="357"/>
      <c r="CE244" s="357"/>
      <c r="CF244" s="357"/>
      <c r="CG244" s="357"/>
      <c r="CH244" s="357"/>
      <c r="CI244" s="357"/>
      <c r="CJ244" s="357"/>
      <c r="CK244" s="357"/>
      <c r="CL244" s="357"/>
      <c r="CM244" s="357"/>
      <c r="CN244" s="357"/>
      <c r="CO244" s="357"/>
      <c r="CP244" s="357"/>
      <c r="CQ244" s="357"/>
      <c r="CR244" s="357"/>
      <c r="CS244" s="357"/>
      <c r="CT244" s="357"/>
      <c r="CU244" s="357"/>
      <c r="CV244" s="357"/>
      <c r="CW244" s="357"/>
      <c r="CX244" s="357"/>
      <c r="CY244" s="357"/>
      <c r="CZ244" s="357"/>
      <c r="DA244" s="357"/>
      <c r="DB244" s="357"/>
      <c r="DC244" s="357"/>
      <c r="DD244" s="357"/>
      <c r="DE244" s="357"/>
      <c r="DF244" s="357"/>
      <c r="DG244" s="357"/>
      <c r="DH244" s="357"/>
      <c r="DI244" s="357"/>
      <c r="DJ244" s="357"/>
      <c r="DK244" s="357"/>
      <c r="DL244" s="357"/>
      <c r="DM244" s="357"/>
      <c r="DN244" s="357"/>
      <c r="DO244" s="357"/>
      <c r="DP244" s="357"/>
      <c r="DQ244" s="357"/>
      <c r="DR244" s="357"/>
      <c r="DS244" s="357"/>
      <c r="DT244" s="357"/>
      <c r="DU244" s="357"/>
      <c r="DV244" s="357"/>
      <c r="DW244" s="357"/>
      <c r="DX244" s="357"/>
      <c r="DY244" s="357"/>
      <c r="DZ244" s="357"/>
      <c r="EA244" s="357"/>
      <c r="EB244" s="357"/>
      <c r="EC244" s="357"/>
      <c r="ED244" s="357"/>
      <c r="EE244" s="357"/>
      <c r="EF244" s="357"/>
      <c r="EG244" s="357"/>
      <c r="EH244" s="357"/>
      <c r="EI244" s="357"/>
      <c r="EJ244" s="357"/>
      <c r="EK244" s="357"/>
      <c r="EL244" s="357"/>
      <c r="EM244" s="357"/>
      <c r="EN244" s="357"/>
      <c r="EO244" s="357"/>
      <c r="EP244" s="357"/>
      <c r="EQ244" s="357"/>
      <c r="ER244" s="357"/>
      <c r="ES244" s="357"/>
      <c r="ET244" s="357"/>
      <c r="EU244" s="357"/>
      <c r="EV244" s="357"/>
      <c r="EW244" s="357"/>
      <c r="EX244" s="357"/>
      <c r="EY244" s="357"/>
      <c r="EZ244" s="357"/>
      <c r="FA244" s="357"/>
      <c r="FB244" s="357"/>
      <c r="FC244" s="357"/>
      <c r="FD244" s="357"/>
      <c r="FE244" s="357"/>
      <c r="FF244" s="357"/>
      <c r="FG244" s="357"/>
      <c r="FH244" s="357"/>
      <c r="FI244" s="357"/>
      <c r="FJ244" s="357"/>
      <c r="FK244" s="357"/>
      <c r="FL244" s="357"/>
      <c r="FM244" s="357"/>
      <c r="FN244" s="357"/>
      <c r="FO244" s="357"/>
      <c r="FP244" s="357"/>
      <c r="FQ244" s="357"/>
      <c r="FR244" s="357"/>
      <c r="FS244" s="357"/>
      <c r="FT244" s="357"/>
      <c r="FU244" s="357"/>
      <c r="FV244" s="357"/>
      <c r="FW244" s="357"/>
      <c r="FX244" s="357"/>
      <c r="FY244" s="357"/>
      <c r="FZ244" s="357"/>
      <c r="GA244" s="357"/>
      <c r="GB244" s="357"/>
      <c r="GC244" s="357"/>
      <c r="GD244" s="357"/>
      <c r="GE244" s="357"/>
      <c r="GF244" s="357"/>
      <c r="GG244" s="357"/>
      <c r="GH244" s="357"/>
      <c r="GI244" s="357"/>
      <c r="GJ244" s="357"/>
      <c r="GK244" s="357"/>
      <c r="GL244" s="357"/>
      <c r="GM244" s="357"/>
      <c r="GN244" s="357"/>
      <c r="GO244" s="357"/>
      <c r="GP244" s="357"/>
      <c r="GQ244" s="357"/>
      <c r="GR244" s="357"/>
      <c r="GS244" s="357"/>
      <c r="GT244" s="357"/>
      <c r="GU244" s="357"/>
      <c r="GV244" s="357"/>
      <c r="GW244" s="357"/>
      <c r="GX244" s="357"/>
      <c r="GY244" s="357"/>
      <c r="GZ244" s="357"/>
      <c r="HA244" s="357"/>
      <c r="HB244" s="357"/>
      <c r="HC244" s="357"/>
      <c r="HD244" s="357"/>
      <c r="HE244" s="357"/>
      <c r="HF244" s="357"/>
      <c r="HG244" s="357"/>
      <c r="HH244" s="357"/>
      <c r="HI244" s="357"/>
      <c r="HJ244" s="357"/>
      <c r="HK244" s="357"/>
      <c r="HL244" s="357"/>
      <c r="HM244" s="357"/>
      <c r="HN244" s="357"/>
      <c r="HO244" s="357"/>
      <c r="HP244" s="357"/>
      <c r="HQ244" s="357"/>
      <c r="HR244" s="357"/>
      <c r="HS244" s="357"/>
      <c r="HT244" s="357"/>
      <c r="HU244" s="357"/>
      <c r="HV244" s="357"/>
      <c r="HW244" s="357"/>
      <c r="HX244" s="357"/>
      <c r="HY244" s="357"/>
      <c r="HZ244" s="357"/>
      <c r="IA244" s="357"/>
      <c r="IB244" s="357"/>
      <c r="IC244" s="357"/>
      <c r="ID244" s="357"/>
      <c r="IE244" s="357"/>
      <c r="IF244" s="357"/>
      <c r="IG244" s="357"/>
      <c r="IH244" s="357"/>
      <c r="II244" s="357"/>
      <c r="IJ244" s="357"/>
      <c r="IK244" s="357"/>
      <c r="IL244" s="357"/>
      <c r="IM244" s="357"/>
      <c r="IN244" s="357"/>
      <c r="IO244" s="357"/>
      <c r="IP244" s="357"/>
      <c r="IQ244" s="357"/>
      <c r="IR244" s="357"/>
      <c r="IS244" s="357"/>
      <c r="IT244" s="357"/>
      <c r="IU244" s="357"/>
      <c r="IV244" s="357"/>
      <c r="IW244" s="357"/>
      <c r="IX244" s="357"/>
      <c r="IY244" s="357"/>
      <c r="IZ244" s="357"/>
      <c r="JA244" s="357"/>
      <c r="JB244" s="357"/>
      <c r="JC244" s="357"/>
      <c r="JD244" s="357"/>
      <c r="JE244" s="357"/>
      <c r="JF244" s="357"/>
      <c r="JG244" s="357"/>
      <c r="JH244" s="357"/>
      <c r="JI244" s="357"/>
      <c r="JJ244" s="357"/>
      <c r="JK244" s="357"/>
      <c r="JL244" s="357"/>
      <c r="JM244" s="357"/>
      <c r="JN244" s="357"/>
      <c r="JO244" s="357"/>
      <c r="JP244" s="357"/>
      <c r="JQ244" s="357"/>
      <c r="JR244" s="357"/>
      <c r="JS244" s="357"/>
      <c r="JT244" s="357"/>
      <c r="JU244" s="357"/>
      <c r="JV244" s="357"/>
      <c r="JW244" s="357"/>
      <c r="JX244" s="357"/>
      <c r="JY244" s="357"/>
      <c r="JZ244" s="357"/>
      <c r="KA244" s="357"/>
      <c r="KB244" s="357"/>
      <c r="KC244" s="357"/>
      <c r="KD244" s="357"/>
      <c r="KE244" s="357"/>
      <c r="KF244" s="357"/>
      <c r="KG244" s="357"/>
      <c r="KH244" s="357"/>
      <c r="KI244" s="357"/>
      <c r="KJ244" s="357"/>
      <c r="KK244" s="357"/>
      <c r="KL244" s="357"/>
      <c r="KM244" s="357"/>
      <c r="KN244" s="357"/>
      <c r="KO244" s="357"/>
      <c r="KP244" s="357"/>
      <c r="KQ244" s="357"/>
      <c r="KR244" s="357"/>
      <c r="KS244" s="357"/>
      <c r="KT244" s="357"/>
      <c r="KU244" s="357"/>
      <c r="KV244" s="357"/>
      <c r="KW244" s="357"/>
      <c r="KX244" s="357"/>
      <c r="KY244" s="357"/>
      <c r="KZ244" s="357"/>
      <c r="LA244" s="357"/>
      <c r="LB244" s="357"/>
      <c r="LC244" s="357"/>
      <c r="LD244" s="357"/>
      <c r="LE244" s="357"/>
      <c r="LF244" s="357"/>
      <c r="LG244" s="357"/>
      <c r="LH244" s="357"/>
      <c r="LI244" s="357"/>
      <c r="LJ244" s="357"/>
      <c r="LK244" s="357"/>
      <c r="LL244" s="357"/>
      <c r="LM244" s="357"/>
      <c r="LN244" s="357"/>
      <c r="LO244" s="357"/>
      <c r="LP244" s="357"/>
      <c r="LQ244" s="357"/>
      <c r="LR244" s="357"/>
      <c r="LS244" s="357"/>
      <c r="LT244" s="357"/>
      <c r="LU244" s="357"/>
      <c r="LV244" s="357"/>
      <c r="LW244" s="357"/>
      <c r="LX244" s="357"/>
      <c r="LY244" s="357"/>
      <c r="LZ244" s="357"/>
      <c r="MA244" s="357"/>
      <c r="MB244" s="357"/>
    </row>
    <row r="245" spans="1:340" s="358" customFormat="1" ht="21" customHeight="1">
      <c r="A245" s="2529"/>
      <c r="B245" s="1145"/>
      <c r="C245" s="470"/>
      <c r="D245" s="470"/>
      <c r="E245" s="1126"/>
      <c r="F245" s="598"/>
      <c r="G245" s="337"/>
      <c r="H245" s="338"/>
      <c r="I245" s="2357"/>
      <c r="J245" s="1903" t="s">
        <v>3242</v>
      </c>
      <c r="K245" s="807"/>
      <c r="L245" s="807"/>
      <c r="M245" s="807"/>
      <c r="N245" s="646"/>
      <c r="O245" s="646"/>
      <c r="P245" s="646"/>
      <c r="Q245" s="1905">
        <v>5</v>
      </c>
      <c r="R245" s="2533" t="s">
        <v>123</v>
      </c>
      <c r="S245" s="1672">
        <v>50000</v>
      </c>
      <c r="T245" s="1671" t="s">
        <v>0</v>
      </c>
      <c r="U245" s="1671"/>
      <c r="V245" s="1671">
        <v>5</v>
      </c>
      <c r="W245" s="1671" t="s">
        <v>60</v>
      </c>
      <c r="X245" s="397" t="s">
        <v>1</v>
      </c>
      <c r="Y245" s="1674">
        <f t="shared" si="64"/>
        <v>1250</v>
      </c>
      <c r="Z245" s="407">
        <f>Q245*S245*V245</f>
        <v>1250000</v>
      </c>
      <c r="AB245" s="357"/>
      <c r="AD245" s="357"/>
      <c r="AE245" s="357"/>
      <c r="AF245" s="357"/>
      <c r="AG245" s="357"/>
      <c r="AH245" s="357"/>
      <c r="AI245" s="357"/>
      <c r="AJ245" s="357"/>
      <c r="AK245" s="357"/>
      <c r="AL245" s="357"/>
      <c r="AM245" s="357"/>
      <c r="AN245" s="357"/>
      <c r="AO245" s="357"/>
      <c r="AP245" s="357"/>
      <c r="AQ245" s="357"/>
      <c r="AR245" s="357"/>
      <c r="AS245" s="357"/>
      <c r="AT245" s="357"/>
      <c r="AU245" s="357"/>
      <c r="AV245" s="357"/>
      <c r="AW245" s="357"/>
      <c r="AX245" s="357"/>
      <c r="AY245" s="357"/>
      <c r="AZ245" s="357"/>
      <c r="BA245" s="357"/>
      <c r="BB245" s="357"/>
      <c r="BC245" s="357"/>
      <c r="BD245" s="357"/>
      <c r="BE245" s="357"/>
      <c r="BF245" s="357"/>
      <c r="BG245" s="357"/>
      <c r="BH245" s="357"/>
      <c r="BI245" s="357"/>
      <c r="BJ245" s="357"/>
      <c r="BK245" s="357"/>
      <c r="BL245" s="357"/>
      <c r="BM245" s="357"/>
      <c r="BN245" s="357"/>
      <c r="BO245" s="357"/>
      <c r="BP245" s="357"/>
      <c r="BQ245" s="357"/>
      <c r="BR245" s="357"/>
      <c r="BS245" s="357"/>
      <c r="BT245" s="357"/>
      <c r="BU245" s="357"/>
      <c r="BV245" s="357"/>
      <c r="BW245" s="357"/>
      <c r="BX245" s="357"/>
      <c r="BY245" s="357"/>
      <c r="BZ245" s="357"/>
      <c r="CA245" s="357"/>
      <c r="CB245" s="357"/>
      <c r="CC245" s="357"/>
      <c r="CD245" s="357"/>
      <c r="CE245" s="357"/>
      <c r="CF245" s="357"/>
      <c r="CG245" s="357"/>
      <c r="CH245" s="357"/>
      <c r="CI245" s="357"/>
      <c r="CJ245" s="357"/>
      <c r="CK245" s="357"/>
      <c r="CL245" s="357"/>
      <c r="CM245" s="357"/>
      <c r="CN245" s="357"/>
      <c r="CO245" s="357"/>
      <c r="CP245" s="357"/>
      <c r="CQ245" s="357"/>
      <c r="CR245" s="357"/>
      <c r="CS245" s="357"/>
      <c r="CT245" s="357"/>
      <c r="CU245" s="357"/>
      <c r="CV245" s="357"/>
      <c r="CW245" s="357"/>
      <c r="CX245" s="357"/>
      <c r="CY245" s="357"/>
      <c r="CZ245" s="357"/>
      <c r="DA245" s="357"/>
      <c r="DB245" s="357"/>
      <c r="DC245" s="357"/>
      <c r="DD245" s="357"/>
      <c r="DE245" s="357"/>
      <c r="DF245" s="357"/>
      <c r="DG245" s="357"/>
      <c r="DH245" s="357"/>
      <c r="DI245" s="357"/>
      <c r="DJ245" s="357"/>
      <c r="DK245" s="357"/>
      <c r="DL245" s="357"/>
      <c r="DM245" s="357"/>
      <c r="DN245" s="357"/>
      <c r="DO245" s="357"/>
      <c r="DP245" s="357"/>
      <c r="DQ245" s="357"/>
      <c r="DR245" s="357"/>
      <c r="DS245" s="357"/>
      <c r="DT245" s="357"/>
      <c r="DU245" s="357"/>
      <c r="DV245" s="357"/>
      <c r="DW245" s="357"/>
      <c r="DX245" s="357"/>
      <c r="DY245" s="357"/>
      <c r="DZ245" s="357"/>
      <c r="EA245" s="357"/>
      <c r="EB245" s="357"/>
      <c r="EC245" s="357"/>
      <c r="ED245" s="357"/>
      <c r="EE245" s="357"/>
      <c r="EF245" s="357"/>
      <c r="EG245" s="357"/>
      <c r="EH245" s="357"/>
      <c r="EI245" s="357"/>
      <c r="EJ245" s="357"/>
      <c r="EK245" s="357"/>
      <c r="EL245" s="357"/>
      <c r="EM245" s="357"/>
      <c r="EN245" s="357"/>
      <c r="EO245" s="357"/>
      <c r="EP245" s="357"/>
      <c r="EQ245" s="357"/>
      <c r="ER245" s="357"/>
      <c r="ES245" s="357"/>
      <c r="ET245" s="357"/>
      <c r="EU245" s="357"/>
      <c r="EV245" s="357"/>
      <c r="EW245" s="357"/>
      <c r="EX245" s="357"/>
      <c r="EY245" s="357"/>
      <c r="EZ245" s="357"/>
      <c r="FA245" s="357"/>
      <c r="FB245" s="357"/>
      <c r="FC245" s="357"/>
      <c r="FD245" s="357"/>
      <c r="FE245" s="357"/>
      <c r="FF245" s="357"/>
      <c r="FG245" s="357"/>
      <c r="FH245" s="357"/>
      <c r="FI245" s="357"/>
      <c r="FJ245" s="357"/>
      <c r="FK245" s="357"/>
      <c r="FL245" s="357"/>
      <c r="FM245" s="357"/>
      <c r="FN245" s="357"/>
      <c r="FO245" s="357"/>
      <c r="FP245" s="357"/>
      <c r="FQ245" s="357"/>
      <c r="FR245" s="357"/>
      <c r="FS245" s="357"/>
      <c r="FT245" s="357"/>
      <c r="FU245" s="357"/>
      <c r="FV245" s="357"/>
      <c r="FW245" s="357"/>
      <c r="FX245" s="357"/>
      <c r="FY245" s="357"/>
      <c r="FZ245" s="357"/>
      <c r="GA245" s="357"/>
      <c r="GB245" s="357"/>
      <c r="GC245" s="357"/>
      <c r="GD245" s="357"/>
      <c r="GE245" s="357"/>
      <c r="GF245" s="357"/>
      <c r="GG245" s="357"/>
      <c r="GH245" s="357"/>
      <c r="GI245" s="357"/>
      <c r="GJ245" s="357"/>
      <c r="GK245" s="357"/>
      <c r="GL245" s="357"/>
      <c r="GM245" s="357"/>
      <c r="GN245" s="357"/>
      <c r="GO245" s="357"/>
      <c r="GP245" s="357"/>
      <c r="GQ245" s="357"/>
      <c r="GR245" s="357"/>
      <c r="GS245" s="357"/>
      <c r="GT245" s="357"/>
      <c r="GU245" s="357"/>
      <c r="GV245" s="357"/>
      <c r="GW245" s="357"/>
      <c r="GX245" s="357"/>
      <c r="GY245" s="357"/>
      <c r="GZ245" s="357"/>
      <c r="HA245" s="357"/>
      <c r="HB245" s="357"/>
      <c r="HC245" s="357"/>
      <c r="HD245" s="357"/>
      <c r="HE245" s="357"/>
      <c r="HF245" s="357"/>
      <c r="HG245" s="357"/>
      <c r="HH245" s="357"/>
      <c r="HI245" s="357"/>
      <c r="HJ245" s="357"/>
      <c r="HK245" s="357"/>
      <c r="HL245" s="357"/>
      <c r="HM245" s="357"/>
      <c r="HN245" s="357"/>
      <c r="HO245" s="357"/>
      <c r="HP245" s="357"/>
      <c r="HQ245" s="357"/>
      <c r="HR245" s="357"/>
      <c r="HS245" s="357"/>
      <c r="HT245" s="357"/>
      <c r="HU245" s="357"/>
      <c r="HV245" s="357"/>
      <c r="HW245" s="357"/>
      <c r="HX245" s="357"/>
      <c r="HY245" s="357"/>
      <c r="HZ245" s="357"/>
      <c r="IA245" s="357"/>
      <c r="IB245" s="357"/>
      <c r="IC245" s="357"/>
      <c r="ID245" s="357"/>
      <c r="IE245" s="357"/>
      <c r="IF245" s="357"/>
      <c r="IG245" s="357"/>
      <c r="IH245" s="357"/>
      <c r="II245" s="357"/>
      <c r="IJ245" s="357"/>
      <c r="IK245" s="357"/>
      <c r="IL245" s="357"/>
      <c r="IM245" s="357"/>
      <c r="IN245" s="357"/>
      <c r="IO245" s="357"/>
      <c r="IP245" s="357"/>
      <c r="IQ245" s="357"/>
      <c r="IR245" s="357"/>
      <c r="IS245" s="357"/>
      <c r="IT245" s="357"/>
      <c r="IU245" s="357"/>
      <c r="IV245" s="357"/>
      <c r="IW245" s="357"/>
      <c r="IX245" s="357"/>
      <c r="IY245" s="357"/>
      <c r="IZ245" s="357"/>
      <c r="JA245" s="357"/>
      <c r="JB245" s="357"/>
      <c r="JC245" s="357"/>
      <c r="JD245" s="357"/>
      <c r="JE245" s="357"/>
      <c r="JF245" s="357"/>
      <c r="JG245" s="357"/>
      <c r="JH245" s="357"/>
      <c r="JI245" s="357"/>
      <c r="JJ245" s="357"/>
      <c r="JK245" s="357"/>
      <c r="JL245" s="357"/>
      <c r="JM245" s="357"/>
      <c r="JN245" s="357"/>
      <c r="JO245" s="357"/>
      <c r="JP245" s="357"/>
      <c r="JQ245" s="357"/>
      <c r="JR245" s="357"/>
      <c r="JS245" s="357"/>
      <c r="JT245" s="357"/>
      <c r="JU245" s="357"/>
      <c r="JV245" s="357"/>
      <c r="JW245" s="357"/>
      <c r="JX245" s="357"/>
      <c r="JY245" s="357"/>
      <c r="JZ245" s="357"/>
      <c r="KA245" s="357"/>
      <c r="KB245" s="357"/>
      <c r="KC245" s="357"/>
      <c r="KD245" s="357"/>
      <c r="KE245" s="357"/>
      <c r="KF245" s="357"/>
      <c r="KG245" s="357"/>
      <c r="KH245" s="357"/>
      <c r="KI245" s="357"/>
      <c r="KJ245" s="357"/>
      <c r="KK245" s="357"/>
      <c r="KL245" s="357"/>
      <c r="KM245" s="357"/>
      <c r="KN245" s="357"/>
      <c r="KO245" s="357"/>
      <c r="KP245" s="357"/>
      <c r="KQ245" s="357"/>
      <c r="KR245" s="357"/>
      <c r="KS245" s="357"/>
      <c r="KT245" s="357"/>
      <c r="KU245" s="357"/>
      <c r="KV245" s="357"/>
      <c r="KW245" s="357"/>
      <c r="KX245" s="357"/>
      <c r="KY245" s="357"/>
      <c r="KZ245" s="357"/>
      <c r="LA245" s="357"/>
      <c r="LB245" s="357"/>
      <c r="LC245" s="357"/>
      <c r="LD245" s="357"/>
      <c r="LE245" s="357"/>
      <c r="LF245" s="357"/>
      <c r="LG245" s="357"/>
      <c r="LH245" s="357"/>
      <c r="LI245" s="357"/>
      <c r="LJ245" s="357"/>
      <c r="LK245" s="357"/>
      <c r="LL245" s="357"/>
      <c r="LM245" s="357"/>
      <c r="LN245" s="357"/>
      <c r="LO245" s="357"/>
      <c r="LP245" s="357"/>
      <c r="LQ245" s="357"/>
      <c r="LR245" s="357"/>
      <c r="LS245" s="357"/>
      <c r="LT245" s="357"/>
      <c r="LU245" s="357"/>
      <c r="LV245" s="357"/>
      <c r="LW245" s="357"/>
      <c r="LX245" s="357"/>
      <c r="LY245" s="357"/>
      <c r="LZ245" s="357"/>
      <c r="MA245" s="357"/>
      <c r="MB245" s="357"/>
    </row>
    <row r="246" spans="1:340" s="358" customFormat="1" ht="21" customHeight="1">
      <c r="A246" s="2529"/>
      <c r="B246" s="1145"/>
      <c r="C246" s="470"/>
      <c r="D246" s="1126"/>
      <c r="E246" s="1126"/>
      <c r="F246" s="598"/>
      <c r="G246" s="337"/>
      <c r="H246" s="338"/>
      <c r="I246" s="2357"/>
      <c r="J246" s="1903" t="s">
        <v>3243</v>
      </c>
      <c r="K246" s="807"/>
      <c r="L246" s="807"/>
      <c r="M246" s="807"/>
      <c r="N246" s="646"/>
      <c r="O246" s="646"/>
      <c r="P246" s="646"/>
      <c r="Q246" s="1905">
        <v>2</v>
      </c>
      <c r="R246" s="2533" t="s">
        <v>123</v>
      </c>
      <c r="S246" s="1672">
        <v>20000</v>
      </c>
      <c r="T246" s="1671" t="s">
        <v>0</v>
      </c>
      <c r="U246" s="1671"/>
      <c r="V246" s="1671">
        <v>20</v>
      </c>
      <c r="W246" s="1671" t="s">
        <v>3244</v>
      </c>
      <c r="X246" s="397" t="s">
        <v>1</v>
      </c>
      <c r="Y246" s="1674">
        <f t="shared" si="64"/>
        <v>800</v>
      </c>
      <c r="Z246" s="407">
        <f>Q246*S246*V246</f>
        <v>800000</v>
      </c>
      <c r="AB246" s="357"/>
      <c r="AD246" s="357"/>
      <c r="AE246" s="357"/>
      <c r="AF246" s="357"/>
      <c r="AG246" s="357"/>
      <c r="AH246" s="357"/>
      <c r="AI246" s="357"/>
      <c r="AJ246" s="357"/>
      <c r="AK246" s="357"/>
      <c r="AL246" s="357"/>
      <c r="AM246" s="357"/>
      <c r="AN246" s="357"/>
      <c r="AO246" s="357"/>
      <c r="AP246" s="357"/>
      <c r="AQ246" s="357"/>
      <c r="AR246" s="357"/>
      <c r="AS246" s="357"/>
      <c r="AT246" s="357"/>
      <c r="AU246" s="357"/>
      <c r="AV246" s="357"/>
      <c r="AW246" s="357"/>
      <c r="AX246" s="357"/>
      <c r="AY246" s="357"/>
      <c r="AZ246" s="357"/>
      <c r="BA246" s="357"/>
      <c r="BB246" s="357"/>
      <c r="BC246" s="357"/>
      <c r="BD246" s="357"/>
      <c r="BE246" s="357"/>
      <c r="BF246" s="357"/>
      <c r="BG246" s="357"/>
      <c r="BH246" s="357"/>
      <c r="BI246" s="357"/>
      <c r="BJ246" s="357"/>
      <c r="BK246" s="357"/>
      <c r="BL246" s="357"/>
      <c r="BM246" s="357"/>
      <c r="BN246" s="357"/>
      <c r="BO246" s="357"/>
      <c r="BP246" s="357"/>
      <c r="BQ246" s="357"/>
      <c r="BR246" s="357"/>
      <c r="BS246" s="357"/>
      <c r="BT246" s="357"/>
      <c r="BU246" s="357"/>
      <c r="BV246" s="357"/>
      <c r="BW246" s="357"/>
      <c r="BX246" s="357"/>
      <c r="BY246" s="357"/>
      <c r="BZ246" s="357"/>
      <c r="CA246" s="357"/>
      <c r="CB246" s="357"/>
      <c r="CC246" s="357"/>
      <c r="CD246" s="357"/>
      <c r="CE246" s="357"/>
      <c r="CF246" s="357"/>
      <c r="CG246" s="357"/>
      <c r="CH246" s="357"/>
      <c r="CI246" s="357"/>
      <c r="CJ246" s="357"/>
      <c r="CK246" s="357"/>
      <c r="CL246" s="357"/>
      <c r="CM246" s="357"/>
      <c r="CN246" s="357"/>
      <c r="CO246" s="357"/>
      <c r="CP246" s="357"/>
      <c r="CQ246" s="357"/>
      <c r="CR246" s="357"/>
      <c r="CS246" s="357"/>
      <c r="CT246" s="357"/>
      <c r="CU246" s="357"/>
      <c r="CV246" s="357"/>
      <c r="CW246" s="357"/>
      <c r="CX246" s="357"/>
      <c r="CY246" s="357"/>
      <c r="CZ246" s="357"/>
      <c r="DA246" s="357"/>
      <c r="DB246" s="357"/>
      <c r="DC246" s="357"/>
      <c r="DD246" s="357"/>
      <c r="DE246" s="357"/>
      <c r="DF246" s="357"/>
      <c r="DG246" s="357"/>
      <c r="DH246" s="357"/>
      <c r="DI246" s="357"/>
      <c r="DJ246" s="357"/>
      <c r="DK246" s="357"/>
      <c r="DL246" s="357"/>
      <c r="DM246" s="357"/>
      <c r="DN246" s="357"/>
      <c r="DO246" s="357"/>
      <c r="DP246" s="357"/>
      <c r="DQ246" s="357"/>
      <c r="DR246" s="357"/>
      <c r="DS246" s="357"/>
      <c r="DT246" s="357"/>
      <c r="DU246" s="357"/>
      <c r="DV246" s="357"/>
      <c r="DW246" s="357"/>
      <c r="DX246" s="357"/>
      <c r="DY246" s="357"/>
      <c r="DZ246" s="357"/>
      <c r="EA246" s="357"/>
      <c r="EB246" s="357"/>
      <c r="EC246" s="357"/>
      <c r="ED246" s="357"/>
      <c r="EE246" s="357"/>
      <c r="EF246" s="357"/>
      <c r="EG246" s="357"/>
      <c r="EH246" s="357"/>
      <c r="EI246" s="357"/>
      <c r="EJ246" s="357"/>
      <c r="EK246" s="357"/>
      <c r="EL246" s="357"/>
      <c r="EM246" s="357"/>
      <c r="EN246" s="357"/>
      <c r="EO246" s="357"/>
      <c r="EP246" s="357"/>
      <c r="EQ246" s="357"/>
      <c r="ER246" s="357"/>
      <c r="ES246" s="357"/>
      <c r="ET246" s="357"/>
      <c r="EU246" s="357"/>
      <c r="EV246" s="357"/>
      <c r="EW246" s="357"/>
      <c r="EX246" s="357"/>
      <c r="EY246" s="357"/>
      <c r="EZ246" s="357"/>
      <c r="FA246" s="357"/>
      <c r="FB246" s="357"/>
      <c r="FC246" s="357"/>
      <c r="FD246" s="357"/>
      <c r="FE246" s="357"/>
      <c r="FF246" s="357"/>
      <c r="FG246" s="357"/>
      <c r="FH246" s="357"/>
      <c r="FI246" s="357"/>
      <c r="FJ246" s="357"/>
      <c r="FK246" s="357"/>
      <c r="FL246" s="357"/>
      <c r="FM246" s="357"/>
      <c r="FN246" s="357"/>
      <c r="FO246" s="357"/>
      <c r="FP246" s="357"/>
      <c r="FQ246" s="357"/>
      <c r="FR246" s="357"/>
      <c r="FS246" s="357"/>
      <c r="FT246" s="357"/>
      <c r="FU246" s="357"/>
      <c r="FV246" s="357"/>
      <c r="FW246" s="357"/>
      <c r="FX246" s="357"/>
      <c r="FY246" s="357"/>
      <c r="FZ246" s="357"/>
      <c r="GA246" s="357"/>
      <c r="GB246" s="357"/>
      <c r="GC246" s="357"/>
      <c r="GD246" s="357"/>
      <c r="GE246" s="357"/>
      <c r="GF246" s="357"/>
      <c r="GG246" s="357"/>
      <c r="GH246" s="357"/>
      <c r="GI246" s="357"/>
      <c r="GJ246" s="357"/>
      <c r="GK246" s="357"/>
      <c r="GL246" s="357"/>
      <c r="GM246" s="357"/>
      <c r="GN246" s="357"/>
      <c r="GO246" s="357"/>
      <c r="GP246" s="357"/>
      <c r="GQ246" s="357"/>
      <c r="GR246" s="357"/>
      <c r="GS246" s="357"/>
      <c r="GT246" s="357"/>
      <c r="GU246" s="357"/>
      <c r="GV246" s="357"/>
      <c r="GW246" s="357"/>
      <c r="GX246" s="357"/>
      <c r="GY246" s="357"/>
      <c r="GZ246" s="357"/>
      <c r="HA246" s="357"/>
      <c r="HB246" s="357"/>
      <c r="HC246" s="357"/>
      <c r="HD246" s="357"/>
      <c r="HE246" s="357"/>
      <c r="HF246" s="357"/>
      <c r="HG246" s="357"/>
      <c r="HH246" s="357"/>
      <c r="HI246" s="357"/>
      <c r="HJ246" s="357"/>
      <c r="HK246" s="357"/>
      <c r="HL246" s="357"/>
      <c r="HM246" s="357"/>
      <c r="HN246" s="357"/>
      <c r="HO246" s="357"/>
      <c r="HP246" s="357"/>
      <c r="HQ246" s="357"/>
      <c r="HR246" s="357"/>
      <c r="HS246" s="357"/>
      <c r="HT246" s="357"/>
      <c r="HU246" s="357"/>
      <c r="HV246" s="357"/>
      <c r="HW246" s="357"/>
      <c r="HX246" s="357"/>
      <c r="HY246" s="357"/>
      <c r="HZ246" s="357"/>
      <c r="IA246" s="357"/>
      <c r="IB246" s="357"/>
      <c r="IC246" s="357"/>
      <c r="ID246" s="357"/>
      <c r="IE246" s="357"/>
      <c r="IF246" s="357"/>
      <c r="IG246" s="357"/>
      <c r="IH246" s="357"/>
      <c r="II246" s="357"/>
      <c r="IJ246" s="357"/>
      <c r="IK246" s="357"/>
      <c r="IL246" s="357"/>
      <c r="IM246" s="357"/>
      <c r="IN246" s="357"/>
      <c r="IO246" s="357"/>
      <c r="IP246" s="357"/>
      <c r="IQ246" s="357"/>
      <c r="IR246" s="357"/>
      <c r="IS246" s="357"/>
      <c r="IT246" s="357"/>
      <c r="IU246" s="357"/>
      <c r="IV246" s="357"/>
      <c r="IW246" s="357"/>
      <c r="IX246" s="357"/>
      <c r="IY246" s="357"/>
      <c r="IZ246" s="357"/>
      <c r="JA246" s="357"/>
      <c r="JB246" s="357"/>
      <c r="JC246" s="357"/>
      <c r="JD246" s="357"/>
      <c r="JE246" s="357"/>
      <c r="JF246" s="357"/>
      <c r="JG246" s="357"/>
      <c r="JH246" s="357"/>
      <c r="JI246" s="357"/>
      <c r="JJ246" s="357"/>
      <c r="JK246" s="357"/>
      <c r="JL246" s="357"/>
      <c r="JM246" s="357"/>
      <c r="JN246" s="357"/>
      <c r="JO246" s="357"/>
      <c r="JP246" s="357"/>
      <c r="JQ246" s="357"/>
      <c r="JR246" s="357"/>
      <c r="JS246" s="357"/>
      <c r="JT246" s="357"/>
      <c r="JU246" s="357"/>
      <c r="JV246" s="357"/>
      <c r="JW246" s="357"/>
      <c r="JX246" s="357"/>
      <c r="JY246" s="357"/>
      <c r="JZ246" s="357"/>
      <c r="KA246" s="357"/>
      <c r="KB246" s="357"/>
      <c r="KC246" s="357"/>
      <c r="KD246" s="357"/>
      <c r="KE246" s="357"/>
      <c r="KF246" s="357"/>
      <c r="KG246" s="357"/>
      <c r="KH246" s="357"/>
      <c r="KI246" s="357"/>
      <c r="KJ246" s="357"/>
      <c r="KK246" s="357"/>
      <c r="KL246" s="357"/>
      <c r="KM246" s="357"/>
      <c r="KN246" s="357"/>
      <c r="KO246" s="357"/>
      <c r="KP246" s="357"/>
      <c r="KQ246" s="357"/>
      <c r="KR246" s="357"/>
      <c r="KS246" s="357"/>
      <c r="KT246" s="357"/>
      <c r="KU246" s="357"/>
      <c r="KV246" s="357"/>
      <c r="KW246" s="357"/>
      <c r="KX246" s="357"/>
      <c r="KY246" s="357"/>
      <c r="KZ246" s="357"/>
      <c r="LA246" s="357"/>
      <c r="LB246" s="357"/>
      <c r="LC246" s="357"/>
      <c r="LD246" s="357"/>
      <c r="LE246" s="357"/>
      <c r="LF246" s="357"/>
      <c r="LG246" s="357"/>
      <c r="LH246" s="357"/>
      <c r="LI246" s="357"/>
      <c r="LJ246" s="357"/>
      <c r="LK246" s="357"/>
      <c r="LL246" s="357"/>
      <c r="LM246" s="357"/>
      <c r="LN246" s="357"/>
      <c r="LO246" s="357"/>
      <c r="LP246" s="357"/>
      <c r="LQ246" s="357"/>
      <c r="LR246" s="357"/>
      <c r="LS246" s="357"/>
      <c r="LT246" s="357"/>
      <c r="LU246" s="357"/>
      <c r="LV246" s="357"/>
      <c r="LW246" s="357"/>
      <c r="LX246" s="357"/>
      <c r="LY246" s="357"/>
      <c r="LZ246" s="357"/>
      <c r="MA246" s="357"/>
      <c r="MB246" s="357"/>
    </row>
    <row r="247" spans="1:340" s="358" customFormat="1" ht="21" customHeight="1">
      <c r="A247" s="2529"/>
      <c r="B247" s="1145"/>
      <c r="C247" s="470"/>
      <c r="D247" s="470"/>
      <c r="E247" s="1126" t="s">
        <v>3245</v>
      </c>
      <c r="F247" s="598">
        <f>SUM(Y247)</f>
        <v>30500</v>
      </c>
      <c r="G247" s="337">
        <v>30500</v>
      </c>
      <c r="H247" s="338"/>
      <c r="I247" s="2357"/>
      <c r="J247" s="1903" t="s">
        <v>3190</v>
      </c>
      <c r="K247" s="807"/>
      <c r="L247" s="807"/>
      <c r="M247" s="807"/>
      <c r="N247" s="646"/>
      <c r="O247" s="646"/>
      <c r="P247" s="646"/>
      <c r="Q247" s="650"/>
      <c r="R247" s="2533"/>
      <c r="S247" s="2533" t="s">
        <v>3226</v>
      </c>
      <c r="T247" s="2539" t="s">
        <v>3226</v>
      </c>
      <c r="U247" s="2539" t="s">
        <v>3226</v>
      </c>
      <c r="V247" s="2539" t="s">
        <v>3226</v>
      </c>
      <c r="W247" s="2539" t="s">
        <v>3226</v>
      </c>
      <c r="X247" s="1140" t="s">
        <v>3226</v>
      </c>
      <c r="Y247" s="1674">
        <f t="shared" si="64"/>
        <v>30500</v>
      </c>
      <c r="Z247" s="1324">
        <f>+Z248+Z249+Z250</f>
        <v>30500000</v>
      </c>
      <c r="AB247" s="357"/>
      <c r="AD247" s="357"/>
      <c r="AE247" s="357"/>
      <c r="AF247" s="357"/>
      <c r="AG247" s="357"/>
      <c r="AH247" s="357"/>
      <c r="AI247" s="357"/>
      <c r="AJ247" s="357"/>
      <c r="AK247" s="357"/>
      <c r="AL247" s="357"/>
      <c r="AM247" s="357"/>
      <c r="AN247" s="357"/>
      <c r="AO247" s="357"/>
      <c r="AP247" s="357"/>
      <c r="AQ247" s="357"/>
      <c r="AR247" s="357"/>
      <c r="AS247" s="357"/>
      <c r="AT247" s="357"/>
      <c r="AU247" s="357"/>
      <c r="AV247" s="357"/>
      <c r="AW247" s="357"/>
      <c r="AX247" s="357"/>
      <c r="AY247" s="357"/>
      <c r="AZ247" s="357"/>
      <c r="BA247" s="357"/>
      <c r="BB247" s="357"/>
      <c r="BC247" s="357"/>
      <c r="BD247" s="357"/>
      <c r="BE247" s="357"/>
      <c r="BF247" s="357"/>
      <c r="BG247" s="357"/>
      <c r="BH247" s="357"/>
      <c r="BI247" s="357"/>
      <c r="BJ247" s="357"/>
      <c r="BK247" s="357"/>
      <c r="BL247" s="357"/>
      <c r="BM247" s="357"/>
      <c r="BN247" s="357"/>
      <c r="BO247" s="357"/>
      <c r="BP247" s="357"/>
      <c r="BQ247" s="357"/>
      <c r="BR247" s="357"/>
      <c r="BS247" s="357"/>
      <c r="BT247" s="357"/>
      <c r="BU247" s="357"/>
      <c r="BV247" s="357"/>
      <c r="BW247" s="357"/>
      <c r="BX247" s="357"/>
      <c r="BY247" s="357"/>
      <c r="BZ247" s="357"/>
      <c r="CA247" s="357"/>
      <c r="CB247" s="357"/>
      <c r="CC247" s="357"/>
      <c r="CD247" s="357"/>
      <c r="CE247" s="357"/>
      <c r="CF247" s="357"/>
      <c r="CG247" s="357"/>
      <c r="CH247" s="357"/>
      <c r="CI247" s="357"/>
      <c r="CJ247" s="357"/>
      <c r="CK247" s="357"/>
      <c r="CL247" s="357"/>
      <c r="CM247" s="357"/>
      <c r="CN247" s="357"/>
      <c r="CO247" s="357"/>
      <c r="CP247" s="357"/>
      <c r="CQ247" s="357"/>
      <c r="CR247" s="357"/>
      <c r="CS247" s="357"/>
      <c r="CT247" s="357"/>
      <c r="CU247" s="357"/>
      <c r="CV247" s="357"/>
      <c r="CW247" s="357"/>
      <c r="CX247" s="357"/>
      <c r="CY247" s="357"/>
      <c r="CZ247" s="357"/>
      <c r="DA247" s="357"/>
      <c r="DB247" s="357"/>
      <c r="DC247" s="357"/>
      <c r="DD247" s="357"/>
      <c r="DE247" s="357"/>
      <c r="DF247" s="357"/>
      <c r="DG247" s="357"/>
      <c r="DH247" s="357"/>
      <c r="DI247" s="357"/>
      <c r="DJ247" s="357"/>
      <c r="DK247" s="357"/>
      <c r="DL247" s="357"/>
      <c r="DM247" s="357"/>
      <c r="DN247" s="357"/>
      <c r="DO247" s="357"/>
      <c r="DP247" s="357"/>
      <c r="DQ247" s="357"/>
      <c r="DR247" s="357"/>
      <c r="DS247" s="357"/>
      <c r="DT247" s="357"/>
      <c r="DU247" s="357"/>
      <c r="DV247" s="357"/>
      <c r="DW247" s="357"/>
      <c r="DX247" s="357"/>
      <c r="DY247" s="357"/>
      <c r="DZ247" s="357"/>
      <c r="EA247" s="357"/>
      <c r="EB247" s="357"/>
      <c r="EC247" s="357"/>
      <c r="ED247" s="357"/>
      <c r="EE247" s="357"/>
      <c r="EF247" s="357"/>
      <c r="EG247" s="357"/>
      <c r="EH247" s="357"/>
      <c r="EI247" s="357"/>
      <c r="EJ247" s="357"/>
      <c r="EK247" s="357"/>
      <c r="EL247" s="357"/>
      <c r="EM247" s="357"/>
      <c r="EN247" s="357"/>
      <c r="EO247" s="357"/>
      <c r="EP247" s="357"/>
      <c r="EQ247" s="357"/>
      <c r="ER247" s="357"/>
      <c r="ES247" s="357"/>
      <c r="ET247" s="357"/>
      <c r="EU247" s="357"/>
      <c r="EV247" s="357"/>
      <c r="EW247" s="357"/>
      <c r="EX247" s="357"/>
      <c r="EY247" s="357"/>
      <c r="EZ247" s="357"/>
      <c r="FA247" s="357"/>
      <c r="FB247" s="357"/>
      <c r="FC247" s="357"/>
      <c r="FD247" s="357"/>
      <c r="FE247" s="357"/>
      <c r="FF247" s="357"/>
      <c r="FG247" s="357"/>
      <c r="FH247" s="357"/>
      <c r="FI247" s="357"/>
      <c r="FJ247" s="357"/>
      <c r="FK247" s="357"/>
      <c r="FL247" s="357"/>
      <c r="FM247" s="357"/>
      <c r="FN247" s="357"/>
      <c r="FO247" s="357"/>
      <c r="FP247" s="357"/>
      <c r="FQ247" s="357"/>
      <c r="FR247" s="357"/>
      <c r="FS247" s="357"/>
      <c r="FT247" s="357"/>
      <c r="FU247" s="357"/>
      <c r="FV247" s="357"/>
      <c r="FW247" s="357"/>
      <c r="FX247" s="357"/>
      <c r="FY247" s="357"/>
      <c r="FZ247" s="357"/>
      <c r="GA247" s="357"/>
      <c r="GB247" s="357"/>
      <c r="GC247" s="357"/>
      <c r="GD247" s="357"/>
      <c r="GE247" s="357"/>
      <c r="GF247" s="357"/>
      <c r="GG247" s="357"/>
      <c r="GH247" s="357"/>
      <c r="GI247" s="357"/>
      <c r="GJ247" s="357"/>
      <c r="GK247" s="357"/>
      <c r="GL247" s="357"/>
      <c r="GM247" s="357"/>
      <c r="GN247" s="357"/>
      <c r="GO247" s="357"/>
      <c r="GP247" s="357"/>
      <c r="GQ247" s="357"/>
      <c r="GR247" s="357"/>
      <c r="GS247" s="357"/>
      <c r="GT247" s="357"/>
      <c r="GU247" s="357"/>
      <c r="GV247" s="357"/>
      <c r="GW247" s="357"/>
      <c r="GX247" s="357"/>
      <c r="GY247" s="357"/>
      <c r="GZ247" s="357"/>
      <c r="HA247" s="357"/>
      <c r="HB247" s="357"/>
      <c r="HC247" s="357"/>
      <c r="HD247" s="357"/>
      <c r="HE247" s="357"/>
      <c r="HF247" s="357"/>
      <c r="HG247" s="357"/>
      <c r="HH247" s="357"/>
      <c r="HI247" s="357"/>
      <c r="HJ247" s="357"/>
      <c r="HK247" s="357"/>
      <c r="HL247" s="357"/>
      <c r="HM247" s="357"/>
      <c r="HN247" s="357"/>
      <c r="HO247" s="357"/>
      <c r="HP247" s="357"/>
      <c r="HQ247" s="357"/>
      <c r="HR247" s="357"/>
      <c r="HS247" s="357"/>
      <c r="HT247" s="357"/>
      <c r="HU247" s="357"/>
      <c r="HV247" s="357"/>
      <c r="HW247" s="357"/>
      <c r="HX247" s="357"/>
      <c r="HY247" s="357"/>
      <c r="HZ247" s="357"/>
      <c r="IA247" s="357"/>
      <c r="IB247" s="357"/>
      <c r="IC247" s="357"/>
      <c r="ID247" s="357"/>
      <c r="IE247" s="357"/>
      <c r="IF247" s="357"/>
      <c r="IG247" s="357"/>
      <c r="IH247" s="357"/>
      <c r="II247" s="357"/>
      <c r="IJ247" s="357"/>
      <c r="IK247" s="357"/>
      <c r="IL247" s="357"/>
      <c r="IM247" s="357"/>
      <c r="IN247" s="357"/>
      <c r="IO247" s="357"/>
      <c r="IP247" s="357"/>
      <c r="IQ247" s="357"/>
      <c r="IR247" s="357"/>
      <c r="IS247" s="357"/>
      <c r="IT247" s="357"/>
      <c r="IU247" s="357"/>
      <c r="IV247" s="357"/>
      <c r="IW247" s="357"/>
      <c r="IX247" s="357"/>
      <c r="IY247" s="357"/>
      <c r="IZ247" s="357"/>
      <c r="JA247" s="357"/>
      <c r="JB247" s="357"/>
      <c r="JC247" s="357"/>
      <c r="JD247" s="357"/>
      <c r="JE247" s="357"/>
      <c r="JF247" s="357"/>
      <c r="JG247" s="357"/>
      <c r="JH247" s="357"/>
      <c r="JI247" s="357"/>
      <c r="JJ247" s="357"/>
      <c r="JK247" s="357"/>
      <c r="JL247" s="357"/>
      <c r="JM247" s="357"/>
      <c r="JN247" s="357"/>
      <c r="JO247" s="357"/>
      <c r="JP247" s="357"/>
      <c r="JQ247" s="357"/>
      <c r="JR247" s="357"/>
      <c r="JS247" s="357"/>
      <c r="JT247" s="357"/>
      <c r="JU247" s="357"/>
      <c r="JV247" s="357"/>
      <c r="JW247" s="357"/>
      <c r="JX247" s="357"/>
      <c r="JY247" s="357"/>
      <c r="JZ247" s="357"/>
      <c r="KA247" s="357"/>
      <c r="KB247" s="357"/>
      <c r="KC247" s="357"/>
      <c r="KD247" s="357"/>
      <c r="KE247" s="357"/>
      <c r="KF247" s="357"/>
      <c r="KG247" s="357"/>
      <c r="KH247" s="357"/>
      <c r="KI247" s="357"/>
      <c r="KJ247" s="357"/>
      <c r="KK247" s="357"/>
      <c r="KL247" s="357"/>
      <c r="KM247" s="357"/>
      <c r="KN247" s="357"/>
      <c r="KO247" s="357"/>
      <c r="KP247" s="357"/>
      <c r="KQ247" s="357"/>
      <c r="KR247" s="357"/>
      <c r="KS247" s="357"/>
      <c r="KT247" s="357"/>
      <c r="KU247" s="357"/>
      <c r="KV247" s="357"/>
      <c r="KW247" s="357"/>
      <c r="KX247" s="357"/>
      <c r="KY247" s="357"/>
      <c r="KZ247" s="357"/>
      <c r="LA247" s="357"/>
      <c r="LB247" s="357"/>
      <c r="LC247" s="357"/>
      <c r="LD247" s="357"/>
      <c r="LE247" s="357"/>
      <c r="LF247" s="357"/>
      <c r="LG247" s="357"/>
      <c r="LH247" s="357"/>
      <c r="LI247" s="357"/>
      <c r="LJ247" s="357"/>
      <c r="LK247" s="357"/>
      <c r="LL247" s="357"/>
      <c r="LM247" s="357"/>
      <c r="LN247" s="357"/>
      <c r="LO247" s="357"/>
      <c r="LP247" s="357"/>
      <c r="LQ247" s="357"/>
      <c r="LR247" s="357"/>
      <c r="LS247" s="357"/>
      <c r="LT247" s="357"/>
      <c r="LU247" s="357"/>
      <c r="LV247" s="357"/>
      <c r="LW247" s="357"/>
      <c r="LX247" s="357"/>
      <c r="LY247" s="357"/>
      <c r="LZ247" s="357"/>
      <c r="MA247" s="357"/>
      <c r="MB247" s="357"/>
    </row>
    <row r="248" spans="1:340" s="358" customFormat="1" ht="21" customHeight="1">
      <c r="A248" s="2529"/>
      <c r="B248" s="1145"/>
      <c r="C248" s="470"/>
      <c r="D248" s="470"/>
      <c r="E248" s="1126"/>
      <c r="F248" s="598"/>
      <c r="G248" s="337"/>
      <c r="H248" s="338"/>
      <c r="I248" s="2357"/>
      <c r="J248" s="1903" t="s">
        <v>3246</v>
      </c>
      <c r="K248" s="807"/>
      <c r="L248" s="807"/>
      <c r="M248" s="807"/>
      <c r="N248" s="646"/>
      <c r="O248" s="646"/>
      <c r="P248" s="646"/>
      <c r="Q248" s="1905"/>
      <c r="R248" s="2533"/>
      <c r="S248" s="1672">
        <v>50000</v>
      </c>
      <c r="T248" s="1671" t="s">
        <v>3201</v>
      </c>
      <c r="U248" s="1671"/>
      <c r="V248" s="1671">
        <v>100</v>
      </c>
      <c r="W248" s="1671" t="s">
        <v>305</v>
      </c>
      <c r="X248" s="397" t="s">
        <v>3212</v>
      </c>
      <c r="Y248" s="1674">
        <f t="shared" si="64"/>
        <v>5000</v>
      </c>
      <c r="Z248" s="407">
        <f>S248*V248</f>
        <v>5000000</v>
      </c>
      <c r="AB248" s="357"/>
      <c r="AD248" s="357"/>
      <c r="AE248" s="357"/>
      <c r="AF248" s="357"/>
      <c r="AG248" s="357"/>
      <c r="AH248" s="357"/>
      <c r="AI248" s="357"/>
      <c r="AJ248" s="357"/>
      <c r="AK248" s="357"/>
      <c r="AL248" s="357"/>
      <c r="AM248" s="357"/>
      <c r="AN248" s="357"/>
      <c r="AO248" s="357"/>
      <c r="AP248" s="357"/>
      <c r="AQ248" s="357"/>
      <c r="AR248" s="357"/>
      <c r="AS248" s="357"/>
      <c r="AT248" s="357"/>
      <c r="AU248" s="357"/>
      <c r="AV248" s="357"/>
      <c r="AW248" s="357"/>
      <c r="AX248" s="357"/>
      <c r="AY248" s="357"/>
      <c r="AZ248" s="357"/>
      <c r="BA248" s="357"/>
      <c r="BB248" s="357"/>
      <c r="BC248" s="357"/>
      <c r="BD248" s="357"/>
      <c r="BE248" s="357"/>
      <c r="BF248" s="357"/>
      <c r="BG248" s="357"/>
      <c r="BH248" s="357"/>
      <c r="BI248" s="357"/>
      <c r="BJ248" s="357"/>
      <c r="BK248" s="357"/>
      <c r="BL248" s="357"/>
      <c r="BM248" s="357"/>
      <c r="BN248" s="357"/>
      <c r="BO248" s="357"/>
      <c r="BP248" s="357"/>
      <c r="BQ248" s="357"/>
      <c r="BR248" s="357"/>
      <c r="BS248" s="357"/>
      <c r="BT248" s="357"/>
      <c r="BU248" s="357"/>
      <c r="BV248" s="357"/>
      <c r="BW248" s="357"/>
      <c r="BX248" s="357"/>
      <c r="BY248" s="357"/>
      <c r="BZ248" s="357"/>
      <c r="CA248" s="357"/>
      <c r="CB248" s="357"/>
      <c r="CC248" s="357"/>
      <c r="CD248" s="357"/>
      <c r="CE248" s="357"/>
      <c r="CF248" s="357"/>
      <c r="CG248" s="357"/>
      <c r="CH248" s="357"/>
      <c r="CI248" s="357"/>
      <c r="CJ248" s="357"/>
      <c r="CK248" s="357"/>
      <c r="CL248" s="357"/>
      <c r="CM248" s="357"/>
      <c r="CN248" s="357"/>
      <c r="CO248" s="357"/>
      <c r="CP248" s="357"/>
      <c r="CQ248" s="357"/>
      <c r="CR248" s="357"/>
      <c r="CS248" s="357"/>
      <c r="CT248" s="357"/>
      <c r="CU248" s="357"/>
      <c r="CV248" s="357"/>
      <c r="CW248" s="357"/>
      <c r="CX248" s="357"/>
      <c r="CY248" s="357"/>
      <c r="CZ248" s="357"/>
      <c r="DA248" s="357"/>
      <c r="DB248" s="357"/>
      <c r="DC248" s="357"/>
      <c r="DD248" s="357"/>
      <c r="DE248" s="357"/>
      <c r="DF248" s="357"/>
      <c r="DG248" s="357"/>
      <c r="DH248" s="357"/>
      <c r="DI248" s="357"/>
      <c r="DJ248" s="357"/>
      <c r="DK248" s="357"/>
      <c r="DL248" s="357"/>
      <c r="DM248" s="357"/>
      <c r="DN248" s="357"/>
      <c r="DO248" s="357"/>
      <c r="DP248" s="357"/>
      <c r="DQ248" s="357"/>
      <c r="DR248" s="357"/>
      <c r="DS248" s="357"/>
      <c r="DT248" s="357"/>
      <c r="DU248" s="357"/>
      <c r="DV248" s="357"/>
      <c r="DW248" s="357"/>
      <c r="DX248" s="357"/>
      <c r="DY248" s="357"/>
      <c r="DZ248" s="357"/>
      <c r="EA248" s="357"/>
      <c r="EB248" s="357"/>
      <c r="EC248" s="357"/>
      <c r="ED248" s="357"/>
      <c r="EE248" s="357"/>
      <c r="EF248" s="357"/>
      <c r="EG248" s="357"/>
      <c r="EH248" s="357"/>
      <c r="EI248" s="357"/>
      <c r="EJ248" s="357"/>
      <c r="EK248" s="357"/>
      <c r="EL248" s="357"/>
      <c r="EM248" s="357"/>
      <c r="EN248" s="357"/>
      <c r="EO248" s="357"/>
      <c r="EP248" s="357"/>
      <c r="EQ248" s="357"/>
      <c r="ER248" s="357"/>
      <c r="ES248" s="357"/>
      <c r="ET248" s="357"/>
      <c r="EU248" s="357"/>
      <c r="EV248" s="357"/>
      <c r="EW248" s="357"/>
      <c r="EX248" s="357"/>
      <c r="EY248" s="357"/>
      <c r="EZ248" s="357"/>
      <c r="FA248" s="357"/>
      <c r="FB248" s="357"/>
      <c r="FC248" s="357"/>
      <c r="FD248" s="357"/>
      <c r="FE248" s="357"/>
      <c r="FF248" s="357"/>
      <c r="FG248" s="357"/>
      <c r="FH248" s="357"/>
      <c r="FI248" s="357"/>
      <c r="FJ248" s="357"/>
      <c r="FK248" s="357"/>
      <c r="FL248" s="357"/>
      <c r="FM248" s="357"/>
      <c r="FN248" s="357"/>
      <c r="FO248" s="357"/>
      <c r="FP248" s="357"/>
      <c r="FQ248" s="357"/>
      <c r="FR248" s="357"/>
      <c r="FS248" s="357"/>
      <c r="FT248" s="357"/>
      <c r="FU248" s="357"/>
      <c r="FV248" s="357"/>
      <c r="FW248" s="357"/>
      <c r="FX248" s="357"/>
      <c r="FY248" s="357"/>
      <c r="FZ248" s="357"/>
      <c r="GA248" s="357"/>
      <c r="GB248" s="357"/>
      <c r="GC248" s="357"/>
      <c r="GD248" s="357"/>
      <c r="GE248" s="357"/>
      <c r="GF248" s="357"/>
      <c r="GG248" s="357"/>
      <c r="GH248" s="357"/>
      <c r="GI248" s="357"/>
      <c r="GJ248" s="357"/>
      <c r="GK248" s="357"/>
      <c r="GL248" s="357"/>
      <c r="GM248" s="357"/>
      <c r="GN248" s="357"/>
      <c r="GO248" s="357"/>
      <c r="GP248" s="357"/>
      <c r="GQ248" s="357"/>
      <c r="GR248" s="357"/>
      <c r="GS248" s="357"/>
      <c r="GT248" s="357"/>
      <c r="GU248" s="357"/>
      <c r="GV248" s="357"/>
      <c r="GW248" s="357"/>
      <c r="GX248" s="357"/>
      <c r="GY248" s="357"/>
      <c r="GZ248" s="357"/>
      <c r="HA248" s="357"/>
      <c r="HB248" s="357"/>
      <c r="HC248" s="357"/>
      <c r="HD248" s="357"/>
      <c r="HE248" s="357"/>
      <c r="HF248" s="357"/>
      <c r="HG248" s="357"/>
      <c r="HH248" s="357"/>
      <c r="HI248" s="357"/>
      <c r="HJ248" s="357"/>
      <c r="HK248" s="357"/>
      <c r="HL248" s="357"/>
      <c r="HM248" s="357"/>
      <c r="HN248" s="357"/>
      <c r="HO248" s="357"/>
      <c r="HP248" s="357"/>
      <c r="HQ248" s="357"/>
      <c r="HR248" s="357"/>
      <c r="HS248" s="357"/>
      <c r="HT248" s="357"/>
      <c r="HU248" s="357"/>
      <c r="HV248" s="357"/>
      <c r="HW248" s="357"/>
      <c r="HX248" s="357"/>
      <c r="HY248" s="357"/>
      <c r="HZ248" s="357"/>
      <c r="IA248" s="357"/>
      <c r="IB248" s="357"/>
      <c r="IC248" s="357"/>
      <c r="ID248" s="357"/>
      <c r="IE248" s="357"/>
      <c r="IF248" s="357"/>
      <c r="IG248" s="357"/>
      <c r="IH248" s="357"/>
      <c r="II248" s="357"/>
      <c r="IJ248" s="357"/>
      <c r="IK248" s="357"/>
      <c r="IL248" s="357"/>
      <c r="IM248" s="357"/>
      <c r="IN248" s="357"/>
      <c r="IO248" s="357"/>
      <c r="IP248" s="357"/>
      <c r="IQ248" s="357"/>
      <c r="IR248" s="357"/>
      <c r="IS248" s="357"/>
      <c r="IT248" s="357"/>
      <c r="IU248" s="357"/>
      <c r="IV248" s="357"/>
      <c r="IW248" s="357"/>
      <c r="IX248" s="357"/>
      <c r="IY248" s="357"/>
      <c r="IZ248" s="357"/>
      <c r="JA248" s="357"/>
      <c r="JB248" s="357"/>
      <c r="JC248" s="357"/>
      <c r="JD248" s="357"/>
      <c r="JE248" s="357"/>
      <c r="JF248" s="357"/>
      <c r="JG248" s="357"/>
      <c r="JH248" s="357"/>
      <c r="JI248" s="357"/>
      <c r="JJ248" s="357"/>
      <c r="JK248" s="357"/>
      <c r="JL248" s="357"/>
      <c r="JM248" s="357"/>
      <c r="JN248" s="357"/>
      <c r="JO248" s="357"/>
      <c r="JP248" s="357"/>
      <c r="JQ248" s="357"/>
      <c r="JR248" s="357"/>
      <c r="JS248" s="357"/>
      <c r="JT248" s="357"/>
      <c r="JU248" s="357"/>
      <c r="JV248" s="357"/>
      <c r="JW248" s="357"/>
      <c r="JX248" s="357"/>
      <c r="JY248" s="357"/>
      <c r="JZ248" s="357"/>
      <c r="KA248" s="357"/>
      <c r="KB248" s="357"/>
      <c r="KC248" s="357"/>
      <c r="KD248" s="357"/>
      <c r="KE248" s="357"/>
      <c r="KF248" s="357"/>
      <c r="KG248" s="357"/>
      <c r="KH248" s="357"/>
      <c r="KI248" s="357"/>
      <c r="KJ248" s="357"/>
      <c r="KK248" s="357"/>
      <c r="KL248" s="357"/>
      <c r="KM248" s="357"/>
      <c r="KN248" s="357"/>
      <c r="KO248" s="357"/>
      <c r="KP248" s="357"/>
      <c r="KQ248" s="357"/>
      <c r="KR248" s="357"/>
      <c r="KS248" s="357"/>
      <c r="KT248" s="357"/>
      <c r="KU248" s="357"/>
      <c r="KV248" s="357"/>
      <c r="KW248" s="357"/>
      <c r="KX248" s="357"/>
      <c r="KY248" s="357"/>
      <c r="KZ248" s="357"/>
      <c r="LA248" s="357"/>
      <c r="LB248" s="357"/>
      <c r="LC248" s="357"/>
      <c r="LD248" s="357"/>
      <c r="LE248" s="357"/>
      <c r="LF248" s="357"/>
      <c r="LG248" s="357"/>
      <c r="LH248" s="357"/>
      <c r="LI248" s="357"/>
      <c r="LJ248" s="357"/>
      <c r="LK248" s="357"/>
      <c r="LL248" s="357"/>
      <c r="LM248" s="357"/>
      <c r="LN248" s="357"/>
      <c r="LO248" s="357"/>
      <c r="LP248" s="357"/>
      <c r="LQ248" s="357"/>
      <c r="LR248" s="357"/>
      <c r="LS248" s="357"/>
      <c r="LT248" s="357"/>
      <c r="LU248" s="357"/>
      <c r="LV248" s="357"/>
      <c r="LW248" s="357"/>
      <c r="LX248" s="357"/>
      <c r="LY248" s="357"/>
      <c r="LZ248" s="357"/>
      <c r="MA248" s="357"/>
      <c r="MB248" s="357"/>
    </row>
    <row r="249" spans="1:340" s="358" customFormat="1" ht="21" customHeight="1">
      <c r="A249" s="2529"/>
      <c r="B249" s="1145"/>
      <c r="C249" s="470"/>
      <c r="D249" s="470"/>
      <c r="E249" s="1126"/>
      <c r="F249" s="598"/>
      <c r="G249" s="337"/>
      <c r="H249" s="338"/>
      <c r="I249" s="2357"/>
      <c r="J249" s="1903" t="s">
        <v>3247</v>
      </c>
      <c r="K249" s="807"/>
      <c r="L249" s="807"/>
      <c r="M249" s="807"/>
      <c r="N249" s="646"/>
      <c r="O249" s="646"/>
      <c r="P249" s="646"/>
      <c r="Q249" s="1905"/>
      <c r="R249" s="2533"/>
      <c r="S249" s="1672">
        <v>30000</v>
      </c>
      <c r="T249" s="1671" t="s">
        <v>0</v>
      </c>
      <c r="U249" s="1671"/>
      <c r="V249" s="1671">
        <v>100</v>
      </c>
      <c r="W249" s="1671" t="s">
        <v>305</v>
      </c>
      <c r="X249" s="397" t="s">
        <v>1</v>
      </c>
      <c r="Y249" s="1674">
        <f t="shared" si="64"/>
        <v>3000</v>
      </c>
      <c r="Z249" s="407">
        <f>S249*V249</f>
        <v>3000000</v>
      </c>
      <c r="AB249" s="357"/>
      <c r="AD249" s="357"/>
      <c r="AE249" s="357"/>
      <c r="AF249" s="357"/>
      <c r="AG249" s="357"/>
      <c r="AH249" s="357"/>
      <c r="AI249" s="357"/>
      <c r="AJ249" s="357"/>
      <c r="AK249" s="357"/>
      <c r="AL249" s="357"/>
      <c r="AM249" s="357"/>
      <c r="AN249" s="357"/>
      <c r="AO249" s="357"/>
      <c r="AP249" s="357"/>
      <c r="AQ249" s="357"/>
      <c r="AR249" s="357"/>
      <c r="AS249" s="357"/>
      <c r="AT249" s="357"/>
      <c r="AU249" s="357"/>
      <c r="AV249" s="357"/>
      <c r="AW249" s="357"/>
      <c r="AX249" s="357"/>
      <c r="AY249" s="357"/>
      <c r="AZ249" s="357"/>
      <c r="BA249" s="357"/>
      <c r="BB249" s="357"/>
      <c r="BC249" s="357"/>
      <c r="BD249" s="357"/>
      <c r="BE249" s="357"/>
      <c r="BF249" s="357"/>
      <c r="BG249" s="357"/>
      <c r="BH249" s="357"/>
      <c r="BI249" s="357"/>
      <c r="BJ249" s="357"/>
      <c r="BK249" s="357"/>
      <c r="BL249" s="357"/>
      <c r="BM249" s="357"/>
      <c r="BN249" s="357"/>
      <c r="BO249" s="357"/>
      <c r="BP249" s="357"/>
      <c r="BQ249" s="357"/>
      <c r="BR249" s="357"/>
      <c r="BS249" s="357"/>
      <c r="BT249" s="357"/>
      <c r="BU249" s="357"/>
      <c r="BV249" s="357"/>
      <c r="BW249" s="357"/>
      <c r="BX249" s="357"/>
      <c r="BY249" s="357"/>
      <c r="BZ249" s="357"/>
      <c r="CA249" s="357"/>
      <c r="CB249" s="357"/>
      <c r="CC249" s="357"/>
      <c r="CD249" s="357"/>
      <c r="CE249" s="357"/>
      <c r="CF249" s="357"/>
      <c r="CG249" s="357"/>
      <c r="CH249" s="357"/>
      <c r="CI249" s="357"/>
      <c r="CJ249" s="357"/>
      <c r="CK249" s="357"/>
      <c r="CL249" s="357"/>
      <c r="CM249" s="357"/>
      <c r="CN249" s="357"/>
      <c r="CO249" s="357"/>
      <c r="CP249" s="357"/>
      <c r="CQ249" s="357"/>
      <c r="CR249" s="357"/>
      <c r="CS249" s="357"/>
      <c r="CT249" s="357"/>
      <c r="CU249" s="357"/>
      <c r="CV249" s="357"/>
      <c r="CW249" s="357"/>
      <c r="CX249" s="357"/>
      <c r="CY249" s="357"/>
      <c r="CZ249" s="357"/>
      <c r="DA249" s="357"/>
      <c r="DB249" s="357"/>
      <c r="DC249" s="357"/>
      <c r="DD249" s="357"/>
      <c r="DE249" s="357"/>
      <c r="DF249" s="357"/>
      <c r="DG249" s="357"/>
      <c r="DH249" s="357"/>
      <c r="DI249" s="357"/>
      <c r="DJ249" s="357"/>
      <c r="DK249" s="357"/>
      <c r="DL249" s="357"/>
      <c r="DM249" s="357"/>
      <c r="DN249" s="357"/>
      <c r="DO249" s="357"/>
      <c r="DP249" s="357"/>
      <c r="DQ249" s="357"/>
      <c r="DR249" s="357"/>
      <c r="DS249" s="357"/>
      <c r="DT249" s="357"/>
      <c r="DU249" s="357"/>
      <c r="DV249" s="357"/>
      <c r="DW249" s="357"/>
      <c r="DX249" s="357"/>
      <c r="DY249" s="357"/>
      <c r="DZ249" s="357"/>
      <c r="EA249" s="357"/>
      <c r="EB249" s="357"/>
      <c r="EC249" s="357"/>
      <c r="ED249" s="357"/>
      <c r="EE249" s="357"/>
      <c r="EF249" s="357"/>
      <c r="EG249" s="357"/>
      <c r="EH249" s="357"/>
      <c r="EI249" s="357"/>
      <c r="EJ249" s="357"/>
      <c r="EK249" s="357"/>
      <c r="EL249" s="357"/>
      <c r="EM249" s="357"/>
      <c r="EN249" s="357"/>
      <c r="EO249" s="357"/>
      <c r="EP249" s="357"/>
      <c r="EQ249" s="357"/>
      <c r="ER249" s="357"/>
      <c r="ES249" s="357"/>
      <c r="ET249" s="357"/>
      <c r="EU249" s="357"/>
      <c r="EV249" s="357"/>
      <c r="EW249" s="357"/>
      <c r="EX249" s="357"/>
      <c r="EY249" s="357"/>
      <c r="EZ249" s="357"/>
      <c r="FA249" s="357"/>
      <c r="FB249" s="357"/>
      <c r="FC249" s="357"/>
      <c r="FD249" s="357"/>
      <c r="FE249" s="357"/>
      <c r="FF249" s="357"/>
      <c r="FG249" s="357"/>
      <c r="FH249" s="357"/>
      <c r="FI249" s="357"/>
      <c r="FJ249" s="357"/>
      <c r="FK249" s="357"/>
      <c r="FL249" s="357"/>
      <c r="FM249" s="357"/>
      <c r="FN249" s="357"/>
      <c r="FO249" s="357"/>
      <c r="FP249" s="357"/>
      <c r="FQ249" s="357"/>
      <c r="FR249" s="357"/>
      <c r="FS249" s="357"/>
      <c r="FT249" s="357"/>
      <c r="FU249" s="357"/>
      <c r="FV249" s="357"/>
      <c r="FW249" s="357"/>
      <c r="FX249" s="357"/>
      <c r="FY249" s="357"/>
      <c r="FZ249" s="357"/>
      <c r="GA249" s="357"/>
      <c r="GB249" s="357"/>
      <c r="GC249" s="357"/>
      <c r="GD249" s="357"/>
      <c r="GE249" s="357"/>
      <c r="GF249" s="357"/>
      <c r="GG249" s="357"/>
      <c r="GH249" s="357"/>
      <c r="GI249" s="357"/>
      <c r="GJ249" s="357"/>
      <c r="GK249" s="357"/>
      <c r="GL249" s="357"/>
      <c r="GM249" s="357"/>
      <c r="GN249" s="357"/>
      <c r="GO249" s="357"/>
      <c r="GP249" s="357"/>
      <c r="GQ249" s="357"/>
      <c r="GR249" s="357"/>
      <c r="GS249" s="357"/>
      <c r="GT249" s="357"/>
      <c r="GU249" s="357"/>
      <c r="GV249" s="357"/>
      <c r="GW249" s="357"/>
      <c r="GX249" s="357"/>
      <c r="GY249" s="357"/>
      <c r="GZ249" s="357"/>
      <c r="HA249" s="357"/>
      <c r="HB249" s="357"/>
      <c r="HC249" s="357"/>
      <c r="HD249" s="357"/>
      <c r="HE249" s="357"/>
      <c r="HF249" s="357"/>
      <c r="HG249" s="357"/>
      <c r="HH249" s="357"/>
      <c r="HI249" s="357"/>
      <c r="HJ249" s="357"/>
      <c r="HK249" s="357"/>
      <c r="HL249" s="357"/>
      <c r="HM249" s="357"/>
      <c r="HN249" s="357"/>
      <c r="HO249" s="357"/>
      <c r="HP249" s="357"/>
      <c r="HQ249" s="357"/>
      <c r="HR249" s="357"/>
      <c r="HS249" s="357"/>
      <c r="HT249" s="357"/>
      <c r="HU249" s="357"/>
      <c r="HV249" s="357"/>
      <c r="HW249" s="357"/>
      <c r="HX249" s="357"/>
      <c r="HY249" s="357"/>
      <c r="HZ249" s="357"/>
      <c r="IA249" s="357"/>
      <c r="IB249" s="357"/>
      <c r="IC249" s="357"/>
      <c r="ID249" s="357"/>
      <c r="IE249" s="357"/>
      <c r="IF249" s="357"/>
      <c r="IG249" s="357"/>
      <c r="IH249" s="357"/>
      <c r="II249" s="357"/>
      <c r="IJ249" s="357"/>
      <c r="IK249" s="357"/>
      <c r="IL249" s="357"/>
      <c r="IM249" s="357"/>
      <c r="IN249" s="357"/>
      <c r="IO249" s="357"/>
      <c r="IP249" s="357"/>
      <c r="IQ249" s="357"/>
      <c r="IR249" s="357"/>
      <c r="IS249" s="357"/>
      <c r="IT249" s="357"/>
      <c r="IU249" s="357"/>
      <c r="IV249" s="357"/>
      <c r="IW249" s="357"/>
      <c r="IX249" s="357"/>
      <c r="IY249" s="357"/>
      <c r="IZ249" s="357"/>
      <c r="JA249" s="357"/>
      <c r="JB249" s="357"/>
      <c r="JC249" s="357"/>
      <c r="JD249" s="357"/>
      <c r="JE249" s="357"/>
      <c r="JF249" s="357"/>
      <c r="JG249" s="357"/>
      <c r="JH249" s="357"/>
      <c r="JI249" s="357"/>
      <c r="JJ249" s="357"/>
      <c r="JK249" s="357"/>
      <c r="JL249" s="357"/>
      <c r="JM249" s="357"/>
      <c r="JN249" s="357"/>
      <c r="JO249" s="357"/>
      <c r="JP249" s="357"/>
      <c r="JQ249" s="357"/>
      <c r="JR249" s="357"/>
      <c r="JS249" s="357"/>
      <c r="JT249" s="357"/>
      <c r="JU249" s="357"/>
      <c r="JV249" s="357"/>
      <c r="JW249" s="357"/>
      <c r="JX249" s="357"/>
      <c r="JY249" s="357"/>
      <c r="JZ249" s="357"/>
      <c r="KA249" s="357"/>
      <c r="KB249" s="357"/>
      <c r="KC249" s="357"/>
      <c r="KD249" s="357"/>
      <c r="KE249" s="357"/>
      <c r="KF249" s="357"/>
      <c r="KG249" s="357"/>
      <c r="KH249" s="357"/>
      <c r="KI249" s="357"/>
      <c r="KJ249" s="357"/>
      <c r="KK249" s="357"/>
      <c r="KL249" s="357"/>
      <c r="KM249" s="357"/>
      <c r="KN249" s="357"/>
      <c r="KO249" s="357"/>
      <c r="KP249" s="357"/>
      <c r="KQ249" s="357"/>
      <c r="KR249" s="357"/>
      <c r="KS249" s="357"/>
      <c r="KT249" s="357"/>
      <c r="KU249" s="357"/>
      <c r="KV249" s="357"/>
      <c r="KW249" s="357"/>
      <c r="KX249" s="357"/>
      <c r="KY249" s="357"/>
      <c r="KZ249" s="357"/>
      <c r="LA249" s="357"/>
      <c r="LB249" s="357"/>
      <c r="LC249" s="357"/>
      <c r="LD249" s="357"/>
      <c r="LE249" s="357"/>
      <c r="LF249" s="357"/>
      <c r="LG249" s="357"/>
      <c r="LH249" s="357"/>
      <c r="LI249" s="357"/>
      <c r="LJ249" s="357"/>
      <c r="LK249" s="357"/>
      <c r="LL249" s="357"/>
      <c r="LM249" s="357"/>
      <c r="LN249" s="357"/>
      <c r="LO249" s="357"/>
      <c r="LP249" s="357"/>
      <c r="LQ249" s="357"/>
      <c r="LR249" s="357"/>
      <c r="LS249" s="357"/>
      <c r="LT249" s="357"/>
      <c r="LU249" s="357"/>
      <c r="LV249" s="357"/>
      <c r="LW249" s="357"/>
      <c r="LX249" s="357"/>
      <c r="LY249" s="357"/>
      <c r="LZ249" s="357"/>
      <c r="MA249" s="357"/>
      <c r="MB249" s="357"/>
    </row>
    <row r="250" spans="1:340" s="358" customFormat="1" ht="21" customHeight="1">
      <c r="A250" s="2529"/>
      <c r="B250" s="1145"/>
      <c r="C250" s="470"/>
      <c r="D250" s="1126"/>
      <c r="E250" s="1126"/>
      <c r="F250" s="598"/>
      <c r="G250" s="337"/>
      <c r="H250" s="338"/>
      <c r="I250" s="2357"/>
      <c r="J250" s="1903" t="s">
        <v>3248</v>
      </c>
      <c r="K250" s="807"/>
      <c r="L250" s="807"/>
      <c r="M250" s="807"/>
      <c r="N250" s="646"/>
      <c r="O250" s="646"/>
      <c r="P250" s="646"/>
      <c r="Q250" s="650"/>
      <c r="R250" s="2533"/>
      <c r="S250" s="1672">
        <v>1500000</v>
      </c>
      <c r="T250" s="1671" t="s">
        <v>3201</v>
      </c>
      <c r="U250" s="1671"/>
      <c r="V250" s="1671">
        <v>15</v>
      </c>
      <c r="W250" s="1671" t="s">
        <v>69</v>
      </c>
      <c r="X250" s="397" t="s">
        <v>3212</v>
      </c>
      <c r="Y250" s="1674">
        <f t="shared" si="64"/>
        <v>22500</v>
      </c>
      <c r="Z250" s="407">
        <f>S250*V250</f>
        <v>22500000</v>
      </c>
      <c r="AB250" s="357"/>
      <c r="AD250" s="357"/>
      <c r="AE250" s="357"/>
      <c r="AF250" s="357"/>
      <c r="AG250" s="357"/>
      <c r="AH250" s="357"/>
      <c r="AI250" s="357"/>
      <c r="AJ250" s="357"/>
      <c r="AK250" s="357"/>
      <c r="AL250" s="357"/>
      <c r="AM250" s="357"/>
      <c r="AN250" s="357"/>
      <c r="AO250" s="357"/>
      <c r="AP250" s="357"/>
      <c r="AQ250" s="357"/>
      <c r="AR250" s="357"/>
      <c r="AS250" s="357"/>
      <c r="AT250" s="357"/>
      <c r="AU250" s="357"/>
      <c r="AV250" s="357"/>
      <c r="AW250" s="357"/>
      <c r="AX250" s="357"/>
      <c r="AY250" s="357"/>
      <c r="AZ250" s="357"/>
      <c r="BA250" s="357"/>
      <c r="BB250" s="357"/>
      <c r="BC250" s="357"/>
      <c r="BD250" s="357"/>
      <c r="BE250" s="357"/>
      <c r="BF250" s="357"/>
      <c r="BG250" s="357"/>
      <c r="BH250" s="357"/>
      <c r="BI250" s="357"/>
      <c r="BJ250" s="357"/>
      <c r="BK250" s="357"/>
      <c r="BL250" s="357"/>
      <c r="BM250" s="357"/>
      <c r="BN250" s="357"/>
      <c r="BO250" s="357"/>
      <c r="BP250" s="357"/>
      <c r="BQ250" s="357"/>
      <c r="BR250" s="357"/>
      <c r="BS250" s="357"/>
      <c r="BT250" s="357"/>
      <c r="BU250" s="357"/>
      <c r="BV250" s="357"/>
      <c r="BW250" s="357"/>
      <c r="BX250" s="357"/>
      <c r="BY250" s="357"/>
      <c r="BZ250" s="357"/>
      <c r="CA250" s="357"/>
      <c r="CB250" s="357"/>
      <c r="CC250" s="357"/>
      <c r="CD250" s="357"/>
      <c r="CE250" s="357"/>
      <c r="CF250" s="357"/>
      <c r="CG250" s="357"/>
      <c r="CH250" s="357"/>
      <c r="CI250" s="357"/>
      <c r="CJ250" s="357"/>
      <c r="CK250" s="357"/>
      <c r="CL250" s="357"/>
      <c r="CM250" s="357"/>
      <c r="CN250" s="357"/>
      <c r="CO250" s="357"/>
      <c r="CP250" s="357"/>
      <c r="CQ250" s="357"/>
      <c r="CR250" s="357"/>
      <c r="CS250" s="357"/>
      <c r="CT250" s="357"/>
      <c r="CU250" s="357"/>
      <c r="CV250" s="357"/>
      <c r="CW250" s="357"/>
      <c r="CX250" s="357"/>
      <c r="CY250" s="357"/>
      <c r="CZ250" s="357"/>
      <c r="DA250" s="357"/>
      <c r="DB250" s="357"/>
      <c r="DC250" s="357"/>
      <c r="DD250" s="357"/>
      <c r="DE250" s="357"/>
      <c r="DF250" s="357"/>
      <c r="DG250" s="357"/>
      <c r="DH250" s="357"/>
      <c r="DI250" s="357"/>
      <c r="DJ250" s="357"/>
      <c r="DK250" s="357"/>
      <c r="DL250" s="357"/>
      <c r="DM250" s="357"/>
      <c r="DN250" s="357"/>
      <c r="DO250" s="357"/>
      <c r="DP250" s="357"/>
      <c r="DQ250" s="357"/>
      <c r="DR250" s="357"/>
      <c r="DS250" s="357"/>
      <c r="DT250" s="357"/>
      <c r="DU250" s="357"/>
      <c r="DV250" s="357"/>
      <c r="DW250" s="357"/>
      <c r="DX250" s="357"/>
      <c r="DY250" s="357"/>
      <c r="DZ250" s="357"/>
      <c r="EA250" s="357"/>
      <c r="EB250" s="357"/>
      <c r="EC250" s="357"/>
      <c r="ED250" s="357"/>
      <c r="EE250" s="357"/>
      <c r="EF250" s="357"/>
      <c r="EG250" s="357"/>
      <c r="EH250" s="357"/>
      <c r="EI250" s="357"/>
      <c r="EJ250" s="357"/>
      <c r="EK250" s="357"/>
      <c r="EL250" s="357"/>
      <c r="EM250" s="357"/>
      <c r="EN250" s="357"/>
      <c r="EO250" s="357"/>
      <c r="EP250" s="357"/>
      <c r="EQ250" s="357"/>
      <c r="ER250" s="357"/>
      <c r="ES250" s="357"/>
      <c r="ET250" s="357"/>
      <c r="EU250" s="357"/>
      <c r="EV250" s="357"/>
      <c r="EW250" s="357"/>
      <c r="EX250" s="357"/>
      <c r="EY250" s="357"/>
      <c r="EZ250" s="357"/>
      <c r="FA250" s="357"/>
      <c r="FB250" s="357"/>
      <c r="FC250" s="357"/>
      <c r="FD250" s="357"/>
      <c r="FE250" s="357"/>
      <c r="FF250" s="357"/>
      <c r="FG250" s="357"/>
      <c r="FH250" s="357"/>
      <c r="FI250" s="357"/>
      <c r="FJ250" s="357"/>
      <c r="FK250" s="357"/>
      <c r="FL250" s="357"/>
      <c r="FM250" s="357"/>
      <c r="FN250" s="357"/>
      <c r="FO250" s="357"/>
      <c r="FP250" s="357"/>
      <c r="FQ250" s="357"/>
      <c r="FR250" s="357"/>
      <c r="FS250" s="357"/>
      <c r="FT250" s="357"/>
      <c r="FU250" s="357"/>
      <c r="FV250" s="357"/>
      <c r="FW250" s="357"/>
      <c r="FX250" s="357"/>
      <c r="FY250" s="357"/>
      <c r="FZ250" s="357"/>
      <c r="GA250" s="357"/>
      <c r="GB250" s="357"/>
      <c r="GC250" s="357"/>
      <c r="GD250" s="357"/>
      <c r="GE250" s="357"/>
      <c r="GF250" s="357"/>
      <c r="GG250" s="357"/>
      <c r="GH250" s="357"/>
      <c r="GI250" s="357"/>
      <c r="GJ250" s="357"/>
      <c r="GK250" s="357"/>
      <c r="GL250" s="357"/>
      <c r="GM250" s="357"/>
      <c r="GN250" s="357"/>
      <c r="GO250" s="357"/>
      <c r="GP250" s="357"/>
      <c r="GQ250" s="357"/>
      <c r="GR250" s="357"/>
      <c r="GS250" s="357"/>
      <c r="GT250" s="357"/>
      <c r="GU250" s="357"/>
      <c r="GV250" s="357"/>
      <c r="GW250" s="357"/>
      <c r="GX250" s="357"/>
      <c r="GY250" s="357"/>
      <c r="GZ250" s="357"/>
      <c r="HA250" s="357"/>
      <c r="HB250" s="357"/>
      <c r="HC250" s="357"/>
      <c r="HD250" s="357"/>
      <c r="HE250" s="357"/>
      <c r="HF250" s="357"/>
      <c r="HG250" s="357"/>
      <c r="HH250" s="357"/>
      <c r="HI250" s="357"/>
      <c r="HJ250" s="357"/>
      <c r="HK250" s="357"/>
      <c r="HL250" s="357"/>
      <c r="HM250" s="357"/>
      <c r="HN250" s="357"/>
      <c r="HO250" s="357"/>
      <c r="HP250" s="357"/>
      <c r="HQ250" s="357"/>
      <c r="HR250" s="357"/>
      <c r="HS250" s="357"/>
      <c r="HT250" s="357"/>
      <c r="HU250" s="357"/>
      <c r="HV250" s="357"/>
      <c r="HW250" s="357"/>
      <c r="HX250" s="357"/>
      <c r="HY250" s="357"/>
      <c r="HZ250" s="357"/>
      <c r="IA250" s="357"/>
      <c r="IB250" s="357"/>
      <c r="IC250" s="357"/>
      <c r="ID250" s="357"/>
      <c r="IE250" s="357"/>
      <c r="IF250" s="357"/>
      <c r="IG250" s="357"/>
      <c r="IH250" s="357"/>
      <c r="II250" s="357"/>
      <c r="IJ250" s="357"/>
      <c r="IK250" s="357"/>
      <c r="IL250" s="357"/>
      <c r="IM250" s="357"/>
      <c r="IN250" s="357"/>
      <c r="IO250" s="357"/>
      <c r="IP250" s="357"/>
      <c r="IQ250" s="357"/>
      <c r="IR250" s="357"/>
      <c r="IS250" s="357"/>
      <c r="IT250" s="357"/>
      <c r="IU250" s="357"/>
      <c r="IV250" s="357"/>
      <c r="IW250" s="357"/>
      <c r="IX250" s="357"/>
      <c r="IY250" s="357"/>
      <c r="IZ250" s="357"/>
      <c r="JA250" s="357"/>
      <c r="JB250" s="357"/>
      <c r="JC250" s="357"/>
      <c r="JD250" s="357"/>
      <c r="JE250" s="357"/>
      <c r="JF250" s="357"/>
      <c r="JG250" s="357"/>
      <c r="JH250" s="357"/>
      <c r="JI250" s="357"/>
      <c r="JJ250" s="357"/>
      <c r="JK250" s="357"/>
      <c r="JL250" s="357"/>
      <c r="JM250" s="357"/>
      <c r="JN250" s="357"/>
      <c r="JO250" s="357"/>
      <c r="JP250" s="357"/>
      <c r="JQ250" s="357"/>
      <c r="JR250" s="357"/>
      <c r="JS250" s="357"/>
      <c r="JT250" s="357"/>
      <c r="JU250" s="357"/>
      <c r="JV250" s="357"/>
      <c r="JW250" s="357"/>
      <c r="JX250" s="357"/>
      <c r="JY250" s="357"/>
      <c r="JZ250" s="357"/>
      <c r="KA250" s="357"/>
      <c r="KB250" s="357"/>
      <c r="KC250" s="357"/>
      <c r="KD250" s="357"/>
      <c r="KE250" s="357"/>
      <c r="KF250" s="357"/>
      <c r="KG250" s="357"/>
      <c r="KH250" s="357"/>
      <c r="KI250" s="357"/>
      <c r="KJ250" s="357"/>
      <c r="KK250" s="357"/>
      <c r="KL250" s="357"/>
      <c r="KM250" s="357"/>
      <c r="KN250" s="357"/>
      <c r="KO250" s="357"/>
      <c r="KP250" s="357"/>
      <c r="KQ250" s="357"/>
      <c r="KR250" s="357"/>
      <c r="KS250" s="357"/>
      <c r="KT250" s="357"/>
      <c r="KU250" s="357"/>
      <c r="KV250" s="357"/>
      <c r="KW250" s="357"/>
      <c r="KX250" s="357"/>
      <c r="KY250" s="357"/>
      <c r="KZ250" s="357"/>
      <c r="LA250" s="357"/>
      <c r="LB250" s="357"/>
      <c r="LC250" s="357"/>
      <c r="LD250" s="357"/>
      <c r="LE250" s="357"/>
      <c r="LF250" s="357"/>
      <c r="LG250" s="357"/>
      <c r="LH250" s="357"/>
      <c r="LI250" s="357"/>
      <c r="LJ250" s="357"/>
      <c r="LK250" s="357"/>
      <c r="LL250" s="357"/>
      <c r="LM250" s="357"/>
      <c r="LN250" s="357"/>
      <c r="LO250" s="357"/>
      <c r="LP250" s="357"/>
      <c r="LQ250" s="357"/>
      <c r="LR250" s="357"/>
      <c r="LS250" s="357"/>
      <c r="LT250" s="357"/>
      <c r="LU250" s="357"/>
      <c r="LV250" s="357"/>
      <c r="LW250" s="357"/>
      <c r="LX250" s="357"/>
      <c r="LY250" s="357"/>
      <c r="LZ250" s="357"/>
      <c r="MA250" s="357"/>
      <c r="MB250" s="357"/>
    </row>
    <row r="251" spans="1:340" s="358" customFormat="1" ht="23.1" customHeight="1">
      <c r="A251" s="2529"/>
      <c r="B251" s="1145"/>
      <c r="C251" s="470"/>
      <c r="D251" s="1126"/>
      <c r="E251" s="1126" t="s">
        <v>3218</v>
      </c>
      <c r="F251" s="598">
        <f>SUM(Y251)</f>
        <v>134000</v>
      </c>
      <c r="G251" s="598">
        <v>134000</v>
      </c>
      <c r="H251" s="338"/>
      <c r="I251" s="2357"/>
      <c r="J251" s="1903" t="s">
        <v>3190</v>
      </c>
      <c r="K251" s="807"/>
      <c r="L251" s="807"/>
      <c r="M251" s="807"/>
      <c r="N251" s="646"/>
      <c r="O251" s="646"/>
      <c r="P251" s="646"/>
      <c r="Q251" s="650"/>
      <c r="R251" s="2533"/>
      <c r="S251" s="2533" t="s">
        <v>3226</v>
      </c>
      <c r="T251" s="2539" t="s">
        <v>3226</v>
      </c>
      <c r="U251" s="2539" t="s">
        <v>3226</v>
      </c>
      <c r="V251" s="2539" t="s">
        <v>3226</v>
      </c>
      <c r="W251" s="2539" t="s">
        <v>3226</v>
      </c>
      <c r="X251" s="397"/>
      <c r="Y251" s="1674">
        <f t="shared" si="64"/>
        <v>134000</v>
      </c>
      <c r="Z251" s="1324">
        <f>+Z252+Z253+Z254+Z255+Z256+Z257+Z258+Z259</f>
        <v>134000000</v>
      </c>
      <c r="AB251" s="357"/>
      <c r="AD251" s="357"/>
      <c r="AE251" s="357"/>
      <c r="AF251" s="357"/>
      <c r="AG251" s="357"/>
      <c r="AH251" s="357"/>
      <c r="AI251" s="357"/>
      <c r="AJ251" s="357"/>
      <c r="AK251" s="357"/>
      <c r="AL251" s="357"/>
      <c r="AM251" s="357"/>
      <c r="AN251" s="357"/>
      <c r="AO251" s="357"/>
      <c r="AP251" s="357"/>
      <c r="AQ251" s="357"/>
      <c r="AR251" s="357"/>
      <c r="AS251" s="357"/>
      <c r="AT251" s="357"/>
      <c r="AU251" s="357"/>
      <c r="AV251" s="357"/>
      <c r="AW251" s="357"/>
      <c r="AX251" s="357"/>
      <c r="AY251" s="357"/>
      <c r="AZ251" s="357"/>
      <c r="BA251" s="357"/>
      <c r="BB251" s="357"/>
      <c r="BC251" s="357"/>
      <c r="BD251" s="357"/>
      <c r="BE251" s="357"/>
      <c r="BF251" s="357"/>
      <c r="BG251" s="357"/>
      <c r="BH251" s="357"/>
      <c r="BI251" s="357"/>
      <c r="BJ251" s="357"/>
      <c r="BK251" s="357"/>
      <c r="BL251" s="357"/>
      <c r="BM251" s="357"/>
      <c r="BN251" s="357"/>
      <c r="BO251" s="357"/>
      <c r="BP251" s="357"/>
      <c r="BQ251" s="357"/>
      <c r="BR251" s="357"/>
      <c r="BS251" s="357"/>
      <c r="BT251" s="357"/>
      <c r="BU251" s="357"/>
      <c r="BV251" s="357"/>
      <c r="BW251" s="357"/>
      <c r="BX251" s="357"/>
      <c r="BY251" s="357"/>
      <c r="BZ251" s="357"/>
      <c r="CA251" s="357"/>
      <c r="CB251" s="357"/>
      <c r="CC251" s="357"/>
      <c r="CD251" s="357"/>
      <c r="CE251" s="357"/>
      <c r="CF251" s="357"/>
      <c r="CG251" s="357"/>
      <c r="CH251" s="357"/>
      <c r="CI251" s="357"/>
      <c r="CJ251" s="357"/>
      <c r="CK251" s="357"/>
      <c r="CL251" s="357"/>
      <c r="CM251" s="357"/>
      <c r="CN251" s="357"/>
      <c r="CO251" s="357"/>
      <c r="CP251" s="357"/>
      <c r="CQ251" s="357"/>
      <c r="CR251" s="357"/>
      <c r="CS251" s="357"/>
      <c r="CT251" s="357"/>
      <c r="CU251" s="357"/>
      <c r="CV251" s="357"/>
      <c r="CW251" s="357"/>
      <c r="CX251" s="357"/>
      <c r="CY251" s="357"/>
      <c r="CZ251" s="357"/>
      <c r="DA251" s="357"/>
      <c r="DB251" s="357"/>
      <c r="DC251" s="357"/>
      <c r="DD251" s="357"/>
      <c r="DE251" s="357"/>
      <c r="DF251" s="357"/>
      <c r="DG251" s="357"/>
      <c r="DH251" s="357"/>
      <c r="DI251" s="357"/>
      <c r="DJ251" s="357"/>
      <c r="DK251" s="357"/>
      <c r="DL251" s="357"/>
      <c r="DM251" s="357"/>
      <c r="DN251" s="357"/>
      <c r="DO251" s="357"/>
      <c r="DP251" s="357"/>
      <c r="DQ251" s="357"/>
      <c r="DR251" s="357"/>
      <c r="DS251" s="357"/>
      <c r="DT251" s="357"/>
      <c r="DU251" s="357"/>
      <c r="DV251" s="357"/>
      <c r="DW251" s="357"/>
      <c r="DX251" s="357"/>
      <c r="DY251" s="357"/>
      <c r="DZ251" s="357"/>
      <c r="EA251" s="357"/>
      <c r="EB251" s="357"/>
      <c r="EC251" s="357"/>
      <c r="ED251" s="357"/>
      <c r="EE251" s="357"/>
      <c r="EF251" s="357"/>
      <c r="EG251" s="357"/>
      <c r="EH251" s="357"/>
      <c r="EI251" s="357"/>
      <c r="EJ251" s="357"/>
      <c r="EK251" s="357"/>
      <c r="EL251" s="357"/>
      <c r="EM251" s="357"/>
      <c r="EN251" s="357"/>
      <c r="EO251" s="357"/>
      <c r="EP251" s="357"/>
      <c r="EQ251" s="357"/>
      <c r="ER251" s="357"/>
      <c r="ES251" s="357"/>
      <c r="ET251" s="357"/>
      <c r="EU251" s="357"/>
      <c r="EV251" s="357"/>
      <c r="EW251" s="357"/>
      <c r="EX251" s="357"/>
      <c r="EY251" s="357"/>
      <c r="EZ251" s="357"/>
      <c r="FA251" s="357"/>
      <c r="FB251" s="357"/>
      <c r="FC251" s="357"/>
      <c r="FD251" s="357"/>
      <c r="FE251" s="357"/>
      <c r="FF251" s="357"/>
      <c r="FG251" s="357"/>
      <c r="FH251" s="357"/>
      <c r="FI251" s="357"/>
      <c r="FJ251" s="357"/>
      <c r="FK251" s="357"/>
      <c r="FL251" s="357"/>
      <c r="FM251" s="357"/>
      <c r="FN251" s="357"/>
      <c r="FO251" s="357"/>
      <c r="FP251" s="357"/>
      <c r="FQ251" s="357"/>
      <c r="FR251" s="357"/>
      <c r="FS251" s="357"/>
      <c r="FT251" s="357"/>
      <c r="FU251" s="357"/>
      <c r="FV251" s="357"/>
      <c r="FW251" s="357"/>
      <c r="FX251" s="357"/>
      <c r="FY251" s="357"/>
      <c r="FZ251" s="357"/>
      <c r="GA251" s="357"/>
      <c r="GB251" s="357"/>
      <c r="GC251" s="357"/>
      <c r="GD251" s="357"/>
      <c r="GE251" s="357"/>
      <c r="GF251" s="357"/>
      <c r="GG251" s="357"/>
      <c r="GH251" s="357"/>
      <c r="GI251" s="357"/>
      <c r="GJ251" s="357"/>
      <c r="GK251" s="357"/>
      <c r="GL251" s="357"/>
      <c r="GM251" s="357"/>
      <c r="GN251" s="357"/>
      <c r="GO251" s="357"/>
      <c r="GP251" s="357"/>
      <c r="GQ251" s="357"/>
      <c r="GR251" s="357"/>
      <c r="GS251" s="357"/>
      <c r="GT251" s="357"/>
      <c r="GU251" s="357"/>
      <c r="GV251" s="357"/>
      <c r="GW251" s="357"/>
      <c r="GX251" s="357"/>
      <c r="GY251" s="357"/>
      <c r="GZ251" s="357"/>
      <c r="HA251" s="357"/>
      <c r="HB251" s="357"/>
      <c r="HC251" s="357"/>
      <c r="HD251" s="357"/>
      <c r="HE251" s="357"/>
      <c r="HF251" s="357"/>
      <c r="HG251" s="357"/>
      <c r="HH251" s="357"/>
      <c r="HI251" s="357"/>
      <c r="HJ251" s="357"/>
      <c r="HK251" s="357"/>
      <c r="HL251" s="357"/>
      <c r="HM251" s="357"/>
      <c r="HN251" s="357"/>
      <c r="HO251" s="357"/>
      <c r="HP251" s="357"/>
      <c r="HQ251" s="357"/>
      <c r="HR251" s="357"/>
      <c r="HS251" s="357"/>
      <c r="HT251" s="357"/>
      <c r="HU251" s="357"/>
      <c r="HV251" s="357"/>
      <c r="HW251" s="357"/>
      <c r="HX251" s="357"/>
      <c r="HY251" s="357"/>
      <c r="HZ251" s="357"/>
      <c r="IA251" s="357"/>
      <c r="IB251" s="357"/>
      <c r="IC251" s="357"/>
      <c r="ID251" s="357"/>
      <c r="IE251" s="357"/>
      <c r="IF251" s="357"/>
      <c r="IG251" s="357"/>
      <c r="IH251" s="357"/>
      <c r="II251" s="357"/>
      <c r="IJ251" s="357"/>
      <c r="IK251" s="357"/>
      <c r="IL251" s="357"/>
      <c r="IM251" s="357"/>
      <c r="IN251" s="357"/>
      <c r="IO251" s="357"/>
      <c r="IP251" s="357"/>
      <c r="IQ251" s="357"/>
      <c r="IR251" s="357"/>
      <c r="IS251" s="357"/>
      <c r="IT251" s="357"/>
      <c r="IU251" s="357"/>
      <c r="IV251" s="357"/>
      <c r="IW251" s="357"/>
      <c r="IX251" s="357"/>
      <c r="IY251" s="357"/>
      <c r="IZ251" s="357"/>
      <c r="JA251" s="357"/>
      <c r="JB251" s="357"/>
      <c r="JC251" s="357"/>
      <c r="JD251" s="357"/>
      <c r="JE251" s="357"/>
      <c r="JF251" s="357"/>
      <c r="JG251" s="357"/>
      <c r="JH251" s="357"/>
      <c r="JI251" s="357"/>
      <c r="JJ251" s="357"/>
      <c r="JK251" s="357"/>
      <c r="JL251" s="357"/>
      <c r="JM251" s="357"/>
      <c r="JN251" s="357"/>
      <c r="JO251" s="357"/>
      <c r="JP251" s="357"/>
      <c r="JQ251" s="357"/>
      <c r="JR251" s="357"/>
      <c r="JS251" s="357"/>
      <c r="JT251" s="357"/>
      <c r="JU251" s="357"/>
      <c r="JV251" s="357"/>
      <c r="JW251" s="357"/>
      <c r="JX251" s="357"/>
      <c r="JY251" s="357"/>
      <c r="JZ251" s="357"/>
      <c r="KA251" s="357"/>
      <c r="KB251" s="357"/>
      <c r="KC251" s="357"/>
      <c r="KD251" s="357"/>
      <c r="KE251" s="357"/>
      <c r="KF251" s="357"/>
      <c r="KG251" s="357"/>
      <c r="KH251" s="357"/>
      <c r="KI251" s="357"/>
      <c r="KJ251" s="357"/>
      <c r="KK251" s="357"/>
      <c r="KL251" s="357"/>
      <c r="KM251" s="357"/>
      <c r="KN251" s="357"/>
      <c r="KO251" s="357"/>
      <c r="KP251" s="357"/>
      <c r="KQ251" s="357"/>
      <c r="KR251" s="357"/>
      <c r="KS251" s="357"/>
      <c r="KT251" s="357"/>
      <c r="KU251" s="357"/>
      <c r="KV251" s="357"/>
      <c r="KW251" s="357"/>
      <c r="KX251" s="357"/>
      <c r="KY251" s="357"/>
      <c r="KZ251" s="357"/>
      <c r="LA251" s="357"/>
      <c r="LB251" s="357"/>
      <c r="LC251" s="357"/>
      <c r="LD251" s="357"/>
      <c r="LE251" s="357"/>
      <c r="LF251" s="357"/>
      <c r="LG251" s="357"/>
      <c r="LH251" s="357"/>
      <c r="LI251" s="357"/>
      <c r="LJ251" s="357"/>
      <c r="LK251" s="357"/>
      <c r="LL251" s="357"/>
      <c r="LM251" s="357"/>
      <c r="LN251" s="357"/>
      <c r="LO251" s="357"/>
      <c r="LP251" s="357"/>
      <c r="LQ251" s="357"/>
      <c r="LR251" s="357"/>
      <c r="LS251" s="357"/>
      <c r="LT251" s="357"/>
      <c r="LU251" s="357"/>
      <c r="LV251" s="357"/>
      <c r="LW251" s="357"/>
      <c r="LX251" s="357"/>
      <c r="LY251" s="357"/>
      <c r="LZ251" s="357"/>
      <c r="MA251" s="357"/>
      <c r="MB251" s="357"/>
    </row>
    <row r="252" spans="1:340" s="358" customFormat="1" ht="23.1" customHeight="1">
      <c r="A252" s="2529"/>
      <c r="B252" s="1145"/>
      <c r="C252" s="470"/>
      <c r="D252" s="470"/>
      <c r="E252" s="1126"/>
      <c r="F252" s="598"/>
      <c r="G252" s="337"/>
      <c r="H252" s="338"/>
      <c r="I252" s="2357"/>
      <c r="J252" s="1903" t="s">
        <v>3249</v>
      </c>
      <c r="K252" s="807"/>
      <c r="L252" s="807"/>
      <c r="M252" s="807"/>
      <c r="N252" s="646"/>
      <c r="O252" s="646"/>
      <c r="P252" s="646"/>
      <c r="Q252" s="650"/>
      <c r="R252" s="2533"/>
      <c r="S252" s="1672">
        <v>7000000</v>
      </c>
      <c r="T252" s="1671" t="s">
        <v>3201</v>
      </c>
      <c r="U252" s="1671"/>
      <c r="V252" s="1671">
        <v>4</v>
      </c>
      <c r="W252" s="1671" t="s">
        <v>3202</v>
      </c>
      <c r="X252" s="397" t="s">
        <v>3212</v>
      </c>
      <c r="Y252" s="1674">
        <f t="shared" si="64"/>
        <v>28000</v>
      </c>
      <c r="Z252" s="407">
        <f>S252*V252</f>
        <v>28000000</v>
      </c>
      <c r="AB252" s="357"/>
      <c r="AD252" s="357"/>
      <c r="AE252" s="357"/>
      <c r="AF252" s="357"/>
      <c r="AG252" s="357"/>
      <c r="AH252" s="357"/>
      <c r="AI252" s="357"/>
      <c r="AJ252" s="357"/>
      <c r="AK252" s="357"/>
      <c r="AL252" s="357"/>
      <c r="AM252" s="357"/>
      <c r="AN252" s="357"/>
      <c r="AO252" s="357"/>
      <c r="AP252" s="357"/>
      <c r="AQ252" s="357"/>
      <c r="AR252" s="357"/>
      <c r="AS252" s="357"/>
      <c r="AT252" s="357"/>
      <c r="AU252" s="357"/>
      <c r="AV252" s="357"/>
      <c r="AW252" s="357"/>
      <c r="AX252" s="357"/>
      <c r="AY252" s="357"/>
      <c r="AZ252" s="357"/>
      <c r="BA252" s="357"/>
      <c r="BB252" s="357"/>
      <c r="BC252" s="357"/>
      <c r="BD252" s="357"/>
      <c r="BE252" s="357"/>
      <c r="BF252" s="357"/>
      <c r="BG252" s="357"/>
      <c r="BH252" s="357"/>
      <c r="BI252" s="357"/>
      <c r="BJ252" s="357"/>
      <c r="BK252" s="357"/>
      <c r="BL252" s="357"/>
      <c r="BM252" s="357"/>
      <c r="BN252" s="357"/>
      <c r="BO252" s="357"/>
      <c r="BP252" s="357"/>
      <c r="BQ252" s="357"/>
      <c r="BR252" s="357"/>
      <c r="BS252" s="357"/>
      <c r="BT252" s="357"/>
      <c r="BU252" s="357"/>
      <c r="BV252" s="357"/>
      <c r="BW252" s="357"/>
      <c r="BX252" s="357"/>
      <c r="BY252" s="357"/>
      <c r="BZ252" s="357"/>
      <c r="CA252" s="357"/>
      <c r="CB252" s="357"/>
      <c r="CC252" s="357"/>
      <c r="CD252" s="357"/>
      <c r="CE252" s="357"/>
      <c r="CF252" s="357"/>
      <c r="CG252" s="357"/>
      <c r="CH252" s="357"/>
      <c r="CI252" s="357"/>
      <c r="CJ252" s="357"/>
      <c r="CK252" s="357"/>
      <c r="CL252" s="357"/>
      <c r="CM252" s="357"/>
      <c r="CN252" s="357"/>
      <c r="CO252" s="357"/>
      <c r="CP252" s="357"/>
      <c r="CQ252" s="357"/>
      <c r="CR252" s="357"/>
      <c r="CS252" s="357"/>
      <c r="CT252" s="357"/>
      <c r="CU252" s="357"/>
      <c r="CV252" s="357"/>
      <c r="CW252" s="357"/>
      <c r="CX252" s="357"/>
      <c r="CY252" s="357"/>
      <c r="CZ252" s="357"/>
      <c r="DA252" s="357"/>
      <c r="DB252" s="357"/>
      <c r="DC252" s="357"/>
      <c r="DD252" s="357"/>
      <c r="DE252" s="357"/>
      <c r="DF252" s="357"/>
      <c r="DG252" s="357"/>
      <c r="DH252" s="357"/>
      <c r="DI252" s="357"/>
      <c r="DJ252" s="357"/>
      <c r="DK252" s="357"/>
      <c r="DL252" s="357"/>
      <c r="DM252" s="357"/>
      <c r="DN252" s="357"/>
      <c r="DO252" s="357"/>
      <c r="DP252" s="357"/>
      <c r="DQ252" s="357"/>
      <c r="DR252" s="357"/>
      <c r="DS252" s="357"/>
      <c r="DT252" s="357"/>
      <c r="DU252" s="357"/>
      <c r="DV252" s="357"/>
      <c r="DW252" s="357"/>
      <c r="DX252" s="357"/>
      <c r="DY252" s="357"/>
      <c r="DZ252" s="357"/>
      <c r="EA252" s="357"/>
      <c r="EB252" s="357"/>
      <c r="EC252" s="357"/>
      <c r="ED252" s="357"/>
      <c r="EE252" s="357"/>
      <c r="EF252" s="357"/>
      <c r="EG252" s="357"/>
      <c r="EH252" s="357"/>
      <c r="EI252" s="357"/>
      <c r="EJ252" s="357"/>
      <c r="EK252" s="357"/>
      <c r="EL252" s="357"/>
      <c r="EM252" s="357"/>
      <c r="EN252" s="357"/>
      <c r="EO252" s="357"/>
      <c r="EP252" s="357"/>
      <c r="EQ252" s="357"/>
      <c r="ER252" s="357"/>
      <c r="ES252" s="357"/>
      <c r="ET252" s="357"/>
      <c r="EU252" s="357"/>
      <c r="EV252" s="357"/>
      <c r="EW252" s="357"/>
      <c r="EX252" s="357"/>
      <c r="EY252" s="357"/>
      <c r="EZ252" s="357"/>
      <c r="FA252" s="357"/>
      <c r="FB252" s="357"/>
      <c r="FC252" s="357"/>
      <c r="FD252" s="357"/>
      <c r="FE252" s="357"/>
      <c r="FF252" s="357"/>
      <c r="FG252" s="357"/>
      <c r="FH252" s="357"/>
      <c r="FI252" s="357"/>
      <c r="FJ252" s="357"/>
      <c r="FK252" s="357"/>
      <c r="FL252" s="357"/>
      <c r="FM252" s="357"/>
      <c r="FN252" s="357"/>
      <c r="FO252" s="357"/>
      <c r="FP252" s="357"/>
      <c r="FQ252" s="357"/>
      <c r="FR252" s="357"/>
      <c r="FS252" s="357"/>
      <c r="FT252" s="357"/>
      <c r="FU252" s="357"/>
      <c r="FV252" s="357"/>
      <c r="FW252" s="357"/>
      <c r="FX252" s="357"/>
      <c r="FY252" s="357"/>
      <c r="FZ252" s="357"/>
      <c r="GA252" s="357"/>
      <c r="GB252" s="357"/>
      <c r="GC252" s="357"/>
      <c r="GD252" s="357"/>
      <c r="GE252" s="357"/>
      <c r="GF252" s="357"/>
      <c r="GG252" s="357"/>
      <c r="GH252" s="357"/>
      <c r="GI252" s="357"/>
      <c r="GJ252" s="357"/>
      <c r="GK252" s="357"/>
      <c r="GL252" s="357"/>
      <c r="GM252" s="357"/>
      <c r="GN252" s="357"/>
      <c r="GO252" s="357"/>
      <c r="GP252" s="357"/>
      <c r="GQ252" s="357"/>
      <c r="GR252" s="357"/>
      <c r="GS252" s="357"/>
      <c r="GT252" s="357"/>
      <c r="GU252" s="357"/>
      <c r="GV252" s="357"/>
      <c r="GW252" s="357"/>
      <c r="GX252" s="357"/>
      <c r="GY252" s="357"/>
      <c r="GZ252" s="357"/>
      <c r="HA252" s="357"/>
      <c r="HB252" s="357"/>
      <c r="HC252" s="357"/>
      <c r="HD252" s="357"/>
      <c r="HE252" s="357"/>
      <c r="HF252" s="357"/>
      <c r="HG252" s="357"/>
      <c r="HH252" s="357"/>
      <c r="HI252" s="357"/>
      <c r="HJ252" s="357"/>
      <c r="HK252" s="357"/>
      <c r="HL252" s="357"/>
      <c r="HM252" s="357"/>
      <c r="HN252" s="357"/>
      <c r="HO252" s="357"/>
      <c r="HP252" s="357"/>
      <c r="HQ252" s="357"/>
      <c r="HR252" s="357"/>
      <c r="HS252" s="357"/>
      <c r="HT252" s="357"/>
      <c r="HU252" s="357"/>
      <c r="HV252" s="357"/>
      <c r="HW252" s="357"/>
      <c r="HX252" s="357"/>
      <c r="HY252" s="357"/>
      <c r="HZ252" s="357"/>
      <c r="IA252" s="357"/>
      <c r="IB252" s="357"/>
      <c r="IC252" s="357"/>
      <c r="ID252" s="357"/>
      <c r="IE252" s="357"/>
      <c r="IF252" s="357"/>
      <c r="IG252" s="357"/>
      <c r="IH252" s="357"/>
      <c r="II252" s="357"/>
      <c r="IJ252" s="357"/>
      <c r="IK252" s="357"/>
      <c r="IL252" s="357"/>
      <c r="IM252" s="357"/>
      <c r="IN252" s="357"/>
      <c r="IO252" s="357"/>
      <c r="IP252" s="357"/>
      <c r="IQ252" s="357"/>
      <c r="IR252" s="357"/>
      <c r="IS252" s="357"/>
      <c r="IT252" s="357"/>
      <c r="IU252" s="357"/>
      <c r="IV252" s="357"/>
      <c r="IW252" s="357"/>
      <c r="IX252" s="357"/>
      <c r="IY252" s="357"/>
      <c r="IZ252" s="357"/>
      <c r="JA252" s="357"/>
      <c r="JB252" s="357"/>
      <c r="JC252" s="357"/>
      <c r="JD252" s="357"/>
      <c r="JE252" s="357"/>
      <c r="JF252" s="357"/>
      <c r="JG252" s="357"/>
      <c r="JH252" s="357"/>
      <c r="JI252" s="357"/>
      <c r="JJ252" s="357"/>
      <c r="JK252" s="357"/>
      <c r="JL252" s="357"/>
      <c r="JM252" s="357"/>
      <c r="JN252" s="357"/>
      <c r="JO252" s="357"/>
      <c r="JP252" s="357"/>
      <c r="JQ252" s="357"/>
      <c r="JR252" s="357"/>
      <c r="JS252" s="357"/>
      <c r="JT252" s="357"/>
      <c r="JU252" s="357"/>
      <c r="JV252" s="357"/>
      <c r="JW252" s="357"/>
      <c r="JX252" s="357"/>
      <c r="JY252" s="357"/>
      <c r="JZ252" s="357"/>
      <c r="KA252" s="357"/>
      <c r="KB252" s="357"/>
      <c r="KC252" s="357"/>
      <c r="KD252" s="357"/>
      <c r="KE252" s="357"/>
      <c r="KF252" s="357"/>
      <c r="KG252" s="357"/>
      <c r="KH252" s="357"/>
      <c r="KI252" s="357"/>
      <c r="KJ252" s="357"/>
      <c r="KK252" s="357"/>
      <c r="KL252" s="357"/>
      <c r="KM252" s="357"/>
      <c r="KN252" s="357"/>
      <c r="KO252" s="357"/>
      <c r="KP252" s="357"/>
      <c r="KQ252" s="357"/>
      <c r="KR252" s="357"/>
      <c r="KS252" s="357"/>
      <c r="KT252" s="357"/>
      <c r="KU252" s="357"/>
      <c r="KV252" s="357"/>
      <c r="KW252" s="357"/>
      <c r="KX252" s="357"/>
      <c r="KY252" s="357"/>
      <c r="KZ252" s="357"/>
      <c r="LA252" s="357"/>
      <c r="LB252" s="357"/>
      <c r="LC252" s="357"/>
      <c r="LD252" s="357"/>
      <c r="LE252" s="357"/>
      <c r="LF252" s="357"/>
      <c r="LG252" s="357"/>
      <c r="LH252" s="357"/>
      <c r="LI252" s="357"/>
      <c r="LJ252" s="357"/>
      <c r="LK252" s="357"/>
      <c r="LL252" s="357"/>
      <c r="LM252" s="357"/>
      <c r="LN252" s="357"/>
      <c r="LO252" s="357"/>
      <c r="LP252" s="357"/>
      <c r="LQ252" s="357"/>
      <c r="LR252" s="357"/>
      <c r="LS252" s="357"/>
      <c r="LT252" s="357"/>
      <c r="LU252" s="357"/>
      <c r="LV252" s="357"/>
      <c r="LW252" s="357"/>
      <c r="LX252" s="357"/>
      <c r="LY252" s="357"/>
      <c r="LZ252" s="357"/>
      <c r="MA252" s="357"/>
      <c r="MB252" s="357"/>
    </row>
    <row r="253" spans="1:340" s="358" customFormat="1" ht="23.1" customHeight="1">
      <c r="A253" s="2529"/>
      <c r="B253" s="1145"/>
      <c r="C253" s="470"/>
      <c r="D253" s="470"/>
      <c r="E253" s="1126"/>
      <c r="F253" s="598"/>
      <c r="G253" s="337"/>
      <c r="H253" s="338"/>
      <c r="I253" s="2357"/>
      <c r="J253" s="1903" t="s">
        <v>3250</v>
      </c>
      <c r="K253" s="807"/>
      <c r="L253" s="807"/>
      <c r="M253" s="807"/>
      <c r="N253" s="646"/>
      <c r="O253" s="646"/>
      <c r="P253" s="646"/>
      <c r="Q253" s="650"/>
      <c r="R253" s="2533"/>
      <c r="S253" s="1672">
        <v>3000000</v>
      </c>
      <c r="T253" s="1671" t="s">
        <v>3201</v>
      </c>
      <c r="U253" s="1671"/>
      <c r="V253" s="1671">
        <v>1</v>
      </c>
      <c r="W253" s="1671" t="s">
        <v>3202</v>
      </c>
      <c r="X253" s="397" t="s">
        <v>3212</v>
      </c>
      <c r="Y253" s="1674">
        <f t="shared" si="64"/>
        <v>3000</v>
      </c>
      <c r="Z253" s="407">
        <f t="shared" ref="Z253:Z259" si="65">S253*V253</f>
        <v>3000000</v>
      </c>
      <c r="AB253" s="357"/>
      <c r="AD253" s="357"/>
      <c r="AE253" s="357"/>
      <c r="AF253" s="357"/>
      <c r="AG253" s="357"/>
      <c r="AH253" s="357"/>
      <c r="AI253" s="357"/>
      <c r="AJ253" s="357"/>
      <c r="AK253" s="357"/>
      <c r="AL253" s="357"/>
      <c r="AM253" s="357"/>
      <c r="AN253" s="357"/>
      <c r="AO253" s="357"/>
      <c r="AP253" s="357"/>
      <c r="AQ253" s="357"/>
      <c r="AR253" s="357"/>
      <c r="AS253" s="357"/>
      <c r="AT253" s="357"/>
      <c r="AU253" s="357"/>
      <c r="AV253" s="357"/>
      <c r="AW253" s="357"/>
      <c r="AX253" s="357"/>
      <c r="AY253" s="357"/>
      <c r="AZ253" s="357"/>
      <c r="BA253" s="357"/>
      <c r="BB253" s="357"/>
      <c r="BC253" s="357"/>
      <c r="BD253" s="357"/>
      <c r="BE253" s="357"/>
      <c r="BF253" s="357"/>
      <c r="BG253" s="357"/>
      <c r="BH253" s="357"/>
      <c r="BI253" s="357"/>
      <c r="BJ253" s="357"/>
      <c r="BK253" s="357"/>
      <c r="BL253" s="357"/>
      <c r="BM253" s="357"/>
      <c r="BN253" s="357"/>
      <c r="BO253" s="357"/>
      <c r="BP253" s="357"/>
      <c r="BQ253" s="357"/>
      <c r="BR253" s="357"/>
      <c r="BS253" s="357"/>
      <c r="BT253" s="357"/>
      <c r="BU253" s="357"/>
      <c r="BV253" s="357"/>
      <c r="BW253" s="357"/>
      <c r="BX253" s="357"/>
      <c r="BY253" s="357"/>
      <c r="BZ253" s="357"/>
      <c r="CA253" s="357"/>
      <c r="CB253" s="357"/>
      <c r="CC253" s="357"/>
      <c r="CD253" s="357"/>
      <c r="CE253" s="357"/>
      <c r="CF253" s="357"/>
      <c r="CG253" s="357"/>
      <c r="CH253" s="357"/>
      <c r="CI253" s="357"/>
      <c r="CJ253" s="357"/>
      <c r="CK253" s="357"/>
      <c r="CL253" s="357"/>
      <c r="CM253" s="357"/>
      <c r="CN253" s="357"/>
      <c r="CO253" s="357"/>
      <c r="CP253" s="357"/>
      <c r="CQ253" s="357"/>
      <c r="CR253" s="357"/>
      <c r="CS253" s="357"/>
      <c r="CT253" s="357"/>
      <c r="CU253" s="357"/>
      <c r="CV253" s="357"/>
      <c r="CW253" s="357"/>
      <c r="CX253" s="357"/>
      <c r="CY253" s="357"/>
      <c r="CZ253" s="357"/>
      <c r="DA253" s="357"/>
      <c r="DB253" s="357"/>
      <c r="DC253" s="357"/>
      <c r="DD253" s="357"/>
      <c r="DE253" s="357"/>
      <c r="DF253" s="357"/>
      <c r="DG253" s="357"/>
      <c r="DH253" s="357"/>
      <c r="DI253" s="357"/>
      <c r="DJ253" s="357"/>
      <c r="DK253" s="357"/>
      <c r="DL253" s="357"/>
      <c r="DM253" s="357"/>
      <c r="DN253" s="357"/>
      <c r="DO253" s="357"/>
      <c r="DP253" s="357"/>
      <c r="DQ253" s="357"/>
      <c r="DR253" s="357"/>
      <c r="DS253" s="357"/>
      <c r="DT253" s="357"/>
      <c r="DU253" s="357"/>
      <c r="DV253" s="357"/>
      <c r="DW253" s="357"/>
      <c r="DX253" s="357"/>
      <c r="DY253" s="357"/>
      <c r="DZ253" s="357"/>
      <c r="EA253" s="357"/>
      <c r="EB253" s="357"/>
      <c r="EC253" s="357"/>
      <c r="ED253" s="357"/>
      <c r="EE253" s="357"/>
      <c r="EF253" s="357"/>
      <c r="EG253" s="357"/>
      <c r="EH253" s="357"/>
      <c r="EI253" s="357"/>
      <c r="EJ253" s="357"/>
      <c r="EK253" s="357"/>
      <c r="EL253" s="357"/>
      <c r="EM253" s="357"/>
      <c r="EN253" s="357"/>
      <c r="EO253" s="357"/>
      <c r="EP253" s="357"/>
      <c r="EQ253" s="357"/>
      <c r="ER253" s="357"/>
      <c r="ES253" s="357"/>
      <c r="ET253" s="357"/>
      <c r="EU253" s="357"/>
      <c r="EV253" s="357"/>
      <c r="EW253" s="357"/>
      <c r="EX253" s="357"/>
      <c r="EY253" s="357"/>
      <c r="EZ253" s="357"/>
      <c r="FA253" s="357"/>
      <c r="FB253" s="357"/>
      <c r="FC253" s="357"/>
      <c r="FD253" s="357"/>
      <c r="FE253" s="357"/>
      <c r="FF253" s="357"/>
      <c r="FG253" s="357"/>
      <c r="FH253" s="357"/>
      <c r="FI253" s="357"/>
      <c r="FJ253" s="357"/>
      <c r="FK253" s="357"/>
      <c r="FL253" s="357"/>
      <c r="FM253" s="357"/>
      <c r="FN253" s="357"/>
      <c r="FO253" s="357"/>
      <c r="FP253" s="357"/>
      <c r="FQ253" s="357"/>
      <c r="FR253" s="357"/>
      <c r="FS253" s="357"/>
      <c r="FT253" s="357"/>
      <c r="FU253" s="357"/>
      <c r="FV253" s="357"/>
      <c r="FW253" s="357"/>
      <c r="FX253" s="357"/>
      <c r="FY253" s="357"/>
      <c r="FZ253" s="357"/>
      <c r="GA253" s="357"/>
      <c r="GB253" s="357"/>
      <c r="GC253" s="357"/>
      <c r="GD253" s="357"/>
      <c r="GE253" s="357"/>
      <c r="GF253" s="357"/>
      <c r="GG253" s="357"/>
      <c r="GH253" s="357"/>
      <c r="GI253" s="357"/>
      <c r="GJ253" s="357"/>
      <c r="GK253" s="357"/>
      <c r="GL253" s="357"/>
      <c r="GM253" s="357"/>
      <c r="GN253" s="357"/>
      <c r="GO253" s="357"/>
      <c r="GP253" s="357"/>
      <c r="GQ253" s="357"/>
      <c r="GR253" s="357"/>
      <c r="GS253" s="357"/>
      <c r="GT253" s="357"/>
      <c r="GU253" s="357"/>
      <c r="GV253" s="357"/>
      <c r="GW253" s="357"/>
      <c r="GX253" s="357"/>
      <c r="GY253" s="357"/>
      <c r="GZ253" s="357"/>
      <c r="HA253" s="357"/>
      <c r="HB253" s="357"/>
      <c r="HC253" s="357"/>
      <c r="HD253" s="357"/>
      <c r="HE253" s="357"/>
      <c r="HF253" s="357"/>
      <c r="HG253" s="357"/>
      <c r="HH253" s="357"/>
      <c r="HI253" s="357"/>
      <c r="HJ253" s="357"/>
      <c r="HK253" s="357"/>
      <c r="HL253" s="357"/>
      <c r="HM253" s="357"/>
      <c r="HN253" s="357"/>
      <c r="HO253" s="357"/>
      <c r="HP253" s="357"/>
      <c r="HQ253" s="357"/>
      <c r="HR253" s="357"/>
      <c r="HS253" s="357"/>
      <c r="HT253" s="357"/>
      <c r="HU253" s="357"/>
      <c r="HV253" s="357"/>
      <c r="HW253" s="357"/>
      <c r="HX253" s="357"/>
      <c r="HY253" s="357"/>
      <c r="HZ253" s="357"/>
      <c r="IA253" s="357"/>
      <c r="IB253" s="357"/>
      <c r="IC253" s="357"/>
      <c r="ID253" s="357"/>
      <c r="IE253" s="357"/>
      <c r="IF253" s="357"/>
      <c r="IG253" s="357"/>
      <c r="IH253" s="357"/>
      <c r="II253" s="357"/>
      <c r="IJ253" s="357"/>
      <c r="IK253" s="357"/>
      <c r="IL253" s="357"/>
      <c r="IM253" s="357"/>
      <c r="IN253" s="357"/>
      <c r="IO253" s="357"/>
      <c r="IP253" s="357"/>
      <c r="IQ253" s="357"/>
      <c r="IR253" s="357"/>
      <c r="IS253" s="357"/>
      <c r="IT253" s="357"/>
      <c r="IU253" s="357"/>
      <c r="IV253" s="357"/>
      <c r="IW253" s="357"/>
      <c r="IX253" s="357"/>
      <c r="IY253" s="357"/>
      <c r="IZ253" s="357"/>
      <c r="JA253" s="357"/>
      <c r="JB253" s="357"/>
      <c r="JC253" s="357"/>
      <c r="JD253" s="357"/>
      <c r="JE253" s="357"/>
      <c r="JF253" s="357"/>
      <c r="JG253" s="357"/>
      <c r="JH253" s="357"/>
      <c r="JI253" s="357"/>
      <c r="JJ253" s="357"/>
      <c r="JK253" s="357"/>
      <c r="JL253" s="357"/>
      <c r="JM253" s="357"/>
      <c r="JN253" s="357"/>
      <c r="JO253" s="357"/>
      <c r="JP253" s="357"/>
      <c r="JQ253" s="357"/>
      <c r="JR253" s="357"/>
      <c r="JS253" s="357"/>
      <c r="JT253" s="357"/>
      <c r="JU253" s="357"/>
      <c r="JV253" s="357"/>
      <c r="JW253" s="357"/>
      <c r="JX253" s="357"/>
      <c r="JY253" s="357"/>
      <c r="JZ253" s="357"/>
      <c r="KA253" s="357"/>
      <c r="KB253" s="357"/>
      <c r="KC253" s="357"/>
      <c r="KD253" s="357"/>
      <c r="KE253" s="357"/>
      <c r="KF253" s="357"/>
      <c r="KG253" s="357"/>
      <c r="KH253" s="357"/>
      <c r="KI253" s="357"/>
      <c r="KJ253" s="357"/>
      <c r="KK253" s="357"/>
      <c r="KL253" s="357"/>
      <c r="KM253" s="357"/>
      <c r="KN253" s="357"/>
      <c r="KO253" s="357"/>
      <c r="KP253" s="357"/>
      <c r="KQ253" s="357"/>
      <c r="KR253" s="357"/>
      <c r="KS253" s="357"/>
      <c r="KT253" s="357"/>
      <c r="KU253" s="357"/>
      <c r="KV253" s="357"/>
      <c r="KW253" s="357"/>
      <c r="KX253" s="357"/>
      <c r="KY253" s="357"/>
      <c r="KZ253" s="357"/>
      <c r="LA253" s="357"/>
      <c r="LB253" s="357"/>
      <c r="LC253" s="357"/>
      <c r="LD253" s="357"/>
      <c r="LE253" s="357"/>
      <c r="LF253" s="357"/>
      <c r="LG253" s="357"/>
      <c r="LH253" s="357"/>
      <c r="LI253" s="357"/>
      <c r="LJ253" s="357"/>
      <c r="LK253" s="357"/>
      <c r="LL253" s="357"/>
      <c r="LM253" s="357"/>
      <c r="LN253" s="357"/>
      <c r="LO253" s="357"/>
      <c r="LP253" s="357"/>
      <c r="LQ253" s="357"/>
      <c r="LR253" s="357"/>
      <c r="LS253" s="357"/>
      <c r="LT253" s="357"/>
      <c r="LU253" s="357"/>
      <c r="LV253" s="357"/>
      <c r="LW253" s="357"/>
      <c r="LX253" s="357"/>
      <c r="LY253" s="357"/>
      <c r="LZ253" s="357"/>
      <c r="MA253" s="357"/>
      <c r="MB253" s="357"/>
    </row>
    <row r="254" spans="1:340" s="358" customFormat="1" ht="23.1" customHeight="1">
      <c r="A254" s="2529"/>
      <c r="B254" s="1145"/>
      <c r="C254" s="470"/>
      <c r="D254" s="470"/>
      <c r="E254" s="1126"/>
      <c r="F254" s="598"/>
      <c r="G254" s="337"/>
      <c r="H254" s="338"/>
      <c r="I254" s="2357"/>
      <c r="J254" s="1903" t="s">
        <v>3251</v>
      </c>
      <c r="K254" s="807"/>
      <c r="L254" s="807"/>
      <c r="M254" s="807"/>
      <c r="N254" s="646"/>
      <c r="O254" s="646"/>
      <c r="P254" s="646"/>
      <c r="Q254" s="650"/>
      <c r="R254" s="2533"/>
      <c r="S254" s="1672">
        <v>1500000</v>
      </c>
      <c r="T254" s="1671" t="s">
        <v>3201</v>
      </c>
      <c r="U254" s="1671"/>
      <c r="V254" s="1671">
        <v>2</v>
      </c>
      <c r="W254" s="1671" t="s">
        <v>3252</v>
      </c>
      <c r="X254" s="397" t="s">
        <v>3212</v>
      </c>
      <c r="Y254" s="1674">
        <f t="shared" si="64"/>
        <v>3000</v>
      </c>
      <c r="Z254" s="407">
        <f t="shared" si="65"/>
        <v>3000000</v>
      </c>
      <c r="AB254" s="357"/>
      <c r="AD254" s="357"/>
      <c r="AE254" s="357"/>
      <c r="AF254" s="357"/>
      <c r="AG254" s="357"/>
      <c r="AH254" s="357"/>
      <c r="AI254" s="357"/>
      <c r="AJ254" s="357"/>
      <c r="AK254" s="357"/>
      <c r="AL254" s="357"/>
      <c r="AM254" s="357"/>
      <c r="AN254" s="357"/>
      <c r="AO254" s="357"/>
      <c r="AP254" s="357"/>
      <c r="AQ254" s="357"/>
      <c r="AR254" s="357"/>
      <c r="AS254" s="357"/>
      <c r="AT254" s="357"/>
      <c r="AU254" s="357"/>
      <c r="AV254" s="357"/>
      <c r="AW254" s="357"/>
      <c r="AX254" s="357"/>
      <c r="AY254" s="357"/>
      <c r="AZ254" s="357"/>
      <c r="BA254" s="357"/>
      <c r="BB254" s="357"/>
      <c r="BC254" s="357"/>
      <c r="BD254" s="357"/>
      <c r="BE254" s="357"/>
      <c r="BF254" s="357"/>
      <c r="BG254" s="357"/>
      <c r="BH254" s="357"/>
      <c r="BI254" s="357"/>
      <c r="BJ254" s="357"/>
      <c r="BK254" s="357"/>
      <c r="BL254" s="357"/>
      <c r="BM254" s="357"/>
      <c r="BN254" s="357"/>
      <c r="BO254" s="357"/>
      <c r="BP254" s="357"/>
      <c r="BQ254" s="357"/>
      <c r="BR254" s="357"/>
      <c r="BS254" s="357"/>
      <c r="BT254" s="357"/>
      <c r="BU254" s="357"/>
      <c r="BV254" s="357"/>
      <c r="BW254" s="357"/>
      <c r="BX254" s="357"/>
      <c r="BY254" s="357"/>
      <c r="BZ254" s="357"/>
      <c r="CA254" s="357"/>
      <c r="CB254" s="357"/>
      <c r="CC254" s="357"/>
      <c r="CD254" s="357"/>
      <c r="CE254" s="357"/>
      <c r="CF254" s="357"/>
      <c r="CG254" s="357"/>
      <c r="CH254" s="357"/>
      <c r="CI254" s="357"/>
      <c r="CJ254" s="357"/>
      <c r="CK254" s="357"/>
      <c r="CL254" s="357"/>
      <c r="CM254" s="357"/>
      <c r="CN254" s="357"/>
      <c r="CO254" s="357"/>
      <c r="CP254" s="357"/>
      <c r="CQ254" s="357"/>
      <c r="CR254" s="357"/>
      <c r="CS254" s="357"/>
      <c r="CT254" s="357"/>
      <c r="CU254" s="357"/>
      <c r="CV254" s="357"/>
      <c r="CW254" s="357"/>
      <c r="CX254" s="357"/>
      <c r="CY254" s="357"/>
      <c r="CZ254" s="357"/>
      <c r="DA254" s="357"/>
      <c r="DB254" s="357"/>
      <c r="DC254" s="357"/>
      <c r="DD254" s="357"/>
      <c r="DE254" s="357"/>
      <c r="DF254" s="357"/>
      <c r="DG254" s="357"/>
      <c r="DH254" s="357"/>
      <c r="DI254" s="357"/>
      <c r="DJ254" s="357"/>
      <c r="DK254" s="357"/>
      <c r="DL254" s="357"/>
      <c r="DM254" s="357"/>
      <c r="DN254" s="357"/>
      <c r="DO254" s="357"/>
      <c r="DP254" s="357"/>
      <c r="DQ254" s="357"/>
      <c r="DR254" s="357"/>
      <c r="DS254" s="357"/>
      <c r="DT254" s="357"/>
      <c r="DU254" s="357"/>
      <c r="DV254" s="357"/>
      <c r="DW254" s="357"/>
      <c r="DX254" s="357"/>
      <c r="DY254" s="357"/>
      <c r="DZ254" s="357"/>
      <c r="EA254" s="357"/>
      <c r="EB254" s="357"/>
      <c r="EC254" s="357"/>
      <c r="ED254" s="357"/>
      <c r="EE254" s="357"/>
      <c r="EF254" s="357"/>
      <c r="EG254" s="357"/>
      <c r="EH254" s="357"/>
      <c r="EI254" s="357"/>
      <c r="EJ254" s="357"/>
      <c r="EK254" s="357"/>
      <c r="EL254" s="357"/>
      <c r="EM254" s="357"/>
      <c r="EN254" s="357"/>
      <c r="EO254" s="357"/>
      <c r="EP254" s="357"/>
      <c r="EQ254" s="357"/>
      <c r="ER254" s="357"/>
      <c r="ES254" s="357"/>
      <c r="ET254" s="357"/>
      <c r="EU254" s="357"/>
      <c r="EV254" s="357"/>
      <c r="EW254" s="357"/>
      <c r="EX254" s="357"/>
      <c r="EY254" s="357"/>
      <c r="EZ254" s="357"/>
      <c r="FA254" s="357"/>
      <c r="FB254" s="357"/>
      <c r="FC254" s="357"/>
      <c r="FD254" s="357"/>
      <c r="FE254" s="357"/>
      <c r="FF254" s="357"/>
      <c r="FG254" s="357"/>
      <c r="FH254" s="357"/>
      <c r="FI254" s="357"/>
      <c r="FJ254" s="357"/>
      <c r="FK254" s="357"/>
      <c r="FL254" s="357"/>
      <c r="FM254" s="357"/>
      <c r="FN254" s="357"/>
      <c r="FO254" s="357"/>
      <c r="FP254" s="357"/>
      <c r="FQ254" s="357"/>
      <c r="FR254" s="357"/>
      <c r="FS254" s="357"/>
      <c r="FT254" s="357"/>
      <c r="FU254" s="357"/>
      <c r="FV254" s="357"/>
      <c r="FW254" s="357"/>
      <c r="FX254" s="357"/>
      <c r="FY254" s="357"/>
      <c r="FZ254" s="357"/>
      <c r="GA254" s="357"/>
      <c r="GB254" s="357"/>
      <c r="GC254" s="357"/>
      <c r="GD254" s="357"/>
      <c r="GE254" s="357"/>
      <c r="GF254" s="357"/>
      <c r="GG254" s="357"/>
      <c r="GH254" s="357"/>
      <c r="GI254" s="357"/>
      <c r="GJ254" s="357"/>
      <c r="GK254" s="357"/>
      <c r="GL254" s="357"/>
      <c r="GM254" s="357"/>
      <c r="GN254" s="357"/>
      <c r="GO254" s="357"/>
      <c r="GP254" s="357"/>
      <c r="GQ254" s="357"/>
      <c r="GR254" s="357"/>
      <c r="GS254" s="357"/>
      <c r="GT254" s="357"/>
      <c r="GU254" s="357"/>
      <c r="GV254" s="357"/>
      <c r="GW254" s="357"/>
      <c r="GX254" s="357"/>
      <c r="GY254" s="357"/>
      <c r="GZ254" s="357"/>
      <c r="HA254" s="357"/>
      <c r="HB254" s="357"/>
      <c r="HC254" s="357"/>
      <c r="HD254" s="357"/>
      <c r="HE254" s="357"/>
      <c r="HF254" s="357"/>
      <c r="HG254" s="357"/>
      <c r="HH254" s="357"/>
      <c r="HI254" s="357"/>
      <c r="HJ254" s="357"/>
      <c r="HK254" s="357"/>
      <c r="HL254" s="357"/>
      <c r="HM254" s="357"/>
      <c r="HN254" s="357"/>
      <c r="HO254" s="357"/>
      <c r="HP254" s="357"/>
      <c r="HQ254" s="357"/>
      <c r="HR254" s="357"/>
      <c r="HS254" s="357"/>
      <c r="HT254" s="357"/>
      <c r="HU254" s="357"/>
      <c r="HV254" s="357"/>
      <c r="HW254" s="357"/>
      <c r="HX254" s="357"/>
      <c r="HY254" s="357"/>
      <c r="HZ254" s="357"/>
      <c r="IA254" s="357"/>
      <c r="IB254" s="357"/>
      <c r="IC254" s="357"/>
      <c r="ID254" s="357"/>
      <c r="IE254" s="357"/>
      <c r="IF254" s="357"/>
      <c r="IG254" s="357"/>
      <c r="IH254" s="357"/>
      <c r="II254" s="357"/>
      <c r="IJ254" s="357"/>
      <c r="IK254" s="357"/>
      <c r="IL254" s="357"/>
      <c r="IM254" s="357"/>
      <c r="IN254" s="357"/>
      <c r="IO254" s="357"/>
      <c r="IP254" s="357"/>
      <c r="IQ254" s="357"/>
      <c r="IR254" s="357"/>
      <c r="IS254" s="357"/>
      <c r="IT254" s="357"/>
      <c r="IU254" s="357"/>
      <c r="IV254" s="357"/>
      <c r="IW254" s="357"/>
      <c r="IX254" s="357"/>
      <c r="IY254" s="357"/>
      <c r="IZ254" s="357"/>
      <c r="JA254" s="357"/>
      <c r="JB254" s="357"/>
      <c r="JC254" s="357"/>
      <c r="JD254" s="357"/>
      <c r="JE254" s="357"/>
      <c r="JF254" s="357"/>
      <c r="JG254" s="357"/>
      <c r="JH254" s="357"/>
      <c r="JI254" s="357"/>
      <c r="JJ254" s="357"/>
      <c r="JK254" s="357"/>
      <c r="JL254" s="357"/>
      <c r="JM254" s="357"/>
      <c r="JN254" s="357"/>
      <c r="JO254" s="357"/>
      <c r="JP254" s="357"/>
      <c r="JQ254" s="357"/>
      <c r="JR254" s="357"/>
      <c r="JS254" s="357"/>
      <c r="JT254" s="357"/>
      <c r="JU254" s="357"/>
      <c r="JV254" s="357"/>
      <c r="JW254" s="357"/>
      <c r="JX254" s="357"/>
      <c r="JY254" s="357"/>
      <c r="JZ254" s="357"/>
      <c r="KA254" s="357"/>
      <c r="KB254" s="357"/>
      <c r="KC254" s="357"/>
      <c r="KD254" s="357"/>
      <c r="KE254" s="357"/>
      <c r="KF254" s="357"/>
      <c r="KG254" s="357"/>
      <c r="KH254" s="357"/>
      <c r="KI254" s="357"/>
      <c r="KJ254" s="357"/>
      <c r="KK254" s="357"/>
      <c r="KL254" s="357"/>
      <c r="KM254" s="357"/>
      <c r="KN254" s="357"/>
      <c r="KO254" s="357"/>
      <c r="KP254" s="357"/>
      <c r="KQ254" s="357"/>
      <c r="KR254" s="357"/>
      <c r="KS254" s="357"/>
      <c r="KT254" s="357"/>
      <c r="KU254" s="357"/>
      <c r="KV254" s="357"/>
      <c r="KW254" s="357"/>
      <c r="KX254" s="357"/>
      <c r="KY254" s="357"/>
      <c r="KZ254" s="357"/>
      <c r="LA254" s="357"/>
      <c r="LB254" s="357"/>
      <c r="LC254" s="357"/>
      <c r="LD254" s="357"/>
      <c r="LE254" s="357"/>
      <c r="LF254" s="357"/>
      <c r="LG254" s="357"/>
      <c r="LH254" s="357"/>
      <c r="LI254" s="357"/>
      <c r="LJ254" s="357"/>
      <c r="LK254" s="357"/>
      <c r="LL254" s="357"/>
      <c r="LM254" s="357"/>
      <c r="LN254" s="357"/>
      <c r="LO254" s="357"/>
      <c r="LP254" s="357"/>
      <c r="LQ254" s="357"/>
      <c r="LR254" s="357"/>
      <c r="LS254" s="357"/>
      <c r="LT254" s="357"/>
      <c r="LU254" s="357"/>
      <c r="LV254" s="357"/>
      <c r="LW254" s="357"/>
      <c r="LX254" s="357"/>
      <c r="LY254" s="357"/>
      <c r="LZ254" s="357"/>
      <c r="MA254" s="357"/>
      <c r="MB254" s="357"/>
    </row>
    <row r="255" spans="1:340" s="358" customFormat="1" ht="23.1" customHeight="1">
      <c r="A255" s="2529"/>
      <c r="B255" s="1145"/>
      <c r="C255" s="470"/>
      <c r="D255" s="470"/>
      <c r="E255" s="1126"/>
      <c r="F255" s="598"/>
      <c r="G255" s="337"/>
      <c r="H255" s="338"/>
      <c r="I255" s="2357"/>
      <c r="J255" s="1903" t="s">
        <v>3253</v>
      </c>
      <c r="K255" s="807"/>
      <c r="L255" s="807"/>
      <c r="M255" s="807"/>
      <c r="N255" s="646"/>
      <c r="O255" s="646"/>
      <c r="P255" s="646"/>
      <c r="Q255" s="650"/>
      <c r="R255" s="2533"/>
      <c r="S255" s="1672">
        <v>50000</v>
      </c>
      <c r="T255" s="1671" t="s">
        <v>3201</v>
      </c>
      <c r="U255" s="1671"/>
      <c r="V255" s="1671">
        <v>60</v>
      </c>
      <c r="W255" s="1671" t="s">
        <v>3254</v>
      </c>
      <c r="X255" s="397" t="s">
        <v>3212</v>
      </c>
      <c r="Y255" s="1674">
        <f t="shared" si="64"/>
        <v>3000</v>
      </c>
      <c r="Z255" s="407">
        <f t="shared" si="65"/>
        <v>3000000</v>
      </c>
      <c r="AB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357"/>
      <c r="AN255" s="357"/>
      <c r="AO255" s="357"/>
      <c r="AP255" s="357"/>
      <c r="AQ255" s="357"/>
      <c r="AR255" s="357"/>
      <c r="AS255" s="357"/>
      <c r="AT255" s="357"/>
      <c r="AU255" s="357"/>
      <c r="AV255" s="357"/>
      <c r="AW255" s="357"/>
      <c r="AX255" s="357"/>
      <c r="AY255" s="357"/>
      <c r="AZ255" s="357"/>
      <c r="BA255" s="357"/>
      <c r="BB255" s="357"/>
      <c r="BC255" s="357"/>
      <c r="BD255" s="357"/>
      <c r="BE255" s="357"/>
      <c r="BF255" s="357"/>
      <c r="BG255" s="357"/>
      <c r="BH255" s="357"/>
      <c r="BI255" s="357"/>
      <c r="BJ255" s="357"/>
      <c r="BK255" s="357"/>
      <c r="BL255" s="357"/>
      <c r="BM255" s="357"/>
      <c r="BN255" s="357"/>
      <c r="BO255" s="357"/>
      <c r="BP255" s="357"/>
      <c r="BQ255" s="357"/>
      <c r="BR255" s="357"/>
      <c r="BS255" s="357"/>
      <c r="BT255" s="357"/>
      <c r="BU255" s="357"/>
      <c r="BV255" s="357"/>
      <c r="BW255" s="357"/>
      <c r="BX255" s="357"/>
      <c r="BY255" s="357"/>
      <c r="BZ255" s="357"/>
      <c r="CA255" s="357"/>
      <c r="CB255" s="357"/>
      <c r="CC255" s="357"/>
      <c r="CD255" s="357"/>
      <c r="CE255" s="357"/>
      <c r="CF255" s="357"/>
      <c r="CG255" s="357"/>
      <c r="CH255" s="357"/>
      <c r="CI255" s="357"/>
      <c r="CJ255" s="357"/>
      <c r="CK255" s="357"/>
      <c r="CL255" s="357"/>
      <c r="CM255" s="357"/>
      <c r="CN255" s="357"/>
      <c r="CO255" s="357"/>
      <c r="CP255" s="357"/>
      <c r="CQ255" s="357"/>
      <c r="CR255" s="357"/>
      <c r="CS255" s="357"/>
      <c r="CT255" s="357"/>
      <c r="CU255" s="357"/>
      <c r="CV255" s="357"/>
      <c r="CW255" s="357"/>
      <c r="CX255" s="357"/>
      <c r="CY255" s="357"/>
      <c r="CZ255" s="357"/>
      <c r="DA255" s="357"/>
      <c r="DB255" s="357"/>
      <c r="DC255" s="357"/>
      <c r="DD255" s="357"/>
      <c r="DE255" s="357"/>
      <c r="DF255" s="357"/>
      <c r="DG255" s="357"/>
      <c r="DH255" s="357"/>
      <c r="DI255" s="357"/>
      <c r="DJ255" s="357"/>
      <c r="DK255" s="357"/>
      <c r="DL255" s="357"/>
      <c r="DM255" s="357"/>
      <c r="DN255" s="357"/>
      <c r="DO255" s="357"/>
      <c r="DP255" s="357"/>
      <c r="DQ255" s="357"/>
      <c r="DR255" s="357"/>
      <c r="DS255" s="357"/>
      <c r="DT255" s="357"/>
      <c r="DU255" s="357"/>
      <c r="DV255" s="357"/>
      <c r="DW255" s="357"/>
      <c r="DX255" s="357"/>
      <c r="DY255" s="357"/>
      <c r="DZ255" s="357"/>
      <c r="EA255" s="357"/>
      <c r="EB255" s="357"/>
      <c r="EC255" s="357"/>
      <c r="ED255" s="357"/>
      <c r="EE255" s="357"/>
      <c r="EF255" s="357"/>
      <c r="EG255" s="357"/>
      <c r="EH255" s="357"/>
      <c r="EI255" s="357"/>
      <c r="EJ255" s="357"/>
      <c r="EK255" s="357"/>
      <c r="EL255" s="357"/>
      <c r="EM255" s="357"/>
      <c r="EN255" s="357"/>
      <c r="EO255" s="357"/>
      <c r="EP255" s="357"/>
      <c r="EQ255" s="357"/>
      <c r="ER255" s="357"/>
      <c r="ES255" s="357"/>
      <c r="ET255" s="357"/>
      <c r="EU255" s="357"/>
      <c r="EV255" s="357"/>
      <c r="EW255" s="357"/>
      <c r="EX255" s="357"/>
      <c r="EY255" s="357"/>
      <c r="EZ255" s="357"/>
      <c r="FA255" s="357"/>
      <c r="FB255" s="357"/>
      <c r="FC255" s="357"/>
      <c r="FD255" s="357"/>
      <c r="FE255" s="357"/>
      <c r="FF255" s="357"/>
      <c r="FG255" s="357"/>
      <c r="FH255" s="357"/>
      <c r="FI255" s="357"/>
      <c r="FJ255" s="357"/>
      <c r="FK255" s="357"/>
      <c r="FL255" s="357"/>
      <c r="FM255" s="357"/>
      <c r="FN255" s="357"/>
      <c r="FO255" s="357"/>
      <c r="FP255" s="357"/>
      <c r="FQ255" s="357"/>
      <c r="FR255" s="357"/>
      <c r="FS255" s="357"/>
      <c r="FT255" s="357"/>
      <c r="FU255" s="357"/>
      <c r="FV255" s="357"/>
      <c r="FW255" s="357"/>
      <c r="FX255" s="357"/>
      <c r="FY255" s="357"/>
      <c r="FZ255" s="357"/>
      <c r="GA255" s="357"/>
      <c r="GB255" s="357"/>
      <c r="GC255" s="357"/>
      <c r="GD255" s="357"/>
      <c r="GE255" s="357"/>
      <c r="GF255" s="357"/>
      <c r="GG255" s="357"/>
      <c r="GH255" s="357"/>
      <c r="GI255" s="357"/>
      <c r="GJ255" s="357"/>
      <c r="GK255" s="357"/>
      <c r="GL255" s="357"/>
      <c r="GM255" s="357"/>
      <c r="GN255" s="357"/>
      <c r="GO255" s="357"/>
      <c r="GP255" s="357"/>
      <c r="GQ255" s="357"/>
      <c r="GR255" s="357"/>
      <c r="GS255" s="357"/>
      <c r="GT255" s="357"/>
      <c r="GU255" s="357"/>
      <c r="GV255" s="357"/>
      <c r="GW255" s="357"/>
      <c r="GX255" s="357"/>
      <c r="GY255" s="357"/>
      <c r="GZ255" s="357"/>
      <c r="HA255" s="357"/>
      <c r="HB255" s="357"/>
      <c r="HC255" s="357"/>
      <c r="HD255" s="357"/>
      <c r="HE255" s="357"/>
      <c r="HF255" s="357"/>
      <c r="HG255" s="357"/>
      <c r="HH255" s="357"/>
      <c r="HI255" s="357"/>
      <c r="HJ255" s="357"/>
      <c r="HK255" s="357"/>
      <c r="HL255" s="357"/>
      <c r="HM255" s="357"/>
      <c r="HN255" s="357"/>
      <c r="HO255" s="357"/>
      <c r="HP255" s="357"/>
      <c r="HQ255" s="357"/>
      <c r="HR255" s="357"/>
      <c r="HS255" s="357"/>
      <c r="HT255" s="357"/>
      <c r="HU255" s="357"/>
      <c r="HV255" s="357"/>
      <c r="HW255" s="357"/>
      <c r="HX255" s="357"/>
      <c r="HY255" s="357"/>
      <c r="HZ255" s="357"/>
      <c r="IA255" s="357"/>
      <c r="IB255" s="357"/>
      <c r="IC255" s="357"/>
      <c r="ID255" s="357"/>
      <c r="IE255" s="357"/>
      <c r="IF255" s="357"/>
      <c r="IG255" s="357"/>
      <c r="IH255" s="357"/>
      <c r="II255" s="357"/>
      <c r="IJ255" s="357"/>
      <c r="IK255" s="357"/>
      <c r="IL255" s="357"/>
      <c r="IM255" s="357"/>
      <c r="IN255" s="357"/>
      <c r="IO255" s="357"/>
      <c r="IP255" s="357"/>
      <c r="IQ255" s="357"/>
      <c r="IR255" s="357"/>
      <c r="IS255" s="357"/>
      <c r="IT255" s="357"/>
      <c r="IU255" s="357"/>
      <c r="IV255" s="357"/>
      <c r="IW255" s="357"/>
      <c r="IX255" s="357"/>
      <c r="IY255" s="357"/>
      <c r="IZ255" s="357"/>
      <c r="JA255" s="357"/>
      <c r="JB255" s="357"/>
      <c r="JC255" s="357"/>
      <c r="JD255" s="357"/>
      <c r="JE255" s="357"/>
      <c r="JF255" s="357"/>
      <c r="JG255" s="357"/>
      <c r="JH255" s="357"/>
      <c r="JI255" s="357"/>
      <c r="JJ255" s="357"/>
      <c r="JK255" s="357"/>
      <c r="JL255" s="357"/>
      <c r="JM255" s="357"/>
      <c r="JN255" s="357"/>
      <c r="JO255" s="357"/>
      <c r="JP255" s="357"/>
      <c r="JQ255" s="357"/>
      <c r="JR255" s="357"/>
      <c r="JS255" s="357"/>
      <c r="JT255" s="357"/>
      <c r="JU255" s="357"/>
      <c r="JV255" s="357"/>
      <c r="JW255" s="357"/>
      <c r="JX255" s="357"/>
      <c r="JY255" s="357"/>
      <c r="JZ255" s="357"/>
      <c r="KA255" s="357"/>
      <c r="KB255" s="357"/>
      <c r="KC255" s="357"/>
      <c r="KD255" s="357"/>
      <c r="KE255" s="357"/>
      <c r="KF255" s="357"/>
      <c r="KG255" s="357"/>
      <c r="KH255" s="357"/>
      <c r="KI255" s="357"/>
      <c r="KJ255" s="357"/>
      <c r="KK255" s="357"/>
      <c r="KL255" s="357"/>
      <c r="KM255" s="357"/>
      <c r="KN255" s="357"/>
      <c r="KO255" s="357"/>
      <c r="KP255" s="357"/>
      <c r="KQ255" s="357"/>
      <c r="KR255" s="357"/>
      <c r="KS255" s="357"/>
      <c r="KT255" s="357"/>
      <c r="KU255" s="357"/>
      <c r="KV255" s="357"/>
      <c r="KW255" s="357"/>
      <c r="KX255" s="357"/>
      <c r="KY255" s="357"/>
      <c r="KZ255" s="357"/>
      <c r="LA255" s="357"/>
      <c r="LB255" s="357"/>
      <c r="LC255" s="357"/>
      <c r="LD255" s="357"/>
      <c r="LE255" s="357"/>
      <c r="LF255" s="357"/>
      <c r="LG255" s="357"/>
      <c r="LH255" s="357"/>
      <c r="LI255" s="357"/>
      <c r="LJ255" s="357"/>
      <c r="LK255" s="357"/>
      <c r="LL255" s="357"/>
      <c r="LM255" s="357"/>
      <c r="LN255" s="357"/>
      <c r="LO255" s="357"/>
      <c r="LP255" s="357"/>
      <c r="LQ255" s="357"/>
      <c r="LR255" s="357"/>
      <c r="LS255" s="357"/>
      <c r="LT255" s="357"/>
      <c r="LU255" s="357"/>
      <c r="LV255" s="357"/>
      <c r="LW255" s="357"/>
      <c r="LX255" s="357"/>
      <c r="LY255" s="357"/>
      <c r="LZ255" s="357"/>
      <c r="MA255" s="357"/>
      <c r="MB255" s="357"/>
    </row>
    <row r="256" spans="1:340" s="358" customFormat="1" ht="23.1" customHeight="1">
      <c r="A256" s="2529"/>
      <c r="B256" s="1145"/>
      <c r="C256" s="470"/>
      <c r="D256" s="470"/>
      <c r="E256" s="1126"/>
      <c r="F256" s="598"/>
      <c r="G256" s="337"/>
      <c r="H256" s="338"/>
      <c r="I256" s="2357"/>
      <c r="J256" s="1903" t="s">
        <v>3255</v>
      </c>
      <c r="K256" s="807"/>
      <c r="L256" s="807"/>
      <c r="M256" s="807"/>
      <c r="N256" s="646"/>
      <c r="O256" s="646"/>
      <c r="P256" s="646"/>
      <c r="Q256" s="1905"/>
      <c r="R256" s="2533"/>
      <c r="S256" s="1672">
        <v>10000000</v>
      </c>
      <c r="T256" s="1671" t="s">
        <v>3201</v>
      </c>
      <c r="U256" s="1671"/>
      <c r="V256" s="1671">
        <v>4</v>
      </c>
      <c r="W256" s="1671" t="s">
        <v>3231</v>
      </c>
      <c r="X256" s="397" t="s">
        <v>3212</v>
      </c>
      <c r="Y256" s="1674">
        <f t="shared" si="64"/>
        <v>40000</v>
      </c>
      <c r="Z256" s="407">
        <f t="shared" si="65"/>
        <v>40000000</v>
      </c>
      <c r="AB256" s="357"/>
      <c r="AD256" s="357"/>
      <c r="AE256" s="357"/>
      <c r="AF256" s="357"/>
      <c r="AG256" s="357"/>
      <c r="AH256" s="357"/>
      <c r="AI256" s="357"/>
      <c r="AJ256" s="357"/>
      <c r="AK256" s="357"/>
      <c r="AL256" s="357"/>
      <c r="AM256" s="357"/>
      <c r="AN256" s="357"/>
      <c r="AO256" s="357"/>
      <c r="AP256" s="357"/>
      <c r="AQ256" s="357"/>
      <c r="AR256" s="357"/>
      <c r="AS256" s="357"/>
      <c r="AT256" s="357"/>
      <c r="AU256" s="357"/>
      <c r="AV256" s="357"/>
      <c r="AW256" s="357"/>
      <c r="AX256" s="357"/>
      <c r="AY256" s="357"/>
      <c r="AZ256" s="357"/>
      <c r="BA256" s="357"/>
      <c r="BB256" s="357"/>
      <c r="BC256" s="357"/>
      <c r="BD256" s="357"/>
      <c r="BE256" s="357"/>
      <c r="BF256" s="357"/>
      <c r="BG256" s="357"/>
      <c r="BH256" s="357"/>
      <c r="BI256" s="357"/>
      <c r="BJ256" s="357"/>
      <c r="BK256" s="357"/>
      <c r="BL256" s="357"/>
      <c r="BM256" s="357"/>
      <c r="BN256" s="357"/>
      <c r="BO256" s="357"/>
      <c r="BP256" s="357"/>
      <c r="BQ256" s="357"/>
      <c r="BR256" s="357"/>
      <c r="BS256" s="357"/>
      <c r="BT256" s="357"/>
      <c r="BU256" s="357"/>
      <c r="BV256" s="357"/>
      <c r="BW256" s="357"/>
      <c r="BX256" s="357"/>
      <c r="BY256" s="357"/>
      <c r="BZ256" s="357"/>
      <c r="CA256" s="357"/>
      <c r="CB256" s="357"/>
      <c r="CC256" s="357"/>
      <c r="CD256" s="357"/>
      <c r="CE256" s="357"/>
      <c r="CF256" s="357"/>
      <c r="CG256" s="357"/>
      <c r="CH256" s="357"/>
      <c r="CI256" s="357"/>
      <c r="CJ256" s="357"/>
      <c r="CK256" s="357"/>
      <c r="CL256" s="357"/>
      <c r="CM256" s="357"/>
      <c r="CN256" s="357"/>
      <c r="CO256" s="357"/>
      <c r="CP256" s="357"/>
      <c r="CQ256" s="357"/>
      <c r="CR256" s="357"/>
      <c r="CS256" s="357"/>
      <c r="CT256" s="357"/>
      <c r="CU256" s="357"/>
      <c r="CV256" s="357"/>
      <c r="CW256" s="357"/>
      <c r="CX256" s="357"/>
      <c r="CY256" s="357"/>
      <c r="CZ256" s="357"/>
      <c r="DA256" s="357"/>
      <c r="DB256" s="357"/>
      <c r="DC256" s="357"/>
      <c r="DD256" s="357"/>
      <c r="DE256" s="357"/>
      <c r="DF256" s="357"/>
      <c r="DG256" s="357"/>
      <c r="DH256" s="357"/>
      <c r="DI256" s="357"/>
      <c r="DJ256" s="357"/>
      <c r="DK256" s="357"/>
      <c r="DL256" s="357"/>
      <c r="DM256" s="357"/>
      <c r="DN256" s="357"/>
      <c r="DO256" s="357"/>
      <c r="DP256" s="357"/>
      <c r="DQ256" s="357"/>
      <c r="DR256" s="357"/>
      <c r="DS256" s="357"/>
      <c r="DT256" s="357"/>
      <c r="DU256" s="357"/>
      <c r="DV256" s="357"/>
      <c r="DW256" s="357"/>
      <c r="DX256" s="357"/>
      <c r="DY256" s="357"/>
      <c r="DZ256" s="357"/>
      <c r="EA256" s="357"/>
      <c r="EB256" s="357"/>
      <c r="EC256" s="357"/>
      <c r="ED256" s="357"/>
      <c r="EE256" s="357"/>
      <c r="EF256" s="357"/>
      <c r="EG256" s="357"/>
      <c r="EH256" s="357"/>
      <c r="EI256" s="357"/>
      <c r="EJ256" s="357"/>
      <c r="EK256" s="357"/>
      <c r="EL256" s="357"/>
      <c r="EM256" s="357"/>
      <c r="EN256" s="357"/>
      <c r="EO256" s="357"/>
      <c r="EP256" s="357"/>
      <c r="EQ256" s="357"/>
      <c r="ER256" s="357"/>
      <c r="ES256" s="357"/>
      <c r="ET256" s="357"/>
      <c r="EU256" s="357"/>
      <c r="EV256" s="357"/>
      <c r="EW256" s="357"/>
      <c r="EX256" s="357"/>
      <c r="EY256" s="357"/>
      <c r="EZ256" s="357"/>
      <c r="FA256" s="357"/>
      <c r="FB256" s="357"/>
      <c r="FC256" s="357"/>
      <c r="FD256" s="357"/>
      <c r="FE256" s="357"/>
      <c r="FF256" s="357"/>
      <c r="FG256" s="357"/>
      <c r="FH256" s="357"/>
      <c r="FI256" s="357"/>
      <c r="FJ256" s="357"/>
      <c r="FK256" s="357"/>
      <c r="FL256" s="357"/>
      <c r="FM256" s="357"/>
      <c r="FN256" s="357"/>
      <c r="FO256" s="357"/>
      <c r="FP256" s="357"/>
      <c r="FQ256" s="357"/>
      <c r="FR256" s="357"/>
      <c r="FS256" s="357"/>
      <c r="FT256" s="357"/>
      <c r="FU256" s="357"/>
      <c r="FV256" s="357"/>
      <c r="FW256" s="357"/>
      <c r="FX256" s="357"/>
      <c r="FY256" s="357"/>
      <c r="FZ256" s="357"/>
      <c r="GA256" s="357"/>
      <c r="GB256" s="357"/>
      <c r="GC256" s="357"/>
      <c r="GD256" s="357"/>
      <c r="GE256" s="357"/>
      <c r="GF256" s="357"/>
      <c r="GG256" s="357"/>
      <c r="GH256" s="357"/>
      <c r="GI256" s="357"/>
      <c r="GJ256" s="357"/>
      <c r="GK256" s="357"/>
      <c r="GL256" s="357"/>
      <c r="GM256" s="357"/>
      <c r="GN256" s="357"/>
      <c r="GO256" s="357"/>
      <c r="GP256" s="357"/>
      <c r="GQ256" s="357"/>
      <c r="GR256" s="357"/>
      <c r="GS256" s="357"/>
      <c r="GT256" s="357"/>
      <c r="GU256" s="357"/>
      <c r="GV256" s="357"/>
      <c r="GW256" s="357"/>
      <c r="GX256" s="357"/>
      <c r="GY256" s="357"/>
      <c r="GZ256" s="357"/>
      <c r="HA256" s="357"/>
      <c r="HB256" s="357"/>
      <c r="HC256" s="357"/>
      <c r="HD256" s="357"/>
      <c r="HE256" s="357"/>
      <c r="HF256" s="357"/>
      <c r="HG256" s="357"/>
      <c r="HH256" s="357"/>
      <c r="HI256" s="357"/>
      <c r="HJ256" s="357"/>
      <c r="HK256" s="357"/>
      <c r="HL256" s="357"/>
      <c r="HM256" s="357"/>
      <c r="HN256" s="357"/>
      <c r="HO256" s="357"/>
      <c r="HP256" s="357"/>
      <c r="HQ256" s="357"/>
      <c r="HR256" s="357"/>
      <c r="HS256" s="357"/>
      <c r="HT256" s="357"/>
      <c r="HU256" s="357"/>
      <c r="HV256" s="357"/>
      <c r="HW256" s="357"/>
      <c r="HX256" s="357"/>
      <c r="HY256" s="357"/>
      <c r="HZ256" s="357"/>
      <c r="IA256" s="357"/>
      <c r="IB256" s="357"/>
      <c r="IC256" s="357"/>
      <c r="ID256" s="357"/>
      <c r="IE256" s="357"/>
      <c r="IF256" s="357"/>
      <c r="IG256" s="357"/>
      <c r="IH256" s="357"/>
      <c r="II256" s="357"/>
      <c r="IJ256" s="357"/>
      <c r="IK256" s="357"/>
      <c r="IL256" s="357"/>
      <c r="IM256" s="357"/>
      <c r="IN256" s="357"/>
      <c r="IO256" s="357"/>
      <c r="IP256" s="357"/>
      <c r="IQ256" s="357"/>
      <c r="IR256" s="357"/>
      <c r="IS256" s="357"/>
      <c r="IT256" s="357"/>
      <c r="IU256" s="357"/>
      <c r="IV256" s="357"/>
      <c r="IW256" s="357"/>
      <c r="IX256" s="357"/>
      <c r="IY256" s="357"/>
      <c r="IZ256" s="357"/>
      <c r="JA256" s="357"/>
      <c r="JB256" s="357"/>
      <c r="JC256" s="357"/>
      <c r="JD256" s="357"/>
      <c r="JE256" s="357"/>
      <c r="JF256" s="357"/>
      <c r="JG256" s="357"/>
      <c r="JH256" s="357"/>
      <c r="JI256" s="357"/>
      <c r="JJ256" s="357"/>
      <c r="JK256" s="357"/>
      <c r="JL256" s="357"/>
      <c r="JM256" s="357"/>
      <c r="JN256" s="357"/>
      <c r="JO256" s="357"/>
      <c r="JP256" s="357"/>
      <c r="JQ256" s="357"/>
      <c r="JR256" s="357"/>
      <c r="JS256" s="357"/>
      <c r="JT256" s="357"/>
      <c r="JU256" s="357"/>
      <c r="JV256" s="357"/>
      <c r="JW256" s="357"/>
      <c r="JX256" s="357"/>
      <c r="JY256" s="357"/>
      <c r="JZ256" s="357"/>
      <c r="KA256" s="357"/>
      <c r="KB256" s="357"/>
      <c r="KC256" s="357"/>
      <c r="KD256" s="357"/>
      <c r="KE256" s="357"/>
      <c r="KF256" s="357"/>
      <c r="KG256" s="357"/>
      <c r="KH256" s="357"/>
      <c r="KI256" s="357"/>
      <c r="KJ256" s="357"/>
      <c r="KK256" s="357"/>
      <c r="KL256" s="357"/>
      <c r="KM256" s="357"/>
      <c r="KN256" s="357"/>
      <c r="KO256" s="357"/>
      <c r="KP256" s="357"/>
      <c r="KQ256" s="357"/>
      <c r="KR256" s="357"/>
      <c r="KS256" s="357"/>
      <c r="KT256" s="357"/>
      <c r="KU256" s="357"/>
      <c r="KV256" s="357"/>
      <c r="KW256" s="357"/>
      <c r="KX256" s="357"/>
      <c r="KY256" s="357"/>
      <c r="KZ256" s="357"/>
      <c r="LA256" s="357"/>
      <c r="LB256" s="357"/>
      <c r="LC256" s="357"/>
      <c r="LD256" s="357"/>
      <c r="LE256" s="357"/>
      <c r="LF256" s="357"/>
      <c r="LG256" s="357"/>
      <c r="LH256" s="357"/>
      <c r="LI256" s="357"/>
      <c r="LJ256" s="357"/>
      <c r="LK256" s="357"/>
      <c r="LL256" s="357"/>
      <c r="LM256" s="357"/>
      <c r="LN256" s="357"/>
      <c r="LO256" s="357"/>
      <c r="LP256" s="357"/>
      <c r="LQ256" s="357"/>
      <c r="LR256" s="357"/>
      <c r="LS256" s="357"/>
      <c r="LT256" s="357"/>
      <c r="LU256" s="357"/>
      <c r="LV256" s="357"/>
      <c r="LW256" s="357"/>
      <c r="LX256" s="357"/>
      <c r="LY256" s="357"/>
      <c r="LZ256" s="357"/>
      <c r="MA256" s="357"/>
      <c r="MB256" s="357"/>
    </row>
    <row r="257" spans="1:28" ht="23.1" customHeight="1">
      <c r="A257" s="2529"/>
      <c r="B257" s="1145"/>
      <c r="C257" s="470"/>
      <c r="D257" s="470"/>
      <c r="E257" s="1126"/>
      <c r="F257" s="598"/>
      <c r="G257" s="337"/>
      <c r="H257" s="338"/>
      <c r="J257" s="1903" t="s">
        <v>3256</v>
      </c>
      <c r="K257" s="807"/>
      <c r="L257" s="807"/>
      <c r="M257" s="807"/>
      <c r="N257" s="646"/>
      <c r="O257" s="646"/>
      <c r="P257" s="646"/>
      <c r="Q257" s="650"/>
      <c r="R257" s="2533"/>
      <c r="S257" s="1672">
        <v>15000000</v>
      </c>
      <c r="T257" s="1671" t="s">
        <v>3201</v>
      </c>
      <c r="U257" s="1671"/>
      <c r="V257" s="1671">
        <v>2</v>
      </c>
      <c r="W257" s="1671" t="s">
        <v>3202</v>
      </c>
      <c r="X257" s="397" t="s">
        <v>3212</v>
      </c>
      <c r="Y257" s="1674">
        <f t="shared" si="64"/>
        <v>30000</v>
      </c>
      <c r="Z257" s="407">
        <f t="shared" si="65"/>
        <v>30000000</v>
      </c>
    </row>
    <row r="258" spans="1:28" ht="23.1" customHeight="1">
      <c r="A258" s="2529"/>
      <c r="B258" s="1145"/>
      <c r="C258" s="470"/>
      <c r="D258" s="470"/>
      <c r="E258" s="1126"/>
      <c r="F258" s="598"/>
      <c r="G258" s="337"/>
      <c r="H258" s="338"/>
      <c r="J258" s="1903" t="s">
        <v>3257</v>
      </c>
      <c r="K258" s="807"/>
      <c r="L258" s="807"/>
      <c r="M258" s="807"/>
      <c r="N258" s="646"/>
      <c r="O258" s="646"/>
      <c r="P258" s="646"/>
      <c r="Q258" s="650"/>
      <c r="R258" s="2533"/>
      <c r="S258" s="1672">
        <v>3000000</v>
      </c>
      <c r="T258" s="1671" t="s">
        <v>3201</v>
      </c>
      <c r="U258" s="1671"/>
      <c r="V258" s="1671">
        <v>6</v>
      </c>
      <c r="W258" s="1671" t="s">
        <v>3202</v>
      </c>
      <c r="X258" s="397" t="s">
        <v>3212</v>
      </c>
      <c r="Y258" s="1674">
        <f t="shared" si="64"/>
        <v>18000</v>
      </c>
      <c r="Z258" s="407">
        <f t="shared" si="65"/>
        <v>18000000</v>
      </c>
    </row>
    <row r="259" spans="1:28" ht="23.1" customHeight="1">
      <c r="A259" s="2529"/>
      <c r="B259" s="1145"/>
      <c r="C259" s="470"/>
      <c r="D259" s="470"/>
      <c r="E259" s="1126"/>
      <c r="F259" s="598"/>
      <c r="G259" s="337"/>
      <c r="H259" s="338"/>
      <c r="J259" s="1903" t="s">
        <v>3258</v>
      </c>
      <c r="K259" s="807"/>
      <c r="L259" s="807"/>
      <c r="M259" s="807"/>
      <c r="N259" s="646"/>
      <c r="O259" s="646"/>
      <c r="P259" s="646"/>
      <c r="Q259" s="650"/>
      <c r="R259" s="2533"/>
      <c r="S259" s="1672">
        <v>3000000</v>
      </c>
      <c r="T259" s="1671" t="s">
        <v>3201</v>
      </c>
      <c r="U259" s="1671"/>
      <c r="V259" s="1671">
        <v>3</v>
      </c>
      <c r="W259" s="1671" t="s">
        <v>6</v>
      </c>
      <c r="X259" s="397" t="s">
        <v>3212</v>
      </c>
      <c r="Y259" s="1674">
        <f t="shared" si="64"/>
        <v>9000</v>
      </c>
      <c r="Z259" s="407">
        <f t="shared" si="65"/>
        <v>9000000</v>
      </c>
    </row>
    <row r="260" spans="1:28" ht="23.1" customHeight="1">
      <c r="A260" s="2529"/>
      <c r="B260" s="1145"/>
      <c r="C260" s="470"/>
      <c r="D260" s="470"/>
      <c r="E260" s="1126" t="s">
        <v>3220</v>
      </c>
      <c r="F260" s="598">
        <f>SUM(Y260)</f>
        <v>16000</v>
      </c>
      <c r="G260" s="337">
        <v>16000</v>
      </c>
      <c r="H260" s="338"/>
      <c r="J260" s="1903" t="s">
        <v>3190</v>
      </c>
      <c r="K260" s="807"/>
      <c r="L260" s="807"/>
      <c r="M260" s="807"/>
      <c r="N260" s="646"/>
      <c r="O260" s="1905"/>
      <c r="P260" s="2533"/>
      <c r="Q260" s="1905"/>
      <c r="R260" s="2533"/>
      <c r="S260" s="1672"/>
      <c r="T260" s="1671"/>
      <c r="U260" s="1671"/>
      <c r="V260" s="1671"/>
      <c r="W260" s="1671"/>
      <c r="X260" s="397"/>
      <c r="Y260" s="1674">
        <f t="shared" si="64"/>
        <v>16000</v>
      </c>
      <c r="Z260" s="355">
        <f>+Z261+Z262</f>
        <v>16000000</v>
      </c>
    </row>
    <row r="261" spans="1:28" ht="23.1" customHeight="1">
      <c r="A261" s="2529"/>
      <c r="B261" s="1145"/>
      <c r="C261" s="470"/>
      <c r="D261" s="470"/>
      <c r="E261" s="1126"/>
      <c r="F261" s="598"/>
      <c r="G261" s="337"/>
      <c r="H261" s="338"/>
      <c r="J261" s="1903" t="s">
        <v>3259</v>
      </c>
      <c r="K261" s="807"/>
      <c r="L261" s="807"/>
      <c r="M261" s="807"/>
      <c r="N261" s="646"/>
      <c r="O261" s="1905"/>
      <c r="P261" s="2533"/>
      <c r="Q261" s="1905">
        <v>1</v>
      </c>
      <c r="R261" s="2533" t="s">
        <v>3260</v>
      </c>
      <c r="S261" s="1672">
        <v>500000</v>
      </c>
      <c r="T261" s="1671" t="s">
        <v>3201</v>
      </c>
      <c r="U261" s="1671"/>
      <c r="V261" s="1671">
        <v>2</v>
      </c>
      <c r="W261" s="1671" t="s">
        <v>3202</v>
      </c>
      <c r="X261" s="397" t="s">
        <v>3212</v>
      </c>
      <c r="Y261" s="1674">
        <f t="shared" si="64"/>
        <v>1000</v>
      </c>
      <c r="Z261" s="407">
        <f>Q261*S261*V261</f>
        <v>1000000</v>
      </c>
    </row>
    <row r="262" spans="1:28" ht="23.1" customHeight="1">
      <c r="A262" s="2529"/>
      <c r="B262" s="1145"/>
      <c r="C262" s="470"/>
      <c r="D262" s="470"/>
      <c r="E262" s="1126"/>
      <c r="F262" s="598"/>
      <c r="G262" s="337"/>
      <c r="H262" s="338"/>
      <c r="I262" s="2357" t="s">
        <v>3219</v>
      </c>
      <c r="J262" s="1903" t="s">
        <v>3261</v>
      </c>
      <c r="K262" s="807"/>
      <c r="L262" s="807"/>
      <c r="M262" s="807"/>
      <c r="N262" s="646"/>
      <c r="O262" s="1905"/>
      <c r="P262" s="2533"/>
      <c r="Q262" s="1905"/>
      <c r="R262" s="2533"/>
      <c r="S262" s="1672">
        <v>15000000</v>
      </c>
      <c r="T262" s="1671" t="s">
        <v>3201</v>
      </c>
      <c r="U262" s="1671"/>
      <c r="V262" s="1671">
        <v>1</v>
      </c>
      <c r="W262" s="1671" t="s">
        <v>3202</v>
      </c>
      <c r="X262" s="397" t="s">
        <v>1</v>
      </c>
      <c r="Y262" s="1674">
        <f t="shared" si="64"/>
        <v>15000</v>
      </c>
      <c r="Z262" s="407">
        <f>S262*V262</f>
        <v>15000000</v>
      </c>
    </row>
    <row r="263" spans="1:28" ht="23.1" customHeight="1">
      <c r="A263" s="2529"/>
      <c r="B263" s="1145"/>
      <c r="C263" s="470"/>
      <c r="D263" s="1126"/>
      <c r="E263" s="470" t="s">
        <v>3262</v>
      </c>
      <c r="F263" s="598">
        <f>SUM(Y263)</f>
        <v>1500</v>
      </c>
      <c r="G263" s="337">
        <v>1500</v>
      </c>
      <c r="H263" s="338"/>
      <c r="J263" s="1903" t="s">
        <v>304</v>
      </c>
      <c r="K263" s="807"/>
      <c r="L263" s="807"/>
      <c r="M263" s="807"/>
      <c r="N263" s="646"/>
      <c r="O263" s="646"/>
      <c r="P263" s="646"/>
      <c r="Q263" s="1905">
        <v>1000</v>
      </c>
      <c r="R263" s="2533" t="s">
        <v>124</v>
      </c>
      <c r="S263" s="1672">
        <v>1500</v>
      </c>
      <c r="T263" s="1671" t="s">
        <v>3201</v>
      </c>
      <c r="U263" s="1671"/>
      <c r="V263" s="1671">
        <v>1</v>
      </c>
      <c r="W263" s="1671" t="s">
        <v>3202</v>
      </c>
      <c r="X263" s="397" t="s">
        <v>3212</v>
      </c>
      <c r="Y263" s="1674">
        <f t="shared" si="64"/>
        <v>1500</v>
      </c>
      <c r="Z263" s="407">
        <f>Q263*S263*V263</f>
        <v>1500000</v>
      </c>
      <c r="AB263" s="370"/>
    </row>
    <row r="264" spans="1:28" ht="23.1" customHeight="1">
      <c r="A264" s="2529"/>
      <c r="B264" s="1145"/>
      <c r="C264" s="470"/>
      <c r="D264" s="1126"/>
      <c r="E264" s="1126" t="s">
        <v>3221</v>
      </c>
      <c r="F264" s="598">
        <f>SUM(Y264)</f>
        <v>5350</v>
      </c>
      <c r="G264" s="337">
        <v>5350</v>
      </c>
      <c r="H264" s="338"/>
      <c r="J264" s="1903" t="s">
        <v>3190</v>
      </c>
      <c r="K264" s="807"/>
      <c r="L264" s="807"/>
      <c r="M264" s="807"/>
      <c r="N264" s="646"/>
      <c r="O264" s="646"/>
      <c r="P264" s="646"/>
      <c r="Q264" s="1905"/>
      <c r="R264" s="2533"/>
      <c r="S264" s="1672"/>
      <c r="T264" s="1671"/>
      <c r="U264" s="1671"/>
      <c r="V264" s="1671"/>
      <c r="W264" s="1671"/>
      <c r="X264" s="397"/>
      <c r="Y264" s="1674">
        <f t="shared" si="64"/>
        <v>5350</v>
      </c>
      <c r="Z264" s="355">
        <f>+Z265+Z266</f>
        <v>5350000</v>
      </c>
    </row>
    <row r="265" spans="1:28" ht="23.1" customHeight="1">
      <c r="A265" s="2529"/>
      <c r="B265" s="1145"/>
      <c r="C265" s="2357"/>
      <c r="D265" s="1126"/>
      <c r="E265" s="470"/>
      <c r="F265" s="598"/>
      <c r="G265" s="337"/>
      <c r="H265" s="338"/>
      <c r="J265" s="1903" t="s">
        <v>3263</v>
      </c>
      <c r="K265" s="807"/>
      <c r="L265" s="807"/>
      <c r="M265" s="807"/>
      <c r="N265" s="646"/>
      <c r="O265" s="646"/>
      <c r="P265" s="646"/>
      <c r="Q265" s="1905">
        <v>500</v>
      </c>
      <c r="R265" s="2533" t="s">
        <v>3228</v>
      </c>
      <c r="S265" s="1672">
        <v>10000</v>
      </c>
      <c r="T265" s="1671" t="s">
        <v>3201</v>
      </c>
      <c r="U265" s="1671"/>
      <c r="V265" s="1671">
        <v>1</v>
      </c>
      <c r="W265" s="1671" t="s">
        <v>3202</v>
      </c>
      <c r="X265" s="397" t="s">
        <v>3212</v>
      </c>
      <c r="Y265" s="1674">
        <f t="shared" si="64"/>
        <v>5000</v>
      </c>
      <c r="Z265" s="407">
        <f>Q265*S265*V265</f>
        <v>5000000</v>
      </c>
    </row>
    <row r="266" spans="1:28" ht="23.1" customHeight="1">
      <c r="A266" s="2529"/>
      <c r="B266" s="1145"/>
      <c r="C266" s="2357"/>
      <c r="D266" s="1126"/>
      <c r="E266" s="470"/>
      <c r="F266" s="598"/>
      <c r="G266" s="337"/>
      <c r="H266" s="338"/>
      <c r="J266" s="1903" t="s">
        <v>3264</v>
      </c>
      <c r="K266" s="807"/>
      <c r="L266" s="807"/>
      <c r="M266" s="807"/>
      <c r="N266" s="646"/>
      <c r="O266" s="646"/>
      <c r="P266" s="646"/>
      <c r="Q266" s="1905">
        <v>35</v>
      </c>
      <c r="R266" s="2533" t="s">
        <v>3228</v>
      </c>
      <c r="S266" s="1672">
        <v>10000</v>
      </c>
      <c r="T266" s="1671" t="s">
        <v>3201</v>
      </c>
      <c r="U266" s="1671"/>
      <c r="V266" s="1671">
        <v>1</v>
      </c>
      <c r="W266" s="1671" t="s">
        <v>3202</v>
      </c>
      <c r="X266" s="397" t="s">
        <v>3212</v>
      </c>
      <c r="Y266" s="1674">
        <f t="shared" si="64"/>
        <v>350</v>
      </c>
      <c r="Z266" s="407">
        <f>Q266*S266*V266</f>
        <v>350000</v>
      </c>
    </row>
    <row r="267" spans="1:28" ht="23.1" customHeight="1">
      <c r="A267" s="2529"/>
      <c r="B267" s="1145"/>
      <c r="C267" s="2357"/>
      <c r="D267" s="359"/>
      <c r="E267" s="2535" t="s">
        <v>3265</v>
      </c>
      <c r="F267" s="597">
        <f>SUM(Y267)</f>
        <v>1200</v>
      </c>
      <c r="G267" s="360">
        <v>1200</v>
      </c>
      <c r="H267" s="361"/>
      <c r="J267" s="1906" t="s">
        <v>3266</v>
      </c>
      <c r="K267" s="1907"/>
      <c r="L267" s="1907"/>
      <c r="M267" s="1907"/>
      <c r="N267" s="1908"/>
      <c r="O267" s="1908"/>
      <c r="P267" s="1908"/>
      <c r="Q267" s="1909">
        <v>6</v>
      </c>
      <c r="R267" s="457" t="s">
        <v>3228</v>
      </c>
      <c r="S267" s="458">
        <v>10000</v>
      </c>
      <c r="T267" s="371" t="s">
        <v>3201</v>
      </c>
      <c r="U267" s="371"/>
      <c r="V267" s="371">
        <v>20</v>
      </c>
      <c r="W267" s="371" t="s">
        <v>3202</v>
      </c>
      <c r="X267" s="426" t="s">
        <v>3212</v>
      </c>
      <c r="Y267" s="1674">
        <f t="shared" si="64"/>
        <v>1200</v>
      </c>
      <c r="Z267" s="407">
        <f>Q267*S267*V267</f>
        <v>1200000</v>
      </c>
    </row>
    <row r="268" spans="1:28" ht="23.1" customHeight="1">
      <c r="A268" s="396"/>
      <c r="B268" s="2540"/>
      <c r="C268" s="413"/>
      <c r="D268" s="3275" t="s">
        <v>3330</v>
      </c>
      <c r="E268" s="3276"/>
      <c r="F268" s="1790">
        <f>SUM(F269:F297)</f>
        <v>300000</v>
      </c>
      <c r="G268" s="1790">
        <f>SUM(G269:G297)</f>
        <v>300000</v>
      </c>
      <c r="H268" s="468">
        <f>F268-G268</f>
        <v>0</v>
      </c>
      <c r="I268" s="2889"/>
      <c r="J268" s="830"/>
      <c r="K268" s="2883"/>
      <c r="L268" s="2883"/>
      <c r="M268" s="2883"/>
      <c r="N268" s="2883"/>
      <c r="O268" s="2883"/>
      <c r="P268" s="2883"/>
      <c r="Q268" s="456"/>
      <c r="R268" s="456"/>
      <c r="S268" s="456"/>
      <c r="T268" s="459"/>
      <c r="U268" s="459"/>
      <c r="V268" s="459"/>
      <c r="W268" s="459"/>
      <c r="X268" s="460"/>
      <c r="Y268" s="377"/>
      <c r="Z268" s="1448"/>
    </row>
    <row r="269" spans="1:28" ht="23.1" customHeight="1">
      <c r="A269" s="396"/>
      <c r="B269" s="2540"/>
      <c r="C269" s="413"/>
      <c r="D269" s="433"/>
      <c r="E269" s="434" t="s">
        <v>51</v>
      </c>
      <c r="F269" s="383">
        <f>Y269</f>
        <v>20000</v>
      </c>
      <c r="G269" s="1116">
        <v>20000</v>
      </c>
      <c r="H269" s="482"/>
      <c r="I269" s="2889"/>
      <c r="J269" s="2899" t="s">
        <v>3267</v>
      </c>
      <c r="K269" s="2900"/>
      <c r="L269" s="2889"/>
      <c r="M269" s="2889"/>
      <c r="N269" s="2889"/>
      <c r="O269" s="2889"/>
      <c r="P269" s="2889"/>
      <c r="Q269" s="408">
        <v>2000</v>
      </c>
      <c r="R269" s="2893" t="s">
        <v>2293</v>
      </c>
      <c r="S269" s="1672">
        <v>10000</v>
      </c>
      <c r="T269" s="2900" t="s">
        <v>0</v>
      </c>
      <c r="U269" s="2900"/>
      <c r="V269" s="2900">
        <v>1</v>
      </c>
      <c r="W269" s="2900" t="s">
        <v>3</v>
      </c>
      <c r="X269" s="1140" t="s">
        <v>1</v>
      </c>
      <c r="Y269" s="1674">
        <f t="shared" ref="Y269:Y294" si="66">Z269/1000</f>
        <v>20000</v>
      </c>
      <c r="Z269" s="407">
        <f>Q269*S269*V269</f>
        <v>20000000</v>
      </c>
    </row>
    <row r="270" spans="1:28" ht="23.1" customHeight="1">
      <c r="A270" s="396"/>
      <c r="B270" s="2540"/>
      <c r="C270" s="413"/>
      <c r="D270" s="402"/>
      <c r="E270" s="542" t="s">
        <v>834</v>
      </c>
      <c r="F270" s="383">
        <f>Y270</f>
        <v>3000</v>
      </c>
      <c r="G270" s="1116">
        <v>3000</v>
      </c>
      <c r="H270" s="482"/>
      <c r="I270" s="2889"/>
      <c r="J270" s="2899" t="s">
        <v>3348</v>
      </c>
      <c r="K270" s="2900"/>
      <c r="L270" s="2889"/>
      <c r="M270" s="2889"/>
      <c r="N270" s="1673"/>
      <c r="O270" s="2889"/>
      <c r="P270" s="2889"/>
      <c r="Q270" s="408"/>
      <c r="R270" s="2895"/>
      <c r="S270" s="1672">
        <v>3000000</v>
      </c>
      <c r="T270" s="2900" t="s">
        <v>0</v>
      </c>
      <c r="U270" s="2900"/>
      <c r="V270" s="2900">
        <v>1</v>
      </c>
      <c r="W270" s="2900" t="s">
        <v>3</v>
      </c>
      <c r="X270" s="1140" t="s">
        <v>1</v>
      </c>
      <c r="Y270" s="1674">
        <f>Z270/1000</f>
        <v>3000</v>
      </c>
      <c r="Z270" s="407">
        <f>S270*V270</f>
        <v>3000000</v>
      </c>
    </row>
    <row r="271" spans="1:28" ht="23.1" customHeight="1">
      <c r="A271" s="396"/>
      <c r="B271" s="2859"/>
      <c r="C271" s="413"/>
      <c r="D271" s="402"/>
      <c r="E271" s="542" t="s">
        <v>5178</v>
      </c>
      <c r="F271" s="383">
        <f>Y271</f>
        <v>1000</v>
      </c>
      <c r="G271" s="1116">
        <v>0</v>
      </c>
      <c r="H271" s="482">
        <f t="shared" ref="H271:H272" si="67">F271-G271</f>
        <v>1000</v>
      </c>
      <c r="I271" s="2889"/>
      <c r="J271" s="2899" t="s">
        <v>5213</v>
      </c>
      <c r="K271" s="2900"/>
      <c r="L271" s="2889"/>
      <c r="M271" s="2889"/>
      <c r="N271" s="1673"/>
      <c r="O271" s="2889"/>
      <c r="P271" s="2889"/>
      <c r="Q271" s="408">
        <v>2</v>
      </c>
      <c r="R271" s="2893" t="s">
        <v>718</v>
      </c>
      <c r="S271" s="1672">
        <v>250000</v>
      </c>
      <c r="T271" s="2900" t="s">
        <v>0</v>
      </c>
      <c r="U271" s="2900"/>
      <c r="V271" s="2900">
        <v>2</v>
      </c>
      <c r="W271" s="2900" t="s">
        <v>3</v>
      </c>
      <c r="X271" s="1140" t="s">
        <v>1</v>
      </c>
      <c r="Y271" s="1674">
        <f t="shared" ref="Y271:Y272" si="68">Z271/1000</f>
        <v>1000</v>
      </c>
      <c r="Z271" s="407">
        <f>Q271*S271*V271</f>
        <v>1000000</v>
      </c>
    </row>
    <row r="272" spans="1:28" ht="23.1" customHeight="1">
      <c r="A272" s="396"/>
      <c r="B272" s="2859"/>
      <c r="C272" s="413"/>
      <c r="D272" s="402"/>
      <c r="E272" s="542" t="s">
        <v>5179</v>
      </c>
      <c r="F272" s="383">
        <f>Y272</f>
        <v>1000</v>
      </c>
      <c r="G272" s="1116">
        <v>0</v>
      </c>
      <c r="H272" s="482">
        <f t="shared" si="67"/>
        <v>1000</v>
      </c>
      <c r="I272" s="2889"/>
      <c r="J272" s="2899" t="s">
        <v>5212</v>
      </c>
      <c r="K272" s="2900"/>
      <c r="L272" s="2889"/>
      <c r="M272" s="2889"/>
      <c r="N272" s="1673"/>
      <c r="O272" s="2889"/>
      <c r="P272" s="2889"/>
      <c r="Q272" s="408">
        <v>5</v>
      </c>
      <c r="R272" s="2893" t="s">
        <v>718</v>
      </c>
      <c r="S272" s="1672">
        <v>100000</v>
      </c>
      <c r="T272" s="2900" t="s">
        <v>0</v>
      </c>
      <c r="U272" s="2900"/>
      <c r="V272" s="2900">
        <v>2</v>
      </c>
      <c r="W272" s="2900" t="s">
        <v>3</v>
      </c>
      <c r="X272" s="1140" t="s">
        <v>1</v>
      </c>
      <c r="Y272" s="1674">
        <f t="shared" si="68"/>
        <v>1000</v>
      </c>
      <c r="Z272" s="407">
        <f>Q272*S272*V272</f>
        <v>1000000</v>
      </c>
    </row>
    <row r="273" spans="1:28" ht="23.1" customHeight="1">
      <c r="A273" s="396"/>
      <c r="B273" s="2859"/>
      <c r="C273" s="413"/>
      <c r="D273" s="433"/>
      <c r="E273" s="1134" t="s">
        <v>52</v>
      </c>
      <c r="F273" s="383">
        <f>Y273</f>
        <v>7000</v>
      </c>
      <c r="G273" s="1116">
        <v>5000</v>
      </c>
      <c r="H273" s="482">
        <f>F273-G273</f>
        <v>2000</v>
      </c>
      <c r="I273" s="2889"/>
      <c r="J273" s="2899" t="s">
        <v>8</v>
      </c>
      <c r="K273" s="2889"/>
      <c r="L273" s="2889"/>
      <c r="M273" s="2889"/>
      <c r="N273" s="2889"/>
      <c r="O273" s="2889"/>
      <c r="P273" s="2889"/>
      <c r="Q273" s="2889"/>
      <c r="R273" s="405"/>
      <c r="S273" s="2889"/>
      <c r="T273" s="2889"/>
      <c r="U273" s="2889"/>
      <c r="V273" s="2889"/>
      <c r="W273" s="2889"/>
      <c r="X273" s="1140"/>
      <c r="Y273" s="1674">
        <f t="shared" ref="Y273:Y275" si="69">Z273/1000</f>
        <v>7000</v>
      </c>
      <c r="Z273" s="407">
        <f>Z274+Z275</f>
        <v>7000000</v>
      </c>
    </row>
    <row r="274" spans="1:28" ht="23.1" customHeight="1">
      <c r="A274" s="396"/>
      <c r="B274" s="2859"/>
      <c r="C274" s="413"/>
      <c r="D274" s="433"/>
      <c r="E274" s="1134"/>
      <c r="F274" s="383"/>
      <c r="G274" s="1116"/>
      <c r="H274" s="482"/>
      <c r="I274" s="2889"/>
      <c r="J274" s="2899" t="s">
        <v>5175</v>
      </c>
      <c r="K274" s="2889"/>
      <c r="L274" s="2889"/>
      <c r="M274" s="2889"/>
      <c r="N274" s="2889"/>
      <c r="O274" s="2889"/>
      <c r="P274" s="2889"/>
      <c r="Q274" s="408">
        <v>5</v>
      </c>
      <c r="R274" s="2893" t="s">
        <v>5146</v>
      </c>
      <c r="S274" s="1672">
        <v>200000</v>
      </c>
      <c r="T274" s="2900" t="s">
        <v>0</v>
      </c>
      <c r="U274" s="2900"/>
      <c r="V274" s="2900">
        <v>3</v>
      </c>
      <c r="W274" s="2900" t="s">
        <v>3</v>
      </c>
      <c r="X274" s="1140" t="s">
        <v>1</v>
      </c>
      <c r="Y274" s="1674">
        <f t="shared" si="69"/>
        <v>3000</v>
      </c>
      <c r="Z274" s="407">
        <f>Q274*S274*V274</f>
        <v>3000000</v>
      </c>
    </row>
    <row r="275" spans="1:28" ht="23.1" customHeight="1">
      <c r="A275" s="396"/>
      <c r="B275" s="2540"/>
      <c r="C275" s="413"/>
      <c r="D275" s="433"/>
      <c r="E275" s="1134"/>
      <c r="F275" s="383"/>
      <c r="G275" s="1116"/>
      <c r="H275" s="482"/>
      <c r="I275" s="2889"/>
      <c r="J275" s="2899" t="s">
        <v>5176</v>
      </c>
      <c r="K275" s="2889"/>
      <c r="L275" s="2889"/>
      <c r="M275" s="2889"/>
      <c r="N275" s="2889"/>
      <c r="O275" s="2889"/>
      <c r="P275" s="2889"/>
      <c r="Q275" s="408">
        <v>400</v>
      </c>
      <c r="R275" s="2893" t="s">
        <v>5177</v>
      </c>
      <c r="S275" s="1672">
        <v>10000</v>
      </c>
      <c r="T275" s="2900" t="s">
        <v>0</v>
      </c>
      <c r="U275" s="2900"/>
      <c r="V275" s="2900">
        <v>1</v>
      </c>
      <c r="W275" s="2900" t="s">
        <v>3</v>
      </c>
      <c r="X275" s="1140" t="s">
        <v>1</v>
      </c>
      <c r="Y275" s="1674">
        <f t="shared" si="69"/>
        <v>4000</v>
      </c>
      <c r="Z275" s="407">
        <f>Q275*S275*V275</f>
        <v>4000000</v>
      </c>
    </row>
    <row r="276" spans="1:28" ht="23.1" customHeight="1">
      <c r="A276" s="396"/>
      <c r="B276" s="2540"/>
      <c r="C276" s="413"/>
      <c r="D276" s="402"/>
      <c r="E276" s="542" t="s">
        <v>631</v>
      </c>
      <c r="F276" s="383">
        <f>Y276</f>
        <v>248900</v>
      </c>
      <c r="G276" s="1116">
        <v>256500</v>
      </c>
      <c r="H276" s="482">
        <f>F276-G276</f>
        <v>-7600</v>
      </c>
      <c r="I276" s="2889"/>
      <c r="J276" s="2899" t="s">
        <v>8</v>
      </c>
      <c r="K276" s="2900"/>
      <c r="L276" s="2889"/>
      <c r="M276" s="2889"/>
      <c r="N276" s="1673"/>
      <c r="O276" s="2889"/>
      <c r="P276" s="2889"/>
      <c r="Q276" s="408"/>
      <c r="R276" s="2895"/>
      <c r="S276" s="1672"/>
      <c r="T276" s="2900"/>
      <c r="U276" s="2900"/>
      <c r="V276" s="2900"/>
      <c r="W276" s="2900"/>
      <c r="X276" s="1140"/>
      <c r="Y276" s="1674">
        <f t="shared" si="66"/>
        <v>248900</v>
      </c>
      <c r="Z276" s="407">
        <f>+Z277+Z278+Z279+Z280+Z281+Z282+Z283+Z284+Z285+Z286+Z287+Z288+Z289</f>
        <v>248900000</v>
      </c>
    </row>
    <row r="277" spans="1:28" ht="23.1" customHeight="1">
      <c r="A277" s="396"/>
      <c r="B277" s="2540"/>
      <c r="C277" s="413"/>
      <c r="D277" s="402"/>
      <c r="E277" s="542"/>
      <c r="F277" s="383"/>
      <c r="G277" s="1116"/>
      <c r="H277" s="482"/>
      <c r="I277" s="2889"/>
      <c r="J277" s="2899" t="s">
        <v>3268</v>
      </c>
      <c r="K277" s="2900"/>
      <c r="L277" s="2889"/>
      <c r="M277" s="2889"/>
      <c r="N277" s="1673"/>
      <c r="O277" s="2889"/>
      <c r="P277" s="2889"/>
      <c r="Q277" s="408"/>
      <c r="R277" s="2895"/>
      <c r="S277" s="1672">
        <v>30000000</v>
      </c>
      <c r="T277" s="2900" t="s">
        <v>0</v>
      </c>
      <c r="U277" s="2900"/>
      <c r="V277" s="2900">
        <v>1</v>
      </c>
      <c r="W277" s="2900" t="s">
        <v>3</v>
      </c>
      <c r="X277" s="1140" t="s">
        <v>1</v>
      </c>
      <c r="Y277" s="1674">
        <f t="shared" si="66"/>
        <v>30000</v>
      </c>
      <c r="Z277" s="407">
        <f t="shared" ref="Z277:Z290" si="70">S277*V277</f>
        <v>30000000</v>
      </c>
    </row>
    <row r="278" spans="1:28" ht="23.1" customHeight="1">
      <c r="A278" s="396"/>
      <c r="B278" s="2540"/>
      <c r="C278" s="413"/>
      <c r="D278" s="402"/>
      <c r="E278" s="542"/>
      <c r="F278" s="383"/>
      <c r="G278" s="1116"/>
      <c r="H278" s="482"/>
      <c r="I278" s="2889"/>
      <c r="J278" s="2899" t="s">
        <v>3269</v>
      </c>
      <c r="K278" s="2900"/>
      <c r="L278" s="2889"/>
      <c r="M278" s="2889"/>
      <c r="N278" s="1673"/>
      <c r="O278" s="2889"/>
      <c r="P278" s="2889"/>
      <c r="Q278" s="408"/>
      <c r="R278" s="2895"/>
      <c r="S278" s="1672">
        <v>29000000</v>
      </c>
      <c r="T278" s="2900" t="s">
        <v>0</v>
      </c>
      <c r="U278" s="2900"/>
      <c r="V278" s="2900">
        <v>1</v>
      </c>
      <c r="W278" s="2900" t="s">
        <v>3</v>
      </c>
      <c r="X278" s="1140" t="s">
        <v>1</v>
      </c>
      <c r="Y278" s="1674">
        <f t="shared" si="66"/>
        <v>29000</v>
      </c>
      <c r="Z278" s="407">
        <f t="shared" si="70"/>
        <v>29000000</v>
      </c>
    </row>
    <row r="279" spans="1:28" ht="23.1" customHeight="1">
      <c r="A279" s="396"/>
      <c r="B279" s="2540"/>
      <c r="C279" s="413"/>
      <c r="D279" s="402"/>
      <c r="E279" s="542"/>
      <c r="F279" s="383"/>
      <c r="G279" s="1116"/>
      <c r="H279" s="482"/>
      <c r="I279" s="2889"/>
      <c r="J279" s="2899" t="s">
        <v>3270</v>
      </c>
      <c r="K279" s="2900"/>
      <c r="L279" s="2889"/>
      <c r="M279" s="2889"/>
      <c r="N279" s="1673"/>
      <c r="O279" s="2889"/>
      <c r="P279" s="2889"/>
      <c r="Q279" s="408"/>
      <c r="R279" s="2895"/>
      <c r="S279" s="1672">
        <v>23900000</v>
      </c>
      <c r="T279" s="2900" t="s">
        <v>0</v>
      </c>
      <c r="U279" s="2900"/>
      <c r="V279" s="2900">
        <v>1</v>
      </c>
      <c r="W279" s="2900" t="s">
        <v>3</v>
      </c>
      <c r="X279" s="1140" t="s">
        <v>1</v>
      </c>
      <c r="Y279" s="1674">
        <f t="shared" si="66"/>
        <v>23900</v>
      </c>
      <c r="Z279" s="407">
        <f t="shared" si="70"/>
        <v>23900000</v>
      </c>
      <c r="AB279" s="357">
        <v>98600</v>
      </c>
    </row>
    <row r="280" spans="1:28" ht="23.1" customHeight="1">
      <c r="A280" s="396"/>
      <c r="B280" s="2540"/>
      <c r="C280" s="413"/>
      <c r="D280" s="402"/>
      <c r="E280" s="542"/>
      <c r="F280" s="383"/>
      <c r="G280" s="1116"/>
      <c r="H280" s="482"/>
      <c r="I280" s="2889"/>
      <c r="J280" s="2899" t="s">
        <v>3271</v>
      </c>
      <c r="K280" s="2900"/>
      <c r="L280" s="2889"/>
      <c r="M280" s="2889"/>
      <c r="N280" s="1673"/>
      <c r="O280" s="2889"/>
      <c r="P280" s="2889"/>
      <c r="Q280" s="408"/>
      <c r="R280" s="2895"/>
      <c r="S280" s="1672">
        <v>10000000</v>
      </c>
      <c r="T280" s="2900" t="s">
        <v>0</v>
      </c>
      <c r="U280" s="2900"/>
      <c r="V280" s="2900">
        <v>1</v>
      </c>
      <c r="W280" s="2900" t="s">
        <v>3</v>
      </c>
      <c r="X280" s="1140" t="s">
        <v>1</v>
      </c>
      <c r="Y280" s="1674">
        <f t="shared" si="66"/>
        <v>10000</v>
      </c>
      <c r="Z280" s="407">
        <f t="shared" si="70"/>
        <v>10000000</v>
      </c>
      <c r="AB280" s="357">
        <v>7600</v>
      </c>
    </row>
    <row r="281" spans="1:28" ht="23.1" customHeight="1">
      <c r="A281" s="396"/>
      <c r="B281" s="2540"/>
      <c r="C281" s="413"/>
      <c r="D281" s="402"/>
      <c r="E281" s="542"/>
      <c r="F281" s="383"/>
      <c r="G281" s="1116"/>
      <c r="H281" s="482"/>
      <c r="I281" s="2889"/>
      <c r="J281" s="2899" t="s">
        <v>3272</v>
      </c>
      <c r="K281" s="2900"/>
      <c r="L281" s="2889"/>
      <c r="M281" s="2889"/>
      <c r="N281" s="1673"/>
      <c r="O281" s="2889"/>
      <c r="P281" s="2889"/>
      <c r="Q281" s="408"/>
      <c r="R281" s="2895"/>
      <c r="S281" s="1672">
        <v>5000000</v>
      </c>
      <c r="T281" s="2900" t="s">
        <v>0</v>
      </c>
      <c r="U281" s="2900"/>
      <c r="V281" s="2900">
        <v>1</v>
      </c>
      <c r="W281" s="2900" t="s">
        <v>3</v>
      </c>
      <c r="X281" s="1140" t="s">
        <v>1</v>
      </c>
      <c r="Y281" s="1674">
        <f t="shared" si="66"/>
        <v>5000</v>
      </c>
      <c r="Z281" s="407">
        <f t="shared" si="70"/>
        <v>5000000</v>
      </c>
    </row>
    <row r="282" spans="1:28" ht="23.1" customHeight="1">
      <c r="A282" s="396"/>
      <c r="B282" s="2540"/>
      <c r="C282" s="413"/>
      <c r="D282" s="402"/>
      <c r="E282" s="542"/>
      <c r="F282" s="383"/>
      <c r="G282" s="1116"/>
      <c r="H282" s="482"/>
      <c r="I282" s="2889"/>
      <c r="J282" s="2899" t="s">
        <v>3273</v>
      </c>
      <c r="K282" s="2900"/>
      <c r="L282" s="2889"/>
      <c r="M282" s="2889"/>
      <c r="N282" s="1673"/>
      <c r="O282" s="2889"/>
      <c r="P282" s="2889"/>
      <c r="Q282" s="408"/>
      <c r="R282" s="2895"/>
      <c r="S282" s="1672">
        <v>3000000</v>
      </c>
      <c r="T282" s="2900" t="s">
        <v>0</v>
      </c>
      <c r="U282" s="2900"/>
      <c r="V282" s="2900">
        <v>1</v>
      </c>
      <c r="W282" s="2900" t="s">
        <v>3</v>
      </c>
      <c r="X282" s="1140" t="s">
        <v>1</v>
      </c>
      <c r="Y282" s="1674">
        <f t="shared" si="66"/>
        <v>3000</v>
      </c>
      <c r="Z282" s="407">
        <f t="shared" si="70"/>
        <v>3000000</v>
      </c>
    </row>
    <row r="283" spans="1:28" ht="23.1" customHeight="1">
      <c r="A283" s="396"/>
      <c r="B283" s="2540"/>
      <c r="C283" s="413"/>
      <c r="D283" s="402"/>
      <c r="E283" s="542"/>
      <c r="F283" s="383"/>
      <c r="G283" s="1116"/>
      <c r="H283" s="482"/>
      <c r="I283" s="2889"/>
      <c r="J283" s="2899" t="s">
        <v>3274</v>
      </c>
      <c r="K283" s="2900"/>
      <c r="L283" s="2889"/>
      <c r="M283" s="2889"/>
      <c r="N283" s="1673"/>
      <c r="O283" s="2889"/>
      <c r="P283" s="2889"/>
      <c r="Q283" s="408"/>
      <c r="R283" s="2895"/>
      <c r="S283" s="1672">
        <v>5000000</v>
      </c>
      <c r="T283" s="2900" t="s">
        <v>0</v>
      </c>
      <c r="U283" s="2900"/>
      <c r="V283" s="2900">
        <v>1</v>
      </c>
      <c r="W283" s="2900" t="s">
        <v>3</v>
      </c>
      <c r="X283" s="1140" t="s">
        <v>1</v>
      </c>
      <c r="Y283" s="1674">
        <f t="shared" si="66"/>
        <v>5000</v>
      </c>
      <c r="Z283" s="407">
        <f t="shared" si="70"/>
        <v>5000000</v>
      </c>
    </row>
    <row r="284" spans="1:28" ht="23.1" customHeight="1">
      <c r="A284" s="396"/>
      <c r="B284" s="2540"/>
      <c r="C284" s="413"/>
      <c r="D284" s="402"/>
      <c r="E284" s="542"/>
      <c r="F284" s="383"/>
      <c r="G284" s="1116"/>
      <c r="H284" s="482"/>
      <c r="I284" s="2889"/>
      <c r="J284" s="2899" t="s">
        <v>3275</v>
      </c>
      <c r="K284" s="2900"/>
      <c r="L284" s="2889"/>
      <c r="M284" s="2889"/>
      <c r="N284" s="1673"/>
      <c r="O284" s="2889"/>
      <c r="P284" s="2889"/>
      <c r="Q284" s="408"/>
      <c r="R284" s="2895"/>
      <c r="S284" s="1672">
        <v>50000000</v>
      </c>
      <c r="T284" s="2900" t="s">
        <v>0</v>
      </c>
      <c r="U284" s="2900"/>
      <c r="V284" s="2900">
        <v>1</v>
      </c>
      <c r="W284" s="2900" t="s">
        <v>3</v>
      </c>
      <c r="X284" s="1140" t="s">
        <v>1</v>
      </c>
      <c r="Y284" s="1674">
        <f t="shared" si="66"/>
        <v>50000</v>
      </c>
      <c r="Z284" s="407">
        <f t="shared" si="70"/>
        <v>50000000</v>
      </c>
    </row>
    <row r="285" spans="1:28" ht="23.1" customHeight="1">
      <c r="A285" s="396"/>
      <c r="B285" s="2540"/>
      <c r="C285" s="413"/>
      <c r="D285" s="402"/>
      <c r="E285" s="542"/>
      <c r="F285" s="383"/>
      <c r="G285" s="1116"/>
      <c r="H285" s="482"/>
      <c r="I285" s="2889"/>
      <c r="J285" s="2899" t="s">
        <v>4803</v>
      </c>
      <c r="K285" s="2900"/>
      <c r="L285" s="2889"/>
      <c r="M285" s="2889"/>
      <c r="N285" s="1673"/>
      <c r="O285" s="2889"/>
      <c r="P285" s="2889"/>
      <c r="Q285" s="408"/>
      <c r="R285" s="2895"/>
      <c r="S285" s="1672">
        <v>10000000</v>
      </c>
      <c r="T285" s="2900" t="s">
        <v>0</v>
      </c>
      <c r="U285" s="2900"/>
      <c r="V285" s="2900">
        <v>1</v>
      </c>
      <c r="W285" s="2900" t="s">
        <v>3</v>
      </c>
      <c r="X285" s="1140" t="s">
        <v>1</v>
      </c>
      <c r="Y285" s="1674">
        <f t="shared" si="66"/>
        <v>10000</v>
      </c>
      <c r="Z285" s="407">
        <f t="shared" si="70"/>
        <v>10000000</v>
      </c>
    </row>
    <row r="286" spans="1:28" ht="23.1" customHeight="1">
      <c r="A286" s="396"/>
      <c r="B286" s="2540"/>
      <c r="C286" s="413"/>
      <c r="D286" s="402"/>
      <c r="E286" s="542"/>
      <c r="F286" s="383"/>
      <c r="G286" s="1116"/>
      <c r="H286" s="482"/>
      <c r="I286" s="2889"/>
      <c r="J286" s="2899" t="s">
        <v>3276</v>
      </c>
      <c r="K286" s="2900"/>
      <c r="L286" s="2889"/>
      <c r="M286" s="2889"/>
      <c r="N286" s="1673"/>
      <c r="O286" s="2889"/>
      <c r="P286" s="2889"/>
      <c r="Q286" s="408"/>
      <c r="R286" s="2895"/>
      <c r="S286" s="1672">
        <v>21000000</v>
      </c>
      <c r="T286" s="2900" t="s">
        <v>0</v>
      </c>
      <c r="U286" s="2900"/>
      <c r="V286" s="2900">
        <v>1</v>
      </c>
      <c r="W286" s="2900" t="s">
        <v>3</v>
      </c>
      <c r="X286" s="1140" t="s">
        <v>1</v>
      </c>
      <c r="Y286" s="1674">
        <f t="shared" si="66"/>
        <v>21000</v>
      </c>
      <c r="Z286" s="407">
        <f t="shared" si="70"/>
        <v>21000000</v>
      </c>
    </row>
    <row r="287" spans="1:28" ht="23.1" customHeight="1">
      <c r="A287" s="396"/>
      <c r="B287" s="2540"/>
      <c r="C287" s="413"/>
      <c r="D287" s="402"/>
      <c r="E287" s="542"/>
      <c r="F287" s="383"/>
      <c r="G287" s="1116"/>
      <c r="H287" s="482"/>
      <c r="I287" s="2889"/>
      <c r="J287" s="2899" t="s">
        <v>3277</v>
      </c>
      <c r="K287" s="2900"/>
      <c r="L287" s="2889"/>
      <c r="M287" s="2889"/>
      <c r="N287" s="1673"/>
      <c r="O287" s="2889"/>
      <c r="P287" s="2889"/>
      <c r="Q287" s="408"/>
      <c r="R287" s="2895"/>
      <c r="S287" s="1672">
        <v>35000000</v>
      </c>
      <c r="T287" s="2900" t="s">
        <v>0</v>
      </c>
      <c r="U287" s="2900"/>
      <c r="V287" s="2900">
        <v>1</v>
      </c>
      <c r="W287" s="2900" t="s">
        <v>3</v>
      </c>
      <c r="X287" s="1140" t="s">
        <v>1</v>
      </c>
      <c r="Y287" s="1674">
        <f t="shared" si="66"/>
        <v>35000</v>
      </c>
      <c r="Z287" s="407">
        <f t="shared" si="70"/>
        <v>35000000</v>
      </c>
    </row>
    <row r="288" spans="1:28" ht="23.1" customHeight="1">
      <c r="A288" s="396"/>
      <c r="B288" s="2540"/>
      <c r="C288" s="413"/>
      <c r="D288" s="402"/>
      <c r="E288" s="542"/>
      <c r="F288" s="383"/>
      <c r="G288" s="1116"/>
      <c r="H288" s="482"/>
      <c r="I288" s="2889"/>
      <c r="J288" s="2899" t="s">
        <v>3278</v>
      </c>
      <c r="K288" s="2900"/>
      <c r="L288" s="2889"/>
      <c r="M288" s="2889"/>
      <c r="N288" s="1673"/>
      <c r="O288" s="2889"/>
      <c r="P288" s="2889"/>
      <c r="Q288" s="408"/>
      <c r="R288" s="2895"/>
      <c r="S288" s="1672">
        <v>15000000</v>
      </c>
      <c r="T288" s="2900" t="s">
        <v>0</v>
      </c>
      <c r="U288" s="2900"/>
      <c r="V288" s="2900">
        <v>1</v>
      </c>
      <c r="W288" s="2900" t="s">
        <v>3</v>
      </c>
      <c r="X288" s="1140" t="s">
        <v>1</v>
      </c>
      <c r="Y288" s="1674">
        <f t="shared" si="66"/>
        <v>15000</v>
      </c>
      <c r="Z288" s="407">
        <f t="shared" si="70"/>
        <v>15000000</v>
      </c>
    </row>
    <row r="289" spans="1:26" ht="23.1" customHeight="1">
      <c r="A289" s="396"/>
      <c r="B289" s="2540"/>
      <c r="C289" s="413"/>
      <c r="D289" s="402"/>
      <c r="E289" s="542"/>
      <c r="F289" s="383"/>
      <c r="G289" s="1116"/>
      <c r="H289" s="482"/>
      <c r="I289" s="2889"/>
      <c r="J289" s="2899" t="s">
        <v>3279</v>
      </c>
      <c r="K289" s="2900"/>
      <c r="L289" s="2889"/>
      <c r="M289" s="2889"/>
      <c r="N289" s="1673"/>
      <c r="O289" s="2889"/>
      <c r="P289" s="2889"/>
      <c r="Q289" s="408"/>
      <c r="R289" s="2895"/>
      <c r="S289" s="1672">
        <v>12000000</v>
      </c>
      <c r="T289" s="2900" t="s">
        <v>0</v>
      </c>
      <c r="U289" s="2900"/>
      <c r="V289" s="2900">
        <v>1</v>
      </c>
      <c r="W289" s="2900" t="s">
        <v>3</v>
      </c>
      <c r="X289" s="1140" t="s">
        <v>1</v>
      </c>
      <c r="Y289" s="1674">
        <f t="shared" si="66"/>
        <v>12000</v>
      </c>
      <c r="Z289" s="407">
        <f t="shared" si="70"/>
        <v>12000000</v>
      </c>
    </row>
    <row r="290" spans="1:26" ht="23.1" customHeight="1">
      <c r="A290" s="396"/>
      <c r="B290" s="2540"/>
      <c r="C290" s="413"/>
      <c r="D290" s="402"/>
      <c r="E290" s="542" t="s">
        <v>1059</v>
      </c>
      <c r="F290" s="383">
        <f>Y290</f>
        <v>5600</v>
      </c>
      <c r="G290" s="1116">
        <v>2000</v>
      </c>
      <c r="H290" s="482">
        <f>F290-G290</f>
        <v>3600</v>
      </c>
      <c r="I290" s="2889"/>
      <c r="J290" s="2899" t="s">
        <v>5211</v>
      </c>
      <c r="K290" s="2900"/>
      <c r="L290" s="2889"/>
      <c r="M290" s="2889"/>
      <c r="N290" s="1673"/>
      <c r="O290" s="2889"/>
      <c r="P290" s="2889"/>
      <c r="Q290" s="408"/>
      <c r="R290" s="2895"/>
      <c r="S290" s="1672">
        <v>5600000</v>
      </c>
      <c r="T290" s="2900" t="s">
        <v>5096</v>
      </c>
      <c r="U290" s="2900"/>
      <c r="V290" s="2900">
        <v>1</v>
      </c>
      <c r="W290" s="2900" t="s">
        <v>5110</v>
      </c>
      <c r="X290" s="1140" t="s">
        <v>5098</v>
      </c>
      <c r="Y290" s="1674">
        <f t="shared" si="66"/>
        <v>5600</v>
      </c>
      <c r="Z290" s="407">
        <f t="shared" si="70"/>
        <v>5600000</v>
      </c>
    </row>
    <row r="291" spans="1:26" ht="23.1" customHeight="1">
      <c r="A291" s="396"/>
      <c r="B291" s="2540"/>
      <c r="C291" s="413"/>
      <c r="D291" s="433"/>
      <c r="E291" s="1134" t="s">
        <v>1276</v>
      </c>
      <c r="F291" s="383">
        <f>Y291</f>
        <v>1500</v>
      </c>
      <c r="G291" s="1116">
        <v>1500</v>
      </c>
      <c r="H291" s="482"/>
      <c r="I291" s="2889"/>
      <c r="J291" s="2899" t="s">
        <v>3280</v>
      </c>
      <c r="K291" s="2900"/>
      <c r="L291" s="2889"/>
      <c r="M291" s="2889"/>
      <c r="N291" s="2889"/>
      <c r="O291" s="2889"/>
      <c r="P291" s="2889"/>
      <c r="Q291" s="408">
        <v>1500</v>
      </c>
      <c r="R291" s="2893" t="s">
        <v>2293</v>
      </c>
      <c r="S291" s="1672">
        <v>1000</v>
      </c>
      <c r="T291" s="2900" t="s">
        <v>0</v>
      </c>
      <c r="U291" s="2900"/>
      <c r="V291" s="2900">
        <v>1</v>
      </c>
      <c r="W291" s="2900" t="s">
        <v>3</v>
      </c>
      <c r="X291" s="1140" t="s">
        <v>1</v>
      </c>
      <c r="Y291" s="1674">
        <f t="shared" si="66"/>
        <v>1500</v>
      </c>
      <c r="Z291" s="407">
        <f>Q291*S291*V291</f>
        <v>1500000</v>
      </c>
    </row>
    <row r="292" spans="1:26" ht="23.1" customHeight="1">
      <c r="A292" s="396"/>
      <c r="B292" s="2540"/>
      <c r="C292" s="413"/>
      <c r="D292" s="402"/>
      <c r="E292" s="1134" t="s">
        <v>56</v>
      </c>
      <c r="F292" s="383">
        <f>Y292</f>
        <v>9000</v>
      </c>
      <c r="G292" s="1116">
        <v>9000</v>
      </c>
      <c r="H292" s="482"/>
      <c r="I292" s="2889"/>
      <c r="J292" s="2899" t="s">
        <v>895</v>
      </c>
      <c r="K292" s="2900"/>
      <c r="L292" s="2889"/>
      <c r="M292" s="2889"/>
      <c r="N292" s="1673"/>
      <c r="O292" s="2889"/>
      <c r="P292" s="2889"/>
      <c r="Q292" s="408"/>
      <c r="R292" s="2895"/>
      <c r="S292" s="1672"/>
      <c r="T292" s="2900"/>
      <c r="U292" s="2900"/>
      <c r="V292" s="2900"/>
      <c r="W292" s="2900"/>
      <c r="X292" s="1140"/>
      <c r="Y292" s="1674">
        <f t="shared" si="66"/>
        <v>9000</v>
      </c>
      <c r="Z292" s="407">
        <f>+Z293+Z294</f>
        <v>9000000</v>
      </c>
    </row>
    <row r="293" spans="1:26" ht="23.1" customHeight="1">
      <c r="A293" s="396"/>
      <c r="B293" s="2859"/>
      <c r="C293" s="2859"/>
      <c r="D293" s="402"/>
      <c r="E293" s="1134"/>
      <c r="F293" s="383"/>
      <c r="G293" s="1116"/>
      <c r="H293" s="482"/>
      <c r="I293" s="2889"/>
      <c r="J293" s="2899" t="s">
        <v>3281</v>
      </c>
      <c r="K293" s="2900"/>
      <c r="L293" s="2889"/>
      <c r="M293" s="2889"/>
      <c r="N293" s="1673"/>
      <c r="O293" s="2889"/>
      <c r="P293" s="2889"/>
      <c r="Q293" s="408"/>
      <c r="R293" s="2895"/>
      <c r="S293" s="1672">
        <v>4000000</v>
      </c>
      <c r="T293" s="2900" t="s">
        <v>0</v>
      </c>
      <c r="U293" s="2900"/>
      <c r="V293" s="2900">
        <v>1</v>
      </c>
      <c r="W293" s="2900" t="s">
        <v>3</v>
      </c>
      <c r="X293" s="1140" t="s">
        <v>1</v>
      </c>
      <c r="Y293" s="1674">
        <f t="shared" si="66"/>
        <v>4000</v>
      </c>
      <c r="Z293" s="407">
        <f>S293*V293</f>
        <v>4000000</v>
      </c>
    </row>
    <row r="294" spans="1:26" ht="23.1" customHeight="1">
      <c r="A294" s="396"/>
      <c r="B294" s="2859"/>
      <c r="C294" s="2859"/>
      <c r="D294" s="402"/>
      <c r="E294" s="1134"/>
      <c r="F294" s="383"/>
      <c r="G294" s="1116"/>
      <c r="H294" s="482"/>
      <c r="I294" s="2889"/>
      <c r="J294" s="2899" t="s">
        <v>3282</v>
      </c>
      <c r="K294" s="2900"/>
      <c r="L294" s="2889"/>
      <c r="M294" s="2889"/>
      <c r="N294" s="1673"/>
      <c r="O294" s="2889"/>
      <c r="P294" s="2889"/>
      <c r="Q294" s="408"/>
      <c r="R294" s="2895"/>
      <c r="S294" s="1672">
        <v>1000000</v>
      </c>
      <c r="T294" s="2900" t="s">
        <v>0</v>
      </c>
      <c r="U294" s="2900"/>
      <c r="V294" s="2900">
        <v>5</v>
      </c>
      <c r="W294" s="2900" t="s">
        <v>3</v>
      </c>
      <c r="X294" s="1140" t="s">
        <v>1</v>
      </c>
      <c r="Y294" s="1674">
        <f t="shared" si="66"/>
        <v>5000</v>
      </c>
      <c r="Z294" s="407">
        <f>S294*V294</f>
        <v>5000000</v>
      </c>
    </row>
    <row r="295" spans="1:26" ht="23.1" customHeight="1">
      <c r="A295" s="1082"/>
      <c r="B295" s="2859"/>
      <c r="C295" s="1110"/>
      <c r="D295" s="402"/>
      <c r="E295" s="1134" t="s">
        <v>632</v>
      </c>
      <c r="F295" s="383">
        <f>Y295</f>
        <v>3000</v>
      </c>
      <c r="G295" s="1116">
        <v>3000</v>
      </c>
      <c r="H295" s="482"/>
      <c r="I295" s="2889"/>
      <c r="J295" s="2899" t="s">
        <v>895</v>
      </c>
      <c r="K295" s="2900"/>
      <c r="L295" s="2889"/>
      <c r="M295" s="2889"/>
      <c r="N295" s="1673"/>
      <c r="O295" s="2889"/>
      <c r="P295" s="2889"/>
      <c r="Q295" s="408"/>
      <c r="R295" s="2895"/>
      <c r="S295" s="1672"/>
      <c r="T295" s="2900"/>
      <c r="U295" s="2900"/>
      <c r="V295" s="2900"/>
      <c r="W295" s="2900"/>
      <c r="X295" s="1140"/>
      <c r="Y295" s="1674">
        <f>Z295/1000</f>
        <v>3000</v>
      </c>
      <c r="Z295" s="407">
        <f>+Z296+Z297</f>
        <v>3000000</v>
      </c>
    </row>
    <row r="296" spans="1:26" ht="23.1" customHeight="1">
      <c r="A296" s="1082"/>
      <c r="B296" s="2859"/>
      <c r="C296" s="1110"/>
      <c r="D296" s="402"/>
      <c r="E296" s="1134"/>
      <c r="F296" s="383"/>
      <c r="G296" s="1116"/>
      <c r="H296" s="482"/>
      <c r="I296" s="2889"/>
      <c r="J296" s="2899" t="s">
        <v>3283</v>
      </c>
      <c r="K296" s="2900"/>
      <c r="L296" s="2889"/>
      <c r="M296" s="2889"/>
      <c r="N296" s="1673"/>
      <c r="O296" s="2889"/>
      <c r="P296" s="2889"/>
      <c r="Q296" s="408">
        <v>10</v>
      </c>
      <c r="R296" s="2893" t="s">
        <v>33</v>
      </c>
      <c r="S296" s="1672">
        <v>10000</v>
      </c>
      <c r="T296" s="2900" t="s">
        <v>0</v>
      </c>
      <c r="U296" s="2900"/>
      <c r="V296" s="2900">
        <v>10</v>
      </c>
      <c r="W296" s="2900" t="s">
        <v>3</v>
      </c>
      <c r="X296" s="1140" t="s">
        <v>1</v>
      </c>
      <c r="Y296" s="1674">
        <f t="shared" ref="Y296:Y297" si="71">Z296/1000</f>
        <v>1000</v>
      </c>
      <c r="Z296" s="407">
        <f>Q296*S296*V296</f>
        <v>1000000</v>
      </c>
    </row>
    <row r="297" spans="1:26" ht="23.1" customHeight="1" thickBot="1">
      <c r="B297" s="1126"/>
      <c r="D297" s="1427"/>
      <c r="E297" s="2962"/>
      <c r="F297" s="1081"/>
      <c r="G297" s="2963"/>
      <c r="H297" s="2964"/>
      <c r="I297" s="2889"/>
      <c r="J297" s="1160" t="s">
        <v>3284</v>
      </c>
      <c r="K297" s="1162"/>
      <c r="L297" s="1161"/>
      <c r="M297" s="1161"/>
      <c r="N297" s="481"/>
      <c r="O297" s="1161"/>
      <c r="P297" s="1161"/>
      <c r="Q297" s="408">
        <v>10</v>
      </c>
      <c r="R297" s="2893" t="s">
        <v>33</v>
      </c>
      <c r="S297" s="480">
        <v>20000</v>
      </c>
      <c r="T297" s="1162" t="s">
        <v>0</v>
      </c>
      <c r="U297" s="1162"/>
      <c r="V297" s="1162">
        <v>10</v>
      </c>
      <c r="W297" s="1162" t="s">
        <v>3</v>
      </c>
      <c r="X297" s="1163" t="s">
        <v>1</v>
      </c>
      <c r="Y297" s="1674">
        <f t="shared" si="71"/>
        <v>2000</v>
      </c>
      <c r="Z297" s="407">
        <f>Q297*S297*V297</f>
        <v>2000000</v>
      </c>
    </row>
    <row r="298" spans="1:26" ht="21.95" customHeight="1"/>
  </sheetData>
  <autoFilter ref="A4:MB170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28">
    <mergeCell ref="D181:E181"/>
    <mergeCell ref="D203:E203"/>
    <mergeCell ref="D232:E232"/>
    <mergeCell ref="D268:E268"/>
    <mergeCell ref="D140:E140"/>
    <mergeCell ref="D153:E153"/>
    <mergeCell ref="D159:E159"/>
    <mergeCell ref="D162:E162"/>
    <mergeCell ref="D168:E168"/>
    <mergeCell ref="D172:E172"/>
    <mergeCell ref="D117:E117"/>
    <mergeCell ref="A5:E5"/>
    <mergeCell ref="C7:E7"/>
    <mergeCell ref="D8:E8"/>
    <mergeCell ref="D18:E18"/>
    <mergeCell ref="C29:E29"/>
    <mergeCell ref="D30:E30"/>
    <mergeCell ref="D36:E36"/>
    <mergeCell ref="D45:E45"/>
    <mergeCell ref="D65:E65"/>
    <mergeCell ref="D83:E83"/>
    <mergeCell ref="D99:E99"/>
    <mergeCell ref="A1:Y1"/>
    <mergeCell ref="A3:E3"/>
    <mergeCell ref="F3:F4"/>
    <mergeCell ref="G3:G4"/>
    <mergeCell ref="H3:H4"/>
    <mergeCell ref="J3:Y4"/>
  </mergeCells>
  <phoneticPr fontId="19" type="noConversion"/>
  <printOptions horizontalCentered="1"/>
  <pageMargins left="0.59055118110236227" right="0.59055118110236227" top="0.59055118110236227" bottom="0.59055118110236227" header="0.23622047244094491" footer="0.31496062992125984"/>
  <pageSetup paperSize="9" scale="52" firstPageNumber="28" fitToHeight="100" orientation="landscape" useFirstPageNumber="1" r:id="rId1"/>
  <headerFooter scaleWithDoc="0" alignWithMargins="0"/>
  <rowBreaks count="2" manualBreakCount="2">
    <brk id="59" max="24" man="1"/>
    <brk id="179" max="24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42"/>
  <sheetViews>
    <sheetView view="pageBreakPreview" zoomScale="70" zoomScaleNormal="100" zoomScaleSheetLayoutView="70" zoomScalePageLayoutView="77" workbookViewId="0">
      <pane ySplit="4" topLeftCell="A5" activePane="bottomLeft" state="frozen"/>
      <selection activeCell="A3" sqref="A3:F3"/>
      <selection pane="bottomLeft" activeCell="H109" sqref="H109"/>
    </sheetView>
  </sheetViews>
  <sheetFormatPr defaultRowHeight="18.75"/>
  <cols>
    <col min="1" max="4" width="6.77734375" style="219" customWidth="1"/>
    <col min="5" max="5" width="16" style="219" customWidth="1"/>
    <col min="6" max="7" width="14" style="228" customWidth="1"/>
    <col min="8" max="8" width="14" style="229" customWidth="1"/>
    <col min="9" max="9" width="1.5546875" style="230" customWidth="1"/>
    <col min="10" max="10" width="2.88671875" style="218" customWidth="1"/>
    <col min="11" max="11" width="1.88671875" style="219" customWidth="1"/>
    <col min="12" max="13" width="8.77734375" style="219" customWidth="1"/>
    <col min="14" max="14" width="10.77734375" style="219" customWidth="1"/>
    <col min="15" max="15" width="10" style="231" customWidth="1"/>
    <col min="16" max="16" width="12.21875" style="231" customWidth="1"/>
    <col min="17" max="17" width="7.77734375" style="219" customWidth="1"/>
    <col min="18" max="18" width="6.77734375" style="219" customWidth="1"/>
    <col min="19" max="19" width="18" style="219" customWidth="1"/>
    <col min="20" max="21" width="6.88671875" style="219" customWidth="1"/>
    <col min="22" max="22" width="8.33203125" style="219" bestFit="1" customWidth="1"/>
    <col min="23" max="23" width="6.77734375" style="219" customWidth="1"/>
    <col min="24" max="24" width="3" style="232" customWidth="1"/>
    <col min="25" max="25" width="14.77734375" style="233" customWidth="1"/>
    <col min="26" max="26" width="17.44140625" style="234" customWidth="1"/>
    <col min="27" max="27" width="24.109375" style="234" bestFit="1" customWidth="1"/>
    <col min="28" max="28" width="23" style="196" bestFit="1" customWidth="1"/>
    <col min="29" max="29" width="12.6640625" style="196" bestFit="1" customWidth="1"/>
    <col min="30" max="30" width="15" style="217" bestFit="1" customWidth="1"/>
    <col min="31" max="16384" width="8.88671875" style="217"/>
  </cols>
  <sheetData>
    <row r="1" spans="1:29" s="221" customFormat="1" ht="26.25" customHeight="1">
      <c r="A1" s="3287" t="s">
        <v>5816</v>
      </c>
      <c r="B1" s="3287"/>
      <c r="C1" s="3287"/>
      <c r="D1" s="3287"/>
      <c r="E1" s="3287"/>
      <c r="F1" s="3287"/>
      <c r="G1" s="3287"/>
      <c r="H1" s="3287"/>
      <c r="I1" s="3287"/>
      <c r="J1" s="3287"/>
      <c r="K1" s="3287"/>
      <c r="L1" s="3287"/>
      <c r="M1" s="3287"/>
      <c r="N1" s="3287"/>
      <c r="O1" s="3287"/>
      <c r="P1" s="3287"/>
      <c r="Q1" s="3287"/>
      <c r="R1" s="3287"/>
      <c r="S1" s="3287"/>
      <c r="T1" s="3287"/>
      <c r="U1" s="3287"/>
      <c r="V1" s="3287"/>
      <c r="W1" s="3287"/>
      <c r="X1" s="3287"/>
      <c r="Y1" s="3287"/>
      <c r="Z1" s="1194"/>
      <c r="AA1" s="224"/>
      <c r="AB1" s="220"/>
      <c r="AC1" s="220"/>
    </row>
    <row r="2" spans="1:29" s="221" customFormat="1" ht="19.5" thickBot="1">
      <c r="A2" s="1195"/>
      <c r="B2" s="1195"/>
      <c r="C2" s="699"/>
      <c r="D2" s="699"/>
      <c r="E2" s="675"/>
      <c r="F2" s="1196"/>
      <c r="G2" s="1196"/>
      <c r="H2" s="1197" t="s">
        <v>130</v>
      </c>
      <c r="I2" s="1198"/>
      <c r="J2" s="699" t="s">
        <v>19</v>
      </c>
      <c r="K2" s="699"/>
      <c r="L2" s="1199"/>
      <c r="M2" s="699"/>
      <c r="N2" s="699"/>
      <c r="O2" s="1200"/>
      <c r="P2" s="675"/>
      <c r="Q2" s="1201"/>
      <c r="R2" s="1195"/>
      <c r="S2" s="1195"/>
      <c r="T2" s="1195"/>
      <c r="U2" s="1195"/>
      <c r="V2" s="1195"/>
      <c r="W2" s="1195"/>
      <c r="X2" s="1202"/>
      <c r="Y2" s="635" t="s">
        <v>130</v>
      </c>
      <c r="Z2" s="769"/>
      <c r="AA2" s="224"/>
      <c r="AB2" s="220"/>
      <c r="AC2" s="220"/>
    </row>
    <row r="3" spans="1:29" s="221" customFormat="1" ht="22.5" customHeight="1">
      <c r="A3" s="3288" t="s">
        <v>131</v>
      </c>
      <c r="B3" s="3289"/>
      <c r="C3" s="3289"/>
      <c r="D3" s="3289"/>
      <c r="E3" s="3290"/>
      <c r="F3" s="3291" t="s">
        <v>151</v>
      </c>
      <c r="G3" s="3256" t="s">
        <v>423</v>
      </c>
      <c r="H3" s="3293" t="s">
        <v>132</v>
      </c>
      <c r="I3" s="624"/>
      <c r="J3" s="3295" t="s">
        <v>347</v>
      </c>
      <c r="K3" s="3296"/>
      <c r="L3" s="3296"/>
      <c r="M3" s="3296"/>
      <c r="N3" s="3296"/>
      <c r="O3" s="3296"/>
      <c r="P3" s="3296"/>
      <c r="Q3" s="3296"/>
      <c r="R3" s="3296"/>
      <c r="S3" s="3296"/>
      <c r="T3" s="3296"/>
      <c r="U3" s="3296"/>
      <c r="V3" s="3296"/>
      <c r="W3" s="3296"/>
      <c r="X3" s="3296"/>
      <c r="Y3" s="3297"/>
      <c r="Z3" s="1203"/>
      <c r="AA3" s="224"/>
      <c r="AB3" s="220"/>
      <c r="AC3" s="220"/>
    </row>
    <row r="4" spans="1:29" s="221" customFormat="1" ht="22.5" customHeight="1" thickBot="1">
      <c r="A4" s="1204" t="s">
        <v>348</v>
      </c>
      <c r="B4" s="1205" t="s">
        <v>448</v>
      </c>
      <c r="C4" s="1206" t="s">
        <v>449</v>
      </c>
      <c r="D4" s="1206" t="s">
        <v>450</v>
      </c>
      <c r="E4" s="1206" t="s">
        <v>133</v>
      </c>
      <c r="F4" s="3292"/>
      <c r="G4" s="3257"/>
      <c r="H4" s="3294"/>
      <c r="I4" s="624"/>
      <c r="J4" s="3298"/>
      <c r="K4" s="3299"/>
      <c r="L4" s="3299"/>
      <c r="M4" s="3299"/>
      <c r="N4" s="3299"/>
      <c r="O4" s="3299"/>
      <c r="P4" s="3299"/>
      <c r="Q4" s="3299"/>
      <c r="R4" s="3299"/>
      <c r="S4" s="3299"/>
      <c r="T4" s="3299"/>
      <c r="U4" s="3299"/>
      <c r="V4" s="3299"/>
      <c r="W4" s="3299"/>
      <c r="X4" s="3299"/>
      <c r="Y4" s="3300"/>
      <c r="Z4" s="1207"/>
      <c r="AA4" s="224"/>
      <c r="AB4" s="220"/>
      <c r="AC4" s="220"/>
    </row>
    <row r="5" spans="1:29" s="221" customFormat="1" ht="22.5" customHeight="1" thickBot="1">
      <c r="A5" s="3301" t="s">
        <v>349</v>
      </c>
      <c r="B5" s="3302"/>
      <c r="C5" s="3302"/>
      <c r="D5" s="3302"/>
      <c r="E5" s="3303"/>
      <c r="F5" s="1208">
        <f>+F6+'1-3목적(경영본부사업)'!F6</f>
        <v>10542000</v>
      </c>
      <c r="G5" s="1208">
        <f>+G6+'1-3목적(경영본부사업)'!G6</f>
        <v>10542000</v>
      </c>
      <c r="H5" s="1209">
        <f>F5-G5</f>
        <v>0</v>
      </c>
      <c r="I5" s="624"/>
      <c r="J5" s="1210"/>
      <c r="K5" s="1211"/>
      <c r="L5" s="1211"/>
      <c r="M5" s="1212"/>
      <c r="N5" s="1213"/>
      <c r="O5" s="1211"/>
      <c r="P5" s="1211"/>
      <c r="Q5" s="1214"/>
      <c r="R5" s="1211"/>
      <c r="S5" s="1211"/>
      <c r="T5" s="1211"/>
      <c r="U5" s="1211"/>
      <c r="V5" s="1211"/>
      <c r="W5" s="1211"/>
      <c r="X5" s="1215"/>
      <c r="Y5" s="1216"/>
      <c r="Z5" s="1217"/>
      <c r="AA5" s="224"/>
      <c r="AB5" s="220"/>
      <c r="AC5" s="220"/>
    </row>
    <row r="6" spans="1:29" s="221" customFormat="1" ht="22.5" customHeight="1">
      <c r="A6" s="1218"/>
      <c r="B6" s="1747" t="s">
        <v>350</v>
      </c>
      <c r="C6" s="1219"/>
      <c r="D6" s="1740"/>
      <c r="E6" s="1748"/>
      <c r="F6" s="1742">
        <f>+F7</f>
        <v>7516000</v>
      </c>
      <c r="G6" s="1742">
        <f>+G7</f>
        <v>7516000</v>
      </c>
      <c r="H6" s="1743">
        <f>F6-G6</f>
        <v>0</v>
      </c>
      <c r="I6" s="624"/>
      <c r="J6" s="721"/>
      <c r="K6" s="709"/>
      <c r="L6" s="709"/>
      <c r="M6" s="1749"/>
      <c r="N6" s="1750"/>
      <c r="O6" s="709"/>
      <c r="P6" s="709"/>
      <c r="Q6" s="2410"/>
      <c r="R6" s="709"/>
      <c r="S6" s="709"/>
      <c r="T6" s="709"/>
      <c r="U6" s="709"/>
      <c r="V6" s="709"/>
      <c r="W6" s="709"/>
      <c r="X6" s="725"/>
      <c r="Y6" s="711"/>
      <c r="Z6" s="712"/>
      <c r="AA6" s="224"/>
      <c r="AB6" s="220"/>
      <c r="AC6" s="220"/>
    </row>
    <row r="7" spans="1:29" s="223" customFormat="1" ht="22.5" customHeight="1">
      <c r="A7" s="1221"/>
      <c r="B7" s="1739"/>
      <c r="C7" s="1740" t="s">
        <v>350</v>
      </c>
      <c r="D7" s="1740"/>
      <c r="E7" s="1741" t="s">
        <v>19</v>
      </c>
      <c r="F7" s="1742">
        <f>+F8+F20+F135</f>
        <v>7516000</v>
      </c>
      <c r="G7" s="1742">
        <f>+G8+G20+G135</f>
        <v>7516000</v>
      </c>
      <c r="H7" s="1743">
        <f>F7-G7</f>
        <v>0</v>
      </c>
      <c r="I7" s="624"/>
      <c r="J7" s="1744"/>
      <c r="K7" s="876"/>
      <c r="L7" s="876"/>
      <c r="M7" s="876"/>
      <c r="N7" s="877"/>
      <c r="O7" s="876"/>
      <c r="P7" s="876"/>
      <c r="Q7" s="1745"/>
      <c r="R7" s="876"/>
      <c r="S7" s="876"/>
      <c r="T7" s="876"/>
      <c r="U7" s="876"/>
      <c r="V7" s="876"/>
      <c r="W7" s="876"/>
      <c r="X7" s="878"/>
      <c r="Y7" s="883"/>
      <c r="Z7" s="1746"/>
      <c r="AA7" s="224"/>
      <c r="AB7" s="222"/>
      <c r="AC7" s="222"/>
    </row>
    <row r="8" spans="1:29" s="221" customFormat="1" ht="22.5" customHeight="1">
      <c r="A8" s="1222"/>
      <c r="B8" s="619"/>
      <c r="C8" s="706"/>
      <c r="D8" s="862" t="s">
        <v>74</v>
      </c>
      <c r="E8" s="1223"/>
      <c r="F8" s="1224">
        <f>SUM(F9:F19)</f>
        <v>4947000</v>
      </c>
      <c r="G8" s="1224">
        <f>SUM(G9:G19)</f>
        <v>4947000</v>
      </c>
      <c r="H8" s="715">
        <f>F8-G8</f>
        <v>0</v>
      </c>
      <c r="I8" s="624"/>
      <c r="J8" s="721"/>
      <c r="K8" s="709"/>
      <c r="L8" s="709"/>
      <c r="M8" s="709"/>
      <c r="N8" s="710"/>
      <c r="O8" s="709"/>
      <c r="P8" s="709"/>
      <c r="Q8" s="722"/>
      <c r="R8" s="709"/>
      <c r="S8" s="709"/>
      <c r="T8" s="709"/>
      <c r="U8" s="709"/>
      <c r="V8" s="709"/>
      <c r="W8" s="709"/>
      <c r="X8" s="725"/>
      <c r="Y8" s="711"/>
      <c r="Z8" s="712"/>
      <c r="AA8" s="224"/>
      <c r="AB8" s="220"/>
      <c r="AC8" s="220"/>
    </row>
    <row r="9" spans="1:29" s="221" customFormat="1" ht="22.5" customHeight="1">
      <c r="A9" s="1222"/>
      <c r="B9" s="619"/>
      <c r="C9" s="706"/>
      <c r="D9" s="620"/>
      <c r="E9" s="621" t="s">
        <v>351</v>
      </c>
      <c r="F9" s="622">
        <f>Y9</f>
        <v>4008300</v>
      </c>
      <c r="G9" s="622">
        <v>4008300</v>
      </c>
      <c r="H9" s="623"/>
      <c r="I9" s="624"/>
      <c r="J9" s="625" t="s">
        <v>342</v>
      </c>
      <c r="K9" s="626"/>
      <c r="L9" s="1225"/>
      <c r="M9" s="626"/>
      <c r="N9" s="627"/>
      <c r="O9" s="627"/>
      <c r="P9" s="626"/>
      <c r="Q9" s="628"/>
      <c r="R9" s="626"/>
      <c r="S9" s="626"/>
      <c r="T9" s="626"/>
      <c r="U9" s="626"/>
      <c r="V9" s="626"/>
      <c r="W9" s="626"/>
      <c r="X9" s="629"/>
      <c r="Y9" s="630">
        <f>+INT(Z9/1000)</f>
        <v>4008300</v>
      </c>
      <c r="Z9" s="631">
        <f>+Z10+Z12+Z14</f>
        <v>4008300000</v>
      </c>
      <c r="AA9" s="224"/>
      <c r="AB9" s="220"/>
      <c r="AC9" s="220"/>
    </row>
    <row r="10" spans="1:29" s="221" customFormat="1" ht="22.5" customHeight="1">
      <c r="A10" s="618"/>
      <c r="B10" s="619"/>
      <c r="C10" s="620"/>
      <c r="D10" s="620"/>
      <c r="E10" s="620"/>
      <c r="F10" s="633"/>
      <c r="G10" s="633"/>
      <c r="H10" s="634"/>
      <c r="I10" s="624"/>
      <c r="J10" s="1780"/>
      <c r="K10" s="1685"/>
      <c r="L10" s="1685" t="s">
        <v>352</v>
      </c>
      <c r="M10" s="1687"/>
      <c r="N10" s="1686"/>
      <c r="O10" s="1686"/>
      <c r="P10" s="1685"/>
      <c r="Q10" s="635" t="s">
        <v>19</v>
      </c>
      <c r="R10" s="1685" t="s">
        <v>19</v>
      </c>
      <c r="S10" s="701"/>
      <c r="T10" s="1685"/>
      <c r="U10" s="1685"/>
      <c r="V10" s="1685"/>
      <c r="W10" s="1685"/>
      <c r="X10" s="1687"/>
      <c r="Y10" s="636">
        <f t="shared" ref="Y10:Y17" si="0">+Z10/1000</f>
        <v>3447600</v>
      </c>
      <c r="Z10" s="637">
        <f>SUM(Z11:Z11)</f>
        <v>3447600000</v>
      </c>
      <c r="AA10" s="224"/>
      <c r="AB10" s="220"/>
      <c r="AC10" s="220"/>
    </row>
    <row r="11" spans="1:29" s="221" customFormat="1" ht="22.5" customHeight="1">
      <c r="A11" s="618"/>
      <c r="B11" s="619"/>
      <c r="C11" s="620"/>
      <c r="D11" s="620"/>
      <c r="E11" s="620"/>
      <c r="F11" s="633"/>
      <c r="G11" s="633"/>
      <c r="H11" s="634"/>
      <c r="I11" s="624"/>
      <c r="J11" s="1780"/>
      <c r="K11" s="1685"/>
      <c r="L11" s="2543" t="s">
        <v>534</v>
      </c>
      <c r="M11" s="2542"/>
      <c r="N11" s="1226"/>
      <c r="O11" s="1685"/>
      <c r="P11" s="1685"/>
      <c r="Q11" s="635">
        <v>72</v>
      </c>
      <c r="R11" s="1685" t="s">
        <v>23</v>
      </c>
      <c r="S11" s="1686">
        <v>3990277.777777778</v>
      </c>
      <c r="T11" s="1685" t="s">
        <v>0</v>
      </c>
      <c r="U11" s="1685"/>
      <c r="V11" s="1685">
        <v>12</v>
      </c>
      <c r="W11" s="1685" t="s">
        <v>2</v>
      </c>
      <c r="X11" s="1687" t="s">
        <v>1</v>
      </c>
      <c r="Y11" s="636">
        <f t="shared" si="0"/>
        <v>3447600</v>
      </c>
      <c r="Z11" s="636">
        <f>ROUNDUP(S11*Q11*V11,-3)</f>
        <v>3447600000</v>
      </c>
      <c r="AA11" s="224">
        <f>287300000*12</f>
        <v>3447600000</v>
      </c>
      <c r="AB11" s="220">
        <f>AA11/V11/Q11</f>
        <v>3990277.777777778</v>
      </c>
      <c r="AC11" s="220"/>
    </row>
    <row r="12" spans="1:29" s="221" customFormat="1" ht="22.5" customHeight="1">
      <c r="A12" s="618"/>
      <c r="B12" s="619"/>
      <c r="C12" s="620"/>
      <c r="D12" s="620"/>
      <c r="E12" s="620"/>
      <c r="F12" s="633"/>
      <c r="G12" s="633"/>
      <c r="H12" s="634"/>
      <c r="I12" s="624"/>
      <c r="J12" s="1780"/>
      <c r="K12" s="1685"/>
      <c r="L12" s="1685" t="s">
        <v>353</v>
      </c>
      <c r="M12" s="1687"/>
      <c r="N12" s="1226"/>
      <c r="O12" s="1198"/>
      <c r="P12" s="1198"/>
      <c r="Q12" s="1227"/>
      <c r="R12" s="1228"/>
      <c r="S12" s="1198"/>
      <c r="T12" s="1228"/>
      <c r="U12" s="1198"/>
      <c r="V12" s="1198"/>
      <c r="W12" s="1198"/>
      <c r="X12" s="1687"/>
      <c r="Y12" s="636">
        <f t="shared" si="0"/>
        <v>404400</v>
      </c>
      <c r="Z12" s="636">
        <f>SUM(Z13:Z13)</f>
        <v>404400000</v>
      </c>
      <c r="AA12" s="224">
        <f>33700000*12</f>
        <v>404400000</v>
      </c>
      <c r="AB12" s="220">
        <f>AA12/Q13/V13</f>
        <v>468055.55555555556</v>
      </c>
      <c r="AC12" s="220"/>
    </row>
    <row r="13" spans="1:29" s="221" customFormat="1" ht="22.5" customHeight="1">
      <c r="A13" s="618"/>
      <c r="B13" s="619"/>
      <c r="C13" s="620"/>
      <c r="D13" s="620"/>
      <c r="E13" s="620"/>
      <c r="F13" s="633"/>
      <c r="G13" s="633"/>
      <c r="H13" s="634"/>
      <c r="I13" s="624"/>
      <c r="J13" s="1780"/>
      <c r="K13" s="1685"/>
      <c r="L13" s="2543" t="s">
        <v>534</v>
      </c>
      <c r="M13" s="2542"/>
      <c r="N13" s="1226"/>
      <c r="O13" s="1685"/>
      <c r="P13" s="1685"/>
      <c r="Q13" s="635">
        <v>72</v>
      </c>
      <c r="R13" s="1685" t="s">
        <v>23</v>
      </c>
      <c r="S13" s="1686">
        <v>468055.55555555556</v>
      </c>
      <c r="T13" s="1685" t="s">
        <v>0</v>
      </c>
      <c r="U13" s="1685"/>
      <c r="V13" s="1685">
        <v>12</v>
      </c>
      <c r="W13" s="1685" t="s">
        <v>2</v>
      </c>
      <c r="X13" s="1687" t="s">
        <v>1</v>
      </c>
      <c r="Y13" s="636">
        <f t="shared" si="0"/>
        <v>404400</v>
      </c>
      <c r="Z13" s="636">
        <f>ROUNDUP(S13*Q13*V13,-3)</f>
        <v>404400000</v>
      </c>
      <c r="AA13" s="224"/>
      <c r="AB13" s="220"/>
      <c r="AC13" s="220"/>
    </row>
    <row r="14" spans="1:29" s="221" customFormat="1" ht="22.5" customHeight="1">
      <c r="A14" s="618"/>
      <c r="B14" s="619"/>
      <c r="C14" s="620"/>
      <c r="D14" s="620"/>
      <c r="E14" s="620"/>
      <c r="F14" s="633"/>
      <c r="G14" s="633"/>
      <c r="H14" s="634"/>
      <c r="I14" s="624"/>
      <c r="J14" s="1780"/>
      <c r="K14" s="1685"/>
      <c r="L14" s="1685" t="s">
        <v>685</v>
      </c>
      <c r="M14" s="1687"/>
      <c r="N14" s="1686"/>
      <c r="O14" s="1686"/>
      <c r="P14" s="1685"/>
      <c r="Q14" s="635" t="s">
        <v>19</v>
      </c>
      <c r="R14" s="1685" t="s">
        <v>19</v>
      </c>
      <c r="S14" s="701"/>
      <c r="T14" s="1685"/>
      <c r="U14" s="1685"/>
      <c r="V14" s="1685"/>
      <c r="W14" s="1685"/>
      <c r="X14" s="1687"/>
      <c r="Y14" s="636">
        <f t="shared" si="0"/>
        <v>156300</v>
      </c>
      <c r="Z14" s="637">
        <f>+Z15</f>
        <v>156300000</v>
      </c>
      <c r="AA14" s="224"/>
      <c r="AB14" s="220"/>
      <c r="AC14" s="220"/>
    </row>
    <row r="15" spans="1:29" s="221" customFormat="1" ht="22.5" customHeight="1">
      <c r="A15" s="618"/>
      <c r="B15" s="619"/>
      <c r="C15" s="620"/>
      <c r="D15" s="620"/>
      <c r="E15" s="620"/>
      <c r="F15" s="633"/>
      <c r="G15" s="633"/>
      <c r="H15" s="634"/>
      <c r="I15" s="624"/>
      <c r="J15" s="1780"/>
      <c r="K15" s="1685"/>
      <c r="L15" s="2543" t="s">
        <v>534</v>
      </c>
      <c r="M15" s="2542"/>
      <c r="N15" s="1226"/>
      <c r="O15" s="1685"/>
      <c r="P15" s="1685"/>
      <c r="Q15" s="635">
        <v>72</v>
      </c>
      <c r="R15" s="1685" t="s">
        <v>23</v>
      </c>
      <c r="S15" s="1686">
        <v>2170833.3333333335</v>
      </c>
      <c r="T15" s="1685" t="s">
        <v>0</v>
      </c>
      <c r="U15" s="1685"/>
      <c r="V15" s="1685">
        <v>1</v>
      </c>
      <c r="W15" s="1685" t="s">
        <v>339</v>
      </c>
      <c r="X15" s="1687" t="s">
        <v>1</v>
      </c>
      <c r="Y15" s="636">
        <f t="shared" si="0"/>
        <v>156300</v>
      </c>
      <c r="Z15" s="636">
        <f>ROUNDUP(S15*Q15*V15,-3)</f>
        <v>156300000</v>
      </c>
      <c r="AA15" s="224">
        <v>156300000</v>
      </c>
      <c r="AB15" s="220">
        <f>AA15/Q15</f>
        <v>2170833.3333333335</v>
      </c>
      <c r="AC15" s="220"/>
    </row>
    <row r="16" spans="1:29" s="221" customFormat="1" ht="22.5" customHeight="1">
      <c r="A16" s="618"/>
      <c r="B16" s="619"/>
      <c r="C16" s="620"/>
      <c r="D16" s="620"/>
      <c r="E16" s="716" t="s">
        <v>135</v>
      </c>
      <c r="F16" s="1229">
        <f>+Z16</f>
        <v>481500</v>
      </c>
      <c r="G16" s="1229">
        <v>481500</v>
      </c>
      <c r="H16" s="713"/>
      <c r="I16" s="624"/>
      <c r="J16" s="757" t="s">
        <v>474</v>
      </c>
      <c r="K16" s="717"/>
      <c r="L16" s="717"/>
      <c r="M16" s="717"/>
      <c r="N16" s="718"/>
      <c r="O16" s="718"/>
      <c r="P16" s="717"/>
      <c r="Q16" s="1230"/>
      <c r="R16" s="717"/>
      <c r="S16" s="718">
        <f>+(Z11+Z13)</f>
        <v>3852000000</v>
      </c>
      <c r="T16" s="717" t="s">
        <v>136</v>
      </c>
      <c r="U16" s="734">
        <v>12</v>
      </c>
      <c r="V16" s="717" t="s">
        <v>137</v>
      </c>
      <c r="W16" s="1231">
        <v>1.5</v>
      </c>
      <c r="X16" s="869" t="s">
        <v>1</v>
      </c>
      <c r="Y16" s="704">
        <f>Z16</f>
        <v>481500</v>
      </c>
      <c r="Z16" s="719">
        <f>(+S16/U16*W16)/1000</f>
        <v>481500</v>
      </c>
      <c r="AA16" s="224"/>
      <c r="AB16" s="220"/>
      <c r="AC16" s="220"/>
    </row>
    <row r="17" spans="1:29" s="221" customFormat="1" ht="22.5" customHeight="1">
      <c r="A17" s="618"/>
      <c r="B17" s="619"/>
      <c r="C17" s="620"/>
      <c r="D17" s="620"/>
      <c r="E17" s="620" t="s">
        <v>392</v>
      </c>
      <c r="F17" s="633">
        <f>Y17</f>
        <v>457200</v>
      </c>
      <c r="G17" s="633">
        <v>457200</v>
      </c>
      <c r="H17" s="634"/>
      <c r="I17" s="624"/>
      <c r="J17" s="1780" t="s">
        <v>342</v>
      </c>
      <c r="K17" s="1685"/>
      <c r="L17" s="1685"/>
      <c r="M17" s="1685"/>
      <c r="N17" s="1686"/>
      <c r="O17" s="1686"/>
      <c r="P17" s="1685"/>
      <c r="Q17" s="635"/>
      <c r="R17" s="1685"/>
      <c r="S17" s="1685"/>
      <c r="T17" s="1685"/>
      <c r="U17" s="1685"/>
      <c r="V17" s="1685"/>
      <c r="W17" s="1685"/>
      <c r="X17" s="1687"/>
      <c r="Y17" s="636">
        <f t="shared" si="0"/>
        <v>457200</v>
      </c>
      <c r="Z17" s="637">
        <f>+Z18+Z19</f>
        <v>457200000</v>
      </c>
      <c r="AA17" s="224"/>
      <c r="AB17" s="220"/>
      <c r="AC17" s="220"/>
    </row>
    <row r="18" spans="1:29" s="221" customFormat="1" ht="22.5" customHeight="1">
      <c r="A18" s="618"/>
      <c r="B18" s="619"/>
      <c r="C18" s="620"/>
      <c r="D18" s="620"/>
      <c r="E18" s="620" t="s">
        <v>19</v>
      </c>
      <c r="F18" s="633" t="s">
        <v>19</v>
      </c>
      <c r="G18" s="633" t="s">
        <v>19</v>
      </c>
      <c r="H18" s="634"/>
      <c r="I18" s="624"/>
      <c r="J18" s="698" t="s">
        <v>364</v>
      </c>
      <c r="K18" s="1685"/>
      <c r="L18" s="1685"/>
      <c r="M18" s="1685"/>
      <c r="N18" s="1686"/>
      <c r="O18" s="1685"/>
      <c r="P18" s="1685"/>
      <c r="Q18" s="635"/>
      <c r="R18" s="1685"/>
      <c r="S18" s="1686">
        <f>+Z11+Z13</f>
        <v>3852000000</v>
      </c>
      <c r="T18" s="1685" t="s">
        <v>0</v>
      </c>
      <c r="U18" s="1685"/>
      <c r="V18" s="1232">
        <v>0.1</v>
      </c>
      <c r="W18" s="1685"/>
      <c r="X18" s="1687" t="s">
        <v>1</v>
      </c>
      <c r="Y18" s="636">
        <f>+Z18/1000</f>
        <v>385200</v>
      </c>
      <c r="Z18" s="637">
        <f>S18*V18</f>
        <v>385200000</v>
      </c>
      <c r="AA18" s="224"/>
      <c r="AB18" s="220"/>
      <c r="AC18" s="220"/>
    </row>
    <row r="19" spans="1:29" s="221" customFormat="1" ht="22.5" customHeight="1">
      <c r="A19" s="618"/>
      <c r="B19" s="619"/>
      <c r="C19" s="620"/>
      <c r="D19" s="620"/>
      <c r="E19" s="620"/>
      <c r="F19" s="633"/>
      <c r="G19" s="633"/>
      <c r="H19" s="634"/>
      <c r="I19" s="624"/>
      <c r="J19" s="756" t="s">
        <v>263</v>
      </c>
      <c r="K19" s="709"/>
      <c r="L19" s="709"/>
      <c r="M19" s="709"/>
      <c r="N19" s="710"/>
      <c r="O19" s="710"/>
      <c r="P19" s="709"/>
      <c r="Q19" s="722"/>
      <c r="R19" s="709"/>
      <c r="S19" s="710">
        <v>1000000</v>
      </c>
      <c r="T19" s="709" t="s">
        <v>354</v>
      </c>
      <c r="U19" s="709"/>
      <c r="V19" s="1233">
        <v>72</v>
      </c>
      <c r="W19" s="709" t="s">
        <v>355</v>
      </c>
      <c r="X19" s="725" t="s">
        <v>1</v>
      </c>
      <c r="Y19" s="711">
        <f>+Z19/1000</f>
        <v>72000</v>
      </c>
      <c r="Z19" s="712">
        <f>V19*S19</f>
        <v>72000000</v>
      </c>
      <c r="AA19" s="224"/>
      <c r="AB19" s="220"/>
      <c r="AC19" s="220"/>
    </row>
    <row r="20" spans="1:29" s="221" customFormat="1" ht="22.5" customHeight="1">
      <c r="A20" s="618"/>
      <c r="B20" s="619"/>
      <c r="C20" s="620"/>
      <c r="D20" s="1121" t="s">
        <v>138</v>
      </c>
      <c r="E20" s="1234"/>
      <c r="F20" s="1229">
        <f>SUM(F21:F134)</f>
        <v>2536000</v>
      </c>
      <c r="G20" s="1229">
        <f>SUM(G21:G134)</f>
        <v>2536000</v>
      </c>
      <c r="H20" s="713">
        <f>+F20-G20</f>
        <v>0</v>
      </c>
      <c r="I20" s="624"/>
      <c r="J20" s="757"/>
      <c r="K20" s="717"/>
      <c r="L20" s="717"/>
      <c r="M20" s="717"/>
      <c r="N20" s="718"/>
      <c r="O20" s="718"/>
      <c r="P20" s="717"/>
      <c r="Q20" s="1230"/>
      <c r="R20" s="717"/>
      <c r="S20" s="717"/>
      <c r="T20" s="717"/>
      <c r="U20" s="717"/>
      <c r="V20" s="717"/>
      <c r="W20" s="717"/>
      <c r="X20" s="869"/>
      <c r="Y20" s="704" t="s">
        <v>19</v>
      </c>
      <c r="Z20" s="1235" t="s">
        <v>19</v>
      </c>
      <c r="AA20" s="224"/>
      <c r="AB20" s="220"/>
      <c r="AC20" s="220"/>
    </row>
    <row r="21" spans="1:29" s="519" customFormat="1" ht="22.5" customHeight="1">
      <c r="A21" s="676"/>
      <c r="B21" s="1684"/>
      <c r="C21" s="508"/>
      <c r="D21" s="508"/>
      <c r="E21" s="726" t="s">
        <v>275</v>
      </c>
      <c r="F21" s="1117">
        <f>Y21</f>
        <v>49600</v>
      </c>
      <c r="G21" s="1117">
        <v>49600</v>
      </c>
      <c r="H21" s="623">
        <f>F21-G21</f>
        <v>0</v>
      </c>
      <c r="I21" s="624"/>
      <c r="J21" s="625" t="s">
        <v>342</v>
      </c>
      <c r="K21" s="626"/>
      <c r="L21" s="626"/>
      <c r="M21" s="626"/>
      <c r="N21" s="627"/>
      <c r="O21" s="627"/>
      <c r="P21" s="626"/>
      <c r="Q21" s="628"/>
      <c r="R21" s="626"/>
      <c r="S21" s="626"/>
      <c r="T21" s="626"/>
      <c r="U21" s="626"/>
      <c r="V21" s="626"/>
      <c r="W21" s="626"/>
      <c r="X21" s="629"/>
      <c r="Y21" s="630">
        <f t="shared" ref="Y21:Y83" si="1">+Z21/1000</f>
        <v>49600</v>
      </c>
      <c r="Z21" s="631">
        <f>SUM(Z22:Z25)</f>
        <v>49600000</v>
      </c>
      <c r="AA21" s="224"/>
      <c r="AB21" s="632"/>
      <c r="AC21" s="632"/>
    </row>
    <row r="22" spans="1:29" s="221" customFormat="1" ht="22.5" customHeight="1">
      <c r="A22" s="676"/>
      <c r="B22" s="1684"/>
      <c r="C22" s="508"/>
      <c r="D22" s="508"/>
      <c r="E22" s="508"/>
      <c r="F22" s="714"/>
      <c r="G22" s="714"/>
      <c r="H22" s="634"/>
      <c r="I22" s="624"/>
      <c r="J22" s="514" t="s">
        <v>475</v>
      </c>
      <c r="K22" s="516"/>
      <c r="L22" s="516"/>
      <c r="M22" s="516"/>
      <c r="N22" s="1686"/>
      <c r="O22" s="516"/>
      <c r="P22" s="535"/>
      <c r="Q22" s="1236">
        <v>5</v>
      </c>
      <c r="R22" s="2545" t="s">
        <v>139</v>
      </c>
      <c r="S22" s="530">
        <v>100000</v>
      </c>
      <c r="T22" s="2544" t="s">
        <v>0</v>
      </c>
      <c r="U22" s="2544"/>
      <c r="V22" s="530">
        <v>12</v>
      </c>
      <c r="W22" s="2544" t="s">
        <v>356</v>
      </c>
      <c r="X22" s="531" t="s">
        <v>357</v>
      </c>
      <c r="Y22" s="1237">
        <f t="shared" si="1"/>
        <v>6000</v>
      </c>
      <c r="Z22" s="1003">
        <f>Q22*S22*V22</f>
        <v>6000000</v>
      </c>
      <c r="AA22" s="224"/>
      <c r="AB22" s="220"/>
      <c r="AC22" s="220"/>
    </row>
    <row r="23" spans="1:29" s="221" customFormat="1" ht="22.5" customHeight="1">
      <c r="A23" s="618"/>
      <c r="B23" s="619"/>
      <c r="C23" s="620"/>
      <c r="D23" s="620"/>
      <c r="E23" s="620"/>
      <c r="F23" s="633"/>
      <c r="G23" s="633"/>
      <c r="H23" s="634"/>
      <c r="I23" s="624"/>
      <c r="J23" s="2541" t="s">
        <v>476</v>
      </c>
      <c r="K23" s="1685"/>
      <c r="L23" s="1685"/>
      <c r="M23" s="1685"/>
      <c r="N23" s="1686"/>
      <c r="O23" s="1686"/>
      <c r="P23" s="1685"/>
      <c r="Q23" s="635">
        <v>2</v>
      </c>
      <c r="R23" s="1685" t="s">
        <v>28</v>
      </c>
      <c r="S23" s="1685">
        <v>250000</v>
      </c>
      <c r="T23" s="1685" t="s">
        <v>0</v>
      </c>
      <c r="U23" s="1685"/>
      <c r="V23" s="1238">
        <v>10</v>
      </c>
      <c r="W23" s="1685" t="s">
        <v>25</v>
      </c>
      <c r="X23" s="1687" t="s">
        <v>1</v>
      </c>
      <c r="Y23" s="636">
        <f t="shared" si="1"/>
        <v>5000</v>
      </c>
      <c r="Z23" s="637">
        <f>S23*V23*Q23</f>
        <v>5000000</v>
      </c>
      <c r="AA23" s="224"/>
      <c r="AB23" s="220"/>
      <c r="AC23" s="220"/>
    </row>
    <row r="24" spans="1:29" s="221" customFormat="1" ht="22.5" customHeight="1">
      <c r="A24" s="618"/>
      <c r="B24" s="619"/>
      <c r="C24" s="620"/>
      <c r="D24" s="620"/>
      <c r="E24" s="620"/>
      <c r="F24" s="633"/>
      <c r="G24" s="633"/>
      <c r="H24" s="634"/>
      <c r="I24" s="624"/>
      <c r="J24" s="1780" t="s">
        <v>477</v>
      </c>
      <c r="K24" s="1685"/>
      <c r="L24" s="1685"/>
      <c r="M24" s="1685"/>
      <c r="N24" s="1686"/>
      <c r="O24" s="1685"/>
      <c r="P24" s="1685"/>
      <c r="Q24" s="635"/>
      <c r="R24" s="1685"/>
      <c r="S24" s="1686">
        <v>100000</v>
      </c>
      <c r="T24" s="1685" t="s">
        <v>0</v>
      </c>
      <c r="U24" s="1685"/>
      <c r="V24" s="1238">
        <v>236</v>
      </c>
      <c r="W24" s="1685" t="s">
        <v>25</v>
      </c>
      <c r="X24" s="1687" t="s">
        <v>1</v>
      </c>
      <c r="Y24" s="636">
        <f t="shared" ref="Y24" si="2">+Z24/1000</f>
        <v>23600</v>
      </c>
      <c r="Z24" s="637">
        <f>S24*V24</f>
        <v>23600000</v>
      </c>
      <c r="AA24" s="224"/>
      <c r="AB24" s="220"/>
      <c r="AC24" s="220"/>
    </row>
    <row r="25" spans="1:29" s="221" customFormat="1" ht="22.5" customHeight="1">
      <c r="A25" s="618"/>
      <c r="B25" s="619"/>
      <c r="C25" s="620"/>
      <c r="D25" s="620"/>
      <c r="E25" s="620"/>
      <c r="F25" s="633"/>
      <c r="G25" s="633"/>
      <c r="H25" s="634"/>
      <c r="I25" s="624"/>
      <c r="J25" s="830" t="s">
        <v>3040</v>
      </c>
      <c r="K25" s="371"/>
      <c r="L25" s="371"/>
      <c r="M25" s="371"/>
      <c r="N25" s="458"/>
      <c r="O25" s="371"/>
      <c r="P25" s="371"/>
      <c r="Q25" s="635">
        <v>2</v>
      </c>
      <c r="R25" s="1685" t="s">
        <v>28</v>
      </c>
      <c r="S25" s="458">
        <v>150000</v>
      </c>
      <c r="T25" s="371" t="s">
        <v>1810</v>
      </c>
      <c r="U25" s="371"/>
      <c r="V25" s="1885">
        <v>50</v>
      </c>
      <c r="W25" s="371" t="s">
        <v>618</v>
      </c>
      <c r="X25" s="426" t="s">
        <v>1812</v>
      </c>
      <c r="Y25" s="345">
        <f>+Z25/1000</f>
        <v>15000</v>
      </c>
      <c r="Z25" s="355">
        <f>Q25*S25*V25</f>
        <v>15000000</v>
      </c>
      <c r="AA25" s="224"/>
      <c r="AB25" s="220"/>
      <c r="AC25" s="220"/>
    </row>
    <row r="26" spans="1:29" s="221" customFormat="1" ht="22.5" customHeight="1">
      <c r="A26" s="618"/>
      <c r="B26" s="619"/>
      <c r="C26" s="620"/>
      <c r="D26" s="620"/>
      <c r="E26" s="621" t="s">
        <v>48</v>
      </c>
      <c r="F26" s="622">
        <f>Y26</f>
        <v>41850</v>
      </c>
      <c r="G26" s="622">
        <v>41850</v>
      </c>
      <c r="H26" s="623">
        <f>F26-G26</f>
        <v>0</v>
      </c>
      <c r="I26" s="624"/>
      <c r="J26" s="625" t="s">
        <v>342</v>
      </c>
      <c r="K26" s="626"/>
      <c r="L26" s="626"/>
      <c r="M26" s="626"/>
      <c r="N26" s="627"/>
      <c r="O26" s="627"/>
      <c r="P26" s="626"/>
      <c r="Q26" s="628"/>
      <c r="R26" s="626"/>
      <c r="S26" s="626"/>
      <c r="T26" s="626"/>
      <c r="U26" s="626"/>
      <c r="V26" s="626"/>
      <c r="W26" s="626"/>
      <c r="X26" s="629"/>
      <c r="Y26" s="630">
        <f t="shared" si="1"/>
        <v>41850</v>
      </c>
      <c r="Z26" s="631">
        <f>SUM(Z27:Z29)</f>
        <v>41850000</v>
      </c>
      <c r="AA26" s="224"/>
      <c r="AB26" s="220"/>
      <c r="AC26" s="220"/>
    </row>
    <row r="27" spans="1:29" s="221" customFormat="1" ht="22.5" customHeight="1">
      <c r="A27" s="618"/>
      <c r="B27" s="619"/>
      <c r="C27" s="620"/>
      <c r="D27" s="620"/>
      <c r="E27" s="620"/>
      <c r="F27" s="633"/>
      <c r="G27" s="633"/>
      <c r="H27" s="634"/>
      <c r="I27" s="624"/>
      <c r="J27" s="1780" t="s">
        <v>478</v>
      </c>
      <c r="K27" s="1685"/>
      <c r="L27" s="1685"/>
      <c r="M27" s="1685"/>
      <c r="N27" s="1686"/>
      <c r="O27" s="1685"/>
      <c r="P27" s="1685"/>
      <c r="Q27" s="635">
        <v>72</v>
      </c>
      <c r="R27" s="1685" t="s">
        <v>23</v>
      </c>
      <c r="S27" s="1686">
        <v>100000</v>
      </c>
      <c r="T27" s="1685" t="s">
        <v>0</v>
      </c>
      <c r="U27" s="1685"/>
      <c r="V27" s="1685">
        <v>1</v>
      </c>
      <c r="W27" s="1685" t="s">
        <v>3</v>
      </c>
      <c r="X27" s="1687" t="s">
        <v>1</v>
      </c>
      <c r="Y27" s="636">
        <f t="shared" si="1"/>
        <v>7200</v>
      </c>
      <c r="Z27" s="637">
        <f>S27*Q27*V27</f>
        <v>7200000</v>
      </c>
      <c r="AA27" s="224"/>
      <c r="AB27" s="220"/>
      <c r="AC27" s="220"/>
    </row>
    <row r="28" spans="1:29" s="221" customFormat="1" ht="22.5" customHeight="1">
      <c r="A28" s="618"/>
      <c r="B28" s="619"/>
      <c r="C28" s="620"/>
      <c r="D28" s="620"/>
      <c r="E28" s="620"/>
      <c r="F28" s="633"/>
      <c r="G28" s="633"/>
      <c r="H28" s="634"/>
      <c r="I28" s="624"/>
      <c r="J28" s="1780" t="s">
        <v>3038</v>
      </c>
      <c r="K28" s="1685"/>
      <c r="L28" s="1685"/>
      <c r="M28" s="1685"/>
      <c r="N28" s="1686"/>
      <c r="O28" s="1685"/>
      <c r="P28" s="1685"/>
      <c r="Q28" s="635">
        <v>193</v>
      </c>
      <c r="R28" s="1685" t="s">
        <v>341</v>
      </c>
      <c r="S28" s="1686">
        <v>50000</v>
      </c>
      <c r="T28" s="1685" t="s">
        <v>0</v>
      </c>
      <c r="U28" s="1685"/>
      <c r="V28" s="1685">
        <v>1</v>
      </c>
      <c r="W28" s="1685" t="s">
        <v>340</v>
      </c>
      <c r="X28" s="1687" t="s">
        <v>1</v>
      </c>
      <c r="Y28" s="636">
        <f t="shared" ref="Y28" si="3">+Z28/1000</f>
        <v>9650</v>
      </c>
      <c r="Z28" s="637">
        <f>Q28*S28*V28</f>
        <v>9650000</v>
      </c>
      <c r="AA28" s="224"/>
      <c r="AB28" s="220"/>
      <c r="AC28" s="220"/>
    </row>
    <row r="29" spans="1:29" s="221" customFormat="1" ht="22.5" customHeight="1">
      <c r="A29" s="618"/>
      <c r="B29" s="619"/>
      <c r="C29" s="620"/>
      <c r="D29" s="620"/>
      <c r="E29" s="707"/>
      <c r="F29" s="1224"/>
      <c r="G29" s="1224"/>
      <c r="H29" s="715"/>
      <c r="I29" s="624"/>
      <c r="J29" s="721" t="s">
        <v>3039</v>
      </c>
      <c r="K29" s="709"/>
      <c r="L29" s="709"/>
      <c r="M29" s="709"/>
      <c r="N29" s="710"/>
      <c r="O29" s="709"/>
      <c r="P29" s="709"/>
      <c r="Q29" s="722">
        <v>5</v>
      </c>
      <c r="R29" s="709" t="s">
        <v>341</v>
      </c>
      <c r="S29" s="710">
        <v>1250000</v>
      </c>
      <c r="T29" s="709" t="s">
        <v>0</v>
      </c>
      <c r="U29" s="709"/>
      <c r="V29" s="709">
        <v>4</v>
      </c>
      <c r="W29" s="709" t="s">
        <v>340</v>
      </c>
      <c r="X29" s="725" t="s">
        <v>1</v>
      </c>
      <c r="Y29" s="711">
        <f t="shared" si="1"/>
        <v>25000</v>
      </c>
      <c r="Z29" s="712">
        <f>Q29*S29*V29</f>
        <v>25000000</v>
      </c>
      <c r="AA29" s="224"/>
      <c r="AB29" s="220"/>
      <c r="AC29" s="220"/>
    </row>
    <row r="30" spans="1:29" s="221" customFormat="1" ht="22.5" customHeight="1">
      <c r="A30" s="618"/>
      <c r="B30" s="619"/>
      <c r="C30" s="620"/>
      <c r="D30" s="620"/>
      <c r="E30" s="620" t="s">
        <v>51</v>
      </c>
      <c r="F30" s="633">
        <f>Y30</f>
        <v>50400</v>
      </c>
      <c r="G30" s="633">
        <v>50400</v>
      </c>
      <c r="H30" s="634"/>
      <c r="I30" s="624"/>
      <c r="J30" s="1780" t="s">
        <v>194</v>
      </c>
      <c r="K30" s="1685"/>
      <c r="L30" s="1685"/>
      <c r="M30" s="1685"/>
      <c r="N30" s="1686"/>
      <c r="O30" s="1686"/>
      <c r="P30" s="1685"/>
      <c r="Q30" s="635"/>
      <c r="R30" s="1685"/>
      <c r="S30" s="1685"/>
      <c r="T30" s="1685"/>
      <c r="U30" s="1685"/>
      <c r="V30" s="1685"/>
      <c r="W30" s="1685"/>
      <c r="X30" s="1687"/>
      <c r="Y30" s="636">
        <f t="shared" si="1"/>
        <v>50400</v>
      </c>
      <c r="Z30" s="637">
        <f>SUM(Z31:Z33)</f>
        <v>50400000</v>
      </c>
      <c r="AA30" s="224"/>
      <c r="AB30" s="220"/>
      <c r="AC30" s="220"/>
    </row>
    <row r="31" spans="1:29" s="221" customFormat="1" ht="22.5" customHeight="1">
      <c r="A31" s="618"/>
      <c r="B31" s="619"/>
      <c r="C31" s="620"/>
      <c r="D31" s="620"/>
      <c r="E31" s="620" t="s">
        <v>19</v>
      </c>
      <c r="F31" s="633"/>
      <c r="G31" s="633"/>
      <c r="H31" s="634"/>
      <c r="I31" s="624"/>
      <c r="J31" s="1780" t="s">
        <v>479</v>
      </c>
      <c r="K31" s="1685"/>
      <c r="L31" s="1685"/>
      <c r="M31" s="1685"/>
      <c r="N31" s="1686"/>
      <c r="O31" s="1685"/>
      <c r="P31" s="1685"/>
      <c r="Q31" s="635">
        <v>100</v>
      </c>
      <c r="R31" s="1685" t="s">
        <v>66</v>
      </c>
      <c r="S31" s="1686">
        <v>20000</v>
      </c>
      <c r="T31" s="1685" t="s">
        <v>0</v>
      </c>
      <c r="U31" s="1685"/>
      <c r="V31" s="1685">
        <v>4</v>
      </c>
      <c r="W31" s="1685" t="s">
        <v>3</v>
      </c>
      <c r="X31" s="1687" t="s">
        <v>1</v>
      </c>
      <c r="Y31" s="636">
        <f t="shared" si="1"/>
        <v>8000</v>
      </c>
      <c r="Z31" s="637">
        <f>ROUNDUP(S31*Q31*V31,-3)</f>
        <v>8000000</v>
      </c>
      <c r="AA31" s="224"/>
      <c r="AB31" s="220"/>
      <c r="AC31" s="220"/>
    </row>
    <row r="32" spans="1:29" s="221" customFormat="1" ht="22.5" customHeight="1">
      <c r="A32" s="618"/>
      <c r="B32" s="619"/>
      <c r="C32" s="620"/>
      <c r="D32" s="620"/>
      <c r="E32" s="620"/>
      <c r="F32" s="633"/>
      <c r="G32" s="633"/>
      <c r="H32" s="634"/>
      <c r="I32" s="624"/>
      <c r="J32" s="1780" t="s">
        <v>480</v>
      </c>
      <c r="K32" s="1685"/>
      <c r="L32" s="1685"/>
      <c r="M32" s="1685"/>
      <c r="N32" s="1686"/>
      <c r="O32" s="1685"/>
      <c r="P32" s="1685"/>
      <c r="Q32" s="635">
        <v>200</v>
      </c>
      <c r="R32" s="1685" t="s">
        <v>66</v>
      </c>
      <c r="S32" s="1686">
        <v>40000</v>
      </c>
      <c r="T32" s="1685" t="s">
        <v>0</v>
      </c>
      <c r="U32" s="1685"/>
      <c r="V32" s="1685">
        <v>4</v>
      </c>
      <c r="W32" s="1685" t="s">
        <v>3</v>
      </c>
      <c r="X32" s="1687" t="s">
        <v>1</v>
      </c>
      <c r="Y32" s="636">
        <f t="shared" si="1"/>
        <v>32000</v>
      </c>
      <c r="Z32" s="637">
        <f>S32*Q32*V32</f>
        <v>32000000</v>
      </c>
      <c r="AA32" s="224"/>
      <c r="AB32" s="220"/>
      <c r="AC32" s="220"/>
    </row>
    <row r="33" spans="1:29" s="221" customFormat="1" ht="22.5" customHeight="1">
      <c r="A33" s="618"/>
      <c r="B33" s="619"/>
      <c r="C33" s="620"/>
      <c r="D33" s="620"/>
      <c r="E33" s="620"/>
      <c r="F33" s="633"/>
      <c r="G33" s="633"/>
      <c r="H33" s="634"/>
      <c r="I33" s="624"/>
      <c r="J33" s="1780" t="s">
        <v>481</v>
      </c>
      <c r="K33" s="1685"/>
      <c r="L33" s="1685"/>
      <c r="M33" s="1685"/>
      <c r="N33" s="1686"/>
      <c r="O33" s="1685"/>
      <c r="P33" s="1685"/>
      <c r="Q33" s="635">
        <v>130</v>
      </c>
      <c r="R33" s="1685" t="s">
        <v>66</v>
      </c>
      <c r="S33" s="1686">
        <v>20000</v>
      </c>
      <c r="T33" s="1685" t="s">
        <v>0</v>
      </c>
      <c r="U33" s="1685"/>
      <c r="V33" s="1685">
        <v>4</v>
      </c>
      <c r="W33" s="1685" t="s">
        <v>3</v>
      </c>
      <c r="X33" s="1687" t="s">
        <v>1</v>
      </c>
      <c r="Y33" s="636">
        <f t="shared" si="1"/>
        <v>10400</v>
      </c>
      <c r="Z33" s="637">
        <f>S33*Q33*V33</f>
        <v>10400000</v>
      </c>
      <c r="AA33" s="224"/>
      <c r="AB33" s="220"/>
      <c r="AC33" s="220"/>
    </row>
    <row r="34" spans="1:29" s="226" customFormat="1" ht="22.5" customHeight="1">
      <c r="A34" s="618"/>
      <c r="B34" s="619"/>
      <c r="C34" s="620"/>
      <c r="D34" s="620"/>
      <c r="E34" s="621" t="s">
        <v>24</v>
      </c>
      <c r="F34" s="622">
        <f>Y34</f>
        <v>7300</v>
      </c>
      <c r="G34" s="622">
        <v>7300</v>
      </c>
      <c r="H34" s="623"/>
      <c r="I34" s="624"/>
      <c r="J34" s="625" t="s">
        <v>342</v>
      </c>
      <c r="K34" s="626"/>
      <c r="L34" s="626"/>
      <c r="M34" s="626"/>
      <c r="N34" s="627"/>
      <c r="O34" s="626"/>
      <c r="P34" s="626"/>
      <c r="Q34" s="628"/>
      <c r="R34" s="626"/>
      <c r="S34" s="627"/>
      <c r="T34" s="626"/>
      <c r="U34" s="626"/>
      <c r="V34" s="626"/>
      <c r="W34" s="626"/>
      <c r="X34" s="629"/>
      <c r="Y34" s="630">
        <f t="shared" si="1"/>
        <v>7300</v>
      </c>
      <c r="Z34" s="631">
        <f>SUM(Z35:Z36)</f>
        <v>7300000</v>
      </c>
      <c r="AA34" s="224"/>
      <c r="AB34" s="220"/>
      <c r="AC34" s="225"/>
    </row>
    <row r="35" spans="1:29" s="221" customFormat="1" ht="22.5" customHeight="1">
      <c r="A35" s="618"/>
      <c r="B35" s="619"/>
      <c r="C35" s="620"/>
      <c r="D35" s="620"/>
      <c r="E35" s="620"/>
      <c r="F35" s="633"/>
      <c r="G35" s="633"/>
      <c r="H35" s="634"/>
      <c r="I35" s="624"/>
      <c r="J35" s="1780" t="s">
        <v>335</v>
      </c>
      <c r="K35" s="1685"/>
      <c r="L35" s="1685"/>
      <c r="M35" s="1685"/>
      <c r="N35" s="1686"/>
      <c r="O35" s="1685"/>
      <c r="P35" s="1685"/>
      <c r="Q35" s="635"/>
      <c r="R35" s="1685"/>
      <c r="S35" s="1686">
        <v>30000</v>
      </c>
      <c r="T35" s="1685" t="s">
        <v>0</v>
      </c>
      <c r="U35" s="1685"/>
      <c r="V35" s="1685">
        <v>10</v>
      </c>
      <c r="W35" s="1685" t="s">
        <v>358</v>
      </c>
      <c r="X35" s="1687" t="s">
        <v>1</v>
      </c>
      <c r="Y35" s="636">
        <f t="shared" si="1"/>
        <v>300</v>
      </c>
      <c r="Z35" s="637">
        <f>S35*V35</f>
        <v>300000</v>
      </c>
      <c r="AA35" s="224"/>
      <c r="AB35" s="220"/>
      <c r="AC35" s="220"/>
    </row>
    <row r="36" spans="1:29" s="221" customFormat="1" ht="22.5" customHeight="1">
      <c r="A36" s="618"/>
      <c r="B36" s="619"/>
      <c r="C36" s="620"/>
      <c r="D36" s="620"/>
      <c r="E36" s="707"/>
      <c r="F36" s="1224"/>
      <c r="G36" s="1224"/>
      <c r="H36" s="715"/>
      <c r="I36" s="624"/>
      <c r="J36" s="721" t="s">
        <v>293</v>
      </c>
      <c r="K36" s="709"/>
      <c r="L36" s="709"/>
      <c r="M36" s="709"/>
      <c r="N36" s="710"/>
      <c r="O36" s="709"/>
      <c r="P36" s="709"/>
      <c r="Q36" s="722"/>
      <c r="R36" s="709"/>
      <c r="S36" s="710">
        <v>7000000</v>
      </c>
      <c r="T36" s="709" t="s">
        <v>0</v>
      </c>
      <c r="U36" s="709"/>
      <c r="V36" s="1233">
        <v>1</v>
      </c>
      <c r="W36" s="709" t="s">
        <v>359</v>
      </c>
      <c r="X36" s="725" t="s">
        <v>1</v>
      </c>
      <c r="Y36" s="711">
        <f t="shared" si="1"/>
        <v>7000</v>
      </c>
      <c r="Z36" s="712">
        <v>7000000</v>
      </c>
      <c r="AA36" s="224"/>
      <c r="AB36" s="220"/>
      <c r="AC36" s="220"/>
    </row>
    <row r="37" spans="1:29" s="519" customFormat="1" ht="22.5" customHeight="1">
      <c r="A37" s="618"/>
      <c r="B37" s="619"/>
      <c r="C37" s="620"/>
      <c r="D37" s="620"/>
      <c r="E37" s="621" t="s">
        <v>140</v>
      </c>
      <c r="F37" s="622">
        <f>Y37</f>
        <v>28800</v>
      </c>
      <c r="G37" s="622">
        <v>28800</v>
      </c>
      <c r="H37" s="623"/>
      <c r="I37" s="624"/>
      <c r="J37" s="625" t="s">
        <v>342</v>
      </c>
      <c r="K37" s="626"/>
      <c r="L37" s="626"/>
      <c r="M37" s="626"/>
      <c r="N37" s="627"/>
      <c r="O37" s="626"/>
      <c r="P37" s="626"/>
      <c r="Q37" s="628"/>
      <c r="R37" s="626"/>
      <c r="S37" s="627"/>
      <c r="T37" s="626"/>
      <c r="U37" s="626"/>
      <c r="V37" s="626"/>
      <c r="W37" s="626"/>
      <c r="X37" s="629"/>
      <c r="Y37" s="630">
        <f t="shared" si="1"/>
        <v>28800</v>
      </c>
      <c r="Z37" s="631">
        <f>SUM(Z38:Z42)</f>
        <v>28800000</v>
      </c>
      <c r="AA37" s="224"/>
      <c r="AB37" s="632"/>
      <c r="AC37" s="632"/>
    </row>
    <row r="38" spans="1:29" s="221" customFormat="1" ht="22.5" customHeight="1">
      <c r="A38" s="618"/>
      <c r="B38" s="619"/>
      <c r="C38" s="620"/>
      <c r="D38" s="620"/>
      <c r="E38" s="620" t="s">
        <v>19</v>
      </c>
      <c r="F38" s="633"/>
      <c r="G38" s="633"/>
      <c r="H38" s="634"/>
      <c r="I38" s="624"/>
      <c r="J38" s="1780" t="s">
        <v>482</v>
      </c>
      <c r="K38" s="1685"/>
      <c r="L38" s="1685"/>
      <c r="M38" s="1685"/>
      <c r="N38" s="1686"/>
      <c r="O38" s="1685"/>
      <c r="P38" s="1685"/>
      <c r="Q38" s="635">
        <v>1</v>
      </c>
      <c r="R38" s="1685" t="s">
        <v>141</v>
      </c>
      <c r="S38" s="1686">
        <v>100000</v>
      </c>
      <c r="T38" s="1685" t="s">
        <v>0</v>
      </c>
      <c r="U38" s="1685"/>
      <c r="V38" s="1685">
        <v>12</v>
      </c>
      <c r="W38" s="1685" t="s">
        <v>2</v>
      </c>
      <c r="X38" s="1687" t="s">
        <v>1</v>
      </c>
      <c r="Y38" s="636">
        <f t="shared" si="1"/>
        <v>1200</v>
      </c>
      <c r="Z38" s="637">
        <f>S38*Q38*V38</f>
        <v>1200000</v>
      </c>
      <c r="AA38" s="224"/>
      <c r="AB38" s="220"/>
      <c r="AC38" s="220"/>
    </row>
    <row r="39" spans="1:29" s="226" customFormat="1" ht="22.5" customHeight="1">
      <c r="A39" s="618"/>
      <c r="B39" s="619"/>
      <c r="C39" s="620"/>
      <c r="D39" s="620"/>
      <c r="E39" s="620"/>
      <c r="F39" s="633"/>
      <c r="G39" s="633"/>
      <c r="H39" s="634"/>
      <c r="I39" s="624"/>
      <c r="J39" s="1780" t="s">
        <v>483</v>
      </c>
      <c r="K39" s="1685"/>
      <c r="L39" s="1685"/>
      <c r="M39" s="1685"/>
      <c r="N39" s="1686"/>
      <c r="O39" s="1685"/>
      <c r="P39" s="1685"/>
      <c r="Q39" s="635">
        <v>1</v>
      </c>
      <c r="R39" s="1685" t="s">
        <v>141</v>
      </c>
      <c r="S39" s="1686">
        <v>200000</v>
      </c>
      <c r="T39" s="1685" t="s">
        <v>0</v>
      </c>
      <c r="U39" s="1685"/>
      <c r="V39" s="1685">
        <v>12</v>
      </c>
      <c r="W39" s="1685" t="s">
        <v>2</v>
      </c>
      <c r="X39" s="1687" t="s">
        <v>1</v>
      </c>
      <c r="Y39" s="636">
        <f t="shared" si="1"/>
        <v>2400</v>
      </c>
      <c r="Z39" s="637">
        <f>S39*Q39*V39</f>
        <v>2400000</v>
      </c>
      <c r="AA39" s="224"/>
      <c r="AB39" s="220"/>
      <c r="AC39" s="225"/>
    </row>
    <row r="40" spans="1:29" s="226" customFormat="1" ht="22.5" customHeight="1">
      <c r="A40" s="618"/>
      <c r="B40" s="619"/>
      <c r="C40" s="620"/>
      <c r="D40" s="620"/>
      <c r="E40" s="620"/>
      <c r="F40" s="633"/>
      <c r="G40" s="633"/>
      <c r="H40" s="634"/>
      <c r="I40" s="624"/>
      <c r="J40" s="1780" t="s">
        <v>484</v>
      </c>
      <c r="K40" s="1685"/>
      <c r="L40" s="1685"/>
      <c r="M40" s="1685"/>
      <c r="N40" s="1686"/>
      <c r="O40" s="1685"/>
      <c r="P40" s="1685"/>
      <c r="Q40" s="635">
        <v>2</v>
      </c>
      <c r="R40" s="1685" t="s">
        <v>141</v>
      </c>
      <c r="S40" s="1686">
        <v>100000</v>
      </c>
      <c r="T40" s="1685" t="s">
        <v>0</v>
      </c>
      <c r="U40" s="1685"/>
      <c r="V40" s="1685">
        <v>12</v>
      </c>
      <c r="W40" s="1685" t="s">
        <v>2</v>
      </c>
      <c r="X40" s="1687" t="s">
        <v>1</v>
      </c>
      <c r="Y40" s="636">
        <f>+Z40/1000</f>
        <v>2400</v>
      </c>
      <c r="Z40" s="637">
        <f>S40*Q40*V40</f>
        <v>2400000</v>
      </c>
      <c r="AA40" s="224"/>
      <c r="AB40" s="220"/>
      <c r="AC40" s="225"/>
    </row>
    <row r="41" spans="1:29" s="226" customFormat="1" ht="22.5" customHeight="1">
      <c r="A41" s="618"/>
      <c r="B41" s="619"/>
      <c r="C41" s="620"/>
      <c r="D41" s="620"/>
      <c r="E41" s="620"/>
      <c r="F41" s="633"/>
      <c r="G41" s="633"/>
      <c r="H41" s="634"/>
      <c r="I41" s="624"/>
      <c r="J41" s="1780" t="s">
        <v>485</v>
      </c>
      <c r="K41" s="1685"/>
      <c r="L41" s="1685"/>
      <c r="M41" s="1685"/>
      <c r="N41" s="1686"/>
      <c r="O41" s="1685"/>
      <c r="P41" s="1685"/>
      <c r="Q41" s="635">
        <v>1</v>
      </c>
      <c r="R41" s="1685" t="s">
        <v>141</v>
      </c>
      <c r="S41" s="1686">
        <v>100000</v>
      </c>
      <c r="T41" s="1685" t="s">
        <v>0</v>
      </c>
      <c r="U41" s="1685"/>
      <c r="V41" s="1685">
        <v>12</v>
      </c>
      <c r="W41" s="1685" t="s">
        <v>2</v>
      </c>
      <c r="X41" s="1687" t="s">
        <v>1</v>
      </c>
      <c r="Y41" s="636">
        <f>+Z41/1000</f>
        <v>1200</v>
      </c>
      <c r="Z41" s="637">
        <f>S41*Q41*V41</f>
        <v>1200000</v>
      </c>
      <c r="AA41" s="224"/>
      <c r="AB41" s="220"/>
      <c r="AC41" s="225"/>
    </row>
    <row r="42" spans="1:29" s="226" customFormat="1" ht="22.5" customHeight="1">
      <c r="A42" s="618"/>
      <c r="B42" s="619"/>
      <c r="C42" s="620"/>
      <c r="D42" s="620"/>
      <c r="E42" s="707"/>
      <c r="F42" s="1224"/>
      <c r="G42" s="1224"/>
      <c r="H42" s="715"/>
      <c r="I42" s="624"/>
      <c r="J42" s="721" t="s">
        <v>486</v>
      </c>
      <c r="K42" s="709"/>
      <c r="L42" s="709"/>
      <c r="M42" s="709"/>
      <c r="N42" s="710"/>
      <c r="O42" s="709"/>
      <c r="P42" s="709"/>
      <c r="Q42" s="722">
        <v>9</v>
      </c>
      <c r="R42" s="709" t="s">
        <v>38</v>
      </c>
      <c r="S42" s="710">
        <v>200000</v>
      </c>
      <c r="T42" s="709" t="s">
        <v>0</v>
      </c>
      <c r="U42" s="709"/>
      <c r="V42" s="709">
        <v>12</v>
      </c>
      <c r="W42" s="709" t="s">
        <v>2</v>
      </c>
      <c r="X42" s="725" t="s">
        <v>1</v>
      </c>
      <c r="Y42" s="711">
        <f t="shared" si="1"/>
        <v>21600</v>
      </c>
      <c r="Z42" s="637">
        <f>S42*Q42*V42</f>
        <v>21600000</v>
      </c>
      <c r="AA42" s="224"/>
      <c r="AB42" s="220"/>
      <c r="AC42" s="225"/>
    </row>
    <row r="43" spans="1:29" s="221" customFormat="1" ht="21.95" customHeight="1">
      <c r="A43" s="618"/>
      <c r="B43" s="619"/>
      <c r="C43" s="620"/>
      <c r="D43" s="620"/>
      <c r="E43" s="621" t="s">
        <v>142</v>
      </c>
      <c r="F43" s="622">
        <f>Y43</f>
        <v>210200</v>
      </c>
      <c r="G43" s="622">
        <v>210200</v>
      </c>
      <c r="H43" s="623"/>
      <c r="I43" s="624"/>
      <c r="J43" s="625" t="s">
        <v>8</v>
      </c>
      <c r="K43" s="626"/>
      <c r="L43" s="626"/>
      <c r="M43" s="626"/>
      <c r="N43" s="1751"/>
      <c r="O43" s="1751"/>
      <c r="P43" s="626"/>
      <c r="Q43" s="628"/>
      <c r="R43" s="626"/>
      <c r="S43" s="626"/>
      <c r="T43" s="626"/>
      <c r="U43" s="626"/>
      <c r="V43" s="626"/>
      <c r="W43" s="626"/>
      <c r="X43" s="629"/>
      <c r="Y43" s="1752">
        <f>SUM(Y44:Y53)</f>
        <v>210200</v>
      </c>
      <c r="Z43" s="631">
        <f>SUM(Z44:Z53)</f>
        <v>210200000</v>
      </c>
      <c r="AA43" s="224"/>
      <c r="AB43" s="220"/>
      <c r="AC43" s="220"/>
    </row>
    <row r="44" spans="1:29" s="221" customFormat="1" ht="21.95" customHeight="1">
      <c r="A44" s="618"/>
      <c r="B44" s="619"/>
      <c r="C44" s="620"/>
      <c r="D44" s="620"/>
      <c r="E44" s="620"/>
      <c r="F44" s="633"/>
      <c r="G44" s="633"/>
      <c r="H44" s="634"/>
      <c r="I44" s="624"/>
      <c r="J44" s="1780" t="s">
        <v>641</v>
      </c>
      <c r="K44" s="1685"/>
      <c r="L44" s="1685"/>
      <c r="M44" s="1685"/>
      <c r="N44" s="1753"/>
      <c r="O44" s="1685"/>
      <c r="P44" s="1685"/>
      <c r="Q44" s="635"/>
      <c r="R44" s="1685"/>
      <c r="S44" s="1753">
        <v>100000</v>
      </c>
      <c r="T44" s="1685" t="s">
        <v>0</v>
      </c>
      <c r="U44" s="1685"/>
      <c r="V44" s="1685">
        <v>1</v>
      </c>
      <c r="W44" s="1685" t="s">
        <v>3</v>
      </c>
      <c r="X44" s="1687" t="s">
        <v>1</v>
      </c>
      <c r="Y44" s="1754">
        <f>Z44/1000</f>
        <v>100</v>
      </c>
      <c r="Z44" s="637">
        <f>S44*V44</f>
        <v>100000</v>
      </c>
      <c r="AA44" s="224"/>
      <c r="AB44" s="220"/>
      <c r="AC44" s="220"/>
    </row>
    <row r="45" spans="1:29" s="221" customFormat="1" ht="21.95" customHeight="1">
      <c r="A45" s="618"/>
      <c r="B45" s="619"/>
      <c r="C45" s="620"/>
      <c r="D45" s="620"/>
      <c r="E45" s="620"/>
      <c r="F45" s="633"/>
      <c r="G45" s="633"/>
      <c r="H45" s="634"/>
      <c r="I45" s="624"/>
      <c r="J45" s="1780" t="s">
        <v>642</v>
      </c>
      <c r="K45" s="1685"/>
      <c r="L45" s="1685"/>
      <c r="M45" s="1685"/>
      <c r="N45" s="1753"/>
      <c r="O45" s="1685"/>
      <c r="P45" s="1685"/>
      <c r="Q45" s="635"/>
      <c r="R45" s="1685"/>
      <c r="S45" s="1753">
        <v>17500000</v>
      </c>
      <c r="T45" s="1685" t="s">
        <v>0</v>
      </c>
      <c r="U45" s="1685"/>
      <c r="V45" s="1685">
        <v>4</v>
      </c>
      <c r="W45" s="1685" t="s">
        <v>3</v>
      </c>
      <c r="X45" s="1687" t="s">
        <v>1</v>
      </c>
      <c r="Y45" s="1754">
        <f t="shared" ref="Y45:Y53" si="4">Z45/1000</f>
        <v>70000</v>
      </c>
      <c r="Z45" s="637">
        <f t="shared" ref="Z45:Z53" si="5">S45*V45</f>
        <v>70000000</v>
      </c>
      <c r="AA45" s="224"/>
      <c r="AB45" s="220"/>
      <c r="AC45" s="220"/>
    </row>
    <row r="46" spans="1:29" s="221" customFormat="1" ht="21.95" customHeight="1">
      <c r="A46" s="618"/>
      <c r="B46" s="619"/>
      <c r="C46" s="620"/>
      <c r="D46" s="620"/>
      <c r="E46" s="620"/>
      <c r="F46" s="633"/>
      <c r="G46" s="633"/>
      <c r="H46" s="634"/>
      <c r="I46" s="624"/>
      <c r="J46" s="1780" t="s">
        <v>643</v>
      </c>
      <c r="K46" s="1685"/>
      <c r="L46" s="1685"/>
      <c r="M46" s="1685"/>
      <c r="N46" s="1753"/>
      <c r="O46" s="1685"/>
      <c r="P46" s="1685"/>
      <c r="Q46" s="635"/>
      <c r="R46" s="1685"/>
      <c r="S46" s="1753">
        <v>1000000</v>
      </c>
      <c r="T46" s="1685" t="s">
        <v>0</v>
      </c>
      <c r="U46" s="1685"/>
      <c r="V46" s="1685">
        <v>2</v>
      </c>
      <c r="W46" s="1685" t="s">
        <v>3</v>
      </c>
      <c r="X46" s="1687" t="s">
        <v>1</v>
      </c>
      <c r="Y46" s="1754">
        <f t="shared" si="4"/>
        <v>2000</v>
      </c>
      <c r="Z46" s="637">
        <f t="shared" si="5"/>
        <v>2000000</v>
      </c>
      <c r="AA46" s="224"/>
      <c r="AB46" s="220"/>
      <c r="AC46" s="220"/>
    </row>
    <row r="47" spans="1:29" s="221" customFormat="1" ht="21.95" customHeight="1">
      <c r="A47" s="618"/>
      <c r="B47" s="619"/>
      <c r="C47" s="620"/>
      <c r="D47" s="620"/>
      <c r="E47" s="620"/>
      <c r="F47" s="633"/>
      <c r="G47" s="633"/>
      <c r="H47" s="634"/>
      <c r="I47" s="624"/>
      <c r="J47" s="1780" t="s">
        <v>644</v>
      </c>
      <c r="K47" s="1685"/>
      <c r="L47" s="1685"/>
      <c r="M47" s="1685"/>
      <c r="N47" s="1753"/>
      <c r="O47" s="1685"/>
      <c r="P47" s="1685"/>
      <c r="Q47" s="635"/>
      <c r="R47" s="1685"/>
      <c r="S47" s="1753">
        <v>6000000</v>
      </c>
      <c r="T47" s="1685" t="s">
        <v>0</v>
      </c>
      <c r="U47" s="1685"/>
      <c r="V47" s="1685">
        <v>1</v>
      </c>
      <c r="W47" s="1685" t="s">
        <v>3</v>
      </c>
      <c r="X47" s="1687" t="s">
        <v>1</v>
      </c>
      <c r="Y47" s="1754">
        <f t="shared" si="4"/>
        <v>6000</v>
      </c>
      <c r="Z47" s="637">
        <f t="shared" si="5"/>
        <v>6000000</v>
      </c>
      <c r="AA47" s="224"/>
      <c r="AB47" s="220"/>
      <c r="AC47" s="220"/>
    </row>
    <row r="48" spans="1:29" s="221" customFormat="1" ht="21.95" customHeight="1">
      <c r="A48" s="618"/>
      <c r="B48" s="619"/>
      <c r="C48" s="620"/>
      <c r="D48" s="620"/>
      <c r="E48" s="620"/>
      <c r="F48" s="633"/>
      <c r="G48" s="633"/>
      <c r="H48" s="634"/>
      <c r="I48" s="624"/>
      <c r="J48" s="1780" t="s">
        <v>645</v>
      </c>
      <c r="K48" s="1685"/>
      <c r="L48" s="1685"/>
      <c r="M48" s="1685"/>
      <c r="N48" s="1753"/>
      <c r="O48" s="1685"/>
      <c r="P48" s="1685"/>
      <c r="Q48" s="635"/>
      <c r="R48" s="1685"/>
      <c r="S48" s="1753">
        <v>52100000</v>
      </c>
      <c r="T48" s="1685" t="s">
        <v>0</v>
      </c>
      <c r="U48" s="1685"/>
      <c r="V48" s="1685">
        <v>1</v>
      </c>
      <c r="W48" s="1685" t="s">
        <v>3</v>
      </c>
      <c r="X48" s="1687" t="s">
        <v>1</v>
      </c>
      <c r="Y48" s="1754">
        <f t="shared" si="4"/>
        <v>52100</v>
      </c>
      <c r="Z48" s="637">
        <f t="shared" si="5"/>
        <v>52100000</v>
      </c>
      <c r="AA48" s="224"/>
      <c r="AB48" s="220"/>
      <c r="AC48" s="220"/>
    </row>
    <row r="49" spans="1:29" s="221" customFormat="1" ht="21.95" customHeight="1">
      <c r="A49" s="618"/>
      <c r="B49" s="619"/>
      <c r="C49" s="620"/>
      <c r="D49" s="620"/>
      <c r="E49" s="620"/>
      <c r="F49" s="633"/>
      <c r="G49" s="633"/>
      <c r="H49" s="634"/>
      <c r="I49" s="624"/>
      <c r="J49" s="1780" t="s">
        <v>646</v>
      </c>
      <c r="K49" s="1685"/>
      <c r="L49" s="1685"/>
      <c r="M49" s="1685"/>
      <c r="N49" s="1753"/>
      <c r="O49" s="1685"/>
      <c r="P49" s="1685"/>
      <c r="Q49" s="635"/>
      <c r="R49" s="1685"/>
      <c r="S49" s="1753">
        <v>28000000</v>
      </c>
      <c r="T49" s="1685" t="s">
        <v>0</v>
      </c>
      <c r="U49" s="1685"/>
      <c r="V49" s="1685">
        <v>1</v>
      </c>
      <c r="W49" s="1685" t="s">
        <v>3</v>
      </c>
      <c r="X49" s="1687" t="s">
        <v>1</v>
      </c>
      <c r="Y49" s="1754">
        <f t="shared" si="4"/>
        <v>28000</v>
      </c>
      <c r="Z49" s="637">
        <f t="shared" si="5"/>
        <v>28000000</v>
      </c>
      <c r="AA49" s="224"/>
      <c r="AB49" s="220"/>
      <c r="AC49" s="220"/>
    </row>
    <row r="50" spans="1:29" s="221" customFormat="1" ht="21.95" customHeight="1">
      <c r="A50" s="618"/>
      <c r="B50" s="619"/>
      <c r="C50" s="620"/>
      <c r="D50" s="620"/>
      <c r="E50" s="620"/>
      <c r="F50" s="633"/>
      <c r="G50" s="633"/>
      <c r="H50" s="634"/>
      <c r="I50" s="624"/>
      <c r="J50" s="1780" t="s">
        <v>647</v>
      </c>
      <c r="K50" s="1685"/>
      <c r="L50" s="1685"/>
      <c r="M50" s="1685"/>
      <c r="N50" s="1753"/>
      <c r="O50" s="1685"/>
      <c r="P50" s="1685"/>
      <c r="Q50" s="635"/>
      <c r="R50" s="1685"/>
      <c r="S50" s="1753">
        <v>7000000</v>
      </c>
      <c r="T50" s="1685" t="s">
        <v>0</v>
      </c>
      <c r="U50" s="1685"/>
      <c r="V50" s="1685">
        <v>1</v>
      </c>
      <c r="W50" s="1685" t="s">
        <v>3</v>
      </c>
      <c r="X50" s="1687" t="s">
        <v>1</v>
      </c>
      <c r="Y50" s="1754">
        <f t="shared" si="4"/>
        <v>7000</v>
      </c>
      <c r="Z50" s="637">
        <f t="shared" si="5"/>
        <v>7000000</v>
      </c>
      <c r="AA50" s="224"/>
      <c r="AB50" s="220"/>
      <c r="AC50" s="220"/>
    </row>
    <row r="51" spans="1:29" s="221" customFormat="1" ht="21.95" customHeight="1">
      <c r="A51" s="618"/>
      <c r="B51" s="619"/>
      <c r="C51" s="620"/>
      <c r="D51" s="620"/>
      <c r="E51" s="620"/>
      <c r="F51" s="633"/>
      <c r="G51" s="633"/>
      <c r="H51" s="634"/>
      <c r="I51" s="624"/>
      <c r="J51" s="1780" t="s">
        <v>648</v>
      </c>
      <c r="K51" s="1685"/>
      <c r="L51" s="1685"/>
      <c r="M51" s="1685"/>
      <c r="N51" s="1753"/>
      <c r="O51" s="1685"/>
      <c r="P51" s="1685"/>
      <c r="Q51" s="635"/>
      <c r="R51" s="1685"/>
      <c r="S51" s="1753">
        <v>2000000</v>
      </c>
      <c r="T51" s="1685" t="s">
        <v>0</v>
      </c>
      <c r="U51" s="1685"/>
      <c r="V51" s="1685">
        <v>12</v>
      </c>
      <c r="W51" s="1685" t="s">
        <v>3</v>
      </c>
      <c r="X51" s="1687" t="s">
        <v>1</v>
      </c>
      <c r="Y51" s="1754">
        <f t="shared" si="4"/>
        <v>24000</v>
      </c>
      <c r="Z51" s="637">
        <f t="shared" si="5"/>
        <v>24000000</v>
      </c>
      <c r="AA51" s="224"/>
      <c r="AB51" s="220"/>
      <c r="AC51" s="220"/>
    </row>
    <row r="52" spans="1:29" s="221" customFormat="1" ht="21.95" customHeight="1">
      <c r="A52" s="618"/>
      <c r="B52" s="619"/>
      <c r="C52" s="620"/>
      <c r="D52" s="620"/>
      <c r="E52" s="620"/>
      <c r="F52" s="633"/>
      <c r="G52" s="633"/>
      <c r="H52" s="634"/>
      <c r="I52" s="624"/>
      <c r="J52" s="1780" t="s">
        <v>649</v>
      </c>
      <c r="K52" s="1685"/>
      <c r="L52" s="1685"/>
      <c r="M52" s="1685"/>
      <c r="N52" s="1753"/>
      <c r="O52" s="1685"/>
      <c r="P52" s="1685"/>
      <c r="Q52" s="635"/>
      <c r="R52" s="1685"/>
      <c r="S52" s="1753">
        <v>20000000</v>
      </c>
      <c r="T52" s="1685" t="s">
        <v>0</v>
      </c>
      <c r="U52" s="1685"/>
      <c r="V52" s="1685">
        <v>1</v>
      </c>
      <c r="W52" s="1685" t="s">
        <v>3</v>
      </c>
      <c r="X52" s="1687" t="s">
        <v>1</v>
      </c>
      <c r="Y52" s="1754">
        <f t="shared" si="4"/>
        <v>20000</v>
      </c>
      <c r="Z52" s="637">
        <f t="shared" si="5"/>
        <v>20000000</v>
      </c>
      <c r="AA52" s="224"/>
      <c r="AB52" s="220"/>
      <c r="AC52" s="220"/>
    </row>
    <row r="53" spans="1:29" s="221" customFormat="1" ht="21.95" customHeight="1">
      <c r="A53" s="618"/>
      <c r="B53" s="619"/>
      <c r="C53" s="620"/>
      <c r="D53" s="620"/>
      <c r="E53" s="707"/>
      <c r="F53" s="1224"/>
      <c r="G53" s="1224"/>
      <c r="H53" s="715"/>
      <c r="I53" s="624"/>
      <c r="J53" s="721" t="s">
        <v>650</v>
      </c>
      <c r="K53" s="709"/>
      <c r="L53" s="709"/>
      <c r="M53" s="709"/>
      <c r="N53" s="1755"/>
      <c r="O53" s="709"/>
      <c r="P53" s="709"/>
      <c r="Q53" s="722"/>
      <c r="R53" s="709"/>
      <c r="S53" s="1755">
        <v>1000000</v>
      </c>
      <c r="T53" s="709" t="s">
        <v>0</v>
      </c>
      <c r="U53" s="709"/>
      <c r="V53" s="709">
        <v>1</v>
      </c>
      <c r="W53" s="709" t="s">
        <v>3</v>
      </c>
      <c r="X53" s="725" t="s">
        <v>1</v>
      </c>
      <c r="Y53" s="1756">
        <f t="shared" si="4"/>
        <v>1000</v>
      </c>
      <c r="Z53" s="712">
        <f t="shared" si="5"/>
        <v>1000000</v>
      </c>
      <c r="AA53" s="224"/>
      <c r="AB53" s="220"/>
      <c r="AC53" s="220"/>
    </row>
    <row r="54" spans="1:29" s="221" customFormat="1" ht="21.95" customHeight="1">
      <c r="A54" s="618"/>
      <c r="B54" s="619"/>
      <c r="C54" s="620"/>
      <c r="D54" s="620"/>
      <c r="E54" s="620" t="s">
        <v>73</v>
      </c>
      <c r="F54" s="633">
        <f>Y54</f>
        <v>45600</v>
      </c>
      <c r="G54" s="633">
        <v>45600</v>
      </c>
      <c r="H54" s="634"/>
      <c r="I54" s="624"/>
      <c r="J54" s="1780" t="s">
        <v>194</v>
      </c>
      <c r="K54" s="1685"/>
      <c r="L54" s="1685"/>
      <c r="M54" s="1685"/>
      <c r="N54" s="1686"/>
      <c r="O54" s="1686"/>
      <c r="P54" s="1685"/>
      <c r="Q54" s="635"/>
      <c r="R54" s="1685"/>
      <c r="S54" s="1685"/>
      <c r="T54" s="1685"/>
      <c r="U54" s="1685"/>
      <c r="V54" s="1685"/>
      <c r="W54" s="1685"/>
      <c r="X54" s="1687"/>
      <c r="Y54" s="636">
        <f t="shared" ref="Y54:Y64" si="6">+Z54/1000</f>
        <v>45600</v>
      </c>
      <c r="Z54" s="637">
        <f>SUM(Z55:Z64)</f>
        <v>45600000</v>
      </c>
      <c r="AA54" s="224"/>
      <c r="AB54" s="220"/>
      <c r="AC54" s="220"/>
    </row>
    <row r="55" spans="1:29" s="221" customFormat="1" ht="21.95" customHeight="1">
      <c r="A55" s="618"/>
      <c r="B55" s="619"/>
      <c r="C55" s="620"/>
      <c r="D55" s="620"/>
      <c r="E55" s="620"/>
      <c r="F55" s="633"/>
      <c r="G55" s="633"/>
      <c r="H55" s="634"/>
      <c r="I55" s="624"/>
      <c r="J55" s="1780" t="s">
        <v>653</v>
      </c>
      <c r="K55" s="1685"/>
      <c r="L55" s="1685"/>
      <c r="M55" s="1685"/>
      <c r="N55" s="1686"/>
      <c r="O55" s="1685"/>
      <c r="P55" s="1685"/>
      <c r="Q55" s="635">
        <v>1</v>
      </c>
      <c r="R55" s="1685" t="s">
        <v>28</v>
      </c>
      <c r="S55" s="1686">
        <v>500000</v>
      </c>
      <c r="T55" s="1685" t="s">
        <v>0</v>
      </c>
      <c r="U55" s="1685"/>
      <c r="V55" s="1685">
        <v>12</v>
      </c>
      <c r="W55" s="1685" t="s">
        <v>2</v>
      </c>
      <c r="X55" s="1687" t="s">
        <v>1</v>
      </c>
      <c r="Y55" s="636">
        <f t="shared" si="6"/>
        <v>6000</v>
      </c>
      <c r="Z55" s="637">
        <f>S55*Q55*V55</f>
        <v>6000000</v>
      </c>
      <c r="AA55" s="224"/>
      <c r="AB55" s="220"/>
      <c r="AC55" s="220"/>
    </row>
    <row r="56" spans="1:29" s="221" customFormat="1" ht="21.95" customHeight="1">
      <c r="A56" s="618"/>
      <c r="B56" s="619"/>
      <c r="C56" s="620"/>
      <c r="D56" s="620"/>
      <c r="E56" s="620"/>
      <c r="F56" s="633"/>
      <c r="G56" s="633"/>
      <c r="H56" s="634"/>
      <c r="I56" s="624"/>
      <c r="J56" s="1780" t="s">
        <v>654</v>
      </c>
      <c r="K56" s="1685"/>
      <c r="L56" s="1685"/>
      <c r="M56" s="1685"/>
      <c r="N56" s="1686"/>
      <c r="O56" s="1685"/>
      <c r="P56" s="1685"/>
      <c r="Q56" s="635"/>
      <c r="R56" s="1685"/>
      <c r="S56" s="1686">
        <v>25000</v>
      </c>
      <c r="T56" s="1685" t="s">
        <v>0</v>
      </c>
      <c r="U56" s="1685"/>
      <c r="V56" s="1685">
        <v>14</v>
      </c>
      <c r="W56" s="1685" t="s">
        <v>3</v>
      </c>
      <c r="X56" s="1687" t="s">
        <v>1</v>
      </c>
      <c r="Y56" s="636">
        <f t="shared" si="6"/>
        <v>350</v>
      </c>
      <c r="Z56" s="637">
        <f>S56*V56</f>
        <v>350000</v>
      </c>
      <c r="AA56" s="224"/>
      <c r="AB56" s="220"/>
      <c r="AC56" s="220"/>
    </row>
    <row r="57" spans="1:29" s="221" customFormat="1" ht="21.95" customHeight="1">
      <c r="A57" s="618"/>
      <c r="B57" s="619"/>
      <c r="C57" s="620"/>
      <c r="D57" s="620"/>
      <c r="E57" s="620"/>
      <c r="F57" s="633"/>
      <c r="G57" s="633"/>
      <c r="H57" s="634"/>
      <c r="I57" s="624"/>
      <c r="J57" s="1780" t="s">
        <v>655</v>
      </c>
      <c r="K57" s="1685"/>
      <c r="L57" s="1685"/>
      <c r="M57" s="1685"/>
      <c r="N57" s="1686"/>
      <c r="O57" s="1686"/>
      <c r="P57" s="1685"/>
      <c r="Q57" s="1685"/>
      <c r="R57" s="1685"/>
      <c r="S57" s="1685">
        <v>450000</v>
      </c>
      <c r="T57" s="1685" t="s">
        <v>0</v>
      </c>
      <c r="U57" s="1685"/>
      <c r="V57" s="1685">
        <v>2</v>
      </c>
      <c r="W57" s="1685" t="s">
        <v>3</v>
      </c>
      <c r="X57" s="1687" t="s">
        <v>1</v>
      </c>
      <c r="Y57" s="636">
        <f t="shared" si="6"/>
        <v>900</v>
      </c>
      <c r="Z57" s="637">
        <f>S57*V57</f>
        <v>900000</v>
      </c>
      <c r="AA57" s="224"/>
      <c r="AB57" s="220"/>
      <c r="AC57" s="220"/>
    </row>
    <row r="58" spans="1:29" s="221" customFormat="1" ht="21.95" customHeight="1">
      <c r="A58" s="618"/>
      <c r="B58" s="619"/>
      <c r="C58" s="620"/>
      <c r="D58" s="620"/>
      <c r="E58" s="620"/>
      <c r="F58" s="633"/>
      <c r="G58" s="633"/>
      <c r="H58" s="634"/>
      <c r="I58" s="624"/>
      <c r="J58" s="3304" t="s">
        <v>656</v>
      </c>
      <c r="K58" s="3305"/>
      <c r="L58" s="3305"/>
      <c r="M58" s="3305"/>
      <c r="N58" s="720"/>
      <c r="O58" s="1685"/>
      <c r="P58" s="1685"/>
      <c r="Q58" s="1685">
        <v>50</v>
      </c>
      <c r="R58" s="1685" t="s">
        <v>31</v>
      </c>
      <c r="S58" s="1686">
        <v>5000</v>
      </c>
      <c r="T58" s="1685" t="s">
        <v>0</v>
      </c>
      <c r="U58" s="1685"/>
      <c r="V58" s="1685">
        <v>12</v>
      </c>
      <c r="W58" s="1685" t="s">
        <v>2</v>
      </c>
      <c r="X58" s="1687" t="s">
        <v>1</v>
      </c>
      <c r="Y58" s="636">
        <f t="shared" si="6"/>
        <v>3000</v>
      </c>
      <c r="Z58" s="637">
        <f>S58*V58*Q58</f>
        <v>3000000</v>
      </c>
      <c r="AA58" s="224"/>
      <c r="AB58" s="220"/>
      <c r="AC58" s="220"/>
    </row>
    <row r="59" spans="1:29" s="221" customFormat="1" ht="21.95" customHeight="1">
      <c r="A59" s="618"/>
      <c r="B59" s="619"/>
      <c r="C59" s="620"/>
      <c r="D59" s="620"/>
      <c r="E59" s="620"/>
      <c r="F59" s="633"/>
      <c r="G59" s="633"/>
      <c r="H59" s="634"/>
      <c r="I59" s="624"/>
      <c r="J59" s="3304" t="s">
        <v>657</v>
      </c>
      <c r="K59" s="3305"/>
      <c r="L59" s="3305"/>
      <c r="M59" s="3305"/>
      <c r="N59" s="720"/>
      <c r="O59" s="1685"/>
      <c r="P59" s="1685"/>
      <c r="Q59" s="1685">
        <v>5</v>
      </c>
      <c r="R59" s="1685" t="s">
        <v>29</v>
      </c>
      <c r="S59" s="1686">
        <v>250000</v>
      </c>
      <c r="T59" s="1685" t="s">
        <v>0</v>
      </c>
      <c r="U59" s="1685"/>
      <c r="V59" s="1685">
        <v>3</v>
      </c>
      <c r="W59" s="1685" t="s">
        <v>3</v>
      </c>
      <c r="X59" s="1687" t="s">
        <v>1</v>
      </c>
      <c r="Y59" s="636">
        <f t="shared" si="6"/>
        <v>3750</v>
      </c>
      <c r="Z59" s="637">
        <f>S59*V59*Q59</f>
        <v>3750000</v>
      </c>
      <c r="AA59" s="224"/>
      <c r="AB59" s="220"/>
      <c r="AC59" s="220"/>
    </row>
    <row r="60" spans="1:29" s="221" customFormat="1" ht="21.95" customHeight="1">
      <c r="A60" s="618"/>
      <c r="B60" s="619"/>
      <c r="C60" s="620"/>
      <c r="D60" s="620"/>
      <c r="E60" s="620"/>
      <c r="F60" s="633"/>
      <c r="G60" s="633"/>
      <c r="H60" s="634"/>
      <c r="I60" s="624"/>
      <c r="J60" s="3304" t="s">
        <v>658</v>
      </c>
      <c r="K60" s="3305"/>
      <c r="L60" s="3305"/>
      <c r="M60" s="3305"/>
      <c r="N60" s="720"/>
      <c r="O60" s="1685"/>
      <c r="P60" s="1685"/>
      <c r="Q60" s="1685">
        <v>6</v>
      </c>
      <c r="R60" s="1685" t="s">
        <v>29</v>
      </c>
      <c r="S60" s="1686">
        <v>200000</v>
      </c>
      <c r="T60" s="1685" t="s">
        <v>0</v>
      </c>
      <c r="U60" s="1685"/>
      <c r="V60" s="1685">
        <v>3</v>
      </c>
      <c r="W60" s="1685" t="s">
        <v>3</v>
      </c>
      <c r="X60" s="1687" t="s">
        <v>1</v>
      </c>
      <c r="Y60" s="636">
        <f t="shared" si="6"/>
        <v>3600</v>
      </c>
      <c r="Z60" s="637">
        <f>S60*V60*Q60</f>
        <v>3600000</v>
      </c>
      <c r="AA60" s="224"/>
      <c r="AB60" s="220"/>
      <c r="AC60" s="220"/>
    </row>
    <row r="61" spans="1:29" s="221" customFormat="1" ht="21.95" customHeight="1">
      <c r="A61" s="618"/>
      <c r="B61" s="619"/>
      <c r="C61" s="620"/>
      <c r="D61" s="620"/>
      <c r="E61" s="620"/>
      <c r="F61" s="633"/>
      <c r="G61" s="633"/>
      <c r="H61" s="634"/>
      <c r="I61" s="624"/>
      <c r="J61" s="1780" t="s">
        <v>659</v>
      </c>
      <c r="K61" s="1685"/>
      <c r="L61" s="1685"/>
      <c r="M61" s="1685"/>
      <c r="N61" s="1686"/>
      <c r="O61" s="1685"/>
      <c r="P61" s="1685"/>
      <c r="Q61" s="635">
        <v>4</v>
      </c>
      <c r="R61" s="1685" t="s">
        <v>29</v>
      </c>
      <c r="S61" s="1686">
        <v>200000</v>
      </c>
      <c r="T61" s="1685" t="s">
        <v>0</v>
      </c>
      <c r="U61" s="1685"/>
      <c r="V61" s="1685">
        <v>3</v>
      </c>
      <c r="W61" s="1685" t="s">
        <v>3</v>
      </c>
      <c r="X61" s="1687" t="s">
        <v>1</v>
      </c>
      <c r="Y61" s="636">
        <f t="shared" si="6"/>
        <v>2400</v>
      </c>
      <c r="Z61" s="637">
        <f>S61*V61*Q61</f>
        <v>2400000</v>
      </c>
      <c r="AA61" s="224"/>
      <c r="AB61" s="220"/>
      <c r="AC61" s="220"/>
    </row>
    <row r="62" spans="1:29" s="221" customFormat="1" ht="21.95" customHeight="1">
      <c r="A62" s="618"/>
      <c r="B62" s="619"/>
      <c r="C62" s="620"/>
      <c r="D62" s="620"/>
      <c r="E62" s="620"/>
      <c r="F62" s="633"/>
      <c r="G62" s="633"/>
      <c r="H62" s="634"/>
      <c r="I62" s="624"/>
      <c r="J62" s="3304" t="s">
        <v>660</v>
      </c>
      <c r="K62" s="3305"/>
      <c r="L62" s="3305"/>
      <c r="M62" s="3305"/>
      <c r="N62" s="720"/>
      <c r="O62" s="1685"/>
      <c r="P62" s="1685"/>
      <c r="Q62" s="1685">
        <v>7</v>
      </c>
      <c r="R62" s="1685" t="s">
        <v>29</v>
      </c>
      <c r="S62" s="1686">
        <v>100000</v>
      </c>
      <c r="T62" s="1685" t="s">
        <v>0</v>
      </c>
      <c r="U62" s="1685"/>
      <c r="V62" s="1685">
        <v>3</v>
      </c>
      <c r="W62" s="1685" t="s">
        <v>3</v>
      </c>
      <c r="X62" s="1687" t="s">
        <v>1</v>
      </c>
      <c r="Y62" s="636">
        <f t="shared" si="6"/>
        <v>2100</v>
      </c>
      <c r="Z62" s="637">
        <f>S62*V62*Q62</f>
        <v>2100000</v>
      </c>
      <c r="AA62" s="224"/>
      <c r="AB62" s="220"/>
      <c r="AC62" s="220"/>
    </row>
    <row r="63" spans="1:29" s="221" customFormat="1" ht="21.95" customHeight="1">
      <c r="A63" s="618"/>
      <c r="B63" s="619"/>
      <c r="C63" s="620"/>
      <c r="D63" s="620"/>
      <c r="E63" s="620"/>
      <c r="F63" s="633"/>
      <c r="G63" s="633"/>
      <c r="H63" s="634"/>
      <c r="I63" s="624"/>
      <c r="J63" s="1780" t="s">
        <v>661</v>
      </c>
      <c r="K63" s="1685"/>
      <c r="L63" s="1685"/>
      <c r="M63" s="1685"/>
      <c r="N63" s="1686"/>
      <c r="O63" s="1686"/>
      <c r="P63" s="1685"/>
      <c r="Q63" s="635"/>
      <c r="R63" s="1685"/>
      <c r="S63" s="1685">
        <v>1000000</v>
      </c>
      <c r="T63" s="1685" t="s">
        <v>0</v>
      </c>
      <c r="U63" s="1685"/>
      <c r="V63" s="1685">
        <v>11.5</v>
      </c>
      <c r="W63" s="1685" t="s">
        <v>2</v>
      </c>
      <c r="X63" s="1687" t="s">
        <v>1</v>
      </c>
      <c r="Y63" s="636">
        <f t="shared" si="6"/>
        <v>11500</v>
      </c>
      <c r="Z63" s="868">
        <f>S63*V63</f>
        <v>11500000</v>
      </c>
      <c r="AA63" s="224"/>
      <c r="AB63" s="220"/>
      <c r="AC63" s="220"/>
    </row>
    <row r="64" spans="1:29" s="221" customFormat="1" ht="21.95" customHeight="1">
      <c r="A64" s="618"/>
      <c r="B64" s="619"/>
      <c r="C64" s="620"/>
      <c r="D64" s="620"/>
      <c r="E64" s="620"/>
      <c r="F64" s="633"/>
      <c r="G64" s="633"/>
      <c r="H64" s="634"/>
      <c r="I64" s="624"/>
      <c r="J64" s="1780" t="s">
        <v>662</v>
      </c>
      <c r="K64" s="1685"/>
      <c r="L64" s="1685"/>
      <c r="M64" s="1685"/>
      <c r="N64" s="1686"/>
      <c r="O64" s="1686"/>
      <c r="P64" s="1685"/>
      <c r="Q64" s="635"/>
      <c r="R64" s="1685"/>
      <c r="S64" s="1685">
        <v>6000000</v>
      </c>
      <c r="T64" s="1685" t="s">
        <v>0</v>
      </c>
      <c r="U64" s="1685"/>
      <c r="V64" s="1685">
        <v>2</v>
      </c>
      <c r="W64" s="1685" t="s">
        <v>346</v>
      </c>
      <c r="X64" s="1687" t="s">
        <v>1</v>
      </c>
      <c r="Y64" s="636">
        <f t="shared" si="6"/>
        <v>12000</v>
      </c>
      <c r="Z64" s="868">
        <f>S64*V64</f>
        <v>12000000</v>
      </c>
      <c r="AA64" s="224"/>
      <c r="AB64" s="220"/>
      <c r="AC64" s="220"/>
    </row>
    <row r="65" spans="1:30" s="221" customFormat="1" ht="21.95" customHeight="1">
      <c r="A65" s="618"/>
      <c r="B65" s="619"/>
      <c r="C65" s="620"/>
      <c r="D65" s="620"/>
      <c r="E65" s="621" t="s">
        <v>143</v>
      </c>
      <c r="F65" s="622">
        <f>Y65</f>
        <v>359100</v>
      </c>
      <c r="G65" s="622">
        <v>359100</v>
      </c>
      <c r="H65" s="623"/>
      <c r="I65" s="624"/>
      <c r="J65" s="625" t="s">
        <v>8</v>
      </c>
      <c r="K65" s="626"/>
      <c r="L65" s="626"/>
      <c r="M65" s="626"/>
      <c r="N65" s="1757"/>
      <c r="O65" s="1757"/>
      <c r="P65" s="626"/>
      <c r="Q65" s="628"/>
      <c r="R65" s="626"/>
      <c r="S65" s="626"/>
      <c r="T65" s="626"/>
      <c r="U65" s="626"/>
      <c r="V65" s="626"/>
      <c r="W65" s="626"/>
      <c r="X65" s="629"/>
      <c r="Y65" s="1758">
        <f>Z65/1000</f>
        <v>359100</v>
      </c>
      <c r="Z65" s="631">
        <f>SUM(Z66:Z68)</f>
        <v>359100000</v>
      </c>
      <c r="AA65" s="224"/>
      <c r="AB65" s="220"/>
      <c r="AC65" s="220"/>
    </row>
    <row r="66" spans="1:30" s="221" customFormat="1" ht="21.95" customHeight="1">
      <c r="A66" s="618"/>
      <c r="B66" s="619"/>
      <c r="C66" s="620"/>
      <c r="D66" s="620"/>
      <c r="E66" s="620"/>
      <c r="F66" s="633"/>
      <c r="G66" s="633"/>
      <c r="H66" s="634"/>
      <c r="I66" s="624"/>
      <c r="J66" s="1780" t="s">
        <v>682</v>
      </c>
      <c r="K66" s="1685"/>
      <c r="L66" s="1685"/>
      <c r="M66" s="1685"/>
      <c r="N66" s="1686"/>
      <c r="O66" s="1685"/>
      <c r="P66" s="1685"/>
      <c r="Q66" s="635"/>
      <c r="R66" s="1685"/>
      <c r="S66" s="1686">
        <v>19425000</v>
      </c>
      <c r="T66" s="1685" t="s">
        <v>0</v>
      </c>
      <c r="U66" s="1685"/>
      <c r="V66" s="1685">
        <v>12</v>
      </c>
      <c r="W66" s="1685" t="s">
        <v>676</v>
      </c>
      <c r="X66" s="1687" t="s">
        <v>1</v>
      </c>
      <c r="Y66" s="636">
        <f t="shared" ref="Y66:Y68" si="7">+Z66/1000</f>
        <v>233100</v>
      </c>
      <c r="Z66" s="637">
        <f>S66*V66</f>
        <v>233100000</v>
      </c>
      <c r="AA66" s="224"/>
      <c r="AB66" s="220"/>
      <c r="AC66" s="220"/>
    </row>
    <row r="67" spans="1:30" s="221" customFormat="1" ht="21.95" customHeight="1">
      <c r="A67" s="618"/>
      <c r="B67" s="619"/>
      <c r="C67" s="620"/>
      <c r="D67" s="620"/>
      <c r="E67" s="620"/>
      <c r="F67" s="633"/>
      <c r="G67" s="633"/>
      <c r="H67" s="634"/>
      <c r="I67" s="624"/>
      <c r="J67" s="1780" t="s">
        <v>686</v>
      </c>
      <c r="K67" s="1685"/>
      <c r="L67" s="1685"/>
      <c r="M67" s="1685"/>
      <c r="N67" s="1686"/>
      <c r="O67" s="1686"/>
      <c r="P67" s="1685"/>
      <c r="Q67" s="635"/>
      <c r="R67" s="1685"/>
      <c r="S67" s="1686">
        <v>8190000</v>
      </c>
      <c r="T67" s="1685" t="s">
        <v>0</v>
      </c>
      <c r="U67" s="1685"/>
      <c r="V67" s="1685">
        <v>12</v>
      </c>
      <c r="W67" s="1685" t="s">
        <v>676</v>
      </c>
      <c r="X67" s="1687" t="s">
        <v>1</v>
      </c>
      <c r="Y67" s="636">
        <f t="shared" si="7"/>
        <v>98280</v>
      </c>
      <c r="Z67" s="637">
        <f t="shared" ref="Z67:Z68" si="8">S67*V67</f>
        <v>98280000</v>
      </c>
      <c r="AA67" s="224"/>
      <c r="AB67" s="220"/>
      <c r="AC67" s="220"/>
    </row>
    <row r="68" spans="1:30" s="221" customFormat="1" ht="21.95" customHeight="1">
      <c r="A68" s="618"/>
      <c r="B68" s="619"/>
      <c r="C68" s="620"/>
      <c r="D68" s="620"/>
      <c r="E68" s="707"/>
      <c r="F68" s="1224"/>
      <c r="G68" s="1224"/>
      <c r="H68" s="715"/>
      <c r="I68" s="624"/>
      <c r="J68" s="721" t="s">
        <v>687</v>
      </c>
      <c r="K68" s="709"/>
      <c r="L68" s="709"/>
      <c r="M68" s="709"/>
      <c r="N68" s="710"/>
      <c r="O68" s="710"/>
      <c r="P68" s="709"/>
      <c r="Q68" s="722"/>
      <c r="R68" s="709"/>
      <c r="S68" s="710">
        <v>2310000</v>
      </c>
      <c r="T68" s="709" t="s">
        <v>0</v>
      </c>
      <c r="U68" s="709"/>
      <c r="V68" s="709">
        <v>12</v>
      </c>
      <c r="W68" s="709" t="s">
        <v>676</v>
      </c>
      <c r="X68" s="725" t="s">
        <v>1</v>
      </c>
      <c r="Y68" s="711">
        <f t="shared" si="7"/>
        <v>27720</v>
      </c>
      <c r="Z68" s="712">
        <f t="shared" si="8"/>
        <v>27720000</v>
      </c>
      <c r="AA68" s="224"/>
      <c r="AB68" s="220"/>
      <c r="AC68" s="220"/>
    </row>
    <row r="69" spans="1:30" s="519" customFormat="1" ht="21.95" customHeight="1">
      <c r="A69" s="618"/>
      <c r="B69" s="619"/>
      <c r="C69" s="620"/>
      <c r="D69" s="620"/>
      <c r="E69" s="620" t="s">
        <v>361</v>
      </c>
      <c r="F69" s="633">
        <f>Y69</f>
        <v>115900</v>
      </c>
      <c r="G69" s="633">
        <v>115900</v>
      </c>
      <c r="H69" s="634"/>
      <c r="I69" s="624"/>
      <c r="J69" s="1780" t="s">
        <v>342</v>
      </c>
      <c r="K69" s="1685"/>
      <c r="L69" s="1685"/>
      <c r="M69" s="1685"/>
      <c r="N69" s="1686"/>
      <c r="O69" s="1686"/>
      <c r="P69" s="1685"/>
      <c r="Q69" s="635"/>
      <c r="R69" s="1685"/>
      <c r="S69" s="1685"/>
      <c r="T69" s="1685"/>
      <c r="U69" s="1685"/>
      <c r="V69" s="1685"/>
      <c r="W69" s="1685"/>
      <c r="X69" s="1687"/>
      <c r="Y69" s="636">
        <f t="shared" si="1"/>
        <v>115900</v>
      </c>
      <c r="Z69" s="637">
        <f>SUM(Z70:Z75)</f>
        <v>115900000</v>
      </c>
      <c r="AA69" s="224"/>
      <c r="AB69" s="632"/>
      <c r="AC69" s="632"/>
    </row>
    <row r="70" spans="1:30" s="221" customFormat="1" ht="21.95" customHeight="1">
      <c r="A70" s="618"/>
      <c r="B70" s="619"/>
      <c r="C70" s="620"/>
      <c r="D70" s="620"/>
      <c r="E70" s="620"/>
      <c r="F70" s="633"/>
      <c r="G70" s="633"/>
      <c r="H70" s="634"/>
      <c r="I70" s="624"/>
      <c r="J70" s="1780" t="s">
        <v>487</v>
      </c>
      <c r="K70" s="1685"/>
      <c r="L70" s="1685"/>
      <c r="M70" s="1685"/>
      <c r="N70" s="1686"/>
      <c r="O70" s="1686"/>
      <c r="P70" s="1685"/>
      <c r="Q70" s="635"/>
      <c r="R70" s="1685"/>
      <c r="S70" s="1686">
        <v>1500000</v>
      </c>
      <c r="T70" s="1685" t="s">
        <v>0</v>
      </c>
      <c r="U70" s="1685"/>
      <c r="V70" s="1685">
        <v>12</v>
      </c>
      <c r="W70" s="1685" t="s">
        <v>2</v>
      </c>
      <c r="X70" s="1687" t="s">
        <v>1</v>
      </c>
      <c r="Y70" s="636">
        <f t="shared" si="1"/>
        <v>18000</v>
      </c>
      <c r="Z70" s="637">
        <f>S70*V70</f>
        <v>18000000</v>
      </c>
      <c r="AA70" s="224"/>
      <c r="AB70" s="220"/>
      <c r="AC70" s="220"/>
    </row>
    <row r="71" spans="1:30" s="221" customFormat="1" ht="21.95" customHeight="1">
      <c r="A71" s="618"/>
      <c r="B71" s="619"/>
      <c r="C71" s="620"/>
      <c r="D71" s="620"/>
      <c r="E71" s="620" t="s">
        <v>362</v>
      </c>
      <c r="F71" s="633"/>
      <c r="G71" s="633"/>
      <c r="H71" s="634"/>
      <c r="I71" s="624"/>
      <c r="J71" s="1780" t="s">
        <v>488</v>
      </c>
      <c r="K71" s="1685"/>
      <c r="L71" s="1685"/>
      <c r="M71" s="1685"/>
      <c r="N71" s="1686"/>
      <c r="O71" s="1686"/>
      <c r="P71" s="1685"/>
      <c r="Q71" s="635"/>
      <c r="R71" s="1685"/>
      <c r="S71" s="1686">
        <v>3300000</v>
      </c>
      <c r="T71" s="1685" t="s">
        <v>0</v>
      </c>
      <c r="U71" s="1685"/>
      <c r="V71" s="1685">
        <v>12</v>
      </c>
      <c r="W71" s="1685" t="s">
        <v>2</v>
      </c>
      <c r="X71" s="1687" t="s">
        <v>1</v>
      </c>
      <c r="Y71" s="636">
        <f t="shared" si="1"/>
        <v>39600</v>
      </c>
      <c r="Z71" s="637">
        <f>S71*V71</f>
        <v>39600000</v>
      </c>
      <c r="AA71" s="224"/>
      <c r="AB71" s="220"/>
      <c r="AC71" s="220"/>
    </row>
    <row r="72" spans="1:30" s="221" customFormat="1" ht="21.95" customHeight="1">
      <c r="A72" s="618"/>
      <c r="B72" s="619"/>
      <c r="C72" s="620"/>
      <c r="D72" s="620"/>
      <c r="E72" s="620"/>
      <c r="F72" s="633"/>
      <c r="G72" s="633"/>
      <c r="H72" s="634"/>
      <c r="I72" s="624"/>
      <c r="J72" s="1780" t="s">
        <v>489</v>
      </c>
      <c r="K72" s="1685"/>
      <c r="L72" s="1685"/>
      <c r="M72" s="1685"/>
      <c r="N72" s="1686"/>
      <c r="O72" s="1686"/>
      <c r="P72" s="1685"/>
      <c r="Q72" s="635"/>
      <c r="R72" s="1685"/>
      <c r="S72" s="1686">
        <v>1500000</v>
      </c>
      <c r="T72" s="1685" t="s">
        <v>0</v>
      </c>
      <c r="U72" s="1685"/>
      <c r="V72" s="1685">
        <v>12</v>
      </c>
      <c r="W72" s="1685" t="s">
        <v>2</v>
      </c>
      <c r="X72" s="1687" t="s">
        <v>1</v>
      </c>
      <c r="Y72" s="636">
        <f t="shared" si="1"/>
        <v>18000</v>
      </c>
      <c r="Z72" s="637">
        <f>S72*V72</f>
        <v>18000000</v>
      </c>
      <c r="AA72" s="224"/>
      <c r="AB72" s="220"/>
      <c r="AC72" s="220"/>
    </row>
    <row r="73" spans="1:30" s="221" customFormat="1" ht="21.95" customHeight="1">
      <c r="A73" s="618"/>
      <c r="B73" s="619"/>
      <c r="C73" s="620"/>
      <c r="D73" s="620"/>
      <c r="E73" s="620"/>
      <c r="F73" s="633"/>
      <c r="G73" s="633"/>
      <c r="H73" s="634"/>
      <c r="I73" s="624"/>
      <c r="J73" s="1780" t="s">
        <v>490</v>
      </c>
      <c r="K73" s="1685"/>
      <c r="L73" s="1685"/>
      <c r="M73" s="1685"/>
      <c r="N73" s="1686"/>
      <c r="O73" s="1686"/>
      <c r="P73" s="1685"/>
      <c r="Q73" s="635"/>
      <c r="R73" s="1685"/>
      <c r="S73" s="1686">
        <v>700000</v>
      </c>
      <c r="T73" s="1685" t="s">
        <v>0</v>
      </c>
      <c r="U73" s="1685"/>
      <c r="V73" s="1685">
        <v>12</v>
      </c>
      <c r="W73" s="1685" t="s">
        <v>2</v>
      </c>
      <c r="X73" s="1687" t="s">
        <v>1</v>
      </c>
      <c r="Y73" s="636">
        <f t="shared" si="1"/>
        <v>8400</v>
      </c>
      <c r="Z73" s="637">
        <f>S73*V73</f>
        <v>8400000</v>
      </c>
      <c r="AA73" s="224"/>
      <c r="AB73" s="220"/>
      <c r="AC73" s="220"/>
    </row>
    <row r="74" spans="1:30" s="221" customFormat="1" ht="21.95" customHeight="1">
      <c r="A74" s="618"/>
      <c r="B74" s="619"/>
      <c r="C74" s="620"/>
      <c r="D74" s="620"/>
      <c r="E74" s="620"/>
      <c r="F74" s="633"/>
      <c r="G74" s="633"/>
      <c r="H74" s="634"/>
      <c r="I74" s="624"/>
      <c r="J74" s="1780" t="s">
        <v>491</v>
      </c>
      <c r="K74" s="1685"/>
      <c r="L74" s="1685"/>
      <c r="M74" s="1685"/>
      <c r="N74" s="1686"/>
      <c r="O74" s="1686"/>
      <c r="P74" s="1685"/>
      <c r="Q74" s="635"/>
      <c r="R74" s="1685"/>
      <c r="S74" s="1686">
        <v>700000</v>
      </c>
      <c r="T74" s="1685" t="s">
        <v>0</v>
      </c>
      <c r="U74" s="1685"/>
      <c r="V74" s="1685">
        <v>12</v>
      </c>
      <c r="W74" s="1685" t="s">
        <v>2</v>
      </c>
      <c r="X74" s="1687" t="s">
        <v>1</v>
      </c>
      <c r="Y74" s="636">
        <f t="shared" si="1"/>
        <v>8400</v>
      </c>
      <c r="Z74" s="637">
        <f>S74*V74</f>
        <v>8400000</v>
      </c>
      <c r="AA74" s="224"/>
      <c r="AB74" s="220"/>
      <c r="AC74" s="220"/>
    </row>
    <row r="75" spans="1:30" s="221" customFormat="1" ht="21.95" customHeight="1">
      <c r="A75" s="618"/>
      <c r="B75" s="619"/>
      <c r="C75" s="620"/>
      <c r="D75" s="620"/>
      <c r="E75" s="620"/>
      <c r="F75" s="633"/>
      <c r="G75" s="633"/>
      <c r="H75" s="634"/>
      <c r="I75" s="624"/>
      <c r="J75" s="1780" t="s">
        <v>533</v>
      </c>
      <c r="K75" s="1685"/>
      <c r="L75" s="1685"/>
      <c r="M75" s="1685"/>
      <c r="N75" s="1686"/>
      <c r="O75" s="1686"/>
      <c r="P75" s="1685"/>
      <c r="Q75" s="635"/>
      <c r="R75" s="1685" t="s">
        <v>44</v>
      </c>
      <c r="S75" s="1779"/>
      <c r="T75" s="1685"/>
      <c r="U75" s="1685"/>
      <c r="V75" s="1685"/>
      <c r="W75" s="1685"/>
      <c r="X75" s="1687" t="s">
        <v>1</v>
      </c>
      <c r="Y75" s="636">
        <f t="shared" ref="Y75" si="9">+Z75/1000</f>
        <v>23500</v>
      </c>
      <c r="Z75" s="868">
        <v>23500000</v>
      </c>
      <c r="AA75" s="224"/>
      <c r="AB75" s="220"/>
      <c r="AC75" s="220"/>
    </row>
    <row r="76" spans="1:30" s="226" customFormat="1" ht="21.95" customHeight="1">
      <c r="A76" s="618"/>
      <c r="B76" s="619"/>
      <c r="C76" s="620"/>
      <c r="D76" s="620"/>
      <c r="E76" s="621" t="s">
        <v>84</v>
      </c>
      <c r="F76" s="622">
        <f>Y76</f>
        <v>34000</v>
      </c>
      <c r="G76" s="622">
        <v>34000</v>
      </c>
      <c r="H76" s="623"/>
      <c r="I76" s="624"/>
      <c r="J76" s="625" t="s">
        <v>342</v>
      </c>
      <c r="K76" s="626"/>
      <c r="L76" s="626"/>
      <c r="M76" s="626"/>
      <c r="N76" s="627"/>
      <c r="O76" s="627"/>
      <c r="P76" s="626"/>
      <c r="Q76" s="628"/>
      <c r="R76" s="626"/>
      <c r="S76" s="626"/>
      <c r="T76" s="626"/>
      <c r="U76" s="626"/>
      <c r="V76" s="626"/>
      <c r="W76" s="626"/>
      <c r="X76" s="629"/>
      <c r="Y76" s="630">
        <f t="shared" si="1"/>
        <v>34000</v>
      </c>
      <c r="Z76" s="631">
        <f>SUM(Z77:Z78)</f>
        <v>34000000</v>
      </c>
      <c r="AA76" s="224"/>
      <c r="AB76" s="220"/>
      <c r="AC76" s="225"/>
    </row>
    <row r="77" spans="1:30" s="226" customFormat="1" ht="21.95" customHeight="1">
      <c r="A77" s="618"/>
      <c r="B77" s="619"/>
      <c r="C77" s="620"/>
      <c r="D77" s="620"/>
      <c r="E77" s="620" t="s">
        <v>362</v>
      </c>
      <c r="F77" s="633"/>
      <c r="G77" s="633"/>
      <c r="H77" s="634"/>
      <c r="I77" s="624"/>
      <c r="J77" s="1780" t="s">
        <v>226</v>
      </c>
      <c r="K77" s="1685"/>
      <c r="L77" s="1685"/>
      <c r="M77" s="1685"/>
      <c r="N77" s="1686"/>
      <c r="O77" s="1685"/>
      <c r="P77" s="1685"/>
      <c r="Q77" s="635">
        <v>60</v>
      </c>
      <c r="R77" s="1685" t="s">
        <v>23</v>
      </c>
      <c r="S77" s="1686">
        <v>26000</v>
      </c>
      <c r="T77" s="1685" t="s">
        <v>0</v>
      </c>
      <c r="U77" s="1685"/>
      <c r="V77" s="1685">
        <v>12</v>
      </c>
      <c r="W77" s="1685" t="s">
        <v>360</v>
      </c>
      <c r="X77" s="1687" t="s">
        <v>1</v>
      </c>
      <c r="Y77" s="636">
        <f t="shared" si="1"/>
        <v>18720</v>
      </c>
      <c r="Z77" s="637">
        <f>Q77*S77*V77</f>
        <v>18720000</v>
      </c>
      <c r="AA77" s="224"/>
      <c r="AB77" s="220"/>
      <c r="AC77" s="225"/>
      <c r="AD77" s="227">
        <f>AB77-AC77</f>
        <v>0</v>
      </c>
    </row>
    <row r="78" spans="1:30" s="226" customFormat="1" ht="21.95" customHeight="1">
      <c r="A78" s="618"/>
      <c r="B78" s="619"/>
      <c r="C78" s="620"/>
      <c r="D78" s="620"/>
      <c r="E78" s="707" t="s">
        <v>19</v>
      </c>
      <c r="F78" s="1224"/>
      <c r="G78" s="1224"/>
      <c r="H78" s="715"/>
      <c r="I78" s="624"/>
      <c r="J78" s="721" t="s">
        <v>331</v>
      </c>
      <c r="K78" s="709"/>
      <c r="L78" s="709"/>
      <c r="M78" s="709"/>
      <c r="N78" s="710"/>
      <c r="O78" s="709"/>
      <c r="P78" s="709"/>
      <c r="Q78" s="722">
        <v>5</v>
      </c>
      <c r="R78" s="709" t="s">
        <v>23</v>
      </c>
      <c r="S78" s="710">
        <v>3056000</v>
      </c>
      <c r="T78" s="709" t="s">
        <v>0</v>
      </c>
      <c r="U78" s="709"/>
      <c r="V78" s="709">
        <v>1</v>
      </c>
      <c r="W78" s="709" t="s">
        <v>359</v>
      </c>
      <c r="X78" s="725" t="s">
        <v>1</v>
      </c>
      <c r="Y78" s="711">
        <f t="shared" si="1"/>
        <v>15280</v>
      </c>
      <c r="Z78" s="1239">
        <f>Q78*S78*V78</f>
        <v>15280000</v>
      </c>
      <c r="AA78" s="224"/>
      <c r="AB78" s="220"/>
      <c r="AC78" s="225"/>
    </row>
    <row r="79" spans="1:30" s="221" customFormat="1" ht="21.95" customHeight="1">
      <c r="A79" s="618"/>
      <c r="B79" s="619"/>
      <c r="C79" s="620"/>
      <c r="D79" s="620"/>
      <c r="E79" s="621" t="s">
        <v>75</v>
      </c>
      <c r="F79" s="622">
        <f>Y79</f>
        <v>312250</v>
      </c>
      <c r="G79" s="622">
        <v>312250</v>
      </c>
      <c r="H79" s="634"/>
      <c r="I79" s="624"/>
      <c r="J79" s="625" t="s">
        <v>194</v>
      </c>
      <c r="K79" s="626"/>
      <c r="L79" s="626"/>
      <c r="M79" s="626"/>
      <c r="N79" s="627"/>
      <c r="O79" s="626"/>
      <c r="P79" s="626"/>
      <c r="Q79" s="628"/>
      <c r="R79" s="626"/>
      <c r="S79" s="627"/>
      <c r="T79" s="626"/>
      <c r="U79" s="626"/>
      <c r="V79" s="626"/>
      <c r="W79" s="626"/>
      <c r="X79" s="629"/>
      <c r="Y79" s="630">
        <f t="shared" si="1"/>
        <v>312250</v>
      </c>
      <c r="Z79" s="631">
        <f>SUM(Z80,Z84,Z86)</f>
        <v>312250000</v>
      </c>
      <c r="AA79" s="224"/>
      <c r="AB79" s="220"/>
      <c r="AC79" s="220"/>
    </row>
    <row r="80" spans="1:30" s="221" customFormat="1" ht="21.95" customHeight="1">
      <c r="A80" s="618"/>
      <c r="B80" s="619"/>
      <c r="C80" s="620"/>
      <c r="D80" s="620"/>
      <c r="E80" s="884" t="s">
        <v>362</v>
      </c>
      <c r="F80" s="1240"/>
      <c r="G80" s="633"/>
      <c r="H80" s="634"/>
      <c r="I80" s="624"/>
      <c r="J80" s="1780" t="s">
        <v>492</v>
      </c>
      <c r="K80" s="1685"/>
      <c r="L80" s="1685"/>
      <c r="M80" s="1685"/>
      <c r="N80" s="1686"/>
      <c r="O80" s="1685"/>
      <c r="P80" s="1685"/>
      <c r="Q80" s="635"/>
      <c r="R80" s="1685"/>
      <c r="S80" s="1686"/>
      <c r="T80" s="1685"/>
      <c r="U80" s="1685"/>
      <c r="V80" s="1685"/>
      <c r="W80" s="1685"/>
      <c r="X80" s="1687"/>
      <c r="Y80" s="636">
        <f t="shared" si="1"/>
        <v>235450</v>
      </c>
      <c r="Z80" s="637">
        <f>SUM(Z81:Z83)</f>
        <v>235450000</v>
      </c>
      <c r="AA80" s="224"/>
      <c r="AB80" s="220"/>
      <c r="AC80" s="220"/>
    </row>
    <row r="81" spans="1:29" s="221" customFormat="1" ht="21.95" customHeight="1">
      <c r="A81" s="618"/>
      <c r="B81" s="619"/>
      <c r="C81" s="620"/>
      <c r="D81" s="620"/>
      <c r="E81" s="620"/>
      <c r="F81" s="633"/>
      <c r="G81" s="633"/>
      <c r="H81" s="634"/>
      <c r="I81" s="624"/>
      <c r="J81" s="1780" t="s">
        <v>493</v>
      </c>
      <c r="K81" s="1685"/>
      <c r="L81" s="1685"/>
      <c r="M81" s="1685"/>
      <c r="N81" s="1686"/>
      <c r="O81" s="1685"/>
      <c r="P81" s="1685"/>
      <c r="Q81" s="635"/>
      <c r="R81" s="1685"/>
      <c r="S81" s="1686">
        <v>110000000</v>
      </c>
      <c r="T81" s="1685" t="s">
        <v>4</v>
      </c>
      <c r="U81" s="1685"/>
      <c r="V81" s="1685">
        <v>1</v>
      </c>
      <c r="W81" s="1685" t="s">
        <v>196</v>
      </c>
      <c r="X81" s="1687" t="s">
        <v>5</v>
      </c>
      <c r="Y81" s="636">
        <f t="shared" si="1"/>
        <v>110000</v>
      </c>
      <c r="Z81" s="637">
        <f>S81*V81</f>
        <v>110000000</v>
      </c>
      <c r="AA81" s="224"/>
      <c r="AB81" s="220"/>
      <c r="AC81" s="220"/>
    </row>
    <row r="82" spans="1:29" s="221" customFormat="1" ht="22.5" customHeight="1">
      <c r="A82" s="618"/>
      <c r="B82" s="619"/>
      <c r="C82" s="620"/>
      <c r="D82" s="620"/>
      <c r="E82" s="620"/>
      <c r="F82" s="633"/>
      <c r="G82" s="633"/>
      <c r="H82" s="634"/>
      <c r="I82" s="624"/>
      <c r="J82" s="1780" t="s">
        <v>494</v>
      </c>
      <c r="K82" s="1685"/>
      <c r="L82" s="1685"/>
      <c r="M82" s="1685"/>
      <c r="N82" s="1686"/>
      <c r="O82" s="1685"/>
      <c r="P82" s="522"/>
      <c r="Q82" s="1241">
        <v>14700</v>
      </c>
      <c r="R82" s="1685" t="s">
        <v>22</v>
      </c>
      <c r="S82" s="1686">
        <v>1484.1269841269841</v>
      </c>
      <c r="T82" s="1685" t="s">
        <v>4</v>
      </c>
      <c r="U82" s="1685"/>
      <c r="V82" s="1685">
        <v>3</v>
      </c>
      <c r="W82" s="1685" t="s">
        <v>35</v>
      </c>
      <c r="X82" s="1687" t="s">
        <v>5</v>
      </c>
      <c r="Y82" s="636">
        <f t="shared" si="1"/>
        <v>65450</v>
      </c>
      <c r="Z82" s="637">
        <f>S82*V82*Q82</f>
        <v>65450000</v>
      </c>
      <c r="AA82" s="224">
        <f>+Z82-700000+350000</f>
        <v>65100000</v>
      </c>
      <c r="AB82" s="220">
        <f>AA82/V82/Q82</f>
        <v>1476.1904761904761</v>
      </c>
      <c r="AC82" s="220">
        <f>Q16</f>
        <v>0</v>
      </c>
    </row>
    <row r="83" spans="1:29" s="226" customFormat="1" ht="22.5" customHeight="1">
      <c r="A83" s="618"/>
      <c r="B83" s="619"/>
      <c r="C83" s="620"/>
      <c r="D83" s="620"/>
      <c r="E83" s="620"/>
      <c r="F83" s="633"/>
      <c r="G83" s="633"/>
      <c r="H83" s="634"/>
      <c r="I83" s="624"/>
      <c r="J83" s="1780" t="s">
        <v>495</v>
      </c>
      <c r="K83" s="1685"/>
      <c r="L83" s="1685"/>
      <c r="M83" s="1685"/>
      <c r="N83" s="1686"/>
      <c r="O83" s="1685"/>
      <c r="P83" s="1241"/>
      <c r="Q83" s="635"/>
      <c r="R83" s="1685"/>
      <c r="S83" s="1686">
        <v>5000000</v>
      </c>
      <c r="T83" s="1685" t="s">
        <v>4</v>
      </c>
      <c r="U83" s="1685"/>
      <c r="V83" s="1685">
        <v>12</v>
      </c>
      <c r="W83" s="1685" t="s">
        <v>49</v>
      </c>
      <c r="X83" s="1687" t="s">
        <v>5</v>
      </c>
      <c r="Y83" s="636">
        <f t="shared" si="1"/>
        <v>60000</v>
      </c>
      <c r="Z83" s="637">
        <f>S83*V83</f>
        <v>60000000</v>
      </c>
      <c r="AA83" s="224"/>
      <c r="AB83" s="220"/>
      <c r="AC83" s="225"/>
    </row>
    <row r="84" spans="1:29" s="221" customFormat="1" ht="24" customHeight="1">
      <c r="A84" s="618"/>
      <c r="B84" s="619"/>
      <c r="C84" s="620"/>
      <c r="D84" s="620"/>
      <c r="E84" s="620" t="s">
        <v>19</v>
      </c>
      <c r="F84" s="633" t="s">
        <v>19</v>
      </c>
      <c r="G84" s="633" t="s">
        <v>19</v>
      </c>
      <c r="H84" s="634"/>
      <c r="I84" s="624"/>
      <c r="J84" s="1780" t="s">
        <v>320</v>
      </c>
      <c r="K84" s="1685"/>
      <c r="L84" s="1685"/>
      <c r="M84" s="885"/>
      <c r="N84" s="1685"/>
      <c r="O84" s="1685"/>
      <c r="P84" s="1685"/>
      <c r="Q84" s="885"/>
      <c r="R84" s="1685"/>
      <c r="S84" s="1685"/>
      <c r="T84" s="1685"/>
      <c r="U84" s="1685"/>
      <c r="V84" s="1685"/>
      <c r="W84" s="1685"/>
      <c r="X84" s="1687"/>
      <c r="Y84" s="636">
        <f>+Z84/1000</f>
        <v>48000</v>
      </c>
      <c r="Z84" s="637">
        <f>SUM(Z85:Z85)</f>
        <v>48000000</v>
      </c>
      <c r="AA84" s="224"/>
      <c r="AB84" s="220"/>
      <c r="AC84" s="220"/>
    </row>
    <row r="85" spans="1:29" s="221" customFormat="1" ht="24" customHeight="1">
      <c r="A85" s="618"/>
      <c r="B85" s="619"/>
      <c r="C85" s="620"/>
      <c r="D85" s="620"/>
      <c r="E85" s="620"/>
      <c r="F85" s="633"/>
      <c r="G85" s="633"/>
      <c r="H85" s="634"/>
      <c r="I85" s="624"/>
      <c r="J85" s="1780" t="s">
        <v>496</v>
      </c>
      <c r="K85" s="1685"/>
      <c r="L85" s="1685"/>
      <c r="M85" s="1685"/>
      <c r="N85" s="1686"/>
      <c r="O85" s="1685"/>
      <c r="P85" s="1685"/>
      <c r="Q85" s="635"/>
      <c r="R85" s="1685"/>
      <c r="S85" s="1686">
        <v>4000000</v>
      </c>
      <c r="T85" s="1685" t="s">
        <v>0</v>
      </c>
      <c r="U85" s="1685"/>
      <c r="V85" s="1685">
        <v>12</v>
      </c>
      <c r="W85" s="1685" t="s">
        <v>2</v>
      </c>
      <c r="X85" s="1687" t="s">
        <v>1</v>
      </c>
      <c r="Y85" s="636">
        <f>+Z85/1000</f>
        <v>48000</v>
      </c>
      <c r="Z85" s="637">
        <f>S85*V85</f>
        <v>48000000</v>
      </c>
      <c r="AA85" s="224"/>
      <c r="AB85" s="220"/>
      <c r="AC85" s="220"/>
    </row>
    <row r="86" spans="1:29" s="221" customFormat="1" ht="24" customHeight="1">
      <c r="A86" s="618"/>
      <c r="B86" s="619"/>
      <c r="C86" s="620"/>
      <c r="D86" s="620"/>
      <c r="E86" s="620" t="s">
        <v>19</v>
      </c>
      <c r="F86" s="633" t="s">
        <v>19</v>
      </c>
      <c r="G86" s="633" t="s">
        <v>19</v>
      </c>
      <c r="H86" s="634"/>
      <c r="I86" s="624"/>
      <c r="J86" s="1780" t="s">
        <v>498</v>
      </c>
      <c r="K86" s="1685"/>
      <c r="L86" s="1685"/>
      <c r="M86" s="1685"/>
      <c r="N86" s="1686"/>
      <c r="O86" s="1686"/>
      <c r="P86" s="1685"/>
      <c r="Q86" s="635"/>
      <c r="R86" s="1685"/>
      <c r="S86" s="1685"/>
      <c r="T86" s="1685"/>
      <c r="U86" s="1685"/>
      <c r="V86" s="1685"/>
      <c r="W86" s="1685"/>
      <c r="X86" s="1687"/>
      <c r="Y86" s="636">
        <f>SUM(Y87:Y88)</f>
        <v>28800</v>
      </c>
      <c r="Z86" s="637">
        <f>SUM(Z87:Z88)</f>
        <v>28800000</v>
      </c>
      <c r="AA86" s="224"/>
      <c r="AB86" s="220"/>
      <c r="AC86" s="220"/>
    </row>
    <row r="87" spans="1:29" s="221" customFormat="1" ht="24" customHeight="1">
      <c r="A87" s="618"/>
      <c r="B87" s="619"/>
      <c r="C87" s="620"/>
      <c r="D87" s="620"/>
      <c r="E87" s="620"/>
      <c r="F87" s="633"/>
      <c r="G87" s="633"/>
      <c r="H87" s="634"/>
      <c r="I87" s="624"/>
      <c r="J87" s="1780" t="s">
        <v>497</v>
      </c>
      <c r="K87" s="1685"/>
      <c r="L87" s="1685"/>
      <c r="M87" s="1685"/>
      <c r="N87" s="1686"/>
      <c r="O87" s="1685"/>
      <c r="P87" s="1685"/>
      <c r="Q87" s="635">
        <v>12</v>
      </c>
      <c r="R87" s="1685" t="s">
        <v>43</v>
      </c>
      <c r="S87" s="1686">
        <v>600000</v>
      </c>
      <c r="T87" s="1685" t="s">
        <v>0</v>
      </c>
      <c r="U87" s="1685"/>
      <c r="V87" s="1685">
        <v>3</v>
      </c>
      <c r="W87" s="1685" t="s">
        <v>27</v>
      </c>
      <c r="X87" s="1687" t="s">
        <v>1</v>
      </c>
      <c r="Y87" s="636">
        <f t="shared" ref="Y87" si="10">+Z87/1000</f>
        <v>21600</v>
      </c>
      <c r="Z87" s="637">
        <f>+Q87*S87*V87</f>
        <v>21600000</v>
      </c>
      <c r="AA87" s="224"/>
      <c r="AB87" s="220"/>
      <c r="AC87" s="220"/>
    </row>
    <row r="88" spans="1:29" s="221" customFormat="1" ht="24" customHeight="1">
      <c r="A88" s="618"/>
      <c r="B88" s="619"/>
      <c r="C88" s="620"/>
      <c r="D88" s="620"/>
      <c r="E88" s="620"/>
      <c r="F88" s="633"/>
      <c r="G88" s="633"/>
      <c r="H88" s="634"/>
      <c r="I88" s="624"/>
      <c r="J88" s="1780" t="s">
        <v>497</v>
      </c>
      <c r="K88" s="1685"/>
      <c r="L88" s="1685"/>
      <c r="M88" s="1685"/>
      <c r="N88" s="1686"/>
      <c r="O88" s="1685"/>
      <c r="P88" s="1685"/>
      <c r="Q88" s="635">
        <v>12</v>
      </c>
      <c r="R88" s="1685" t="s">
        <v>43</v>
      </c>
      <c r="S88" s="1686">
        <v>600000</v>
      </c>
      <c r="T88" s="1685" t="s">
        <v>0</v>
      </c>
      <c r="U88" s="1685"/>
      <c r="V88" s="1685">
        <v>1</v>
      </c>
      <c r="W88" s="1685" t="s">
        <v>27</v>
      </c>
      <c r="X88" s="1687" t="s">
        <v>1</v>
      </c>
      <c r="Y88" s="636">
        <f>+Z88/1000</f>
        <v>7200</v>
      </c>
      <c r="Z88" s="637">
        <f>+Q88*S88*V88</f>
        <v>7200000</v>
      </c>
      <c r="AA88" s="224"/>
      <c r="AB88" s="220"/>
      <c r="AC88" s="220"/>
    </row>
    <row r="89" spans="1:29" s="221" customFormat="1" ht="24" customHeight="1">
      <c r="A89" s="618"/>
      <c r="B89" s="619"/>
      <c r="C89" s="620"/>
      <c r="D89" s="620"/>
      <c r="E89" s="716" t="s">
        <v>106</v>
      </c>
      <c r="F89" s="1229">
        <f>Y89</f>
        <v>2100</v>
      </c>
      <c r="G89" s="1229">
        <v>2100</v>
      </c>
      <c r="H89" s="713"/>
      <c r="I89" s="624"/>
      <c r="J89" s="757" t="s">
        <v>499</v>
      </c>
      <c r="K89" s="717"/>
      <c r="L89" s="717"/>
      <c r="M89" s="717"/>
      <c r="N89" s="717"/>
      <c r="O89" s="717"/>
      <c r="P89" s="1242"/>
      <c r="Q89" s="717"/>
      <c r="R89" s="717"/>
      <c r="S89" s="717">
        <v>700000</v>
      </c>
      <c r="T89" s="717" t="s">
        <v>0</v>
      </c>
      <c r="U89" s="717"/>
      <c r="V89" s="717">
        <v>3</v>
      </c>
      <c r="W89" s="717" t="s">
        <v>3</v>
      </c>
      <c r="X89" s="869" t="s">
        <v>1</v>
      </c>
      <c r="Y89" s="704">
        <f t="shared" ref="Y89" si="11">+Z89/1000</f>
        <v>2100</v>
      </c>
      <c r="Z89" s="1235">
        <f>S89*V89</f>
        <v>2100000</v>
      </c>
      <c r="AA89" s="224"/>
      <c r="AB89" s="220"/>
      <c r="AC89" s="220"/>
    </row>
    <row r="90" spans="1:29" s="221" customFormat="1" ht="24" customHeight="1">
      <c r="A90" s="618"/>
      <c r="B90" s="619"/>
      <c r="C90" s="620"/>
      <c r="D90" s="620"/>
      <c r="E90" s="620" t="s">
        <v>52</v>
      </c>
      <c r="F90" s="633">
        <f>Y90</f>
        <v>86840</v>
      </c>
      <c r="G90" s="633">
        <v>86840</v>
      </c>
      <c r="H90" s="634"/>
      <c r="I90" s="624"/>
      <c r="J90" s="1780" t="s">
        <v>194</v>
      </c>
      <c r="K90" s="1685"/>
      <c r="L90" s="1685"/>
      <c r="M90" s="1685"/>
      <c r="N90" s="1686"/>
      <c r="O90" s="1685"/>
      <c r="P90" s="1685"/>
      <c r="Q90" s="635"/>
      <c r="R90" s="1685"/>
      <c r="S90" s="1686"/>
      <c r="T90" s="1685"/>
      <c r="U90" s="1685"/>
      <c r="V90" s="1243"/>
      <c r="W90" s="1685"/>
      <c r="X90" s="1687"/>
      <c r="Y90" s="636">
        <f t="shared" ref="Y90:Y100" si="12">+Z90/1000</f>
        <v>86840</v>
      </c>
      <c r="Z90" s="637">
        <f>SUM(Z91:Z103)</f>
        <v>86840000</v>
      </c>
      <c r="AA90" s="224"/>
      <c r="AB90" s="220"/>
      <c r="AC90" s="220"/>
    </row>
    <row r="91" spans="1:29" s="221" customFormat="1" ht="24" customHeight="1">
      <c r="A91" s="618"/>
      <c r="B91" s="619"/>
      <c r="C91" s="620"/>
      <c r="D91" s="620"/>
      <c r="E91" s="620" t="s">
        <v>19</v>
      </c>
      <c r="F91" s="633"/>
      <c r="G91" s="633"/>
      <c r="H91" s="634"/>
      <c r="I91" s="624"/>
      <c r="J91" s="1780" t="s">
        <v>500</v>
      </c>
      <c r="K91" s="1685"/>
      <c r="L91" s="1685"/>
      <c r="M91" s="1685"/>
      <c r="N91" s="1686"/>
      <c r="O91" s="1685"/>
      <c r="P91" s="1685"/>
      <c r="Q91" s="635"/>
      <c r="R91" s="1685"/>
      <c r="S91" s="1686">
        <v>250000</v>
      </c>
      <c r="T91" s="1685" t="s">
        <v>0</v>
      </c>
      <c r="U91" s="1685"/>
      <c r="V91" s="1685">
        <v>4</v>
      </c>
      <c r="W91" s="1685" t="s">
        <v>359</v>
      </c>
      <c r="X91" s="1687" t="s">
        <v>1</v>
      </c>
      <c r="Y91" s="636">
        <f t="shared" si="12"/>
        <v>1000</v>
      </c>
      <c r="Z91" s="637">
        <f>S91*V91</f>
        <v>1000000</v>
      </c>
      <c r="AA91" s="224"/>
      <c r="AB91" s="220"/>
      <c r="AC91" s="220"/>
    </row>
    <row r="92" spans="1:29" s="221" customFormat="1" ht="24" customHeight="1">
      <c r="A92" s="618"/>
      <c r="B92" s="619"/>
      <c r="C92" s="620"/>
      <c r="D92" s="620"/>
      <c r="E92" s="620"/>
      <c r="F92" s="633"/>
      <c r="G92" s="633"/>
      <c r="H92" s="634"/>
      <c r="I92" s="624"/>
      <c r="J92" s="2541" t="s">
        <v>501</v>
      </c>
      <c r="K92" s="1685"/>
      <c r="L92" s="1685"/>
      <c r="M92" s="1685"/>
      <c r="N92" s="1686"/>
      <c r="O92" s="1686"/>
      <c r="P92" s="1685"/>
      <c r="Q92" s="635">
        <v>10</v>
      </c>
      <c r="R92" s="1685" t="s">
        <v>124</v>
      </c>
      <c r="S92" s="1685">
        <v>2000</v>
      </c>
      <c r="T92" s="1685" t="s">
        <v>0</v>
      </c>
      <c r="U92" s="1685"/>
      <c r="V92" s="1685">
        <v>12</v>
      </c>
      <c r="W92" s="1685" t="s">
        <v>2</v>
      </c>
      <c r="X92" s="1687" t="s">
        <v>1</v>
      </c>
      <c r="Y92" s="636">
        <f t="shared" si="12"/>
        <v>240</v>
      </c>
      <c r="Z92" s="637">
        <f>ROUNDUP(S92*Q92*V92,-3)</f>
        <v>240000</v>
      </c>
      <c r="AA92" s="224"/>
      <c r="AB92" s="220"/>
      <c r="AC92" s="220"/>
    </row>
    <row r="93" spans="1:29" s="221" customFormat="1" ht="24" customHeight="1">
      <c r="A93" s="618"/>
      <c r="B93" s="619"/>
      <c r="C93" s="620"/>
      <c r="D93" s="620"/>
      <c r="E93" s="620"/>
      <c r="F93" s="633"/>
      <c r="G93" s="633"/>
      <c r="H93" s="634"/>
      <c r="I93" s="624"/>
      <c r="J93" s="1780" t="s">
        <v>502</v>
      </c>
      <c r="K93" s="1685"/>
      <c r="L93" s="1685"/>
      <c r="M93" s="1685"/>
      <c r="N93" s="1686"/>
      <c r="O93" s="1685"/>
      <c r="P93" s="1685"/>
      <c r="Q93" s="635">
        <v>12</v>
      </c>
      <c r="R93" s="1685" t="s">
        <v>23</v>
      </c>
      <c r="S93" s="1686">
        <v>200000</v>
      </c>
      <c r="T93" s="1685" t="s">
        <v>0</v>
      </c>
      <c r="U93" s="1685"/>
      <c r="V93" s="1685">
        <v>4</v>
      </c>
      <c r="W93" s="1685" t="s">
        <v>3</v>
      </c>
      <c r="X93" s="1687" t="s">
        <v>1</v>
      </c>
      <c r="Y93" s="636">
        <f t="shared" si="12"/>
        <v>9600</v>
      </c>
      <c r="Z93" s="637">
        <f>S93*Q93*V93</f>
        <v>9600000</v>
      </c>
      <c r="AA93" s="224"/>
      <c r="AB93" s="220"/>
      <c r="AC93" s="220"/>
    </row>
    <row r="94" spans="1:29" s="221" customFormat="1" ht="24" customHeight="1">
      <c r="A94" s="618"/>
      <c r="B94" s="619"/>
      <c r="C94" s="620"/>
      <c r="D94" s="620"/>
      <c r="E94" s="620"/>
      <c r="F94" s="633"/>
      <c r="G94" s="633"/>
      <c r="H94" s="634"/>
      <c r="I94" s="624"/>
      <c r="J94" s="1780" t="s">
        <v>503</v>
      </c>
      <c r="K94" s="1685"/>
      <c r="L94" s="1685"/>
      <c r="M94" s="1685"/>
      <c r="N94" s="1686"/>
      <c r="O94" s="1685"/>
      <c r="P94" s="1685"/>
      <c r="Q94" s="635">
        <v>5</v>
      </c>
      <c r="R94" s="1685" t="s">
        <v>23</v>
      </c>
      <c r="S94" s="1686">
        <v>200000</v>
      </c>
      <c r="T94" s="1685" t="s">
        <v>0</v>
      </c>
      <c r="U94" s="1685"/>
      <c r="V94" s="1685">
        <v>5</v>
      </c>
      <c r="W94" s="1685" t="s">
        <v>3</v>
      </c>
      <c r="X94" s="1687" t="s">
        <v>1</v>
      </c>
      <c r="Y94" s="636">
        <f t="shared" si="12"/>
        <v>5000</v>
      </c>
      <c r="Z94" s="637">
        <f>S94*Q94*V94</f>
        <v>5000000</v>
      </c>
      <c r="AA94" s="224"/>
      <c r="AB94" s="220"/>
      <c r="AC94" s="220"/>
    </row>
    <row r="95" spans="1:29" s="221" customFormat="1" ht="24" customHeight="1">
      <c r="A95" s="618"/>
      <c r="B95" s="619"/>
      <c r="C95" s="620"/>
      <c r="D95" s="620"/>
      <c r="E95" s="620"/>
      <c r="F95" s="633"/>
      <c r="G95" s="633"/>
      <c r="H95" s="634"/>
      <c r="I95" s="624"/>
      <c r="J95" s="1780" t="s">
        <v>504</v>
      </c>
      <c r="K95" s="1685"/>
      <c r="L95" s="1685"/>
      <c r="M95" s="1685"/>
      <c r="N95" s="1686"/>
      <c r="O95" s="1685"/>
      <c r="P95" s="1685"/>
      <c r="Q95" s="635">
        <v>9</v>
      </c>
      <c r="R95" s="1685" t="s">
        <v>23</v>
      </c>
      <c r="S95" s="1686">
        <v>200000</v>
      </c>
      <c r="T95" s="1685" t="s">
        <v>0</v>
      </c>
      <c r="U95" s="1685"/>
      <c r="V95" s="1685">
        <v>2</v>
      </c>
      <c r="W95" s="1685" t="s">
        <v>3</v>
      </c>
      <c r="X95" s="1687" t="s">
        <v>1</v>
      </c>
      <c r="Y95" s="636">
        <f t="shared" si="12"/>
        <v>3600</v>
      </c>
      <c r="Z95" s="637">
        <f>S95*Q95*V95</f>
        <v>3600000</v>
      </c>
      <c r="AA95" s="224"/>
      <c r="AB95" s="220"/>
      <c r="AC95" s="220"/>
    </row>
    <row r="96" spans="1:29" s="221" customFormat="1" ht="24" customHeight="1">
      <c r="A96" s="618"/>
      <c r="B96" s="619"/>
      <c r="C96" s="620"/>
      <c r="D96" s="620"/>
      <c r="E96" s="620"/>
      <c r="F96" s="633"/>
      <c r="G96" s="633"/>
      <c r="H96" s="634"/>
      <c r="I96" s="624"/>
      <c r="J96" s="1780" t="s">
        <v>505</v>
      </c>
      <c r="K96" s="1685"/>
      <c r="L96" s="1685"/>
      <c r="M96" s="1685"/>
      <c r="N96" s="1686"/>
      <c r="O96" s="1685"/>
      <c r="P96" s="1685"/>
      <c r="Q96" s="635">
        <v>7</v>
      </c>
      <c r="R96" s="1685" t="s">
        <v>531</v>
      </c>
      <c r="S96" s="1686">
        <v>200000</v>
      </c>
      <c r="T96" s="1685" t="s">
        <v>0</v>
      </c>
      <c r="U96" s="635"/>
      <c r="V96" s="1685">
        <v>2</v>
      </c>
      <c r="W96" s="1685" t="s">
        <v>3</v>
      </c>
      <c r="X96" s="1687" t="s">
        <v>1</v>
      </c>
      <c r="Y96" s="636">
        <f t="shared" si="12"/>
        <v>2800</v>
      </c>
      <c r="Z96" s="637">
        <f>S96*Q96*V96</f>
        <v>2800000</v>
      </c>
      <c r="AA96" s="224"/>
      <c r="AB96" s="220"/>
      <c r="AC96" s="220"/>
    </row>
    <row r="97" spans="1:30" s="221" customFormat="1" ht="24" customHeight="1">
      <c r="A97" s="618"/>
      <c r="B97" s="619"/>
      <c r="C97" s="620"/>
      <c r="D97" s="620"/>
      <c r="E97" s="620"/>
      <c r="F97" s="633"/>
      <c r="G97" s="633"/>
      <c r="H97" s="634"/>
      <c r="I97" s="624"/>
      <c r="J97" s="1780" t="s">
        <v>506</v>
      </c>
      <c r="K97" s="1685"/>
      <c r="L97" s="1685"/>
      <c r="M97" s="1685"/>
      <c r="N97" s="1686"/>
      <c r="O97" s="1685"/>
      <c r="P97" s="1685"/>
      <c r="Q97" s="635">
        <v>1</v>
      </c>
      <c r="R97" s="1685" t="s">
        <v>81</v>
      </c>
      <c r="S97" s="1686">
        <v>3000000</v>
      </c>
      <c r="T97" s="1685" t="s">
        <v>0</v>
      </c>
      <c r="U97" s="1685"/>
      <c r="V97" s="1685">
        <v>1</v>
      </c>
      <c r="W97" s="1685" t="s">
        <v>3</v>
      </c>
      <c r="X97" s="1687" t="s">
        <v>1</v>
      </c>
      <c r="Y97" s="636">
        <f t="shared" si="12"/>
        <v>3000</v>
      </c>
      <c r="Z97" s="637">
        <f>S97*Q97*V97</f>
        <v>3000000</v>
      </c>
      <c r="AA97" s="224"/>
      <c r="AB97" s="220"/>
      <c r="AC97" s="220"/>
    </row>
    <row r="98" spans="1:30" s="221" customFormat="1" ht="24" customHeight="1">
      <c r="A98" s="618"/>
      <c r="B98" s="619"/>
      <c r="C98" s="620"/>
      <c r="D98" s="620"/>
      <c r="E98" s="620"/>
      <c r="F98" s="633"/>
      <c r="G98" s="633"/>
      <c r="H98" s="634"/>
      <c r="I98" s="624"/>
      <c r="J98" s="1780" t="s">
        <v>507</v>
      </c>
      <c r="K98" s="1685"/>
      <c r="L98" s="1685"/>
      <c r="M98" s="1685"/>
      <c r="N98" s="1686"/>
      <c r="O98" s="1685"/>
      <c r="P98" s="1685"/>
      <c r="Q98" s="635">
        <v>12</v>
      </c>
      <c r="R98" s="1685" t="s">
        <v>43</v>
      </c>
      <c r="S98" s="1686">
        <v>25000</v>
      </c>
      <c r="T98" s="1685" t="s">
        <v>0</v>
      </c>
      <c r="U98" s="1685"/>
      <c r="V98" s="1685">
        <v>10</v>
      </c>
      <c r="W98" s="1685" t="s">
        <v>3</v>
      </c>
      <c r="X98" s="1687" t="s">
        <v>1</v>
      </c>
      <c r="Y98" s="636">
        <f t="shared" si="12"/>
        <v>3000</v>
      </c>
      <c r="Z98" s="637">
        <f>S98*V98*Q98</f>
        <v>3000000</v>
      </c>
      <c r="AA98" s="224"/>
      <c r="AB98" s="220"/>
      <c r="AC98" s="220"/>
    </row>
    <row r="99" spans="1:30" s="221" customFormat="1" ht="24" customHeight="1">
      <c r="A99" s="618"/>
      <c r="B99" s="619"/>
      <c r="C99" s="620"/>
      <c r="D99" s="620"/>
      <c r="E99" s="620"/>
      <c r="F99" s="633"/>
      <c r="G99" s="633"/>
      <c r="H99" s="634"/>
      <c r="I99" s="624"/>
      <c r="J99" s="1780" t="s">
        <v>508</v>
      </c>
      <c r="K99" s="1685"/>
      <c r="L99" s="1685"/>
      <c r="M99" s="1685"/>
      <c r="N99" s="1686"/>
      <c r="O99" s="1685"/>
      <c r="P99" s="1685"/>
      <c r="Q99" s="635">
        <v>2</v>
      </c>
      <c r="R99" s="1685" t="s">
        <v>23</v>
      </c>
      <c r="S99" s="1686">
        <v>440000</v>
      </c>
      <c r="T99" s="1685" t="s">
        <v>0</v>
      </c>
      <c r="U99" s="1685"/>
      <c r="V99" s="1685">
        <v>12</v>
      </c>
      <c r="W99" s="1685" t="s">
        <v>2</v>
      </c>
      <c r="X99" s="1687" t="s">
        <v>1</v>
      </c>
      <c r="Y99" s="636">
        <f t="shared" si="12"/>
        <v>10560</v>
      </c>
      <c r="Z99" s="637">
        <f>S99*V99*Q99</f>
        <v>10560000</v>
      </c>
      <c r="AA99" s="224"/>
      <c r="AB99" s="220"/>
      <c r="AC99" s="220"/>
    </row>
    <row r="100" spans="1:30" s="221" customFormat="1" ht="24" customHeight="1">
      <c r="A100" s="618"/>
      <c r="B100" s="619"/>
      <c r="C100" s="620"/>
      <c r="D100" s="620"/>
      <c r="E100" s="620"/>
      <c r="F100" s="633"/>
      <c r="G100" s="633"/>
      <c r="H100" s="634"/>
      <c r="I100" s="624"/>
      <c r="J100" s="1780" t="s">
        <v>509</v>
      </c>
      <c r="K100" s="1685"/>
      <c r="L100" s="1685"/>
      <c r="M100" s="1685"/>
      <c r="N100" s="1686"/>
      <c r="O100" s="1685"/>
      <c r="P100" s="1685"/>
      <c r="Q100" s="635"/>
      <c r="R100" s="1685"/>
      <c r="S100" s="1686">
        <v>10000000</v>
      </c>
      <c r="T100" s="1685" t="s">
        <v>0</v>
      </c>
      <c r="U100" s="1685"/>
      <c r="V100" s="1685">
        <v>1</v>
      </c>
      <c r="W100" s="1685" t="s">
        <v>359</v>
      </c>
      <c r="X100" s="1687" t="s">
        <v>1</v>
      </c>
      <c r="Y100" s="636">
        <f t="shared" si="12"/>
        <v>10000</v>
      </c>
      <c r="Z100" s="637">
        <f>S100*V100</f>
        <v>10000000</v>
      </c>
      <c r="AA100" s="224"/>
      <c r="AB100" s="220"/>
      <c r="AC100" s="220"/>
    </row>
    <row r="101" spans="1:30" s="221" customFormat="1" ht="24" customHeight="1">
      <c r="A101" s="618"/>
      <c r="B101" s="619"/>
      <c r="C101" s="620"/>
      <c r="D101" s="620"/>
      <c r="E101" s="620"/>
      <c r="F101" s="633"/>
      <c r="G101" s="633"/>
      <c r="H101" s="634"/>
      <c r="I101" s="624"/>
      <c r="J101" s="1780" t="s">
        <v>510</v>
      </c>
      <c r="K101" s="1685"/>
      <c r="L101" s="1685"/>
      <c r="M101" s="1685"/>
      <c r="N101" s="1686"/>
      <c r="O101" s="1685"/>
      <c r="P101" s="1685"/>
      <c r="Q101" s="635"/>
      <c r="R101" s="1685"/>
      <c r="S101" s="1686">
        <v>5000000</v>
      </c>
      <c r="T101" s="1685" t="s">
        <v>0</v>
      </c>
      <c r="U101" s="1685"/>
      <c r="V101" s="1685">
        <v>1</v>
      </c>
      <c r="W101" s="1685" t="s">
        <v>359</v>
      </c>
      <c r="X101" s="1687" t="s">
        <v>1</v>
      </c>
      <c r="Y101" s="636">
        <f>+Z101/1000</f>
        <v>5000</v>
      </c>
      <c r="Z101" s="637">
        <f>S101*V101</f>
        <v>5000000</v>
      </c>
      <c r="AA101" s="224"/>
      <c r="AB101" s="220"/>
      <c r="AC101" s="220"/>
    </row>
    <row r="102" spans="1:30" s="221" customFormat="1" ht="24" customHeight="1">
      <c r="A102" s="618"/>
      <c r="B102" s="619"/>
      <c r="C102" s="620"/>
      <c r="D102" s="620"/>
      <c r="E102" s="620"/>
      <c r="F102" s="633"/>
      <c r="G102" s="633"/>
      <c r="H102" s="634"/>
      <c r="I102" s="624"/>
      <c r="J102" s="1780" t="s">
        <v>511</v>
      </c>
      <c r="K102" s="1685"/>
      <c r="L102" s="1685"/>
      <c r="M102" s="1685"/>
      <c r="N102" s="1686"/>
      <c r="O102" s="1685"/>
      <c r="P102" s="1685"/>
      <c r="Q102" s="635"/>
      <c r="R102" s="1685"/>
      <c r="S102" s="1686">
        <v>670000</v>
      </c>
      <c r="T102" s="1685" t="s">
        <v>0</v>
      </c>
      <c r="U102" s="1685"/>
      <c r="V102" s="1685">
        <v>12</v>
      </c>
      <c r="W102" s="1198" t="s">
        <v>359</v>
      </c>
      <c r="X102" s="1687" t="s">
        <v>1</v>
      </c>
      <c r="Y102" s="636">
        <f>+Z102/1000</f>
        <v>8040</v>
      </c>
      <c r="Z102" s="637">
        <f>S102*V102</f>
        <v>8040000</v>
      </c>
      <c r="AA102" s="224"/>
      <c r="AB102" s="220"/>
      <c r="AC102" s="220"/>
    </row>
    <row r="103" spans="1:30" s="221" customFormat="1" ht="24" customHeight="1">
      <c r="A103" s="618"/>
      <c r="B103" s="619"/>
      <c r="C103" s="620"/>
      <c r="D103" s="620"/>
      <c r="E103" s="620"/>
      <c r="F103" s="633"/>
      <c r="G103" s="633"/>
      <c r="H103" s="634"/>
      <c r="I103" s="624"/>
      <c r="J103" s="1780" t="s">
        <v>512</v>
      </c>
      <c r="K103" s="1685"/>
      <c r="L103" s="1685"/>
      <c r="M103" s="1685"/>
      <c r="N103" s="1686"/>
      <c r="O103" s="1685"/>
      <c r="P103" s="1685"/>
      <c r="Q103" s="635">
        <v>1</v>
      </c>
      <c r="R103" s="1685" t="s">
        <v>23</v>
      </c>
      <c r="S103" s="1686">
        <v>2083333.3333333333</v>
      </c>
      <c r="T103" s="1685" t="s">
        <v>0</v>
      </c>
      <c r="U103" s="1685"/>
      <c r="V103" s="1685">
        <v>12</v>
      </c>
      <c r="W103" s="1685" t="s">
        <v>360</v>
      </c>
      <c r="X103" s="1687" t="s">
        <v>1</v>
      </c>
      <c r="Y103" s="636">
        <f>+Z103/1000</f>
        <v>25000</v>
      </c>
      <c r="Z103" s="637">
        <f>S103*V103</f>
        <v>25000000</v>
      </c>
      <c r="AA103" s="224"/>
      <c r="AB103" s="220"/>
      <c r="AC103" s="220"/>
      <c r="AD103" s="571"/>
    </row>
    <row r="104" spans="1:30" s="221" customFormat="1" ht="24" customHeight="1">
      <c r="A104" s="618"/>
      <c r="B104" s="619"/>
      <c r="C104" s="620"/>
      <c r="D104" s="620"/>
      <c r="E104" s="621" t="s">
        <v>65</v>
      </c>
      <c r="F104" s="622">
        <f>Y104</f>
        <v>942900</v>
      </c>
      <c r="G104" s="622">
        <v>942900</v>
      </c>
      <c r="H104" s="623"/>
      <c r="I104" s="624"/>
      <c r="J104" s="625" t="s">
        <v>194</v>
      </c>
      <c r="K104" s="626"/>
      <c r="L104" s="626"/>
      <c r="M104" s="626"/>
      <c r="N104" s="627"/>
      <c r="O104" s="627"/>
      <c r="P104" s="626"/>
      <c r="Q104" s="628"/>
      <c r="R104" s="626"/>
      <c r="S104" s="626"/>
      <c r="T104" s="626"/>
      <c r="U104" s="626"/>
      <c r="V104" s="626"/>
      <c r="W104" s="626"/>
      <c r="X104" s="629"/>
      <c r="Y104" s="631">
        <f>Z104/1000</f>
        <v>942900</v>
      </c>
      <c r="Z104" s="631">
        <f>SUM(Z105:Z112)</f>
        <v>942900000</v>
      </c>
      <c r="AA104" s="224"/>
      <c r="AB104" s="220"/>
      <c r="AC104" s="220"/>
    </row>
    <row r="105" spans="1:30" s="221" customFormat="1" ht="24" customHeight="1">
      <c r="A105" s="618"/>
      <c r="B105" s="619"/>
      <c r="C105" s="620"/>
      <c r="D105" s="620"/>
      <c r="E105" s="620"/>
      <c r="F105" s="633"/>
      <c r="G105" s="633"/>
      <c r="H105" s="634"/>
      <c r="I105" s="624"/>
      <c r="J105" s="1780" t="s">
        <v>513</v>
      </c>
      <c r="K105" s="1685"/>
      <c r="L105" s="1685"/>
      <c r="M105" s="1685"/>
      <c r="N105" s="1686"/>
      <c r="O105" s="1685"/>
      <c r="P105" s="1685"/>
      <c r="Q105" s="635"/>
      <c r="R105" s="1685"/>
      <c r="S105" s="1686">
        <v>10000000</v>
      </c>
      <c r="T105" s="1685" t="s">
        <v>0</v>
      </c>
      <c r="U105" s="1685"/>
      <c r="V105" s="1685">
        <v>1</v>
      </c>
      <c r="W105" s="1685" t="s">
        <v>35</v>
      </c>
      <c r="X105" s="1687" t="s">
        <v>1</v>
      </c>
      <c r="Y105" s="636">
        <f t="shared" ref="Y105:Y115" si="13">+Z105/1000</f>
        <v>10000</v>
      </c>
      <c r="Z105" s="637">
        <f t="shared" ref="Z105:Z112" si="14">S105*V105</f>
        <v>10000000</v>
      </c>
      <c r="AA105" s="224"/>
      <c r="AB105" s="220"/>
      <c r="AC105" s="220"/>
    </row>
    <row r="106" spans="1:30" s="221" customFormat="1" ht="24" customHeight="1">
      <c r="A106" s="618"/>
      <c r="B106" s="619"/>
      <c r="C106" s="620"/>
      <c r="D106" s="620"/>
      <c r="E106" s="620"/>
      <c r="F106" s="633"/>
      <c r="G106" s="633"/>
      <c r="H106" s="634"/>
      <c r="I106" s="624"/>
      <c r="J106" s="1780" t="s">
        <v>514</v>
      </c>
      <c r="K106" s="1685"/>
      <c r="L106" s="1685"/>
      <c r="M106" s="1685"/>
      <c r="N106" s="1686"/>
      <c r="O106" s="1685"/>
      <c r="P106" s="1685"/>
      <c r="Q106" s="635"/>
      <c r="R106" s="1685"/>
      <c r="S106" s="1686">
        <v>17700000</v>
      </c>
      <c r="T106" s="1685" t="s">
        <v>0</v>
      </c>
      <c r="U106" s="1685"/>
      <c r="V106" s="1685">
        <v>1</v>
      </c>
      <c r="W106" s="1685" t="s">
        <v>35</v>
      </c>
      <c r="X106" s="1687" t="s">
        <v>1</v>
      </c>
      <c r="Y106" s="636">
        <f t="shared" si="13"/>
        <v>17700</v>
      </c>
      <c r="Z106" s="637">
        <f t="shared" si="14"/>
        <v>17700000</v>
      </c>
      <c r="AA106" s="224"/>
      <c r="AB106" s="220"/>
      <c r="AC106" s="220"/>
    </row>
    <row r="107" spans="1:30" s="226" customFormat="1" ht="24" customHeight="1">
      <c r="A107" s="618"/>
      <c r="B107" s="619"/>
      <c r="C107" s="620"/>
      <c r="D107" s="620"/>
      <c r="E107" s="620"/>
      <c r="F107" s="633"/>
      <c r="G107" s="633"/>
      <c r="H107" s="634"/>
      <c r="I107" s="624"/>
      <c r="J107" s="1780" t="s">
        <v>515</v>
      </c>
      <c r="K107" s="1685"/>
      <c r="L107" s="1685"/>
      <c r="M107" s="1685"/>
      <c r="N107" s="1686"/>
      <c r="O107" s="1685"/>
      <c r="P107" s="1685"/>
      <c r="Q107" s="635" t="s">
        <v>44</v>
      </c>
      <c r="R107" s="1685" t="s">
        <v>44</v>
      </c>
      <c r="S107" s="1686">
        <v>3000000</v>
      </c>
      <c r="T107" s="1685" t="s">
        <v>0</v>
      </c>
      <c r="U107" s="1685"/>
      <c r="V107" s="1685">
        <v>1</v>
      </c>
      <c r="W107" s="1685" t="s">
        <v>35</v>
      </c>
      <c r="X107" s="1687" t="s">
        <v>1</v>
      </c>
      <c r="Y107" s="636">
        <f t="shared" si="13"/>
        <v>3000</v>
      </c>
      <c r="Z107" s="637">
        <f t="shared" si="14"/>
        <v>3000000</v>
      </c>
      <c r="AA107" s="224"/>
      <c r="AB107" s="220"/>
      <c r="AC107" s="225"/>
    </row>
    <row r="108" spans="1:30" s="226" customFormat="1" ht="24" customHeight="1">
      <c r="A108" s="618"/>
      <c r="B108" s="619"/>
      <c r="C108" s="620"/>
      <c r="D108" s="620"/>
      <c r="E108" s="620"/>
      <c r="F108" s="633"/>
      <c r="G108" s="633"/>
      <c r="H108" s="634"/>
      <c r="I108" s="624"/>
      <c r="J108" s="1780" t="s">
        <v>516</v>
      </c>
      <c r="K108" s="1685"/>
      <c r="L108" s="1685"/>
      <c r="M108" s="1685"/>
      <c r="N108" s="1686"/>
      <c r="O108" s="1685"/>
      <c r="P108" s="1685"/>
      <c r="Q108" s="635"/>
      <c r="R108" s="1685"/>
      <c r="S108" s="1686">
        <v>640640000</v>
      </c>
      <c r="T108" s="1685" t="s">
        <v>0</v>
      </c>
      <c r="U108" s="1685"/>
      <c r="V108" s="1685">
        <v>1</v>
      </c>
      <c r="W108" s="1685" t="s">
        <v>196</v>
      </c>
      <c r="X108" s="1687" t="s">
        <v>1</v>
      </c>
      <c r="Y108" s="636">
        <f t="shared" si="13"/>
        <v>640640</v>
      </c>
      <c r="Z108" s="637">
        <f t="shared" si="14"/>
        <v>640640000</v>
      </c>
      <c r="AA108" s="224"/>
      <c r="AB108" s="220"/>
      <c r="AC108" s="225"/>
    </row>
    <row r="109" spans="1:30" s="221" customFormat="1" ht="24" customHeight="1">
      <c r="A109" s="618"/>
      <c r="B109" s="619"/>
      <c r="C109" s="620"/>
      <c r="D109" s="620"/>
      <c r="E109" s="620"/>
      <c r="F109" s="633"/>
      <c r="G109" s="633"/>
      <c r="H109" s="634"/>
      <c r="I109" s="624"/>
      <c r="J109" s="1780" t="s">
        <v>517</v>
      </c>
      <c r="K109" s="1685"/>
      <c r="L109" s="1685"/>
      <c r="M109" s="1685"/>
      <c r="N109" s="1686"/>
      <c r="O109" s="1685"/>
      <c r="P109" s="1685"/>
      <c r="Q109" s="635" t="s">
        <v>44</v>
      </c>
      <c r="R109" s="1685" t="s">
        <v>44</v>
      </c>
      <c r="S109" s="1686">
        <v>188092000</v>
      </c>
      <c r="T109" s="1685" t="s">
        <v>0</v>
      </c>
      <c r="U109" s="1685"/>
      <c r="V109" s="1685">
        <v>1</v>
      </c>
      <c r="W109" s="1685" t="s">
        <v>196</v>
      </c>
      <c r="X109" s="1687" t="s">
        <v>1</v>
      </c>
      <c r="Y109" s="636">
        <f t="shared" si="13"/>
        <v>188092</v>
      </c>
      <c r="Z109" s="637">
        <f t="shared" si="14"/>
        <v>188092000</v>
      </c>
      <c r="AA109" s="224"/>
      <c r="AB109" s="220"/>
      <c r="AC109" s="220"/>
    </row>
    <row r="110" spans="1:30" s="221" customFormat="1" ht="24" customHeight="1">
      <c r="A110" s="618"/>
      <c r="B110" s="619"/>
      <c r="C110" s="620"/>
      <c r="D110" s="620"/>
      <c r="E110" s="620"/>
      <c r="F110" s="633"/>
      <c r="G110" s="633"/>
      <c r="H110" s="634"/>
      <c r="I110" s="624"/>
      <c r="J110" s="1780" t="s">
        <v>518</v>
      </c>
      <c r="K110" s="1685"/>
      <c r="L110" s="1685"/>
      <c r="M110" s="1685"/>
      <c r="N110" s="1686"/>
      <c r="O110" s="1685"/>
      <c r="P110" s="1685"/>
      <c r="Q110" s="635"/>
      <c r="R110" s="1685"/>
      <c r="S110" s="1686">
        <v>6000000</v>
      </c>
      <c r="T110" s="1685" t="s">
        <v>0</v>
      </c>
      <c r="U110" s="1685"/>
      <c r="V110" s="1685">
        <v>12</v>
      </c>
      <c r="W110" s="1685" t="s">
        <v>49</v>
      </c>
      <c r="X110" s="1687" t="s">
        <v>1</v>
      </c>
      <c r="Y110" s="636">
        <f t="shared" si="13"/>
        <v>72000</v>
      </c>
      <c r="Z110" s="637">
        <f t="shared" si="14"/>
        <v>72000000</v>
      </c>
      <c r="AA110" s="224"/>
      <c r="AB110" s="220"/>
      <c r="AC110" s="220"/>
    </row>
    <row r="111" spans="1:30" s="221" customFormat="1" ht="24" customHeight="1">
      <c r="A111" s="618"/>
      <c r="B111" s="619"/>
      <c r="C111" s="620"/>
      <c r="D111" s="620"/>
      <c r="E111" s="620"/>
      <c r="F111" s="633"/>
      <c r="G111" s="633"/>
      <c r="H111" s="634"/>
      <c r="I111" s="624"/>
      <c r="J111" s="1780" t="s">
        <v>688</v>
      </c>
      <c r="K111" s="1685"/>
      <c r="L111" s="1685"/>
      <c r="M111" s="1685"/>
      <c r="N111" s="1686"/>
      <c r="O111" s="1685"/>
      <c r="P111" s="1685"/>
      <c r="Q111" s="635"/>
      <c r="R111" s="1685"/>
      <c r="S111" s="1686">
        <v>4468000</v>
      </c>
      <c r="T111" s="1685" t="s">
        <v>0</v>
      </c>
      <c r="U111" s="1685"/>
      <c r="V111" s="1685">
        <v>1</v>
      </c>
      <c r="W111" s="1198" t="s">
        <v>35</v>
      </c>
      <c r="X111" s="1687" t="s">
        <v>1</v>
      </c>
      <c r="Y111" s="636">
        <f>+Z111/1000</f>
        <v>4468</v>
      </c>
      <c r="Z111" s="637">
        <f>S111*V111</f>
        <v>4468000</v>
      </c>
      <c r="AA111" s="224"/>
      <c r="AB111" s="220"/>
      <c r="AC111" s="220"/>
    </row>
    <row r="112" spans="1:30" s="221" customFormat="1" ht="24" customHeight="1">
      <c r="A112" s="618"/>
      <c r="B112" s="619"/>
      <c r="C112" s="620"/>
      <c r="D112" s="620"/>
      <c r="E112" s="620"/>
      <c r="F112" s="633"/>
      <c r="G112" s="633"/>
      <c r="H112" s="715"/>
      <c r="I112" s="624"/>
      <c r="J112" s="1780" t="s">
        <v>689</v>
      </c>
      <c r="K112" s="1685"/>
      <c r="L112" s="1685"/>
      <c r="M112" s="1685"/>
      <c r="N112" s="1686"/>
      <c r="O112" s="1685"/>
      <c r="P112" s="1685"/>
      <c r="Q112" s="635"/>
      <c r="R112" s="1685"/>
      <c r="S112" s="1686">
        <v>7000000</v>
      </c>
      <c r="T112" s="1685" t="s">
        <v>0</v>
      </c>
      <c r="U112" s="1685"/>
      <c r="V112" s="1685">
        <v>1</v>
      </c>
      <c r="W112" s="1198" t="s">
        <v>35</v>
      </c>
      <c r="X112" s="1687" t="s">
        <v>5</v>
      </c>
      <c r="Y112" s="636">
        <f t="shared" si="13"/>
        <v>7000</v>
      </c>
      <c r="Z112" s="712">
        <f t="shared" si="14"/>
        <v>7000000</v>
      </c>
      <c r="AA112" s="224"/>
      <c r="AB112" s="220"/>
      <c r="AC112" s="220"/>
    </row>
    <row r="113" spans="1:29" s="221" customFormat="1" ht="24" customHeight="1">
      <c r="A113" s="618"/>
      <c r="B113" s="619"/>
      <c r="C113" s="620"/>
      <c r="D113" s="620"/>
      <c r="E113" s="621" t="s">
        <v>64</v>
      </c>
      <c r="F113" s="622">
        <f>Y113</f>
        <v>60000</v>
      </c>
      <c r="G113" s="622">
        <v>60000</v>
      </c>
      <c r="H113" s="634"/>
      <c r="I113" s="624"/>
      <c r="J113" s="625" t="s">
        <v>194</v>
      </c>
      <c r="K113" s="626"/>
      <c r="L113" s="626"/>
      <c r="M113" s="626"/>
      <c r="N113" s="627"/>
      <c r="O113" s="627"/>
      <c r="P113" s="626"/>
      <c r="Q113" s="628"/>
      <c r="R113" s="626"/>
      <c r="S113" s="626"/>
      <c r="T113" s="626"/>
      <c r="U113" s="626"/>
      <c r="V113" s="626"/>
      <c r="W113" s="626"/>
      <c r="X113" s="629"/>
      <c r="Y113" s="630">
        <f t="shared" si="13"/>
        <v>60000</v>
      </c>
      <c r="Z113" s="637">
        <f>SUM(Z114:Z115)</f>
        <v>60000000</v>
      </c>
      <c r="AA113" s="224"/>
      <c r="AB113" s="220"/>
      <c r="AC113" s="220"/>
    </row>
    <row r="114" spans="1:29" s="226" customFormat="1" ht="24" customHeight="1">
      <c r="A114" s="618"/>
      <c r="B114" s="619"/>
      <c r="C114" s="620"/>
      <c r="D114" s="620"/>
      <c r="E114" s="620"/>
      <c r="F114" s="633"/>
      <c r="G114" s="633"/>
      <c r="H114" s="634"/>
      <c r="I114" s="624"/>
      <c r="J114" s="1780" t="s">
        <v>519</v>
      </c>
      <c r="K114" s="1685"/>
      <c r="L114" s="1685"/>
      <c r="M114" s="1685"/>
      <c r="N114" s="1686"/>
      <c r="O114" s="1686"/>
      <c r="P114" s="1685"/>
      <c r="Q114" s="635">
        <v>5</v>
      </c>
      <c r="R114" s="1685" t="s">
        <v>29</v>
      </c>
      <c r="S114" s="1686">
        <v>800000</v>
      </c>
      <c r="T114" s="1685" t="s">
        <v>0</v>
      </c>
      <c r="U114" s="1685"/>
      <c r="V114" s="1685">
        <v>12</v>
      </c>
      <c r="W114" s="1685" t="s">
        <v>2</v>
      </c>
      <c r="X114" s="1687" t="s">
        <v>1</v>
      </c>
      <c r="Y114" s="636">
        <f t="shared" si="13"/>
        <v>48000</v>
      </c>
      <c r="Z114" s="637">
        <f>S114*Q114*V114</f>
        <v>48000000</v>
      </c>
      <c r="AA114" s="224"/>
      <c r="AB114" s="220"/>
      <c r="AC114" s="225"/>
    </row>
    <row r="115" spans="1:29" s="226" customFormat="1" ht="24" customHeight="1">
      <c r="A115" s="618"/>
      <c r="B115" s="619"/>
      <c r="C115" s="620"/>
      <c r="D115" s="620"/>
      <c r="E115" s="707"/>
      <c r="F115" s="1224"/>
      <c r="G115" s="1224"/>
      <c r="H115" s="715"/>
      <c r="I115" s="624"/>
      <c r="J115" s="721" t="s">
        <v>520</v>
      </c>
      <c r="K115" s="709"/>
      <c r="L115" s="709"/>
      <c r="M115" s="709"/>
      <c r="N115" s="710"/>
      <c r="O115" s="710"/>
      <c r="P115" s="709"/>
      <c r="Q115" s="722">
        <v>2</v>
      </c>
      <c r="R115" s="709" t="s">
        <v>29</v>
      </c>
      <c r="S115" s="710">
        <v>500000</v>
      </c>
      <c r="T115" s="709" t="s">
        <v>0</v>
      </c>
      <c r="U115" s="709"/>
      <c r="V115" s="709">
        <v>12</v>
      </c>
      <c r="W115" s="709" t="s">
        <v>2</v>
      </c>
      <c r="X115" s="725" t="s">
        <v>1</v>
      </c>
      <c r="Y115" s="711">
        <f t="shared" si="13"/>
        <v>12000</v>
      </c>
      <c r="Z115" s="1239">
        <f>S115*Q115*V115</f>
        <v>12000000</v>
      </c>
      <c r="AA115" s="224"/>
      <c r="AB115" s="220"/>
      <c r="AC115" s="225"/>
    </row>
    <row r="116" spans="1:29" s="519" customFormat="1" ht="24" customHeight="1">
      <c r="A116" s="618"/>
      <c r="B116" s="619"/>
      <c r="C116" s="620"/>
      <c r="D116" s="620"/>
      <c r="E116" s="621" t="s">
        <v>144</v>
      </c>
      <c r="F116" s="622">
        <f>Y116</f>
        <v>55200</v>
      </c>
      <c r="G116" s="622">
        <v>55200</v>
      </c>
      <c r="H116" s="623"/>
      <c r="I116" s="624"/>
      <c r="J116" s="625" t="s">
        <v>342</v>
      </c>
      <c r="K116" s="626"/>
      <c r="L116" s="626"/>
      <c r="M116" s="626"/>
      <c r="N116" s="627"/>
      <c r="O116" s="627"/>
      <c r="P116" s="626"/>
      <c r="Q116" s="628"/>
      <c r="R116" s="626"/>
      <c r="S116" s="626"/>
      <c r="T116" s="626"/>
      <c r="U116" s="626"/>
      <c r="V116" s="626"/>
      <c r="W116" s="626"/>
      <c r="X116" s="629"/>
      <c r="Y116" s="630">
        <f>SUM(Y117:Y120)</f>
        <v>55200</v>
      </c>
      <c r="Z116" s="631">
        <f>SUM(Z117:Z120)</f>
        <v>55200000</v>
      </c>
      <c r="AA116" s="224"/>
      <c r="AB116" s="632"/>
      <c r="AC116" s="632"/>
    </row>
    <row r="117" spans="1:29" s="221" customFormat="1" ht="24" customHeight="1">
      <c r="A117" s="618"/>
      <c r="B117" s="619"/>
      <c r="C117" s="620"/>
      <c r="D117" s="620"/>
      <c r="E117" s="620"/>
      <c r="F117" s="633"/>
      <c r="G117" s="633"/>
      <c r="H117" s="634"/>
      <c r="I117" s="624"/>
      <c r="J117" s="1780" t="s">
        <v>521</v>
      </c>
      <c r="K117" s="1685"/>
      <c r="L117" s="1685"/>
      <c r="M117" s="1685"/>
      <c r="N117" s="1686"/>
      <c r="O117" s="1685"/>
      <c r="P117" s="1685"/>
      <c r="Q117" s="635">
        <v>2</v>
      </c>
      <c r="R117" s="1685" t="s">
        <v>23</v>
      </c>
      <c r="S117" s="1686">
        <v>600000</v>
      </c>
      <c r="T117" s="1685" t="s">
        <v>0</v>
      </c>
      <c r="U117" s="1685"/>
      <c r="V117" s="1685">
        <v>12</v>
      </c>
      <c r="W117" s="1685" t="s">
        <v>2</v>
      </c>
      <c r="X117" s="1687" t="s">
        <v>1</v>
      </c>
      <c r="Y117" s="636">
        <f t="shared" ref="Y117:Y134" si="15">+Z117/1000</f>
        <v>14400</v>
      </c>
      <c r="Z117" s="637">
        <f>S117*Q117*V117</f>
        <v>14400000</v>
      </c>
      <c r="AA117" s="224"/>
      <c r="AB117" s="220"/>
      <c r="AC117" s="220"/>
    </row>
    <row r="118" spans="1:29" s="221" customFormat="1" ht="24" customHeight="1">
      <c r="A118" s="618"/>
      <c r="B118" s="619"/>
      <c r="C118" s="620"/>
      <c r="D118" s="620"/>
      <c r="E118" s="620"/>
      <c r="F118" s="633"/>
      <c r="G118" s="633"/>
      <c r="H118" s="634"/>
      <c r="I118" s="624"/>
      <c r="J118" s="1780" t="s">
        <v>522</v>
      </c>
      <c r="K118" s="1685"/>
      <c r="L118" s="1685"/>
      <c r="M118" s="1685"/>
      <c r="N118" s="1686"/>
      <c r="O118" s="1685"/>
      <c r="P118" s="1685"/>
      <c r="Q118" s="635">
        <v>1</v>
      </c>
      <c r="R118" s="1685" t="s">
        <v>23</v>
      </c>
      <c r="S118" s="1686">
        <v>600000</v>
      </c>
      <c r="T118" s="1685" t="s">
        <v>0</v>
      </c>
      <c r="U118" s="1685"/>
      <c r="V118" s="1685">
        <v>12</v>
      </c>
      <c r="W118" s="1685" t="s">
        <v>2</v>
      </c>
      <c r="X118" s="1687" t="s">
        <v>1</v>
      </c>
      <c r="Y118" s="636">
        <f>+Z118/1000</f>
        <v>7200</v>
      </c>
      <c r="Z118" s="637">
        <f>S118*Q118*V118</f>
        <v>7200000</v>
      </c>
      <c r="AA118" s="224"/>
      <c r="AB118" s="220"/>
      <c r="AC118" s="220"/>
    </row>
    <row r="119" spans="1:29" s="226" customFormat="1" ht="24" customHeight="1">
      <c r="A119" s="618"/>
      <c r="B119" s="619"/>
      <c r="C119" s="620"/>
      <c r="D119" s="620"/>
      <c r="E119" s="620"/>
      <c r="F119" s="633"/>
      <c r="G119" s="633"/>
      <c r="H119" s="634"/>
      <c r="I119" s="624"/>
      <c r="J119" s="1780" t="s">
        <v>683</v>
      </c>
      <c r="K119" s="1685"/>
      <c r="L119" s="1685"/>
      <c r="M119" s="1685"/>
      <c r="N119" s="1686"/>
      <c r="O119" s="1685"/>
      <c r="P119" s="1685"/>
      <c r="Q119" s="635">
        <v>1</v>
      </c>
      <c r="R119" s="1685" t="s">
        <v>23</v>
      </c>
      <c r="S119" s="1686">
        <v>400000</v>
      </c>
      <c r="T119" s="1685" t="s">
        <v>0</v>
      </c>
      <c r="U119" s="1685"/>
      <c r="V119" s="1685">
        <v>12</v>
      </c>
      <c r="W119" s="1685" t="s">
        <v>2</v>
      </c>
      <c r="X119" s="1687" t="s">
        <v>1</v>
      </c>
      <c r="Y119" s="636">
        <f>+Z119/1000</f>
        <v>4800</v>
      </c>
      <c r="Z119" s="637">
        <f>S119*Q119*V119</f>
        <v>4800000</v>
      </c>
      <c r="AA119" s="224"/>
      <c r="AB119" s="220"/>
      <c r="AC119" s="225"/>
    </row>
    <row r="120" spans="1:29" s="226" customFormat="1" ht="24" customHeight="1">
      <c r="A120" s="618"/>
      <c r="B120" s="619"/>
      <c r="C120" s="620"/>
      <c r="D120" s="620"/>
      <c r="E120" s="707"/>
      <c r="F120" s="1224"/>
      <c r="G120" s="1224"/>
      <c r="H120" s="715"/>
      <c r="I120" s="624"/>
      <c r="J120" s="721" t="s">
        <v>684</v>
      </c>
      <c r="K120" s="709"/>
      <c r="L120" s="709"/>
      <c r="M120" s="709"/>
      <c r="N120" s="710"/>
      <c r="O120" s="709"/>
      <c r="P120" s="709"/>
      <c r="Q120" s="722">
        <v>8</v>
      </c>
      <c r="R120" s="709" t="s">
        <v>33</v>
      </c>
      <c r="S120" s="710">
        <v>300000</v>
      </c>
      <c r="T120" s="709" t="s">
        <v>0</v>
      </c>
      <c r="U120" s="709"/>
      <c r="V120" s="709">
        <v>12</v>
      </c>
      <c r="W120" s="709" t="s">
        <v>2</v>
      </c>
      <c r="X120" s="725" t="s">
        <v>1</v>
      </c>
      <c r="Y120" s="711">
        <f>+Z120/1000</f>
        <v>28800</v>
      </c>
      <c r="Z120" s="712">
        <f>S120*Q120*V120</f>
        <v>28800000</v>
      </c>
      <c r="AA120" s="224"/>
      <c r="AB120" s="220"/>
      <c r="AC120" s="225"/>
    </row>
    <row r="121" spans="1:29" s="221" customFormat="1" ht="24" customHeight="1">
      <c r="A121" s="618"/>
      <c r="B121" s="619"/>
      <c r="C121" s="620"/>
      <c r="D121" s="620"/>
      <c r="E121" s="620" t="s">
        <v>54</v>
      </c>
      <c r="F121" s="633">
        <f>Y121</f>
        <v>27600</v>
      </c>
      <c r="G121" s="633">
        <v>27600</v>
      </c>
      <c r="H121" s="634"/>
      <c r="I121" s="624"/>
      <c r="J121" s="1780" t="s">
        <v>194</v>
      </c>
      <c r="K121" s="1685"/>
      <c r="L121" s="1685"/>
      <c r="M121" s="1685"/>
      <c r="N121" s="1686"/>
      <c r="O121" s="1685"/>
      <c r="P121" s="1685"/>
      <c r="Q121" s="635"/>
      <c r="R121" s="1685"/>
      <c r="S121" s="1686"/>
      <c r="T121" s="1685"/>
      <c r="U121" s="1685"/>
      <c r="V121" s="1685"/>
      <c r="W121" s="1685"/>
      <c r="X121" s="1687"/>
      <c r="Y121" s="636">
        <f t="shared" ref="Y121:Y124" si="16">+Z121/1000</f>
        <v>27600</v>
      </c>
      <c r="Z121" s="637">
        <f>SUM(Z122:Z125)</f>
        <v>27600000</v>
      </c>
      <c r="AA121" s="224"/>
      <c r="AB121" s="220"/>
      <c r="AC121" s="220"/>
    </row>
    <row r="122" spans="1:29" s="221" customFormat="1" ht="24" customHeight="1">
      <c r="A122" s="618"/>
      <c r="B122" s="619"/>
      <c r="C122" s="620"/>
      <c r="D122" s="620"/>
      <c r="E122" s="887"/>
      <c r="F122" s="633"/>
      <c r="G122" s="633"/>
      <c r="H122" s="634"/>
      <c r="I122" s="624"/>
      <c r="J122" s="1780" t="s">
        <v>270</v>
      </c>
      <c r="K122" s="1685"/>
      <c r="L122" s="1685"/>
      <c r="M122" s="1685"/>
      <c r="N122" s="1686"/>
      <c r="O122" s="1685"/>
      <c r="P122" s="1685"/>
      <c r="Q122" s="635"/>
      <c r="R122" s="1685"/>
      <c r="S122" s="1686">
        <v>300000</v>
      </c>
      <c r="T122" s="1685" t="s">
        <v>0</v>
      </c>
      <c r="U122" s="1685"/>
      <c r="V122" s="1685">
        <v>12</v>
      </c>
      <c r="W122" s="1685" t="s">
        <v>49</v>
      </c>
      <c r="X122" s="1687" t="s">
        <v>1</v>
      </c>
      <c r="Y122" s="636">
        <f t="shared" si="16"/>
        <v>3600</v>
      </c>
      <c r="Z122" s="637">
        <f>S122*V122</f>
        <v>3600000</v>
      </c>
      <c r="AA122" s="224"/>
      <c r="AB122" s="220"/>
      <c r="AC122" s="220"/>
    </row>
    <row r="123" spans="1:29" s="221" customFormat="1" ht="22.5" customHeight="1">
      <c r="A123" s="618"/>
      <c r="B123" s="619"/>
      <c r="C123" s="620"/>
      <c r="D123" s="620"/>
      <c r="E123" s="620"/>
      <c r="F123" s="633"/>
      <c r="G123" s="633"/>
      <c r="H123" s="634"/>
      <c r="I123" s="624"/>
      <c r="J123" s="1780" t="s">
        <v>368</v>
      </c>
      <c r="K123" s="1685"/>
      <c r="L123" s="1685"/>
      <c r="M123" s="1685"/>
      <c r="N123" s="1686"/>
      <c r="O123" s="1685"/>
      <c r="P123" s="1685"/>
      <c r="Q123" s="635">
        <v>9</v>
      </c>
      <c r="R123" s="1685" t="s">
        <v>18</v>
      </c>
      <c r="S123" s="1686">
        <v>200000</v>
      </c>
      <c r="T123" s="1685" t="s">
        <v>0</v>
      </c>
      <c r="U123" s="1685"/>
      <c r="V123" s="1685">
        <v>12</v>
      </c>
      <c r="W123" s="1685" t="s">
        <v>49</v>
      </c>
      <c r="X123" s="1687" t="s">
        <v>1</v>
      </c>
      <c r="Y123" s="636">
        <f t="shared" si="16"/>
        <v>21600</v>
      </c>
      <c r="Z123" s="637">
        <f>Q123*S123*V123</f>
        <v>21600000</v>
      </c>
      <c r="AA123" s="224"/>
      <c r="AB123" s="220"/>
      <c r="AC123" s="220"/>
    </row>
    <row r="124" spans="1:29" s="221" customFormat="1" ht="22.5" customHeight="1">
      <c r="A124" s="618"/>
      <c r="B124" s="619"/>
      <c r="C124" s="620"/>
      <c r="D124" s="620"/>
      <c r="E124" s="620"/>
      <c r="F124" s="633"/>
      <c r="G124" s="633"/>
      <c r="H124" s="634"/>
      <c r="I124" s="624"/>
      <c r="J124" s="1780" t="s">
        <v>523</v>
      </c>
      <c r="K124" s="1685"/>
      <c r="L124" s="1685"/>
      <c r="M124" s="1685"/>
      <c r="N124" s="1686"/>
      <c r="O124" s="1685"/>
      <c r="P124" s="1685"/>
      <c r="Q124" s="635">
        <v>10</v>
      </c>
      <c r="R124" s="1685" t="s">
        <v>37</v>
      </c>
      <c r="S124" s="1686">
        <v>8000</v>
      </c>
      <c r="T124" s="1685" t="s">
        <v>0</v>
      </c>
      <c r="U124" s="1685"/>
      <c r="V124" s="635">
        <v>12</v>
      </c>
      <c r="W124" s="1685" t="s">
        <v>651</v>
      </c>
      <c r="X124" s="1687" t="s">
        <v>1</v>
      </c>
      <c r="Y124" s="636">
        <f t="shared" si="16"/>
        <v>960</v>
      </c>
      <c r="Z124" s="637">
        <f>S124*Q124*V124</f>
        <v>960000</v>
      </c>
      <c r="AA124" s="224"/>
      <c r="AB124" s="220"/>
      <c r="AC124" s="220"/>
    </row>
    <row r="125" spans="1:29" s="226" customFormat="1" ht="22.5" customHeight="1">
      <c r="A125" s="618"/>
      <c r="B125" s="619"/>
      <c r="C125" s="620"/>
      <c r="D125" s="620"/>
      <c r="E125" s="620"/>
      <c r="F125" s="633"/>
      <c r="G125" s="633"/>
      <c r="H125" s="634"/>
      <c r="I125" s="624"/>
      <c r="J125" s="1780" t="s">
        <v>652</v>
      </c>
      <c r="K125" s="1685"/>
      <c r="L125" s="1685"/>
      <c r="M125" s="1685"/>
      <c r="N125" s="1686"/>
      <c r="O125" s="1685"/>
      <c r="P125" s="1685"/>
      <c r="Q125" s="635">
        <v>3</v>
      </c>
      <c r="R125" s="1685" t="s">
        <v>29</v>
      </c>
      <c r="S125" s="1686">
        <v>40000</v>
      </c>
      <c r="T125" s="1685" t="s">
        <v>0</v>
      </c>
      <c r="U125" s="1685"/>
      <c r="V125" s="1685">
        <v>12</v>
      </c>
      <c r="W125" s="1685" t="s">
        <v>651</v>
      </c>
      <c r="X125" s="1687" t="s">
        <v>1</v>
      </c>
      <c r="Y125" s="636">
        <f>+Z125/1000</f>
        <v>1440</v>
      </c>
      <c r="Z125" s="637">
        <f>ROUNDUP(S125*Q125*V125,-3)</f>
        <v>1440000</v>
      </c>
      <c r="AA125" s="224"/>
      <c r="AB125" s="220"/>
      <c r="AC125" s="225"/>
    </row>
    <row r="126" spans="1:29" s="221" customFormat="1" ht="22.5" customHeight="1">
      <c r="A126" s="618"/>
      <c r="B126" s="619"/>
      <c r="C126" s="620"/>
      <c r="D126" s="620"/>
      <c r="E126" s="621" t="s">
        <v>145</v>
      </c>
      <c r="F126" s="622">
        <f>Y126</f>
        <v>86360</v>
      </c>
      <c r="G126" s="622">
        <v>86360</v>
      </c>
      <c r="H126" s="623"/>
      <c r="I126" s="624"/>
      <c r="J126" s="625" t="s">
        <v>342</v>
      </c>
      <c r="K126" s="626"/>
      <c r="L126" s="626"/>
      <c r="M126" s="626"/>
      <c r="N126" s="627"/>
      <c r="O126" s="626"/>
      <c r="P126" s="626"/>
      <c r="Q126" s="628"/>
      <c r="R126" s="626"/>
      <c r="S126" s="627"/>
      <c r="T126" s="626"/>
      <c r="U126" s="626"/>
      <c r="V126" s="626"/>
      <c r="W126" s="626"/>
      <c r="X126" s="629"/>
      <c r="Y126" s="630">
        <f t="shared" si="15"/>
        <v>86360</v>
      </c>
      <c r="Z126" s="631">
        <f>SUM(Z127:Z131)</f>
        <v>86360000</v>
      </c>
      <c r="AA126" s="224"/>
      <c r="AB126" s="220"/>
      <c r="AC126" s="220"/>
    </row>
    <row r="127" spans="1:29" s="221" customFormat="1" ht="22.5" customHeight="1">
      <c r="A127" s="618"/>
      <c r="B127" s="619"/>
      <c r="C127" s="620"/>
      <c r="D127" s="620"/>
      <c r="E127" s="620"/>
      <c r="F127" s="633"/>
      <c r="G127" s="633"/>
      <c r="H127" s="634"/>
      <c r="I127" s="624"/>
      <c r="J127" s="1780" t="s">
        <v>524</v>
      </c>
      <c r="K127" s="1685"/>
      <c r="L127" s="1685"/>
      <c r="M127" s="1685"/>
      <c r="N127" s="1686"/>
      <c r="O127" s="1685"/>
      <c r="P127" s="1685"/>
      <c r="Q127" s="635"/>
      <c r="R127" s="1685"/>
      <c r="S127" s="1686">
        <v>3200000</v>
      </c>
      <c r="T127" s="1685" t="s">
        <v>549</v>
      </c>
      <c r="U127" s="1685" t="s">
        <v>19</v>
      </c>
      <c r="V127" s="1685">
        <v>20</v>
      </c>
      <c r="W127" s="1685" t="s">
        <v>550</v>
      </c>
      <c r="X127" s="1687" t="s">
        <v>1</v>
      </c>
      <c r="Y127" s="636">
        <f t="shared" si="15"/>
        <v>64000</v>
      </c>
      <c r="Z127" s="637">
        <v>64000000</v>
      </c>
      <c r="AA127" s="224"/>
      <c r="AB127" s="220"/>
      <c r="AC127" s="220"/>
    </row>
    <row r="128" spans="1:29" s="226" customFormat="1" ht="22.5" customHeight="1">
      <c r="A128" s="618"/>
      <c r="B128" s="619"/>
      <c r="C128" s="620"/>
      <c r="D128" s="620"/>
      <c r="E128" s="620"/>
      <c r="F128" s="633"/>
      <c r="G128" s="633"/>
      <c r="H128" s="634"/>
      <c r="I128" s="624"/>
      <c r="J128" s="1780" t="s">
        <v>525</v>
      </c>
      <c r="K128" s="1685"/>
      <c r="L128" s="1685"/>
      <c r="M128" s="1685"/>
      <c r="N128" s="1686"/>
      <c r="O128" s="1685"/>
      <c r="P128" s="1685"/>
      <c r="Q128" s="635"/>
      <c r="R128" s="1685"/>
      <c r="S128" s="1686">
        <v>2500000</v>
      </c>
      <c r="T128" s="1685" t="s">
        <v>549</v>
      </c>
      <c r="U128" s="1685" t="s">
        <v>19</v>
      </c>
      <c r="V128" s="1685">
        <v>2</v>
      </c>
      <c r="W128" s="1685" t="s">
        <v>550</v>
      </c>
      <c r="X128" s="1687" t="s">
        <v>1</v>
      </c>
      <c r="Y128" s="636">
        <f t="shared" si="15"/>
        <v>5000</v>
      </c>
      <c r="Z128" s="868">
        <v>5000000</v>
      </c>
      <c r="AA128" s="224"/>
      <c r="AB128" s="220"/>
      <c r="AC128" s="225"/>
    </row>
    <row r="129" spans="1:29" s="226" customFormat="1" ht="22.5" customHeight="1">
      <c r="A129" s="618"/>
      <c r="B129" s="619"/>
      <c r="C129" s="620"/>
      <c r="D129" s="620"/>
      <c r="E129" s="620"/>
      <c r="F129" s="633"/>
      <c r="G129" s="633"/>
      <c r="H129" s="634"/>
      <c r="I129" s="624"/>
      <c r="J129" s="1780" t="s">
        <v>526</v>
      </c>
      <c r="K129" s="1685"/>
      <c r="L129" s="1685"/>
      <c r="M129" s="1685"/>
      <c r="N129" s="1686"/>
      <c r="O129" s="1685"/>
      <c r="P129" s="1685"/>
      <c r="Q129" s="635"/>
      <c r="R129" s="1685"/>
      <c r="S129" s="1686">
        <v>700</v>
      </c>
      <c r="T129" s="1685" t="s">
        <v>343</v>
      </c>
      <c r="U129" s="1685"/>
      <c r="V129" s="1685">
        <v>10000</v>
      </c>
      <c r="W129" s="1685" t="s">
        <v>363</v>
      </c>
      <c r="X129" s="1687" t="s">
        <v>1</v>
      </c>
      <c r="Y129" s="636">
        <f t="shared" si="15"/>
        <v>7000</v>
      </c>
      <c r="Z129" s="637">
        <f>S129*V129</f>
        <v>7000000</v>
      </c>
      <c r="AA129" s="224"/>
      <c r="AB129" s="220"/>
      <c r="AC129" s="225"/>
    </row>
    <row r="130" spans="1:29" s="221" customFormat="1" ht="22.5" customHeight="1">
      <c r="A130" s="618"/>
      <c r="B130" s="619"/>
      <c r="C130" s="620"/>
      <c r="D130" s="620"/>
      <c r="E130" s="620"/>
      <c r="F130" s="633"/>
      <c r="G130" s="633"/>
      <c r="H130" s="634"/>
      <c r="I130" s="624"/>
      <c r="J130" s="1780" t="s">
        <v>527</v>
      </c>
      <c r="K130" s="1685"/>
      <c r="L130" s="1685"/>
      <c r="M130" s="1685"/>
      <c r="N130" s="1686"/>
      <c r="O130" s="1685"/>
      <c r="P130" s="1685"/>
      <c r="Q130" s="635"/>
      <c r="R130" s="1685"/>
      <c r="S130" s="1686">
        <v>1600</v>
      </c>
      <c r="T130" s="1685" t="s">
        <v>343</v>
      </c>
      <c r="U130" s="1685"/>
      <c r="V130" s="1685">
        <v>4000</v>
      </c>
      <c r="W130" s="1685" t="s">
        <v>363</v>
      </c>
      <c r="X130" s="1687" t="s">
        <v>1</v>
      </c>
      <c r="Y130" s="636">
        <f t="shared" si="15"/>
        <v>6400</v>
      </c>
      <c r="Z130" s="637">
        <f>S130*V130</f>
        <v>6400000</v>
      </c>
      <c r="AA130" s="224"/>
      <c r="AB130" s="220"/>
      <c r="AC130" s="220"/>
    </row>
    <row r="131" spans="1:29" s="221" customFormat="1" ht="22.5" customHeight="1">
      <c r="A131" s="618"/>
      <c r="B131" s="619"/>
      <c r="C131" s="620"/>
      <c r="D131" s="620"/>
      <c r="E131" s="707"/>
      <c r="F131" s="1224"/>
      <c r="G131" s="1224"/>
      <c r="H131" s="715"/>
      <c r="I131" s="624"/>
      <c r="J131" s="721" t="s">
        <v>528</v>
      </c>
      <c r="K131" s="709"/>
      <c r="L131" s="709"/>
      <c r="M131" s="709"/>
      <c r="N131" s="710"/>
      <c r="O131" s="709"/>
      <c r="P131" s="709"/>
      <c r="Q131" s="709">
        <v>4</v>
      </c>
      <c r="R131" s="709" t="s">
        <v>146</v>
      </c>
      <c r="S131" s="710">
        <v>165000</v>
      </c>
      <c r="T131" s="709" t="s">
        <v>0</v>
      </c>
      <c r="U131" s="709"/>
      <c r="V131" s="709">
        <v>6</v>
      </c>
      <c r="W131" s="709" t="s">
        <v>3</v>
      </c>
      <c r="X131" s="725" t="s">
        <v>1</v>
      </c>
      <c r="Y131" s="711">
        <f t="shared" si="15"/>
        <v>3960</v>
      </c>
      <c r="Z131" s="712">
        <f>S131*Q131*V131</f>
        <v>3960000</v>
      </c>
      <c r="AA131" s="224"/>
      <c r="AB131" s="220"/>
      <c r="AC131" s="220"/>
    </row>
    <row r="132" spans="1:29" s="221" customFormat="1" ht="22.5" customHeight="1">
      <c r="A132" s="618"/>
      <c r="B132" s="619"/>
      <c r="C132" s="620"/>
      <c r="D132" s="620"/>
      <c r="E132" s="620" t="s">
        <v>55</v>
      </c>
      <c r="F132" s="633">
        <f>Y132</f>
        <v>20000</v>
      </c>
      <c r="G132" s="633">
        <v>20000</v>
      </c>
      <c r="H132" s="634"/>
      <c r="I132" s="624"/>
      <c r="J132" s="1780" t="s">
        <v>342</v>
      </c>
      <c r="K132" s="1685"/>
      <c r="L132" s="1685"/>
      <c r="M132" s="1685"/>
      <c r="N132" s="1686"/>
      <c r="O132" s="1686"/>
      <c r="P132" s="1685"/>
      <c r="Q132" s="635"/>
      <c r="R132" s="1685"/>
      <c r="S132" s="1686"/>
      <c r="T132" s="1685"/>
      <c r="U132" s="1685"/>
      <c r="V132" s="1685"/>
      <c r="W132" s="1685"/>
      <c r="X132" s="1687"/>
      <c r="Y132" s="636">
        <f t="shared" si="15"/>
        <v>20000</v>
      </c>
      <c r="Z132" s="637">
        <f>SUM(Z133:Z134)</f>
        <v>20000000</v>
      </c>
      <c r="AA132" s="224"/>
      <c r="AB132" s="220"/>
      <c r="AC132" s="220"/>
    </row>
    <row r="133" spans="1:29" s="221" customFormat="1" ht="22.5" customHeight="1">
      <c r="A133" s="618"/>
      <c r="B133" s="619"/>
      <c r="C133" s="620"/>
      <c r="D133" s="620"/>
      <c r="E133" s="620"/>
      <c r="F133" s="633"/>
      <c r="G133" s="633"/>
      <c r="H133" s="634"/>
      <c r="I133" s="624"/>
      <c r="J133" s="1780" t="s">
        <v>529</v>
      </c>
      <c r="K133" s="1685"/>
      <c r="L133" s="1685"/>
      <c r="M133" s="1685"/>
      <c r="N133" s="1686"/>
      <c r="O133" s="1686"/>
      <c r="P133" s="1685"/>
      <c r="Q133" s="635">
        <v>20</v>
      </c>
      <c r="R133" s="1685" t="s">
        <v>28</v>
      </c>
      <c r="S133" s="1686">
        <v>25000</v>
      </c>
      <c r="T133" s="1685" t="s">
        <v>0</v>
      </c>
      <c r="U133" s="1685"/>
      <c r="V133" s="1685">
        <v>20</v>
      </c>
      <c r="W133" s="1685" t="s">
        <v>25</v>
      </c>
      <c r="X133" s="1687" t="s">
        <v>1</v>
      </c>
      <c r="Y133" s="636">
        <f t="shared" si="15"/>
        <v>10000</v>
      </c>
      <c r="Z133" s="637">
        <f>S133*Q133*V133</f>
        <v>10000000</v>
      </c>
      <c r="AA133" s="224"/>
      <c r="AB133" s="220"/>
      <c r="AC133" s="220"/>
    </row>
    <row r="134" spans="1:29" s="221" customFormat="1" ht="22.5" customHeight="1">
      <c r="A134" s="618"/>
      <c r="B134" s="619"/>
      <c r="C134" s="620"/>
      <c r="D134" s="620"/>
      <c r="E134" s="620"/>
      <c r="F134" s="633"/>
      <c r="G134" s="633"/>
      <c r="H134" s="634"/>
      <c r="I134" s="624"/>
      <c r="J134" s="1780" t="s">
        <v>530</v>
      </c>
      <c r="K134" s="1685"/>
      <c r="L134" s="1685"/>
      <c r="M134" s="1685"/>
      <c r="N134" s="1686"/>
      <c r="O134" s="1686"/>
      <c r="P134" s="1685"/>
      <c r="Q134" s="635">
        <v>20</v>
      </c>
      <c r="R134" s="1685" t="s">
        <v>28</v>
      </c>
      <c r="S134" s="1686">
        <v>25000</v>
      </c>
      <c r="T134" s="1685" t="s">
        <v>0</v>
      </c>
      <c r="U134" s="1685"/>
      <c r="V134" s="1685">
        <v>20</v>
      </c>
      <c r="W134" s="1685" t="s">
        <v>25</v>
      </c>
      <c r="X134" s="1687" t="s">
        <v>1</v>
      </c>
      <c r="Y134" s="636">
        <f t="shared" si="15"/>
        <v>10000</v>
      </c>
      <c r="Z134" s="637">
        <f>S134*Q134*V134</f>
        <v>10000000</v>
      </c>
      <c r="AA134" s="224"/>
      <c r="AB134" s="220"/>
      <c r="AC134" s="220"/>
    </row>
    <row r="135" spans="1:29" s="221" customFormat="1" ht="22.5" customHeight="1">
      <c r="A135" s="618"/>
      <c r="B135" s="619"/>
      <c r="C135" s="620"/>
      <c r="D135" s="716" t="s">
        <v>147</v>
      </c>
      <c r="E135" s="716"/>
      <c r="F135" s="1229">
        <f>SUM(F136)</f>
        <v>33000</v>
      </c>
      <c r="G135" s="1229">
        <f>SUM(G136)</f>
        <v>33000</v>
      </c>
      <c r="H135" s="713">
        <f>F135-G135</f>
        <v>0</v>
      </c>
      <c r="I135" s="624"/>
      <c r="J135" s="757"/>
      <c r="K135" s="717"/>
      <c r="L135" s="717"/>
      <c r="M135" s="717"/>
      <c r="N135" s="718"/>
      <c r="O135" s="718"/>
      <c r="P135" s="717"/>
      <c r="Q135" s="1230"/>
      <c r="R135" s="717"/>
      <c r="S135" s="717"/>
      <c r="T135" s="717"/>
      <c r="U135" s="717"/>
      <c r="V135" s="717"/>
      <c r="W135" s="717"/>
      <c r="X135" s="869"/>
      <c r="Y135" s="704"/>
      <c r="Z135" s="1235">
        <f>SUM(Z136)</f>
        <v>33000000</v>
      </c>
      <c r="AA135" s="224"/>
      <c r="AB135" s="220"/>
      <c r="AC135" s="220"/>
    </row>
    <row r="136" spans="1:29" s="221" customFormat="1" ht="22.5" customHeight="1">
      <c r="A136" s="618"/>
      <c r="B136" s="619"/>
      <c r="C136" s="620"/>
      <c r="D136" s="620"/>
      <c r="E136" s="706" t="s">
        <v>298</v>
      </c>
      <c r="F136" s="622">
        <f>Y136</f>
        <v>33000</v>
      </c>
      <c r="G136" s="633">
        <v>33000</v>
      </c>
      <c r="H136" s="623"/>
      <c r="I136" s="624"/>
      <c r="J136" s="1780" t="s">
        <v>8</v>
      </c>
      <c r="K136" s="1685"/>
      <c r="L136" s="1685"/>
      <c r="M136" s="1685"/>
      <c r="N136" s="1694"/>
      <c r="O136" s="1685"/>
      <c r="P136" s="1685"/>
      <c r="Q136" s="635"/>
      <c r="R136" s="1685"/>
      <c r="S136" s="1694"/>
      <c r="T136" s="1685"/>
      <c r="U136" s="1685"/>
      <c r="V136" s="1685"/>
      <c r="W136" s="1685"/>
      <c r="X136" s="1687"/>
      <c r="Y136" s="1695">
        <f>SUM(Y137:Y140)</f>
        <v>33000</v>
      </c>
      <c r="Z136" s="637">
        <f>SUM(Z137:Z140)</f>
        <v>33000000</v>
      </c>
      <c r="AA136" s="224"/>
      <c r="AB136" s="220"/>
      <c r="AC136" s="220"/>
    </row>
    <row r="137" spans="1:29" s="221" customFormat="1" ht="22.5" customHeight="1">
      <c r="A137" s="618"/>
      <c r="B137" s="619"/>
      <c r="C137" s="620"/>
      <c r="D137" s="620"/>
      <c r="E137" s="706"/>
      <c r="F137" s="714"/>
      <c r="G137" s="714"/>
      <c r="H137" s="634"/>
      <c r="I137" s="624"/>
      <c r="J137" s="1780" t="s">
        <v>612</v>
      </c>
      <c r="K137" s="1685"/>
      <c r="L137" s="1685"/>
      <c r="M137" s="1685"/>
      <c r="N137" s="1694"/>
      <c r="O137" s="1685"/>
      <c r="P137" s="1685"/>
      <c r="Q137" s="635"/>
      <c r="R137" s="1685"/>
      <c r="S137" s="1694">
        <v>5000000</v>
      </c>
      <c r="T137" s="1685" t="s">
        <v>0</v>
      </c>
      <c r="U137" s="1685"/>
      <c r="V137" s="1685">
        <v>1</v>
      </c>
      <c r="W137" s="1685" t="s">
        <v>6</v>
      </c>
      <c r="X137" s="1687" t="s">
        <v>1</v>
      </c>
      <c r="Y137" s="636">
        <f>+S137*V137/1000</f>
        <v>5000</v>
      </c>
      <c r="Z137" s="868">
        <f>S137*V137</f>
        <v>5000000</v>
      </c>
      <c r="AA137" s="224"/>
      <c r="AB137" s="220"/>
      <c r="AC137" s="220"/>
    </row>
    <row r="138" spans="1:29" s="221" customFormat="1" ht="22.5" customHeight="1">
      <c r="A138" s="618"/>
      <c r="B138" s="619"/>
      <c r="C138" s="620"/>
      <c r="D138" s="620"/>
      <c r="E138" s="706"/>
      <c r="F138" s="714"/>
      <c r="G138" s="714"/>
      <c r="H138" s="634"/>
      <c r="I138" s="624"/>
      <c r="J138" s="1780" t="s">
        <v>613</v>
      </c>
      <c r="K138" s="1685"/>
      <c r="L138" s="1685"/>
      <c r="M138" s="1685"/>
      <c r="N138" s="1694"/>
      <c r="O138" s="1685"/>
      <c r="P138" s="1685"/>
      <c r="Q138" s="635"/>
      <c r="R138" s="1685"/>
      <c r="S138" s="1694">
        <v>10000000</v>
      </c>
      <c r="T138" s="1685" t="s">
        <v>0</v>
      </c>
      <c r="U138" s="1685"/>
      <c r="V138" s="1685">
        <v>1</v>
      </c>
      <c r="W138" s="1685" t="s">
        <v>6</v>
      </c>
      <c r="X138" s="1687" t="s">
        <v>1</v>
      </c>
      <c r="Y138" s="636">
        <f>+S138*V138/1000</f>
        <v>10000</v>
      </c>
      <c r="Z138" s="868">
        <f t="shared" ref="Z138:Z140" si="17">S138*V138</f>
        <v>10000000</v>
      </c>
      <c r="AA138" s="224"/>
      <c r="AB138" s="220"/>
      <c r="AC138" s="220"/>
    </row>
    <row r="139" spans="1:29" s="221" customFormat="1" ht="22.5" customHeight="1">
      <c r="A139" s="618"/>
      <c r="B139" s="619"/>
      <c r="C139" s="620"/>
      <c r="D139" s="620"/>
      <c r="E139" s="706"/>
      <c r="F139" s="714"/>
      <c r="G139" s="714"/>
      <c r="H139" s="634"/>
      <c r="I139" s="624"/>
      <c r="J139" s="1780" t="s">
        <v>614</v>
      </c>
      <c r="K139" s="1685"/>
      <c r="L139" s="1685"/>
      <c r="M139" s="1685"/>
      <c r="N139" s="1694"/>
      <c r="O139" s="1685"/>
      <c r="P139" s="1685"/>
      <c r="Q139" s="635"/>
      <c r="R139" s="1685"/>
      <c r="S139" s="1694">
        <v>10000000</v>
      </c>
      <c r="T139" s="1685" t="s">
        <v>0</v>
      </c>
      <c r="U139" s="1685"/>
      <c r="V139" s="1685">
        <v>1</v>
      </c>
      <c r="W139" s="1685" t="s">
        <v>6</v>
      </c>
      <c r="X139" s="1687" t="s">
        <v>1</v>
      </c>
      <c r="Y139" s="636">
        <f>+S139*V139/1000</f>
        <v>10000</v>
      </c>
      <c r="Z139" s="868">
        <f t="shared" si="17"/>
        <v>10000000</v>
      </c>
      <c r="AA139" s="224"/>
      <c r="AB139" s="220"/>
      <c r="AC139" s="220"/>
    </row>
    <row r="140" spans="1:29" s="221" customFormat="1" ht="22.5" customHeight="1" thickBot="1">
      <c r="A140" s="1244"/>
      <c r="B140" s="1245"/>
      <c r="C140" s="870"/>
      <c r="D140" s="870"/>
      <c r="E140" s="1696"/>
      <c r="F140" s="1246"/>
      <c r="G140" s="1246"/>
      <c r="H140" s="729"/>
      <c r="I140" s="624"/>
      <c r="J140" s="758" t="s">
        <v>615</v>
      </c>
      <c r="K140" s="730"/>
      <c r="L140" s="730"/>
      <c r="M140" s="730"/>
      <c r="N140" s="1697"/>
      <c r="O140" s="730"/>
      <c r="P140" s="730"/>
      <c r="Q140" s="769"/>
      <c r="R140" s="730"/>
      <c r="S140" s="1697">
        <v>1600000</v>
      </c>
      <c r="T140" s="730" t="s">
        <v>0</v>
      </c>
      <c r="U140" s="730"/>
      <c r="V140" s="730">
        <v>5</v>
      </c>
      <c r="W140" s="730" t="s">
        <v>27</v>
      </c>
      <c r="X140" s="1247" t="s">
        <v>1</v>
      </c>
      <c r="Y140" s="1122">
        <f>+S140*V140/1000</f>
        <v>8000</v>
      </c>
      <c r="Z140" s="1207">
        <f t="shared" si="17"/>
        <v>8000000</v>
      </c>
      <c r="AA140" s="224"/>
      <c r="AB140" s="220"/>
      <c r="AC140" s="220"/>
    </row>
    <row r="141" spans="1:29" ht="18.75" customHeight="1"/>
    <row r="142" spans="1:29" ht="18.75" customHeight="1"/>
  </sheetData>
  <mergeCells count="11">
    <mergeCell ref="A5:E5"/>
    <mergeCell ref="J58:M58"/>
    <mergeCell ref="J59:M59"/>
    <mergeCell ref="J60:M60"/>
    <mergeCell ref="J62:M62"/>
    <mergeCell ref="A1:Y1"/>
    <mergeCell ref="A3:E3"/>
    <mergeCell ref="F3:F4"/>
    <mergeCell ref="G3:G4"/>
    <mergeCell ref="H3:H4"/>
    <mergeCell ref="J3:Y4"/>
  </mergeCells>
  <phoneticPr fontId="19" type="noConversion"/>
  <printOptions horizontalCentered="1"/>
  <pageMargins left="0.59055118110236227" right="0.59055118110236227" top="0.74803149606299213" bottom="0.51181102362204722" header="0.51181102362204722" footer="0.31496062992125984"/>
  <pageSetup paperSize="9" scale="52" firstPageNumber="12" fitToHeight="100" orientation="landscape" useFirstPageNumber="1" horizontalDpi="300" verticalDpi="300" r:id="rId1"/>
  <headerFooter differentFirst="1" scaleWithDoc="0" alignWithMargins="0"/>
  <rowBreaks count="1" manualBreakCount="1">
    <brk id="89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84"/>
  <sheetViews>
    <sheetView view="pageBreakPreview" zoomScale="70" zoomScaleSheetLayoutView="70" workbookViewId="0">
      <pane ySplit="6" topLeftCell="A7" activePane="bottomLeft" state="frozen"/>
      <selection pane="bottomLeft" activeCell="AD34" sqref="AD34"/>
    </sheetView>
  </sheetViews>
  <sheetFormatPr defaultRowHeight="18.75"/>
  <cols>
    <col min="1" max="4" width="6.77734375" style="156" customWidth="1"/>
    <col min="5" max="5" width="21.77734375" style="156" customWidth="1"/>
    <col min="6" max="7" width="14" style="157" customWidth="1"/>
    <col min="8" max="8" width="14" style="149" customWidth="1"/>
    <col min="9" max="9" width="1.5546875" style="158" customWidth="1"/>
    <col min="10" max="10" width="5.33203125" style="159" customWidth="1"/>
    <col min="11" max="11" width="1.88671875" style="156" customWidth="1"/>
    <col min="12" max="13" width="8.77734375" style="156" customWidth="1"/>
    <col min="14" max="14" width="10.77734375" style="156" customWidth="1"/>
    <col min="15" max="15" width="7.77734375" style="160" customWidth="1"/>
    <col min="16" max="16" width="6" style="160" customWidth="1"/>
    <col min="17" max="17" width="7.77734375" style="156" customWidth="1"/>
    <col min="18" max="18" width="6.77734375" style="156" customWidth="1"/>
    <col min="19" max="19" width="14.77734375" style="156" customWidth="1"/>
    <col min="20" max="20" width="6.88671875" style="156" customWidth="1"/>
    <col min="21" max="21" width="3.5546875" style="156" customWidth="1"/>
    <col min="22" max="22" width="6.5546875" style="156" customWidth="1"/>
    <col min="23" max="23" width="6.77734375" style="156" customWidth="1"/>
    <col min="24" max="24" width="3" style="203" customWidth="1"/>
    <col min="25" max="25" width="14.77734375" style="161" customWidth="1"/>
    <col min="26" max="26" width="17.44140625" style="153" customWidth="1"/>
    <col min="27" max="27" width="8.88671875" style="162"/>
    <col min="28" max="29" width="20.88671875" style="162" bestFit="1" customWidth="1"/>
    <col min="30" max="30" width="20.21875" style="162" bestFit="1" customWidth="1"/>
    <col min="31" max="16384" width="8.88671875" style="162"/>
  </cols>
  <sheetData>
    <row r="1" spans="1:30" ht="24" customHeight="1">
      <c r="A1" s="3315" t="s">
        <v>5817</v>
      </c>
      <c r="B1" s="3315"/>
      <c r="C1" s="3315"/>
      <c r="D1" s="3315"/>
      <c r="E1" s="3315"/>
      <c r="F1" s="3315"/>
      <c r="G1" s="3315"/>
      <c r="H1" s="3315"/>
      <c r="I1" s="3315"/>
      <c r="J1" s="3315"/>
      <c r="K1" s="3315"/>
      <c r="L1" s="3315"/>
      <c r="M1" s="3315"/>
      <c r="N1" s="3315"/>
      <c r="O1" s="3315"/>
      <c r="P1" s="3315"/>
      <c r="Q1" s="3315"/>
      <c r="R1" s="3315"/>
      <c r="S1" s="3315"/>
      <c r="T1" s="3315"/>
      <c r="U1" s="3315"/>
      <c r="V1" s="3315"/>
      <c r="W1" s="3315"/>
      <c r="X1" s="3315"/>
      <c r="Y1" s="3315"/>
      <c r="Z1" s="1248"/>
    </row>
    <row r="2" spans="1:30" s="113" customFormat="1" ht="24" customHeight="1" thickBot="1">
      <c r="A2" s="803"/>
      <c r="B2" s="803"/>
      <c r="C2" s="803"/>
      <c r="D2" s="803" t="s">
        <v>44</v>
      </c>
      <c r="E2" s="803"/>
      <c r="F2" s="1249"/>
      <c r="G2" s="1249"/>
      <c r="H2" s="267" t="s">
        <v>171</v>
      </c>
      <c r="I2" s="2624"/>
      <c r="J2" s="803" t="s">
        <v>44</v>
      </c>
      <c r="K2" s="773" t="s">
        <v>44</v>
      </c>
      <c r="L2" s="803"/>
      <c r="M2" s="369"/>
      <c r="N2" s="275"/>
      <c r="O2" s="1250"/>
      <c r="P2" s="1250"/>
      <c r="Q2" s="1251"/>
      <c r="R2" s="1251"/>
      <c r="S2" s="1251"/>
      <c r="T2" s="1251"/>
      <c r="U2" s="1251"/>
      <c r="V2" s="1251"/>
      <c r="W2" s="1251"/>
      <c r="X2" s="1252"/>
      <c r="Y2" s="1673" t="s">
        <v>149</v>
      </c>
      <c r="Z2" s="275"/>
    </row>
    <row r="3" spans="1:30" s="165" customFormat="1" ht="21.75" customHeight="1">
      <c r="A3" s="3316" t="s">
        <v>188</v>
      </c>
      <c r="B3" s="3317"/>
      <c r="C3" s="3317"/>
      <c r="D3" s="3317"/>
      <c r="E3" s="3318"/>
      <c r="F3" s="3254" t="s">
        <v>317</v>
      </c>
      <c r="G3" s="3256" t="s">
        <v>423</v>
      </c>
      <c r="H3" s="3319" t="s">
        <v>11</v>
      </c>
      <c r="I3" s="2624"/>
      <c r="J3" s="3321" t="s">
        <v>190</v>
      </c>
      <c r="K3" s="3322"/>
      <c r="L3" s="3322"/>
      <c r="M3" s="3322"/>
      <c r="N3" s="3322"/>
      <c r="O3" s="3322"/>
      <c r="P3" s="3322"/>
      <c r="Q3" s="3322"/>
      <c r="R3" s="3322"/>
      <c r="S3" s="3322"/>
      <c r="T3" s="3322"/>
      <c r="U3" s="3322"/>
      <c r="V3" s="3322"/>
      <c r="W3" s="3322"/>
      <c r="X3" s="3322"/>
      <c r="Y3" s="3323"/>
      <c r="Z3" s="1253"/>
    </row>
    <row r="4" spans="1:30" s="2557" customFormat="1" ht="21.75" customHeight="1" thickBot="1">
      <c r="A4" s="2560" t="s">
        <v>12</v>
      </c>
      <c r="B4" s="1101" t="s">
        <v>204</v>
      </c>
      <c r="C4" s="2653" t="s">
        <v>191</v>
      </c>
      <c r="D4" s="2653" t="s">
        <v>450</v>
      </c>
      <c r="E4" s="2653" t="s">
        <v>45</v>
      </c>
      <c r="F4" s="3255"/>
      <c r="G4" s="3257"/>
      <c r="H4" s="3320"/>
      <c r="I4" s="2624"/>
      <c r="J4" s="3324"/>
      <c r="K4" s="3325"/>
      <c r="L4" s="3325"/>
      <c r="M4" s="3325"/>
      <c r="N4" s="3325"/>
      <c r="O4" s="3325"/>
      <c r="P4" s="3325"/>
      <c r="Q4" s="3325"/>
      <c r="R4" s="3325"/>
      <c r="S4" s="3325"/>
      <c r="T4" s="3325"/>
      <c r="U4" s="3325"/>
      <c r="V4" s="3325"/>
      <c r="W4" s="3325"/>
      <c r="X4" s="3325"/>
      <c r="Y4" s="3326"/>
      <c r="Z4" s="1084"/>
    </row>
    <row r="5" spans="1:30" s="2557" customFormat="1" ht="21.75" customHeight="1" thickBot="1">
      <c r="A5" s="3306" t="s">
        <v>559</v>
      </c>
      <c r="B5" s="3307"/>
      <c r="C5" s="3307"/>
      <c r="D5" s="3307"/>
      <c r="E5" s="3308"/>
      <c r="F5" s="1254"/>
      <c r="G5" s="1254"/>
      <c r="H5" s="1255"/>
      <c r="I5" s="2624"/>
      <c r="J5" s="1256"/>
      <c r="K5" s="1257"/>
      <c r="L5" s="1257"/>
      <c r="M5" s="1257"/>
      <c r="N5" s="1257"/>
      <c r="O5" s="1257"/>
      <c r="P5" s="1257"/>
      <c r="Q5" s="1257"/>
      <c r="R5" s="1257"/>
      <c r="S5" s="1257"/>
      <c r="T5" s="1257"/>
      <c r="U5" s="1257"/>
      <c r="V5" s="1257"/>
      <c r="W5" s="1257"/>
      <c r="X5" s="1257"/>
      <c r="Y5" s="1258"/>
      <c r="Z5" s="1259"/>
      <c r="AB5" s="2557">
        <f>F5*1000000000</f>
        <v>0</v>
      </c>
    </row>
    <row r="6" spans="1:30" s="122" customFormat="1" ht="21.75" customHeight="1" thickBot="1">
      <c r="A6" s="3309" t="s">
        <v>71</v>
      </c>
      <c r="B6" s="3310"/>
      <c r="C6" s="3310"/>
      <c r="D6" s="3310"/>
      <c r="E6" s="3311"/>
      <c r="F6" s="1260">
        <f>+F7+F21+F47+F66</f>
        <v>3026000</v>
      </c>
      <c r="G6" s="1260">
        <f>+G7+G21+G47+G66</f>
        <v>3026000</v>
      </c>
      <c r="H6" s="1255">
        <f>F6-G6</f>
        <v>0</v>
      </c>
      <c r="I6" s="2624"/>
      <c r="J6" s="1261"/>
      <c r="K6" s="2639"/>
      <c r="L6" s="846"/>
      <c r="M6" s="846"/>
      <c r="N6" s="846"/>
      <c r="O6" s="846"/>
      <c r="P6" s="846"/>
      <c r="Q6" s="846"/>
      <c r="R6" s="847"/>
      <c r="S6" s="846"/>
      <c r="T6" s="846"/>
      <c r="U6" s="846"/>
      <c r="V6" s="846"/>
      <c r="W6" s="846"/>
      <c r="X6" s="426"/>
      <c r="Y6" s="794"/>
      <c r="Z6" s="1262"/>
      <c r="AB6" s="2557">
        <f t="shared" ref="AB6:AB22" si="0">F6*1000000000</f>
        <v>3026000000000000</v>
      </c>
    </row>
    <row r="7" spans="1:30" s="269" customFormat="1" ht="21.75" customHeight="1" thickBot="1">
      <c r="A7" s="2674" t="s">
        <v>44</v>
      </c>
      <c r="B7" s="2675" t="s">
        <v>3685</v>
      </c>
      <c r="C7" s="417"/>
      <c r="D7" s="418"/>
      <c r="E7" s="419"/>
      <c r="F7" s="420">
        <f>+F18+F8</f>
        <v>270000</v>
      </c>
      <c r="G7" s="420">
        <f>+G18+G8</f>
        <v>270000</v>
      </c>
      <c r="H7" s="1255">
        <f>F7-G7</f>
        <v>0</v>
      </c>
      <c r="I7" s="2624"/>
      <c r="J7" s="422"/>
      <c r="K7" s="423"/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2605"/>
      <c r="Y7" s="2676"/>
      <c r="Z7" s="2677"/>
      <c r="AB7" s="2557">
        <f t="shared" si="0"/>
        <v>270000000000000</v>
      </c>
    </row>
    <row r="8" spans="1:30" s="165" customFormat="1" ht="21.75" customHeight="1">
      <c r="A8" s="1290"/>
      <c r="B8" s="1189"/>
      <c r="C8" s="3314" t="s">
        <v>3686</v>
      </c>
      <c r="D8" s="3314"/>
      <c r="E8" s="3314"/>
      <c r="F8" s="382">
        <f>+F9</f>
        <v>207000</v>
      </c>
      <c r="G8" s="382">
        <f>+G9</f>
        <v>207000</v>
      </c>
      <c r="H8" s="388">
        <f>F8-G8</f>
        <v>0</v>
      </c>
      <c r="I8" s="2559"/>
      <c r="J8" s="394"/>
      <c r="K8" s="2598"/>
      <c r="L8" s="2598"/>
      <c r="M8" s="2598"/>
      <c r="N8" s="2598"/>
      <c r="O8" s="2598"/>
      <c r="P8" s="2598"/>
      <c r="Q8" s="2598"/>
      <c r="R8" s="395"/>
      <c r="S8" s="2598"/>
      <c r="T8" s="2598"/>
      <c r="U8" s="2598"/>
      <c r="V8" s="2598"/>
      <c r="W8" s="2598"/>
      <c r="X8" s="430"/>
      <c r="Y8" s="1184"/>
      <c r="Z8" s="440"/>
      <c r="AB8" s="2557">
        <f t="shared" ref="AB8:AB17" si="1">F8*1000000000</f>
        <v>207000000000000</v>
      </c>
    </row>
    <row r="9" spans="1:30" s="165" customFormat="1" ht="21.75" customHeight="1">
      <c r="A9" s="1290"/>
      <c r="B9" s="1189"/>
      <c r="C9" s="413"/>
      <c r="D9" s="3273" t="s">
        <v>3687</v>
      </c>
      <c r="E9" s="3274"/>
      <c r="F9" s="382">
        <f>SUM(F10:F17)</f>
        <v>207000</v>
      </c>
      <c r="G9" s="382">
        <f>SUM(G10:G17)</f>
        <v>207000</v>
      </c>
      <c r="H9" s="388">
        <f>F9-G9</f>
        <v>0</v>
      </c>
      <c r="I9" s="2624"/>
      <c r="J9" s="394"/>
      <c r="K9" s="2598"/>
      <c r="L9" s="2598"/>
      <c r="M9" s="2598"/>
      <c r="N9" s="2598"/>
      <c r="O9" s="2598"/>
      <c r="P9" s="2598"/>
      <c r="Q9" s="2598"/>
      <c r="R9" s="395"/>
      <c r="S9" s="2598"/>
      <c r="T9" s="2598"/>
      <c r="U9" s="2598"/>
      <c r="V9" s="2598"/>
      <c r="W9" s="2598"/>
      <c r="X9" s="430"/>
      <c r="Y9" s="1184"/>
      <c r="Z9" s="440"/>
      <c r="AB9" s="2557">
        <f t="shared" si="1"/>
        <v>207000000000000</v>
      </c>
    </row>
    <row r="10" spans="1:30" s="165" customFormat="1" ht="21.75" customHeight="1">
      <c r="A10" s="1290"/>
      <c r="B10" s="1189"/>
      <c r="C10" s="413"/>
      <c r="D10" s="1131"/>
      <c r="E10" s="1134" t="s">
        <v>322</v>
      </c>
      <c r="F10" s="383">
        <f t="shared" ref="F10" si="2">+Y10</f>
        <v>6000</v>
      </c>
      <c r="G10" s="1116">
        <v>6000</v>
      </c>
      <c r="H10" s="766"/>
      <c r="I10" s="2624"/>
      <c r="J10" s="2643" t="s">
        <v>3688</v>
      </c>
      <c r="K10" s="1671"/>
      <c r="L10" s="1671"/>
      <c r="M10" s="1671"/>
      <c r="N10" s="1671"/>
      <c r="O10" s="1671"/>
      <c r="P10" s="1671"/>
      <c r="Q10" s="1673">
        <v>1</v>
      </c>
      <c r="R10" s="1671" t="s">
        <v>318</v>
      </c>
      <c r="S10" s="1672">
        <v>50000</v>
      </c>
      <c r="T10" s="1671" t="s">
        <v>4</v>
      </c>
      <c r="U10" s="1671"/>
      <c r="V10" s="1671">
        <v>120</v>
      </c>
      <c r="W10" s="1671" t="s">
        <v>218</v>
      </c>
      <c r="X10" s="1140" t="s">
        <v>5</v>
      </c>
      <c r="Y10" s="1674">
        <f>+Z10/1000</f>
        <v>6000</v>
      </c>
      <c r="Z10" s="407">
        <f>Q10*S10*V10</f>
        <v>6000000</v>
      </c>
      <c r="AB10" s="2557">
        <f t="shared" si="1"/>
        <v>6000000000000</v>
      </c>
    </row>
    <row r="11" spans="1:30" s="165" customFormat="1" ht="21.75" customHeight="1">
      <c r="A11" s="1290"/>
      <c r="B11" s="1189"/>
      <c r="C11" s="397"/>
      <c r="D11" s="1131"/>
      <c r="E11" s="1134" t="s">
        <v>323</v>
      </c>
      <c r="F11" s="383">
        <f>+Y11</f>
        <v>12000</v>
      </c>
      <c r="G11" s="1116">
        <v>12000</v>
      </c>
      <c r="H11" s="766"/>
      <c r="I11" s="2624"/>
      <c r="J11" s="2643" t="s">
        <v>928</v>
      </c>
      <c r="K11" s="1671"/>
      <c r="L11" s="1671"/>
      <c r="M11" s="1671"/>
      <c r="N11" s="1671"/>
      <c r="O11" s="1671"/>
      <c r="P11" s="1671"/>
      <c r="Q11" s="2644"/>
      <c r="R11" s="2644"/>
      <c r="S11" s="2644"/>
      <c r="T11" s="2644"/>
      <c r="U11" s="2644"/>
      <c r="V11" s="2644"/>
      <c r="W11" s="2644"/>
      <c r="X11" s="1140"/>
      <c r="Y11" s="1674">
        <f>+Z11/1000</f>
        <v>12000</v>
      </c>
      <c r="Z11" s="407">
        <f>SUM(Z12:Z13)</f>
        <v>12000000</v>
      </c>
      <c r="AB11" s="2557">
        <f t="shared" si="1"/>
        <v>12000000000000</v>
      </c>
    </row>
    <row r="12" spans="1:30" s="165" customFormat="1" ht="21.75" customHeight="1">
      <c r="A12" s="1290"/>
      <c r="B12" s="1189"/>
      <c r="C12" s="397"/>
      <c r="D12" s="1131"/>
      <c r="E12" s="1134"/>
      <c r="F12" s="383"/>
      <c r="G12" s="1116"/>
      <c r="H12" s="391"/>
      <c r="I12" s="2624"/>
      <c r="J12" s="2643" t="s">
        <v>3689</v>
      </c>
      <c r="K12" s="1671"/>
      <c r="L12" s="1671"/>
      <c r="M12" s="1671"/>
      <c r="N12" s="1671"/>
      <c r="O12" s="1671"/>
      <c r="P12" s="1671"/>
      <c r="Q12" s="1673">
        <v>10</v>
      </c>
      <c r="R12" s="1671" t="s">
        <v>318</v>
      </c>
      <c r="S12" s="1672">
        <v>200000</v>
      </c>
      <c r="T12" s="1671" t="s">
        <v>4</v>
      </c>
      <c r="U12" s="1671"/>
      <c r="V12" s="1671">
        <v>4</v>
      </c>
      <c r="W12" s="1671" t="s">
        <v>10</v>
      </c>
      <c r="X12" s="1140" t="s">
        <v>5</v>
      </c>
      <c r="Y12" s="1674">
        <f t="shared" ref="Y12:Y16" si="3">+Z12/1000</f>
        <v>8000</v>
      </c>
      <c r="Z12" s="407">
        <f>Q12*S12*V12</f>
        <v>8000000</v>
      </c>
      <c r="AB12" s="2557">
        <f t="shared" si="1"/>
        <v>0</v>
      </c>
      <c r="AC12" s="312">
        <v>8000000</v>
      </c>
      <c r="AD12" s="2678">
        <f>AC12/200000/4</f>
        <v>10</v>
      </c>
    </row>
    <row r="13" spans="1:30" s="165" customFormat="1" ht="21.75" customHeight="1">
      <c r="A13" s="1290"/>
      <c r="B13" s="1189"/>
      <c r="C13" s="397"/>
      <c r="D13" s="1131"/>
      <c r="E13" s="1134"/>
      <c r="F13" s="383"/>
      <c r="G13" s="1116"/>
      <c r="H13" s="391"/>
      <c r="I13" s="2624"/>
      <c r="J13" s="2643" t="s">
        <v>3690</v>
      </c>
      <c r="K13" s="1671"/>
      <c r="L13" s="1671"/>
      <c r="M13" s="1671"/>
      <c r="N13" s="1671"/>
      <c r="O13" s="1671"/>
      <c r="P13" s="1671"/>
      <c r="Q13" s="1673">
        <v>5</v>
      </c>
      <c r="R13" s="1671" t="s">
        <v>318</v>
      </c>
      <c r="S13" s="1672">
        <v>200000</v>
      </c>
      <c r="T13" s="1671" t="s">
        <v>4</v>
      </c>
      <c r="U13" s="1671"/>
      <c r="V13" s="1671">
        <v>4</v>
      </c>
      <c r="W13" s="1671" t="s">
        <v>10</v>
      </c>
      <c r="X13" s="1140" t="s">
        <v>5</v>
      </c>
      <c r="Y13" s="1674">
        <f t="shared" si="3"/>
        <v>4000</v>
      </c>
      <c r="Z13" s="407">
        <f>Q13*S13*V13</f>
        <v>4000000</v>
      </c>
      <c r="AB13" s="2557">
        <f t="shared" si="1"/>
        <v>0</v>
      </c>
    </row>
    <row r="14" spans="1:30" s="165" customFormat="1" ht="21.75" customHeight="1">
      <c r="A14" s="1290"/>
      <c r="B14" s="1189"/>
      <c r="C14" s="397"/>
      <c r="D14" s="1131"/>
      <c r="E14" s="1134" t="s">
        <v>298</v>
      </c>
      <c r="F14" s="383">
        <f>+Y14</f>
        <v>2000</v>
      </c>
      <c r="G14" s="1116">
        <v>2000</v>
      </c>
      <c r="H14" s="766"/>
      <c r="I14" s="2624"/>
      <c r="J14" s="2643" t="s">
        <v>3691</v>
      </c>
      <c r="K14" s="1671"/>
      <c r="L14" s="1671"/>
      <c r="M14" s="1671"/>
      <c r="N14" s="1671"/>
      <c r="O14" s="1671"/>
      <c r="P14" s="1671"/>
      <c r="Q14" s="1673"/>
      <c r="R14" s="1671"/>
      <c r="S14" s="1672">
        <v>2000000</v>
      </c>
      <c r="T14" s="1671" t="s">
        <v>4</v>
      </c>
      <c r="U14" s="1671"/>
      <c r="V14" s="1671">
        <v>1</v>
      </c>
      <c r="W14" s="1671" t="s">
        <v>196</v>
      </c>
      <c r="X14" s="1140" t="s">
        <v>5</v>
      </c>
      <c r="Y14" s="1674">
        <f t="shared" ref="Y14" si="4">+Z14/1000</f>
        <v>2000</v>
      </c>
      <c r="Z14" s="407">
        <f>S14*V14</f>
        <v>2000000</v>
      </c>
      <c r="AB14" s="2557"/>
    </row>
    <row r="15" spans="1:30" s="165" customFormat="1" ht="21.75" customHeight="1">
      <c r="A15" s="1290"/>
      <c r="B15" s="1189"/>
      <c r="C15" s="397"/>
      <c r="D15" s="1131"/>
      <c r="E15" s="1134" t="s">
        <v>16</v>
      </c>
      <c r="F15" s="383">
        <f>+Y15</f>
        <v>180000</v>
      </c>
      <c r="G15" s="1116">
        <v>180000</v>
      </c>
      <c r="H15" s="766"/>
      <c r="I15" s="2624"/>
      <c r="J15" s="2643" t="s">
        <v>3692</v>
      </c>
      <c r="K15" s="1671"/>
      <c r="L15" s="1671"/>
      <c r="M15" s="1671"/>
      <c r="N15" s="1671"/>
      <c r="O15" s="1671"/>
      <c r="P15" s="1671"/>
      <c r="Q15" s="1673"/>
      <c r="R15" s="1671"/>
      <c r="S15" s="1672">
        <v>180000000</v>
      </c>
      <c r="T15" s="1671" t="s">
        <v>4</v>
      </c>
      <c r="U15" s="1671"/>
      <c r="V15" s="1671">
        <v>1</v>
      </c>
      <c r="W15" s="1671" t="s">
        <v>196</v>
      </c>
      <c r="X15" s="1140" t="s">
        <v>5</v>
      </c>
      <c r="Y15" s="1674">
        <f t="shared" ref="Y15" si="5">+Z15/1000</f>
        <v>180000</v>
      </c>
      <c r="Z15" s="407">
        <f>S15*V15</f>
        <v>180000000</v>
      </c>
      <c r="AB15" s="2557"/>
    </row>
    <row r="16" spans="1:30" s="165" customFormat="1" ht="21.75" customHeight="1">
      <c r="A16" s="1290"/>
      <c r="B16" s="1189"/>
      <c r="C16" s="397"/>
      <c r="D16" s="1131"/>
      <c r="E16" s="1134" t="s">
        <v>223</v>
      </c>
      <c r="F16" s="383">
        <f>+Y16</f>
        <v>3000</v>
      </c>
      <c r="G16" s="1116">
        <v>3000</v>
      </c>
      <c r="H16" s="766"/>
      <c r="I16" s="2624"/>
      <c r="J16" s="2643" t="s">
        <v>3693</v>
      </c>
      <c r="K16" s="1671"/>
      <c r="L16" s="1671"/>
      <c r="M16" s="1671"/>
      <c r="N16" s="1671"/>
      <c r="O16" s="1671"/>
      <c r="P16" s="1671"/>
      <c r="Q16" s="1673"/>
      <c r="R16" s="1671"/>
      <c r="S16" s="1672">
        <v>300000</v>
      </c>
      <c r="T16" s="1671" t="s">
        <v>4</v>
      </c>
      <c r="U16" s="1671"/>
      <c r="V16" s="1671">
        <v>10</v>
      </c>
      <c r="W16" s="1671" t="s">
        <v>200</v>
      </c>
      <c r="X16" s="1140" t="s">
        <v>5</v>
      </c>
      <c r="Y16" s="1674">
        <f t="shared" si="3"/>
        <v>3000</v>
      </c>
      <c r="Z16" s="407">
        <f>S16*V16</f>
        <v>3000000</v>
      </c>
      <c r="AB16" s="2557">
        <f t="shared" si="1"/>
        <v>3000000000000</v>
      </c>
    </row>
    <row r="17" spans="1:28" s="165" customFormat="1" ht="21.75" customHeight="1">
      <c r="A17" s="1290"/>
      <c r="B17" s="1189"/>
      <c r="C17" s="397"/>
      <c r="D17" s="1131"/>
      <c r="E17" s="1134" t="s">
        <v>211</v>
      </c>
      <c r="F17" s="383">
        <f>+Y17</f>
        <v>4000</v>
      </c>
      <c r="G17" s="1116">
        <v>4000</v>
      </c>
      <c r="H17" s="766"/>
      <c r="I17" s="2624"/>
      <c r="J17" s="2643" t="s">
        <v>3694</v>
      </c>
      <c r="K17" s="1671"/>
      <c r="L17" s="1671"/>
      <c r="M17" s="1671"/>
      <c r="N17" s="1671"/>
      <c r="O17" s="1671"/>
      <c r="P17" s="1671"/>
      <c r="Q17" s="1673">
        <v>10</v>
      </c>
      <c r="R17" s="1671" t="s">
        <v>318</v>
      </c>
      <c r="S17" s="1672">
        <v>20000</v>
      </c>
      <c r="T17" s="1671" t="s">
        <v>4</v>
      </c>
      <c r="U17" s="1671"/>
      <c r="V17" s="1671">
        <v>20</v>
      </c>
      <c r="W17" s="1671" t="s">
        <v>10</v>
      </c>
      <c r="X17" s="1140" t="s">
        <v>5</v>
      </c>
      <c r="Y17" s="1674">
        <f t="shared" ref="Y17" si="6">+Z17/1000</f>
        <v>4000</v>
      </c>
      <c r="Z17" s="407">
        <f>Q17*S17*V17</f>
        <v>4000000</v>
      </c>
      <c r="AB17" s="2557">
        <f t="shared" si="1"/>
        <v>4000000000000</v>
      </c>
    </row>
    <row r="18" spans="1:28" s="165" customFormat="1" ht="21.75" customHeight="1">
      <c r="A18" s="1290"/>
      <c r="B18" s="1189"/>
      <c r="C18" s="3271" t="s">
        <v>3695</v>
      </c>
      <c r="D18" s="3271"/>
      <c r="E18" s="3272"/>
      <c r="F18" s="385">
        <f>F19</f>
        <v>63000</v>
      </c>
      <c r="G18" s="385">
        <v>63000</v>
      </c>
      <c r="H18" s="386">
        <f>+F18-G18</f>
        <v>0</v>
      </c>
      <c r="I18" s="2624"/>
      <c r="J18" s="1135"/>
      <c r="K18" s="2598"/>
      <c r="L18" s="2598"/>
      <c r="M18" s="2598"/>
      <c r="N18" s="2598"/>
      <c r="O18" s="2598"/>
      <c r="P18" s="2598"/>
      <c r="Q18" s="462"/>
      <c r="R18" s="395"/>
      <c r="S18" s="399"/>
      <c r="T18" s="1136"/>
      <c r="U18" s="1136"/>
      <c r="V18" s="1136"/>
      <c r="W18" s="1136"/>
      <c r="X18" s="1138"/>
      <c r="Y18" s="377"/>
      <c r="Z18" s="407"/>
      <c r="AB18" s="2557">
        <f t="shared" si="0"/>
        <v>63000000000000</v>
      </c>
    </row>
    <row r="19" spans="1:28" s="165" customFormat="1" ht="21.75" customHeight="1">
      <c r="A19" s="1290"/>
      <c r="B19" s="1189"/>
      <c r="C19" s="413"/>
      <c r="D19" s="3312" t="s">
        <v>345</v>
      </c>
      <c r="E19" s="3313"/>
      <c r="F19" s="382">
        <f>SUM(F20:F20)</f>
        <v>63000</v>
      </c>
      <c r="G19" s="382">
        <v>63000</v>
      </c>
      <c r="H19" s="386">
        <f>+F19-G19</f>
        <v>0</v>
      </c>
      <c r="I19" s="2624"/>
      <c r="J19" s="394"/>
      <c r="K19" s="2598"/>
      <c r="L19" s="2598"/>
      <c r="M19" s="2598"/>
      <c r="N19" s="2598"/>
      <c r="O19" s="2598"/>
      <c r="P19" s="2598"/>
      <c r="Q19" s="2598"/>
      <c r="R19" s="395"/>
      <c r="S19" s="2598"/>
      <c r="T19" s="2598"/>
      <c r="U19" s="2598"/>
      <c r="V19" s="2598"/>
      <c r="W19" s="2598"/>
      <c r="X19" s="430"/>
      <c r="Y19" s="1184"/>
      <c r="Z19" s="440"/>
      <c r="AB19" s="2557">
        <f t="shared" si="0"/>
        <v>63000000000000</v>
      </c>
    </row>
    <row r="20" spans="1:28" s="165" customFormat="1" ht="21.75" customHeight="1" thickBot="1">
      <c r="A20" s="1290"/>
      <c r="B20" s="1189"/>
      <c r="C20" s="397"/>
      <c r="D20" s="367"/>
      <c r="E20" s="444" t="s">
        <v>222</v>
      </c>
      <c r="F20" s="1786">
        <f>+Y20</f>
        <v>63000</v>
      </c>
      <c r="G20" s="1786">
        <v>63000</v>
      </c>
      <c r="H20" s="908"/>
      <c r="I20" s="2624"/>
      <c r="J20" s="446" t="s">
        <v>3696</v>
      </c>
      <c r="K20" s="447"/>
      <c r="L20" s="447"/>
      <c r="M20" s="447"/>
      <c r="N20" s="447"/>
      <c r="O20" s="447"/>
      <c r="P20" s="447"/>
      <c r="Q20" s="447"/>
      <c r="R20" s="2679"/>
      <c r="S20" s="451">
        <v>63000000</v>
      </c>
      <c r="T20" s="451" t="s">
        <v>4</v>
      </c>
      <c r="U20" s="451"/>
      <c r="V20" s="451">
        <v>1</v>
      </c>
      <c r="W20" s="451" t="s">
        <v>196</v>
      </c>
      <c r="X20" s="452" t="s">
        <v>5</v>
      </c>
      <c r="Y20" s="356">
        <f>+Z20/1000</f>
        <v>63000</v>
      </c>
      <c r="Z20" s="1086">
        <f>S20*V20</f>
        <v>63000000</v>
      </c>
      <c r="AB20" s="2557">
        <f t="shared" si="0"/>
        <v>63000000000000</v>
      </c>
    </row>
    <row r="21" spans="1:28" s="165" customFormat="1" ht="21.75" customHeight="1" thickBot="1">
      <c r="A21" s="1809"/>
      <c r="B21" s="1810" t="s">
        <v>3697</v>
      </c>
      <c r="C21" s="418"/>
      <c r="D21" s="777"/>
      <c r="E21" s="777"/>
      <c r="F21" s="1367">
        <f>+F22+F43</f>
        <v>118000</v>
      </c>
      <c r="G21" s="1367">
        <f>+G22+G43</f>
        <v>118000</v>
      </c>
      <c r="H21" s="1255">
        <f>F21-G21</f>
        <v>0</v>
      </c>
      <c r="I21" s="611"/>
      <c r="J21" s="1811"/>
      <c r="K21" s="840"/>
      <c r="L21" s="840"/>
      <c r="M21" s="840"/>
      <c r="N21" s="840"/>
      <c r="O21" s="840"/>
      <c r="P21" s="840"/>
      <c r="Q21" s="840"/>
      <c r="R21" s="840"/>
      <c r="S21" s="840"/>
      <c r="T21" s="840"/>
      <c r="U21" s="840"/>
      <c r="V21" s="840"/>
      <c r="W21" s="840"/>
      <c r="X21" s="840"/>
      <c r="Y21" s="842"/>
      <c r="Z21" s="1445"/>
      <c r="AB21" s="2557">
        <f t="shared" si="0"/>
        <v>118000000000000</v>
      </c>
    </row>
    <row r="22" spans="1:28" s="165" customFormat="1" ht="21.75" customHeight="1">
      <c r="A22" s="1290"/>
      <c r="B22" s="1189"/>
      <c r="C22" s="3338" t="s">
        <v>3698</v>
      </c>
      <c r="D22" s="3338"/>
      <c r="E22" s="3338"/>
      <c r="F22" s="1812">
        <f>+F23+F36</f>
        <v>68000</v>
      </c>
      <c r="G22" s="1812">
        <f>G23+G36</f>
        <v>68000</v>
      </c>
      <c r="H22" s="425">
        <f>F22-G22</f>
        <v>0</v>
      </c>
      <c r="I22" s="2624"/>
      <c r="J22" s="1813"/>
      <c r="K22" s="1473"/>
      <c r="L22" s="1473"/>
      <c r="M22" s="1473"/>
      <c r="N22" s="1473"/>
      <c r="O22" s="1473"/>
      <c r="P22" s="1473"/>
      <c r="Q22" s="1473"/>
      <c r="R22" s="1473"/>
      <c r="S22" s="1473"/>
      <c r="T22" s="1473"/>
      <c r="U22" s="1473"/>
      <c r="V22" s="1473"/>
      <c r="W22" s="1473"/>
      <c r="X22" s="1473"/>
      <c r="Y22" s="1814"/>
      <c r="Z22" s="407"/>
      <c r="AB22" s="2557">
        <f t="shared" si="0"/>
        <v>68000000000000</v>
      </c>
    </row>
    <row r="23" spans="1:28" s="165" customFormat="1" ht="21.75" customHeight="1">
      <c r="A23" s="1815"/>
      <c r="B23" s="1816"/>
      <c r="C23" s="1667"/>
      <c r="D23" s="3341" t="s">
        <v>3699</v>
      </c>
      <c r="E23" s="3341"/>
      <c r="F23" s="1632">
        <f>SUM(F24:F35)</f>
        <v>33000</v>
      </c>
      <c r="G23" s="3094">
        <f>SUM(G24:G35)</f>
        <v>33000</v>
      </c>
      <c r="H23" s="2680">
        <f>F23-G23</f>
        <v>0</v>
      </c>
      <c r="I23" s="2550"/>
      <c r="J23" s="1818"/>
      <c r="K23" s="91"/>
      <c r="L23" s="91"/>
      <c r="M23" s="91"/>
      <c r="N23" s="91"/>
      <c r="O23" s="1822"/>
      <c r="P23" s="91"/>
      <c r="Q23" s="91"/>
      <c r="R23" s="91"/>
      <c r="S23" s="91"/>
      <c r="T23" s="91"/>
      <c r="U23" s="91"/>
      <c r="V23" s="91"/>
      <c r="W23" s="91"/>
      <c r="X23" s="91"/>
      <c r="Y23" s="1692"/>
      <c r="Z23" s="119"/>
      <c r="AA23" s="113"/>
    </row>
    <row r="24" spans="1:28" s="165" customFormat="1" ht="21.75" customHeight="1">
      <c r="A24" s="1290"/>
      <c r="B24" s="1189"/>
      <c r="C24" s="1671"/>
      <c r="D24" s="1154"/>
      <c r="E24" s="350" t="s">
        <v>254</v>
      </c>
      <c r="F24" s="1128">
        <f>Y24</f>
        <v>12200</v>
      </c>
      <c r="G24" s="1141">
        <v>12200</v>
      </c>
      <c r="H24" s="494"/>
      <c r="I24" s="2559"/>
      <c r="J24" s="2643" t="s">
        <v>8</v>
      </c>
      <c r="K24" s="451"/>
      <c r="L24" s="451"/>
      <c r="M24" s="451"/>
      <c r="N24" s="2624"/>
      <c r="O24" s="2624"/>
      <c r="P24" s="2624"/>
      <c r="Q24" s="2624"/>
      <c r="R24" s="405"/>
      <c r="S24" s="2644"/>
      <c r="T24" s="2644"/>
      <c r="U24" s="2644"/>
      <c r="V24" s="2644"/>
      <c r="W24" s="2644"/>
      <c r="X24" s="2644"/>
      <c r="Y24" s="1674">
        <f>Z24/1000</f>
        <v>12200</v>
      </c>
      <c r="Z24" s="407">
        <f>SUM(Z25:Z28)</f>
        <v>12200000</v>
      </c>
      <c r="AA24" s="113"/>
    </row>
    <row r="25" spans="1:28" s="165" customFormat="1" ht="21.75" customHeight="1">
      <c r="A25" s="1290"/>
      <c r="B25" s="1189"/>
      <c r="C25" s="1671"/>
      <c r="D25" s="1154"/>
      <c r="E25" s="1126"/>
      <c r="F25" s="1128"/>
      <c r="G25" s="1141"/>
      <c r="H25" s="494"/>
      <c r="I25" s="2559"/>
      <c r="J25" s="2643" t="s">
        <v>2932</v>
      </c>
      <c r="K25" s="1671"/>
      <c r="L25" s="1671"/>
      <c r="M25" s="1671"/>
      <c r="N25" s="2624"/>
      <c r="O25" s="2624"/>
      <c r="P25" s="2624"/>
      <c r="Q25" s="2644" t="s">
        <v>19</v>
      </c>
      <c r="R25" s="1288" t="s">
        <v>19</v>
      </c>
      <c r="S25" s="2644">
        <v>300000</v>
      </c>
      <c r="T25" s="2644" t="s">
        <v>2937</v>
      </c>
      <c r="U25" s="2644"/>
      <c r="V25" s="2644">
        <v>7</v>
      </c>
      <c r="W25" s="2644" t="s">
        <v>3700</v>
      </c>
      <c r="X25" s="2644" t="s">
        <v>3701</v>
      </c>
      <c r="Y25" s="1674">
        <f>+Z25/1000</f>
        <v>2100</v>
      </c>
      <c r="Z25" s="407">
        <f>S25*V25</f>
        <v>2100000</v>
      </c>
      <c r="AA25" s="113"/>
    </row>
    <row r="26" spans="1:28" s="165" customFormat="1" ht="21.75" customHeight="1">
      <c r="A26" s="1290"/>
      <c r="B26" s="1189"/>
      <c r="C26" s="1671"/>
      <c r="D26" s="1154"/>
      <c r="E26" s="1126"/>
      <c r="F26" s="1128"/>
      <c r="G26" s="1141"/>
      <c r="H26" s="494"/>
      <c r="I26" s="2559"/>
      <c r="J26" s="2643" t="s">
        <v>3702</v>
      </c>
      <c r="K26" s="1671"/>
      <c r="L26" s="1671"/>
      <c r="M26" s="1671"/>
      <c r="N26" s="1671"/>
      <c r="O26" s="1671"/>
      <c r="P26" s="1671"/>
      <c r="Q26" s="2644"/>
      <c r="R26" s="2644"/>
      <c r="S26" s="2644">
        <v>300000</v>
      </c>
      <c r="T26" s="2644" t="s">
        <v>0</v>
      </c>
      <c r="U26" s="2644"/>
      <c r="V26" s="2644">
        <v>7</v>
      </c>
      <c r="W26" s="2644" t="s">
        <v>3700</v>
      </c>
      <c r="X26" s="2644" t="s">
        <v>1</v>
      </c>
      <c r="Y26" s="1674">
        <f>+Z26/1000</f>
        <v>2100</v>
      </c>
      <c r="Z26" s="407">
        <f>S26*V26</f>
        <v>2100000</v>
      </c>
      <c r="AA26" s="113"/>
    </row>
    <row r="27" spans="1:28" s="165" customFormat="1" ht="21.75" customHeight="1">
      <c r="A27" s="1290"/>
      <c r="B27" s="1189"/>
      <c r="C27" s="1671"/>
      <c r="D27" s="1154"/>
      <c r="E27" s="1126"/>
      <c r="F27" s="1128"/>
      <c r="G27" s="1141"/>
      <c r="H27" s="494"/>
      <c r="I27" s="2559"/>
      <c r="J27" s="2643" t="s">
        <v>3703</v>
      </c>
      <c r="K27" s="1671"/>
      <c r="L27" s="1671"/>
      <c r="M27" s="1671"/>
      <c r="N27" s="1671"/>
      <c r="O27" s="1671"/>
      <c r="P27" s="1671"/>
      <c r="Q27" s="2644"/>
      <c r="R27" s="2644"/>
      <c r="S27" s="2644">
        <v>2000000</v>
      </c>
      <c r="T27" s="2644" t="s">
        <v>0</v>
      </c>
      <c r="U27" s="2644"/>
      <c r="V27" s="2644">
        <v>1</v>
      </c>
      <c r="W27" s="2644" t="s">
        <v>3</v>
      </c>
      <c r="X27" s="2644" t="s">
        <v>1</v>
      </c>
      <c r="Y27" s="1674">
        <f t="shared" ref="Y27" si="7">+Z27/1000</f>
        <v>2000</v>
      </c>
      <c r="Z27" s="407">
        <f>S27*V27</f>
        <v>2000000</v>
      </c>
      <c r="AA27" s="113"/>
    </row>
    <row r="28" spans="1:28" s="165" customFormat="1" ht="21.75" customHeight="1">
      <c r="A28" s="1290"/>
      <c r="B28" s="1189"/>
      <c r="C28" s="1671"/>
      <c r="D28" s="1154"/>
      <c r="E28" s="1126"/>
      <c r="F28" s="1128"/>
      <c r="G28" s="1141"/>
      <c r="H28" s="494"/>
      <c r="I28" s="2559"/>
      <c r="J28" s="2643" t="s">
        <v>3704</v>
      </c>
      <c r="K28" s="1671"/>
      <c r="L28" s="1671"/>
      <c r="M28" s="1671"/>
      <c r="N28" s="1671"/>
      <c r="O28" s="1671"/>
      <c r="P28" s="1671"/>
      <c r="Q28" s="2644"/>
      <c r="R28" s="2644"/>
      <c r="S28" s="2644">
        <v>3000000</v>
      </c>
      <c r="T28" s="2644" t="s">
        <v>0</v>
      </c>
      <c r="U28" s="2644"/>
      <c r="V28" s="2644">
        <v>2</v>
      </c>
      <c r="W28" s="2644" t="s">
        <v>3</v>
      </c>
      <c r="X28" s="2644" t="s">
        <v>1</v>
      </c>
      <c r="Y28" s="1674">
        <f t="shared" ref="Y28:Y34" si="8">+Z28/1000</f>
        <v>6000</v>
      </c>
      <c r="Z28" s="407">
        <f>S28*V28</f>
        <v>6000000</v>
      </c>
      <c r="AA28" s="113"/>
    </row>
    <row r="29" spans="1:28" s="165" customFormat="1" ht="21.75" customHeight="1">
      <c r="A29" s="1290"/>
      <c r="B29" s="1189"/>
      <c r="C29" s="1671"/>
      <c r="D29" s="1154"/>
      <c r="E29" s="1126" t="s">
        <v>16</v>
      </c>
      <c r="F29" s="1128">
        <f>Y29</f>
        <v>16000</v>
      </c>
      <c r="G29" s="1141">
        <v>16000</v>
      </c>
      <c r="H29" s="2497"/>
      <c r="I29" s="409"/>
      <c r="J29" s="2643" t="s">
        <v>194</v>
      </c>
      <c r="K29" s="1671"/>
      <c r="L29" s="1671"/>
      <c r="M29" s="1671"/>
      <c r="N29" s="1671"/>
      <c r="O29" s="1671"/>
      <c r="P29" s="1671"/>
      <c r="Q29" s="2644"/>
      <c r="R29" s="2644"/>
      <c r="S29" s="2644"/>
      <c r="T29" s="2644"/>
      <c r="U29" s="2644"/>
      <c r="V29" s="2644"/>
      <c r="W29" s="2644"/>
      <c r="X29" s="2644"/>
      <c r="Y29" s="1674">
        <f>Z29/1000</f>
        <v>16000</v>
      </c>
      <c r="Z29" s="407">
        <f>SUM(Z30:Z32)</f>
        <v>16000000</v>
      </c>
      <c r="AA29" s="113"/>
    </row>
    <row r="30" spans="1:28" ht="21.75" customHeight="1">
      <c r="A30" s="464"/>
      <c r="B30" s="412"/>
      <c r="C30" s="402"/>
      <c r="D30" s="1126"/>
      <c r="E30" s="1126"/>
      <c r="F30" s="1703"/>
      <c r="G30" s="1470"/>
      <c r="H30" s="2497"/>
      <c r="I30" s="409"/>
      <c r="J30" s="2643" t="s">
        <v>2934</v>
      </c>
      <c r="K30" s="1671"/>
      <c r="L30" s="1671"/>
      <c r="M30" s="1671"/>
      <c r="N30" s="1671"/>
      <c r="O30" s="1671"/>
      <c r="P30" s="1671"/>
      <c r="Q30" s="2644"/>
      <c r="R30" s="2644"/>
      <c r="S30" s="2644">
        <v>2000000</v>
      </c>
      <c r="T30" s="2644" t="s">
        <v>0</v>
      </c>
      <c r="U30" s="2644"/>
      <c r="V30" s="2644">
        <v>1</v>
      </c>
      <c r="W30" s="2644" t="s">
        <v>3</v>
      </c>
      <c r="X30" s="2644" t="s">
        <v>1</v>
      </c>
      <c r="Y30" s="1674">
        <f t="shared" ref="Y30" si="9">+Z30/1000</f>
        <v>2000</v>
      </c>
      <c r="Z30" s="407">
        <f>S30*V30</f>
        <v>2000000</v>
      </c>
    </row>
    <row r="31" spans="1:28" ht="21.75" customHeight="1">
      <c r="A31" s="464"/>
      <c r="B31" s="412"/>
      <c r="C31" s="402"/>
      <c r="D31" s="1126"/>
      <c r="E31" s="1126"/>
      <c r="F31" s="1703"/>
      <c r="G31" s="1141"/>
      <c r="H31" s="494"/>
      <c r="I31" s="2559"/>
      <c r="J31" s="2643" t="s">
        <v>3705</v>
      </c>
      <c r="K31" s="1671"/>
      <c r="L31" s="1671"/>
      <c r="M31" s="1671"/>
      <c r="N31" s="1671"/>
      <c r="O31" s="1671"/>
      <c r="P31" s="1671"/>
      <c r="Q31" s="2644"/>
      <c r="R31" s="2644"/>
      <c r="S31" s="2644">
        <v>2000000</v>
      </c>
      <c r="T31" s="2644" t="s">
        <v>0</v>
      </c>
      <c r="U31" s="2644"/>
      <c r="V31" s="2644">
        <v>4</v>
      </c>
      <c r="W31" s="2644" t="s">
        <v>3</v>
      </c>
      <c r="X31" s="2644" t="s">
        <v>1</v>
      </c>
      <c r="Y31" s="1674">
        <f t="shared" si="8"/>
        <v>8000</v>
      </c>
      <c r="Z31" s="407">
        <f>S31*V31</f>
        <v>8000000</v>
      </c>
    </row>
    <row r="32" spans="1:28" ht="21.75" customHeight="1">
      <c r="A32" s="464"/>
      <c r="B32" s="412"/>
      <c r="C32" s="402"/>
      <c r="D32" s="1126"/>
      <c r="E32" s="1126"/>
      <c r="F32" s="1703"/>
      <c r="G32" s="1141"/>
      <c r="H32" s="494"/>
      <c r="I32" s="2559"/>
      <c r="J32" s="2643" t="s">
        <v>2935</v>
      </c>
      <c r="K32" s="1671"/>
      <c r="L32" s="1671"/>
      <c r="M32" s="1671"/>
      <c r="N32" s="1671"/>
      <c r="O32" s="1671"/>
      <c r="P32" s="1671"/>
      <c r="Q32" s="2644"/>
      <c r="R32" s="2644"/>
      <c r="S32" s="2644">
        <v>2000000</v>
      </c>
      <c r="T32" s="2644" t="s">
        <v>0</v>
      </c>
      <c r="U32" s="2644"/>
      <c r="V32" s="2644">
        <v>3</v>
      </c>
      <c r="W32" s="2644" t="s">
        <v>3</v>
      </c>
      <c r="X32" s="2644" t="s">
        <v>1</v>
      </c>
      <c r="Y32" s="1674">
        <f t="shared" si="8"/>
        <v>6000</v>
      </c>
      <c r="Z32" s="407">
        <f>S32*V32</f>
        <v>6000000</v>
      </c>
    </row>
    <row r="33" spans="1:28" ht="21.75" customHeight="1">
      <c r="A33" s="464"/>
      <c r="B33" s="412"/>
      <c r="C33" s="402"/>
      <c r="D33" s="1126"/>
      <c r="E33" s="1126" t="s">
        <v>3706</v>
      </c>
      <c r="F33" s="1128">
        <f>Y33</f>
        <v>1500</v>
      </c>
      <c r="G33" s="1141">
        <v>1500</v>
      </c>
      <c r="H33" s="494"/>
      <c r="I33" s="2559"/>
      <c r="J33" s="2763" t="s">
        <v>4841</v>
      </c>
      <c r="K33" s="1671"/>
      <c r="L33" s="1671"/>
      <c r="M33" s="1671"/>
      <c r="N33" s="1671"/>
      <c r="O33" s="1671"/>
      <c r="P33" s="1671"/>
      <c r="Q33" s="2644"/>
      <c r="R33" s="2644"/>
      <c r="S33" s="2764">
        <v>1500000</v>
      </c>
      <c r="T33" s="2764" t="s">
        <v>0</v>
      </c>
      <c r="U33" s="2764"/>
      <c r="V33" s="2764">
        <v>1</v>
      </c>
      <c r="W33" s="2764" t="s">
        <v>3</v>
      </c>
      <c r="X33" s="2764" t="s">
        <v>1</v>
      </c>
      <c r="Y33" s="1674">
        <f t="shared" ref="Y33" si="10">+Z33/1000</f>
        <v>1500</v>
      </c>
      <c r="Z33" s="407">
        <f t="shared" ref="Z33" si="11">S33*V33</f>
        <v>1500000</v>
      </c>
    </row>
    <row r="34" spans="1:28" ht="21.75" customHeight="1">
      <c r="A34" s="464"/>
      <c r="B34" s="412"/>
      <c r="C34" s="402"/>
      <c r="D34" s="1126"/>
      <c r="E34" s="1126" t="s">
        <v>67</v>
      </c>
      <c r="F34" s="1128">
        <f>Y34</f>
        <v>1500</v>
      </c>
      <c r="G34" s="1141">
        <v>1500</v>
      </c>
      <c r="H34" s="494"/>
      <c r="I34" s="2559"/>
      <c r="J34" s="2643" t="s">
        <v>3707</v>
      </c>
      <c r="K34" s="2624"/>
      <c r="L34" s="2624"/>
      <c r="M34" s="2624"/>
      <c r="N34" s="2624"/>
      <c r="O34" s="2624"/>
      <c r="P34" s="2624"/>
      <c r="Q34" s="2644" t="s">
        <v>19</v>
      </c>
      <c r="R34" s="1288" t="s">
        <v>19</v>
      </c>
      <c r="S34" s="2644">
        <v>1500000</v>
      </c>
      <c r="T34" s="2644" t="s">
        <v>2937</v>
      </c>
      <c r="U34" s="2644"/>
      <c r="V34" s="2644">
        <v>1</v>
      </c>
      <c r="W34" s="2644" t="s">
        <v>3</v>
      </c>
      <c r="X34" s="2644" t="s">
        <v>3701</v>
      </c>
      <c r="Y34" s="1674">
        <f t="shared" si="8"/>
        <v>1500</v>
      </c>
      <c r="Z34" s="407">
        <f t="shared" ref="Z34" si="12">S34*V34</f>
        <v>1500000</v>
      </c>
    </row>
    <row r="35" spans="1:28" s="165" customFormat="1" ht="21.75" customHeight="1">
      <c r="A35" s="1290"/>
      <c r="B35" s="1189"/>
      <c r="C35" s="1671"/>
      <c r="D35" s="1154"/>
      <c r="E35" s="359" t="s">
        <v>14</v>
      </c>
      <c r="F35" s="1128">
        <f>Y35</f>
        <v>1800</v>
      </c>
      <c r="G35" s="1141">
        <v>1800</v>
      </c>
      <c r="H35" s="494"/>
      <c r="I35" s="2559"/>
      <c r="J35" s="2899" t="s">
        <v>2933</v>
      </c>
      <c r="K35" s="1671"/>
      <c r="L35" s="1671"/>
      <c r="M35" s="1671"/>
      <c r="N35" s="1671"/>
      <c r="O35" s="1671"/>
      <c r="P35" s="1671"/>
      <c r="Q35" s="2900">
        <v>18</v>
      </c>
      <c r="R35" s="2900" t="s">
        <v>33</v>
      </c>
      <c r="S35" s="2900">
        <v>10000</v>
      </c>
      <c r="T35" s="2900" t="s">
        <v>0</v>
      </c>
      <c r="U35" s="2900"/>
      <c r="V35" s="2900">
        <v>10</v>
      </c>
      <c r="W35" s="2900" t="s">
        <v>35</v>
      </c>
      <c r="X35" s="2900" t="s">
        <v>1</v>
      </c>
      <c r="Y35" s="1674">
        <f t="shared" ref="Y35" si="13">+Z35/1000</f>
        <v>1800</v>
      </c>
      <c r="Z35" s="407">
        <f>Q35*S35*V35</f>
        <v>1800000</v>
      </c>
      <c r="AA35" s="113"/>
    </row>
    <row r="36" spans="1:28" s="165" customFormat="1" ht="21.75" customHeight="1">
      <c r="A36" s="1290"/>
      <c r="B36" s="1291"/>
      <c r="C36" s="875"/>
      <c r="D36" s="3285" t="s">
        <v>3708</v>
      </c>
      <c r="E36" s="3340"/>
      <c r="F36" s="1153">
        <f>SUM(F37:F42)</f>
        <v>35000</v>
      </c>
      <c r="G36" s="1153">
        <f>SUM(G37:G42)</f>
        <v>35000</v>
      </c>
      <c r="H36" s="386">
        <f t="shared" ref="H36" si="14">F36-G36</f>
        <v>0</v>
      </c>
      <c r="I36" s="2624"/>
      <c r="J36" s="1135"/>
      <c r="K36" s="462"/>
      <c r="L36" s="462"/>
      <c r="M36" s="462"/>
      <c r="N36" s="462"/>
      <c r="O36" s="462"/>
      <c r="P36" s="462"/>
      <c r="Q36" s="1136"/>
      <c r="R36" s="1136"/>
      <c r="S36" s="1136"/>
      <c r="T36" s="1136"/>
      <c r="U36" s="1136"/>
      <c r="V36" s="1136"/>
      <c r="W36" s="1136"/>
      <c r="X36" s="1136"/>
      <c r="Y36" s="377"/>
      <c r="Z36" s="463"/>
      <c r="AB36" s="2557"/>
    </row>
    <row r="37" spans="1:28" s="165" customFormat="1" ht="21.75" customHeight="1">
      <c r="A37" s="1290"/>
      <c r="B37" s="1291"/>
      <c r="C37" s="875"/>
      <c r="D37" s="2603"/>
      <c r="E37" s="837" t="s">
        <v>84</v>
      </c>
      <c r="F37" s="2494">
        <f>Y37</f>
        <v>30000</v>
      </c>
      <c r="G37" s="978">
        <v>30000</v>
      </c>
      <c r="H37" s="908"/>
      <c r="I37" s="2624"/>
      <c r="J37" s="2345" t="s">
        <v>194</v>
      </c>
      <c r="K37" s="1672"/>
      <c r="L37" s="1672"/>
      <c r="M37" s="1672"/>
      <c r="N37" s="1672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2496">
        <f>Z37/1000</f>
        <v>30000</v>
      </c>
      <c r="Z37" s="1086">
        <f>SUM(Z38:Z39)</f>
        <v>30000000</v>
      </c>
      <c r="AB37" s="2557"/>
    </row>
    <row r="38" spans="1:28" s="165" customFormat="1" ht="21.75" customHeight="1">
      <c r="A38" s="1290"/>
      <c r="B38" s="1291"/>
      <c r="C38" s="875"/>
      <c r="D38" s="335"/>
      <c r="E38" s="1154"/>
      <c r="F38" s="1470"/>
      <c r="G38" s="1141"/>
      <c r="H38" s="391"/>
      <c r="I38" s="2624"/>
      <c r="J38" s="2345" t="s">
        <v>5904</v>
      </c>
      <c r="K38" s="1672"/>
      <c r="L38" s="1672"/>
      <c r="M38" s="1672"/>
      <c r="N38" s="1672"/>
      <c r="O38" s="1672"/>
      <c r="P38" s="1672"/>
      <c r="Q38" s="2644">
        <v>8</v>
      </c>
      <c r="R38" s="2644" t="s">
        <v>33</v>
      </c>
      <c r="S38" s="2644">
        <v>3000000</v>
      </c>
      <c r="T38" s="2644" t="s">
        <v>2937</v>
      </c>
      <c r="U38" s="2644"/>
      <c r="V38" s="2644"/>
      <c r="W38" s="2644"/>
      <c r="X38" s="2644" t="s">
        <v>3701</v>
      </c>
      <c r="Y38" s="1674">
        <f t="shared" ref="Y38:Y42" si="15">+Z38/1000</f>
        <v>24000</v>
      </c>
      <c r="Z38" s="407">
        <f>Q38*S38</f>
        <v>24000000</v>
      </c>
      <c r="AB38" s="2557"/>
    </row>
    <row r="39" spans="1:28" s="165" customFormat="1" ht="21.75" customHeight="1">
      <c r="A39" s="1290"/>
      <c r="B39" s="1291"/>
      <c r="C39" s="875"/>
      <c r="D39" s="335"/>
      <c r="E39" s="1486"/>
      <c r="F39" s="1470"/>
      <c r="G39" s="1141"/>
      <c r="H39" s="391"/>
      <c r="I39" s="2624"/>
      <c r="J39" s="2345" t="s">
        <v>5905</v>
      </c>
      <c r="K39" s="1672"/>
      <c r="L39" s="1672"/>
      <c r="M39" s="1672"/>
      <c r="N39" s="1672"/>
      <c r="O39" s="1672"/>
      <c r="P39" s="1672"/>
      <c r="Q39" s="2644">
        <v>10</v>
      </c>
      <c r="R39" s="2644" t="s">
        <v>33</v>
      </c>
      <c r="S39" s="2644">
        <v>600000</v>
      </c>
      <c r="T39" s="2644" t="s">
        <v>2937</v>
      </c>
      <c r="U39" s="2644"/>
      <c r="V39" s="2644"/>
      <c r="W39" s="2644"/>
      <c r="X39" s="2644" t="s">
        <v>3701</v>
      </c>
      <c r="Y39" s="1674">
        <f t="shared" si="15"/>
        <v>6000</v>
      </c>
      <c r="Z39" s="407">
        <f>Q39*S39</f>
        <v>6000000</v>
      </c>
      <c r="AB39" s="2557"/>
    </row>
    <row r="40" spans="1:28" s="165" customFormat="1" ht="21.75" customHeight="1">
      <c r="A40" s="1290"/>
      <c r="B40" s="1291"/>
      <c r="C40" s="875"/>
      <c r="D40" s="335"/>
      <c r="E40" s="1154" t="s">
        <v>3709</v>
      </c>
      <c r="F40" s="1470">
        <f>Y40</f>
        <v>4000</v>
      </c>
      <c r="G40" s="1141">
        <v>4000</v>
      </c>
      <c r="H40" s="391"/>
      <c r="I40" s="2624"/>
      <c r="J40" s="2345" t="s">
        <v>2936</v>
      </c>
      <c r="K40" s="1672"/>
      <c r="L40" s="1672"/>
      <c r="M40" s="1672"/>
      <c r="N40" s="1672"/>
      <c r="O40" s="1672"/>
      <c r="P40" s="1672"/>
      <c r="Q40" s="2644">
        <v>1</v>
      </c>
      <c r="R40" s="2644" t="s">
        <v>3710</v>
      </c>
      <c r="S40" s="2644">
        <v>2000000</v>
      </c>
      <c r="T40" s="2644" t="s">
        <v>2937</v>
      </c>
      <c r="U40" s="2644"/>
      <c r="V40" s="2644">
        <v>2</v>
      </c>
      <c r="W40" s="2644" t="s">
        <v>3</v>
      </c>
      <c r="X40" s="2644" t="s">
        <v>3701</v>
      </c>
      <c r="Y40" s="1674">
        <f t="shared" si="15"/>
        <v>4000</v>
      </c>
      <c r="Z40" s="407">
        <f>Q40*S40*V40</f>
        <v>4000000</v>
      </c>
      <c r="AB40" s="2557"/>
    </row>
    <row r="41" spans="1:28" s="165" customFormat="1" ht="21.75" customHeight="1">
      <c r="A41" s="1290"/>
      <c r="B41" s="1291"/>
      <c r="C41" s="875"/>
      <c r="D41" s="335"/>
      <c r="E41" s="1154" t="s">
        <v>3706</v>
      </c>
      <c r="F41" s="1470">
        <f>Y41</f>
        <v>500</v>
      </c>
      <c r="G41" s="1141">
        <v>500</v>
      </c>
      <c r="H41" s="391"/>
      <c r="I41" s="2624"/>
      <c r="J41" s="2345" t="s">
        <v>3711</v>
      </c>
      <c r="K41" s="1672"/>
      <c r="L41" s="1672"/>
      <c r="M41" s="1672"/>
      <c r="N41" s="1672"/>
      <c r="O41" s="1672"/>
      <c r="P41" s="1672"/>
      <c r="Q41" s="1672"/>
      <c r="R41" s="1672"/>
      <c r="S41" s="2644">
        <v>250000</v>
      </c>
      <c r="T41" s="2644" t="s">
        <v>3712</v>
      </c>
      <c r="U41" s="2644"/>
      <c r="V41" s="2644">
        <v>2</v>
      </c>
      <c r="W41" s="2644" t="s">
        <v>3</v>
      </c>
      <c r="X41" s="2644" t="s">
        <v>3713</v>
      </c>
      <c r="Y41" s="1674">
        <f t="shared" si="15"/>
        <v>500</v>
      </c>
      <c r="Z41" s="407">
        <f>S41*V41</f>
        <v>500000</v>
      </c>
      <c r="AB41" s="2557"/>
    </row>
    <row r="42" spans="1:28" s="165" customFormat="1" ht="21.75" customHeight="1">
      <c r="A42" s="1290"/>
      <c r="B42" s="1291"/>
      <c r="C42" s="875"/>
      <c r="D42" s="2616"/>
      <c r="E42" s="2638" t="s">
        <v>3714</v>
      </c>
      <c r="F42" s="2495">
        <f>Y42</f>
        <v>500</v>
      </c>
      <c r="G42" s="527">
        <v>500</v>
      </c>
      <c r="H42" s="391"/>
      <c r="I42" s="2624"/>
      <c r="J42" s="2345" t="s">
        <v>3715</v>
      </c>
      <c r="K42" s="1672"/>
      <c r="L42" s="1672"/>
      <c r="M42" s="1672"/>
      <c r="N42" s="1672"/>
      <c r="O42" s="458"/>
      <c r="P42" s="458"/>
      <c r="Q42" s="458"/>
      <c r="R42" s="1672"/>
      <c r="S42" s="2644">
        <v>250000</v>
      </c>
      <c r="T42" s="2644" t="s">
        <v>3712</v>
      </c>
      <c r="U42" s="2644"/>
      <c r="V42" s="2644">
        <v>2</v>
      </c>
      <c r="W42" s="2644" t="s">
        <v>3</v>
      </c>
      <c r="X42" s="2644" t="s">
        <v>3713</v>
      </c>
      <c r="Y42" s="1674">
        <f t="shared" si="15"/>
        <v>500</v>
      </c>
      <c r="Z42" s="407">
        <f>S42*V42</f>
        <v>500000</v>
      </c>
      <c r="AB42" s="2557"/>
    </row>
    <row r="43" spans="1:28" ht="21.75" customHeight="1">
      <c r="A43" s="464"/>
      <c r="B43" s="412"/>
      <c r="C43" s="3277" t="s">
        <v>3716</v>
      </c>
      <c r="D43" s="3271"/>
      <c r="E43" s="3272"/>
      <c r="F43" s="385">
        <f>+F44</f>
        <v>50000</v>
      </c>
      <c r="G43" s="385">
        <f>G44</f>
        <v>50000</v>
      </c>
      <c r="H43" s="386">
        <f>+F43-G43</f>
        <v>0</v>
      </c>
      <c r="I43" s="2624"/>
      <c r="J43" s="1135"/>
      <c r="K43" s="2598"/>
      <c r="L43" s="2598"/>
      <c r="M43" s="2598"/>
      <c r="N43" s="2598"/>
      <c r="O43" s="2598"/>
      <c r="P43" s="2598"/>
      <c r="Q43" s="462"/>
      <c r="R43" s="395"/>
      <c r="S43" s="399"/>
      <c r="T43" s="1136"/>
      <c r="U43" s="1136"/>
      <c r="V43" s="1136"/>
      <c r="W43" s="1136"/>
      <c r="X43" s="1138"/>
      <c r="Y43" s="377"/>
      <c r="Z43" s="407"/>
      <c r="AB43" s="2557">
        <f t="shared" ref="AB43:AB49" si="16">F43*1000000000</f>
        <v>50000000000000</v>
      </c>
    </row>
    <row r="44" spans="1:28" ht="21.75" customHeight="1">
      <c r="A44" s="464"/>
      <c r="B44" s="412"/>
      <c r="C44" s="402"/>
      <c r="D44" s="3266" t="s">
        <v>3717</v>
      </c>
      <c r="E44" s="3339"/>
      <c r="F44" s="527">
        <f>SUM(F45:F46)</f>
        <v>50000</v>
      </c>
      <c r="G44" s="527">
        <f>SUM(G45:G46)</f>
        <v>50000</v>
      </c>
      <c r="H44" s="386">
        <f>F44-G44</f>
        <v>0</v>
      </c>
      <c r="I44" s="2624"/>
      <c r="J44" s="826"/>
      <c r="K44" s="2647"/>
      <c r="L44" s="2647"/>
      <c r="M44" s="2647"/>
      <c r="N44" s="2647"/>
      <c r="O44" s="2647"/>
      <c r="P44" s="2647"/>
      <c r="Q44" s="2647"/>
      <c r="R44" s="827"/>
      <c r="S44" s="2647"/>
      <c r="T44" s="827"/>
      <c r="U44" s="827"/>
      <c r="V44" s="827"/>
      <c r="W44" s="2647"/>
      <c r="X44" s="2647"/>
      <c r="Y44" s="1158"/>
      <c r="Z44" s="463"/>
      <c r="AB44" s="2557">
        <f t="shared" si="16"/>
        <v>50000000000000</v>
      </c>
    </row>
    <row r="45" spans="1:28" ht="21.75" customHeight="1">
      <c r="A45" s="464"/>
      <c r="B45" s="1097"/>
      <c r="C45" s="465"/>
      <c r="D45" s="434"/>
      <c r="E45" s="543" t="s">
        <v>195</v>
      </c>
      <c r="F45" s="1141">
        <f>Y45</f>
        <v>30000</v>
      </c>
      <c r="G45" s="1141">
        <v>30000</v>
      </c>
      <c r="H45" s="391"/>
      <c r="I45" s="2889"/>
      <c r="J45" s="1820" t="s">
        <v>3722</v>
      </c>
      <c r="K45" s="159"/>
      <c r="L45" s="1328"/>
      <c r="M45" s="1328"/>
      <c r="N45" s="1328"/>
      <c r="O45" s="1672"/>
      <c r="P45" s="1672"/>
      <c r="Q45" s="2900">
        <v>10</v>
      </c>
      <c r="R45" s="2900" t="s">
        <v>33</v>
      </c>
      <c r="S45" s="2900">
        <v>3000000</v>
      </c>
      <c r="T45" s="2900" t="s">
        <v>2937</v>
      </c>
      <c r="U45" s="2900"/>
      <c r="V45" s="2900"/>
      <c r="W45" s="2900"/>
      <c r="X45" s="2900" t="s">
        <v>3701</v>
      </c>
      <c r="Y45" s="1674">
        <f t="shared" ref="Y45" si="17">+Z45/1000</f>
        <v>30000</v>
      </c>
      <c r="Z45" s="407">
        <f>Q45*S45</f>
        <v>30000000</v>
      </c>
      <c r="AB45" s="2557"/>
    </row>
    <row r="46" spans="1:28" ht="21.75" customHeight="1" thickBot="1">
      <c r="A46" s="464"/>
      <c r="B46" s="1097"/>
      <c r="C46" s="465"/>
      <c r="D46" s="542"/>
      <c r="E46" s="543" t="s">
        <v>3718</v>
      </c>
      <c r="F46" s="1141">
        <f>Y46</f>
        <v>20000</v>
      </c>
      <c r="G46" s="1141">
        <v>20000</v>
      </c>
      <c r="H46" s="391"/>
      <c r="I46" s="2624"/>
      <c r="J46" s="2681" t="s">
        <v>3719</v>
      </c>
      <c r="K46" s="2498"/>
      <c r="L46" s="1476"/>
      <c r="M46" s="1476"/>
      <c r="N46" s="1476"/>
      <c r="O46" s="480"/>
      <c r="P46" s="480"/>
      <c r="Q46" s="1162">
        <v>1</v>
      </c>
      <c r="R46" s="1162" t="s">
        <v>3720</v>
      </c>
      <c r="S46" s="1162">
        <v>20000000</v>
      </c>
      <c r="T46" s="1162" t="s">
        <v>3712</v>
      </c>
      <c r="U46" s="1162"/>
      <c r="V46" s="1162"/>
      <c r="W46" s="1162"/>
      <c r="X46" s="1162" t="s">
        <v>3713</v>
      </c>
      <c r="Y46" s="381">
        <f t="shared" ref="Y46" si="18">+Z46/1000</f>
        <v>20000</v>
      </c>
      <c r="Z46" s="1084">
        <f>Q46*S46</f>
        <v>20000000</v>
      </c>
      <c r="AB46" s="2557"/>
    </row>
    <row r="47" spans="1:28" s="393" customFormat="1" ht="21.75" customHeight="1" thickBot="1">
      <c r="A47" s="1266"/>
      <c r="B47" s="2675" t="s">
        <v>3723</v>
      </c>
      <c r="C47" s="418"/>
      <c r="D47" s="2682"/>
      <c r="E47" s="2683"/>
      <c r="F47" s="2684">
        <f>+F48</f>
        <v>250000</v>
      </c>
      <c r="G47" s="2684">
        <f>+G48</f>
        <v>250000</v>
      </c>
      <c r="H47" s="1255">
        <f t="shared" ref="H47:H66" si="19">F47-G47</f>
        <v>0</v>
      </c>
      <c r="I47" s="1783"/>
      <c r="J47" s="1441"/>
      <c r="K47" s="423"/>
      <c r="L47" s="423"/>
      <c r="M47" s="423"/>
      <c r="N47" s="423"/>
      <c r="O47" s="423"/>
      <c r="P47" s="423"/>
      <c r="Q47" s="2685"/>
      <c r="R47" s="2686"/>
      <c r="S47" s="840"/>
      <c r="T47" s="1442"/>
      <c r="U47" s="1442"/>
      <c r="V47" s="1442"/>
      <c r="W47" s="1442"/>
      <c r="X47" s="1443"/>
      <c r="Y47" s="842"/>
      <c r="Z47" s="1445"/>
      <c r="AB47" s="2557">
        <f t="shared" si="16"/>
        <v>250000000000000</v>
      </c>
    </row>
    <row r="48" spans="1:28" s="393" customFormat="1" ht="21.75" customHeight="1">
      <c r="A48" s="1266"/>
      <c r="B48" s="1267"/>
      <c r="C48" s="3333" t="s">
        <v>3724</v>
      </c>
      <c r="D48" s="3334"/>
      <c r="E48" s="3335"/>
      <c r="F48" s="1268">
        <f>+F49</f>
        <v>250000</v>
      </c>
      <c r="G48" s="1268">
        <f>+G49</f>
        <v>250000</v>
      </c>
      <c r="H48" s="1269">
        <f t="shared" si="19"/>
        <v>0</v>
      </c>
      <c r="I48" s="1783"/>
      <c r="J48" s="1270"/>
      <c r="K48" s="1271"/>
      <c r="L48" s="1271"/>
      <c r="M48" s="1271"/>
      <c r="N48" s="1271"/>
      <c r="O48" s="1271"/>
      <c r="P48" s="1271"/>
      <c r="Q48" s="1272"/>
      <c r="R48" s="1273"/>
      <c r="S48" s="1274"/>
      <c r="T48" s="1275"/>
      <c r="U48" s="1275"/>
      <c r="V48" s="1275"/>
      <c r="W48" s="1275"/>
      <c r="X48" s="1276"/>
      <c r="Y48" s="1277"/>
      <c r="Z48" s="1278"/>
      <c r="AB48" s="2557">
        <f t="shared" si="16"/>
        <v>250000000000000</v>
      </c>
    </row>
    <row r="49" spans="1:28" s="393" customFormat="1" ht="21.75" customHeight="1">
      <c r="A49" s="1266"/>
      <c r="B49" s="1279"/>
      <c r="C49" s="437"/>
      <c r="D49" s="3342" t="s">
        <v>3725</v>
      </c>
      <c r="E49" s="3343"/>
      <c r="F49" s="385">
        <f>SUM(F50:F65)</f>
        <v>250000</v>
      </c>
      <c r="G49" s="385">
        <f>SUM(G50:G65)</f>
        <v>250000</v>
      </c>
      <c r="H49" s="386">
        <f t="shared" si="19"/>
        <v>0</v>
      </c>
      <c r="I49" s="1783"/>
      <c r="J49" s="1280"/>
      <c r="K49" s="1281"/>
      <c r="L49" s="1281"/>
      <c r="M49" s="1281"/>
      <c r="N49" s="1281"/>
      <c r="O49" s="1281"/>
      <c r="P49" s="1281"/>
      <c r="Q49" s="1282"/>
      <c r="R49" s="1283"/>
      <c r="S49" s="1284"/>
      <c r="T49" s="1285"/>
      <c r="U49" s="1285"/>
      <c r="V49" s="1285"/>
      <c r="W49" s="1285"/>
      <c r="X49" s="1286"/>
      <c r="Y49" s="902"/>
      <c r="Z49" s="1287"/>
      <c r="AB49" s="2557">
        <f t="shared" si="16"/>
        <v>250000000000000</v>
      </c>
    </row>
    <row r="50" spans="1:28" s="393" customFormat="1" ht="21.75" customHeight="1">
      <c r="A50" s="1266"/>
      <c r="B50" s="1279"/>
      <c r="C50" s="437"/>
      <c r="D50" s="1312"/>
      <c r="E50" s="2645" t="s">
        <v>3380</v>
      </c>
      <c r="F50" s="1786">
        <f>Y50</f>
        <v>25000</v>
      </c>
      <c r="G50" s="1786">
        <v>25000</v>
      </c>
      <c r="H50" s="908"/>
      <c r="I50" s="1783"/>
      <c r="J50" s="446" t="s">
        <v>3726</v>
      </c>
      <c r="K50" s="447"/>
      <c r="L50" s="447"/>
      <c r="M50" s="447"/>
      <c r="N50" s="447"/>
      <c r="O50" s="447"/>
      <c r="P50" s="447"/>
      <c r="Q50" s="451"/>
      <c r="R50" s="1784"/>
      <c r="S50" s="450">
        <v>50000</v>
      </c>
      <c r="T50" s="451" t="s">
        <v>3727</v>
      </c>
      <c r="U50" s="451"/>
      <c r="V50" s="451">
        <v>500</v>
      </c>
      <c r="W50" s="451" t="s">
        <v>3728</v>
      </c>
      <c r="X50" s="451" t="s">
        <v>3441</v>
      </c>
      <c r="Y50" s="356">
        <f>+Z50/1000</f>
        <v>25000</v>
      </c>
      <c r="Z50" s="1785">
        <v>25000000</v>
      </c>
      <c r="AB50" s="2557"/>
    </row>
    <row r="51" spans="1:28" s="393" customFormat="1" ht="21.75" customHeight="1">
      <c r="A51" s="1266"/>
      <c r="B51" s="1279"/>
      <c r="C51" s="437"/>
      <c r="D51" s="1312"/>
      <c r="E51" s="495" t="s">
        <v>3729</v>
      </c>
      <c r="F51" s="383">
        <f>Y51</f>
        <v>50000</v>
      </c>
      <c r="G51" s="383">
        <v>50000</v>
      </c>
      <c r="H51" s="391"/>
      <c r="I51" s="1783"/>
      <c r="J51" s="2643" t="s">
        <v>8</v>
      </c>
      <c r="K51" s="2624"/>
      <c r="L51" s="2624"/>
      <c r="M51" s="2624"/>
      <c r="N51" s="2624"/>
      <c r="O51" s="2624"/>
      <c r="P51" s="2624"/>
      <c r="Q51" s="2644"/>
      <c r="R51" s="1288"/>
      <c r="S51" s="1672"/>
      <c r="T51" s="2644"/>
      <c r="U51" s="2644"/>
      <c r="V51" s="2644"/>
      <c r="W51" s="2644"/>
      <c r="X51" s="2644"/>
      <c r="Y51" s="1674">
        <f>Z51/1000</f>
        <v>50000</v>
      </c>
      <c r="Z51" s="1192">
        <f>Z52+Z53+Z54+Z55</f>
        <v>50000000</v>
      </c>
      <c r="AB51" s="2557"/>
    </row>
    <row r="52" spans="1:28" s="393" customFormat="1" ht="21.75" customHeight="1">
      <c r="A52" s="1266"/>
      <c r="B52" s="1279"/>
      <c r="C52" s="437"/>
      <c r="D52" s="1312"/>
      <c r="E52" s="495"/>
      <c r="F52" s="383"/>
      <c r="G52" s="383"/>
      <c r="H52" s="391"/>
      <c r="I52" s="1783"/>
      <c r="J52" s="2643" t="s">
        <v>3730</v>
      </c>
      <c r="K52" s="2624"/>
      <c r="L52" s="2624"/>
      <c r="M52" s="2624"/>
      <c r="N52" s="2624"/>
      <c r="O52" s="2624"/>
      <c r="P52" s="2624"/>
      <c r="Q52" s="2644"/>
      <c r="R52" s="1288"/>
      <c r="S52" s="1672">
        <v>5000000</v>
      </c>
      <c r="T52" s="2644" t="s">
        <v>3727</v>
      </c>
      <c r="U52" s="2644"/>
      <c r="V52" s="2644">
        <v>1</v>
      </c>
      <c r="W52" s="2644" t="s">
        <v>3440</v>
      </c>
      <c r="X52" s="2644" t="s">
        <v>3441</v>
      </c>
      <c r="Y52" s="1674">
        <f t="shared" ref="Y52:Y55" si="20">+Z52/1000</f>
        <v>5000</v>
      </c>
      <c r="Z52" s="1192">
        <v>5000000</v>
      </c>
      <c r="AB52" s="2557"/>
    </row>
    <row r="53" spans="1:28" s="393" customFormat="1" ht="21.75" customHeight="1">
      <c r="A53" s="1266"/>
      <c r="B53" s="1279"/>
      <c r="C53" s="437"/>
      <c r="D53" s="1312"/>
      <c r="E53" s="495"/>
      <c r="F53" s="383"/>
      <c r="G53" s="383"/>
      <c r="H53" s="391"/>
      <c r="I53" s="1783"/>
      <c r="J53" s="2643" t="s">
        <v>3731</v>
      </c>
      <c r="K53" s="2624"/>
      <c r="L53" s="2624"/>
      <c r="M53" s="2624"/>
      <c r="N53" s="2624"/>
      <c r="O53" s="2624"/>
      <c r="P53" s="2624"/>
      <c r="Q53" s="2644"/>
      <c r="R53" s="1288"/>
      <c r="S53" s="1672">
        <v>2500000</v>
      </c>
      <c r="T53" s="2644" t="s">
        <v>3727</v>
      </c>
      <c r="U53" s="2644"/>
      <c r="V53" s="2644">
        <v>4</v>
      </c>
      <c r="W53" s="2644" t="s">
        <v>3732</v>
      </c>
      <c r="X53" s="2644" t="s">
        <v>3441</v>
      </c>
      <c r="Y53" s="1674">
        <f t="shared" si="20"/>
        <v>10000</v>
      </c>
      <c r="Z53" s="1192">
        <v>10000000</v>
      </c>
      <c r="AB53" s="2557"/>
    </row>
    <row r="54" spans="1:28" s="393" customFormat="1" ht="21.75" customHeight="1">
      <c r="A54" s="1266"/>
      <c r="B54" s="1279"/>
      <c r="C54" s="437"/>
      <c r="D54" s="1312"/>
      <c r="E54" s="495"/>
      <c r="F54" s="383"/>
      <c r="G54" s="383"/>
      <c r="H54" s="391"/>
      <c r="I54" s="1783"/>
      <c r="J54" s="2643" t="s">
        <v>3733</v>
      </c>
      <c r="K54" s="2624"/>
      <c r="L54" s="2624"/>
      <c r="M54" s="2624"/>
      <c r="N54" s="2624"/>
      <c r="O54" s="2624"/>
      <c r="P54" s="2624"/>
      <c r="Q54" s="2644"/>
      <c r="R54" s="1288"/>
      <c r="S54" s="1672">
        <v>15000000</v>
      </c>
      <c r="T54" s="2644" t="s">
        <v>3727</v>
      </c>
      <c r="U54" s="2644"/>
      <c r="V54" s="2644">
        <v>1</v>
      </c>
      <c r="W54" s="2644" t="s">
        <v>3440</v>
      </c>
      <c r="X54" s="2644" t="s">
        <v>3441</v>
      </c>
      <c r="Y54" s="1674">
        <f>+Z54/1000</f>
        <v>15000</v>
      </c>
      <c r="Z54" s="1192">
        <v>15000000</v>
      </c>
      <c r="AB54" s="2557"/>
    </row>
    <row r="55" spans="1:28" s="393" customFormat="1" ht="21.75" customHeight="1">
      <c r="A55" s="1266"/>
      <c r="B55" s="1279"/>
      <c r="C55" s="437"/>
      <c r="D55" s="1312"/>
      <c r="E55" s="495"/>
      <c r="F55" s="383"/>
      <c r="G55" s="383"/>
      <c r="H55" s="391"/>
      <c r="I55" s="1783"/>
      <c r="J55" s="2643" t="s">
        <v>3734</v>
      </c>
      <c r="K55" s="2624"/>
      <c r="L55" s="2624"/>
      <c r="M55" s="2624"/>
      <c r="N55" s="2624"/>
      <c r="O55" s="2624"/>
      <c r="P55" s="2624"/>
      <c r="Q55" s="2644"/>
      <c r="R55" s="1288"/>
      <c r="S55" s="1672">
        <v>20000000</v>
      </c>
      <c r="T55" s="2644" t="s">
        <v>3727</v>
      </c>
      <c r="U55" s="2644"/>
      <c r="V55" s="2644">
        <v>1</v>
      </c>
      <c r="W55" s="2644" t="s">
        <v>3440</v>
      </c>
      <c r="X55" s="2644" t="s">
        <v>3441</v>
      </c>
      <c r="Y55" s="1674">
        <f t="shared" si="20"/>
        <v>20000</v>
      </c>
      <c r="Z55" s="1192">
        <v>20000000</v>
      </c>
      <c r="AB55" s="2557"/>
    </row>
    <row r="56" spans="1:28" s="393" customFormat="1" ht="21.75" customHeight="1">
      <c r="A56" s="1266"/>
      <c r="B56" s="1279"/>
      <c r="C56" s="437"/>
      <c r="D56" s="1312"/>
      <c r="E56" s="1134" t="s">
        <v>3735</v>
      </c>
      <c r="F56" s="383">
        <f>Y56</f>
        <v>75000</v>
      </c>
      <c r="G56" s="383">
        <v>75000</v>
      </c>
      <c r="H56" s="391"/>
      <c r="I56" s="1783"/>
      <c r="J56" s="2643" t="s">
        <v>8</v>
      </c>
      <c r="K56" s="2624"/>
      <c r="L56" s="2624"/>
      <c r="M56" s="2624"/>
      <c r="N56" s="2624"/>
      <c r="O56" s="2624"/>
      <c r="P56" s="2624"/>
      <c r="Q56" s="2644"/>
      <c r="R56" s="1288"/>
      <c r="S56" s="1672"/>
      <c r="T56" s="2644"/>
      <c r="U56" s="2644"/>
      <c r="V56" s="2644"/>
      <c r="W56" s="2644"/>
      <c r="X56" s="2644"/>
      <c r="Y56" s="1674">
        <f>Z56/1000</f>
        <v>75000</v>
      </c>
      <c r="Z56" s="1192">
        <f>Z57+Z58+Z59</f>
        <v>75000000</v>
      </c>
      <c r="AB56" s="2557"/>
    </row>
    <row r="57" spans="1:28" s="393" customFormat="1" ht="21.75" customHeight="1">
      <c r="A57" s="1266"/>
      <c r="B57" s="1279"/>
      <c r="C57" s="437"/>
      <c r="D57" s="1312"/>
      <c r="E57" s="495"/>
      <c r="F57" s="383"/>
      <c r="G57" s="383"/>
      <c r="H57" s="391"/>
      <c r="I57" s="1783"/>
      <c r="J57" s="2643" t="s">
        <v>3736</v>
      </c>
      <c r="K57" s="2624"/>
      <c r="L57" s="2624"/>
      <c r="M57" s="2624"/>
      <c r="N57" s="2624"/>
      <c r="O57" s="2624"/>
      <c r="P57" s="2624"/>
      <c r="Q57" s="2644"/>
      <c r="R57" s="1288"/>
      <c r="S57" s="1672">
        <v>2000000</v>
      </c>
      <c r="T57" s="2644" t="s">
        <v>3727</v>
      </c>
      <c r="U57" s="2644"/>
      <c r="V57" s="2644">
        <v>10</v>
      </c>
      <c r="W57" s="2644" t="s">
        <v>3737</v>
      </c>
      <c r="X57" s="2644" t="s">
        <v>3441</v>
      </c>
      <c r="Y57" s="1674">
        <f>Z57/1000</f>
        <v>20000</v>
      </c>
      <c r="Z57" s="1192">
        <v>20000000</v>
      </c>
      <c r="AB57" s="2557"/>
    </row>
    <row r="58" spans="1:28" s="393" customFormat="1" ht="21.75" customHeight="1">
      <c r="A58" s="1266"/>
      <c r="B58" s="1279"/>
      <c r="C58" s="437"/>
      <c r="D58" s="1312"/>
      <c r="E58" s="495"/>
      <c r="F58" s="383"/>
      <c r="G58" s="383"/>
      <c r="H58" s="391"/>
      <c r="I58" s="1783"/>
      <c r="J58" s="2643" t="s">
        <v>3738</v>
      </c>
      <c r="K58" s="2624"/>
      <c r="L58" s="2624"/>
      <c r="M58" s="2624"/>
      <c r="N58" s="2624"/>
      <c r="O58" s="2624"/>
      <c r="P58" s="2624"/>
      <c r="Q58" s="2644"/>
      <c r="R58" s="1288"/>
      <c r="S58" s="1672">
        <v>25000000</v>
      </c>
      <c r="T58" s="2644" t="s">
        <v>3727</v>
      </c>
      <c r="U58" s="2644"/>
      <c r="V58" s="2644">
        <v>1</v>
      </c>
      <c r="W58" s="2644" t="s">
        <v>3440</v>
      </c>
      <c r="X58" s="2644" t="s">
        <v>3441</v>
      </c>
      <c r="Y58" s="1674">
        <f t="shared" ref="Y58:Y59" si="21">Z58/1000</f>
        <v>25000</v>
      </c>
      <c r="Z58" s="1192">
        <v>25000000</v>
      </c>
      <c r="AB58" s="2557"/>
    </row>
    <row r="59" spans="1:28" s="393" customFormat="1" ht="21.75" customHeight="1">
      <c r="A59" s="1266"/>
      <c r="B59" s="1279"/>
      <c r="C59" s="437"/>
      <c r="D59" s="1312"/>
      <c r="E59" s="495"/>
      <c r="F59" s="383"/>
      <c r="G59" s="383"/>
      <c r="H59" s="391"/>
      <c r="I59" s="1783"/>
      <c r="J59" s="2643" t="s">
        <v>3739</v>
      </c>
      <c r="K59" s="2624"/>
      <c r="L59" s="2624"/>
      <c r="M59" s="2624"/>
      <c r="N59" s="2624"/>
      <c r="O59" s="2624"/>
      <c r="P59" s="2624"/>
      <c r="Q59" s="2644"/>
      <c r="R59" s="1288"/>
      <c r="S59" s="1672">
        <v>30000000</v>
      </c>
      <c r="T59" s="2644" t="s">
        <v>3727</v>
      </c>
      <c r="U59" s="2644"/>
      <c r="V59" s="2644">
        <v>1</v>
      </c>
      <c r="W59" s="2644" t="s">
        <v>3440</v>
      </c>
      <c r="X59" s="2644" t="s">
        <v>3441</v>
      </c>
      <c r="Y59" s="1674">
        <f t="shared" si="21"/>
        <v>30000</v>
      </c>
      <c r="Z59" s="1192">
        <v>30000000</v>
      </c>
      <c r="AB59" s="2557"/>
    </row>
    <row r="60" spans="1:28" s="393" customFormat="1" ht="21.75" customHeight="1">
      <c r="A60" s="1266"/>
      <c r="B60" s="1279"/>
      <c r="C60" s="437"/>
      <c r="D60" s="1312"/>
      <c r="E60" s="495" t="s">
        <v>3740</v>
      </c>
      <c r="F60" s="383">
        <f>Y60</f>
        <v>60000</v>
      </c>
      <c r="G60" s="383">
        <v>60000</v>
      </c>
      <c r="H60" s="391"/>
      <c r="I60" s="1783"/>
      <c r="J60" s="2643" t="s">
        <v>8</v>
      </c>
      <c r="K60" s="2624"/>
      <c r="L60" s="2624"/>
      <c r="M60" s="2624"/>
      <c r="N60" s="2624"/>
      <c r="O60" s="2624"/>
      <c r="P60" s="2624"/>
      <c r="Q60" s="2644"/>
      <c r="R60" s="1288"/>
      <c r="S60" s="1672"/>
      <c r="T60" s="2644"/>
      <c r="U60" s="2644"/>
      <c r="V60" s="2644"/>
      <c r="W60" s="2644"/>
      <c r="X60" s="2644"/>
      <c r="Y60" s="1674">
        <f>Z60/1000</f>
        <v>60000</v>
      </c>
      <c r="Z60" s="1192">
        <f>Z61+Z62+Z63+Z64</f>
        <v>60000000</v>
      </c>
      <c r="AB60" s="2557"/>
    </row>
    <row r="61" spans="1:28" s="393" customFormat="1" ht="21.75" customHeight="1">
      <c r="A61" s="1266"/>
      <c r="B61" s="1279"/>
      <c r="C61" s="437"/>
      <c r="D61" s="1312"/>
      <c r="E61" s="495"/>
      <c r="F61" s="383"/>
      <c r="G61" s="383"/>
      <c r="H61" s="391"/>
      <c r="I61" s="1783"/>
      <c r="J61" s="2643" t="s">
        <v>3741</v>
      </c>
      <c r="K61" s="2624"/>
      <c r="L61" s="2624"/>
      <c r="M61" s="2624"/>
      <c r="N61" s="2624"/>
      <c r="O61" s="2624"/>
      <c r="P61" s="2624"/>
      <c r="Q61" s="2644"/>
      <c r="R61" s="1288"/>
      <c r="S61" s="1672">
        <v>10000000</v>
      </c>
      <c r="T61" s="2644" t="s">
        <v>3727</v>
      </c>
      <c r="U61" s="2644"/>
      <c r="V61" s="2644">
        <v>1</v>
      </c>
      <c r="W61" s="2644" t="s">
        <v>3440</v>
      </c>
      <c r="X61" s="2644" t="s">
        <v>3441</v>
      </c>
      <c r="Y61" s="1674">
        <f t="shared" ref="Y61:Y65" si="22">+Z61/1000</f>
        <v>10000</v>
      </c>
      <c r="Z61" s="1192">
        <v>10000000</v>
      </c>
      <c r="AB61" s="2557"/>
    </row>
    <row r="62" spans="1:28" s="393" customFormat="1" ht="21.75" customHeight="1">
      <c r="A62" s="1266"/>
      <c r="B62" s="1279"/>
      <c r="C62" s="437"/>
      <c r="D62" s="1312"/>
      <c r="E62" s="495"/>
      <c r="F62" s="383"/>
      <c r="G62" s="383"/>
      <c r="H62" s="391"/>
      <c r="I62" s="1783"/>
      <c r="J62" s="2643" t="s">
        <v>3742</v>
      </c>
      <c r="K62" s="2624"/>
      <c r="L62" s="2624"/>
      <c r="M62" s="2624"/>
      <c r="N62" s="2624"/>
      <c r="O62" s="2624"/>
      <c r="P62" s="2624"/>
      <c r="Q62" s="2644"/>
      <c r="R62" s="1288"/>
      <c r="S62" s="1672">
        <v>8333333</v>
      </c>
      <c r="T62" s="2644" t="s">
        <v>3727</v>
      </c>
      <c r="U62" s="2644"/>
      <c r="V62" s="2644">
        <v>12</v>
      </c>
      <c r="W62" s="2644" t="s">
        <v>3743</v>
      </c>
      <c r="X62" s="2644" t="s">
        <v>3441</v>
      </c>
      <c r="Y62" s="1674">
        <f t="shared" si="22"/>
        <v>10000</v>
      </c>
      <c r="Z62" s="1192">
        <v>10000000</v>
      </c>
      <c r="AB62" s="2557"/>
    </row>
    <row r="63" spans="1:28" s="393" customFormat="1" ht="21.75" customHeight="1">
      <c r="A63" s="1266"/>
      <c r="B63" s="1279"/>
      <c r="C63" s="437"/>
      <c r="D63" s="1312"/>
      <c r="E63" s="495"/>
      <c r="F63" s="383"/>
      <c r="G63" s="383"/>
      <c r="H63" s="391"/>
      <c r="I63" s="1783"/>
      <c r="J63" s="2643" t="s">
        <v>3744</v>
      </c>
      <c r="K63" s="2624"/>
      <c r="L63" s="2624"/>
      <c r="M63" s="2624"/>
      <c r="N63" s="2624"/>
      <c r="O63" s="2624"/>
      <c r="P63" s="2624"/>
      <c r="Q63" s="2644"/>
      <c r="R63" s="1288"/>
      <c r="S63" s="1672">
        <v>10000000</v>
      </c>
      <c r="T63" s="2644" t="s">
        <v>3727</v>
      </c>
      <c r="U63" s="2644"/>
      <c r="V63" s="2644">
        <v>1</v>
      </c>
      <c r="W63" s="2644" t="s">
        <v>3440</v>
      </c>
      <c r="X63" s="2644" t="s">
        <v>3441</v>
      </c>
      <c r="Y63" s="1674">
        <f t="shared" si="22"/>
        <v>10000</v>
      </c>
      <c r="Z63" s="1192">
        <v>10000000</v>
      </c>
      <c r="AB63" s="2557"/>
    </row>
    <row r="64" spans="1:28" s="393" customFormat="1" ht="21.75" customHeight="1">
      <c r="A64" s="1266"/>
      <c r="B64" s="1279"/>
      <c r="C64" s="437"/>
      <c r="D64" s="1312"/>
      <c r="E64" s="495"/>
      <c r="F64" s="383"/>
      <c r="G64" s="383"/>
      <c r="H64" s="391"/>
      <c r="I64" s="1783"/>
      <c r="J64" s="2643" t="s">
        <v>3745</v>
      </c>
      <c r="K64" s="2624"/>
      <c r="L64" s="2624"/>
      <c r="M64" s="2624"/>
      <c r="N64" s="2624"/>
      <c r="O64" s="2624"/>
      <c r="P64" s="2624"/>
      <c r="Q64" s="2644"/>
      <c r="R64" s="1288"/>
      <c r="S64" s="1672">
        <v>30000000</v>
      </c>
      <c r="T64" s="2644" t="s">
        <v>3727</v>
      </c>
      <c r="U64" s="2644"/>
      <c r="V64" s="2644">
        <v>1</v>
      </c>
      <c r="W64" s="2644" t="s">
        <v>3440</v>
      </c>
      <c r="X64" s="2644" t="s">
        <v>3441</v>
      </c>
      <c r="Y64" s="1674">
        <f t="shared" si="22"/>
        <v>30000</v>
      </c>
      <c r="Z64" s="1192">
        <v>30000000</v>
      </c>
      <c r="AB64" s="2557"/>
    </row>
    <row r="65" spans="1:30" s="393" customFormat="1" ht="21.75" customHeight="1" thickBot="1">
      <c r="A65" s="1266"/>
      <c r="B65" s="1279"/>
      <c r="C65" s="437"/>
      <c r="D65" s="1312"/>
      <c r="E65" s="2367" t="s">
        <v>3456</v>
      </c>
      <c r="F65" s="1330">
        <f>Y65</f>
        <v>40000</v>
      </c>
      <c r="G65" s="1330">
        <v>40000</v>
      </c>
      <c r="H65" s="425"/>
      <c r="I65" s="1783"/>
      <c r="J65" s="830" t="s">
        <v>3746</v>
      </c>
      <c r="K65" s="371"/>
      <c r="L65" s="371"/>
      <c r="M65" s="371"/>
      <c r="N65" s="458"/>
      <c r="O65" s="371"/>
      <c r="P65" s="371"/>
      <c r="Q65" s="368"/>
      <c r="R65" s="371"/>
      <c r="S65" s="458">
        <v>3333333</v>
      </c>
      <c r="T65" s="371" t="s">
        <v>0</v>
      </c>
      <c r="U65" s="371"/>
      <c r="V65" s="371">
        <v>12</v>
      </c>
      <c r="W65" s="371" t="s">
        <v>3743</v>
      </c>
      <c r="X65" s="426" t="s">
        <v>1</v>
      </c>
      <c r="Y65" s="345">
        <f t="shared" si="22"/>
        <v>40000</v>
      </c>
      <c r="Z65" s="1782">
        <v>40000000</v>
      </c>
      <c r="AB65" s="2557"/>
    </row>
    <row r="66" spans="1:30" s="2558" customFormat="1" ht="21.75" customHeight="1" thickBot="1">
      <c r="A66" s="1266"/>
      <c r="B66" s="2675" t="s">
        <v>3747</v>
      </c>
      <c r="C66" s="418"/>
      <c r="D66" s="2682"/>
      <c r="E66" s="2683"/>
      <c r="F66" s="2684">
        <f>+F67+F109+F155</f>
        <v>2388000</v>
      </c>
      <c r="G66" s="2684">
        <f>+G67+G109+G155</f>
        <v>2388000</v>
      </c>
      <c r="H66" s="1255">
        <f t="shared" si="19"/>
        <v>0</v>
      </c>
      <c r="I66" s="1783"/>
      <c r="J66" s="1441"/>
      <c r="K66" s="423"/>
      <c r="L66" s="423"/>
      <c r="M66" s="423"/>
      <c r="N66" s="423"/>
      <c r="O66" s="423"/>
      <c r="P66" s="423"/>
      <c r="Q66" s="2685"/>
      <c r="R66" s="2686"/>
      <c r="S66" s="840"/>
      <c r="T66" s="1442"/>
      <c r="U66" s="1442"/>
      <c r="V66" s="1442"/>
      <c r="W66" s="1442"/>
      <c r="X66" s="1443"/>
      <c r="Y66" s="842"/>
      <c r="Z66" s="1445"/>
      <c r="AB66" s="2557">
        <f>G66*1000000000</f>
        <v>2388000000000000</v>
      </c>
      <c r="AC66" s="2558">
        <f>F66*1000000000</f>
        <v>2388000000000000</v>
      </c>
      <c r="AD66" s="2558">
        <f>AC66-AB66</f>
        <v>0</v>
      </c>
    </row>
    <row r="67" spans="1:30" s="2558" customFormat="1" ht="21.75" customHeight="1">
      <c r="A67" s="396"/>
      <c r="B67" s="2652"/>
      <c r="C67" s="3277" t="s">
        <v>3748</v>
      </c>
      <c r="D67" s="3271"/>
      <c r="E67" s="3272"/>
      <c r="F67" s="385">
        <f>F68+F88+F100</f>
        <v>680000</v>
      </c>
      <c r="G67" s="385">
        <f>G68+G88+G100</f>
        <v>680000</v>
      </c>
      <c r="H67" s="386">
        <f>F67-G67</f>
        <v>0</v>
      </c>
      <c r="I67" s="2624"/>
      <c r="J67" s="1135"/>
      <c r="K67" s="2598"/>
      <c r="L67" s="2598"/>
      <c r="M67" s="2598"/>
      <c r="N67" s="2598"/>
      <c r="O67" s="2598"/>
      <c r="P67" s="2598"/>
      <c r="Q67" s="462"/>
      <c r="R67" s="395"/>
      <c r="S67" s="399"/>
      <c r="T67" s="1136"/>
      <c r="U67" s="1136"/>
      <c r="V67" s="1136"/>
      <c r="W67" s="1136"/>
      <c r="X67" s="1136"/>
      <c r="Y67" s="377"/>
      <c r="Z67" s="463"/>
      <c r="AB67" s="312">
        <f t="shared" ref="AB67:AC110" si="23">F67*1000000000</f>
        <v>680000000000000</v>
      </c>
      <c r="AC67" s="312">
        <f t="shared" si="23"/>
        <v>680000000000000</v>
      </c>
      <c r="AD67" s="301">
        <f t="shared" ref="AD67:AD110" si="24">AC67-AB67</f>
        <v>0</v>
      </c>
    </row>
    <row r="68" spans="1:30" s="2558" customFormat="1" ht="21.75" customHeight="1">
      <c r="A68" s="436"/>
      <c r="B68" s="437"/>
      <c r="C68" s="413"/>
      <c r="D68" s="3275" t="s">
        <v>3749</v>
      </c>
      <c r="E68" s="3276"/>
      <c r="F68" s="382">
        <f>SUM(F69:F87)</f>
        <v>300000</v>
      </c>
      <c r="G68" s="382">
        <f>SUM(G69:G87)</f>
        <v>300000</v>
      </c>
      <c r="H68" s="388">
        <f>+F68-G68</f>
        <v>0</v>
      </c>
      <c r="I68" s="2624"/>
      <c r="J68" s="394"/>
      <c r="K68" s="2598"/>
      <c r="L68" s="2598"/>
      <c r="M68" s="2598"/>
      <c r="N68" s="2598"/>
      <c r="O68" s="2598"/>
      <c r="P68" s="2598"/>
      <c r="Q68" s="2598"/>
      <c r="R68" s="395"/>
      <c r="S68" s="2598"/>
      <c r="T68" s="2598"/>
      <c r="U68" s="2598"/>
      <c r="V68" s="2598"/>
      <c r="W68" s="2598"/>
      <c r="X68" s="2598"/>
      <c r="Y68" s="377"/>
      <c r="Z68" s="440"/>
      <c r="AB68" s="312">
        <f t="shared" si="23"/>
        <v>300000000000000</v>
      </c>
      <c r="AC68" s="312">
        <f t="shared" si="23"/>
        <v>300000000000000</v>
      </c>
      <c r="AD68" s="301">
        <f t="shared" si="24"/>
        <v>0</v>
      </c>
    </row>
    <row r="69" spans="1:30" s="2558" customFormat="1" ht="21.75" customHeight="1">
      <c r="A69" s="396"/>
      <c r="B69" s="2905"/>
      <c r="C69" s="397"/>
      <c r="D69" s="1144"/>
      <c r="E69" s="875" t="s">
        <v>369</v>
      </c>
      <c r="F69" s="383">
        <f>Y69</f>
        <v>140000</v>
      </c>
      <c r="G69" s="383">
        <v>140000</v>
      </c>
      <c r="H69" s="391"/>
      <c r="I69" s="2889"/>
      <c r="J69" s="2888" t="s">
        <v>3752</v>
      </c>
      <c r="K69" s="2889"/>
      <c r="L69" s="2889"/>
      <c r="M69" s="2889"/>
      <c r="N69" s="2889"/>
      <c r="O69" s="2889"/>
      <c r="P69" s="2889"/>
      <c r="Q69" s="2889"/>
      <c r="R69" s="405"/>
      <c r="S69" s="2900">
        <v>20000000</v>
      </c>
      <c r="T69" s="2900" t="s">
        <v>0</v>
      </c>
      <c r="U69" s="2900"/>
      <c r="V69" s="2900">
        <v>7</v>
      </c>
      <c r="W69" s="2900" t="s">
        <v>3</v>
      </c>
      <c r="X69" s="2900" t="s">
        <v>1</v>
      </c>
      <c r="Y69" s="1674">
        <f>+Z69/1000</f>
        <v>140000</v>
      </c>
      <c r="Z69" s="407">
        <f>S69*V69</f>
        <v>140000000</v>
      </c>
      <c r="AB69" s="312"/>
      <c r="AC69" s="312"/>
      <c r="AD69" s="301"/>
    </row>
    <row r="70" spans="1:30" s="2558" customFormat="1" ht="21.75" customHeight="1">
      <c r="A70" s="436"/>
      <c r="B70" s="437"/>
      <c r="C70" s="413"/>
      <c r="D70" s="1289"/>
      <c r="E70" s="875" t="s">
        <v>51</v>
      </c>
      <c r="F70" s="383">
        <f>Y70</f>
        <v>12000</v>
      </c>
      <c r="G70" s="472">
        <v>12000</v>
      </c>
      <c r="H70" s="391"/>
      <c r="I70" s="2624"/>
      <c r="J70" s="2623" t="s">
        <v>3750</v>
      </c>
      <c r="K70" s="2624"/>
      <c r="L70" s="2624"/>
      <c r="M70" s="2624"/>
      <c r="N70" s="2624"/>
      <c r="O70" s="2624"/>
      <c r="P70" s="2624"/>
      <c r="Q70" s="2624"/>
      <c r="R70" s="405"/>
      <c r="S70" s="2644">
        <v>6000000</v>
      </c>
      <c r="T70" s="2644" t="s">
        <v>0</v>
      </c>
      <c r="U70" s="2644"/>
      <c r="V70" s="2644">
        <v>2</v>
      </c>
      <c r="W70" s="2644" t="s">
        <v>3</v>
      </c>
      <c r="X70" s="2644" t="s">
        <v>1</v>
      </c>
      <c r="Y70" s="1674">
        <f>+Z70/1000</f>
        <v>12000</v>
      </c>
      <c r="Z70" s="407">
        <f>S70*V70</f>
        <v>12000000</v>
      </c>
      <c r="AB70" s="312"/>
      <c r="AC70" s="312"/>
      <c r="AD70" s="301">
        <f t="shared" si="24"/>
        <v>0</v>
      </c>
    </row>
    <row r="71" spans="1:30" s="2558" customFormat="1" ht="21.75" customHeight="1">
      <c r="A71" s="436"/>
      <c r="B71" s="437"/>
      <c r="C71" s="413"/>
      <c r="D71" s="1131"/>
      <c r="E71" s="1134" t="s">
        <v>73</v>
      </c>
      <c r="F71" s="383">
        <f t="shared" ref="F71:F73" si="25">Y71</f>
        <v>600</v>
      </c>
      <c r="G71" s="1116">
        <v>600</v>
      </c>
      <c r="H71" s="391"/>
      <c r="I71" s="2624"/>
      <c r="J71" s="2643" t="s">
        <v>3753</v>
      </c>
      <c r="K71" s="2624"/>
      <c r="L71" s="2624"/>
      <c r="M71" s="2624"/>
      <c r="N71" s="2624"/>
      <c r="O71" s="2624"/>
      <c r="P71" s="2624"/>
      <c r="Q71" s="2644" t="s">
        <v>19</v>
      </c>
      <c r="R71" s="1288" t="s">
        <v>19</v>
      </c>
      <c r="S71" s="2644">
        <v>100000</v>
      </c>
      <c r="T71" s="2644" t="s">
        <v>3754</v>
      </c>
      <c r="U71" s="2644"/>
      <c r="V71" s="2644">
        <v>6</v>
      </c>
      <c r="W71" s="2644" t="s">
        <v>3755</v>
      </c>
      <c r="X71" s="2644" t="s">
        <v>3756</v>
      </c>
      <c r="Y71" s="1674">
        <f>+Z71/1000</f>
        <v>600</v>
      </c>
      <c r="Z71" s="407">
        <f>S71*V71</f>
        <v>600000</v>
      </c>
      <c r="AB71" s="312"/>
      <c r="AC71" s="312"/>
      <c r="AD71" s="301">
        <f t="shared" si="24"/>
        <v>0</v>
      </c>
    </row>
    <row r="72" spans="1:30" s="2558" customFormat="1" ht="21.75" customHeight="1">
      <c r="A72" s="396"/>
      <c r="B72" s="2652"/>
      <c r="C72" s="397"/>
      <c r="D72" s="1131"/>
      <c r="E72" s="1134" t="s">
        <v>84</v>
      </c>
      <c r="F72" s="383">
        <f t="shared" si="25"/>
        <v>3600</v>
      </c>
      <c r="G72" s="1116">
        <v>3600</v>
      </c>
      <c r="H72" s="391"/>
      <c r="I72" s="2624"/>
      <c r="J72" s="2643" t="s">
        <v>276</v>
      </c>
      <c r="K72" s="1671"/>
      <c r="L72" s="1671"/>
      <c r="M72" s="1671"/>
      <c r="N72" s="1671"/>
      <c r="O72" s="1671"/>
      <c r="P72" s="1671"/>
      <c r="Q72" s="2644">
        <v>2</v>
      </c>
      <c r="R72" s="2644" t="s">
        <v>23</v>
      </c>
      <c r="S72" s="2644">
        <v>150000</v>
      </c>
      <c r="T72" s="2644" t="s">
        <v>0</v>
      </c>
      <c r="U72" s="2644"/>
      <c r="V72" s="2644">
        <v>12</v>
      </c>
      <c r="W72" s="2644" t="s">
        <v>2</v>
      </c>
      <c r="X72" s="2644" t="s">
        <v>1</v>
      </c>
      <c r="Y72" s="1674">
        <f>+Z72/1000</f>
        <v>3600</v>
      </c>
      <c r="Z72" s="407">
        <f>Q72*S72*V72</f>
        <v>3600000</v>
      </c>
      <c r="AB72" s="312"/>
      <c r="AC72" s="312"/>
      <c r="AD72" s="301">
        <f t="shared" si="24"/>
        <v>0</v>
      </c>
    </row>
    <row r="73" spans="1:30" s="2558" customFormat="1" ht="21.75" customHeight="1">
      <c r="A73" s="396"/>
      <c r="B73" s="2652"/>
      <c r="C73" s="397"/>
      <c r="D73" s="1131"/>
      <c r="E73" s="1134" t="s">
        <v>106</v>
      </c>
      <c r="F73" s="383">
        <f t="shared" si="25"/>
        <v>33000</v>
      </c>
      <c r="G73" s="1116">
        <v>33000</v>
      </c>
      <c r="H73" s="391"/>
      <c r="I73" s="2624"/>
      <c r="J73" s="2643" t="s">
        <v>8</v>
      </c>
      <c r="K73" s="1671"/>
      <c r="L73" s="1671"/>
      <c r="M73" s="1671"/>
      <c r="N73" s="1671"/>
      <c r="O73" s="1671"/>
      <c r="P73" s="1671"/>
      <c r="Q73" s="2644"/>
      <c r="R73" s="2644"/>
      <c r="S73" s="2644"/>
      <c r="T73" s="2644"/>
      <c r="U73" s="2644"/>
      <c r="V73" s="2644"/>
      <c r="W73" s="2644"/>
      <c r="X73" s="2644"/>
      <c r="Y73" s="1674">
        <f t="shared" ref="Y73:Y84" si="26">+Z73/1000</f>
        <v>33000</v>
      </c>
      <c r="Z73" s="407">
        <f>SUM(Z74:Z76)</f>
        <v>33000000</v>
      </c>
      <c r="AB73" s="312"/>
      <c r="AC73" s="312"/>
      <c r="AD73" s="301">
        <f t="shared" si="24"/>
        <v>0</v>
      </c>
    </row>
    <row r="74" spans="1:30" s="2558" customFormat="1" ht="21.75" customHeight="1">
      <c r="A74" s="396"/>
      <c r="B74" s="2652"/>
      <c r="C74" s="397"/>
      <c r="D74" s="1131"/>
      <c r="E74" s="1134"/>
      <c r="F74" s="383"/>
      <c r="G74" s="1116"/>
      <c r="H74" s="391"/>
      <c r="I74" s="2624"/>
      <c r="J74" s="2643" t="s">
        <v>277</v>
      </c>
      <c r="K74" s="1671"/>
      <c r="L74" s="1671"/>
      <c r="M74" s="1671"/>
      <c r="N74" s="1671"/>
      <c r="O74" s="1671"/>
      <c r="P74" s="1671"/>
      <c r="Q74" s="2644"/>
      <c r="R74" s="2644"/>
      <c r="S74" s="2644">
        <v>550000</v>
      </c>
      <c r="T74" s="2644" t="s">
        <v>0</v>
      </c>
      <c r="U74" s="2644"/>
      <c r="V74" s="2644">
        <v>12</v>
      </c>
      <c r="W74" s="2644" t="s">
        <v>3</v>
      </c>
      <c r="X74" s="2644" t="s">
        <v>1</v>
      </c>
      <c r="Y74" s="1674">
        <f t="shared" si="26"/>
        <v>6600</v>
      </c>
      <c r="Z74" s="407">
        <f>S74*V74</f>
        <v>6600000</v>
      </c>
      <c r="AB74" s="312"/>
      <c r="AC74" s="312"/>
      <c r="AD74" s="301">
        <f t="shared" si="24"/>
        <v>0</v>
      </c>
    </row>
    <row r="75" spans="1:30" s="2558" customFormat="1" ht="21.75" customHeight="1">
      <c r="A75" s="396"/>
      <c r="B75" s="2652"/>
      <c r="C75" s="397"/>
      <c r="D75" s="1131"/>
      <c r="E75" s="1134"/>
      <c r="F75" s="383"/>
      <c r="G75" s="1116"/>
      <c r="H75" s="391"/>
      <c r="I75" s="2624"/>
      <c r="J75" s="2643" t="s">
        <v>278</v>
      </c>
      <c r="K75" s="1671"/>
      <c r="L75" s="1671"/>
      <c r="M75" s="1671"/>
      <c r="N75" s="1671"/>
      <c r="O75" s="1671"/>
      <c r="P75" s="1671"/>
      <c r="Q75" s="2644">
        <v>2</v>
      </c>
      <c r="R75" s="2644" t="s">
        <v>279</v>
      </c>
      <c r="S75" s="2644">
        <v>550000</v>
      </c>
      <c r="T75" s="2644" t="s">
        <v>0</v>
      </c>
      <c r="U75" s="2644"/>
      <c r="V75" s="2644">
        <v>12</v>
      </c>
      <c r="W75" s="2644" t="s">
        <v>2</v>
      </c>
      <c r="X75" s="2644" t="s">
        <v>1</v>
      </c>
      <c r="Y75" s="1674">
        <f t="shared" si="26"/>
        <v>13200</v>
      </c>
      <c r="Z75" s="407">
        <f>Q75*S75*V75</f>
        <v>13200000</v>
      </c>
      <c r="AB75" s="312"/>
      <c r="AC75" s="312"/>
      <c r="AD75" s="301">
        <f t="shared" si="24"/>
        <v>0</v>
      </c>
    </row>
    <row r="76" spans="1:30" s="2558" customFormat="1" ht="21.75" customHeight="1">
      <c r="A76" s="396"/>
      <c r="B76" s="2652"/>
      <c r="C76" s="397"/>
      <c r="D76" s="1131"/>
      <c r="E76" s="1134"/>
      <c r="F76" s="383"/>
      <c r="G76" s="1116"/>
      <c r="H76" s="391"/>
      <c r="I76" s="2624"/>
      <c r="J76" s="2643" t="s">
        <v>280</v>
      </c>
      <c r="K76" s="1671"/>
      <c r="L76" s="1671"/>
      <c r="M76" s="1671"/>
      <c r="N76" s="1671"/>
      <c r="O76" s="1671"/>
      <c r="P76" s="1671"/>
      <c r="Q76" s="2644">
        <v>50</v>
      </c>
      <c r="R76" s="2644" t="s">
        <v>66</v>
      </c>
      <c r="S76" s="2644">
        <v>22000</v>
      </c>
      <c r="T76" s="2644" t="s">
        <v>0</v>
      </c>
      <c r="U76" s="2644"/>
      <c r="V76" s="2644">
        <v>12</v>
      </c>
      <c r="W76" s="2644" t="s">
        <v>2</v>
      </c>
      <c r="X76" s="2644" t="s">
        <v>1</v>
      </c>
      <c r="Y76" s="1674">
        <f t="shared" si="26"/>
        <v>13200</v>
      </c>
      <c r="Z76" s="407">
        <f>Q76*S76*V76</f>
        <v>13200000</v>
      </c>
      <c r="AB76" s="312"/>
      <c r="AC76" s="312"/>
      <c r="AD76" s="301">
        <f t="shared" si="24"/>
        <v>0</v>
      </c>
    </row>
    <row r="77" spans="1:30" s="2558" customFormat="1" ht="21.75" customHeight="1">
      <c r="A77" s="396"/>
      <c r="B77" s="2905"/>
      <c r="C77" s="397"/>
      <c r="D77" s="1144"/>
      <c r="E77" s="1134" t="s">
        <v>21</v>
      </c>
      <c r="F77" s="383">
        <f t="shared" ref="F77" si="27">Y77</f>
        <v>2500</v>
      </c>
      <c r="G77" s="383">
        <v>2500</v>
      </c>
      <c r="H77" s="391"/>
      <c r="I77" s="2889"/>
      <c r="J77" s="2899" t="s">
        <v>3761</v>
      </c>
      <c r="K77" s="2889"/>
      <c r="L77" s="2889"/>
      <c r="M77" s="2889"/>
      <c r="N77" s="2889"/>
      <c r="O77" s="2889"/>
      <c r="P77" s="2889"/>
      <c r="Q77" s="2900" t="s">
        <v>19</v>
      </c>
      <c r="R77" s="1288" t="s">
        <v>19</v>
      </c>
      <c r="S77" s="2900">
        <v>2500000</v>
      </c>
      <c r="T77" s="2900" t="s">
        <v>2937</v>
      </c>
      <c r="U77" s="2900"/>
      <c r="V77" s="2900">
        <v>1</v>
      </c>
      <c r="W77" s="2900" t="s">
        <v>576</v>
      </c>
      <c r="X77" s="2900" t="s">
        <v>3701</v>
      </c>
      <c r="Y77" s="1674">
        <f t="shared" ref="Y77" si="28">+Z77/1000</f>
        <v>2500</v>
      </c>
      <c r="Z77" s="407">
        <f t="shared" ref="Z77" si="29">S77*V77</f>
        <v>2500000</v>
      </c>
      <c r="AB77" s="312"/>
      <c r="AC77" s="312"/>
      <c r="AD77" s="301"/>
    </row>
    <row r="78" spans="1:30" s="2558" customFormat="1" ht="21.75" customHeight="1">
      <c r="A78" s="436"/>
      <c r="B78" s="437"/>
      <c r="C78" s="413"/>
      <c r="D78" s="1131"/>
      <c r="E78" s="1134" t="s">
        <v>269</v>
      </c>
      <c r="F78" s="383">
        <f t="shared" ref="F78" si="30">Y78</f>
        <v>600</v>
      </c>
      <c r="G78" s="1116">
        <v>600</v>
      </c>
      <c r="H78" s="391"/>
      <c r="I78" s="2889"/>
      <c r="J78" s="2899" t="s">
        <v>3762</v>
      </c>
      <c r="K78" s="1671"/>
      <c r="L78" s="1671"/>
      <c r="M78" s="1671"/>
      <c r="N78" s="1671"/>
      <c r="O78" s="1671"/>
      <c r="P78" s="1671"/>
      <c r="Q78" s="2900" t="s">
        <v>2927</v>
      </c>
      <c r="R78" s="2900"/>
      <c r="S78" s="2900">
        <v>300000</v>
      </c>
      <c r="T78" s="2900" t="s">
        <v>0</v>
      </c>
      <c r="U78" s="2900"/>
      <c r="V78" s="2900">
        <v>2</v>
      </c>
      <c r="W78" s="2900" t="s">
        <v>3</v>
      </c>
      <c r="X78" s="2900" t="s">
        <v>1</v>
      </c>
      <c r="Y78" s="1674">
        <f t="shared" ref="Y78" si="31">+Z78/1000</f>
        <v>600</v>
      </c>
      <c r="Z78" s="407">
        <f t="shared" ref="Z78" si="32">S78*V78</f>
        <v>600000</v>
      </c>
      <c r="AB78" s="312"/>
      <c r="AC78" s="312"/>
      <c r="AD78" s="301"/>
    </row>
    <row r="79" spans="1:30" s="2558" customFormat="1" ht="21.75" customHeight="1">
      <c r="A79" s="396"/>
      <c r="B79" s="2652"/>
      <c r="C79" s="1110"/>
      <c r="D79" s="1144"/>
      <c r="E79" s="1134" t="s">
        <v>65</v>
      </c>
      <c r="F79" s="383">
        <f>Y79</f>
        <v>88000</v>
      </c>
      <c r="G79" s="1116">
        <v>88000</v>
      </c>
      <c r="H79" s="391"/>
      <c r="I79" s="2624"/>
      <c r="J79" s="2643" t="s">
        <v>3390</v>
      </c>
      <c r="K79" s="1671"/>
      <c r="L79" s="1671"/>
      <c r="M79" s="1671"/>
      <c r="N79" s="1671"/>
      <c r="O79" s="1671"/>
      <c r="P79" s="1671"/>
      <c r="Q79" s="2644"/>
      <c r="R79" s="2644"/>
      <c r="S79" s="2644"/>
      <c r="T79" s="2644"/>
      <c r="U79" s="2644"/>
      <c r="V79" s="2644"/>
      <c r="W79" s="2644"/>
      <c r="X79" s="2644"/>
      <c r="Y79" s="1674">
        <f t="shared" si="26"/>
        <v>88000</v>
      </c>
      <c r="Z79" s="407">
        <f>SUM(Z80:Z83)</f>
        <v>88000000</v>
      </c>
      <c r="AB79" s="312"/>
      <c r="AC79" s="312"/>
      <c r="AD79" s="301">
        <f t="shared" si="24"/>
        <v>0</v>
      </c>
    </row>
    <row r="80" spans="1:30" s="2558" customFormat="1" ht="21.75" customHeight="1">
      <c r="A80" s="396"/>
      <c r="B80" s="2652"/>
      <c r="C80" s="397"/>
      <c r="D80" s="1144"/>
      <c r="E80" s="1134"/>
      <c r="F80" s="383"/>
      <c r="G80" s="1116"/>
      <c r="H80" s="391"/>
      <c r="I80" s="2624"/>
      <c r="J80" s="2643" t="s">
        <v>3757</v>
      </c>
      <c r="K80" s="1671"/>
      <c r="L80" s="1671"/>
      <c r="M80" s="1671"/>
      <c r="N80" s="1671"/>
      <c r="O80" s="1671"/>
      <c r="P80" s="1671"/>
      <c r="Q80" s="2644"/>
      <c r="R80" s="2644"/>
      <c r="S80" s="2644">
        <v>10000000</v>
      </c>
      <c r="T80" s="2644" t="s">
        <v>0</v>
      </c>
      <c r="U80" s="2644"/>
      <c r="V80" s="2644">
        <v>4</v>
      </c>
      <c r="W80" s="2644" t="s">
        <v>3</v>
      </c>
      <c r="X80" s="2644" t="s">
        <v>1</v>
      </c>
      <c r="Y80" s="1674">
        <f t="shared" si="26"/>
        <v>40000</v>
      </c>
      <c r="Z80" s="407">
        <f>S80*V80</f>
        <v>40000000</v>
      </c>
      <c r="AB80" s="312"/>
      <c r="AC80" s="312"/>
      <c r="AD80" s="301"/>
    </row>
    <row r="81" spans="1:30" s="2558" customFormat="1" ht="21.75" customHeight="1">
      <c r="A81" s="396"/>
      <c r="B81" s="2652"/>
      <c r="C81" s="397"/>
      <c r="D81" s="1144"/>
      <c r="E81" s="1134"/>
      <c r="F81" s="383"/>
      <c r="G81" s="1116"/>
      <c r="H81" s="391"/>
      <c r="I81" s="2624"/>
      <c r="J81" s="2643" t="s">
        <v>3758</v>
      </c>
      <c r="K81" s="1671"/>
      <c r="L81" s="1671"/>
      <c r="M81" s="1671"/>
      <c r="N81" s="1671"/>
      <c r="O81" s="1671"/>
      <c r="P81" s="1671"/>
      <c r="Q81" s="2644"/>
      <c r="R81" s="2644"/>
      <c r="S81" s="2644">
        <v>22000000</v>
      </c>
      <c r="T81" s="2644" t="s">
        <v>0</v>
      </c>
      <c r="U81" s="2644"/>
      <c r="V81" s="2644">
        <v>1</v>
      </c>
      <c r="W81" s="2644" t="s">
        <v>3</v>
      </c>
      <c r="X81" s="2644" t="s">
        <v>1</v>
      </c>
      <c r="Y81" s="1674">
        <f t="shared" si="26"/>
        <v>22000</v>
      </c>
      <c r="Z81" s="407">
        <f>S81*V81</f>
        <v>22000000</v>
      </c>
      <c r="AB81" s="312"/>
      <c r="AC81" s="312"/>
      <c r="AD81" s="301"/>
    </row>
    <row r="82" spans="1:30" s="2558" customFormat="1" ht="21.75" customHeight="1">
      <c r="A82" s="396"/>
      <c r="B82" s="2652"/>
      <c r="C82" s="397"/>
      <c r="D82" s="1144"/>
      <c r="E82" s="1134"/>
      <c r="F82" s="383"/>
      <c r="G82" s="1116"/>
      <c r="H82" s="391"/>
      <c r="I82" s="2624"/>
      <c r="J82" s="2643" t="s">
        <v>3759</v>
      </c>
      <c r="K82" s="1671"/>
      <c r="L82" s="1671"/>
      <c r="M82" s="1671"/>
      <c r="N82" s="1671"/>
      <c r="O82" s="1671"/>
      <c r="P82" s="1671"/>
      <c r="Q82" s="2644">
        <v>3</v>
      </c>
      <c r="R82" s="2644" t="s">
        <v>7</v>
      </c>
      <c r="S82" s="2644">
        <v>20000</v>
      </c>
      <c r="T82" s="2644" t="s">
        <v>0</v>
      </c>
      <c r="U82" s="2644"/>
      <c r="V82" s="2644">
        <v>300</v>
      </c>
      <c r="W82" s="2644" t="s">
        <v>58</v>
      </c>
      <c r="X82" s="2644" t="s">
        <v>1</v>
      </c>
      <c r="Y82" s="1674">
        <f t="shared" si="26"/>
        <v>18000</v>
      </c>
      <c r="Z82" s="407">
        <f>Q82*S82*V82</f>
        <v>18000000</v>
      </c>
      <c r="AB82" s="312"/>
      <c r="AC82" s="312"/>
      <c r="AD82" s="301"/>
    </row>
    <row r="83" spans="1:30" s="2558" customFormat="1" ht="21.75" customHeight="1">
      <c r="A83" s="396"/>
      <c r="B83" s="2652"/>
      <c r="C83" s="397"/>
      <c r="D83" s="1144"/>
      <c r="E83" s="1134"/>
      <c r="F83" s="383"/>
      <c r="G83" s="1116"/>
      <c r="H83" s="391"/>
      <c r="I83" s="2624"/>
      <c r="J83" s="2643" t="s">
        <v>3760</v>
      </c>
      <c r="K83" s="2624"/>
      <c r="L83" s="2624"/>
      <c r="M83" s="2624"/>
      <c r="N83" s="2624"/>
      <c r="O83" s="2624"/>
      <c r="P83" s="2624"/>
      <c r="Q83" s="2644"/>
      <c r="R83" s="2644"/>
      <c r="S83" s="2644">
        <v>2000000</v>
      </c>
      <c r="T83" s="2644" t="s">
        <v>0</v>
      </c>
      <c r="U83" s="2644"/>
      <c r="V83" s="2644">
        <v>4</v>
      </c>
      <c r="W83" s="2644" t="s">
        <v>3</v>
      </c>
      <c r="X83" s="2644" t="s">
        <v>1</v>
      </c>
      <c r="Y83" s="1674">
        <f t="shared" si="26"/>
        <v>8000</v>
      </c>
      <c r="Z83" s="407">
        <f t="shared" ref="Z83:Z84" si="33">S83*V83</f>
        <v>8000000</v>
      </c>
      <c r="AB83" s="312"/>
      <c r="AC83" s="312"/>
      <c r="AD83" s="301">
        <f t="shared" si="24"/>
        <v>0</v>
      </c>
    </row>
    <row r="84" spans="1:30" s="2558" customFormat="1" ht="21.75" customHeight="1">
      <c r="A84" s="436"/>
      <c r="B84" s="437"/>
      <c r="C84" s="413"/>
      <c r="D84" s="1131"/>
      <c r="E84" s="1134" t="s">
        <v>3763</v>
      </c>
      <c r="F84" s="383">
        <f t="shared" ref="F84:F87" si="34">Y84</f>
        <v>2400</v>
      </c>
      <c r="G84" s="383">
        <v>2400</v>
      </c>
      <c r="H84" s="391"/>
      <c r="I84" s="2624"/>
      <c r="J84" s="2643" t="s">
        <v>3764</v>
      </c>
      <c r="K84" s="1671"/>
      <c r="L84" s="1671"/>
      <c r="M84" s="1671"/>
      <c r="N84" s="1671"/>
      <c r="O84" s="1671"/>
      <c r="P84" s="1671"/>
      <c r="Q84" s="2644"/>
      <c r="R84" s="2644"/>
      <c r="S84" s="2644">
        <v>200000</v>
      </c>
      <c r="T84" s="2644" t="s">
        <v>0</v>
      </c>
      <c r="U84" s="2644"/>
      <c r="V84" s="2644">
        <v>12</v>
      </c>
      <c r="W84" s="2644" t="s">
        <v>3765</v>
      </c>
      <c r="X84" s="2644" t="s">
        <v>1</v>
      </c>
      <c r="Y84" s="1674">
        <f t="shared" si="26"/>
        <v>2400</v>
      </c>
      <c r="Z84" s="407">
        <f t="shared" si="33"/>
        <v>2400000</v>
      </c>
      <c r="AB84" s="312"/>
      <c r="AC84" s="312"/>
      <c r="AD84" s="301"/>
    </row>
    <row r="85" spans="1:30" s="2558" customFormat="1" ht="21.75" customHeight="1">
      <c r="A85" s="396"/>
      <c r="B85" s="2652"/>
      <c r="C85" s="397"/>
      <c r="D85" s="1144"/>
      <c r="E85" s="1134" t="s">
        <v>3766</v>
      </c>
      <c r="F85" s="383">
        <f t="shared" si="34"/>
        <v>3300</v>
      </c>
      <c r="G85" s="1116">
        <v>3300</v>
      </c>
      <c r="H85" s="391"/>
      <c r="I85" s="2624"/>
      <c r="J85" s="2643" t="s">
        <v>3767</v>
      </c>
      <c r="K85" s="2624"/>
      <c r="L85" s="2624"/>
      <c r="M85" s="2624"/>
      <c r="N85" s="2624"/>
      <c r="O85" s="2624"/>
      <c r="P85" s="2624"/>
      <c r="Q85" s="2644"/>
      <c r="R85" s="2644"/>
      <c r="S85" s="2644">
        <v>1100000</v>
      </c>
      <c r="T85" s="2644" t="s">
        <v>0</v>
      </c>
      <c r="U85" s="2644"/>
      <c r="V85" s="2644">
        <v>3</v>
      </c>
      <c r="W85" s="2644" t="s">
        <v>3</v>
      </c>
      <c r="X85" s="2644" t="s">
        <v>1</v>
      </c>
      <c r="Y85" s="1674">
        <f>+Z85/1000</f>
        <v>3300</v>
      </c>
      <c r="Z85" s="407">
        <f>S85*V85</f>
        <v>3300000</v>
      </c>
      <c r="AB85" s="312"/>
      <c r="AC85" s="312"/>
      <c r="AD85" s="301"/>
    </row>
    <row r="86" spans="1:30" s="2558" customFormat="1" ht="21.75" customHeight="1">
      <c r="A86" s="436"/>
      <c r="B86" s="437"/>
      <c r="C86" s="413"/>
      <c r="D86" s="1131"/>
      <c r="E86" s="1134" t="s">
        <v>281</v>
      </c>
      <c r="F86" s="383">
        <f t="shared" si="34"/>
        <v>6000</v>
      </c>
      <c r="G86" s="1116">
        <v>6000</v>
      </c>
      <c r="H86" s="391"/>
      <c r="I86" s="2624"/>
      <c r="J86" s="2643" t="s">
        <v>3768</v>
      </c>
      <c r="K86" s="2624"/>
      <c r="L86" s="2624"/>
      <c r="M86" s="2624"/>
      <c r="N86" s="2624"/>
      <c r="O86" s="2624"/>
      <c r="P86" s="2624"/>
      <c r="Q86" s="2644">
        <v>2</v>
      </c>
      <c r="R86" s="2644" t="s">
        <v>7</v>
      </c>
      <c r="S86" s="2644">
        <v>10000</v>
      </c>
      <c r="T86" s="2644" t="s">
        <v>0</v>
      </c>
      <c r="U86" s="2644"/>
      <c r="V86" s="2644">
        <v>300</v>
      </c>
      <c r="W86" s="2644" t="s">
        <v>58</v>
      </c>
      <c r="X86" s="2644" t="s">
        <v>1</v>
      </c>
      <c r="Y86" s="1674">
        <f>+Z86/1000</f>
        <v>6000</v>
      </c>
      <c r="Z86" s="407">
        <f>Q86*S86*V86</f>
        <v>6000000</v>
      </c>
      <c r="AB86" s="312"/>
      <c r="AC86" s="312"/>
      <c r="AD86" s="301">
        <f>AC86-AB86</f>
        <v>0</v>
      </c>
    </row>
    <row r="87" spans="1:30" s="2558" customFormat="1" ht="21.75" customHeight="1">
      <c r="A87" s="396"/>
      <c r="B87" s="2652"/>
      <c r="C87" s="1110"/>
      <c r="D87" s="1131"/>
      <c r="E87" s="1134" t="s">
        <v>55</v>
      </c>
      <c r="F87" s="383">
        <f t="shared" si="34"/>
        <v>8000</v>
      </c>
      <c r="G87" s="1116">
        <v>8000</v>
      </c>
      <c r="H87" s="391"/>
      <c r="I87" s="2624"/>
      <c r="J87" s="2643" t="s">
        <v>282</v>
      </c>
      <c r="K87" s="1671"/>
      <c r="L87" s="1671"/>
      <c r="M87" s="1671"/>
      <c r="N87" s="1671"/>
      <c r="O87" s="1671"/>
      <c r="P87" s="1671"/>
      <c r="Q87" s="1673">
        <v>20</v>
      </c>
      <c r="R87" s="1671" t="s">
        <v>28</v>
      </c>
      <c r="S87" s="1672">
        <v>20000</v>
      </c>
      <c r="T87" s="1671" t="s">
        <v>0</v>
      </c>
      <c r="U87" s="1671"/>
      <c r="V87" s="1671">
        <v>20</v>
      </c>
      <c r="W87" s="1671" t="s">
        <v>25</v>
      </c>
      <c r="X87" s="2644" t="s">
        <v>1</v>
      </c>
      <c r="Y87" s="1674">
        <f>+Z87/1000</f>
        <v>8000</v>
      </c>
      <c r="Z87" s="407">
        <f>Q87*S87*V87</f>
        <v>8000000</v>
      </c>
      <c r="AB87" s="312"/>
      <c r="AC87" s="312"/>
      <c r="AD87" s="301">
        <f t="shared" si="24"/>
        <v>0</v>
      </c>
    </row>
    <row r="88" spans="1:30" s="2558" customFormat="1" ht="21.75" customHeight="1">
      <c r="A88" s="1082"/>
      <c r="B88" s="2652"/>
      <c r="C88" s="1110"/>
      <c r="D88" s="3329" t="s">
        <v>3769</v>
      </c>
      <c r="E88" s="3330"/>
      <c r="F88" s="382">
        <f>SUM(F89:F99)</f>
        <v>120000</v>
      </c>
      <c r="G88" s="382">
        <v>120000</v>
      </c>
      <c r="H88" s="388">
        <f>F88-G88</f>
        <v>0</v>
      </c>
      <c r="I88" s="2624"/>
      <c r="J88" s="394"/>
      <c r="K88" s="2598"/>
      <c r="L88" s="2598"/>
      <c r="M88" s="2598"/>
      <c r="N88" s="2598"/>
      <c r="O88" s="2598"/>
      <c r="P88" s="2598"/>
      <c r="Q88" s="2598"/>
      <c r="R88" s="395"/>
      <c r="S88" s="2598"/>
      <c r="T88" s="2598"/>
      <c r="U88" s="2598"/>
      <c r="V88" s="2598"/>
      <c r="W88" s="2598"/>
      <c r="X88" s="2598"/>
      <c r="Y88" s="1184"/>
      <c r="Z88" s="440"/>
      <c r="AB88" s="312">
        <f t="shared" si="23"/>
        <v>120000000000000</v>
      </c>
      <c r="AC88" s="312">
        <f t="shared" si="23"/>
        <v>120000000000000</v>
      </c>
      <c r="AD88" s="301">
        <f t="shared" si="24"/>
        <v>0</v>
      </c>
    </row>
    <row r="89" spans="1:30" s="2558" customFormat="1" ht="21.75" customHeight="1">
      <c r="A89" s="1082"/>
      <c r="B89" s="2652"/>
      <c r="C89" s="397"/>
      <c r="D89" s="1131"/>
      <c r="E89" s="1134" t="s">
        <v>73</v>
      </c>
      <c r="F89" s="383">
        <f>Y89</f>
        <v>1500</v>
      </c>
      <c r="G89" s="383">
        <v>1500</v>
      </c>
      <c r="H89" s="391"/>
      <c r="I89" s="2624"/>
      <c r="J89" s="2643" t="s">
        <v>3770</v>
      </c>
      <c r="K89" s="2624"/>
      <c r="L89" s="2624"/>
      <c r="M89" s="2624"/>
      <c r="N89" s="2624"/>
      <c r="O89" s="2624"/>
      <c r="P89" s="2624"/>
      <c r="Q89" s="2644" t="s">
        <v>19</v>
      </c>
      <c r="R89" s="1288" t="s">
        <v>19</v>
      </c>
      <c r="S89" s="2644">
        <v>1500000</v>
      </c>
      <c r="T89" s="2644" t="s">
        <v>3712</v>
      </c>
      <c r="U89" s="2644"/>
      <c r="V89" s="2644">
        <v>1</v>
      </c>
      <c r="W89" s="2644" t="s">
        <v>3771</v>
      </c>
      <c r="X89" s="2644" t="s">
        <v>3713</v>
      </c>
      <c r="Y89" s="1674">
        <f>+Z89/1000</f>
        <v>1500</v>
      </c>
      <c r="Z89" s="407">
        <f>S89*V89</f>
        <v>1500000</v>
      </c>
      <c r="AB89" s="312"/>
      <c r="AC89" s="312"/>
      <c r="AD89" s="301"/>
    </row>
    <row r="90" spans="1:30" s="2558" customFormat="1" ht="21.75" customHeight="1">
      <c r="A90" s="1082"/>
      <c r="B90" s="2652"/>
      <c r="C90" s="397"/>
      <c r="D90" s="1131"/>
      <c r="E90" s="1134" t="s">
        <v>84</v>
      </c>
      <c r="F90" s="383">
        <f>Y90</f>
        <v>3600</v>
      </c>
      <c r="G90" s="383">
        <v>3600</v>
      </c>
      <c r="H90" s="391"/>
      <c r="I90" s="2624"/>
      <c r="J90" s="2643" t="s">
        <v>3772</v>
      </c>
      <c r="K90" s="1671"/>
      <c r="L90" s="1671"/>
      <c r="M90" s="1671"/>
      <c r="N90" s="1671"/>
      <c r="O90" s="1671"/>
      <c r="P90" s="1671"/>
      <c r="Q90" s="1673">
        <v>2</v>
      </c>
      <c r="R90" s="1671" t="s">
        <v>23</v>
      </c>
      <c r="S90" s="1672">
        <v>150000</v>
      </c>
      <c r="T90" s="1671" t="s">
        <v>0</v>
      </c>
      <c r="U90" s="1671"/>
      <c r="V90" s="1671">
        <v>12</v>
      </c>
      <c r="W90" s="1671" t="s">
        <v>2</v>
      </c>
      <c r="X90" s="2644" t="s">
        <v>1</v>
      </c>
      <c r="Y90" s="1674">
        <f>+Z90/1000</f>
        <v>3600</v>
      </c>
      <c r="Z90" s="407">
        <f>Q90*S90*V90</f>
        <v>3600000</v>
      </c>
      <c r="AB90" s="312"/>
      <c r="AC90" s="312"/>
      <c r="AD90" s="301"/>
    </row>
    <row r="91" spans="1:30" s="2558" customFormat="1" ht="21.75" customHeight="1">
      <c r="A91" s="1082"/>
      <c r="B91" s="2652"/>
      <c r="C91" s="397"/>
      <c r="D91" s="1131"/>
      <c r="E91" s="1134" t="s">
        <v>3773</v>
      </c>
      <c r="F91" s="383">
        <f t="shared" ref="F91:F92" si="35">Y91</f>
        <v>1800</v>
      </c>
      <c r="G91" s="383">
        <v>1800</v>
      </c>
      <c r="H91" s="391"/>
      <c r="I91" s="2624"/>
      <c r="J91" s="2643" t="s">
        <v>3774</v>
      </c>
      <c r="K91" s="1671"/>
      <c r="L91" s="1671"/>
      <c r="M91" s="1671"/>
      <c r="N91" s="1671"/>
      <c r="O91" s="1671"/>
      <c r="P91" s="1671"/>
      <c r="Q91" s="2644"/>
      <c r="R91" s="2644"/>
      <c r="S91" s="2644">
        <v>150000</v>
      </c>
      <c r="T91" s="2644" t="s">
        <v>0</v>
      </c>
      <c r="U91" s="2644"/>
      <c r="V91" s="2644">
        <v>12</v>
      </c>
      <c r="W91" s="2644" t="s">
        <v>3765</v>
      </c>
      <c r="X91" s="2644" t="s">
        <v>1</v>
      </c>
      <c r="Y91" s="1674">
        <f t="shared" ref="Y91:Y99" si="36">+Z91/1000</f>
        <v>1800</v>
      </c>
      <c r="Z91" s="407">
        <f>S91*V91</f>
        <v>1800000</v>
      </c>
      <c r="AB91" s="312">
        <f t="shared" si="23"/>
        <v>1800000000000</v>
      </c>
      <c r="AC91" s="312"/>
      <c r="AD91" s="301"/>
    </row>
    <row r="92" spans="1:30" s="2558" customFormat="1" ht="21.75" customHeight="1">
      <c r="A92" s="1082"/>
      <c r="B92" s="2652"/>
      <c r="C92" s="397"/>
      <c r="D92" s="1131"/>
      <c r="E92" s="1134" t="s">
        <v>3775</v>
      </c>
      <c r="F92" s="383">
        <f t="shared" si="35"/>
        <v>6800</v>
      </c>
      <c r="G92" s="383">
        <v>6800</v>
      </c>
      <c r="H92" s="391"/>
      <c r="I92" s="2624"/>
      <c r="J92" s="2643" t="s">
        <v>8</v>
      </c>
      <c r="K92" s="2624"/>
      <c r="L92" s="2624"/>
      <c r="M92" s="2624"/>
      <c r="N92" s="2624"/>
      <c r="O92" s="2624"/>
      <c r="P92" s="2624"/>
      <c r="Q92" s="2644" t="s">
        <v>19</v>
      </c>
      <c r="R92" s="1288" t="s">
        <v>19</v>
      </c>
      <c r="S92" s="2644"/>
      <c r="T92" s="2644"/>
      <c r="U92" s="2644"/>
      <c r="V92" s="2644"/>
      <c r="W92" s="2644"/>
      <c r="X92" s="2644"/>
      <c r="Y92" s="1674">
        <f t="shared" si="36"/>
        <v>6800</v>
      </c>
      <c r="Z92" s="407">
        <f>SUM(Z93:Z94)</f>
        <v>6800000</v>
      </c>
      <c r="AB92" s="312">
        <f t="shared" si="23"/>
        <v>6800000000000</v>
      </c>
      <c r="AC92" s="312"/>
      <c r="AD92" s="301"/>
    </row>
    <row r="93" spans="1:30" s="2558" customFormat="1" ht="21.75" customHeight="1">
      <c r="A93" s="1082"/>
      <c r="B93" s="2652"/>
      <c r="C93" s="397"/>
      <c r="D93" s="1131"/>
      <c r="E93" s="1134"/>
      <c r="F93" s="383"/>
      <c r="G93" s="383"/>
      <c r="H93" s="391"/>
      <c r="I93" s="2624"/>
      <c r="J93" s="2643" t="s">
        <v>3776</v>
      </c>
      <c r="K93" s="2644"/>
      <c r="L93" s="2624"/>
      <c r="M93" s="2624"/>
      <c r="N93" s="2624"/>
      <c r="O93" s="2624"/>
      <c r="P93" s="2624"/>
      <c r="Q93" s="1673">
        <v>7</v>
      </c>
      <c r="R93" s="1671" t="s">
        <v>23</v>
      </c>
      <c r="S93" s="1672">
        <v>200000</v>
      </c>
      <c r="T93" s="1671" t="s">
        <v>0</v>
      </c>
      <c r="U93" s="1671"/>
      <c r="V93" s="1671">
        <v>2</v>
      </c>
      <c r="W93" s="1671" t="s">
        <v>3377</v>
      </c>
      <c r="X93" s="2644" t="s">
        <v>1</v>
      </c>
      <c r="Y93" s="1674">
        <f t="shared" si="36"/>
        <v>2800</v>
      </c>
      <c r="Z93" s="407">
        <f>Q93*S93*V93</f>
        <v>2800000</v>
      </c>
      <c r="AB93" s="312"/>
      <c r="AC93" s="312"/>
      <c r="AD93" s="301"/>
    </row>
    <row r="94" spans="1:30" s="2558" customFormat="1" ht="21.75" customHeight="1">
      <c r="A94" s="1082"/>
      <c r="B94" s="2652"/>
      <c r="C94" s="397"/>
      <c r="D94" s="1131"/>
      <c r="E94" s="1134"/>
      <c r="F94" s="383"/>
      <c r="G94" s="383"/>
      <c r="H94" s="391"/>
      <c r="I94" s="2624"/>
      <c r="J94" s="2643" t="s">
        <v>3777</v>
      </c>
      <c r="K94" s="2644"/>
      <c r="L94" s="2624"/>
      <c r="M94" s="2624"/>
      <c r="N94" s="2624"/>
      <c r="O94" s="2624"/>
      <c r="P94" s="2624"/>
      <c r="Q94" s="2644"/>
      <c r="R94" s="2644"/>
      <c r="S94" s="1672">
        <v>1000000</v>
      </c>
      <c r="T94" s="2644" t="s">
        <v>0</v>
      </c>
      <c r="U94" s="2644"/>
      <c r="V94" s="2644">
        <v>4</v>
      </c>
      <c r="W94" s="2644" t="s">
        <v>3</v>
      </c>
      <c r="X94" s="2644" t="s">
        <v>1</v>
      </c>
      <c r="Y94" s="1674">
        <f t="shared" si="36"/>
        <v>4000</v>
      </c>
      <c r="Z94" s="407">
        <f>S94*V94</f>
        <v>4000000</v>
      </c>
      <c r="AB94" s="312"/>
      <c r="AC94" s="312"/>
      <c r="AD94" s="301"/>
    </row>
    <row r="95" spans="1:30" s="2558" customFormat="1" ht="21.75" customHeight="1">
      <c r="A95" s="1082"/>
      <c r="B95" s="2652"/>
      <c r="C95" s="397"/>
      <c r="D95" s="1131"/>
      <c r="E95" s="1134" t="s">
        <v>65</v>
      </c>
      <c r="F95" s="383">
        <f t="shared" ref="F95" si="37">Y95</f>
        <v>105000</v>
      </c>
      <c r="G95" s="383">
        <v>105000</v>
      </c>
      <c r="H95" s="391"/>
      <c r="I95" s="2624"/>
      <c r="J95" s="2643" t="s">
        <v>8</v>
      </c>
      <c r="K95" s="2624"/>
      <c r="L95" s="2624"/>
      <c r="M95" s="2624"/>
      <c r="N95" s="2624"/>
      <c r="O95" s="2624"/>
      <c r="P95" s="2624"/>
      <c r="Q95" s="2644" t="s">
        <v>19</v>
      </c>
      <c r="R95" s="1288" t="s">
        <v>19</v>
      </c>
      <c r="S95" s="2644"/>
      <c r="T95" s="2644"/>
      <c r="U95" s="2644"/>
      <c r="V95" s="2644"/>
      <c r="W95" s="2644"/>
      <c r="X95" s="2644"/>
      <c r="Y95" s="1674">
        <f>+Z95/1000</f>
        <v>105000</v>
      </c>
      <c r="Z95" s="407">
        <f>SUM(Z96:Z97)</f>
        <v>105000000</v>
      </c>
      <c r="AB95" s="312"/>
      <c r="AC95" s="312"/>
      <c r="AD95" s="301"/>
    </row>
    <row r="96" spans="1:30" s="2558" customFormat="1" ht="21.75" customHeight="1">
      <c r="A96" s="1082"/>
      <c r="B96" s="2652"/>
      <c r="C96" s="397"/>
      <c r="D96" s="1131"/>
      <c r="E96" s="1134"/>
      <c r="F96" s="383"/>
      <c r="G96" s="383"/>
      <c r="H96" s="391"/>
      <c r="I96" s="2624"/>
      <c r="J96" s="2643" t="s">
        <v>3778</v>
      </c>
      <c r="K96" s="2644"/>
      <c r="L96" s="2624"/>
      <c r="M96" s="2624"/>
      <c r="N96" s="2624"/>
      <c r="O96" s="2624"/>
      <c r="P96" s="2624"/>
      <c r="Q96" s="2644"/>
      <c r="R96" s="2644"/>
      <c r="S96" s="1672">
        <v>3000000</v>
      </c>
      <c r="T96" s="2644" t="s">
        <v>0</v>
      </c>
      <c r="U96" s="2644"/>
      <c r="V96" s="2644">
        <v>20</v>
      </c>
      <c r="W96" s="2644" t="s">
        <v>3377</v>
      </c>
      <c r="X96" s="2644" t="s">
        <v>1</v>
      </c>
      <c r="Y96" s="1674">
        <f>+Z96/1000</f>
        <v>60000</v>
      </c>
      <c r="Z96" s="407">
        <f>S96*V96</f>
        <v>60000000</v>
      </c>
      <c r="AB96" s="312"/>
      <c r="AC96" s="312"/>
      <c r="AD96" s="301"/>
    </row>
    <row r="97" spans="1:30" s="2558" customFormat="1" ht="21.75" customHeight="1">
      <c r="A97" s="1082"/>
      <c r="B97" s="2652"/>
      <c r="C97" s="397"/>
      <c r="D97" s="1131"/>
      <c r="E97" s="1134"/>
      <c r="F97" s="383"/>
      <c r="G97" s="383"/>
      <c r="H97" s="391"/>
      <c r="I97" s="2624"/>
      <c r="J97" s="2643" t="s">
        <v>3779</v>
      </c>
      <c r="K97" s="2644"/>
      <c r="L97" s="2624"/>
      <c r="M97" s="2624"/>
      <c r="N97" s="2624"/>
      <c r="O97" s="2624"/>
      <c r="P97" s="2624"/>
      <c r="Q97" s="2644"/>
      <c r="R97" s="2644"/>
      <c r="S97" s="1672">
        <v>1500000</v>
      </c>
      <c r="T97" s="2644" t="s">
        <v>0</v>
      </c>
      <c r="U97" s="2644"/>
      <c r="V97" s="2644">
        <v>30</v>
      </c>
      <c r="W97" s="2644" t="s">
        <v>3</v>
      </c>
      <c r="X97" s="2644" t="s">
        <v>1</v>
      </c>
      <c r="Y97" s="1674">
        <f>+Z97/1000</f>
        <v>45000</v>
      </c>
      <c r="Z97" s="407">
        <f>S97*V97</f>
        <v>45000000</v>
      </c>
      <c r="AB97" s="312"/>
      <c r="AC97" s="312"/>
      <c r="AD97" s="301"/>
    </row>
    <row r="98" spans="1:30" s="2558" customFormat="1" ht="21.75" customHeight="1">
      <c r="A98" s="1082"/>
      <c r="B98" s="2652"/>
      <c r="C98" s="397"/>
      <c r="D98" s="1131"/>
      <c r="E98" s="1134" t="s">
        <v>3780</v>
      </c>
      <c r="F98" s="383">
        <f t="shared" ref="F98:F99" si="38">Y98</f>
        <v>300</v>
      </c>
      <c r="G98" s="383">
        <v>300</v>
      </c>
      <c r="H98" s="391"/>
      <c r="I98" s="2624"/>
      <c r="J98" s="2643" t="s">
        <v>3781</v>
      </c>
      <c r="K98" s="2624"/>
      <c r="L98" s="2624"/>
      <c r="M98" s="2624"/>
      <c r="N98" s="2624"/>
      <c r="O98" s="2624"/>
      <c r="P98" s="2624"/>
      <c r="Q98" s="2644" t="s">
        <v>19</v>
      </c>
      <c r="R98" s="1288" t="s">
        <v>19</v>
      </c>
      <c r="S98" s="2644">
        <v>300000</v>
      </c>
      <c r="T98" s="2644" t="s">
        <v>3712</v>
      </c>
      <c r="U98" s="2644"/>
      <c r="V98" s="2644">
        <v>1</v>
      </c>
      <c r="W98" s="2644" t="s">
        <v>3771</v>
      </c>
      <c r="X98" s="2644" t="s">
        <v>3713</v>
      </c>
      <c r="Y98" s="1674">
        <f t="shared" si="36"/>
        <v>300</v>
      </c>
      <c r="Z98" s="407">
        <f>S98*V98</f>
        <v>300000</v>
      </c>
      <c r="AB98" s="312">
        <f t="shared" si="23"/>
        <v>300000000000</v>
      </c>
      <c r="AC98" s="312"/>
      <c r="AD98" s="301"/>
    </row>
    <row r="99" spans="1:30" s="2558" customFormat="1" ht="21.75" customHeight="1">
      <c r="A99" s="1082"/>
      <c r="B99" s="2652"/>
      <c r="C99" s="397"/>
      <c r="D99" s="1131"/>
      <c r="E99" s="1134" t="s">
        <v>55</v>
      </c>
      <c r="F99" s="383">
        <f t="shared" si="38"/>
        <v>1000</v>
      </c>
      <c r="G99" s="383">
        <v>1000</v>
      </c>
      <c r="H99" s="391"/>
      <c r="I99" s="2624"/>
      <c r="J99" s="2643" t="s">
        <v>3782</v>
      </c>
      <c r="K99" s="2624"/>
      <c r="L99" s="2624"/>
      <c r="M99" s="2624"/>
      <c r="N99" s="2624"/>
      <c r="O99" s="2624"/>
      <c r="P99" s="2624"/>
      <c r="Q99" s="1671">
        <v>5</v>
      </c>
      <c r="R99" s="405" t="s">
        <v>23</v>
      </c>
      <c r="S99" s="1672">
        <v>10000</v>
      </c>
      <c r="T99" s="2644" t="s">
        <v>0</v>
      </c>
      <c r="U99" s="2644"/>
      <c r="V99" s="2644">
        <v>20</v>
      </c>
      <c r="W99" s="2644" t="s">
        <v>3</v>
      </c>
      <c r="X99" s="2644" t="s">
        <v>1</v>
      </c>
      <c r="Y99" s="1674">
        <f t="shared" si="36"/>
        <v>1000</v>
      </c>
      <c r="Z99" s="407">
        <f>Q99*S99*V99</f>
        <v>1000000</v>
      </c>
      <c r="AB99" s="312">
        <f t="shared" si="23"/>
        <v>1000000000000</v>
      </c>
      <c r="AC99" s="312"/>
      <c r="AD99" s="301">
        <f t="shared" si="24"/>
        <v>-1000000000000</v>
      </c>
    </row>
    <row r="100" spans="1:30" s="2558" customFormat="1" ht="21.75" customHeight="1">
      <c r="A100" s="1082"/>
      <c r="B100" s="2652"/>
      <c r="C100" s="397"/>
      <c r="D100" s="3329" t="s">
        <v>3783</v>
      </c>
      <c r="E100" s="3330"/>
      <c r="F100" s="382">
        <f>SUM(F101:F108)</f>
        <v>260000</v>
      </c>
      <c r="G100" s="382">
        <f>SUM(G101:G108)</f>
        <v>260000</v>
      </c>
      <c r="H100" s="388">
        <f>F100-G100</f>
        <v>0</v>
      </c>
      <c r="I100" s="2624"/>
      <c r="J100" s="1292"/>
      <c r="K100" s="2598"/>
      <c r="L100" s="2598"/>
      <c r="M100" s="2598"/>
      <c r="N100" s="2598"/>
      <c r="O100" s="2598"/>
      <c r="P100" s="2598"/>
      <c r="Q100" s="2598"/>
      <c r="R100" s="395"/>
      <c r="S100" s="2598"/>
      <c r="T100" s="2598"/>
      <c r="U100" s="2598"/>
      <c r="V100" s="2598"/>
      <c r="W100" s="2598"/>
      <c r="X100" s="2598"/>
      <c r="Y100" s="1184"/>
      <c r="Z100" s="440"/>
      <c r="AB100" s="312"/>
      <c r="AC100" s="312"/>
      <c r="AD100" s="301"/>
    </row>
    <row r="101" spans="1:30" s="2558" customFormat="1" ht="21.75" customHeight="1">
      <c r="A101" s="1082"/>
      <c r="B101" s="2652"/>
      <c r="C101" s="397"/>
      <c r="D101" s="367"/>
      <c r="E101" s="1154" t="s">
        <v>3721</v>
      </c>
      <c r="F101" s="383">
        <f>Y101</f>
        <v>1000</v>
      </c>
      <c r="G101" s="383">
        <v>1000</v>
      </c>
      <c r="H101" s="391"/>
      <c r="I101" s="2624"/>
      <c r="J101" s="2627" t="s">
        <v>3784</v>
      </c>
      <c r="K101" s="2628"/>
      <c r="L101" s="2628"/>
      <c r="M101" s="2628"/>
      <c r="N101" s="2628"/>
      <c r="O101" s="2628"/>
      <c r="P101" s="2628"/>
      <c r="Q101" s="1672">
        <v>1</v>
      </c>
      <c r="R101" s="1672" t="s">
        <v>3785</v>
      </c>
      <c r="S101" s="1672">
        <v>100000</v>
      </c>
      <c r="T101" s="1672" t="s">
        <v>3376</v>
      </c>
      <c r="U101" s="1672"/>
      <c r="V101" s="1672">
        <v>10</v>
      </c>
      <c r="W101" s="1672" t="s">
        <v>3786</v>
      </c>
      <c r="X101" s="1323" t="s">
        <v>3378</v>
      </c>
      <c r="Y101" s="1674">
        <f>Q101*S101*V101/1000</f>
        <v>1000</v>
      </c>
      <c r="Z101" s="407"/>
      <c r="AB101" s="312"/>
      <c r="AC101" s="312"/>
      <c r="AD101" s="301"/>
    </row>
    <row r="102" spans="1:30" s="2558" customFormat="1" ht="21.75" customHeight="1">
      <c r="A102" s="1082"/>
      <c r="B102" s="2652"/>
      <c r="C102" s="397"/>
      <c r="D102" s="1131"/>
      <c r="E102" s="1154" t="s">
        <v>3775</v>
      </c>
      <c r="F102" s="383">
        <f>Y102</f>
        <v>1400</v>
      </c>
      <c r="G102" s="383">
        <v>1400</v>
      </c>
      <c r="H102" s="391"/>
      <c r="I102" s="2624"/>
      <c r="J102" s="2627" t="s">
        <v>3787</v>
      </c>
      <c r="K102" s="2628"/>
      <c r="L102" s="2628"/>
      <c r="M102" s="2628"/>
      <c r="N102" s="2628"/>
      <c r="O102" s="2628"/>
      <c r="P102" s="2628"/>
      <c r="Q102" s="1672">
        <v>7</v>
      </c>
      <c r="R102" s="1672" t="s">
        <v>3785</v>
      </c>
      <c r="S102" s="1672">
        <v>200000</v>
      </c>
      <c r="T102" s="1672" t="s">
        <v>3376</v>
      </c>
      <c r="U102" s="1672"/>
      <c r="V102" s="1672">
        <v>1</v>
      </c>
      <c r="W102" s="1672" t="s">
        <v>3377</v>
      </c>
      <c r="X102" s="1323" t="s">
        <v>3378</v>
      </c>
      <c r="Y102" s="1674">
        <f>Q102*S102*V102/1000</f>
        <v>1400</v>
      </c>
      <c r="Z102" s="407"/>
      <c r="AB102" s="312"/>
      <c r="AC102" s="312"/>
      <c r="AD102" s="301"/>
    </row>
    <row r="103" spans="1:30" s="2558" customFormat="1" ht="21.75" customHeight="1">
      <c r="A103" s="1082"/>
      <c r="B103" s="2652"/>
      <c r="C103" s="397"/>
      <c r="D103" s="1131"/>
      <c r="E103" s="1154" t="s">
        <v>3718</v>
      </c>
      <c r="F103" s="383">
        <f>Y103</f>
        <v>250000</v>
      </c>
      <c r="G103" s="383">
        <v>250000</v>
      </c>
      <c r="H103" s="391"/>
      <c r="I103" s="2624"/>
      <c r="J103" s="2627" t="s">
        <v>3381</v>
      </c>
      <c r="K103" s="2628"/>
      <c r="L103" s="2628"/>
      <c r="M103" s="2628"/>
      <c r="N103" s="2628"/>
      <c r="O103" s="2628"/>
      <c r="P103" s="2628"/>
      <c r="Q103" s="1672"/>
      <c r="R103" s="1672"/>
      <c r="S103" s="1672"/>
      <c r="T103" s="1672"/>
      <c r="U103" s="1672"/>
      <c r="V103" s="1672"/>
      <c r="W103" s="1672"/>
      <c r="X103" s="1323"/>
      <c r="Y103" s="1674">
        <f>SUM(Y104:Y105)</f>
        <v>250000</v>
      </c>
      <c r="Z103" s="407"/>
      <c r="AB103" s="312"/>
      <c r="AC103" s="312"/>
      <c r="AD103" s="301"/>
    </row>
    <row r="104" spans="1:30" s="2558" customFormat="1" ht="21.75" customHeight="1">
      <c r="A104" s="1082"/>
      <c r="B104" s="2652"/>
      <c r="C104" s="397"/>
      <c r="D104" s="1131"/>
      <c r="E104" s="2687"/>
      <c r="F104" s="383"/>
      <c r="G104" s="383"/>
      <c r="H104" s="391"/>
      <c r="I104" s="2624"/>
      <c r="J104" s="2627" t="s">
        <v>3788</v>
      </c>
      <c r="K104" s="2628"/>
      <c r="L104" s="2628"/>
      <c r="M104" s="2628"/>
      <c r="N104" s="2628"/>
      <c r="O104" s="2628"/>
      <c r="P104" s="2628"/>
      <c r="Q104" s="1672"/>
      <c r="R104" s="1672"/>
      <c r="S104" s="1672">
        <v>100000000</v>
      </c>
      <c r="T104" s="1672" t="s">
        <v>3376</v>
      </c>
      <c r="U104" s="1672"/>
      <c r="V104" s="1672">
        <v>2</v>
      </c>
      <c r="W104" s="1672" t="s">
        <v>3377</v>
      </c>
      <c r="X104" s="1323" t="s">
        <v>3378</v>
      </c>
      <c r="Y104" s="1674">
        <f t="shared" ref="Y104:Y105" si="39">S104*V104/1000</f>
        <v>200000</v>
      </c>
      <c r="Z104" s="407"/>
      <c r="AB104" s="312"/>
      <c r="AC104" s="312"/>
      <c r="AD104" s="301"/>
    </row>
    <row r="105" spans="1:30" s="2558" customFormat="1" ht="21.75" customHeight="1">
      <c r="A105" s="1082"/>
      <c r="B105" s="2652"/>
      <c r="C105" s="397"/>
      <c r="D105" s="1131"/>
      <c r="E105" s="1154"/>
      <c r="F105" s="383"/>
      <c r="G105" s="383"/>
      <c r="H105" s="391"/>
      <c r="I105" s="2624"/>
      <c r="J105" s="2627" t="s">
        <v>3789</v>
      </c>
      <c r="K105" s="2628"/>
      <c r="L105" s="2628"/>
      <c r="M105" s="2628"/>
      <c r="N105" s="2628"/>
      <c r="O105" s="2628"/>
      <c r="P105" s="2628"/>
      <c r="Q105" s="1672"/>
      <c r="R105" s="1672"/>
      <c r="S105" s="1672">
        <v>50000000</v>
      </c>
      <c r="T105" s="1672" t="s">
        <v>3376</v>
      </c>
      <c r="U105" s="1672"/>
      <c r="V105" s="1672">
        <v>1</v>
      </c>
      <c r="W105" s="1672" t="s">
        <v>3377</v>
      </c>
      <c r="X105" s="1323" t="s">
        <v>3378</v>
      </c>
      <c r="Y105" s="1674">
        <f t="shared" si="39"/>
        <v>50000</v>
      </c>
      <c r="Z105" s="407"/>
      <c r="AB105" s="312"/>
      <c r="AC105" s="312"/>
      <c r="AD105" s="301"/>
    </row>
    <row r="106" spans="1:30" s="2558" customFormat="1" ht="21.75" customHeight="1">
      <c r="A106" s="1082"/>
      <c r="B106" s="2652"/>
      <c r="C106" s="397"/>
      <c r="D106" s="1131"/>
      <c r="E106" s="1154" t="s">
        <v>3763</v>
      </c>
      <c r="F106" s="383">
        <f>Y106</f>
        <v>4200</v>
      </c>
      <c r="G106" s="383">
        <v>4200</v>
      </c>
      <c r="H106" s="391"/>
      <c r="I106" s="2624"/>
      <c r="J106" s="2627" t="s">
        <v>3790</v>
      </c>
      <c r="K106" s="2628"/>
      <c r="L106" s="2628"/>
      <c r="M106" s="2628"/>
      <c r="N106" s="2628"/>
      <c r="O106" s="2628"/>
      <c r="P106" s="2628"/>
      <c r="Q106" s="1672"/>
      <c r="R106" s="1672"/>
      <c r="S106" s="1672">
        <v>4200000</v>
      </c>
      <c r="T106" s="1672" t="s">
        <v>3376</v>
      </c>
      <c r="U106" s="1672"/>
      <c r="V106" s="1672">
        <v>1</v>
      </c>
      <c r="W106" s="1672" t="s">
        <v>3377</v>
      </c>
      <c r="X106" s="1323" t="s">
        <v>3378</v>
      </c>
      <c r="Y106" s="1674">
        <f>S106*V106/1000</f>
        <v>4200</v>
      </c>
      <c r="Z106" s="407"/>
      <c r="AB106" s="312"/>
      <c r="AC106" s="312"/>
      <c r="AD106" s="301"/>
    </row>
    <row r="107" spans="1:30" s="2558" customFormat="1" ht="21.75" customHeight="1">
      <c r="A107" s="1082"/>
      <c r="B107" s="2652"/>
      <c r="C107" s="397"/>
      <c r="D107" s="1131"/>
      <c r="E107" s="1126" t="s">
        <v>3780</v>
      </c>
      <c r="F107" s="383">
        <f>Y107</f>
        <v>2400</v>
      </c>
      <c r="G107" s="383">
        <v>2400</v>
      </c>
      <c r="H107" s="391"/>
      <c r="I107" s="2624"/>
      <c r="J107" s="2627" t="s">
        <v>3791</v>
      </c>
      <c r="K107" s="2628"/>
      <c r="L107" s="2628"/>
      <c r="M107" s="2628"/>
      <c r="N107" s="2628"/>
      <c r="O107" s="2628"/>
      <c r="P107" s="2628"/>
      <c r="Q107" s="1672"/>
      <c r="R107" s="1672"/>
      <c r="S107" s="1672">
        <v>200000</v>
      </c>
      <c r="T107" s="1672" t="s">
        <v>3376</v>
      </c>
      <c r="U107" s="1672"/>
      <c r="V107" s="1672">
        <v>12</v>
      </c>
      <c r="W107" s="1672" t="s">
        <v>3786</v>
      </c>
      <c r="X107" s="1323" t="s">
        <v>3378</v>
      </c>
      <c r="Y107" s="1674">
        <f>S107*V107/1000</f>
        <v>2400</v>
      </c>
      <c r="Z107" s="407"/>
      <c r="AB107" s="312"/>
      <c r="AC107" s="312"/>
      <c r="AD107" s="301"/>
    </row>
    <row r="108" spans="1:30" s="2558" customFormat="1" ht="21.75" customHeight="1">
      <c r="A108" s="1082"/>
      <c r="B108" s="2652"/>
      <c r="C108" s="397"/>
      <c r="D108" s="1131"/>
      <c r="E108" s="1154" t="s">
        <v>3792</v>
      </c>
      <c r="F108" s="383">
        <f>Y108</f>
        <v>1000</v>
      </c>
      <c r="G108" s="383">
        <v>1000</v>
      </c>
      <c r="H108" s="391"/>
      <c r="I108" s="2624"/>
      <c r="J108" s="2627" t="s">
        <v>3793</v>
      </c>
      <c r="K108" s="2628"/>
      <c r="L108" s="2628"/>
      <c r="M108" s="2628"/>
      <c r="N108" s="2628"/>
      <c r="O108" s="2628"/>
      <c r="P108" s="2628"/>
      <c r="Q108" s="1672">
        <v>2</v>
      </c>
      <c r="R108" s="1672" t="s">
        <v>3785</v>
      </c>
      <c r="S108" s="1672">
        <v>20000</v>
      </c>
      <c r="T108" s="1672" t="s">
        <v>3376</v>
      </c>
      <c r="U108" s="1672"/>
      <c r="V108" s="1672">
        <v>25</v>
      </c>
      <c r="W108" s="1672" t="s">
        <v>3377</v>
      </c>
      <c r="X108" s="1323" t="s">
        <v>3378</v>
      </c>
      <c r="Y108" s="1674">
        <f>Q108*S108*V108/1000</f>
        <v>1000</v>
      </c>
      <c r="Z108" s="407"/>
      <c r="AB108" s="312"/>
      <c r="AC108" s="312"/>
      <c r="AD108" s="301"/>
    </row>
    <row r="109" spans="1:30" s="2558" customFormat="1" ht="21.75" customHeight="1">
      <c r="A109" s="396"/>
      <c r="B109" s="2652"/>
      <c r="C109" s="3277" t="s">
        <v>3794</v>
      </c>
      <c r="D109" s="3271"/>
      <c r="E109" s="3272"/>
      <c r="F109" s="382">
        <f>F110+F138</f>
        <v>510000</v>
      </c>
      <c r="G109" s="382">
        <f>G110+G138</f>
        <v>510000</v>
      </c>
      <c r="H109" s="386">
        <f>F109-G109</f>
        <v>0</v>
      </c>
      <c r="I109" s="2624"/>
      <c r="J109" s="1135"/>
      <c r="K109" s="2598"/>
      <c r="L109" s="2598"/>
      <c r="M109" s="2598"/>
      <c r="N109" s="2598"/>
      <c r="O109" s="2598"/>
      <c r="P109" s="2598"/>
      <c r="Q109" s="462"/>
      <c r="R109" s="395"/>
      <c r="S109" s="399"/>
      <c r="T109" s="1136"/>
      <c r="U109" s="1136"/>
      <c r="V109" s="1136"/>
      <c r="W109" s="1136"/>
      <c r="X109" s="1136"/>
      <c r="Y109" s="377"/>
      <c r="Z109" s="463"/>
      <c r="AB109" s="312">
        <f t="shared" si="23"/>
        <v>510000000000000</v>
      </c>
      <c r="AC109" s="312">
        <f t="shared" si="23"/>
        <v>510000000000000</v>
      </c>
      <c r="AD109" s="301">
        <f t="shared" si="24"/>
        <v>0</v>
      </c>
    </row>
    <row r="110" spans="1:30" s="2558" customFormat="1" ht="21.75" customHeight="1">
      <c r="A110" s="396"/>
      <c r="B110" s="2652"/>
      <c r="C110" s="397"/>
      <c r="D110" s="3312" t="s">
        <v>3795</v>
      </c>
      <c r="E110" s="3313"/>
      <c r="F110" s="382">
        <f>SUM(F111:F137)</f>
        <v>300000</v>
      </c>
      <c r="G110" s="382">
        <f>SUM(G111:G137)</f>
        <v>300000</v>
      </c>
      <c r="H110" s="388">
        <f>SUM(H111:H137)</f>
        <v>0</v>
      </c>
      <c r="I110" s="2624"/>
      <c r="J110" s="394"/>
      <c r="K110" s="2598"/>
      <c r="L110" s="2598"/>
      <c r="M110" s="2598"/>
      <c r="N110" s="2598"/>
      <c r="O110" s="2598"/>
      <c r="P110" s="2598"/>
      <c r="Q110" s="2598"/>
      <c r="R110" s="395"/>
      <c r="S110" s="2598"/>
      <c r="T110" s="2598"/>
      <c r="U110" s="2598"/>
      <c r="V110" s="2598"/>
      <c r="W110" s="2598"/>
      <c r="X110" s="2598"/>
      <c r="Y110" s="1184"/>
      <c r="Z110" s="440"/>
      <c r="AB110" s="312">
        <f t="shared" si="23"/>
        <v>300000000000000</v>
      </c>
      <c r="AC110" s="312">
        <f t="shared" si="23"/>
        <v>300000000000000</v>
      </c>
      <c r="AD110" s="301">
        <f t="shared" si="24"/>
        <v>0</v>
      </c>
    </row>
    <row r="111" spans="1:30" s="2558" customFormat="1" ht="21.75" customHeight="1">
      <c r="A111" s="396"/>
      <c r="B111" s="397"/>
      <c r="C111" s="1131"/>
      <c r="D111" s="1131"/>
      <c r="E111" s="1134" t="s">
        <v>74</v>
      </c>
      <c r="F111" s="383">
        <f>+Y111</f>
        <v>65000</v>
      </c>
      <c r="G111" s="1116">
        <v>65000</v>
      </c>
      <c r="H111" s="908"/>
      <c r="I111" s="2624"/>
      <c r="J111" s="2643" t="s">
        <v>8</v>
      </c>
      <c r="K111" s="2624"/>
      <c r="L111" s="2624"/>
      <c r="M111" s="2624"/>
      <c r="N111" s="2624"/>
      <c r="O111" s="2624"/>
      <c r="P111" s="2624"/>
      <c r="Q111" s="1671"/>
      <c r="R111" s="405"/>
      <c r="S111" s="1672"/>
      <c r="T111" s="2644"/>
      <c r="U111" s="2644"/>
      <c r="V111" s="2644"/>
      <c r="W111" s="2644"/>
      <c r="X111" s="2644"/>
      <c r="Y111" s="1674">
        <f>(Z111)/1000</f>
        <v>65000</v>
      </c>
      <c r="Z111" s="656">
        <f>SUM(Z112:Z113)</f>
        <v>65000000</v>
      </c>
      <c r="AB111" s="312"/>
      <c r="AC111" s="312"/>
      <c r="AD111" s="301"/>
    </row>
    <row r="112" spans="1:30" s="2558" customFormat="1" ht="21.75" customHeight="1">
      <c r="A112" s="396"/>
      <c r="B112" s="2652"/>
      <c r="C112" s="397"/>
      <c r="D112" s="1131"/>
      <c r="E112" s="1134"/>
      <c r="F112" s="2624"/>
      <c r="G112" s="1116"/>
      <c r="H112" s="391"/>
      <c r="I112" s="2624"/>
      <c r="J112" s="2643" t="s">
        <v>283</v>
      </c>
      <c r="K112" s="2624"/>
      <c r="L112" s="2624"/>
      <c r="M112" s="2624"/>
      <c r="N112" s="2624"/>
      <c r="O112" s="2624"/>
      <c r="P112" s="2624"/>
      <c r="Q112" s="1671">
        <v>2</v>
      </c>
      <c r="R112" s="405" t="s">
        <v>23</v>
      </c>
      <c r="S112" s="1672">
        <v>2500000</v>
      </c>
      <c r="T112" s="2644" t="s">
        <v>0</v>
      </c>
      <c r="U112" s="2644"/>
      <c r="V112" s="2644">
        <v>12</v>
      </c>
      <c r="W112" s="2644" t="s">
        <v>2</v>
      </c>
      <c r="X112" s="2644" t="s">
        <v>1</v>
      </c>
      <c r="Y112" s="1674">
        <f t="shared" ref="Y112:Y136" si="40">+Z112/1000</f>
        <v>60000</v>
      </c>
      <c r="Z112" s="656">
        <f>Q112*S112*V112</f>
        <v>60000000</v>
      </c>
      <c r="AB112" s="312">
        <v>66000000</v>
      </c>
      <c r="AC112" s="312"/>
      <c r="AD112" s="301"/>
    </row>
    <row r="113" spans="1:30" s="2558" customFormat="1" ht="21.75" customHeight="1">
      <c r="A113" s="396"/>
      <c r="B113" s="2652"/>
      <c r="C113" s="397"/>
      <c r="D113" s="1131"/>
      <c r="E113" s="1134"/>
      <c r="F113" s="2624"/>
      <c r="G113" s="1116"/>
      <c r="H113" s="391"/>
      <c r="I113" s="2624"/>
      <c r="J113" s="2643" t="s">
        <v>3796</v>
      </c>
      <c r="K113" s="2624"/>
      <c r="L113" s="2624"/>
      <c r="M113" s="2624"/>
      <c r="N113" s="2624"/>
      <c r="O113" s="2624"/>
      <c r="P113" s="2624"/>
      <c r="Q113" s="1671">
        <v>2</v>
      </c>
      <c r="R113" s="405" t="s">
        <v>23</v>
      </c>
      <c r="S113" s="1672">
        <v>2500000</v>
      </c>
      <c r="T113" s="2644" t="s">
        <v>0</v>
      </c>
      <c r="U113" s="2644"/>
      <c r="V113" s="2644">
        <v>1</v>
      </c>
      <c r="W113" s="2644" t="s">
        <v>3505</v>
      </c>
      <c r="X113" s="2644" t="s">
        <v>1</v>
      </c>
      <c r="Y113" s="1674">
        <f t="shared" si="40"/>
        <v>5000</v>
      </c>
      <c r="Z113" s="656">
        <f>Q113*S113*V113</f>
        <v>5000000</v>
      </c>
      <c r="AB113" s="312"/>
      <c r="AC113" s="312"/>
      <c r="AD113" s="301"/>
    </row>
    <row r="114" spans="1:30" s="2558" customFormat="1" ht="21.75" customHeight="1">
      <c r="A114" s="396"/>
      <c r="B114" s="2652"/>
      <c r="C114" s="397"/>
      <c r="D114" s="1131"/>
      <c r="E114" s="1134" t="s">
        <v>73</v>
      </c>
      <c r="F114" s="383">
        <f>+Y114</f>
        <v>7400</v>
      </c>
      <c r="G114" s="1116">
        <v>7400</v>
      </c>
      <c r="H114" s="391"/>
      <c r="I114" s="2624"/>
      <c r="J114" s="2643" t="s">
        <v>8</v>
      </c>
      <c r="K114" s="2624"/>
      <c r="L114" s="2624"/>
      <c r="M114" s="2624"/>
      <c r="N114" s="2624"/>
      <c r="O114" s="2624"/>
      <c r="P114" s="2624"/>
      <c r="Q114" s="2624"/>
      <c r="R114" s="405"/>
      <c r="S114" s="1672"/>
      <c r="T114" s="2644"/>
      <c r="U114" s="2644"/>
      <c r="V114" s="2644"/>
      <c r="W114" s="2644"/>
      <c r="X114" s="2644" t="s">
        <v>19</v>
      </c>
      <c r="Y114" s="1674">
        <f>+Z114/1000</f>
        <v>7400</v>
      </c>
      <c r="Z114" s="656">
        <f>SUM(Z115:Z117)</f>
        <v>7400000</v>
      </c>
      <c r="AB114" s="312"/>
      <c r="AC114" s="312"/>
      <c r="AD114" s="301"/>
    </row>
    <row r="115" spans="1:30" s="2558" customFormat="1" ht="21.75" customHeight="1">
      <c r="A115" s="396"/>
      <c r="B115" s="2652"/>
      <c r="C115" s="397"/>
      <c r="D115" s="1131"/>
      <c r="E115" s="1134"/>
      <c r="F115" s="383"/>
      <c r="G115" s="1116"/>
      <c r="H115" s="391"/>
      <c r="I115" s="2624"/>
      <c r="J115" s="2643" t="s">
        <v>284</v>
      </c>
      <c r="K115" s="2624"/>
      <c r="L115" s="2624"/>
      <c r="M115" s="2624"/>
      <c r="N115" s="2624"/>
      <c r="O115" s="2624"/>
      <c r="P115" s="2624"/>
      <c r="Q115" s="2624"/>
      <c r="R115" s="405"/>
      <c r="S115" s="2644">
        <v>200000</v>
      </c>
      <c r="T115" s="2644" t="s">
        <v>0</v>
      </c>
      <c r="U115" s="2644"/>
      <c r="V115" s="2644">
        <v>12</v>
      </c>
      <c r="W115" s="2644" t="s">
        <v>2</v>
      </c>
      <c r="X115" s="2644" t="s">
        <v>1</v>
      </c>
      <c r="Y115" s="1674">
        <f>+Z115/1000</f>
        <v>2400</v>
      </c>
      <c r="Z115" s="656">
        <f>S115*V115</f>
        <v>2400000</v>
      </c>
      <c r="AB115" s="312"/>
      <c r="AC115" s="312"/>
      <c r="AD115" s="301"/>
    </row>
    <row r="116" spans="1:30" s="2558" customFormat="1" ht="21.75" customHeight="1">
      <c r="A116" s="396"/>
      <c r="B116" s="2652"/>
      <c r="C116" s="397"/>
      <c r="D116" s="1131"/>
      <c r="E116" s="1134"/>
      <c r="F116" s="383"/>
      <c r="G116" s="1116"/>
      <c r="H116" s="391"/>
      <c r="I116" s="2624"/>
      <c r="J116" s="2643" t="s">
        <v>3797</v>
      </c>
      <c r="K116" s="2624"/>
      <c r="L116" s="2624"/>
      <c r="M116" s="2624"/>
      <c r="N116" s="2624"/>
      <c r="O116" s="2624"/>
      <c r="P116" s="2624"/>
      <c r="Q116" s="1671"/>
      <c r="R116" s="405"/>
      <c r="S116" s="2644">
        <v>1200000</v>
      </c>
      <c r="T116" s="2644" t="s">
        <v>0</v>
      </c>
      <c r="U116" s="2644"/>
      <c r="V116" s="2644">
        <v>2</v>
      </c>
      <c r="W116" s="2644" t="s">
        <v>3</v>
      </c>
      <c r="X116" s="2644" t="s">
        <v>1</v>
      </c>
      <c r="Y116" s="1674">
        <f>+Z116/1000</f>
        <v>2400</v>
      </c>
      <c r="Z116" s="656">
        <f>S116*V116</f>
        <v>2400000</v>
      </c>
      <c r="AB116" s="312"/>
      <c r="AC116" s="312"/>
      <c r="AD116" s="301"/>
    </row>
    <row r="117" spans="1:30" s="2558" customFormat="1" ht="21.75" customHeight="1">
      <c r="A117" s="396"/>
      <c r="B117" s="2652"/>
      <c r="C117" s="397"/>
      <c r="D117" s="1131"/>
      <c r="E117" s="1134"/>
      <c r="F117" s="383"/>
      <c r="G117" s="1116"/>
      <c r="H117" s="391"/>
      <c r="I117" s="2624"/>
      <c r="J117" s="2643" t="s">
        <v>3798</v>
      </c>
      <c r="K117" s="2624"/>
      <c r="L117" s="2624"/>
      <c r="M117" s="2624"/>
      <c r="N117" s="2624"/>
      <c r="O117" s="2624"/>
      <c r="P117" s="2624"/>
      <c r="Q117" s="1671"/>
      <c r="R117" s="405"/>
      <c r="S117" s="2644">
        <v>2600000</v>
      </c>
      <c r="T117" s="2644" t="s">
        <v>0</v>
      </c>
      <c r="U117" s="2644"/>
      <c r="V117" s="2644">
        <v>1</v>
      </c>
      <c r="W117" s="2644" t="s">
        <v>3</v>
      </c>
      <c r="X117" s="2644" t="s">
        <v>1</v>
      </c>
      <c r="Y117" s="1674">
        <f>+Z117/1000</f>
        <v>2600</v>
      </c>
      <c r="Z117" s="656">
        <f>S117*V117</f>
        <v>2600000</v>
      </c>
      <c r="AB117" s="312"/>
      <c r="AC117" s="312"/>
      <c r="AD117" s="301"/>
    </row>
    <row r="118" spans="1:30" s="2558" customFormat="1" ht="21.75" customHeight="1">
      <c r="A118" s="396"/>
      <c r="B118" s="2652"/>
      <c r="C118" s="397"/>
      <c r="D118" s="1131"/>
      <c r="E118" s="1134" t="s">
        <v>84</v>
      </c>
      <c r="F118" s="383">
        <f t="shared" ref="F118" si="41">+Y118</f>
        <v>3000</v>
      </c>
      <c r="G118" s="1116">
        <v>3000</v>
      </c>
      <c r="H118" s="482"/>
      <c r="I118" s="2624"/>
      <c r="J118" s="2643" t="s">
        <v>3799</v>
      </c>
      <c r="K118" s="2624"/>
      <c r="L118" s="2624"/>
      <c r="M118" s="2624"/>
      <c r="N118" s="2624"/>
      <c r="O118" s="2624"/>
      <c r="P118" s="2624"/>
      <c r="Q118" s="2644">
        <v>2</v>
      </c>
      <c r="R118" s="2630" t="s">
        <v>23</v>
      </c>
      <c r="S118" s="2644">
        <v>30000</v>
      </c>
      <c r="T118" s="2644" t="s">
        <v>0</v>
      </c>
      <c r="U118" s="2644"/>
      <c r="V118" s="2644">
        <v>50</v>
      </c>
      <c r="W118" s="2644" t="s">
        <v>3</v>
      </c>
      <c r="X118" s="2644" t="s">
        <v>1</v>
      </c>
      <c r="Y118" s="1674">
        <f>+Z118/1000</f>
        <v>3000</v>
      </c>
      <c r="Z118" s="656">
        <f>Q118*S118*V118</f>
        <v>3000000</v>
      </c>
      <c r="AB118" s="312"/>
      <c r="AC118" s="312"/>
      <c r="AD118" s="301"/>
    </row>
    <row r="119" spans="1:30" s="2558" customFormat="1" ht="21.75" customHeight="1">
      <c r="A119" s="396"/>
      <c r="B119" s="2652"/>
      <c r="C119" s="397"/>
      <c r="D119" s="1131"/>
      <c r="E119" s="1134" t="s">
        <v>75</v>
      </c>
      <c r="F119" s="383">
        <f t="shared" ref="F119:F137" si="42">+Y119</f>
        <v>10200</v>
      </c>
      <c r="G119" s="1116">
        <v>10200</v>
      </c>
      <c r="H119" s="482"/>
      <c r="I119" s="2624"/>
      <c r="J119" s="2643" t="s">
        <v>8</v>
      </c>
      <c r="K119" s="2624"/>
      <c r="L119" s="2624"/>
      <c r="M119" s="2624"/>
      <c r="N119" s="2624"/>
      <c r="O119" s="2624"/>
      <c r="P119" s="2624"/>
      <c r="Q119" s="2624"/>
      <c r="R119" s="2624"/>
      <c r="S119" s="2624"/>
      <c r="T119" s="2624"/>
      <c r="U119" s="2624"/>
      <c r="V119" s="2624"/>
      <c r="W119" s="2624"/>
      <c r="X119" s="2624"/>
      <c r="Y119" s="1674">
        <f t="shared" si="40"/>
        <v>10200</v>
      </c>
      <c r="Z119" s="656">
        <f>SUM(Z120:Z121)</f>
        <v>10200000</v>
      </c>
      <c r="AB119" s="312"/>
      <c r="AC119" s="312"/>
      <c r="AD119" s="301"/>
    </row>
    <row r="120" spans="1:30" s="2558" customFormat="1" ht="21.75" customHeight="1">
      <c r="A120" s="396"/>
      <c r="B120" s="2652"/>
      <c r="C120" s="397"/>
      <c r="D120" s="1131"/>
      <c r="E120" s="1134"/>
      <c r="F120" s="383"/>
      <c r="G120" s="1116"/>
      <c r="H120" s="391"/>
      <c r="I120" s="2624"/>
      <c r="J120" s="2643" t="s">
        <v>3800</v>
      </c>
      <c r="K120" s="2624"/>
      <c r="L120" s="2624"/>
      <c r="M120" s="2624"/>
      <c r="N120" s="2624"/>
      <c r="O120" s="2624"/>
      <c r="P120" s="2624"/>
      <c r="Q120" s="1671"/>
      <c r="R120" s="405"/>
      <c r="S120" s="1672">
        <v>450000</v>
      </c>
      <c r="T120" s="2644" t="s">
        <v>0</v>
      </c>
      <c r="U120" s="2644"/>
      <c r="V120" s="2644">
        <v>12</v>
      </c>
      <c r="W120" s="2644" t="s">
        <v>3371</v>
      </c>
      <c r="X120" s="2644" t="s">
        <v>1</v>
      </c>
      <c r="Y120" s="1674">
        <f t="shared" si="40"/>
        <v>5400</v>
      </c>
      <c r="Z120" s="656">
        <f>S120*V120</f>
        <v>5400000</v>
      </c>
      <c r="AB120" s="312"/>
      <c r="AC120" s="312"/>
      <c r="AD120" s="301"/>
    </row>
    <row r="121" spans="1:30" s="2558" customFormat="1" ht="21.75" customHeight="1">
      <c r="A121" s="396"/>
      <c r="B121" s="2652"/>
      <c r="C121" s="397"/>
      <c r="D121" s="1131"/>
      <c r="E121" s="1134"/>
      <c r="F121" s="383"/>
      <c r="G121" s="1116"/>
      <c r="H121" s="391"/>
      <c r="I121" s="2624"/>
      <c r="J121" s="2643" t="s">
        <v>3801</v>
      </c>
      <c r="K121" s="2624"/>
      <c r="L121" s="2624"/>
      <c r="M121" s="2624"/>
      <c r="N121" s="2624"/>
      <c r="O121" s="2624"/>
      <c r="P121" s="2624"/>
      <c r="Q121" s="1671"/>
      <c r="R121" s="405"/>
      <c r="S121" s="1672">
        <v>400000</v>
      </c>
      <c r="T121" s="2644" t="s">
        <v>0</v>
      </c>
      <c r="U121" s="2644"/>
      <c r="V121" s="2644">
        <v>12</v>
      </c>
      <c r="W121" s="2644" t="s">
        <v>3</v>
      </c>
      <c r="X121" s="2644" t="s">
        <v>1</v>
      </c>
      <c r="Y121" s="1674">
        <f t="shared" si="40"/>
        <v>4800</v>
      </c>
      <c r="Z121" s="656">
        <f>S121*V121</f>
        <v>4800000</v>
      </c>
      <c r="AB121" s="312"/>
      <c r="AC121" s="312"/>
      <c r="AD121" s="301"/>
    </row>
    <row r="122" spans="1:30" s="2558" customFormat="1" ht="21.75" customHeight="1">
      <c r="A122" s="396"/>
      <c r="B122" s="2652"/>
      <c r="C122" s="397"/>
      <c r="D122" s="1131"/>
      <c r="E122" s="1134" t="s">
        <v>3430</v>
      </c>
      <c r="F122" s="383">
        <f>+Y122</f>
        <v>1100</v>
      </c>
      <c r="G122" s="1116">
        <v>1100</v>
      </c>
      <c r="H122" s="391"/>
      <c r="I122" s="2624"/>
      <c r="J122" s="2643" t="s">
        <v>3802</v>
      </c>
      <c r="K122" s="2624"/>
      <c r="L122" s="2624"/>
      <c r="M122" s="2624"/>
      <c r="N122" s="2624"/>
      <c r="O122" s="2624"/>
      <c r="P122" s="2624"/>
      <c r="Q122" s="2624"/>
      <c r="R122" s="405"/>
      <c r="S122" s="1672">
        <v>1100000</v>
      </c>
      <c r="T122" s="2644" t="s">
        <v>0</v>
      </c>
      <c r="U122" s="2644"/>
      <c r="V122" s="2644">
        <v>1</v>
      </c>
      <c r="W122" s="2644" t="s">
        <v>3371</v>
      </c>
      <c r="X122" s="2644" t="s">
        <v>1</v>
      </c>
      <c r="Y122" s="1674">
        <f>+Z122/1000</f>
        <v>1100</v>
      </c>
      <c r="Z122" s="656">
        <f>S122*V122</f>
        <v>1100000</v>
      </c>
      <c r="AB122" s="312"/>
      <c r="AC122" s="312"/>
      <c r="AD122" s="301"/>
    </row>
    <row r="123" spans="1:30" s="2558" customFormat="1" ht="21.75" customHeight="1">
      <c r="A123" s="396"/>
      <c r="B123" s="2652"/>
      <c r="C123" s="397"/>
      <c r="D123" s="1131"/>
      <c r="E123" s="1134" t="s">
        <v>76</v>
      </c>
      <c r="F123" s="383">
        <f>+Y123</f>
        <v>6900</v>
      </c>
      <c r="G123" s="1116">
        <v>6900</v>
      </c>
      <c r="H123" s="482"/>
      <c r="I123" s="2624"/>
      <c r="J123" s="2643" t="s">
        <v>8</v>
      </c>
      <c r="K123" s="2624"/>
      <c r="L123" s="2624"/>
      <c r="M123" s="2624"/>
      <c r="N123" s="2624"/>
      <c r="O123" s="2624"/>
      <c r="P123" s="2624"/>
      <c r="Q123" s="1671"/>
      <c r="R123" s="405"/>
      <c r="S123" s="1672"/>
      <c r="T123" s="2644"/>
      <c r="U123" s="2644"/>
      <c r="V123" s="2644"/>
      <c r="W123" s="2644"/>
      <c r="X123" s="2644"/>
      <c r="Y123" s="1674">
        <f>+Z123/1000</f>
        <v>6900</v>
      </c>
      <c r="Z123" s="656">
        <f>SUM(Z124:Z125)</f>
        <v>6900000</v>
      </c>
      <c r="AB123" s="312"/>
      <c r="AC123" s="312"/>
      <c r="AD123" s="301"/>
    </row>
    <row r="124" spans="1:30" s="2558" customFormat="1" ht="21.75" customHeight="1">
      <c r="A124" s="396"/>
      <c r="B124" s="2652"/>
      <c r="C124" s="397"/>
      <c r="D124" s="1131"/>
      <c r="E124" s="1134"/>
      <c r="F124" s="383"/>
      <c r="G124" s="1116"/>
      <c r="H124" s="391"/>
      <c r="I124" s="2624"/>
      <c r="J124" s="2643" t="s">
        <v>3803</v>
      </c>
      <c r="K124" s="2624"/>
      <c r="L124" s="2624"/>
      <c r="M124" s="2624"/>
      <c r="N124" s="2624"/>
      <c r="O124" s="2624"/>
      <c r="P124" s="2624"/>
      <c r="Q124" s="1671"/>
      <c r="R124" s="405"/>
      <c r="S124" s="1672">
        <v>5000000</v>
      </c>
      <c r="T124" s="2644" t="s">
        <v>0</v>
      </c>
      <c r="U124" s="2644"/>
      <c r="V124" s="2644">
        <v>1</v>
      </c>
      <c r="W124" s="2644" t="s">
        <v>3</v>
      </c>
      <c r="X124" s="2644" t="s">
        <v>1</v>
      </c>
      <c r="Y124" s="1674">
        <f>+Z124/1000</f>
        <v>5000</v>
      </c>
      <c r="Z124" s="656">
        <f>S124*V124</f>
        <v>5000000</v>
      </c>
      <c r="AB124" s="312"/>
      <c r="AC124" s="312"/>
      <c r="AD124" s="301"/>
    </row>
    <row r="125" spans="1:30" s="2558" customFormat="1" ht="21.75" customHeight="1">
      <c r="A125" s="396"/>
      <c r="B125" s="2652"/>
      <c r="C125" s="397"/>
      <c r="D125" s="1131"/>
      <c r="E125" s="1134"/>
      <c r="F125" s="383"/>
      <c r="G125" s="1116"/>
      <c r="H125" s="391"/>
      <c r="I125" s="2624"/>
      <c r="J125" s="2643" t="s">
        <v>3804</v>
      </c>
      <c r="K125" s="2624"/>
      <c r="L125" s="2624"/>
      <c r="M125" s="2624"/>
      <c r="N125" s="2624"/>
      <c r="O125" s="2624"/>
      <c r="P125" s="2624"/>
      <c r="Q125" s="1671"/>
      <c r="R125" s="405"/>
      <c r="S125" s="1672">
        <v>1900000</v>
      </c>
      <c r="T125" s="2644" t="s">
        <v>0</v>
      </c>
      <c r="U125" s="2644"/>
      <c r="V125" s="2644">
        <v>1</v>
      </c>
      <c r="W125" s="2644" t="s">
        <v>3</v>
      </c>
      <c r="X125" s="2644" t="s">
        <v>1</v>
      </c>
      <c r="Y125" s="1674">
        <f>+Z125/1000</f>
        <v>1900</v>
      </c>
      <c r="Z125" s="656">
        <f>S125*V125</f>
        <v>1900000</v>
      </c>
      <c r="AB125" s="312"/>
      <c r="AC125" s="312"/>
      <c r="AD125" s="301"/>
    </row>
    <row r="126" spans="1:30" s="2558" customFormat="1" ht="21.75" customHeight="1">
      <c r="A126" s="396"/>
      <c r="B126" s="2652"/>
      <c r="C126" s="397"/>
      <c r="D126" s="1131"/>
      <c r="E126" s="1134" t="s">
        <v>52</v>
      </c>
      <c r="F126" s="383">
        <f t="shared" si="42"/>
        <v>3000</v>
      </c>
      <c r="G126" s="1116">
        <v>3000</v>
      </c>
      <c r="H126" s="482"/>
      <c r="I126" s="2624"/>
      <c r="J126" s="2643" t="s">
        <v>8</v>
      </c>
      <c r="K126" s="2624"/>
      <c r="L126" s="2624"/>
      <c r="M126" s="2624"/>
      <c r="N126" s="2624"/>
      <c r="O126" s="2624"/>
      <c r="P126" s="2624"/>
      <c r="Q126" s="2624"/>
      <c r="R126" s="405"/>
      <c r="S126" s="1672"/>
      <c r="T126" s="2644"/>
      <c r="U126" s="2644"/>
      <c r="V126" s="2644"/>
      <c r="W126" s="2644"/>
      <c r="X126" s="2644" t="s">
        <v>19</v>
      </c>
      <c r="Y126" s="1674">
        <f t="shared" si="40"/>
        <v>3000</v>
      </c>
      <c r="Z126" s="656">
        <f>SUM(Z127:Z128)</f>
        <v>3000000</v>
      </c>
      <c r="AB126" s="312"/>
      <c r="AC126" s="312"/>
      <c r="AD126" s="301"/>
    </row>
    <row r="127" spans="1:30" s="2553" customFormat="1" ht="21.75" customHeight="1">
      <c r="A127" s="396"/>
      <c r="B127" s="2652"/>
      <c r="C127" s="397"/>
      <c r="D127" s="1131"/>
      <c r="E127" s="1134"/>
      <c r="F127" s="383"/>
      <c r="G127" s="1116"/>
      <c r="H127" s="391"/>
      <c r="I127" s="2624"/>
      <c r="J127" s="2643" t="s">
        <v>3805</v>
      </c>
      <c r="K127" s="2624"/>
      <c r="L127" s="2624"/>
      <c r="M127" s="2624"/>
      <c r="N127" s="2624"/>
      <c r="O127" s="2624"/>
      <c r="P127" s="2624"/>
      <c r="Q127" s="2624"/>
      <c r="R127" s="405"/>
      <c r="S127" s="2644">
        <v>500000</v>
      </c>
      <c r="T127" s="2644" t="s">
        <v>0</v>
      </c>
      <c r="U127" s="2644"/>
      <c r="V127" s="2644">
        <v>5</v>
      </c>
      <c r="W127" s="2644" t="s">
        <v>3</v>
      </c>
      <c r="X127" s="2644" t="s">
        <v>1</v>
      </c>
      <c r="Y127" s="1674">
        <f t="shared" si="40"/>
        <v>2500</v>
      </c>
      <c r="Z127" s="656">
        <f>S127*V127</f>
        <v>2500000</v>
      </c>
      <c r="AB127" s="312"/>
      <c r="AC127" s="312"/>
      <c r="AD127" s="301"/>
    </row>
    <row r="128" spans="1:30" s="2558" customFormat="1" ht="21.75" customHeight="1">
      <c r="A128" s="396"/>
      <c r="B128" s="2652"/>
      <c r="C128" s="2652"/>
      <c r="D128" s="1131"/>
      <c r="E128" s="1134"/>
      <c r="F128" s="383"/>
      <c r="G128" s="1116"/>
      <c r="H128" s="391"/>
      <c r="I128" s="2624"/>
      <c r="J128" s="2643" t="s">
        <v>3806</v>
      </c>
      <c r="K128" s="2624"/>
      <c r="L128" s="2624"/>
      <c r="M128" s="2624"/>
      <c r="N128" s="2624"/>
      <c r="O128" s="2624"/>
      <c r="P128" s="2624"/>
      <c r="Q128" s="2624"/>
      <c r="R128" s="405"/>
      <c r="S128" s="2644">
        <v>500000</v>
      </c>
      <c r="T128" s="2644" t="s">
        <v>0</v>
      </c>
      <c r="U128" s="2644"/>
      <c r="V128" s="2644">
        <v>1</v>
      </c>
      <c r="W128" s="2644" t="s">
        <v>3</v>
      </c>
      <c r="X128" s="2644" t="s">
        <v>1</v>
      </c>
      <c r="Y128" s="1674">
        <f t="shared" si="40"/>
        <v>500</v>
      </c>
      <c r="Z128" s="656">
        <f>S128*V128</f>
        <v>500000</v>
      </c>
      <c r="AB128" s="312"/>
      <c r="AC128" s="312"/>
      <c r="AD128" s="301"/>
    </row>
    <row r="129" spans="1:30" s="2558" customFormat="1" ht="21.75" customHeight="1">
      <c r="A129" s="396"/>
      <c r="B129" s="2652"/>
      <c r="C129" s="397"/>
      <c r="D129" s="1131"/>
      <c r="E129" s="1134" t="s">
        <v>65</v>
      </c>
      <c r="F129" s="383">
        <f t="shared" ref="F129" si="43">+Y129</f>
        <v>197200</v>
      </c>
      <c r="G129" s="1116">
        <v>197200</v>
      </c>
      <c r="H129" s="482"/>
      <c r="I129" s="2624"/>
      <c r="J129" s="2643" t="s">
        <v>8</v>
      </c>
      <c r="K129" s="2624"/>
      <c r="L129" s="2624"/>
      <c r="M129" s="2624"/>
      <c r="N129" s="2624"/>
      <c r="O129" s="2624"/>
      <c r="P129" s="2624"/>
      <c r="Q129" s="2624"/>
      <c r="R129" s="405"/>
      <c r="S129" s="1672"/>
      <c r="T129" s="2644"/>
      <c r="U129" s="2644"/>
      <c r="V129" s="2644"/>
      <c r="W129" s="2644"/>
      <c r="X129" s="2644"/>
      <c r="Y129" s="1674">
        <f>+Z129/1000</f>
        <v>197200</v>
      </c>
      <c r="Z129" s="656">
        <f>SUM(Z130:Z132)</f>
        <v>197200000</v>
      </c>
      <c r="AB129" s="312"/>
      <c r="AC129" s="312"/>
      <c r="AD129" s="301"/>
    </row>
    <row r="130" spans="1:30" s="2558" customFormat="1" ht="21.75" customHeight="1">
      <c r="A130" s="396"/>
      <c r="B130" s="2652"/>
      <c r="C130" s="397"/>
      <c r="D130" s="1131"/>
      <c r="E130" s="1134"/>
      <c r="F130" s="383"/>
      <c r="G130" s="1116"/>
      <c r="H130" s="391"/>
      <c r="I130" s="2624"/>
      <c r="J130" s="2643" t="s">
        <v>3807</v>
      </c>
      <c r="K130" s="2624"/>
      <c r="L130" s="2624"/>
      <c r="M130" s="2624"/>
      <c r="N130" s="2624"/>
      <c r="O130" s="2624"/>
      <c r="P130" s="2624"/>
      <c r="Q130" s="2624"/>
      <c r="R130" s="405"/>
      <c r="S130" s="1672">
        <v>30000000</v>
      </c>
      <c r="T130" s="2644" t="s">
        <v>0</v>
      </c>
      <c r="U130" s="2644"/>
      <c r="V130" s="2644">
        <v>6</v>
      </c>
      <c r="W130" s="2644" t="s">
        <v>3808</v>
      </c>
      <c r="X130" s="2644" t="s">
        <v>1</v>
      </c>
      <c r="Y130" s="1674">
        <f t="shared" ref="Y130:Y132" si="44">+Z130/1000</f>
        <v>180000</v>
      </c>
      <c r="Z130" s="656">
        <f>S130*V130</f>
        <v>180000000</v>
      </c>
      <c r="AB130" s="312"/>
      <c r="AC130" s="312"/>
      <c r="AD130" s="301"/>
    </row>
    <row r="131" spans="1:30" s="2558" customFormat="1" ht="21.75" customHeight="1">
      <c r="A131" s="396"/>
      <c r="B131" s="2652"/>
      <c r="C131" s="397"/>
      <c r="D131" s="1131"/>
      <c r="E131" s="1134"/>
      <c r="F131" s="383"/>
      <c r="G131" s="1116"/>
      <c r="H131" s="391"/>
      <c r="I131" s="2624"/>
      <c r="J131" s="2643" t="s">
        <v>3809</v>
      </c>
      <c r="K131" s="2624"/>
      <c r="L131" s="2624"/>
      <c r="M131" s="2624"/>
      <c r="N131" s="2624"/>
      <c r="O131" s="2624"/>
      <c r="P131" s="2624"/>
      <c r="Q131" s="2624"/>
      <c r="R131" s="405"/>
      <c r="S131" s="1672">
        <v>600000</v>
      </c>
      <c r="T131" s="2644" t="s">
        <v>0</v>
      </c>
      <c r="U131" s="2644"/>
      <c r="V131" s="2644">
        <v>12</v>
      </c>
      <c r="W131" s="2644" t="s">
        <v>2</v>
      </c>
      <c r="X131" s="2644" t="s">
        <v>1</v>
      </c>
      <c r="Y131" s="1674">
        <f t="shared" si="44"/>
        <v>7200</v>
      </c>
      <c r="Z131" s="656">
        <f>S131*V131</f>
        <v>7200000</v>
      </c>
      <c r="AB131" s="312"/>
      <c r="AC131" s="312"/>
      <c r="AD131" s="301"/>
    </row>
    <row r="132" spans="1:30" s="2558" customFormat="1" ht="21.75" customHeight="1">
      <c r="A132" s="396"/>
      <c r="B132" s="2652"/>
      <c r="C132" s="397"/>
      <c r="D132" s="1131"/>
      <c r="E132" s="1134"/>
      <c r="F132" s="383"/>
      <c r="G132" s="1116"/>
      <c r="H132" s="391"/>
      <c r="I132" s="2624"/>
      <c r="J132" s="2643" t="s">
        <v>3810</v>
      </c>
      <c r="K132" s="2624"/>
      <c r="L132" s="2624"/>
      <c r="M132" s="2624"/>
      <c r="N132" s="2624"/>
      <c r="O132" s="2624"/>
      <c r="P132" s="2624"/>
      <c r="Q132" s="2624"/>
      <c r="R132" s="405"/>
      <c r="S132" s="1672">
        <v>10000000</v>
      </c>
      <c r="T132" s="2644" t="s">
        <v>0</v>
      </c>
      <c r="U132" s="2644"/>
      <c r="V132" s="2644">
        <v>1</v>
      </c>
      <c r="W132" s="2644" t="s">
        <v>3371</v>
      </c>
      <c r="X132" s="2644" t="s">
        <v>1</v>
      </c>
      <c r="Y132" s="1674">
        <f t="shared" si="44"/>
        <v>10000</v>
      </c>
      <c r="Z132" s="656">
        <f>S132*V132</f>
        <v>10000000</v>
      </c>
      <c r="AB132" s="312"/>
      <c r="AC132" s="312"/>
      <c r="AD132" s="301"/>
    </row>
    <row r="133" spans="1:30" s="2558" customFormat="1" ht="21.75" customHeight="1">
      <c r="A133" s="396"/>
      <c r="B133" s="2652"/>
      <c r="C133" s="397"/>
      <c r="D133" s="1131"/>
      <c r="E133" s="1134" t="s">
        <v>54</v>
      </c>
      <c r="F133" s="383">
        <f t="shared" si="42"/>
        <v>1100</v>
      </c>
      <c r="G133" s="1116">
        <v>1100</v>
      </c>
      <c r="H133" s="482"/>
      <c r="I133" s="2624"/>
      <c r="J133" s="2643" t="s">
        <v>8</v>
      </c>
      <c r="K133" s="2624"/>
      <c r="L133" s="2624"/>
      <c r="M133" s="2624"/>
      <c r="N133" s="2624"/>
      <c r="O133" s="2624"/>
      <c r="P133" s="2624"/>
      <c r="Q133" s="2624"/>
      <c r="R133" s="405"/>
      <c r="S133" s="1672"/>
      <c r="T133" s="2644"/>
      <c r="U133" s="2644"/>
      <c r="V133" s="2644"/>
      <c r="W133" s="2644"/>
      <c r="X133" s="2644" t="s">
        <v>19</v>
      </c>
      <c r="Y133" s="1674">
        <f t="shared" si="40"/>
        <v>1100</v>
      </c>
      <c r="Z133" s="656">
        <f>SUM(Z134:Z135)</f>
        <v>1100000</v>
      </c>
      <c r="AB133" s="312"/>
      <c r="AC133" s="312"/>
      <c r="AD133" s="301"/>
    </row>
    <row r="134" spans="1:30" s="2558" customFormat="1" ht="21.75" customHeight="1">
      <c r="A134" s="396"/>
      <c r="B134" s="2652"/>
      <c r="C134" s="397"/>
      <c r="D134" s="1131"/>
      <c r="E134" s="1134"/>
      <c r="F134" s="383"/>
      <c r="G134" s="1116"/>
      <c r="H134" s="391"/>
      <c r="I134" s="2624"/>
      <c r="J134" s="2643" t="s">
        <v>3811</v>
      </c>
      <c r="K134" s="2624"/>
      <c r="L134" s="2624"/>
      <c r="M134" s="2624"/>
      <c r="N134" s="2624"/>
      <c r="O134" s="2624"/>
      <c r="P134" s="2624"/>
      <c r="Q134" s="2624"/>
      <c r="R134" s="405"/>
      <c r="S134" s="2644">
        <v>25</v>
      </c>
      <c r="T134" s="2644" t="s">
        <v>0</v>
      </c>
      <c r="U134" s="2644"/>
      <c r="V134" s="2641">
        <v>42400</v>
      </c>
      <c r="W134" s="2644" t="s">
        <v>68</v>
      </c>
      <c r="X134" s="2644" t="s">
        <v>1</v>
      </c>
      <c r="Y134" s="1674">
        <f t="shared" si="40"/>
        <v>1060</v>
      </c>
      <c r="Z134" s="656">
        <f>S134*V134</f>
        <v>1060000</v>
      </c>
      <c r="AB134" s="312"/>
      <c r="AC134" s="312"/>
      <c r="AD134" s="301"/>
    </row>
    <row r="135" spans="1:30" s="2558" customFormat="1" ht="21.75" customHeight="1">
      <c r="A135" s="396"/>
      <c r="B135" s="2652"/>
      <c r="C135" s="397"/>
      <c r="D135" s="1131"/>
      <c r="E135" s="1134"/>
      <c r="F135" s="383"/>
      <c r="G135" s="1116"/>
      <c r="H135" s="391"/>
      <c r="I135" s="2624"/>
      <c r="J135" s="2643" t="s">
        <v>285</v>
      </c>
      <c r="K135" s="2624"/>
      <c r="L135" s="2624"/>
      <c r="M135" s="2624"/>
      <c r="N135" s="2624"/>
      <c r="O135" s="2624"/>
      <c r="P135" s="2624"/>
      <c r="Q135" s="1671"/>
      <c r="R135" s="405"/>
      <c r="S135" s="1672">
        <v>4000</v>
      </c>
      <c r="T135" s="2644" t="s">
        <v>0</v>
      </c>
      <c r="U135" s="2644"/>
      <c r="V135" s="2644">
        <v>10</v>
      </c>
      <c r="W135" s="2644" t="s">
        <v>3</v>
      </c>
      <c r="X135" s="2644" t="s">
        <v>1</v>
      </c>
      <c r="Y135" s="1674">
        <f t="shared" si="40"/>
        <v>40</v>
      </c>
      <c r="Z135" s="656">
        <f>S135*V135</f>
        <v>40000</v>
      </c>
      <c r="AB135" s="312"/>
      <c r="AC135" s="312"/>
      <c r="AD135" s="301"/>
    </row>
    <row r="136" spans="1:30" s="2558" customFormat="1" ht="21.75" customHeight="1">
      <c r="A136" s="396"/>
      <c r="B136" s="2652"/>
      <c r="C136" s="397"/>
      <c r="D136" s="1131"/>
      <c r="E136" s="1134" t="s">
        <v>56</v>
      </c>
      <c r="F136" s="383">
        <f t="shared" si="42"/>
        <v>3600</v>
      </c>
      <c r="G136" s="1116">
        <v>3600</v>
      </c>
      <c r="H136" s="482"/>
      <c r="I136" s="2624"/>
      <c r="J136" s="2643" t="s">
        <v>3812</v>
      </c>
      <c r="K136" s="2624"/>
      <c r="L136" s="2624"/>
      <c r="M136" s="2624"/>
      <c r="N136" s="2624"/>
      <c r="O136" s="2624"/>
      <c r="P136" s="2624"/>
      <c r="Q136" s="2624"/>
      <c r="R136" s="405"/>
      <c r="S136" s="1672">
        <v>300000</v>
      </c>
      <c r="T136" s="2644" t="s">
        <v>0</v>
      </c>
      <c r="U136" s="2644"/>
      <c r="V136" s="2644">
        <v>12</v>
      </c>
      <c r="W136" s="2644" t="s">
        <v>3505</v>
      </c>
      <c r="X136" s="2644" t="s">
        <v>1</v>
      </c>
      <c r="Y136" s="1674">
        <f t="shared" si="40"/>
        <v>3600</v>
      </c>
      <c r="Z136" s="656">
        <f>S136*V136</f>
        <v>3600000</v>
      </c>
      <c r="AB136" s="312"/>
      <c r="AC136" s="312"/>
      <c r="AD136" s="301"/>
    </row>
    <row r="137" spans="1:30" s="165" customFormat="1" ht="21.75" customHeight="1">
      <c r="A137" s="396"/>
      <c r="B137" s="2652"/>
      <c r="C137" s="1110"/>
      <c r="D137" s="1131"/>
      <c r="E137" s="1134" t="s">
        <v>55</v>
      </c>
      <c r="F137" s="383">
        <f t="shared" si="42"/>
        <v>1500</v>
      </c>
      <c r="G137" s="1116">
        <v>1500</v>
      </c>
      <c r="H137" s="482"/>
      <c r="I137" s="2624"/>
      <c r="J137" s="2643" t="s">
        <v>3813</v>
      </c>
      <c r="K137" s="2624"/>
      <c r="L137" s="2624"/>
      <c r="M137" s="2624"/>
      <c r="N137" s="2624"/>
      <c r="O137" s="2624"/>
      <c r="P137" s="2624"/>
      <c r="Q137" s="1671">
        <v>5</v>
      </c>
      <c r="R137" s="405" t="s">
        <v>23</v>
      </c>
      <c r="S137" s="1672">
        <v>20000</v>
      </c>
      <c r="T137" s="2644" t="s">
        <v>0</v>
      </c>
      <c r="U137" s="2644"/>
      <c r="V137" s="2644">
        <v>15</v>
      </c>
      <c r="W137" s="2644" t="s">
        <v>3</v>
      </c>
      <c r="X137" s="2644" t="s">
        <v>1</v>
      </c>
      <c r="Y137" s="1674">
        <f>(Z137)/1000</f>
        <v>1500</v>
      </c>
      <c r="Z137" s="656">
        <f>Q137*S137*V137</f>
        <v>1500000</v>
      </c>
      <c r="AB137" s="312"/>
      <c r="AC137" s="312"/>
      <c r="AD137" s="301"/>
    </row>
    <row r="138" spans="1:30" s="165" customFormat="1" ht="21.75" customHeight="1">
      <c r="A138" s="1082"/>
      <c r="B138" s="2652"/>
      <c r="C138" s="397"/>
      <c r="D138" s="3332" t="s">
        <v>4804</v>
      </c>
      <c r="E138" s="3313"/>
      <c r="F138" s="382">
        <f>SUM(F139:F154)</f>
        <v>210000</v>
      </c>
      <c r="G138" s="382">
        <f>SUM(G139:G154)</f>
        <v>210000</v>
      </c>
      <c r="H138" s="388">
        <f>F138-G138</f>
        <v>0</v>
      </c>
      <c r="I138" s="2624"/>
      <c r="J138" s="394"/>
      <c r="K138" s="2598"/>
      <c r="L138" s="2598"/>
      <c r="M138" s="2598"/>
      <c r="N138" s="2598"/>
      <c r="O138" s="2598"/>
      <c r="P138" s="2598"/>
      <c r="Q138" s="2598"/>
      <c r="R138" s="395"/>
      <c r="S138" s="2598"/>
      <c r="T138" s="2598"/>
      <c r="U138" s="2598"/>
      <c r="V138" s="2598"/>
      <c r="W138" s="2598"/>
      <c r="X138" s="2598"/>
      <c r="Y138" s="1184"/>
      <c r="Z138" s="440"/>
      <c r="AB138" s="312"/>
      <c r="AC138" s="312"/>
      <c r="AD138" s="301"/>
    </row>
    <row r="139" spans="1:30" s="165" customFormat="1" ht="21.75" customHeight="1">
      <c r="A139" s="1082"/>
      <c r="B139" s="2652"/>
      <c r="C139" s="397"/>
      <c r="D139" s="367"/>
      <c r="E139" s="350" t="s">
        <v>3519</v>
      </c>
      <c r="F139" s="383">
        <f>Y139</f>
        <v>32500</v>
      </c>
      <c r="G139" s="1116">
        <v>32500</v>
      </c>
      <c r="H139" s="482"/>
      <c r="I139" s="2624"/>
      <c r="J139" s="2627" t="s">
        <v>3568</v>
      </c>
      <c r="K139" s="2628"/>
      <c r="L139" s="2628"/>
      <c r="M139" s="2628"/>
      <c r="N139" s="2628"/>
      <c r="O139" s="2628"/>
      <c r="P139" s="2628"/>
      <c r="Q139" s="1672"/>
      <c r="R139" s="1672"/>
      <c r="S139" s="1672"/>
      <c r="T139" s="1672"/>
      <c r="U139" s="1672"/>
      <c r="V139" s="1672"/>
      <c r="W139" s="1672"/>
      <c r="X139" s="1323"/>
      <c r="Y139" s="1674">
        <f>+Y140+Y141</f>
        <v>32500</v>
      </c>
      <c r="Z139" s="656"/>
      <c r="AB139" s="312"/>
      <c r="AC139" s="312"/>
      <c r="AD139" s="301"/>
    </row>
    <row r="140" spans="1:30" s="165" customFormat="1" ht="21.75" customHeight="1">
      <c r="A140" s="1082"/>
      <c r="B140" s="2652"/>
      <c r="C140" s="397"/>
      <c r="D140" s="1131"/>
      <c r="E140" s="1126"/>
      <c r="F140" s="383"/>
      <c r="G140" s="1116"/>
      <c r="H140" s="482"/>
      <c r="I140" s="2624"/>
      <c r="J140" s="2627" t="s">
        <v>3814</v>
      </c>
      <c r="K140" s="2628"/>
      <c r="L140" s="2628"/>
      <c r="M140" s="2628"/>
      <c r="N140" s="2628"/>
      <c r="O140" s="2628"/>
      <c r="P140" s="2628"/>
      <c r="Q140" s="1672"/>
      <c r="R140" s="1672"/>
      <c r="S140" s="1672">
        <v>2500000</v>
      </c>
      <c r="T140" s="1672" t="s">
        <v>3538</v>
      </c>
      <c r="U140" s="1672"/>
      <c r="V140" s="1672">
        <v>12</v>
      </c>
      <c r="W140" s="1672" t="s">
        <v>3547</v>
      </c>
      <c r="X140" s="1323" t="s">
        <v>3499</v>
      </c>
      <c r="Y140" s="1674">
        <f>S140*V140/1000</f>
        <v>30000</v>
      </c>
      <c r="Z140" s="656"/>
      <c r="AB140" s="312"/>
      <c r="AC140" s="312"/>
      <c r="AD140" s="301"/>
    </row>
    <row r="141" spans="1:30" s="165" customFormat="1" ht="21.75" customHeight="1">
      <c r="A141" s="1082"/>
      <c r="B141" s="2652"/>
      <c r="C141" s="397"/>
      <c r="D141" s="1131"/>
      <c r="E141" s="1126"/>
      <c r="F141" s="383"/>
      <c r="G141" s="1116"/>
      <c r="H141" s="482"/>
      <c r="I141" s="2624"/>
      <c r="J141" s="2627" t="s">
        <v>3815</v>
      </c>
      <c r="K141" s="2628"/>
      <c r="L141" s="2628"/>
      <c r="M141" s="2628"/>
      <c r="N141" s="2628"/>
      <c r="O141" s="2628"/>
      <c r="P141" s="2628"/>
      <c r="Q141" s="1672"/>
      <c r="R141" s="1672"/>
      <c r="S141" s="1672">
        <v>2500000</v>
      </c>
      <c r="T141" s="1672" t="s">
        <v>3538</v>
      </c>
      <c r="U141" s="1672"/>
      <c r="V141" s="1672">
        <v>1</v>
      </c>
      <c r="W141" s="1672" t="s">
        <v>3505</v>
      </c>
      <c r="X141" s="1323" t="s">
        <v>3499</v>
      </c>
      <c r="Y141" s="1674">
        <f>S141*V141/1000</f>
        <v>2500</v>
      </c>
      <c r="Z141" s="656"/>
      <c r="AB141" s="312"/>
      <c r="AC141" s="312"/>
      <c r="AD141" s="301"/>
    </row>
    <row r="142" spans="1:30" s="165" customFormat="1" ht="21.75" customHeight="1">
      <c r="A142" s="1082"/>
      <c r="B142" s="2652"/>
      <c r="C142" s="397"/>
      <c r="D142" s="1131"/>
      <c r="E142" s="1126" t="s">
        <v>3525</v>
      </c>
      <c r="F142" s="383">
        <f>Y142</f>
        <v>7000</v>
      </c>
      <c r="G142" s="1116">
        <v>7000</v>
      </c>
      <c r="H142" s="482"/>
      <c r="I142" s="2624"/>
      <c r="J142" s="2627" t="s">
        <v>3816</v>
      </c>
      <c r="K142" s="2628"/>
      <c r="L142" s="2628"/>
      <c r="M142" s="2628"/>
      <c r="N142" s="2628"/>
      <c r="O142" s="2628"/>
      <c r="P142" s="2628"/>
      <c r="Q142" s="1672"/>
      <c r="R142" s="1672"/>
      <c r="S142" s="1672">
        <v>1000000</v>
      </c>
      <c r="T142" s="1672" t="s">
        <v>3538</v>
      </c>
      <c r="U142" s="1672"/>
      <c r="V142" s="1672">
        <v>7</v>
      </c>
      <c r="W142" s="1672" t="s">
        <v>3505</v>
      </c>
      <c r="X142" s="1323" t="s">
        <v>3499</v>
      </c>
      <c r="Y142" s="1674">
        <f>S142*V142/1000</f>
        <v>7000</v>
      </c>
      <c r="Z142" s="656"/>
      <c r="AB142" s="312"/>
      <c r="AC142" s="312"/>
      <c r="AD142" s="301"/>
    </row>
    <row r="143" spans="1:30" s="165" customFormat="1" ht="21.75" customHeight="1">
      <c r="A143" s="1082"/>
      <c r="B143" s="2652"/>
      <c r="C143" s="397"/>
      <c r="D143" s="1131"/>
      <c r="E143" s="542" t="s">
        <v>3817</v>
      </c>
      <c r="F143" s="383">
        <f t="shared" ref="F143:F148" si="45">Y143</f>
        <v>48000</v>
      </c>
      <c r="G143" s="1116">
        <v>48000</v>
      </c>
      <c r="H143" s="482"/>
      <c r="I143" s="2624"/>
      <c r="J143" s="2627" t="s">
        <v>3818</v>
      </c>
      <c r="K143" s="2628"/>
      <c r="L143" s="2628"/>
      <c r="M143" s="2628"/>
      <c r="N143" s="2628"/>
      <c r="O143" s="2628"/>
      <c r="P143" s="2628"/>
      <c r="Q143" s="1672"/>
      <c r="R143" s="1672"/>
      <c r="S143" s="1672">
        <v>16000000</v>
      </c>
      <c r="T143" s="1672" t="s">
        <v>3538</v>
      </c>
      <c r="U143" s="1672"/>
      <c r="V143" s="1672">
        <v>3</v>
      </c>
      <c r="W143" s="1672" t="s">
        <v>3505</v>
      </c>
      <c r="X143" s="1323" t="s">
        <v>3499</v>
      </c>
      <c r="Y143" s="1674">
        <f>S143*V143/1000</f>
        <v>48000</v>
      </c>
      <c r="Z143" s="656"/>
      <c r="AB143" s="312"/>
      <c r="AC143" s="312"/>
      <c r="AD143" s="301"/>
    </row>
    <row r="144" spans="1:30" s="165" customFormat="1" ht="21.75" customHeight="1">
      <c r="A144" s="1082"/>
      <c r="B144" s="2652"/>
      <c r="C144" s="397"/>
      <c r="D144" s="1131"/>
      <c r="E144" s="1126" t="s">
        <v>3551</v>
      </c>
      <c r="F144" s="383">
        <f t="shared" si="45"/>
        <v>1000</v>
      </c>
      <c r="G144" s="1116">
        <v>1000</v>
      </c>
      <c r="H144" s="482"/>
      <c r="I144" s="2624"/>
      <c r="J144" s="2345" t="s">
        <v>3819</v>
      </c>
      <c r="K144" s="1672"/>
      <c r="L144" s="1672"/>
      <c r="M144" s="1672"/>
      <c r="N144" s="1672"/>
      <c r="O144" s="1672"/>
      <c r="P144" s="1672"/>
      <c r="Q144" s="1672"/>
      <c r="R144" s="1672"/>
      <c r="S144" s="1672">
        <v>1000000</v>
      </c>
      <c r="T144" s="1672" t="s">
        <v>3538</v>
      </c>
      <c r="U144" s="1672"/>
      <c r="V144" s="1672">
        <v>1</v>
      </c>
      <c r="W144" s="1672" t="s">
        <v>3820</v>
      </c>
      <c r="X144" s="1323" t="s">
        <v>3499</v>
      </c>
      <c r="Y144" s="1674">
        <f t="shared" ref="Y144" si="46">S144*V144/1000</f>
        <v>1000</v>
      </c>
      <c r="Z144" s="656"/>
      <c r="AB144" s="312"/>
      <c r="AC144" s="312"/>
      <c r="AD144" s="301"/>
    </row>
    <row r="145" spans="1:30" s="165" customFormat="1" ht="21.75" customHeight="1">
      <c r="A145" s="1082"/>
      <c r="B145" s="2652"/>
      <c r="C145" s="397"/>
      <c r="D145" s="1131"/>
      <c r="E145" s="1126" t="s">
        <v>3544</v>
      </c>
      <c r="F145" s="383">
        <f t="shared" si="45"/>
        <v>2700</v>
      </c>
      <c r="G145" s="1116">
        <v>2700</v>
      </c>
      <c r="H145" s="482"/>
      <c r="I145" s="2624"/>
      <c r="J145" s="2627" t="s">
        <v>3821</v>
      </c>
      <c r="K145" s="2628"/>
      <c r="L145" s="2628"/>
      <c r="M145" s="2628"/>
      <c r="N145" s="2628"/>
      <c r="O145" s="2628"/>
      <c r="P145" s="2628"/>
      <c r="Q145" s="1672">
        <v>3</v>
      </c>
      <c r="R145" s="1672" t="s">
        <v>3822</v>
      </c>
      <c r="S145" s="1672">
        <v>30000</v>
      </c>
      <c r="T145" s="1672" t="s">
        <v>3538</v>
      </c>
      <c r="U145" s="1672"/>
      <c r="V145" s="1672">
        <v>30</v>
      </c>
      <c r="W145" s="1672" t="s">
        <v>3505</v>
      </c>
      <c r="X145" s="1323" t="s">
        <v>3499</v>
      </c>
      <c r="Y145" s="1674">
        <f>Q145*S145*V145/1000</f>
        <v>2700</v>
      </c>
      <c r="Z145" s="656"/>
      <c r="AB145" s="312"/>
      <c r="AC145" s="312"/>
      <c r="AD145" s="301"/>
    </row>
    <row r="146" spans="1:30" s="165" customFormat="1" ht="21.75" customHeight="1">
      <c r="A146" s="1082"/>
      <c r="B146" s="2652"/>
      <c r="C146" s="397"/>
      <c r="D146" s="1131"/>
      <c r="E146" s="542" t="s">
        <v>3823</v>
      </c>
      <c r="F146" s="383">
        <f t="shared" si="45"/>
        <v>500</v>
      </c>
      <c r="G146" s="1116">
        <v>500</v>
      </c>
      <c r="H146" s="482"/>
      <c r="I146" s="2624"/>
      <c r="J146" s="2627" t="s">
        <v>3824</v>
      </c>
      <c r="K146" s="2628"/>
      <c r="L146" s="2628"/>
      <c r="M146" s="2628"/>
      <c r="N146" s="2628"/>
      <c r="O146" s="2628"/>
      <c r="P146" s="2628"/>
      <c r="Q146" s="1672"/>
      <c r="R146" s="1672"/>
      <c r="S146" s="1672">
        <v>250000</v>
      </c>
      <c r="T146" s="1672" t="s">
        <v>3538</v>
      </c>
      <c r="U146" s="1672"/>
      <c r="V146" s="1672">
        <v>2</v>
      </c>
      <c r="W146" s="1672" t="s">
        <v>3560</v>
      </c>
      <c r="X146" s="1323" t="s">
        <v>3499</v>
      </c>
      <c r="Y146" s="1674">
        <f>S146*V146/1000</f>
        <v>500</v>
      </c>
      <c r="Z146" s="656"/>
      <c r="AB146" s="312"/>
      <c r="AC146" s="312"/>
      <c r="AD146" s="301"/>
    </row>
    <row r="147" spans="1:30" s="165" customFormat="1" ht="21.75" customHeight="1">
      <c r="A147" s="1082"/>
      <c r="B147" s="2652"/>
      <c r="C147" s="397"/>
      <c r="D147" s="1131"/>
      <c r="E147" s="1126" t="s">
        <v>3554</v>
      </c>
      <c r="F147" s="383">
        <f t="shared" si="45"/>
        <v>36000</v>
      </c>
      <c r="G147" s="1116">
        <v>36000</v>
      </c>
      <c r="H147" s="482"/>
      <c r="I147" s="2624"/>
      <c r="J147" s="2345" t="s">
        <v>3825</v>
      </c>
      <c r="K147" s="1672"/>
      <c r="L147" s="1672"/>
      <c r="M147" s="1672"/>
      <c r="N147" s="1672"/>
      <c r="O147" s="1672"/>
      <c r="P147" s="1672"/>
      <c r="Q147" s="1672"/>
      <c r="R147" s="1672"/>
      <c r="S147" s="1672">
        <v>12000000</v>
      </c>
      <c r="T147" s="1672" t="s">
        <v>3538</v>
      </c>
      <c r="U147" s="1672"/>
      <c r="V147" s="1672">
        <v>3</v>
      </c>
      <c r="W147" s="1672" t="s">
        <v>3820</v>
      </c>
      <c r="X147" s="1323" t="s">
        <v>3499</v>
      </c>
      <c r="Y147" s="1674">
        <f t="shared" ref="Y147" si="47">S147*V147/1000</f>
        <v>36000</v>
      </c>
      <c r="Z147" s="656"/>
      <c r="AB147" s="312"/>
      <c r="AC147" s="312"/>
      <c r="AD147" s="301"/>
    </row>
    <row r="148" spans="1:30" s="165" customFormat="1" ht="21.75" customHeight="1">
      <c r="A148" s="1082"/>
      <c r="B148" s="2652"/>
      <c r="C148" s="397"/>
      <c r="D148" s="1131"/>
      <c r="E148" s="1126" t="s">
        <v>3541</v>
      </c>
      <c r="F148" s="383">
        <f t="shared" si="45"/>
        <v>77000</v>
      </c>
      <c r="G148" s="1116">
        <v>77000</v>
      </c>
      <c r="H148" s="482"/>
      <c r="I148" s="2624"/>
      <c r="J148" s="2627" t="s">
        <v>3568</v>
      </c>
      <c r="K148" s="2628"/>
      <c r="L148" s="2628"/>
      <c r="M148" s="2628"/>
      <c r="N148" s="2628"/>
      <c r="O148" s="2628"/>
      <c r="P148" s="2628"/>
      <c r="Q148" s="1672"/>
      <c r="R148" s="1672"/>
      <c r="S148" s="1672"/>
      <c r="T148" s="1672"/>
      <c r="U148" s="1672"/>
      <c r="V148" s="1672"/>
      <c r="W148" s="1672"/>
      <c r="X148" s="1323"/>
      <c r="Y148" s="1674">
        <f>+Y149+Y150+Y151</f>
        <v>77000</v>
      </c>
      <c r="Z148" s="656"/>
      <c r="AB148" s="312"/>
      <c r="AC148" s="312"/>
      <c r="AD148" s="301"/>
    </row>
    <row r="149" spans="1:30" s="165" customFormat="1" ht="21.75" customHeight="1">
      <c r="A149" s="1082"/>
      <c r="B149" s="2652"/>
      <c r="C149" s="397"/>
      <c r="D149" s="1131"/>
      <c r="E149" s="2567"/>
      <c r="F149" s="383"/>
      <c r="G149" s="1116"/>
      <c r="H149" s="482"/>
      <c r="I149" s="2624"/>
      <c r="J149" s="2627" t="s">
        <v>3826</v>
      </c>
      <c r="K149" s="2628"/>
      <c r="L149" s="2628"/>
      <c r="M149" s="2628"/>
      <c r="N149" s="2628"/>
      <c r="O149" s="2628"/>
      <c r="P149" s="2628"/>
      <c r="Q149" s="1672"/>
      <c r="R149" s="1672"/>
      <c r="S149" s="1672">
        <v>20000000</v>
      </c>
      <c r="T149" s="1672" t="s">
        <v>3376</v>
      </c>
      <c r="U149" s="1672"/>
      <c r="V149" s="1672">
        <v>1</v>
      </c>
      <c r="W149" s="1672" t="s">
        <v>3377</v>
      </c>
      <c r="X149" s="1323" t="s">
        <v>3378</v>
      </c>
      <c r="Y149" s="1674">
        <f t="shared" ref="Y149:Y151" si="48">S149*V149/1000</f>
        <v>20000</v>
      </c>
      <c r="Z149" s="656"/>
      <c r="AB149" s="312"/>
      <c r="AC149" s="312"/>
      <c r="AD149" s="301"/>
    </row>
    <row r="150" spans="1:30" s="165" customFormat="1" ht="21.75" customHeight="1">
      <c r="A150" s="1082"/>
      <c r="B150" s="2652"/>
      <c r="C150" s="397"/>
      <c r="D150" s="1131"/>
      <c r="E150" s="1126"/>
      <c r="F150" s="383"/>
      <c r="G150" s="1116"/>
      <c r="H150" s="482"/>
      <c r="I150" s="2624"/>
      <c r="J150" s="2627" t="s">
        <v>3827</v>
      </c>
      <c r="K150" s="2628"/>
      <c r="L150" s="2628"/>
      <c r="M150" s="2628"/>
      <c r="N150" s="2628"/>
      <c r="O150" s="2628"/>
      <c r="P150" s="2628"/>
      <c r="Q150" s="1672"/>
      <c r="R150" s="1672"/>
      <c r="S150" s="1672">
        <v>10000000</v>
      </c>
      <c r="T150" s="1672" t="s">
        <v>3376</v>
      </c>
      <c r="U150" s="1672"/>
      <c r="V150" s="1672">
        <v>3</v>
      </c>
      <c r="W150" s="1672" t="s">
        <v>3377</v>
      </c>
      <c r="X150" s="1323" t="s">
        <v>3378</v>
      </c>
      <c r="Y150" s="1674">
        <f t="shared" si="48"/>
        <v>30000</v>
      </c>
      <c r="Z150" s="656"/>
      <c r="AB150" s="312"/>
      <c r="AC150" s="312"/>
      <c r="AD150" s="301"/>
    </row>
    <row r="151" spans="1:30" s="165" customFormat="1" ht="21.75" customHeight="1">
      <c r="A151" s="1082"/>
      <c r="B151" s="2652"/>
      <c r="C151" s="397"/>
      <c r="D151" s="1131"/>
      <c r="E151" s="1126"/>
      <c r="F151" s="383"/>
      <c r="G151" s="1116"/>
      <c r="H151" s="482"/>
      <c r="I151" s="2624"/>
      <c r="J151" s="2627" t="s">
        <v>3828</v>
      </c>
      <c r="K151" s="2628"/>
      <c r="L151" s="2628"/>
      <c r="M151" s="2628"/>
      <c r="N151" s="2628"/>
      <c r="O151" s="2628"/>
      <c r="P151" s="2628"/>
      <c r="Q151" s="1672"/>
      <c r="R151" s="1672"/>
      <c r="S151" s="1672">
        <v>9000000</v>
      </c>
      <c r="T151" s="1672" t="s">
        <v>3376</v>
      </c>
      <c r="U151" s="1672"/>
      <c r="V151" s="1672">
        <v>3</v>
      </c>
      <c r="W151" s="1672" t="s">
        <v>3377</v>
      </c>
      <c r="X151" s="1323" t="s">
        <v>3378</v>
      </c>
      <c r="Y151" s="1674">
        <f t="shared" si="48"/>
        <v>27000</v>
      </c>
      <c r="Z151" s="656"/>
      <c r="AB151" s="312"/>
      <c r="AC151" s="312"/>
      <c r="AD151" s="301"/>
    </row>
    <row r="152" spans="1:30" s="165" customFormat="1" ht="21.75" customHeight="1">
      <c r="A152" s="1082"/>
      <c r="B152" s="2652"/>
      <c r="C152" s="397"/>
      <c r="D152" s="1131"/>
      <c r="E152" s="1126" t="s">
        <v>3763</v>
      </c>
      <c r="F152" s="383">
        <f t="shared" ref="F152:F154" si="49">Y152</f>
        <v>1200</v>
      </c>
      <c r="G152" s="1116">
        <v>1200</v>
      </c>
      <c r="H152" s="482"/>
      <c r="I152" s="2624"/>
      <c r="J152" s="2627" t="s">
        <v>3829</v>
      </c>
      <c r="K152" s="2628"/>
      <c r="L152" s="2628"/>
      <c r="M152" s="2628"/>
      <c r="N152" s="2628"/>
      <c r="O152" s="2628"/>
      <c r="P152" s="2628"/>
      <c r="Q152" s="1672"/>
      <c r="R152" s="1672"/>
      <c r="S152" s="1672">
        <v>400000</v>
      </c>
      <c r="T152" s="1672" t="s">
        <v>3376</v>
      </c>
      <c r="U152" s="1672"/>
      <c r="V152" s="1672">
        <v>3</v>
      </c>
      <c r="W152" s="1672" t="s">
        <v>3786</v>
      </c>
      <c r="X152" s="1323" t="s">
        <v>3378</v>
      </c>
      <c r="Y152" s="1674">
        <f>S152*V152/1000</f>
        <v>1200</v>
      </c>
      <c r="Z152" s="656"/>
      <c r="AB152" s="312"/>
      <c r="AC152" s="312"/>
      <c r="AD152" s="301"/>
    </row>
    <row r="153" spans="1:30" s="165" customFormat="1" ht="21.75" customHeight="1">
      <c r="A153" s="1082"/>
      <c r="B153" s="2652"/>
      <c r="C153" s="397"/>
      <c r="D153" s="1131"/>
      <c r="E153" s="1126" t="s">
        <v>3780</v>
      </c>
      <c r="F153" s="383">
        <f t="shared" si="49"/>
        <v>1100</v>
      </c>
      <c r="G153" s="1116">
        <v>1100</v>
      </c>
      <c r="H153" s="482"/>
      <c r="I153" s="2624"/>
      <c r="J153" s="2627" t="s">
        <v>3830</v>
      </c>
      <c r="K153" s="2628"/>
      <c r="L153" s="2628"/>
      <c r="M153" s="2628"/>
      <c r="N153" s="2628"/>
      <c r="O153" s="2628"/>
      <c r="P153" s="2628"/>
      <c r="Q153" s="1672"/>
      <c r="R153" s="1672"/>
      <c r="S153" s="1672">
        <v>100000</v>
      </c>
      <c r="T153" s="1672" t="s">
        <v>3376</v>
      </c>
      <c r="U153" s="1672"/>
      <c r="V153" s="1672">
        <v>11</v>
      </c>
      <c r="W153" s="1672" t="s">
        <v>3377</v>
      </c>
      <c r="X153" s="1323" t="s">
        <v>3378</v>
      </c>
      <c r="Y153" s="1674">
        <f>S153*V153/1000</f>
        <v>1100</v>
      </c>
      <c r="Z153" s="656"/>
      <c r="AB153" s="312"/>
      <c r="AC153" s="312"/>
      <c r="AD153" s="301"/>
    </row>
    <row r="154" spans="1:30" s="165" customFormat="1" ht="21.75" customHeight="1">
      <c r="A154" s="1082"/>
      <c r="B154" s="2652"/>
      <c r="C154" s="397"/>
      <c r="D154" s="453"/>
      <c r="E154" s="1126" t="s">
        <v>3792</v>
      </c>
      <c r="F154" s="383">
        <f t="shared" si="49"/>
        <v>3000</v>
      </c>
      <c r="G154" s="1116">
        <v>3000</v>
      </c>
      <c r="H154" s="482"/>
      <c r="I154" s="2624"/>
      <c r="J154" s="2627" t="s">
        <v>3793</v>
      </c>
      <c r="K154" s="2628"/>
      <c r="L154" s="2628"/>
      <c r="M154" s="2628"/>
      <c r="N154" s="2628"/>
      <c r="O154" s="2628"/>
      <c r="P154" s="2628"/>
      <c r="Q154" s="1672">
        <v>5</v>
      </c>
      <c r="R154" s="1672" t="s">
        <v>3785</v>
      </c>
      <c r="S154" s="1672">
        <v>20000</v>
      </c>
      <c r="T154" s="1672" t="s">
        <v>3376</v>
      </c>
      <c r="U154" s="1672"/>
      <c r="V154" s="1672">
        <v>30</v>
      </c>
      <c r="W154" s="1672" t="s">
        <v>3377</v>
      </c>
      <c r="X154" s="1323" t="s">
        <v>3378</v>
      </c>
      <c r="Y154" s="1674">
        <f>Q154*S154*V154/1000</f>
        <v>3000</v>
      </c>
      <c r="Z154" s="656"/>
      <c r="AB154" s="312"/>
      <c r="AC154" s="312"/>
      <c r="AD154" s="301"/>
    </row>
    <row r="155" spans="1:30" s="165" customFormat="1" ht="21.75" customHeight="1">
      <c r="A155" s="1290"/>
      <c r="B155" s="1189"/>
      <c r="C155" s="3327" t="s">
        <v>3831</v>
      </c>
      <c r="D155" s="3331"/>
      <c r="E155" s="3328"/>
      <c r="F155" s="382">
        <f>+F156+F161+F176</f>
        <v>1198000</v>
      </c>
      <c r="G155" s="382">
        <f>+G156+G161+G176</f>
        <v>1198000</v>
      </c>
      <c r="H155" s="386">
        <f>F155-G155</f>
        <v>0</v>
      </c>
      <c r="I155" s="1251"/>
      <c r="J155" s="1292"/>
      <c r="K155" s="1293"/>
      <c r="L155" s="1293"/>
      <c r="M155" s="1293"/>
      <c r="N155" s="1293"/>
      <c r="O155" s="1294"/>
      <c r="P155" s="1294"/>
      <c r="Q155" s="1293"/>
      <c r="R155" s="1293"/>
      <c r="S155" s="1293"/>
      <c r="T155" s="1293"/>
      <c r="U155" s="1293"/>
      <c r="V155" s="1293"/>
      <c r="W155" s="1293"/>
      <c r="X155" s="1295"/>
      <c r="Y155" s="1296"/>
      <c r="Z155" s="407"/>
      <c r="AB155" s="312">
        <f t="shared" ref="AB155:AC156" si="50">F155*1000000000</f>
        <v>1198000000000000</v>
      </c>
      <c r="AC155" s="312">
        <f t="shared" si="50"/>
        <v>1198000000000000</v>
      </c>
      <c r="AD155" s="301">
        <f t="shared" ref="AD155:AD156" si="51">AC155-AB155</f>
        <v>0</v>
      </c>
    </row>
    <row r="156" spans="1:30" s="165" customFormat="1" ht="21.75" customHeight="1">
      <c r="A156" s="1290"/>
      <c r="B156" s="1189"/>
      <c r="C156" s="1291"/>
      <c r="D156" s="3336" t="s">
        <v>3832</v>
      </c>
      <c r="E156" s="3337"/>
      <c r="F156" s="1263">
        <f>SUM(F157:F160)</f>
        <v>898000</v>
      </c>
      <c r="G156" s="1263">
        <f>SUM(G157:G160)</f>
        <v>898000</v>
      </c>
      <c r="H156" s="713">
        <f>+F156-G156</f>
        <v>0</v>
      </c>
      <c r="I156" s="1195"/>
      <c r="J156" s="2973"/>
      <c r="K156" s="2974"/>
      <c r="L156" s="2974"/>
      <c r="M156" s="2974"/>
      <c r="N156" s="2974"/>
      <c r="O156" s="2975"/>
      <c r="P156" s="2975"/>
      <c r="Q156" s="2974"/>
      <c r="R156" s="2974"/>
      <c r="S156" s="2974"/>
      <c r="T156" s="2974"/>
      <c r="U156" s="2974"/>
      <c r="V156" s="2974"/>
      <c r="W156" s="2974"/>
      <c r="X156" s="2976"/>
      <c r="Y156" s="719"/>
      <c r="Z156" s="532"/>
      <c r="AB156" s="312">
        <f t="shared" si="50"/>
        <v>898000000000000</v>
      </c>
      <c r="AC156" s="312">
        <f t="shared" si="50"/>
        <v>898000000000000</v>
      </c>
      <c r="AD156" s="301">
        <f t="shared" si="51"/>
        <v>0</v>
      </c>
    </row>
    <row r="157" spans="1:30" s="165" customFormat="1" ht="21.75" customHeight="1">
      <c r="A157" s="1290"/>
      <c r="B157" s="1189"/>
      <c r="C157" s="1291"/>
      <c r="D157" s="2977"/>
      <c r="E157" s="2978" t="s">
        <v>369</v>
      </c>
      <c r="F157" s="2723">
        <f>Y157</f>
        <v>233000</v>
      </c>
      <c r="G157" s="2723">
        <v>233000</v>
      </c>
      <c r="H157" s="634"/>
      <c r="I157" s="1195"/>
      <c r="J157" s="514" t="s">
        <v>3833</v>
      </c>
      <c r="K157" s="2880"/>
      <c r="L157" s="2880"/>
      <c r="M157" s="2880"/>
      <c r="N157" s="2880"/>
      <c r="O157" s="2880"/>
      <c r="P157" s="2880"/>
      <c r="Q157" s="635"/>
      <c r="R157" s="1187"/>
      <c r="S157" s="1686">
        <v>23300000</v>
      </c>
      <c r="T157" s="516" t="s">
        <v>264</v>
      </c>
      <c r="U157" s="516"/>
      <c r="V157" s="516">
        <v>10</v>
      </c>
      <c r="W157" s="516" t="s">
        <v>265</v>
      </c>
      <c r="X157" s="517" t="s">
        <v>266</v>
      </c>
      <c r="Y157" s="636">
        <f t="shared" ref="Y157" si="52">Z157/1000</f>
        <v>233000</v>
      </c>
      <c r="Z157" s="532">
        <f>S157*V157</f>
        <v>233000000</v>
      </c>
      <c r="AB157" s="312"/>
      <c r="AC157" s="312"/>
      <c r="AD157" s="301"/>
    </row>
    <row r="158" spans="1:30" s="165" customFormat="1" ht="21.75" customHeight="1">
      <c r="A158" s="1290"/>
      <c r="B158" s="1189"/>
      <c r="C158" s="1291"/>
      <c r="D158" s="2977"/>
      <c r="E158" s="2978" t="s">
        <v>269</v>
      </c>
      <c r="F158" s="2723">
        <f t="shared" ref="F158:F160" si="53">Y158</f>
        <v>8400</v>
      </c>
      <c r="G158" s="2723">
        <v>0</v>
      </c>
      <c r="H158" s="634">
        <f>F158-G158</f>
        <v>8400</v>
      </c>
      <c r="I158" s="1195"/>
      <c r="J158" s="514" t="s">
        <v>5587</v>
      </c>
      <c r="K158" s="2880"/>
      <c r="L158" s="2880"/>
      <c r="M158" s="2880"/>
      <c r="N158" s="2880"/>
      <c r="O158" s="2880"/>
      <c r="P158" s="2880"/>
      <c r="Q158" s="635">
        <v>7</v>
      </c>
      <c r="R158" s="1187" t="s">
        <v>33</v>
      </c>
      <c r="S158" s="1686">
        <v>200000</v>
      </c>
      <c r="T158" s="516" t="s">
        <v>264</v>
      </c>
      <c r="U158" s="516"/>
      <c r="V158" s="516">
        <v>6</v>
      </c>
      <c r="W158" s="516" t="s">
        <v>265</v>
      </c>
      <c r="X158" s="517" t="s">
        <v>266</v>
      </c>
      <c r="Y158" s="636">
        <f>Q158*S158*V158/1000</f>
        <v>8400</v>
      </c>
      <c r="Z158" s="532">
        <f>Q158*S158*V158</f>
        <v>8400000</v>
      </c>
      <c r="AB158" s="312"/>
      <c r="AC158" s="312"/>
      <c r="AD158" s="301"/>
    </row>
    <row r="159" spans="1:30" s="165" customFormat="1" ht="21.75" customHeight="1">
      <c r="A159" s="1290"/>
      <c r="B159" s="1189"/>
      <c r="C159" s="1291"/>
      <c r="D159" s="2977"/>
      <c r="E159" s="2978" t="s">
        <v>287</v>
      </c>
      <c r="F159" s="2723">
        <f t="shared" si="53"/>
        <v>654600</v>
      </c>
      <c r="G159" s="1186">
        <v>665000</v>
      </c>
      <c r="H159" s="634">
        <f t="shared" ref="H159:H160" si="54">F159-G159</f>
        <v>-10400</v>
      </c>
      <c r="I159" s="2880"/>
      <c r="J159" s="514" t="s">
        <v>3834</v>
      </c>
      <c r="K159" s="2880"/>
      <c r="L159" s="2880"/>
      <c r="M159" s="2880"/>
      <c r="N159" s="2880"/>
      <c r="O159" s="2880"/>
      <c r="P159" s="2880"/>
      <c r="Q159" s="2880"/>
      <c r="R159" s="1187"/>
      <c r="S159" s="1686">
        <v>65460000</v>
      </c>
      <c r="T159" s="516" t="s">
        <v>0</v>
      </c>
      <c r="U159" s="516"/>
      <c r="V159" s="516">
        <v>10</v>
      </c>
      <c r="W159" s="516" t="s">
        <v>265</v>
      </c>
      <c r="X159" s="517" t="s">
        <v>1</v>
      </c>
      <c r="Y159" s="636">
        <f>(Z159)/1000</f>
        <v>654600</v>
      </c>
      <c r="Z159" s="532">
        <f>S159*V159</f>
        <v>654600000</v>
      </c>
      <c r="AB159" s="312"/>
      <c r="AC159" s="312"/>
      <c r="AD159" s="301"/>
    </row>
    <row r="160" spans="1:30" s="165" customFormat="1" ht="21.75" customHeight="1">
      <c r="A160" s="1290"/>
      <c r="B160" s="1189"/>
      <c r="C160" s="1291"/>
      <c r="D160" s="2977"/>
      <c r="E160" s="2979" t="s">
        <v>271</v>
      </c>
      <c r="F160" s="2723">
        <f t="shared" si="53"/>
        <v>2000</v>
      </c>
      <c r="G160" s="2723">
        <v>0</v>
      </c>
      <c r="H160" s="634">
        <f t="shared" si="54"/>
        <v>2000</v>
      </c>
      <c r="I160" s="1195"/>
      <c r="J160" s="514" t="s">
        <v>5588</v>
      </c>
      <c r="K160" s="2880"/>
      <c r="L160" s="2880"/>
      <c r="M160" s="2880"/>
      <c r="N160" s="2880"/>
      <c r="O160" s="2880"/>
      <c r="P160" s="2880"/>
      <c r="Q160" s="635">
        <v>10</v>
      </c>
      <c r="R160" s="1187" t="s">
        <v>33</v>
      </c>
      <c r="S160" s="1686">
        <v>20000</v>
      </c>
      <c r="T160" s="516" t="s">
        <v>264</v>
      </c>
      <c r="U160" s="516"/>
      <c r="V160" s="516">
        <v>10</v>
      </c>
      <c r="W160" s="516" t="s">
        <v>265</v>
      </c>
      <c r="X160" s="517" t="s">
        <v>266</v>
      </c>
      <c r="Y160" s="636">
        <f>Q160*S160*V160/1000</f>
        <v>2000</v>
      </c>
      <c r="Z160" s="532">
        <f>Q160*S160*V160</f>
        <v>2000000</v>
      </c>
      <c r="AB160" s="312"/>
      <c r="AC160" s="312"/>
      <c r="AD160" s="301"/>
    </row>
    <row r="161" spans="1:30" s="165" customFormat="1" ht="21.75" customHeight="1">
      <c r="A161" s="2500"/>
      <c r="B161" s="1189"/>
      <c r="C161" s="1189"/>
      <c r="D161" s="3327" t="s">
        <v>3835</v>
      </c>
      <c r="E161" s="3328"/>
      <c r="F161" s="382">
        <f>SUM(F162:F175)</f>
        <v>100000</v>
      </c>
      <c r="G161" s="382">
        <f>SUM(G162:G175)</f>
        <v>100000</v>
      </c>
      <c r="H161" s="386">
        <f>+F161-G161</f>
        <v>0</v>
      </c>
      <c r="I161" s="1251"/>
      <c r="J161" s="1292"/>
      <c r="K161" s="1293"/>
      <c r="L161" s="1293"/>
      <c r="M161" s="1293"/>
      <c r="N161" s="1293"/>
      <c r="O161" s="1294"/>
      <c r="P161" s="1294"/>
      <c r="Q161" s="1293"/>
      <c r="R161" s="1293"/>
      <c r="S161" s="1293"/>
      <c r="T161" s="1293"/>
      <c r="U161" s="1293"/>
      <c r="V161" s="1293"/>
      <c r="W161" s="1293"/>
      <c r="X161" s="1295"/>
      <c r="Y161" s="1296"/>
      <c r="Z161" s="1086"/>
      <c r="AB161" s="312"/>
      <c r="AC161" s="312"/>
      <c r="AD161" s="301"/>
    </row>
    <row r="162" spans="1:30" ht="21.75" customHeight="1">
      <c r="A162" s="1842"/>
      <c r="B162" s="172"/>
      <c r="C162" s="172"/>
      <c r="D162" s="1297"/>
      <c r="E162" s="1126" t="s">
        <v>3836</v>
      </c>
      <c r="F162" s="383">
        <f t="shared" ref="F162:F167" si="55">Y162</f>
        <v>5000</v>
      </c>
      <c r="G162" s="1116">
        <v>5000</v>
      </c>
      <c r="H162" s="482"/>
      <c r="I162" s="2624"/>
      <c r="J162" s="2345" t="s">
        <v>3837</v>
      </c>
      <c r="K162" s="1672"/>
      <c r="L162" s="1672"/>
      <c r="M162" s="1672"/>
      <c r="N162" s="1672"/>
      <c r="O162" s="1672"/>
      <c r="P162" s="1672"/>
      <c r="Q162" s="1672"/>
      <c r="R162" s="1672"/>
      <c r="S162" s="1672">
        <v>5000000</v>
      </c>
      <c r="T162" s="1672" t="s">
        <v>3838</v>
      </c>
      <c r="U162" s="1672"/>
      <c r="V162" s="1672">
        <v>1</v>
      </c>
      <c r="W162" s="1672" t="s">
        <v>3839</v>
      </c>
      <c r="X162" s="1323" t="s">
        <v>3840</v>
      </c>
      <c r="Y162" s="1674">
        <f>S162*V162/1000</f>
        <v>5000</v>
      </c>
      <c r="Z162" s="656"/>
    </row>
    <row r="163" spans="1:30" ht="21.75" customHeight="1">
      <c r="A163" s="1111"/>
      <c r="B163" s="412"/>
      <c r="C163" s="412"/>
      <c r="D163" s="1297"/>
      <c r="E163" s="433" t="s">
        <v>3841</v>
      </c>
      <c r="F163" s="383">
        <f t="shared" si="55"/>
        <v>1000</v>
      </c>
      <c r="G163" s="472">
        <v>1000</v>
      </c>
      <c r="H163" s="482"/>
      <c r="I163" s="1251"/>
      <c r="J163" s="2345" t="s">
        <v>3842</v>
      </c>
      <c r="K163" s="1672"/>
      <c r="L163" s="1672"/>
      <c r="M163" s="1672"/>
      <c r="N163" s="1672"/>
      <c r="O163" s="1672"/>
      <c r="P163" s="1672"/>
      <c r="Q163" s="1672"/>
      <c r="R163" s="1672"/>
      <c r="S163" s="1672">
        <v>2000</v>
      </c>
      <c r="T163" s="1672" t="s">
        <v>3838</v>
      </c>
      <c r="U163" s="1672"/>
      <c r="V163" s="1672">
        <v>500</v>
      </c>
      <c r="W163" s="1672" t="s">
        <v>3843</v>
      </c>
      <c r="X163" s="1323" t="s">
        <v>3840</v>
      </c>
      <c r="Y163" s="1674">
        <f>S163*V163/1000</f>
        <v>1000</v>
      </c>
      <c r="Z163" s="656"/>
    </row>
    <row r="164" spans="1:30" ht="21.75" customHeight="1">
      <c r="A164" s="1111"/>
      <c r="B164" s="412"/>
      <c r="C164" s="412"/>
      <c r="D164" s="1297"/>
      <c r="E164" s="433" t="s">
        <v>3844</v>
      </c>
      <c r="F164" s="383">
        <f t="shared" si="55"/>
        <v>5000</v>
      </c>
      <c r="G164" s="472">
        <v>5000</v>
      </c>
      <c r="H164" s="482"/>
      <c r="I164" s="1251"/>
      <c r="J164" s="2345" t="s">
        <v>3845</v>
      </c>
      <c r="K164" s="1672"/>
      <c r="L164" s="1672"/>
      <c r="M164" s="1672"/>
      <c r="N164" s="1672"/>
      <c r="O164" s="1672"/>
      <c r="P164" s="1672"/>
      <c r="Q164" s="1672"/>
      <c r="R164" s="1672"/>
      <c r="S164" s="1672">
        <v>500000</v>
      </c>
      <c r="T164" s="1672" t="s">
        <v>3838</v>
      </c>
      <c r="U164" s="1672"/>
      <c r="V164" s="1672">
        <v>10</v>
      </c>
      <c r="W164" s="1672" t="s">
        <v>3839</v>
      </c>
      <c r="X164" s="1323" t="s">
        <v>3840</v>
      </c>
      <c r="Y164" s="1674">
        <f>S164*V164/1000</f>
        <v>5000</v>
      </c>
      <c r="Z164" s="656"/>
    </row>
    <row r="165" spans="1:30" ht="21.75" customHeight="1">
      <c r="A165" s="1111"/>
      <c r="B165" s="412"/>
      <c r="C165" s="412"/>
      <c r="D165" s="1297"/>
      <c r="E165" s="1126" t="s">
        <v>3721</v>
      </c>
      <c r="F165" s="383">
        <f t="shared" si="55"/>
        <v>1200</v>
      </c>
      <c r="G165" s="1116">
        <v>1200</v>
      </c>
      <c r="H165" s="482"/>
      <c r="I165" s="2624"/>
      <c r="J165" s="2345" t="s">
        <v>3784</v>
      </c>
      <c r="K165" s="1672"/>
      <c r="L165" s="1672"/>
      <c r="M165" s="1672"/>
      <c r="N165" s="1672"/>
      <c r="O165" s="1672"/>
      <c r="P165" s="1672"/>
      <c r="Q165" s="1672">
        <v>4</v>
      </c>
      <c r="R165" s="1672" t="s">
        <v>3785</v>
      </c>
      <c r="S165" s="1672">
        <v>15000</v>
      </c>
      <c r="T165" s="1672" t="s">
        <v>3838</v>
      </c>
      <c r="U165" s="1672"/>
      <c r="V165" s="1672">
        <v>20</v>
      </c>
      <c r="W165" s="1672" t="s">
        <v>3839</v>
      </c>
      <c r="X165" s="1323" t="s">
        <v>3840</v>
      </c>
      <c r="Y165" s="1674">
        <f>Q165*S165*V165/1000</f>
        <v>1200</v>
      </c>
      <c r="Z165" s="656"/>
    </row>
    <row r="166" spans="1:30" ht="21.75" customHeight="1">
      <c r="A166" s="1111"/>
      <c r="B166" s="412"/>
      <c r="C166" s="412"/>
      <c r="D166" s="1297"/>
      <c r="E166" s="433" t="s">
        <v>3846</v>
      </c>
      <c r="F166" s="383">
        <f t="shared" si="55"/>
        <v>8000</v>
      </c>
      <c r="G166" s="472">
        <v>8000</v>
      </c>
      <c r="H166" s="482"/>
      <c r="I166" s="1251"/>
      <c r="J166" s="2627" t="s">
        <v>3847</v>
      </c>
      <c r="K166" s="2628"/>
      <c r="L166" s="2628"/>
      <c r="M166" s="2628"/>
      <c r="N166" s="2628"/>
      <c r="O166" s="2628"/>
      <c r="P166" s="2628"/>
      <c r="Q166" s="1672">
        <v>2</v>
      </c>
      <c r="R166" s="1672" t="s">
        <v>3785</v>
      </c>
      <c r="S166" s="1672">
        <v>200000</v>
      </c>
      <c r="T166" s="1672" t="s">
        <v>3838</v>
      </c>
      <c r="U166" s="1672"/>
      <c r="V166" s="1672">
        <v>20</v>
      </c>
      <c r="W166" s="1672" t="s">
        <v>3839</v>
      </c>
      <c r="X166" s="1323" t="s">
        <v>3840</v>
      </c>
      <c r="Y166" s="1674">
        <f>Q166*S166*V166/1000</f>
        <v>8000</v>
      </c>
      <c r="Z166" s="656"/>
    </row>
    <row r="167" spans="1:30" ht="21.75" customHeight="1">
      <c r="A167" s="1111"/>
      <c r="B167" s="412"/>
      <c r="C167" s="412"/>
      <c r="D167" s="1297"/>
      <c r="E167" s="1126" t="s">
        <v>3718</v>
      </c>
      <c r="F167" s="383">
        <f t="shared" si="55"/>
        <v>55000</v>
      </c>
      <c r="G167" s="472">
        <v>55000</v>
      </c>
      <c r="H167" s="482"/>
      <c r="I167" s="1251"/>
      <c r="J167" s="2345" t="s">
        <v>3381</v>
      </c>
      <c r="K167" s="1672"/>
      <c r="L167" s="1672"/>
      <c r="M167" s="1672"/>
      <c r="N167" s="1672"/>
      <c r="O167" s="1672"/>
      <c r="P167" s="1672"/>
      <c r="Q167" s="1672"/>
      <c r="R167" s="1672"/>
      <c r="S167" s="1672"/>
      <c r="T167" s="1672"/>
      <c r="U167" s="1672"/>
      <c r="V167" s="1672"/>
      <c r="W167" s="1672"/>
      <c r="X167" s="1323"/>
      <c r="Y167" s="1674">
        <f>+Y168+Y169</f>
        <v>55000</v>
      </c>
      <c r="Z167" s="656"/>
    </row>
    <row r="168" spans="1:30" ht="21.75" customHeight="1">
      <c r="A168" s="1111"/>
      <c r="B168" s="412"/>
      <c r="C168" s="412"/>
      <c r="D168" s="1297"/>
      <c r="E168" s="2567"/>
      <c r="F168" s="383"/>
      <c r="G168" s="472"/>
      <c r="H168" s="482"/>
      <c r="I168" s="1251"/>
      <c r="J168" s="2345" t="s">
        <v>3848</v>
      </c>
      <c r="K168" s="1672"/>
      <c r="L168" s="1672"/>
      <c r="M168" s="1672"/>
      <c r="N168" s="1672"/>
      <c r="O168" s="1672"/>
      <c r="P168" s="1672"/>
      <c r="Q168" s="1672"/>
      <c r="R168" s="1672"/>
      <c r="S168" s="1672">
        <v>50000000</v>
      </c>
      <c r="T168" s="1672" t="s">
        <v>3838</v>
      </c>
      <c r="U168" s="1672"/>
      <c r="V168" s="1672">
        <v>1</v>
      </c>
      <c r="W168" s="1672" t="s">
        <v>3839</v>
      </c>
      <c r="X168" s="1323" t="s">
        <v>3840</v>
      </c>
      <c r="Y168" s="1674">
        <f>S168*V168/1000</f>
        <v>50000</v>
      </c>
      <c r="Z168" s="656"/>
    </row>
    <row r="169" spans="1:30" ht="21.75" customHeight="1">
      <c r="A169" s="1111"/>
      <c r="B169" s="412"/>
      <c r="C169" s="412"/>
      <c r="D169" s="1297"/>
      <c r="E169" s="1126"/>
      <c r="F169" s="383"/>
      <c r="G169" s="472"/>
      <c r="H169" s="482"/>
      <c r="I169" s="1251"/>
      <c r="J169" s="2345" t="s">
        <v>3849</v>
      </c>
      <c r="K169" s="1672"/>
      <c r="L169" s="1672"/>
      <c r="M169" s="1672"/>
      <c r="N169" s="1672"/>
      <c r="O169" s="1672"/>
      <c r="P169" s="1672"/>
      <c r="Q169" s="1672"/>
      <c r="R169" s="1672"/>
      <c r="S169" s="1672">
        <v>5000000</v>
      </c>
      <c r="T169" s="1672" t="s">
        <v>3838</v>
      </c>
      <c r="U169" s="1672"/>
      <c r="V169" s="1672">
        <v>1</v>
      </c>
      <c r="W169" s="1672" t="s">
        <v>3850</v>
      </c>
      <c r="X169" s="1323" t="s">
        <v>3840</v>
      </c>
      <c r="Y169" s="1674">
        <f>S169*V169/1000</f>
        <v>5000</v>
      </c>
      <c r="Z169" s="656"/>
    </row>
    <row r="170" spans="1:30" ht="21.75" customHeight="1">
      <c r="A170" s="1111"/>
      <c r="B170" s="412"/>
      <c r="C170" s="412"/>
      <c r="D170" s="1297"/>
      <c r="E170" s="1126" t="s">
        <v>3851</v>
      </c>
      <c r="F170" s="383">
        <f>Y170</f>
        <v>10000</v>
      </c>
      <c r="G170" s="472">
        <v>10000</v>
      </c>
      <c r="H170" s="482"/>
      <c r="I170" s="1251"/>
      <c r="J170" s="2345" t="s">
        <v>3852</v>
      </c>
      <c r="K170" s="1672"/>
      <c r="L170" s="1672"/>
      <c r="M170" s="1672"/>
      <c r="N170" s="1672"/>
      <c r="O170" s="1672"/>
      <c r="P170" s="1672"/>
      <c r="Q170" s="1672"/>
      <c r="R170" s="1672"/>
      <c r="S170" s="1672">
        <v>500000</v>
      </c>
      <c r="T170" s="1672" t="s">
        <v>3838</v>
      </c>
      <c r="U170" s="1672"/>
      <c r="V170" s="1672">
        <v>20</v>
      </c>
      <c r="W170" s="1672" t="s">
        <v>3853</v>
      </c>
      <c r="X170" s="1323" t="s">
        <v>3840</v>
      </c>
      <c r="Y170" s="1674">
        <f>S170*V170/1000</f>
        <v>10000</v>
      </c>
      <c r="Z170" s="656"/>
    </row>
    <row r="171" spans="1:30" ht="21.75" customHeight="1">
      <c r="A171" s="1111"/>
      <c r="B171" s="412"/>
      <c r="C171" s="412"/>
      <c r="D171" s="1297"/>
      <c r="E171" s="433" t="s">
        <v>3854</v>
      </c>
      <c r="F171" s="383">
        <f>Y171</f>
        <v>300</v>
      </c>
      <c r="G171" s="472">
        <v>300</v>
      </c>
      <c r="H171" s="482"/>
      <c r="I171" s="1251"/>
      <c r="J171" s="2627" t="s">
        <v>3855</v>
      </c>
      <c r="K171" s="2628"/>
      <c r="L171" s="2628"/>
      <c r="M171" s="2628"/>
      <c r="N171" s="2628"/>
      <c r="O171" s="2628"/>
      <c r="P171" s="2628"/>
      <c r="Q171" s="1672"/>
      <c r="R171" s="1672"/>
      <c r="S171" s="1672">
        <v>3000</v>
      </c>
      <c r="T171" s="1672" t="s">
        <v>3838</v>
      </c>
      <c r="U171" s="1672"/>
      <c r="V171" s="1672">
        <v>100</v>
      </c>
      <c r="W171" s="1672" t="s">
        <v>3856</v>
      </c>
      <c r="X171" s="1323" t="s">
        <v>3840</v>
      </c>
      <c r="Y171" s="1674">
        <f>S171*V171/1000</f>
        <v>300</v>
      </c>
      <c r="Z171" s="656"/>
    </row>
    <row r="172" spans="1:30" ht="21.75" customHeight="1">
      <c r="A172" s="1111"/>
      <c r="B172" s="412"/>
      <c r="C172" s="412"/>
      <c r="D172" s="1297"/>
      <c r="E172" s="1154" t="s">
        <v>3766</v>
      </c>
      <c r="F172" s="383">
        <f>Y172</f>
        <v>12500</v>
      </c>
      <c r="G172" s="472">
        <v>12500</v>
      </c>
      <c r="H172" s="482"/>
      <c r="I172" s="1251"/>
      <c r="J172" s="2627" t="s">
        <v>3381</v>
      </c>
      <c r="K172" s="2628"/>
      <c r="L172" s="2628"/>
      <c r="M172" s="2628"/>
      <c r="N172" s="2628"/>
      <c r="O172" s="2628"/>
      <c r="P172" s="2628"/>
      <c r="Q172" s="1672"/>
      <c r="R172" s="1672"/>
      <c r="S172" s="1672"/>
      <c r="T172" s="1672"/>
      <c r="U172" s="1672"/>
      <c r="V172" s="1672"/>
      <c r="W172" s="1672"/>
      <c r="X172" s="1323"/>
      <c r="Y172" s="1674">
        <f>+Y173+Y174</f>
        <v>12500</v>
      </c>
      <c r="Z172" s="656"/>
    </row>
    <row r="173" spans="1:30" ht="21.75" customHeight="1">
      <c r="A173" s="1111"/>
      <c r="B173" s="412"/>
      <c r="C173" s="412"/>
      <c r="D173" s="1297"/>
      <c r="E173" s="1154"/>
      <c r="F173" s="383"/>
      <c r="G173" s="472"/>
      <c r="H173" s="482"/>
      <c r="I173" s="1251"/>
      <c r="J173" s="2627" t="s">
        <v>3857</v>
      </c>
      <c r="K173" s="2628"/>
      <c r="L173" s="2628"/>
      <c r="M173" s="2628"/>
      <c r="N173" s="2628"/>
      <c r="O173" s="2628"/>
      <c r="P173" s="2628"/>
      <c r="Q173" s="1672"/>
      <c r="R173" s="1672"/>
      <c r="S173" s="1672">
        <v>400000</v>
      </c>
      <c r="T173" s="1672" t="s">
        <v>3376</v>
      </c>
      <c r="U173" s="1672"/>
      <c r="V173" s="1672">
        <v>25</v>
      </c>
      <c r="W173" s="1672" t="s">
        <v>3377</v>
      </c>
      <c r="X173" s="1323" t="s">
        <v>3378</v>
      </c>
      <c r="Y173" s="1674">
        <f>S173*V173/1000</f>
        <v>10000</v>
      </c>
      <c r="Z173" s="656"/>
    </row>
    <row r="174" spans="1:30" ht="21.75" customHeight="1">
      <c r="A174" s="1111"/>
      <c r="B174" s="412"/>
      <c r="C174" s="412"/>
      <c r="D174" s="1297"/>
      <c r="E174" s="1154"/>
      <c r="F174" s="383"/>
      <c r="G174" s="1116"/>
      <c r="H174" s="482"/>
      <c r="I174" s="2624"/>
      <c r="J174" s="2627" t="s">
        <v>3858</v>
      </c>
      <c r="K174" s="2628"/>
      <c r="L174" s="2628"/>
      <c r="M174" s="2628"/>
      <c r="N174" s="2628"/>
      <c r="O174" s="2628"/>
      <c r="P174" s="2628"/>
      <c r="Q174" s="1672"/>
      <c r="R174" s="1672"/>
      <c r="S174" s="1672">
        <v>250000</v>
      </c>
      <c r="T174" s="1672" t="s">
        <v>3376</v>
      </c>
      <c r="U174" s="1672"/>
      <c r="V174" s="1672">
        <v>10</v>
      </c>
      <c r="W174" s="1672" t="s">
        <v>3377</v>
      </c>
      <c r="X174" s="1323" t="s">
        <v>3378</v>
      </c>
      <c r="Y174" s="1674">
        <f>S174*V174/1000</f>
        <v>2500</v>
      </c>
      <c r="Z174" s="656"/>
    </row>
    <row r="175" spans="1:30" ht="21.75" customHeight="1">
      <c r="A175" s="1111"/>
      <c r="B175" s="412"/>
      <c r="C175" s="412"/>
      <c r="D175" s="1297"/>
      <c r="E175" s="1154" t="s">
        <v>3792</v>
      </c>
      <c r="F175" s="383">
        <f>Y175</f>
        <v>2000</v>
      </c>
      <c r="G175" s="472">
        <v>2000</v>
      </c>
      <c r="H175" s="482"/>
      <c r="I175" s="1251"/>
      <c r="J175" s="2627" t="s">
        <v>3859</v>
      </c>
      <c r="K175" s="2628"/>
      <c r="L175" s="2628"/>
      <c r="M175" s="2628"/>
      <c r="N175" s="2628"/>
      <c r="O175" s="2628"/>
      <c r="P175" s="2628"/>
      <c r="Q175" s="1672">
        <v>10</v>
      </c>
      <c r="R175" s="1672" t="s">
        <v>3785</v>
      </c>
      <c r="S175" s="1672">
        <v>20000</v>
      </c>
      <c r="T175" s="1672" t="s">
        <v>3376</v>
      </c>
      <c r="U175" s="1672"/>
      <c r="V175" s="1672">
        <v>10</v>
      </c>
      <c r="W175" s="1672" t="s">
        <v>3377</v>
      </c>
      <c r="X175" s="1323" t="s">
        <v>3378</v>
      </c>
      <c r="Y175" s="1674">
        <f>Q175*S175*V175/1000</f>
        <v>2000</v>
      </c>
      <c r="Z175" s="656"/>
    </row>
    <row r="176" spans="1:30" ht="21.75" customHeight="1">
      <c r="A176" s="1114"/>
      <c r="B176" s="412"/>
      <c r="C176" s="1114"/>
      <c r="D176" s="3327" t="s">
        <v>3860</v>
      </c>
      <c r="E176" s="3328"/>
      <c r="F176" s="382">
        <f>SUM(F177:F184)</f>
        <v>200000</v>
      </c>
      <c r="G176" s="382">
        <f>SUM(G177:G184)</f>
        <v>200000</v>
      </c>
      <c r="H176" s="386">
        <f>+F176-G176</f>
        <v>0</v>
      </c>
      <c r="I176" s="1251"/>
      <c r="J176" s="1292"/>
      <c r="K176" s="1293"/>
      <c r="L176" s="1293"/>
      <c r="M176" s="1293"/>
      <c r="N176" s="1293"/>
      <c r="O176" s="1294"/>
      <c r="P176" s="1294"/>
      <c r="Q176" s="1293"/>
      <c r="R176" s="1293"/>
      <c r="S176" s="1293"/>
      <c r="T176" s="1293"/>
      <c r="U176" s="1293"/>
      <c r="V176" s="1293"/>
      <c r="W176" s="1293"/>
      <c r="X176" s="1295"/>
      <c r="Y176" s="1296"/>
      <c r="Z176" s="1086"/>
    </row>
    <row r="177" spans="1:26" ht="21.75" customHeight="1">
      <c r="A177" s="1114"/>
      <c r="B177" s="412"/>
      <c r="C177" s="1114"/>
      <c r="D177" s="1297"/>
      <c r="E177" s="433" t="s">
        <v>609</v>
      </c>
      <c r="F177" s="383">
        <f t="shared" ref="F177:F178" si="56">Y177</f>
        <v>9000</v>
      </c>
      <c r="G177" s="472">
        <v>9000</v>
      </c>
      <c r="H177" s="482"/>
      <c r="I177" s="1251"/>
      <c r="J177" s="2345" t="s">
        <v>3864</v>
      </c>
      <c r="K177" s="1672"/>
      <c r="L177" s="1672"/>
      <c r="M177" s="1672"/>
      <c r="N177" s="1672"/>
      <c r="O177" s="1672"/>
      <c r="P177" s="1672"/>
      <c r="Q177" s="1672"/>
      <c r="R177" s="1672"/>
      <c r="S177" s="1672">
        <v>1500000</v>
      </c>
      <c r="T177" s="1672" t="s">
        <v>592</v>
      </c>
      <c r="U177" s="1672"/>
      <c r="V177" s="1672">
        <v>6</v>
      </c>
      <c r="W177" s="1672" t="s">
        <v>217</v>
      </c>
      <c r="X177" s="1323" t="s">
        <v>563</v>
      </c>
      <c r="Y177" s="1674">
        <f>S177*V177/1000</f>
        <v>9000</v>
      </c>
      <c r="Z177" s="656"/>
    </row>
    <row r="178" spans="1:26" ht="21.75" customHeight="1">
      <c r="A178" s="1114"/>
      <c r="B178" s="412"/>
      <c r="C178" s="1114"/>
      <c r="D178" s="1297"/>
      <c r="E178" s="1126" t="s">
        <v>195</v>
      </c>
      <c r="F178" s="383">
        <f t="shared" si="56"/>
        <v>1000</v>
      </c>
      <c r="G178" s="472">
        <v>1000</v>
      </c>
      <c r="H178" s="482"/>
      <c r="I178" s="1251"/>
      <c r="J178" s="2345" t="s">
        <v>3784</v>
      </c>
      <c r="K178" s="1672"/>
      <c r="L178" s="1672"/>
      <c r="M178" s="1672"/>
      <c r="N178" s="1672"/>
      <c r="O178" s="1672"/>
      <c r="P178" s="1672"/>
      <c r="Q178" s="1672">
        <v>1</v>
      </c>
      <c r="R178" s="1672" t="s">
        <v>1819</v>
      </c>
      <c r="S178" s="1672">
        <v>25000</v>
      </c>
      <c r="T178" s="1672"/>
      <c r="U178" s="1672"/>
      <c r="V178" s="1672">
        <v>40</v>
      </c>
      <c r="W178" s="1672" t="s">
        <v>217</v>
      </c>
      <c r="X178" s="1323" t="s">
        <v>563</v>
      </c>
      <c r="Y178" s="1674">
        <f>Q178*S178*V178/1000</f>
        <v>1000</v>
      </c>
      <c r="Z178" s="656"/>
    </row>
    <row r="179" spans="1:26" ht="21.75" customHeight="1">
      <c r="A179" s="1114"/>
      <c r="B179" s="412"/>
      <c r="C179" s="1114"/>
      <c r="D179" s="1297"/>
      <c r="E179" s="1126" t="s">
        <v>708</v>
      </c>
      <c r="F179" s="383">
        <f>Y179</f>
        <v>90000</v>
      </c>
      <c r="G179" s="472">
        <v>90000</v>
      </c>
      <c r="H179" s="482"/>
      <c r="I179" s="1251"/>
      <c r="J179" s="2345" t="s">
        <v>3863</v>
      </c>
      <c r="K179" s="1672"/>
      <c r="L179" s="1672"/>
      <c r="M179" s="1672"/>
      <c r="N179" s="1672"/>
      <c r="O179" s="1672"/>
      <c r="P179" s="1672"/>
      <c r="Q179" s="1672"/>
      <c r="R179" s="1672"/>
      <c r="S179" s="1672">
        <v>15000000</v>
      </c>
      <c r="T179" s="1672" t="s">
        <v>592</v>
      </c>
      <c r="U179" s="1672"/>
      <c r="V179" s="1672">
        <v>6</v>
      </c>
      <c r="W179" s="1672" t="s">
        <v>217</v>
      </c>
      <c r="X179" s="1323" t="s">
        <v>563</v>
      </c>
      <c r="Y179" s="1674">
        <f>S179*V179/1000</f>
        <v>90000</v>
      </c>
      <c r="Z179" s="656"/>
    </row>
    <row r="180" spans="1:26" ht="21.75" customHeight="1">
      <c r="A180" s="1114"/>
      <c r="B180" s="412"/>
      <c r="C180" s="1114"/>
      <c r="D180" s="1297"/>
      <c r="E180" s="1126" t="s">
        <v>3718</v>
      </c>
      <c r="F180" s="383">
        <f>Y180</f>
        <v>99000</v>
      </c>
      <c r="G180" s="1116">
        <v>99000</v>
      </c>
      <c r="H180" s="482"/>
      <c r="I180" s="2624"/>
      <c r="J180" s="2345" t="s">
        <v>3381</v>
      </c>
      <c r="K180" s="1672"/>
      <c r="L180" s="1672"/>
      <c r="M180" s="1672"/>
      <c r="N180" s="1672"/>
      <c r="O180" s="1672"/>
      <c r="P180" s="1672"/>
      <c r="Q180" s="1672"/>
      <c r="R180" s="1672"/>
      <c r="S180" s="1672"/>
      <c r="T180" s="1672"/>
      <c r="U180" s="1672"/>
      <c r="V180" s="1672"/>
      <c r="W180" s="1672"/>
      <c r="X180" s="1323"/>
      <c r="Y180" s="1674">
        <f>SUM(Y181:Y183)</f>
        <v>99000</v>
      </c>
      <c r="Z180" s="656"/>
    </row>
    <row r="181" spans="1:26" ht="21.75" customHeight="1">
      <c r="A181" s="1114"/>
      <c r="B181" s="412"/>
      <c r="C181" s="1114"/>
      <c r="D181" s="1297"/>
      <c r="E181" s="2567"/>
      <c r="F181" s="383"/>
      <c r="G181" s="472"/>
      <c r="H181" s="482"/>
      <c r="I181" s="1251"/>
      <c r="J181" s="2345" t="s">
        <v>5818</v>
      </c>
      <c r="K181" s="1672"/>
      <c r="L181" s="1672"/>
      <c r="M181" s="1672"/>
      <c r="N181" s="1672"/>
      <c r="O181" s="1672"/>
      <c r="P181" s="1672"/>
      <c r="Q181" s="1672"/>
      <c r="R181" s="1672"/>
      <c r="S181" s="1672">
        <v>10000000</v>
      </c>
      <c r="T181" s="1672" t="s">
        <v>3838</v>
      </c>
      <c r="U181" s="1672"/>
      <c r="V181" s="1672">
        <v>6</v>
      </c>
      <c r="W181" s="1672" t="s">
        <v>3839</v>
      </c>
      <c r="X181" s="1323" t="s">
        <v>3840</v>
      </c>
      <c r="Y181" s="1674">
        <f>S181*V181/1000</f>
        <v>60000</v>
      </c>
      <c r="Z181" s="656"/>
    </row>
    <row r="182" spans="1:26" ht="21.75" customHeight="1">
      <c r="A182" s="1114"/>
      <c r="B182" s="412"/>
      <c r="C182" s="1114"/>
      <c r="D182" s="1297"/>
      <c r="E182" s="2567"/>
      <c r="F182" s="383"/>
      <c r="G182" s="472"/>
      <c r="H182" s="482"/>
      <c r="I182" s="1251"/>
      <c r="J182" s="2345" t="s">
        <v>3861</v>
      </c>
      <c r="K182" s="1672"/>
      <c r="L182" s="1672"/>
      <c r="M182" s="1672"/>
      <c r="N182" s="1672"/>
      <c r="O182" s="1672"/>
      <c r="P182" s="1672"/>
      <c r="Q182" s="1672"/>
      <c r="R182" s="1672"/>
      <c r="S182" s="1672">
        <v>4000000</v>
      </c>
      <c r="T182" s="1672" t="s">
        <v>3838</v>
      </c>
      <c r="U182" s="1672"/>
      <c r="V182" s="1672">
        <v>6</v>
      </c>
      <c r="W182" s="1672" t="s">
        <v>3839</v>
      </c>
      <c r="X182" s="1323" t="s">
        <v>3840</v>
      </c>
      <c r="Y182" s="1674">
        <f>S182*V182/1000</f>
        <v>24000</v>
      </c>
      <c r="Z182" s="656"/>
    </row>
    <row r="183" spans="1:26" ht="21.75" customHeight="1">
      <c r="A183" s="1114"/>
      <c r="B183" s="412"/>
      <c r="C183" s="1114"/>
      <c r="D183" s="1297"/>
      <c r="E183" s="1126"/>
      <c r="F183" s="383"/>
      <c r="G183" s="1116"/>
      <c r="H183" s="482"/>
      <c r="I183" s="2624"/>
      <c r="J183" s="2345" t="s">
        <v>3862</v>
      </c>
      <c r="K183" s="1672"/>
      <c r="L183" s="1672"/>
      <c r="M183" s="1672"/>
      <c r="N183" s="1672"/>
      <c r="O183" s="1672"/>
      <c r="P183" s="1672"/>
      <c r="Q183" s="1672"/>
      <c r="R183" s="1672"/>
      <c r="S183" s="1672">
        <v>15000000</v>
      </c>
      <c r="T183" s="1672" t="s">
        <v>3838</v>
      </c>
      <c r="U183" s="1672"/>
      <c r="V183" s="1672">
        <v>1</v>
      </c>
      <c r="W183" s="1672" t="s">
        <v>3850</v>
      </c>
      <c r="X183" s="1323" t="s">
        <v>3840</v>
      </c>
      <c r="Y183" s="1674">
        <f>S183*V183/1000</f>
        <v>15000</v>
      </c>
      <c r="Z183" s="656"/>
    </row>
    <row r="184" spans="1:26" ht="21.75" customHeight="1" thickBot="1">
      <c r="B184" s="172"/>
      <c r="D184" s="1297"/>
      <c r="E184" s="1154" t="s">
        <v>3792</v>
      </c>
      <c r="F184" s="383">
        <f t="shared" ref="F184" si="57">Y184</f>
        <v>1000</v>
      </c>
      <c r="G184" s="472">
        <v>1000</v>
      </c>
      <c r="H184" s="482"/>
      <c r="I184" s="1251"/>
      <c r="J184" s="2660" t="s">
        <v>3859</v>
      </c>
      <c r="K184" s="2661"/>
      <c r="L184" s="2661"/>
      <c r="M184" s="1161"/>
      <c r="N184" s="1161"/>
      <c r="O184" s="480"/>
      <c r="P184" s="480"/>
      <c r="Q184" s="480"/>
      <c r="R184" s="480"/>
      <c r="S184" s="1162">
        <v>100000</v>
      </c>
      <c r="T184" s="480" t="s">
        <v>3838</v>
      </c>
      <c r="U184" s="1162"/>
      <c r="V184" s="1162">
        <v>10</v>
      </c>
      <c r="W184" s="480" t="s">
        <v>3377</v>
      </c>
      <c r="X184" s="2688" t="s">
        <v>3840</v>
      </c>
      <c r="Y184" s="381">
        <f>S184*V184/1000</f>
        <v>1000</v>
      </c>
      <c r="Z184" s="1181"/>
    </row>
  </sheetData>
  <autoFilter ref="A4:Z160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0">
    <mergeCell ref="C48:E48"/>
    <mergeCell ref="D156:E156"/>
    <mergeCell ref="C22:E22"/>
    <mergeCell ref="C43:E43"/>
    <mergeCell ref="D44:E44"/>
    <mergeCell ref="D36:E36"/>
    <mergeCell ref="D23:E23"/>
    <mergeCell ref="D49:E49"/>
    <mergeCell ref="D161:E161"/>
    <mergeCell ref="D176:E176"/>
    <mergeCell ref="C67:E67"/>
    <mergeCell ref="D68:E68"/>
    <mergeCell ref="D88:E88"/>
    <mergeCell ref="C109:E109"/>
    <mergeCell ref="D110:E110"/>
    <mergeCell ref="C155:E155"/>
    <mergeCell ref="D100:E100"/>
    <mergeCell ref="D138:E138"/>
    <mergeCell ref="A1:Y1"/>
    <mergeCell ref="A3:E3"/>
    <mergeCell ref="F3:F4"/>
    <mergeCell ref="G3:G4"/>
    <mergeCell ref="H3:H4"/>
    <mergeCell ref="J3:Y4"/>
    <mergeCell ref="A5:E5"/>
    <mergeCell ref="A6:E6"/>
    <mergeCell ref="D9:E9"/>
    <mergeCell ref="C18:E18"/>
    <mergeCell ref="D19:E19"/>
    <mergeCell ref="C8:E8"/>
  </mergeCells>
  <phoneticPr fontId="19" type="noConversion"/>
  <printOptions horizontalCentered="1"/>
  <pageMargins left="0.59055118110236227" right="0.59055118110236227" top="0.74803149606299213" bottom="0.51181102362204722" header="0.51181102362204722" footer="0.31496062992125984"/>
  <pageSetup paperSize="9" scale="54" firstPageNumber="12" fitToHeight="100" orientation="landscape" useFirstPageNumber="1" r:id="rId1"/>
  <headerFooter scaleWithDoc="0" alignWithMargins="0"/>
  <rowBreaks count="1" manualBreakCount="1">
    <brk id="65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711"/>
  <sheetViews>
    <sheetView view="pageBreakPreview" zoomScale="70" zoomScaleNormal="75" zoomScaleSheetLayoutView="70" workbookViewId="0">
      <pane ySplit="4" topLeftCell="A424" activePane="bottomLeft" state="frozen"/>
      <selection activeCell="F154" sqref="F154"/>
      <selection pane="bottomLeft" activeCell="AC252" sqref="AC252"/>
    </sheetView>
  </sheetViews>
  <sheetFormatPr defaultRowHeight="18.75"/>
  <cols>
    <col min="1" max="4" width="6.77734375" style="156" customWidth="1"/>
    <col min="5" max="5" width="16" style="156" customWidth="1"/>
    <col min="6" max="7" width="14" style="157" customWidth="1"/>
    <col min="8" max="8" width="14" style="173" customWidth="1"/>
    <col min="9" max="9" width="1.5546875" style="158" customWidth="1"/>
    <col min="10" max="10" width="2.88671875" style="159" customWidth="1"/>
    <col min="11" max="11" width="1.88671875" style="156" customWidth="1"/>
    <col min="12" max="12" width="8.77734375" style="156" customWidth="1"/>
    <col min="13" max="13" width="10.33203125" style="156" customWidth="1"/>
    <col min="14" max="14" width="7.5546875" style="156" customWidth="1"/>
    <col min="15" max="15" width="11.109375" style="160" customWidth="1"/>
    <col min="16" max="16" width="8.44140625" style="160" customWidth="1"/>
    <col min="17" max="17" width="7.77734375" style="156" customWidth="1"/>
    <col min="18" max="18" width="6.77734375" style="156" customWidth="1"/>
    <col min="19" max="19" width="14.77734375" style="156" customWidth="1"/>
    <col min="20" max="21" width="6.88671875" style="156" customWidth="1"/>
    <col min="22" max="22" width="8.33203125" style="156" customWidth="1"/>
    <col min="23" max="23" width="6.77734375" style="156" customWidth="1"/>
    <col min="24" max="24" width="3" style="156" customWidth="1"/>
    <col min="25" max="25" width="14.77734375" style="161" customWidth="1"/>
    <col min="26" max="26" width="17.44140625" style="153" customWidth="1"/>
    <col min="27" max="27" width="20.21875" style="153" bestFit="1" customWidth="1"/>
    <col min="28" max="28" width="20.21875" style="162" bestFit="1" customWidth="1"/>
    <col min="29" max="30" width="16.109375" style="162" customWidth="1"/>
    <col min="31" max="16384" width="8.88671875" style="162"/>
  </cols>
  <sheetData>
    <row r="1" spans="1:29" ht="27" customHeight="1">
      <c r="A1" s="3315" t="s">
        <v>5057</v>
      </c>
      <c r="B1" s="3315"/>
      <c r="C1" s="3315"/>
      <c r="D1" s="3315"/>
      <c r="E1" s="3315"/>
      <c r="F1" s="3315"/>
      <c r="G1" s="3315"/>
      <c r="H1" s="3315"/>
      <c r="I1" s="3315"/>
      <c r="J1" s="3315"/>
      <c r="K1" s="3315"/>
      <c r="L1" s="3315"/>
      <c r="M1" s="3315"/>
      <c r="N1" s="3315"/>
      <c r="O1" s="3315"/>
      <c r="P1" s="3315"/>
      <c r="Q1" s="3315"/>
      <c r="R1" s="3315"/>
      <c r="S1" s="3315"/>
      <c r="T1" s="3315"/>
      <c r="U1" s="3315"/>
      <c r="V1" s="3315"/>
      <c r="W1" s="3315"/>
      <c r="X1" s="3315"/>
      <c r="Y1" s="3315"/>
      <c r="Z1" s="1248"/>
      <c r="AA1" s="163"/>
    </row>
    <row r="2" spans="1:29" s="113" customFormat="1" ht="15" thickBot="1">
      <c r="A2" s="803"/>
      <c r="B2" s="803"/>
      <c r="C2" s="803"/>
      <c r="D2" s="803" t="s">
        <v>267</v>
      </c>
      <c r="E2" s="803"/>
      <c r="F2" s="1249"/>
      <c r="G2" s="1249"/>
      <c r="H2" s="1083" t="s">
        <v>1691</v>
      </c>
      <c r="I2" s="2282"/>
      <c r="J2" s="803" t="s">
        <v>267</v>
      </c>
      <c r="K2" s="773" t="s">
        <v>267</v>
      </c>
      <c r="L2" s="803"/>
      <c r="M2" s="369"/>
      <c r="N2" s="275"/>
      <c r="O2" s="1250"/>
      <c r="P2" s="1250"/>
      <c r="Q2" s="1251"/>
      <c r="R2" s="1251"/>
      <c r="S2" s="1251"/>
      <c r="T2" s="1251"/>
      <c r="U2" s="1251"/>
      <c r="V2" s="1251"/>
      <c r="W2" s="1251"/>
      <c r="X2" s="1251"/>
      <c r="Y2" s="1673" t="s">
        <v>149</v>
      </c>
      <c r="Z2" s="275"/>
      <c r="AA2" s="305"/>
    </row>
    <row r="3" spans="1:29" s="165" customFormat="1" ht="24" customHeight="1">
      <c r="A3" s="3316" t="s">
        <v>188</v>
      </c>
      <c r="B3" s="3317"/>
      <c r="C3" s="3317"/>
      <c r="D3" s="3317"/>
      <c r="E3" s="3318"/>
      <c r="F3" s="3254" t="s">
        <v>151</v>
      </c>
      <c r="G3" s="3256" t="s">
        <v>1692</v>
      </c>
      <c r="H3" s="3377" t="s">
        <v>189</v>
      </c>
      <c r="I3" s="398"/>
      <c r="J3" s="3321" t="s">
        <v>190</v>
      </c>
      <c r="K3" s="3322"/>
      <c r="L3" s="3322"/>
      <c r="M3" s="3322"/>
      <c r="N3" s="3322"/>
      <c r="O3" s="3322"/>
      <c r="P3" s="3322"/>
      <c r="Q3" s="3322"/>
      <c r="R3" s="3322"/>
      <c r="S3" s="3322"/>
      <c r="T3" s="3322"/>
      <c r="U3" s="3322"/>
      <c r="V3" s="3322"/>
      <c r="W3" s="3322"/>
      <c r="X3" s="3322"/>
      <c r="Y3" s="3323"/>
      <c r="Z3" s="1728"/>
      <c r="AA3" s="305"/>
    </row>
    <row r="4" spans="1:29" s="166" customFormat="1" ht="22.5" customHeight="1" thickBot="1">
      <c r="A4" s="1100" t="s">
        <v>216</v>
      </c>
      <c r="B4" s="1101" t="s">
        <v>444</v>
      </c>
      <c r="C4" s="2294" t="s">
        <v>191</v>
      </c>
      <c r="D4" s="2294" t="s">
        <v>205</v>
      </c>
      <c r="E4" s="2294" t="s">
        <v>815</v>
      </c>
      <c r="F4" s="3255"/>
      <c r="G4" s="3257"/>
      <c r="H4" s="3378"/>
      <c r="I4" s="398"/>
      <c r="J4" s="3324"/>
      <c r="K4" s="3325"/>
      <c r="L4" s="3325"/>
      <c r="M4" s="3325"/>
      <c r="N4" s="3325"/>
      <c r="O4" s="3325"/>
      <c r="P4" s="3325"/>
      <c r="Q4" s="3325"/>
      <c r="R4" s="3325"/>
      <c r="S4" s="3325"/>
      <c r="T4" s="3325"/>
      <c r="U4" s="3325"/>
      <c r="V4" s="3325"/>
      <c r="W4" s="3325"/>
      <c r="X4" s="3325"/>
      <c r="Y4" s="3326"/>
      <c r="Z4" s="1729"/>
      <c r="AA4" s="305"/>
    </row>
    <row r="5" spans="1:29" s="166" customFormat="1" ht="22.5" customHeight="1" thickBot="1">
      <c r="A5" s="422" t="s">
        <v>373</v>
      </c>
      <c r="B5" s="1299"/>
      <c r="C5" s="1299"/>
      <c r="D5" s="1299" t="s">
        <v>205</v>
      </c>
      <c r="E5" s="1299"/>
      <c r="F5" s="420">
        <f>+F6+F117+F262+F348+F538</f>
        <v>9658000</v>
      </c>
      <c r="G5" s="420">
        <f>+G6+G117+G262+G348+G538</f>
        <v>10518000</v>
      </c>
      <c r="H5" s="421">
        <f>F5-G5</f>
        <v>-860000</v>
      </c>
      <c r="I5" s="398"/>
      <c r="J5" s="1256"/>
      <c r="K5" s="1257"/>
      <c r="L5" s="1257"/>
      <c r="M5" s="1257"/>
      <c r="N5" s="1257"/>
      <c r="O5" s="1257"/>
      <c r="P5" s="1257"/>
      <c r="Q5" s="1257"/>
      <c r="R5" s="1257"/>
      <c r="S5" s="1257"/>
      <c r="T5" s="1257"/>
      <c r="U5" s="1257"/>
      <c r="V5" s="1257"/>
      <c r="W5" s="1257"/>
      <c r="X5" s="1257"/>
      <c r="Y5" s="1258"/>
      <c r="Z5" s="1730"/>
      <c r="AA5" s="305"/>
      <c r="AB5" s="305"/>
    </row>
    <row r="6" spans="1:29" s="269" customFormat="1" ht="22.5" customHeight="1" thickBot="1">
      <c r="A6" s="1300" t="s">
        <v>267</v>
      </c>
      <c r="B6" s="416" t="s">
        <v>1693</v>
      </c>
      <c r="C6" s="417"/>
      <c r="D6" s="418"/>
      <c r="E6" s="419"/>
      <c r="F6" s="420">
        <f>+F7+F84</f>
        <v>1555000</v>
      </c>
      <c r="G6" s="420">
        <f>+G7+G84</f>
        <v>1555000</v>
      </c>
      <c r="H6" s="421">
        <f>F6-G6</f>
        <v>0</v>
      </c>
      <c r="I6" s="398"/>
      <c r="J6" s="1301"/>
      <c r="K6" s="1302"/>
      <c r="L6" s="1302"/>
      <c r="M6" s="1302"/>
      <c r="N6" s="1302"/>
      <c r="O6" s="1302"/>
      <c r="P6" s="1302"/>
      <c r="Q6" s="1302"/>
      <c r="R6" s="1302"/>
      <c r="S6" s="1302"/>
      <c r="T6" s="1302"/>
      <c r="U6" s="1302"/>
      <c r="V6" s="1302"/>
      <c r="W6" s="1302"/>
      <c r="X6" s="1299"/>
      <c r="Y6" s="1303"/>
      <c r="Z6" s="1731"/>
      <c r="AA6" s="305"/>
      <c r="AB6" s="305"/>
      <c r="AC6" s="166"/>
    </row>
    <row r="7" spans="1:29" s="1669" customFormat="1" ht="20.25" customHeight="1">
      <c r="A7" s="396"/>
      <c r="B7" s="2293"/>
      <c r="C7" s="3381" t="s">
        <v>692</v>
      </c>
      <c r="D7" s="3375"/>
      <c r="E7" s="3376"/>
      <c r="F7" s="1304">
        <f>+F8+F20+F51+F65+F68</f>
        <v>555000</v>
      </c>
      <c r="G7" s="1304">
        <f>+G8+G20+G51+G65+G68</f>
        <v>555000</v>
      </c>
      <c r="H7" s="1305">
        <f>F7-G7</f>
        <v>0</v>
      </c>
      <c r="I7" s="398"/>
      <c r="J7" s="2284"/>
      <c r="K7" s="2260"/>
      <c r="L7" s="2260"/>
      <c r="M7" s="2260"/>
      <c r="N7" s="2260"/>
      <c r="O7" s="2260"/>
      <c r="P7" s="2260"/>
      <c r="Q7" s="2260"/>
      <c r="R7" s="2260"/>
      <c r="S7" s="2260"/>
      <c r="T7" s="2260"/>
      <c r="U7" s="2260"/>
      <c r="V7" s="2260"/>
      <c r="W7" s="2260"/>
      <c r="X7" s="426"/>
      <c r="Y7" s="1306"/>
      <c r="Z7" s="1732"/>
      <c r="AA7" s="305"/>
      <c r="AB7" s="305"/>
      <c r="AC7" s="166"/>
    </row>
    <row r="8" spans="1:29" s="2282" customFormat="1" ht="20.25" customHeight="1">
      <c r="A8" s="396"/>
      <c r="B8" s="2293"/>
      <c r="C8" s="413"/>
      <c r="D8" s="3379" t="s">
        <v>600</v>
      </c>
      <c r="E8" s="3380"/>
      <c r="F8" s="382">
        <f>SUM(F9:F19)</f>
        <v>100000</v>
      </c>
      <c r="G8" s="382">
        <f>SUM(G9:G19)</f>
        <v>100000</v>
      </c>
      <c r="H8" s="468">
        <f>F8-G8</f>
        <v>0</v>
      </c>
      <c r="I8" s="398"/>
      <c r="J8" s="830"/>
      <c r="K8" s="2260"/>
      <c r="L8" s="2260"/>
      <c r="M8" s="2260"/>
      <c r="N8" s="2260"/>
      <c r="O8" s="2260"/>
      <c r="P8" s="2260"/>
      <c r="Q8" s="456"/>
      <c r="R8" s="457"/>
      <c r="S8" s="458"/>
      <c r="T8" s="459"/>
      <c r="U8" s="459"/>
      <c r="V8" s="459"/>
      <c r="W8" s="459"/>
      <c r="X8" s="460"/>
      <c r="Y8" s="345"/>
      <c r="Z8" s="1448"/>
      <c r="AA8" s="275"/>
      <c r="AB8" s="275"/>
      <c r="AC8" s="1424"/>
    </row>
    <row r="9" spans="1:29" s="2282" customFormat="1" ht="20.25" customHeight="1">
      <c r="A9" s="396"/>
      <c r="B9" s="2293"/>
      <c r="C9" s="413"/>
      <c r="D9" s="433"/>
      <c r="E9" s="542" t="s">
        <v>84</v>
      </c>
      <c r="F9" s="383">
        <f>Y9</f>
        <v>400</v>
      </c>
      <c r="G9" s="1116">
        <v>400</v>
      </c>
      <c r="H9" s="404"/>
      <c r="I9" s="398"/>
      <c r="J9" s="2287" t="s">
        <v>229</v>
      </c>
      <c r="K9" s="2288"/>
      <c r="N9" s="1673" t="s">
        <v>19</v>
      </c>
      <c r="O9" s="2282" t="s">
        <v>19</v>
      </c>
      <c r="Q9" s="408">
        <v>2</v>
      </c>
      <c r="R9" s="2275" t="s">
        <v>464</v>
      </c>
      <c r="S9" s="1672">
        <v>25000</v>
      </c>
      <c r="T9" s="2288" t="s">
        <v>0</v>
      </c>
      <c r="U9" s="2288"/>
      <c r="V9" s="2288">
        <v>8</v>
      </c>
      <c r="W9" s="2288" t="s">
        <v>3</v>
      </c>
      <c r="X9" s="1140" t="s">
        <v>1</v>
      </c>
      <c r="Y9" s="1674">
        <f>Z9/1000</f>
        <v>400</v>
      </c>
      <c r="Z9" s="1098">
        <f>Q9*S9*V9</f>
        <v>400000</v>
      </c>
      <c r="AA9" s="275"/>
      <c r="AB9" s="275"/>
      <c r="AC9" s="1424"/>
    </row>
    <row r="10" spans="1:29" s="2282" customFormat="1" ht="20.25" customHeight="1">
      <c r="A10" s="396"/>
      <c r="B10" s="2293"/>
      <c r="C10" s="413"/>
      <c r="D10" s="433"/>
      <c r="E10" s="1134" t="s">
        <v>52</v>
      </c>
      <c r="F10" s="383">
        <f>Y10</f>
        <v>3600</v>
      </c>
      <c r="G10" s="1116">
        <v>3600</v>
      </c>
      <c r="H10" s="404"/>
      <c r="I10" s="398"/>
      <c r="J10" s="2287" t="s">
        <v>8</v>
      </c>
      <c r="R10" s="405"/>
      <c r="X10" s="1140"/>
      <c r="Y10" s="1674">
        <f t="shared" ref="Y10:Y19" si="0">Z10/1000</f>
        <v>3600</v>
      </c>
      <c r="Z10" s="1098">
        <f>SUM(Z11:Z12)</f>
        <v>3600000</v>
      </c>
      <c r="AA10" s="275"/>
      <c r="AB10" s="275"/>
      <c r="AC10" s="1424"/>
    </row>
    <row r="11" spans="1:29" s="2282" customFormat="1" ht="20.25" customHeight="1">
      <c r="A11" s="396"/>
      <c r="B11" s="2293"/>
      <c r="C11" s="413"/>
      <c r="D11" s="433"/>
      <c r="E11" s="1134"/>
      <c r="F11" s="383"/>
      <c r="G11" s="1116"/>
      <c r="H11" s="404"/>
      <c r="I11" s="398"/>
      <c r="J11" s="2287" t="s">
        <v>699</v>
      </c>
      <c r="Q11" s="408">
        <v>3</v>
      </c>
      <c r="R11" s="2275" t="s">
        <v>464</v>
      </c>
      <c r="S11" s="1672">
        <v>200000</v>
      </c>
      <c r="T11" s="2288" t="s">
        <v>0</v>
      </c>
      <c r="U11" s="2288"/>
      <c r="V11" s="2288">
        <v>2</v>
      </c>
      <c r="W11" s="2288" t="s">
        <v>3</v>
      </c>
      <c r="X11" s="1140" t="s">
        <v>1</v>
      </c>
      <c r="Y11" s="1674">
        <f t="shared" si="0"/>
        <v>1200</v>
      </c>
      <c r="Z11" s="1098">
        <f>Q11*S11*V11</f>
        <v>1200000</v>
      </c>
      <c r="AA11" s="275"/>
      <c r="AB11" s="275"/>
      <c r="AC11" s="1424"/>
    </row>
    <row r="12" spans="1:29" s="2282" customFormat="1" ht="20.25" customHeight="1">
      <c r="A12" s="396"/>
      <c r="B12" s="2293"/>
      <c r="C12" s="413"/>
      <c r="D12" s="433"/>
      <c r="E12" s="1134"/>
      <c r="F12" s="383"/>
      <c r="G12" s="1116"/>
      <c r="H12" s="404"/>
      <c r="I12" s="398"/>
      <c r="J12" s="2287" t="s">
        <v>230</v>
      </c>
      <c r="Q12" s="408">
        <v>4</v>
      </c>
      <c r="R12" s="2275" t="s">
        <v>464</v>
      </c>
      <c r="S12" s="1672">
        <v>200000</v>
      </c>
      <c r="T12" s="2288" t="s">
        <v>0</v>
      </c>
      <c r="U12" s="2288"/>
      <c r="V12" s="2288">
        <v>3</v>
      </c>
      <c r="W12" s="2288" t="s">
        <v>3</v>
      </c>
      <c r="X12" s="1140" t="s">
        <v>1</v>
      </c>
      <c r="Y12" s="1674">
        <f t="shared" si="0"/>
        <v>2400</v>
      </c>
      <c r="Z12" s="1098">
        <f>Q12*S12*V12</f>
        <v>2400000</v>
      </c>
      <c r="AA12" s="275"/>
      <c r="AB12" s="275"/>
      <c r="AC12" s="1424"/>
    </row>
    <row r="13" spans="1:29" s="2282" customFormat="1" ht="20.25" customHeight="1">
      <c r="A13" s="396"/>
      <c r="B13" s="2293"/>
      <c r="C13" s="413"/>
      <c r="D13" s="433"/>
      <c r="E13" s="1134" t="s">
        <v>208</v>
      </c>
      <c r="F13" s="383">
        <f>Y13</f>
        <v>95000</v>
      </c>
      <c r="G13" s="1116">
        <v>95000</v>
      </c>
      <c r="H13" s="404"/>
      <c r="I13" s="398"/>
      <c r="J13" s="2287" t="s">
        <v>8</v>
      </c>
      <c r="K13" s="2288"/>
      <c r="Q13" s="408"/>
      <c r="R13" s="2262"/>
      <c r="S13" s="1672"/>
      <c r="T13" s="2288"/>
      <c r="U13" s="2288"/>
      <c r="V13" s="2288"/>
      <c r="W13" s="2288"/>
      <c r="X13" s="1140"/>
      <c r="Y13" s="1674">
        <f t="shared" si="0"/>
        <v>95000</v>
      </c>
      <c r="Z13" s="1098">
        <f>Z14+Z15</f>
        <v>95000000</v>
      </c>
      <c r="AA13" s="275"/>
      <c r="AB13" s="275"/>
      <c r="AC13" s="1424"/>
    </row>
    <row r="14" spans="1:29" s="2282" customFormat="1" ht="20.25" customHeight="1">
      <c r="A14" s="396"/>
      <c r="B14" s="2293"/>
      <c r="C14" s="413"/>
      <c r="D14" s="402"/>
      <c r="E14" s="1134"/>
      <c r="F14" s="383"/>
      <c r="G14" s="1116"/>
      <c r="H14" s="404"/>
      <c r="I14" s="398"/>
      <c r="J14" s="2287" t="s">
        <v>231</v>
      </c>
      <c r="K14" s="2288"/>
      <c r="N14" s="1673"/>
      <c r="Q14" s="408"/>
      <c r="R14" s="2262"/>
      <c r="S14" s="1672">
        <v>10000000</v>
      </c>
      <c r="T14" s="2288" t="s">
        <v>0</v>
      </c>
      <c r="U14" s="2288"/>
      <c r="V14" s="2288">
        <v>5</v>
      </c>
      <c r="W14" s="2288" t="s">
        <v>3</v>
      </c>
      <c r="X14" s="1140" t="s">
        <v>1</v>
      </c>
      <c r="Y14" s="1674">
        <f t="shared" si="0"/>
        <v>50000</v>
      </c>
      <c r="Z14" s="1098">
        <f>S14*V14</f>
        <v>50000000</v>
      </c>
      <c r="AA14" s="275"/>
      <c r="AB14" s="275"/>
      <c r="AC14" s="1424"/>
    </row>
    <row r="15" spans="1:29" s="2282" customFormat="1" ht="20.25" customHeight="1">
      <c r="A15" s="396"/>
      <c r="B15" s="2293"/>
      <c r="C15" s="413"/>
      <c r="D15" s="402"/>
      <c r="E15" s="1134"/>
      <c r="F15" s="383"/>
      <c r="G15" s="1116"/>
      <c r="H15" s="404"/>
      <c r="I15" s="398"/>
      <c r="J15" s="2287" t="s">
        <v>232</v>
      </c>
      <c r="K15" s="2288"/>
      <c r="N15" s="1673"/>
      <c r="Q15" s="408"/>
      <c r="R15" s="2262"/>
      <c r="S15" s="1672">
        <v>15000000</v>
      </c>
      <c r="T15" s="2288" t="s">
        <v>0</v>
      </c>
      <c r="U15" s="2288"/>
      <c r="V15" s="2288">
        <v>3</v>
      </c>
      <c r="W15" s="2288" t="s">
        <v>3</v>
      </c>
      <c r="X15" s="1140" t="s">
        <v>1</v>
      </c>
      <c r="Y15" s="1674">
        <f t="shared" si="0"/>
        <v>45000</v>
      </c>
      <c r="Z15" s="1098">
        <f>S15*V15</f>
        <v>45000000</v>
      </c>
      <c r="AA15" s="275"/>
      <c r="AB15" s="275"/>
      <c r="AC15" s="1424"/>
    </row>
    <row r="16" spans="1:29" s="2282" customFormat="1" ht="20.25" customHeight="1">
      <c r="A16" s="396"/>
      <c r="B16" s="2293"/>
      <c r="C16" s="413"/>
      <c r="D16" s="402"/>
      <c r="E16" s="1134" t="s">
        <v>56</v>
      </c>
      <c r="F16" s="383">
        <v>500</v>
      </c>
      <c r="G16" s="1116">
        <v>500</v>
      </c>
      <c r="H16" s="404"/>
      <c r="I16" s="398"/>
      <c r="J16" s="2287" t="s">
        <v>1694</v>
      </c>
      <c r="K16" s="2288"/>
      <c r="N16" s="1673"/>
      <c r="Q16" s="408"/>
      <c r="R16" s="2262"/>
      <c r="S16" s="1672"/>
      <c r="T16" s="2288"/>
      <c r="U16" s="2288"/>
      <c r="V16" s="2288"/>
      <c r="W16" s="2288"/>
      <c r="X16" s="1140"/>
      <c r="Y16" s="1674">
        <f t="shared" si="0"/>
        <v>500</v>
      </c>
      <c r="Z16" s="1098">
        <f>+Z17+Z18</f>
        <v>500000</v>
      </c>
      <c r="AA16" s="275"/>
      <c r="AB16" s="275"/>
      <c r="AC16" s="1424"/>
    </row>
    <row r="17" spans="1:29" s="2282" customFormat="1" ht="20.25" customHeight="1">
      <c r="A17" s="396"/>
      <c r="B17" s="2293"/>
      <c r="C17" s="413"/>
      <c r="D17" s="465"/>
      <c r="F17" s="383"/>
      <c r="G17" s="1116"/>
      <c r="H17" s="404"/>
      <c r="I17" s="398"/>
      <c r="J17" s="2287" t="s">
        <v>233</v>
      </c>
      <c r="K17" s="2288"/>
      <c r="N17" s="1673"/>
      <c r="Q17" s="408"/>
      <c r="R17" s="2262"/>
      <c r="S17" s="1672">
        <v>250000</v>
      </c>
      <c r="T17" s="2288" t="s">
        <v>0</v>
      </c>
      <c r="U17" s="2288"/>
      <c r="V17" s="2288">
        <v>1</v>
      </c>
      <c r="W17" s="2288" t="s">
        <v>3</v>
      </c>
      <c r="X17" s="1140" t="s">
        <v>1</v>
      </c>
      <c r="Y17" s="1674">
        <f t="shared" si="0"/>
        <v>250</v>
      </c>
      <c r="Z17" s="1098">
        <f>S17*V17</f>
        <v>250000</v>
      </c>
      <c r="AA17" s="275"/>
      <c r="AB17" s="275"/>
      <c r="AC17" s="1424"/>
    </row>
    <row r="18" spans="1:29" s="2282" customFormat="1" ht="20.25" customHeight="1">
      <c r="A18" s="396"/>
      <c r="B18" s="2293"/>
      <c r="C18" s="413"/>
      <c r="D18" s="402"/>
      <c r="E18" s="1134"/>
      <c r="F18" s="383"/>
      <c r="G18" s="1116"/>
      <c r="H18" s="404"/>
      <c r="I18" s="398"/>
      <c r="J18" s="2287" t="s">
        <v>234</v>
      </c>
      <c r="K18" s="2288"/>
      <c r="N18" s="1673"/>
      <c r="Q18" s="408"/>
      <c r="R18" s="2262"/>
      <c r="S18" s="1672">
        <v>250000</v>
      </c>
      <c r="T18" s="2288" t="s">
        <v>0</v>
      </c>
      <c r="U18" s="2288"/>
      <c r="V18" s="2288">
        <v>1</v>
      </c>
      <c r="W18" s="2288" t="s">
        <v>3</v>
      </c>
      <c r="X18" s="1140" t="s">
        <v>1</v>
      </c>
      <c r="Y18" s="1674">
        <f t="shared" si="0"/>
        <v>250</v>
      </c>
      <c r="Z18" s="1098">
        <f>S18*V18</f>
        <v>250000</v>
      </c>
      <c r="AA18" s="275"/>
      <c r="AB18" s="275"/>
      <c r="AC18" s="1424"/>
    </row>
    <row r="19" spans="1:29" s="2282" customFormat="1" ht="20.25" customHeight="1">
      <c r="A19" s="396"/>
      <c r="B19" s="2293"/>
      <c r="C19" s="413"/>
      <c r="D19" s="433"/>
      <c r="E19" s="542" t="s">
        <v>55</v>
      </c>
      <c r="F19" s="383">
        <f>+Y19</f>
        <v>500</v>
      </c>
      <c r="G19" s="1116">
        <v>500</v>
      </c>
      <c r="H19" s="404"/>
      <c r="I19" s="398"/>
      <c r="J19" s="2287" t="s">
        <v>235</v>
      </c>
      <c r="K19" s="2288"/>
      <c r="N19" s="1673"/>
      <c r="Q19" s="408">
        <v>5</v>
      </c>
      <c r="R19" s="2275" t="s">
        <v>1695</v>
      </c>
      <c r="S19" s="1672">
        <v>10000</v>
      </c>
      <c r="T19" s="2288" t="s">
        <v>0</v>
      </c>
      <c r="U19" s="2288"/>
      <c r="V19" s="2288">
        <v>10</v>
      </c>
      <c r="W19" s="2288" t="s">
        <v>3</v>
      </c>
      <c r="X19" s="1140" t="s">
        <v>1</v>
      </c>
      <c r="Y19" s="1674">
        <f t="shared" si="0"/>
        <v>500</v>
      </c>
      <c r="Z19" s="1098">
        <f>Q19*S19*V19</f>
        <v>500000</v>
      </c>
      <c r="AA19" s="275"/>
      <c r="AB19" s="275"/>
      <c r="AC19" s="1424"/>
    </row>
    <row r="20" spans="1:29" s="2282" customFormat="1" ht="20.25" customHeight="1">
      <c r="A20" s="396"/>
      <c r="B20" s="2293"/>
      <c r="C20" s="397"/>
      <c r="D20" s="3382" t="s">
        <v>5532</v>
      </c>
      <c r="E20" s="3383"/>
      <c r="F20" s="2966">
        <f>SUM(F21:F50)</f>
        <v>180000</v>
      </c>
      <c r="G20" s="2966">
        <f>SUM(G21:G50)</f>
        <v>180000</v>
      </c>
      <c r="H20" s="2478">
        <f>F20-G20</f>
        <v>0</v>
      </c>
      <c r="I20" s="1118"/>
      <c r="J20" s="889"/>
      <c r="K20" s="732"/>
      <c r="L20" s="2912"/>
      <c r="M20" s="2912"/>
      <c r="N20" s="2912"/>
      <c r="O20" s="2912"/>
      <c r="P20" s="2912"/>
      <c r="Q20" s="2980"/>
      <c r="R20" s="890"/>
      <c r="S20" s="718"/>
      <c r="T20" s="732"/>
      <c r="U20" s="732"/>
      <c r="V20" s="732"/>
      <c r="W20" s="732"/>
      <c r="X20" s="891"/>
      <c r="Y20" s="704"/>
      <c r="Z20" s="2981"/>
      <c r="AA20" s="305"/>
      <c r="AB20" s="305"/>
      <c r="AC20" s="166"/>
    </row>
    <row r="21" spans="1:29" s="2282" customFormat="1" ht="20.25" customHeight="1">
      <c r="A21" s="396"/>
      <c r="B21" s="2293"/>
      <c r="C21" s="397"/>
      <c r="D21" s="2960"/>
      <c r="E21" s="510" t="s">
        <v>5496</v>
      </c>
      <c r="F21" s="873">
        <f>Y21</f>
        <v>33000</v>
      </c>
      <c r="G21" s="512">
        <v>33000</v>
      </c>
      <c r="H21" s="634"/>
      <c r="I21" s="1118"/>
      <c r="J21" s="514" t="s">
        <v>5453</v>
      </c>
      <c r="K21" s="2880"/>
      <c r="L21" s="2880"/>
      <c r="M21" s="2880"/>
      <c r="N21" s="2880"/>
      <c r="O21" s="2880"/>
      <c r="P21" s="2880"/>
      <c r="Q21" s="2880"/>
      <c r="R21" s="1187"/>
      <c r="S21" s="2880"/>
      <c r="T21" s="2880"/>
      <c r="U21" s="2880"/>
      <c r="V21" s="2880"/>
      <c r="W21" s="2880"/>
      <c r="X21" s="517"/>
      <c r="Y21" s="636">
        <v>33000</v>
      </c>
      <c r="Z21" s="1265">
        <f>Z22+Z23</f>
        <v>33000000</v>
      </c>
      <c r="AA21" s="305"/>
      <c r="AB21" s="305"/>
      <c r="AC21" s="166"/>
    </row>
    <row r="22" spans="1:29" s="2282" customFormat="1" ht="20.25" customHeight="1">
      <c r="A22" s="396"/>
      <c r="B22" s="2293"/>
      <c r="C22" s="397"/>
      <c r="D22" s="2960"/>
      <c r="E22" s="510"/>
      <c r="F22" s="873"/>
      <c r="G22" s="512"/>
      <c r="H22" s="634"/>
      <c r="I22" s="1118"/>
      <c r="J22" s="514" t="s">
        <v>5505</v>
      </c>
      <c r="K22" s="2880"/>
      <c r="L22" s="2880"/>
      <c r="M22" s="2880"/>
      <c r="N22" s="2880"/>
      <c r="O22" s="2880"/>
      <c r="P22" s="2880"/>
      <c r="Q22" s="727">
        <v>1</v>
      </c>
      <c r="R22" s="2887" t="s">
        <v>5462</v>
      </c>
      <c r="S22" s="1686">
        <v>2500000</v>
      </c>
      <c r="T22" s="516" t="s">
        <v>5454</v>
      </c>
      <c r="U22" s="516"/>
      <c r="V22" s="516">
        <v>12</v>
      </c>
      <c r="W22" s="516" t="s">
        <v>5506</v>
      </c>
      <c r="X22" s="517" t="s">
        <v>5456</v>
      </c>
      <c r="Y22" s="2944">
        <f t="shared" ref="Y22:Y49" si="1">Z22/1000</f>
        <v>30000</v>
      </c>
      <c r="Z22" s="1265">
        <f>Q22*S22*V22</f>
        <v>30000000</v>
      </c>
      <c r="AA22" s="305"/>
      <c r="AB22" s="305"/>
      <c r="AC22" s="166"/>
    </row>
    <row r="23" spans="1:29" s="2282" customFormat="1" ht="20.25" customHeight="1">
      <c r="A23" s="396"/>
      <c r="B23" s="2293"/>
      <c r="C23" s="397"/>
      <c r="D23" s="2960"/>
      <c r="E23" s="510"/>
      <c r="F23" s="873"/>
      <c r="G23" s="512"/>
      <c r="H23" s="634"/>
      <c r="I23" s="1118"/>
      <c r="J23" s="514" t="s">
        <v>5507</v>
      </c>
      <c r="K23" s="2880"/>
      <c r="L23" s="2880"/>
      <c r="M23" s="2880"/>
      <c r="N23" s="2880"/>
      <c r="O23" s="2880"/>
      <c r="P23" s="2880"/>
      <c r="Q23" s="727"/>
      <c r="R23" s="2891"/>
      <c r="S23" s="1686">
        <v>3000000</v>
      </c>
      <c r="T23" s="516" t="s">
        <v>5454</v>
      </c>
      <c r="U23" s="516"/>
      <c r="V23" s="516">
        <v>1</v>
      </c>
      <c r="W23" s="516" t="s">
        <v>5487</v>
      </c>
      <c r="X23" s="517" t="s">
        <v>5456</v>
      </c>
      <c r="Y23" s="2945">
        <f>(Z23)/1000</f>
        <v>3000</v>
      </c>
      <c r="Z23" s="1265">
        <f>S23*V23</f>
        <v>3000000</v>
      </c>
      <c r="AA23" s="305"/>
      <c r="AB23" s="305"/>
      <c r="AC23" s="166"/>
    </row>
    <row r="24" spans="1:29" s="2282" customFormat="1" ht="20.25" customHeight="1">
      <c r="A24" s="396"/>
      <c r="B24" s="2293"/>
      <c r="C24" s="397"/>
      <c r="D24" s="2960"/>
      <c r="E24" s="510" t="s">
        <v>5533</v>
      </c>
      <c r="F24" s="873">
        <f>Y24</f>
        <v>2000</v>
      </c>
      <c r="G24" s="512">
        <v>2000</v>
      </c>
      <c r="H24" s="634"/>
      <c r="I24" s="1118"/>
      <c r="J24" s="3350" t="s">
        <v>5508</v>
      </c>
      <c r="K24" s="3351"/>
      <c r="L24" s="3351"/>
      <c r="M24" s="3351"/>
      <c r="N24" s="3351"/>
      <c r="O24" s="3351"/>
      <c r="P24" s="2880"/>
      <c r="Q24" s="727"/>
      <c r="R24" s="2891"/>
      <c r="S24" s="1686">
        <v>400000</v>
      </c>
      <c r="T24" s="516" t="s">
        <v>0</v>
      </c>
      <c r="U24" s="516"/>
      <c r="V24" s="516">
        <v>5</v>
      </c>
      <c r="W24" s="516" t="s">
        <v>3</v>
      </c>
      <c r="X24" s="517" t="s">
        <v>1</v>
      </c>
      <c r="Y24" s="636">
        <v>2000</v>
      </c>
      <c r="Z24" s="1265">
        <f t="shared" ref="Z24:Z25" si="2">S24*V24</f>
        <v>2000000</v>
      </c>
      <c r="AA24" s="305"/>
      <c r="AB24" s="305"/>
      <c r="AC24" s="166"/>
    </row>
    <row r="25" spans="1:29" s="2282" customFormat="1" ht="20.25" customHeight="1">
      <c r="A25" s="396"/>
      <c r="B25" s="2293"/>
      <c r="C25" s="397"/>
      <c r="D25" s="2960"/>
      <c r="E25" s="510" t="s">
        <v>5534</v>
      </c>
      <c r="F25" s="873">
        <f t="shared" ref="F25:F50" si="3">Y25</f>
        <v>10000</v>
      </c>
      <c r="G25" s="512">
        <v>10000</v>
      </c>
      <c r="H25" s="634"/>
      <c r="I25" s="1118"/>
      <c r="J25" s="514" t="s">
        <v>5509</v>
      </c>
      <c r="K25" s="2880"/>
      <c r="L25" s="2880"/>
      <c r="M25" s="2880"/>
      <c r="N25" s="2880"/>
      <c r="O25" s="2880"/>
      <c r="P25" s="515"/>
      <c r="Q25" s="516"/>
      <c r="R25" s="2887"/>
      <c r="S25" s="1686">
        <v>20000</v>
      </c>
      <c r="T25" s="516" t="s">
        <v>5454</v>
      </c>
      <c r="U25" s="516"/>
      <c r="V25" s="516">
        <v>500</v>
      </c>
      <c r="W25" s="516" t="s">
        <v>5455</v>
      </c>
      <c r="X25" s="517" t="s">
        <v>5456</v>
      </c>
      <c r="Y25" s="2945">
        <f>(Z25)/1000</f>
        <v>10000</v>
      </c>
      <c r="Z25" s="1265">
        <f t="shared" si="2"/>
        <v>10000000</v>
      </c>
      <c r="AA25" s="305"/>
      <c r="AB25" s="305"/>
      <c r="AC25" s="166"/>
    </row>
    <row r="26" spans="1:29" s="2282" customFormat="1" ht="20.25" customHeight="1">
      <c r="A26" s="396"/>
      <c r="B26" s="2293"/>
      <c r="C26" s="397"/>
      <c r="D26" s="2960"/>
      <c r="E26" s="510" t="s">
        <v>24</v>
      </c>
      <c r="F26" s="873">
        <f t="shared" si="3"/>
        <v>1000</v>
      </c>
      <c r="G26" s="873">
        <v>1000</v>
      </c>
      <c r="H26" s="634"/>
      <c r="I26" s="1118"/>
      <c r="J26" s="514" t="s">
        <v>5510</v>
      </c>
      <c r="K26" s="2880"/>
      <c r="L26" s="2880"/>
      <c r="M26" s="2880"/>
      <c r="N26" s="2880"/>
      <c r="O26" s="2880"/>
      <c r="P26" s="515"/>
      <c r="Q26" s="516"/>
      <c r="R26" s="2887"/>
      <c r="S26" s="516">
        <v>2000000000</v>
      </c>
      <c r="T26" s="516" t="s">
        <v>0</v>
      </c>
      <c r="U26" s="515"/>
      <c r="V26" s="2946">
        <v>5.0000000000000001E-4</v>
      </c>
      <c r="W26" s="516"/>
      <c r="X26" s="517" t="s">
        <v>1</v>
      </c>
      <c r="Y26" s="636">
        <f t="shared" si="1"/>
        <v>1000</v>
      </c>
      <c r="Z26" s="1386">
        <f>S26*V26</f>
        <v>1000000</v>
      </c>
      <c r="AA26" s="305"/>
      <c r="AB26" s="305"/>
      <c r="AC26" s="166"/>
    </row>
    <row r="27" spans="1:29" s="2282" customFormat="1" ht="20.25" customHeight="1">
      <c r="A27" s="396"/>
      <c r="B27" s="2293"/>
      <c r="C27" s="397"/>
      <c r="D27" s="2960"/>
      <c r="E27" s="2947" t="s">
        <v>73</v>
      </c>
      <c r="F27" s="873">
        <f t="shared" si="3"/>
        <v>1500</v>
      </c>
      <c r="G27" s="873">
        <v>1500</v>
      </c>
      <c r="H27" s="634"/>
      <c r="I27" s="1333"/>
      <c r="J27" s="3350" t="s">
        <v>5511</v>
      </c>
      <c r="K27" s="3351"/>
      <c r="L27" s="3351"/>
      <c r="M27" s="3351"/>
      <c r="N27" s="3351"/>
      <c r="O27" s="3351"/>
      <c r="P27" s="2880"/>
      <c r="Q27" s="727"/>
      <c r="R27" s="2887"/>
      <c r="S27" s="1686"/>
      <c r="T27" s="516"/>
      <c r="U27" s="516"/>
      <c r="V27" s="516"/>
      <c r="W27" s="516"/>
      <c r="X27" s="517" t="s">
        <v>1</v>
      </c>
      <c r="Y27" s="636">
        <f t="shared" si="1"/>
        <v>1500</v>
      </c>
      <c r="Z27" s="1265">
        <f>Z28+Z29</f>
        <v>1500000</v>
      </c>
      <c r="AA27" s="305"/>
      <c r="AB27" s="305"/>
      <c r="AC27" s="166"/>
    </row>
    <row r="28" spans="1:29" s="2282" customFormat="1" ht="20.25" customHeight="1">
      <c r="A28" s="396"/>
      <c r="B28" s="2293"/>
      <c r="C28" s="397"/>
      <c r="D28" s="2960"/>
      <c r="E28" s="2947"/>
      <c r="F28" s="873"/>
      <c r="G28" s="512"/>
      <c r="H28" s="634"/>
      <c r="I28" s="2504"/>
      <c r="J28" s="3350" t="s">
        <v>5512</v>
      </c>
      <c r="K28" s="3351"/>
      <c r="L28" s="3351"/>
      <c r="M28" s="3351"/>
      <c r="N28" s="3351"/>
      <c r="O28" s="3351"/>
      <c r="P28" s="2880"/>
      <c r="Q28" s="727"/>
      <c r="R28" s="2887"/>
      <c r="S28" s="1686">
        <v>100000</v>
      </c>
      <c r="T28" s="516" t="s">
        <v>0</v>
      </c>
      <c r="U28" s="516"/>
      <c r="V28" s="516">
        <v>5</v>
      </c>
      <c r="W28" s="516" t="s">
        <v>5463</v>
      </c>
      <c r="X28" s="517" t="s">
        <v>1</v>
      </c>
      <c r="Y28" s="636">
        <f t="shared" si="1"/>
        <v>500</v>
      </c>
      <c r="Z28" s="1265">
        <f t="shared" ref="Z28:Z29" si="4">S28*V28</f>
        <v>500000</v>
      </c>
      <c r="AA28" s="305"/>
      <c r="AB28" s="305"/>
      <c r="AC28" s="166"/>
    </row>
    <row r="29" spans="1:29" s="2282" customFormat="1" ht="20.25" customHeight="1">
      <c r="A29" s="396"/>
      <c r="B29" s="2293"/>
      <c r="C29" s="397"/>
      <c r="D29" s="2960"/>
      <c r="E29" s="2947"/>
      <c r="F29" s="873"/>
      <c r="G29" s="1699"/>
      <c r="H29" s="634"/>
      <c r="I29" s="1118"/>
      <c r="J29" s="3350" t="s">
        <v>5513</v>
      </c>
      <c r="K29" s="3351"/>
      <c r="L29" s="3351"/>
      <c r="M29" s="3351"/>
      <c r="N29" s="3351"/>
      <c r="O29" s="3351"/>
      <c r="P29" s="2880"/>
      <c r="Q29" s="727"/>
      <c r="R29" s="2887"/>
      <c r="S29" s="1686">
        <v>200000</v>
      </c>
      <c r="T29" s="516" t="s">
        <v>0</v>
      </c>
      <c r="U29" s="516"/>
      <c r="V29" s="516">
        <v>5</v>
      </c>
      <c r="W29" s="516" t="s">
        <v>5463</v>
      </c>
      <c r="X29" s="517" t="s">
        <v>1</v>
      </c>
      <c r="Y29" s="636">
        <f t="shared" si="1"/>
        <v>1000</v>
      </c>
      <c r="Z29" s="1265">
        <f t="shared" si="4"/>
        <v>1000000</v>
      </c>
      <c r="AA29" s="305"/>
      <c r="AB29" s="305"/>
      <c r="AC29" s="166"/>
    </row>
    <row r="30" spans="1:29" s="2282" customFormat="1" ht="20.25" customHeight="1">
      <c r="A30" s="396"/>
      <c r="B30" s="2293"/>
      <c r="C30" s="397"/>
      <c r="D30" s="2960"/>
      <c r="E30" s="2947" t="s">
        <v>5498</v>
      </c>
      <c r="F30" s="873">
        <f t="shared" si="3"/>
        <v>2000</v>
      </c>
      <c r="G30" s="1699">
        <v>2000</v>
      </c>
      <c r="H30" s="634"/>
      <c r="I30" s="1118"/>
      <c r="J30" s="3350" t="s">
        <v>5511</v>
      </c>
      <c r="K30" s="3351"/>
      <c r="L30" s="3351"/>
      <c r="M30" s="3351"/>
      <c r="N30" s="3351"/>
      <c r="O30" s="3351"/>
      <c r="P30" s="2880"/>
      <c r="Q30" s="727"/>
      <c r="R30" s="2891"/>
      <c r="S30" s="1686"/>
      <c r="T30" s="516"/>
      <c r="U30" s="516"/>
      <c r="V30" s="516"/>
      <c r="W30" s="516"/>
      <c r="X30" s="517"/>
      <c r="Y30" s="636">
        <f>Z30/1000</f>
        <v>2000</v>
      </c>
      <c r="Z30" s="1265">
        <f>Z31+Z32</f>
        <v>2000000</v>
      </c>
      <c r="AA30" s="305"/>
      <c r="AB30" s="305"/>
      <c r="AC30" s="166"/>
    </row>
    <row r="31" spans="1:29" s="2405" customFormat="1" ht="20.25" customHeight="1">
      <c r="A31" s="396"/>
      <c r="B31" s="2415"/>
      <c r="C31" s="397"/>
      <c r="D31" s="2960"/>
      <c r="E31" s="2947"/>
      <c r="F31" s="873"/>
      <c r="G31" s="1699"/>
      <c r="H31" s="634"/>
      <c r="I31" s="1118"/>
      <c r="J31" s="3350" t="s">
        <v>5459</v>
      </c>
      <c r="K31" s="3351"/>
      <c r="L31" s="3351"/>
      <c r="M31" s="3351"/>
      <c r="N31" s="3351"/>
      <c r="O31" s="3351"/>
      <c r="P31" s="2880"/>
      <c r="Q31" s="727">
        <v>2</v>
      </c>
      <c r="R31" s="2891" t="s">
        <v>5462</v>
      </c>
      <c r="S31" s="1686">
        <v>20000</v>
      </c>
      <c r="T31" s="516" t="s">
        <v>5454</v>
      </c>
      <c r="U31" s="516"/>
      <c r="V31" s="516">
        <v>25</v>
      </c>
      <c r="W31" s="516" t="s">
        <v>3</v>
      </c>
      <c r="X31" s="517" t="s">
        <v>1</v>
      </c>
      <c r="Y31" s="636">
        <f t="shared" ref="Y31" si="5">Z31/1000</f>
        <v>1000</v>
      </c>
      <c r="Z31" s="1265">
        <f t="shared" ref="Z31:Z32" si="6">Q31*S31*V31</f>
        <v>1000000</v>
      </c>
      <c r="AA31" s="305"/>
      <c r="AB31" s="305"/>
      <c r="AC31" s="166"/>
    </row>
    <row r="32" spans="1:29" s="2282" customFormat="1" ht="20.25" customHeight="1">
      <c r="A32" s="396"/>
      <c r="B32" s="2293"/>
      <c r="C32" s="397"/>
      <c r="D32" s="2960"/>
      <c r="E32" s="2947"/>
      <c r="F32" s="873"/>
      <c r="G32" s="1699"/>
      <c r="H32" s="634"/>
      <c r="I32" s="1118"/>
      <c r="J32" s="2886" t="s">
        <v>5514</v>
      </c>
      <c r="K32" s="2887"/>
      <c r="L32" s="2887"/>
      <c r="M32" s="2887"/>
      <c r="N32" s="2887"/>
      <c r="O32" s="2887"/>
      <c r="P32" s="2880"/>
      <c r="Q32" s="727">
        <v>2</v>
      </c>
      <c r="R32" s="2891" t="s">
        <v>5462</v>
      </c>
      <c r="S32" s="1686">
        <v>500000</v>
      </c>
      <c r="T32" s="516" t="s">
        <v>5454</v>
      </c>
      <c r="U32" s="516"/>
      <c r="V32" s="516">
        <v>1</v>
      </c>
      <c r="W32" s="516" t="s">
        <v>3</v>
      </c>
      <c r="X32" s="517" t="s">
        <v>1</v>
      </c>
      <c r="Y32" s="636">
        <f t="shared" si="1"/>
        <v>1000</v>
      </c>
      <c r="Z32" s="1265">
        <f t="shared" si="6"/>
        <v>1000000</v>
      </c>
      <c r="AA32" s="305"/>
      <c r="AB32" s="305"/>
      <c r="AC32" s="166"/>
    </row>
    <row r="33" spans="1:29" s="2282" customFormat="1" ht="20.25" customHeight="1">
      <c r="A33" s="396"/>
      <c r="B33" s="2293"/>
      <c r="C33" s="397"/>
      <c r="D33" s="2960"/>
      <c r="E33" s="2947" t="s">
        <v>5535</v>
      </c>
      <c r="F33" s="873">
        <f t="shared" si="3"/>
        <v>2000</v>
      </c>
      <c r="G33" s="1699">
        <v>0</v>
      </c>
      <c r="H33" s="634">
        <f t="shared" ref="H33:H47" si="7">F33-G33</f>
        <v>2000</v>
      </c>
      <c r="I33" s="1118"/>
      <c r="J33" s="2886" t="s">
        <v>5515</v>
      </c>
      <c r="K33" s="2887"/>
      <c r="L33" s="2887"/>
      <c r="M33" s="2887"/>
      <c r="N33" s="2887"/>
      <c r="O33" s="2887"/>
      <c r="P33" s="2880"/>
      <c r="Q33" s="727"/>
      <c r="R33" s="2891"/>
      <c r="S33" s="1686">
        <v>2000000</v>
      </c>
      <c r="T33" s="516" t="s">
        <v>5454</v>
      </c>
      <c r="U33" s="516"/>
      <c r="V33" s="516">
        <v>1</v>
      </c>
      <c r="W33" s="516" t="s">
        <v>5457</v>
      </c>
      <c r="X33" s="517" t="s">
        <v>1</v>
      </c>
      <c r="Y33" s="636">
        <v>2000</v>
      </c>
      <c r="Z33" s="1265">
        <f>Z34+Z35+Z37+Z38</f>
        <v>29000000</v>
      </c>
      <c r="AA33" s="305"/>
      <c r="AB33" s="305"/>
      <c r="AC33" s="166"/>
    </row>
    <row r="34" spans="1:29" s="2282" customFormat="1" ht="20.25" customHeight="1">
      <c r="A34" s="396"/>
      <c r="B34" s="2293"/>
      <c r="C34" s="397"/>
      <c r="D34" s="2960"/>
      <c r="E34" s="2947" t="s">
        <v>52</v>
      </c>
      <c r="F34" s="873">
        <f t="shared" si="3"/>
        <v>20500</v>
      </c>
      <c r="G34" s="1699">
        <v>21500</v>
      </c>
      <c r="H34" s="634">
        <f t="shared" si="7"/>
        <v>-1000</v>
      </c>
      <c r="I34" s="1118"/>
      <c r="J34" s="3350" t="s">
        <v>5511</v>
      </c>
      <c r="K34" s="3351"/>
      <c r="L34" s="3351"/>
      <c r="M34" s="3351"/>
      <c r="N34" s="3351"/>
      <c r="O34" s="3351"/>
      <c r="P34" s="2880"/>
      <c r="Q34" s="727"/>
      <c r="R34" s="2887"/>
      <c r="S34" s="1686"/>
      <c r="T34" s="516"/>
      <c r="U34" s="516"/>
      <c r="V34" s="516"/>
      <c r="W34" s="516"/>
      <c r="X34" s="517" t="s">
        <v>1</v>
      </c>
      <c r="Y34" s="636">
        <f>Y35+Y36+Y37+Y38</f>
        <v>20500</v>
      </c>
      <c r="Z34" s="1265">
        <f>Z35+Z36+Z37+Z38</f>
        <v>20500000</v>
      </c>
      <c r="AA34" s="305"/>
      <c r="AB34" s="305"/>
      <c r="AC34" s="166"/>
    </row>
    <row r="35" spans="1:29" s="2282" customFormat="1" ht="20.25" customHeight="1">
      <c r="A35" s="396"/>
      <c r="B35" s="2293"/>
      <c r="C35" s="397"/>
      <c r="D35" s="2960"/>
      <c r="E35" s="2947"/>
      <c r="F35" s="873"/>
      <c r="G35" s="1699"/>
      <c r="H35" s="634"/>
      <c r="I35" s="1118"/>
      <c r="J35" s="3350" t="s">
        <v>5516</v>
      </c>
      <c r="K35" s="3351"/>
      <c r="L35" s="3351"/>
      <c r="M35" s="3351"/>
      <c r="N35" s="3351"/>
      <c r="O35" s="3351"/>
      <c r="P35" s="2880"/>
      <c r="Q35" s="727">
        <v>4</v>
      </c>
      <c r="R35" s="2891" t="s">
        <v>5462</v>
      </c>
      <c r="S35" s="1686">
        <v>250000</v>
      </c>
      <c r="T35" s="516" t="s">
        <v>0</v>
      </c>
      <c r="U35" s="516"/>
      <c r="V35" s="516">
        <v>4</v>
      </c>
      <c r="W35" s="516" t="s">
        <v>3</v>
      </c>
      <c r="X35" s="517" t="s">
        <v>1</v>
      </c>
      <c r="Y35" s="636">
        <f t="shared" si="1"/>
        <v>4000</v>
      </c>
      <c r="Z35" s="1265">
        <f t="shared" ref="Z35:Z38" si="8">Q35*S35*V35</f>
        <v>4000000</v>
      </c>
      <c r="AA35" s="305"/>
      <c r="AB35" s="305"/>
      <c r="AC35" s="166"/>
    </row>
    <row r="36" spans="1:29" s="2889" customFormat="1" ht="20.25" customHeight="1">
      <c r="A36" s="396"/>
      <c r="B36" s="2905"/>
      <c r="C36" s="397"/>
      <c r="D36" s="2960"/>
      <c r="E36" s="2947"/>
      <c r="F36" s="873"/>
      <c r="G36" s="1699"/>
      <c r="H36" s="634"/>
      <c r="I36" s="1118"/>
      <c r="J36" s="2886" t="s">
        <v>5517</v>
      </c>
      <c r="K36" s="2887"/>
      <c r="L36" s="2887"/>
      <c r="M36" s="2887"/>
      <c r="N36" s="2887"/>
      <c r="O36" s="2887"/>
      <c r="P36" s="2880"/>
      <c r="Q36" s="727">
        <v>2</v>
      </c>
      <c r="R36" s="2891" t="s">
        <v>5462</v>
      </c>
      <c r="S36" s="1686">
        <v>1500000</v>
      </c>
      <c r="T36" s="516" t="s">
        <v>0</v>
      </c>
      <c r="U36" s="516"/>
      <c r="V36" s="516">
        <v>4</v>
      </c>
      <c r="W36" s="516" t="s">
        <v>3</v>
      </c>
      <c r="X36" s="517" t="s">
        <v>1</v>
      </c>
      <c r="Y36" s="636">
        <f t="shared" si="1"/>
        <v>12000</v>
      </c>
      <c r="Z36" s="1265">
        <f>Q36*S36*V36</f>
        <v>12000000</v>
      </c>
      <c r="AA36" s="305"/>
      <c r="AB36" s="305"/>
      <c r="AC36" s="2557"/>
    </row>
    <row r="37" spans="1:29" s="2282" customFormat="1" ht="20.25" customHeight="1">
      <c r="A37" s="396"/>
      <c r="B37" s="2293"/>
      <c r="C37" s="397"/>
      <c r="D37" s="2960"/>
      <c r="E37" s="2947"/>
      <c r="F37" s="873"/>
      <c r="G37" s="1699"/>
      <c r="H37" s="634"/>
      <c r="I37" s="1118"/>
      <c r="J37" s="2886" t="s">
        <v>5518</v>
      </c>
      <c r="K37" s="2887"/>
      <c r="L37" s="2887"/>
      <c r="M37" s="2887"/>
      <c r="N37" s="2887"/>
      <c r="O37" s="2887"/>
      <c r="P37" s="2880"/>
      <c r="Q37" s="727">
        <v>1</v>
      </c>
      <c r="R37" s="2891" t="s">
        <v>5462</v>
      </c>
      <c r="S37" s="1686">
        <v>300000</v>
      </c>
      <c r="T37" s="516" t="s">
        <v>0</v>
      </c>
      <c r="U37" s="516"/>
      <c r="V37" s="516">
        <v>10</v>
      </c>
      <c r="W37" s="516" t="s">
        <v>3</v>
      </c>
      <c r="X37" s="517" t="s">
        <v>1</v>
      </c>
      <c r="Y37" s="636">
        <f t="shared" si="1"/>
        <v>3000</v>
      </c>
      <c r="Z37" s="1265">
        <f t="shared" si="8"/>
        <v>3000000</v>
      </c>
      <c r="AA37" s="305"/>
      <c r="AB37" s="305"/>
      <c r="AC37" s="166"/>
    </row>
    <row r="38" spans="1:29" s="2405" customFormat="1" ht="20.25" customHeight="1">
      <c r="A38" s="396"/>
      <c r="B38" s="2415"/>
      <c r="C38" s="397"/>
      <c r="D38" s="2960"/>
      <c r="E38" s="2947"/>
      <c r="F38" s="873"/>
      <c r="G38" s="1699"/>
      <c r="H38" s="634"/>
      <c r="I38" s="1118"/>
      <c r="J38" s="514" t="s">
        <v>5519</v>
      </c>
      <c r="K38" s="2880"/>
      <c r="L38" s="2880"/>
      <c r="M38" s="2880"/>
      <c r="N38" s="2880"/>
      <c r="O38" s="2880"/>
      <c r="P38" s="2880"/>
      <c r="Q38" s="727">
        <v>1</v>
      </c>
      <c r="R38" s="2891" t="s">
        <v>5462</v>
      </c>
      <c r="S38" s="516">
        <v>75000</v>
      </c>
      <c r="T38" s="516" t="s">
        <v>5454</v>
      </c>
      <c r="U38" s="516"/>
      <c r="V38" s="516">
        <v>20</v>
      </c>
      <c r="W38" s="516" t="s">
        <v>5520</v>
      </c>
      <c r="X38" s="517" t="s">
        <v>5521</v>
      </c>
      <c r="Y38" s="636">
        <f>Z38/1000</f>
        <v>1500</v>
      </c>
      <c r="Z38" s="1265">
        <f t="shared" si="8"/>
        <v>1500000</v>
      </c>
      <c r="AA38" s="305"/>
      <c r="AB38" s="305"/>
      <c r="AC38" s="166"/>
    </row>
    <row r="39" spans="1:29" s="2405" customFormat="1" ht="20.25" customHeight="1">
      <c r="A39" s="396"/>
      <c r="B39" s="2415"/>
      <c r="C39" s="397"/>
      <c r="D39" s="2960"/>
      <c r="E39" s="2947" t="s">
        <v>65</v>
      </c>
      <c r="F39" s="873">
        <f t="shared" si="3"/>
        <v>54000</v>
      </c>
      <c r="G39" s="1699">
        <v>54000</v>
      </c>
      <c r="H39" s="634"/>
      <c r="I39" s="1118"/>
      <c r="J39" s="3350" t="s">
        <v>5511</v>
      </c>
      <c r="K39" s="3351"/>
      <c r="L39" s="3351"/>
      <c r="M39" s="3351"/>
      <c r="N39" s="3351"/>
      <c r="O39" s="3351"/>
      <c r="P39" s="2880"/>
      <c r="Q39" s="727"/>
      <c r="R39" s="2887"/>
      <c r="S39" s="1686"/>
      <c r="T39" s="516"/>
      <c r="U39" s="516"/>
      <c r="V39" s="516"/>
      <c r="W39" s="516"/>
      <c r="X39" s="517" t="s">
        <v>1</v>
      </c>
      <c r="Y39" s="636">
        <f t="shared" si="1"/>
        <v>54000</v>
      </c>
      <c r="Z39" s="1265">
        <f>Z40+Z41+Z42+Z43+Z44+Z45</f>
        <v>54000000</v>
      </c>
      <c r="AA39" s="305"/>
      <c r="AB39" s="305"/>
      <c r="AC39" s="166"/>
    </row>
    <row r="40" spans="1:29" s="2405" customFormat="1" ht="20.25" customHeight="1">
      <c r="A40" s="396"/>
      <c r="B40" s="2415"/>
      <c r="C40" s="397"/>
      <c r="D40" s="2960"/>
      <c r="E40" s="2947"/>
      <c r="F40" s="873"/>
      <c r="G40" s="1699"/>
      <c r="H40" s="634"/>
      <c r="I40" s="1118"/>
      <c r="J40" s="3350" t="s">
        <v>5522</v>
      </c>
      <c r="K40" s="3351"/>
      <c r="L40" s="3351"/>
      <c r="M40" s="3351"/>
      <c r="N40" s="3351"/>
      <c r="O40" s="3351"/>
      <c r="P40" s="2880"/>
      <c r="Q40" s="727"/>
      <c r="R40" s="2887"/>
      <c r="S40" s="1686">
        <v>2000000</v>
      </c>
      <c r="T40" s="516" t="s">
        <v>0</v>
      </c>
      <c r="U40" s="516"/>
      <c r="V40" s="516">
        <v>4</v>
      </c>
      <c r="W40" s="516" t="s">
        <v>5463</v>
      </c>
      <c r="X40" s="517" t="s">
        <v>1</v>
      </c>
      <c r="Y40" s="636">
        <f t="shared" si="1"/>
        <v>8000</v>
      </c>
      <c r="Z40" s="1265">
        <f t="shared" ref="Z40:Z45" si="9">S40*V40</f>
        <v>8000000</v>
      </c>
      <c r="AA40" s="305"/>
      <c r="AB40" s="305"/>
      <c r="AC40" s="166"/>
    </row>
    <row r="41" spans="1:29" s="2405" customFormat="1" ht="20.25" customHeight="1">
      <c r="A41" s="396"/>
      <c r="B41" s="2415"/>
      <c r="C41" s="397"/>
      <c r="D41" s="2960"/>
      <c r="E41" s="2947"/>
      <c r="F41" s="873"/>
      <c r="G41" s="1699"/>
      <c r="H41" s="634"/>
      <c r="I41" s="1118"/>
      <c r="J41" s="3350" t="s">
        <v>5523</v>
      </c>
      <c r="K41" s="3351"/>
      <c r="L41" s="3351"/>
      <c r="M41" s="3351"/>
      <c r="N41" s="3351"/>
      <c r="O41" s="3351"/>
      <c r="P41" s="2880"/>
      <c r="Q41" s="727"/>
      <c r="R41" s="2887"/>
      <c r="S41" s="1686">
        <v>3000000</v>
      </c>
      <c r="T41" s="516" t="s">
        <v>0</v>
      </c>
      <c r="U41" s="516"/>
      <c r="V41" s="516">
        <v>4</v>
      </c>
      <c r="W41" s="516" t="s">
        <v>5463</v>
      </c>
      <c r="X41" s="517" t="s">
        <v>1</v>
      </c>
      <c r="Y41" s="636">
        <f t="shared" si="1"/>
        <v>12000</v>
      </c>
      <c r="Z41" s="1265">
        <f t="shared" si="9"/>
        <v>12000000</v>
      </c>
      <c r="AA41" s="305"/>
      <c r="AB41" s="305"/>
      <c r="AC41" s="166"/>
    </row>
    <row r="42" spans="1:29" s="2405" customFormat="1" ht="20.25" customHeight="1">
      <c r="A42" s="396"/>
      <c r="B42" s="2415"/>
      <c r="C42" s="397"/>
      <c r="D42" s="2960"/>
      <c r="E42" s="2947"/>
      <c r="F42" s="873"/>
      <c r="G42" s="1699"/>
      <c r="H42" s="634"/>
      <c r="I42" s="1118"/>
      <c r="J42" s="3350" t="s">
        <v>5524</v>
      </c>
      <c r="K42" s="3351"/>
      <c r="L42" s="3351"/>
      <c r="M42" s="3351"/>
      <c r="N42" s="3351"/>
      <c r="O42" s="3351"/>
      <c r="P42" s="2880"/>
      <c r="Q42" s="727"/>
      <c r="R42" s="2887"/>
      <c r="S42" s="1686">
        <v>1500000</v>
      </c>
      <c r="T42" s="516" t="s">
        <v>0</v>
      </c>
      <c r="U42" s="516"/>
      <c r="V42" s="516">
        <v>4</v>
      </c>
      <c r="W42" s="516" t="s">
        <v>5463</v>
      </c>
      <c r="X42" s="517" t="s">
        <v>1</v>
      </c>
      <c r="Y42" s="636">
        <f t="shared" si="1"/>
        <v>6000</v>
      </c>
      <c r="Z42" s="1265">
        <f t="shared" si="9"/>
        <v>6000000</v>
      </c>
      <c r="AA42" s="305"/>
      <c r="AB42" s="305"/>
      <c r="AC42" s="166"/>
    </row>
    <row r="43" spans="1:29" s="2282" customFormat="1" ht="20.25" customHeight="1">
      <c r="A43" s="396"/>
      <c r="B43" s="2293"/>
      <c r="C43" s="397"/>
      <c r="D43" s="2960"/>
      <c r="E43" s="2947"/>
      <c r="F43" s="873"/>
      <c r="G43" s="1699"/>
      <c r="H43" s="634"/>
      <c r="I43" s="1118"/>
      <c r="J43" s="3350" t="s">
        <v>5525</v>
      </c>
      <c r="K43" s="3351"/>
      <c r="L43" s="3351"/>
      <c r="M43" s="3351"/>
      <c r="N43" s="3351"/>
      <c r="O43" s="3351"/>
      <c r="P43" s="2880"/>
      <c r="Q43" s="727"/>
      <c r="R43" s="2887"/>
      <c r="S43" s="1686">
        <v>3000000</v>
      </c>
      <c r="T43" s="516" t="s">
        <v>0</v>
      </c>
      <c r="U43" s="516"/>
      <c r="V43" s="516">
        <v>4</v>
      </c>
      <c r="W43" s="516" t="s">
        <v>5463</v>
      </c>
      <c r="X43" s="517" t="s">
        <v>1</v>
      </c>
      <c r="Y43" s="636">
        <f t="shared" si="1"/>
        <v>12000</v>
      </c>
      <c r="Z43" s="1265">
        <f t="shared" si="9"/>
        <v>12000000</v>
      </c>
      <c r="AA43" s="305"/>
      <c r="AB43" s="305"/>
      <c r="AC43" s="166"/>
    </row>
    <row r="44" spans="1:29" s="2282" customFormat="1" ht="20.25" customHeight="1">
      <c r="A44" s="396"/>
      <c r="B44" s="2293"/>
      <c r="C44" s="397"/>
      <c r="D44" s="2960"/>
      <c r="E44" s="2947"/>
      <c r="F44" s="873"/>
      <c r="G44" s="1699"/>
      <c r="H44" s="634"/>
      <c r="I44" s="1118"/>
      <c r="J44" s="2886" t="s">
        <v>5526</v>
      </c>
      <c r="K44" s="2887"/>
      <c r="L44" s="2887"/>
      <c r="M44" s="2887"/>
      <c r="N44" s="2887"/>
      <c r="O44" s="2887"/>
      <c r="P44" s="2880"/>
      <c r="Q44" s="727"/>
      <c r="R44" s="2887"/>
      <c r="S44" s="1686">
        <v>1000000</v>
      </c>
      <c r="T44" s="516" t="s">
        <v>0</v>
      </c>
      <c r="U44" s="516"/>
      <c r="V44" s="516">
        <v>4</v>
      </c>
      <c r="W44" s="516" t="s">
        <v>5463</v>
      </c>
      <c r="X44" s="517" t="s">
        <v>1</v>
      </c>
      <c r="Y44" s="636">
        <f t="shared" si="1"/>
        <v>4000</v>
      </c>
      <c r="Z44" s="1265">
        <f t="shared" si="9"/>
        <v>4000000</v>
      </c>
      <c r="AA44" s="305"/>
      <c r="AB44" s="305"/>
      <c r="AC44" s="166"/>
    </row>
    <row r="45" spans="1:29" s="2282" customFormat="1" ht="20.25" customHeight="1">
      <c r="A45" s="396"/>
      <c r="B45" s="2293"/>
      <c r="C45" s="397"/>
      <c r="D45" s="2960"/>
      <c r="E45" s="2947"/>
      <c r="F45" s="873"/>
      <c r="G45" s="1699"/>
      <c r="H45" s="634"/>
      <c r="I45" s="1118"/>
      <c r="J45" s="2886" t="s">
        <v>5527</v>
      </c>
      <c r="K45" s="2887"/>
      <c r="L45" s="2887"/>
      <c r="M45" s="2887"/>
      <c r="N45" s="2887"/>
      <c r="O45" s="2887"/>
      <c r="P45" s="2880"/>
      <c r="Q45" s="727"/>
      <c r="R45" s="2887"/>
      <c r="S45" s="1686">
        <v>3000000</v>
      </c>
      <c r="T45" s="516" t="s">
        <v>0</v>
      </c>
      <c r="U45" s="516"/>
      <c r="V45" s="516">
        <v>4</v>
      </c>
      <c r="W45" s="516" t="s">
        <v>5463</v>
      </c>
      <c r="X45" s="517" t="s">
        <v>1</v>
      </c>
      <c r="Y45" s="636">
        <f t="shared" si="1"/>
        <v>12000</v>
      </c>
      <c r="Z45" s="1265">
        <f t="shared" si="9"/>
        <v>12000000</v>
      </c>
      <c r="AA45" s="305"/>
      <c r="AB45" s="305"/>
      <c r="AC45" s="166"/>
    </row>
    <row r="46" spans="1:29" s="2282" customFormat="1" ht="20.25" customHeight="1">
      <c r="A46" s="396"/>
      <c r="B46" s="2293"/>
      <c r="C46" s="397"/>
      <c r="D46" s="2960"/>
      <c r="E46" s="510" t="s">
        <v>64</v>
      </c>
      <c r="F46" s="873">
        <f t="shared" si="3"/>
        <v>11000</v>
      </c>
      <c r="G46" s="1699">
        <v>8000</v>
      </c>
      <c r="H46" s="634">
        <f t="shared" si="7"/>
        <v>3000</v>
      </c>
      <c r="I46" s="1118"/>
      <c r="J46" s="514" t="s">
        <v>256</v>
      </c>
      <c r="K46" s="2880"/>
      <c r="L46" s="2880"/>
      <c r="M46" s="2880"/>
      <c r="N46" s="2880"/>
      <c r="O46" s="2880"/>
      <c r="P46" s="515"/>
      <c r="Q46" s="516"/>
      <c r="R46" s="2887"/>
      <c r="S46" s="516">
        <v>5500000</v>
      </c>
      <c r="T46" s="516" t="s">
        <v>0</v>
      </c>
      <c r="U46" s="515"/>
      <c r="V46" s="516">
        <v>2</v>
      </c>
      <c r="W46" s="516" t="s">
        <v>3</v>
      </c>
      <c r="X46" s="517" t="s">
        <v>1</v>
      </c>
      <c r="Y46" s="636">
        <v>11000</v>
      </c>
      <c r="Z46" s="1265">
        <f>S46*V46</f>
        <v>11000000</v>
      </c>
      <c r="AA46" s="305"/>
      <c r="AB46" s="305"/>
      <c r="AC46" s="166"/>
    </row>
    <row r="47" spans="1:29" s="2282" customFormat="1" ht="23.25" customHeight="1">
      <c r="A47" s="396"/>
      <c r="B47" s="2293"/>
      <c r="C47" s="397"/>
      <c r="D47" s="2960"/>
      <c r="E47" s="2947" t="s">
        <v>237</v>
      </c>
      <c r="F47" s="873">
        <f t="shared" si="3"/>
        <v>36000</v>
      </c>
      <c r="G47" s="512">
        <v>40000</v>
      </c>
      <c r="H47" s="634">
        <f t="shared" si="7"/>
        <v>-4000</v>
      </c>
      <c r="I47" s="2504"/>
      <c r="J47" s="3350" t="s">
        <v>5528</v>
      </c>
      <c r="K47" s="3351"/>
      <c r="L47" s="3351"/>
      <c r="M47" s="3351"/>
      <c r="N47" s="3351"/>
      <c r="O47" s="3351"/>
      <c r="P47" s="2880"/>
      <c r="Q47" s="727"/>
      <c r="R47" s="2887"/>
      <c r="S47" s="1686">
        <v>18000000</v>
      </c>
      <c r="T47" s="516" t="s">
        <v>0</v>
      </c>
      <c r="U47" s="516"/>
      <c r="V47" s="516">
        <v>2</v>
      </c>
      <c r="W47" s="516" t="s">
        <v>3</v>
      </c>
      <c r="X47" s="517" t="s">
        <v>1</v>
      </c>
      <c r="Y47" s="636">
        <f t="shared" si="1"/>
        <v>36000</v>
      </c>
      <c r="Z47" s="1265">
        <f t="shared" ref="Z47:Z48" si="10">S47*V47</f>
        <v>36000000</v>
      </c>
      <c r="AA47" s="305"/>
      <c r="AB47" s="305"/>
      <c r="AC47" s="166"/>
    </row>
    <row r="48" spans="1:29" s="2282" customFormat="1" ht="23.25" customHeight="1">
      <c r="A48" s="396"/>
      <c r="B48" s="2293"/>
      <c r="C48" s="397"/>
      <c r="D48" s="2960"/>
      <c r="E48" s="2947" t="s">
        <v>238</v>
      </c>
      <c r="F48" s="873">
        <f t="shared" si="3"/>
        <v>1000</v>
      </c>
      <c r="G48" s="1699">
        <v>1000</v>
      </c>
      <c r="H48" s="634"/>
      <c r="I48" s="1118"/>
      <c r="J48" s="3350" t="s">
        <v>5529</v>
      </c>
      <c r="K48" s="3351"/>
      <c r="L48" s="3351"/>
      <c r="M48" s="3351"/>
      <c r="N48" s="3351"/>
      <c r="O48" s="3351"/>
      <c r="P48" s="2880"/>
      <c r="Q48" s="727"/>
      <c r="R48" s="2887"/>
      <c r="S48" s="1686">
        <v>10000</v>
      </c>
      <c r="T48" s="516" t="s">
        <v>0</v>
      </c>
      <c r="U48" s="516"/>
      <c r="V48" s="516">
        <v>100</v>
      </c>
      <c r="W48" s="516" t="s">
        <v>3</v>
      </c>
      <c r="X48" s="517" t="s">
        <v>1</v>
      </c>
      <c r="Y48" s="636">
        <f t="shared" si="1"/>
        <v>1000</v>
      </c>
      <c r="Z48" s="1265">
        <f t="shared" si="10"/>
        <v>1000000</v>
      </c>
      <c r="AA48" s="305"/>
      <c r="AB48" s="305"/>
      <c r="AC48" s="166"/>
    </row>
    <row r="49" spans="1:29" s="2282" customFormat="1" ht="23.25" customHeight="1">
      <c r="A49" s="396"/>
      <c r="B49" s="2293"/>
      <c r="C49" s="397"/>
      <c r="D49" s="2960"/>
      <c r="E49" s="2947" t="s">
        <v>56</v>
      </c>
      <c r="F49" s="873">
        <f t="shared" si="3"/>
        <v>4000</v>
      </c>
      <c r="G49" s="1699">
        <v>4000</v>
      </c>
      <c r="H49" s="634"/>
      <c r="I49" s="1118"/>
      <c r="J49" s="3350" t="s">
        <v>5530</v>
      </c>
      <c r="K49" s="3351"/>
      <c r="L49" s="3351"/>
      <c r="M49" s="3351"/>
      <c r="N49" s="3351"/>
      <c r="O49" s="3351"/>
      <c r="P49" s="2880"/>
      <c r="Q49" s="727">
        <v>50</v>
      </c>
      <c r="R49" s="2891" t="s">
        <v>5462</v>
      </c>
      <c r="S49" s="1686">
        <v>20000</v>
      </c>
      <c r="T49" s="516" t="s">
        <v>0</v>
      </c>
      <c r="U49" s="516"/>
      <c r="V49" s="516">
        <v>4</v>
      </c>
      <c r="W49" s="516" t="s">
        <v>3</v>
      </c>
      <c r="X49" s="517" t="s">
        <v>1</v>
      </c>
      <c r="Y49" s="636">
        <f t="shared" si="1"/>
        <v>4000</v>
      </c>
      <c r="Z49" s="1265">
        <f>Q49*S49*V49</f>
        <v>4000000</v>
      </c>
      <c r="AA49" s="305"/>
      <c r="AB49" s="305"/>
      <c r="AC49" s="166"/>
    </row>
    <row r="50" spans="1:29" s="2282" customFormat="1" ht="23.25" customHeight="1">
      <c r="A50" s="396"/>
      <c r="B50" s="2293"/>
      <c r="C50" s="397"/>
      <c r="D50" s="2960"/>
      <c r="E50" s="2947" t="s">
        <v>55</v>
      </c>
      <c r="F50" s="873">
        <f t="shared" si="3"/>
        <v>2000</v>
      </c>
      <c r="G50" s="1699">
        <v>2000</v>
      </c>
      <c r="H50" s="634"/>
      <c r="I50" s="1118"/>
      <c r="J50" s="3350" t="s">
        <v>5531</v>
      </c>
      <c r="K50" s="3351"/>
      <c r="L50" s="3351"/>
      <c r="M50" s="3351"/>
      <c r="N50" s="3351"/>
      <c r="O50" s="3351"/>
      <c r="P50" s="2880"/>
      <c r="Q50" s="727">
        <v>4</v>
      </c>
      <c r="R50" s="2891" t="s">
        <v>5462</v>
      </c>
      <c r="S50" s="1686">
        <v>10000</v>
      </c>
      <c r="T50" s="516" t="s">
        <v>0</v>
      </c>
      <c r="U50" s="516"/>
      <c r="V50" s="516">
        <v>50</v>
      </c>
      <c r="W50" s="516" t="s">
        <v>5463</v>
      </c>
      <c r="X50" s="517" t="s">
        <v>1</v>
      </c>
      <c r="Y50" s="636">
        <v>2000</v>
      </c>
      <c r="Z50" s="1265">
        <f>Q50*S50*V50</f>
        <v>2000000</v>
      </c>
      <c r="AA50" s="305"/>
      <c r="AB50" s="305"/>
      <c r="AC50" s="166"/>
    </row>
    <row r="51" spans="1:29" s="2282" customFormat="1" ht="23.25" customHeight="1">
      <c r="A51" s="396"/>
      <c r="B51" s="2293"/>
      <c r="C51" s="413"/>
      <c r="D51" s="3379" t="s">
        <v>2938</v>
      </c>
      <c r="E51" s="3380"/>
      <c r="F51" s="382">
        <f>SUM(F52:F64)</f>
        <v>100000</v>
      </c>
      <c r="G51" s="382">
        <f>SUM(G52:G64)</f>
        <v>100000</v>
      </c>
      <c r="H51" s="468">
        <f t="shared" ref="H51" si="11">F51-G51</f>
        <v>0</v>
      </c>
      <c r="I51" s="398"/>
      <c r="J51" s="835"/>
      <c r="K51" s="2254"/>
      <c r="L51" s="2254"/>
      <c r="M51" s="2254"/>
      <c r="N51" s="2254"/>
      <c r="O51" s="2254"/>
      <c r="P51" s="2254"/>
      <c r="Q51" s="1307"/>
      <c r="R51" s="1137"/>
      <c r="S51" s="399"/>
      <c r="T51" s="1136"/>
      <c r="U51" s="1136"/>
      <c r="V51" s="1136"/>
      <c r="W51" s="1136"/>
      <c r="X51" s="1138"/>
      <c r="Y51" s="377"/>
      <c r="Z51" s="1733"/>
      <c r="AA51" s="275"/>
      <c r="AB51" s="275"/>
      <c r="AC51" s="1424"/>
    </row>
    <row r="52" spans="1:29" s="2282" customFormat="1" ht="23.25" customHeight="1">
      <c r="A52" s="396"/>
      <c r="B52" s="2293"/>
      <c r="C52" s="413"/>
      <c r="D52" s="433"/>
      <c r="E52" s="542" t="s">
        <v>84</v>
      </c>
      <c r="F52" s="383">
        <f>Y52</f>
        <v>5000</v>
      </c>
      <c r="G52" s="1116">
        <v>5000</v>
      </c>
      <c r="H52" s="404"/>
      <c r="I52" s="398"/>
      <c r="J52" s="2939" t="s">
        <v>8</v>
      </c>
      <c r="K52" s="2940"/>
      <c r="L52" s="2938"/>
      <c r="N52" s="1673" t="s">
        <v>19</v>
      </c>
      <c r="O52" s="2282" t="s">
        <v>19</v>
      </c>
      <c r="Q52" s="408"/>
      <c r="R52" s="2275"/>
      <c r="S52" s="1672"/>
      <c r="T52" s="2288"/>
      <c r="U52" s="2288"/>
      <c r="V52" s="2288"/>
      <c r="W52" s="2288"/>
      <c r="X52" s="1140"/>
      <c r="Y52" s="1674">
        <f t="shared" ref="Y52:Y53" si="12">Z52/1000</f>
        <v>5000</v>
      </c>
      <c r="Z52" s="1098">
        <f>+Z53+Z54</f>
        <v>5000000</v>
      </c>
      <c r="AA52" s="275"/>
      <c r="AB52" s="275"/>
      <c r="AC52" s="1424"/>
    </row>
    <row r="53" spans="1:29" s="2282" customFormat="1" ht="23.25" customHeight="1">
      <c r="A53" s="396"/>
      <c r="B53" s="2293"/>
      <c r="C53" s="413"/>
      <c r="D53" s="433"/>
      <c r="E53" s="542"/>
      <c r="F53" s="383"/>
      <c r="G53" s="1116"/>
      <c r="H53" s="404"/>
      <c r="I53" s="398"/>
      <c r="J53" s="2939" t="s">
        <v>4925</v>
      </c>
      <c r="K53" s="2288"/>
      <c r="N53" s="1673"/>
      <c r="Q53" s="408">
        <v>2</v>
      </c>
      <c r="R53" s="2275" t="s">
        <v>1701</v>
      </c>
      <c r="S53" s="1672">
        <v>25000</v>
      </c>
      <c r="T53" s="2288" t="s">
        <v>0</v>
      </c>
      <c r="U53" s="2288"/>
      <c r="V53" s="2288">
        <v>20</v>
      </c>
      <c r="W53" s="2288" t="s">
        <v>3</v>
      </c>
      <c r="X53" s="1140" t="s">
        <v>1</v>
      </c>
      <c r="Y53" s="1674">
        <f t="shared" si="12"/>
        <v>1000</v>
      </c>
      <c r="Z53" s="1098">
        <f>Q53*S53*V53</f>
        <v>1000000</v>
      </c>
      <c r="AA53" s="275"/>
      <c r="AB53" s="275"/>
      <c r="AC53" s="1424"/>
    </row>
    <row r="54" spans="1:29" s="2282" customFormat="1" ht="23.25" customHeight="1">
      <c r="A54" s="396"/>
      <c r="B54" s="2293"/>
      <c r="C54" s="413"/>
      <c r="D54" s="433"/>
      <c r="E54" s="542"/>
      <c r="F54" s="383"/>
      <c r="G54" s="1116"/>
      <c r="H54" s="404"/>
      <c r="I54" s="398"/>
      <c r="J54" s="2939" t="s">
        <v>5839</v>
      </c>
      <c r="K54" s="2288"/>
      <c r="N54" s="1673"/>
      <c r="Q54" s="408">
        <v>2</v>
      </c>
      <c r="R54" s="2275" t="s">
        <v>1701</v>
      </c>
      <c r="S54" s="1672">
        <v>2000000</v>
      </c>
      <c r="T54" s="2288" t="s">
        <v>1702</v>
      </c>
      <c r="U54" s="2288"/>
      <c r="V54" s="2288">
        <v>1</v>
      </c>
      <c r="W54" s="2288" t="s">
        <v>1699</v>
      </c>
      <c r="X54" s="1140" t="s">
        <v>1703</v>
      </c>
      <c r="Y54" s="1674">
        <v>4000</v>
      </c>
      <c r="Z54" s="1098">
        <f>Q54*S54*V54</f>
        <v>4000000</v>
      </c>
      <c r="AA54" s="275"/>
      <c r="AB54" s="275"/>
      <c r="AC54" s="1424"/>
    </row>
    <row r="55" spans="1:29" s="2282" customFormat="1" ht="23.25" customHeight="1">
      <c r="A55" s="396"/>
      <c r="B55" s="2293"/>
      <c r="C55" s="413"/>
      <c r="D55" s="433"/>
      <c r="E55" s="1134" t="s">
        <v>52</v>
      </c>
      <c r="F55" s="383">
        <f>Y55</f>
        <v>3600</v>
      </c>
      <c r="G55" s="1116">
        <v>3600</v>
      </c>
      <c r="H55" s="404"/>
      <c r="I55" s="398"/>
      <c r="J55" s="2287" t="s">
        <v>8</v>
      </c>
      <c r="R55" s="405"/>
      <c r="X55" s="1140"/>
      <c r="Y55" s="1674">
        <f>Z55/1000</f>
        <v>3600</v>
      </c>
      <c r="Z55" s="1098">
        <f>SUM(Z56:Z57)</f>
        <v>3600000</v>
      </c>
      <c r="AA55" s="275"/>
      <c r="AB55" s="275"/>
      <c r="AC55" s="1424"/>
    </row>
    <row r="56" spans="1:29" s="2282" customFormat="1" ht="23.25" customHeight="1">
      <c r="A56" s="396"/>
      <c r="B56" s="2293"/>
      <c r="C56" s="413"/>
      <c r="D56" s="433"/>
      <c r="E56" s="1134"/>
      <c r="F56" s="383"/>
      <c r="G56" s="1116"/>
      <c r="H56" s="404"/>
      <c r="I56" s="398"/>
      <c r="J56" s="2287" t="s">
        <v>1704</v>
      </c>
      <c r="Q56" s="408">
        <v>3</v>
      </c>
      <c r="R56" s="2275" t="s">
        <v>1701</v>
      </c>
      <c r="S56" s="1672">
        <v>200000</v>
      </c>
      <c r="T56" s="2288" t="s">
        <v>0</v>
      </c>
      <c r="U56" s="2288"/>
      <c r="V56" s="2288">
        <v>2</v>
      </c>
      <c r="W56" s="2288" t="s">
        <v>3</v>
      </c>
      <c r="X56" s="1140" t="s">
        <v>1</v>
      </c>
      <c r="Y56" s="1674">
        <f t="shared" ref="Y56:Y67" si="13">Z56/1000</f>
        <v>1200</v>
      </c>
      <c r="Z56" s="1098">
        <f>Q56*S56*V56</f>
        <v>1200000</v>
      </c>
      <c r="AA56" s="275"/>
      <c r="AB56" s="275"/>
      <c r="AC56" s="1424"/>
    </row>
    <row r="57" spans="1:29" s="2282" customFormat="1" ht="23.25" customHeight="1">
      <c r="A57" s="396"/>
      <c r="B57" s="2293"/>
      <c r="C57" s="413"/>
      <c r="D57" s="433"/>
      <c r="E57" s="1134"/>
      <c r="F57" s="383"/>
      <c r="G57" s="1116"/>
      <c r="H57" s="404"/>
      <c r="I57" s="398"/>
      <c r="J57" s="2287" t="s">
        <v>230</v>
      </c>
      <c r="Q57" s="408">
        <v>4</v>
      </c>
      <c r="R57" s="2275" t="s">
        <v>1701</v>
      </c>
      <c r="S57" s="1672">
        <v>200000</v>
      </c>
      <c r="T57" s="2288" t="s">
        <v>0</v>
      </c>
      <c r="U57" s="2288"/>
      <c r="V57" s="2288">
        <v>3</v>
      </c>
      <c r="W57" s="2288" t="s">
        <v>3</v>
      </c>
      <c r="X57" s="1140" t="s">
        <v>1</v>
      </c>
      <c r="Y57" s="1674">
        <f t="shared" si="13"/>
        <v>2400</v>
      </c>
      <c r="Z57" s="1098">
        <f>Q57*S57*V57</f>
        <v>2400000</v>
      </c>
      <c r="AA57" s="275"/>
      <c r="AB57" s="275"/>
      <c r="AC57" s="1424"/>
    </row>
    <row r="58" spans="1:29" s="2282" customFormat="1" ht="23.25" customHeight="1">
      <c r="A58" s="396"/>
      <c r="B58" s="2293"/>
      <c r="C58" s="413"/>
      <c r="D58" s="433"/>
      <c r="E58" s="1134" t="s">
        <v>208</v>
      </c>
      <c r="F58" s="383">
        <f>Y58</f>
        <v>90000</v>
      </c>
      <c r="G58" s="1116">
        <v>90000</v>
      </c>
      <c r="H58" s="404"/>
      <c r="I58" s="398"/>
      <c r="J58" s="2287" t="s">
        <v>8</v>
      </c>
      <c r="K58" s="2288"/>
      <c r="Q58" s="408"/>
      <c r="R58" s="2262"/>
      <c r="S58" s="1672"/>
      <c r="T58" s="2288"/>
      <c r="U58" s="2288"/>
      <c r="V58" s="2288"/>
      <c r="W58" s="2288"/>
      <c r="X58" s="1140"/>
      <c r="Y58" s="1674">
        <f t="shared" si="13"/>
        <v>90000</v>
      </c>
      <c r="Z58" s="1098">
        <f>Z59+Z60</f>
        <v>90000000</v>
      </c>
      <c r="AA58" s="275"/>
      <c r="AB58" s="275"/>
      <c r="AC58" s="1424"/>
    </row>
    <row r="59" spans="1:29" s="2282" customFormat="1" ht="23.25" customHeight="1">
      <c r="A59" s="396"/>
      <c r="B59" s="2293"/>
      <c r="C59" s="413"/>
      <c r="D59" s="402"/>
      <c r="E59" s="1134"/>
      <c r="F59" s="383"/>
      <c r="G59" s="1116"/>
      <c r="H59" s="404"/>
      <c r="I59" s="398"/>
      <c r="J59" s="2287" t="s">
        <v>231</v>
      </c>
      <c r="K59" s="2288"/>
      <c r="N59" s="1673"/>
      <c r="Q59" s="408"/>
      <c r="R59" s="2262"/>
      <c r="S59" s="1672">
        <v>10000000</v>
      </c>
      <c r="T59" s="2288" t="s">
        <v>0</v>
      </c>
      <c r="U59" s="2288"/>
      <c r="V59" s="2288">
        <v>5</v>
      </c>
      <c r="W59" s="2288" t="s">
        <v>3</v>
      </c>
      <c r="X59" s="1140" t="s">
        <v>1</v>
      </c>
      <c r="Y59" s="1674">
        <f t="shared" si="13"/>
        <v>50000</v>
      </c>
      <c r="Z59" s="1098">
        <f>S59*V59</f>
        <v>50000000</v>
      </c>
      <c r="AA59" s="275"/>
      <c r="AB59" s="275"/>
      <c r="AC59" s="1424"/>
    </row>
    <row r="60" spans="1:29" s="2282" customFormat="1" ht="23.25" customHeight="1">
      <c r="A60" s="396"/>
      <c r="B60" s="2293"/>
      <c r="C60" s="413"/>
      <c r="D60" s="402"/>
      <c r="E60" s="1134"/>
      <c r="F60" s="383"/>
      <c r="G60" s="1116"/>
      <c r="H60" s="404"/>
      <c r="I60" s="398"/>
      <c r="J60" s="2287" t="s">
        <v>232</v>
      </c>
      <c r="K60" s="2288"/>
      <c r="N60" s="1673"/>
      <c r="Q60" s="408"/>
      <c r="R60" s="2262"/>
      <c r="S60" s="1672">
        <v>20000000</v>
      </c>
      <c r="T60" s="2288" t="s">
        <v>0</v>
      </c>
      <c r="U60" s="2288"/>
      <c r="V60" s="2288">
        <v>2</v>
      </c>
      <c r="W60" s="2288" t="s">
        <v>3</v>
      </c>
      <c r="X60" s="1140" t="s">
        <v>1</v>
      </c>
      <c r="Y60" s="1674">
        <f t="shared" si="13"/>
        <v>40000</v>
      </c>
      <c r="Z60" s="1098">
        <f>S60*V60</f>
        <v>40000000</v>
      </c>
      <c r="AA60" s="275"/>
      <c r="AB60" s="275"/>
      <c r="AC60" s="1424"/>
    </row>
    <row r="61" spans="1:29" s="2282" customFormat="1" ht="23.25" customHeight="1">
      <c r="A61" s="396"/>
      <c r="B61" s="2293"/>
      <c r="C61" s="413"/>
      <c r="D61" s="402"/>
      <c r="E61" s="1134" t="s">
        <v>56</v>
      </c>
      <c r="F61" s="383">
        <v>1000</v>
      </c>
      <c r="G61" s="1116">
        <v>1000</v>
      </c>
      <c r="H61" s="404"/>
      <c r="I61" s="398"/>
      <c r="J61" s="2287" t="s">
        <v>1694</v>
      </c>
      <c r="K61" s="2288"/>
      <c r="N61" s="1673"/>
      <c r="Q61" s="408"/>
      <c r="R61" s="2262"/>
      <c r="S61" s="1672"/>
      <c r="T61" s="2288"/>
      <c r="U61" s="2288"/>
      <c r="V61" s="2288"/>
      <c r="W61" s="2288"/>
      <c r="X61" s="1140"/>
      <c r="Y61" s="1674">
        <f t="shared" si="13"/>
        <v>1000</v>
      </c>
      <c r="Z61" s="1098">
        <f>+Z62+Z63</f>
        <v>1000000</v>
      </c>
      <c r="AA61" s="275"/>
      <c r="AB61" s="275"/>
      <c r="AC61" s="1424"/>
    </row>
    <row r="62" spans="1:29" s="2282" customFormat="1" ht="23.25" customHeight="1">
      <c r="A62" s="396"/>
      <c r="B62" s="2293"/>
      <c r="C62" s="413"/>
      <c r="D62" s="465"/>
      <c r="F62" s="383"/>
      <c r="G62" s="1116"/>
      <c r="H62" s="404"/>
      <c r="I62" s="398"/>
      <c r="J62" s="2287" t="s">
        <v>233</v>
      </c>
      <c r="K62" s="2288"/>
      <c r="N62" s="1673"/>
      <c r="Q62" s="408"/>
      <c r="R62" s="2262"/>
      <c r="S62" s="1672">
        <v>500000</v>
      </c>
      <c r="T62" s="2288" t="s">
        <v>0</v>
      </c>
      <c r="U62" s="2288"/>
      <c r="V62" s="2288">
        <v>1</v>
      </c>
      <c r="W62" s="2288" t="s">
        <v>3</v>
      </c>
      <c r="X62" s="1140" t="s">
        <v>1</v>
      </c>
      <c r="Y62" s="1674">
        <f t="shared" si="13"/>
        <v>500</v>
      </c>
      <c r="Z62" s="1098">
        <v>500000</v>
      </c>
      <c r="AA62" s="275"/>
      <c r="AB62" s="275"/>
      <c r="AC62" s="1424"/>
    </row>
    <row r="63" spans="1:29" s="2282" customFormat="1" ht="23.25" customHeight="1">
      <c r="A63" s="396"/>
      <c r="B63" s="2293"/>
      <c r="C63" s="413"/>
      <c r="D63" s="402"/>
      <c r="E63" s="1134"/>
      <c r="F63" s="383"/>
      <c r="G63" s="1116"/>
      <c r="H63" s="404"/>
      <c r="I63" s="398"/>
      <c r="J63" s="2287" t="s">
        <v>234</v>
      </c>
      <c r="K63" s="2288"/>
      <c r="N63" s="1673"/>
      <c r="Q63" s="408"/>
      <c r="R63" s="2262"/>
      <c r="S63" s="1672">
        <v>500000</v>
      </c>
      <c r="T63" s="2288" t="s">
        <v>0</v>
      </c>
      <c r="U63" s="2288"/>
      <c r="V63" s="2288">
        <v>1</v>
      </c>
      <c r="W63" s="2288" t="s">
        <v>3</v>
      </c>
      <c r="X63" s="1140" t="s">
        <v>1</v>
      </c>
      <c r="Y63" s="1674">
        <f t="shared" si="13"/>
        <v>500</v>
      </c>
      <c r="Z63" s="1823">
        <f t="shared" ref="Z63" si="14">S63*V63</f>
        <v>500000</v>
      </c>
      <c r="AA63" s="275"/>
      <c r="AB63" s="275"/>
      <c r="AC63" s="1424"/>
    </row>
    <row r="64" spans="1:29" s="2282" customFormat="1" ht="23.25" customHeight="1">
      <c r="A64" s="396"/>
      <c r="B64" s="2293"/>
      <c r="C64" s="413"/>
      <c r="D64" s="433"/>
      <c r="E64" s="542" t="s">
        <v>55</v>
      </c>
      <c r="F64" s="383">
        <v>400</v>
      </c>
      <c r="G64" s="1116">
        <v>400</v>
      </c>
      <c r="H64" s="404"/>
      <c r="I64" s="398"/>
      <c r="J64" s="2287" t="s">
        <v>235</v>
      </c>
      <c r="K64" s="2288"/>
      <c r="N64" s="1673"/>
      <c r="Q64" s="408">
        <v>4</v>
      </c>
      <c r="R64" s="2275" t="s">
        <v>1695</v>
      </c>
      <c r="S64" s="1672">
        <v>25000</v>
      </c>
      <c r="T64" s="2288" t="s">
        <v>0</v>
      </c>
      <c r="U64" s="2288"/>
      <c r="V64" s="2288">
        <v>4</v>
      </c>
      <c r="W64" s="2288" t="s">
        <v>3</v>
      </c>
      <c r="X64" s="1140" t="s">
        <v>1</v>
      </c>
      <c r="Y64" s="1674">
        <f t="shared" si="13"/>
        <v>400</v>
      </c>
      <c r="Z64" s="1098">
        <f>Q64*S64*V64</f>
        <v>400000</v>
      </c>
      <c r="AA64" s="275"/>
      <c r="AB64" s="275"/>
      <c r="AC64" s="1424"/>
    </row>
    <row r="65" spans="1:256" s="1155" customFormat="1" ht="23.25" customHeight="1">
      <c r="A65" s="2274"/>
      <c r="B65" s="471"/>
      <c r="C65" s="402"/>
      <c r="D65" s="3266" t="s">
        <v>1705</v>
      </c>
      <c r="E65" s="3267"/>
      <c r="F65" s="1153">
        <f>SUM(F66:F67)</f>
        <v>25000</v>
      </c>
      <c r="G65" s="1153">
        <f>SUM(G66:G67)</f>
        <v>25000</v>
      </c>
      <c r="H65" s="1132">
        <f>F65-G65</f>
        <v>0</v>
      </c>
      <c r="I65" s="473"/>
      <c r="J65" s="501"/>
      <c r="K65" s="2276"/>
      <c r="L65" s="2276"/>
      <c r="M65" s="2276"/>
      <c r="N65" s="2276"/>
      <c r="O65" s="2276"/>
      <c r="P65" s="2276"/>
      <c r="Q65" s="485"/>
      <c r="R65" s="484"/>
      <c r="S65" s="520"/>
      <c r="T65" s="2276"/>
      <c r="U65" s="2276"/>
      <c r="V65" s="521"/>
      <c r="W65" s="2276"/>
      <c r="X65" s="375"/>
      <c r="Y65" s="463"/>
      <c r="Z65" s="1733"/>
      <c r="AA65" s="275"/>
      <c r="AB65" s="505"/>
      <c r="AC65" s="2278"/>
      <c r="AD65" s="2278"/>
      <c r="AE65" s="2278"/>
      <c r="AF65" s="2278"/>
      <c r="AG65" s="2278"/>
      <c r="AH65" s="2278"/>
      <c r="AI65" s="2278"/>
      <c r="AJ65" s="2278"/>
      <c r="AK65" s="2278"/>
      <c r="AL65" s="2278"/>
      <c r="AM65" s="2278"/>
      <c r="AN65" s="2278"/>
      <c r="AO65" s="2278"/>
      <c r="AP65" s="2278"/>
      <c r="AQ65" s="2278"/>
      <c r="AR65" s="2278"/>
      <c r="AS65" s="2278"/>
      <c r="AT65" s="2278"/>
      <c r="AU65" s="2278"/>
      <c r="AV65" s="2278"/>
      <c r="AW65" s="2278"/>
      <c r="AX65" s="2278"/>
      <c r="AY65" s="2278"/>
      <c r="AZ65" s="2278"/>
      <c r="BA65" s="2278"/>
      <c r="BB65" s="2278"/>
      <c r="BC65" s="2278"/>
      <c r="BD65" s="2278"/>
      <c r="BE65" s="2278"/>
      <c r="BF65" s="2278"/>
      <c r="BG65" s="2278"/>
      <c r="BH65" s="2278"/>
      <c r="BI65" s="2278"/>
      <c r="BJ65" s="2278"/>
      <c r="BK65" s="2278"/>
      <c r="BL65" s="2278"/>
      <c r="BM65" s="2278"/>
      <c r="BN65" s="2278"/>
      <c r="BO65" s="2278"/>
      <c r="BP65" s="2278"/>
      <c r="BQ65" s="2278"/>
      <c r="BR65" s="2278"/>
      <c r="BS65" s="2278"/>
      <c r="BT65" s="2278"/>
      <c r="BU65" s="2278"/>
      <c r="BV65" s="2278"/>
      <c r="BW65" s="2278"/>
      <c r="BX65" s="2278"/>
      <c r="BY65" s="2278"/>
      <c r="BZ65" s="2278"/>
      <c r="CA65" s="2278"/>
      <c r="CB65" s="2278"/>
      <c r="CC65" s="2278"/>
      <c r="CD65" s="2278"/>
      <c r="CE65" s="2278"/>
      <c r="CF65" s="2278"/>
      <c r="CG65" s="2278"/>
      <c r="CH65" s="2278"/>
      <c r="CI65" s="2278"/>
      <c r="CJ65" s="2278"/>
      <c r="CK65" s="2278"/>
      <c r="CL65" s="2278"/>
      <c r="CM65" s="2278"/>
      <c r="CN65" s="2278"/>
      <c r="CO65" s="2278"/>
      <c r="CP65" s="2278"/>
      <c r="CQ65" s="2278"/>
      <c r="CR65" s="2278"/>
      <c r="CS65" s="2278"/>
      <c r="CT65" s="2278"/>
      <c r="CU65" s="2278"/>
      <c r="CV65" s="2278"/>
      <c r="CW65" s="2278"/>
      <c r="CX65" s="2278"/>
      <c r="CY65" s="2278"/>
      <c r="CZ65" s="2278"/>
      <c r="DA65" s="2278"/>
      <c r="DB65" s="2278"/>
      <c r="DC65" s="2278"/>
      <c r="DD65" s="2278"/>
      <c r="DE65" s="2278"/>
      <c r="DF65" s="2278"/>
      <c r="DG65" s="2278"/>
      <c r="DH65" s="2278"/>
      <c r="DI65" s="2278"/>
      <c r="DJ65" s="2278"/>
      <c r="DK65" s="2278"/>
      <c r="DL65" s="2278"/>
      <c r="DM65" s="2278"/>
      <c r="DN65" s="2278"/>
      <c r="DO65" s="2278"/>
      <c r="DP65" s="2278"/>
      <c r="DQ65" s="2278"/>
      <c r="DR65" s="2278"/>
      <c r="DS65" s="2278"/>
      <c r="DT65" s="2278"/>
      <c r="DU65" s="2278"/>
      <c r="DV65" s="2278"/>
      <c r="DW65" s="2278"/>
      <c r="DX65" s="2278"/>
      <c r="DY65" s="2278"/>
      <c r="DZ65" s="2278"/>
      <c r="EA65" s="2278"/>
      <c r="EB65" s="2278"/>
      <c r="EC65" s="2278"/>
      <c r="ED65" s="2278"/>
      <c r="EE65" s="2278"/>
      <c r="EF65" s="2278"/>
      <c r="EG65" s="2278"/>
      <c r="EH65" s="2278"/>
      <c r="EI65" s="2278"/>
      <c r="EJ65" s="2278"/>
      <c r="EK65" s="2278"/>
      <c r="EL65" s="2278"/>
      <c r="EM65" s="2278"/>
      <c r="EN65" s="2278"/>
      <c r="EO65" s="2278"/>
      <c r="EP65" s="2278"/>
      <c r="EQ65" s="2278"/>
      <c r="ER65" s="2278"/>
      <c r="ES65" s="2278"/>
      <c r="ET65" s="2278"/>
      <c r="EU65" s="2278"/>
      <c r="EV65" s="2278"/>
      <c r="EW65" s="2278"/>
      <c r="EX65" s="2278"/>
      <c r="EY65" s="2278"/>
      <c r="EZ65" s="2278"/>
      <c r="FA65" s="2278"/>
      <c r="FB65" s="2278"/>
      <c r="FC65" s="2278"/>
      <c r="FD65" s="2278"/>
      <c r="FE65" s="2278"/>
      <c r="FF65" s="2278"/>
      <c r="FG65" s="2278"/>
      <c r="FH65" s="2278"/>
      <c r="FI65" s="2278"/>
      <c r="FJ65" s="2278"/>
      <c r="FK65" s="2278"/>
      <c r="FL65" s="2278"/>
      <c r="FM65" s="2278"/>
      <c r="FN65" s="2278"/>
      <c r="FO65" s="2278"/>
      <c r="FP65" s="2278"/>
      <c r="FQ65" s="2278"/>
      <c r="FR65" s="2278"/>
      <c r="FS65" s="2278"/>
      <c r="FT65" s="2278"/>
      <c r="FU65" s="2278"/>
      <c r="FV65" s="2278"/>
      <c r="FW65" s="2278"/>
      <c r="FX65" s="2278"/>
      <c r="FY65" s="2278"/>
      <c r="FZ65" s="2278"/>
      <c r="GA65" s="2278"/>
      <c r="GB65" s="2278"/>
      <c r="GC65" s="2278"/>
      <c r="GD65" s="2278"/>
      <c r="GE65" s="2278"/>
      <c r="GF65" s="2278"/>
      <c r="GG65" s="2278"/>
      <c r="GH65" s="2278"/>
      <c r="GI65" s="2278"/>
      <c r="GJ65" s="2278"/>
      <c r="GK65" s="2278"/>
      <c r="GL65" s="2278"/>
      <c r="GM65" s="2278"/>
      <c r="GN65" s="2278"/>
      <c r="GO65" s="2278"/>
      <c r="GP65" s="2278"/>
      <c r="GQ65" s="2278"/>
      <c r="GR65" s="2278"/>
      <c r="GS65" s="2278"/>
      <c r="GT65" s="2278"/>
      <c r="GU65" s="2278"/>
      <c r="GV65" s="2278"/>
      <c r="GW65" s="2278"/>
      <c r="GX65" s="2278"/>
      <c r="GY65" s="2278"/>
      <c r="GZ65" s="2278"/>
      <c r="HA65" s="2278"/>
      <c r="HB65" s="2278"/>
      <c r="HC65" s="2278"/>
      <c r="HD65" s="2278"/>
      <c r="HE65" s="2278"/>
      <c r="HF65" s="2278"/>
      <c r="HG65" s="2278"/>
      <c r="HH65" s="2278"/>
      <c r="HI65" s="2278"/>
      <c r="HJ65" s="2278"/>
      <c r="HK65" s="2278"/>
      <c r="HL65" s="2278"/>
      <c r="HM65" s="2278"/>
      <c r="HN65" s="2278"/>
      <c r="HO65" s="2278"/>
      <c r="HP65" s="2278"/>
      <c r="HQ65" s="2278"/>
      <c r="HR65" s="2278"/>
      <c r="HS65" s="2278"/>
      <c r="HT65" s="2278"/>
      <c r="HU65" s="2278"/>
      <c r="HV65" s="2278"/>
      <c r="HW65" s="2278"/>
      <c r="HX65" s="2278"/>
      <c r="HY65" s="2278"/>
      <c r="HZ65" s="2278"/>
      <c r="IA65" s="2278"/>
      <c r="IB65" s="2278"/>
      <c r="IC65" s="2278"/>
      <c r="ID65" s="2278"/>
      <c r="IE65" s="2278"/>
      <c r="IF65" s="2278"/>
      <c r="IG65" s="2278"/>
      <c r="IH65" s="2278"/>
      <c r="II65" s="2278"/>
      <c r="IJ65" s="2278"/>
      <c r="IK65" s="2278"/>
      <c r="IL65" s="2278"/>
      <c r="IM65" s="2278"/>
      <c r="IN65" s="2278"/>
      <c r="IO65" s="2278"/>
      <c r="IP65" s="2278"/>
      <c r="IQ65" s="2278"/>
      <c r="IR65" s="2278"/>
      <c r="IS65" s="2278"/>
      <c r="IT65" s="2278"/>
      <c r="IU65" s="2278"/>
      <c r="IV65" s="2278"/>
    </row>
    <row r="66" spans="1:256" s="1155" customFormat="1" ht="23.25" customHeight="1">
      <c r="A66" s="2274"/>
      <c r="B66" s="471"/>
      <c r="C66" s="402"/>
      <c r="D66" s="1154"/>
      <c r="E66" s="1154" t="s">
        <v>1706</v>
      </c>
      <c r="F66" s="1141">
        <f>Y66</f>
        <v>24000</v>
      </c>
      <c r="G66" s="1141">
        <v>24000</v>
      </c>
      <c r="H66" s="523"/>
      <c r="I66" s="473"/>
      <c r="J66" s="348" t="s">
        <v>1707</v>
      </c>
      <c r="K66" s="2278"/>
      <c r="L66" s="2278"/>
      <c r="M66" s="2278"/>
      <c r="N66" s="2278"/>
      <c r="O66" s="2278"/>
      <c r="P66" s="2278"/>
      <c r="Q66" s="408">
        <v>4</v>
      </c>
      <c r="R66" s="2275" t="s">
        <v>1695</v>
      </c>
      <c r="S66" s="524">
        <v>3000000</v>
      </c>
      <c r="T66" s="466" t="s">
        <v>0</v>
      </c>
      <c r="U66" s="2278"/>
      <c r="V66" s="2288">
        <v>2</v>
      </c>
      <c r="W66" s="2288" t="s">
        <v>3</v>
      </c>
      <c r="X66" s="525" t="s">
        <v>1</v>
      </c>
      <c r="Y66" s="1674">
        <f t="shared" si="13"/>
        <v>24000</v>
      </c>
      <c r="Z66" s="1098">
        <f>Q66*S66*V66</f>
        <v>24000000</v>
      </c>
      <c r="AA66" s="275"/>
      <c r="AB66" s="505"/>
      <c r="AC66" s="2278"/>
      <c r="AD66" s="2278"/>
      <c r="AE66" s="2278"/>
      <c r="AF66" s="2278"/>
      <c r="AG66" s="2278"/>
      <c r="AH66" s="2278"/>
      <c r="AI66" s="2278"/>
      <c r="AJ66" s="2278"/>
      <c r="AK66" s="2278"/>
      <c r="AL66" s="2278"/>
      <c r="AM66" s="2278"/>
      <c r="AN66" s="2278"/>
      <c r="AO66" s="2278"/>
      <c r="AP66" s="2278"/>
      <c r="AQ66" s="2278"/>
      <c r="AR66" s="2278"/>
      <c r="AS66" s="2278"/>
      <c r="AT66" s="2278"/>
      <c r="AU66" s="2278"/>
      <c r="AV66" s="2278"/>
      <c r="AW66" s="2278"/>
      <c r="AX66" s="2278"/>
      <c r="AY66" s="2278"/>
      <c r="AZ66" s="2278"/>
      <c r="BA66" s="2278"/>
      <c r="BB66" s="2278"/>
      <c r="BC66" s="2278"/>
      <c r="BD66" s="2278"/>
      <c r="BE66" s="2278"/>
      <c r="BF66" s="2278"/>
      <c r="BG66" s="2278"/>
      <c r="BH66" s="2278"/>
      <c r="BI66" s="2278"/>
      <c r="BJ66" s="2278"/>
      <c r="BK66" s="2278"/>
      <c r="BL66" s="2278"/>
      <c r="BM66" s="2278"/>
      <c r="BN66" s="2278"/>
      <c r="BO66" s="2278"/>
      <c r="BP66" s="2278"/>
      <c r="BQ66" s="2278"/>
      <c r="BR66" s="2278"/>
      <c r="BS66" s="2278"/>
      <c r="BT66" s="2278"/>
      <c r="BU66" s="2278"/>
      <c r="BV66" s="2278"/>
      <c r="BW66" s="2278"/>
      <c r="BX66" s="2278"/>
      <c r="BY66" s="2278"/>
      <c r="BZ66" s="2278"/>
      <c r="CA66" s="2278"/>
      <c r="CB66" s="2278"/>
      <c r="CC66" s="2278"/>
      <c r="CD66" s="2278"/>
      <c r="CE66" s="2278"/>
      <c r="CF66" s="2278"/>
      <c r="CG66" s="2278"/>
      <c r="CH66" s="2278"/>
      <c r="CI66" s="2278"/>
      <c r="CJ66" s="2278"/>
      <c r="CK66" s="2278"/>
      <c r="CL66" s="2278"/>
      <c r="CM66" s="2278"/>
      <c r="CN66" s="2278"/>
      <c r="CO66" s="2278"/>
      <c r="CP66" s="2278"/>
      <c r="CQ66" s="2278"/>
      <c r="CR66" s="2278"/>
      <c r="CS66" s="2278"/>
      <c r="CT66" s="2278"/>
      <c r="CU66" s="2278"/>
      <c r="CV66" s="2278"/>
      <c r="CW66" s="2278"/>
      <c r="CX66" s="2278"/>
      <c r="CY66" s="2278"/>
      <c r="CZ66" s="2278"/>
      <c r="DA66" s="2278"/>
      <c r="DB66" s="2278"/>
      <c r="DC66" s="2278"/>
      <c r="DD66" s="2278"/>
      <c r="DE66" s="2278"/>
      <c r="DF66" s="2278"/>
      <c r="DG66" s="2278"/>
      <c r="DH66" s="2278"/>
      <c r="DI66" s="2278"/>
      <c r="DJ66" s="2278"/>
      <c r="DK66" s="2278"/>
      <c r="DL66" s="2278"/>
      <c r="DM66" s="2278"/>
      <c r="DN66" s="2278"/>
      <c r="DO66" s="2278"/>
      <c r="DP66" s="2278"/>
      <c r="DQ66" s="2278"/>
      <c r="DR66" s="2278"/>
      <c r="DS66" s="2278"/>
      <c r="DT66" s="2278"/>
      <c r="DU66" s="2278"/>
      <c r="DV66" s="2278"/>
      <c r="DW66" s="2278"/>
      <c r="DX66" s="2278"/>
      <c r="DY66" s="2278"/>
      <c r="DZ66" s="2278"/>
      <c r="EA66" s="2278"/>
      <c r="EB66" s="2278"/>
      <c r="EC66" s="2278"/>
      <c r="ED66" s="2278"/>
      <c r="EE66" s="2278"/>
      <c r="EF66" s="2278"/>
      <c r="EG66" s="2278"/>
      <c r="EH66" s="2278"/>
      <c r="EI66" s="2278"/>
      <c r="EJ66" s="2278"/>
      <c r="EK66" s="2278"/>
      <c r="EL66" s="2278"/>
      <c r="EM66" s="2278"/>
      <c r="EN66" s="2278"/>
      <c r="EO66" s="2278"/>
      <c r="EP66" s="2278"/>
      <c r="EQ66" s="2278"/>
      <c r="ER66" s="2278"/>
      <c r="ES66" s="2278"/>
      <c r="ET66" s="2278"/>
      <c r="EU66" s="2278"/>
      <c r="EV66" s="2278"/>
      <c r="EW66" s="2278"/>
      <c r="EX66" s="2278"/>
      <c r="EY66" s="2278"/>
      <c r="EZ66" s="2278"/>
      <c r="FA66" s="2278"/>
      <c r="FB66" s="2278"/>
      <c r="FC66" s="2278"/>
      <c r="FD66" s="2278"/>
      <c r="FE66" s="2278"/>
      <c r="FF66" s="2278"/>
      <c r="FG66" s="2278"/>
      <c r="FH66" s="2278"/>
      <c r="FI66" s="2278"/>
      <c r="FJ66" s="2278"/>
      <c r="FK66" s="2278"/>
      <c r="FL66" s="2278"/>
      <c r="FM66" s="2278"/>
      <c r="FN66" s="2278"/>
      <c r="FO66" s="2278"/>
      <c r="FP66" s="2278"/>
      <c r="FQ66" s="2278"/>
      <c r="FR66" s="2278"/>
      <c r="FS66" s="2278"/>
      <c r="FT66" s="2278"/>
      <c r="FU66" s="2278"/>
      <c r="FV66" s="2278"/>
      <c r="FW66" s="2278"/>
      <c r="FX66" s="2278"/>
      <c r="FY66" s="2278"/>
      <c r="FZ66" s="2278"/>
      <c r="GA66" s="2278"/>
      <c r="GB66" s="2278"/>
      <c r="GC66" s="2278"/>
      <c r="GD66" s="2278"/>
      <c r="GE66" s="2278"/>
      <c r="GF66" s="2278"/>
      <c r="GG66" s="2278"/>
      <c r="GH66" s="2278"/>
      <c r="GI66" s="2278"/>
      <c r="GJ66" s="2278"/>
      <c r="GK66" s="2278"/>
      <c r="GL66" s="2278"/>
      <c r="GM66" s="2278"/>
      <c r="GN66" s="2278"/>
      <c r="GO66" s="2278"/>
      <c r="GP66" s="2278"/>
      <c r="GQ66" s="2278"/>
      <c r="GR66" s="2278"/>
      <c r="GS66" s="2278"/>
      <c r="GT66" s="2278"/>
      <c r="GU66" s="2278"/>
      <c r="GV66" s="2278"/>
      <c r="GW66" s="2278"/>
      <c r="GX66" s="2278"/>
      <c r="GY66" s="2278"/>
      <c r="GZ66" s="2278"/>
      <c r="HA66" s="2278"/>
      <c r="HB66" s="2278"/>
      <c r="HC66" s="2278"/>
      <c r="HD66" s="2278"/>
      <c r="HE66" s="2278"/>
      <c r="HF66" s="2278"/>
      <c r="HG66" s="2278"/>
      <c r="HH66" s="2278"/>
      <c r="HI66" s="2278"/>
      <c r="HJ66" s="2278"/>
      <c r="HK66" s="2278"/>
      <c r="HL66" s="2278"/>
      <c r="HM66" s="2278"/>
      <c r="HN66" s="2278"/>
      <c r="HO66" s="2278"/>
      <c r="HP66" s="2278"/>
      <c r="HQ66" s="2278"/>
      <c r="HR66" s="2278"/>
      <c r="HS66" s="2278"/>
      <c r="HT66" s="2278"/>
      <c r="HU66" s="2278"/>
      <c r="HV66" s="2278"/>
      <c r="HW66" s="2278"/>
      <c r="HX66" s="2278"/>
      <c r="HY66" s="2278"/>
      <c r="HZ66" s="2278"/>
      <c r="IA66" s="2278"/>
      <c r="IB66" s="2278"/>
      <c r="IC66" s="2278"/>
      <c r="ID66" s="2278"/>
      <c r="IE66" s="2278"/>
      <c r="IF66" s="2278"/>
      <c r="IG66" s="2278"/>
      <c r="IH66" s="2278"/>
      <c r="II66" s="2278"/>
      <c r="IJ66" s="2278"/>
      <c r="IK66" s="2278"/>
      <c r="IL66" s="2278"/>
      <c r="IM66" s="2278"/>
      <c r="IN66" s="2278"/>
      <c r="IO66" s="2278"/>
      <c r="IP66" s="2278"/>
      <c r="IQ66" s="2278"/>
      <c r="IR66" s="2278"/>
      <c r="IS66" s="2278"/>
      <c r="IT66" s="2278"/>
      <c r="IU66" s="2278"/>
      <c r="IV66" s="2278"/>
    </row>
    <row r="67" spans="1:256" s="1824" customFormat="1" ht="23.25" customHeight="1">
      <c r="A67" s="2274"/>
      <c r="B67" s="471"/>
      <c r="C67" s="402"/>
      <c r="D67" s="1154"/>
      <c r="E67" s="1154" t="s">
        <v>1708</v>
      </c>
      <c r="F67" s="1141">
        <f>Y67</f>
        <v>1000</v>
      </c>
      <c r="G67" s="1141">
        <v>1000</v>
      </c>
      <c r="H67" s="523"/>
      <c r="I67" s="473"/>
      <c r="J67" s="3373" t="s">
        <v>1709</v>
      </c>
      <c r="K67" s="3374"/>
      <c r="L67" s="3374"/>
      <c r="M67" s="3374"/>
      <c r="N67" s="2266"/>
      <c r="O67" s="2266"/>
      <c r="P67" s="2266"/>
      <c r="Q67" s="372"/>
      <c r="R67" s="1128"/>
      <c r="S67" s="524">
        <v>1000000</v>
      </c>
      <c r="T67" s="466" t="s">
        <v>0</v>
      </c>
      <c r="U67" s="2278"/>
      <c r="V67" s="366">
        <v>1</v>
      </c>
      <c r="W67" s="466" t="s">
        <v>1710</v>
      </c>
      <c r="X67" s="525" t="s">
        <v>1</v>
      </c>
      <c r="Y67" s="1674">
        <f t="shared" si="13"/>
        <v>1000</v>
      </c>
      <c r="Z67" s="1823">
        <f t="shared" ref="Z67" si="15">S67*V67</f>
        <v>1000000</v>
      </c>
      <c r="AA67" s="771"/>
      <c r="AB67" s="505"/>
      <c r="AC67" s="771"/>
    </row>
    <row r="68" spans="1:256" s="1824" customFormat="1" ht="23.25" customHeight="1">
      <c r="A68" s="2406"/>
      <c r="B68" s="471"/>
      <c r="C68" s="402"/>
      <c r="D68" s="3266" t="s">
        <v>2939</v>
      </c>
      <c r="E68" s="3267"/>
      <c r="F68" s="1153">
        <f>SUM(F69:F83)</f>
        <v>150000</v>
      </c>
      <c r="G68" s="1153">
        <f>SUM(G69:G83)</f>
        <v>150000</v>
      </c>
      <c r="H68" s="1132">
        <f>F68-G68</f>
        <v>0</v>
      </c>
      <c r="I68" s="1099"/>
      <c r="J68" s="2408"/>
      <c r="K68" s="2408"/>
      <c r="L68" s="2408"/>
      <c r="M68" s="2408"/>
      <c r="N68" s="2408"/>
      <c r="O68" s="2408"/>
      <c r="P68" s="485"/>
      <c r="Q68" s="484"/>
      <c r="R68" s="520"/>
      <c r="S68" s="2408"/>
      <c r="T68" s="2408"/>
      <c r="U68" s="521"/>
      <c r="V68" s="2408"/>
      <c r="W68" s="375"/>
      <c r="X68" s="541"/>
      <c r="Y68" s="440"/>
      <c r="Z68" s="1733"/>
      <c r="AA68" s="771"/>
      <c r="AB68" s="505"/>
      <c r="AC68" s="771"/>
    </row>
    <row r="69" spans="1:256" s="1824" customFormat="1" ht="23.25" customHeight="1">
      <c r="A69" s="2892"/>
      <c r="B69" s="471"/>
      <c r="C69" s="402"/>
      <c r="D69" s="434"/>
      <c r="E69" s="2499" t="s">
        <v>369</v>
      </c>
      <c r="F69" s="511">
        <f>Y69</f>
        <v>2000</v>
      </c>
      <c r="G69" s="511">
        <v>2000</v>
      </c>
      <c r="H69" s="2382"/>
      <c r="I69" s="2502"/>
      <c r="J69" s="3350" t="s">
        <v>2943</v>
      </c>
      <c r="K69" s="3351"/>
      <c r="L69" s="3351"/>
      <c r="M69" s="3351"/>
      <c r="N69" s="3351"/>
      <c r="O69" s="3351"/>
      <c r="P69" s="2880"/>
      <c r="Q69" s="727"/>
      <c r="R69" s="2891"/>
      <c r="S69" s="1686">
        <v>500000</v>
      </c>
      <c r="T69" s="516" t="s">
        <v>0</v>
      </c>
      <c r="U69" s="516"/>
      <c r="V69" s="516">
        <v>4</v>
      </c>
      <c r="W69" s="516" t="s">
        <v>265</v>
      </c>
      <c r="X69" s="517" t="s">
        <v>1</v>
      </c>
      <c r="Y69" s="636">
        <f t="shared" ref="Y69" si="16">Z69/1000</f>
        <v>2000</v>
      </c>
      <c r="Z69" s="1265">
        <f>S69*V69</f>
        <v>2000000</v>
      </c>
      <c r="AA69" s="771"/>
      <c r="AB69" s="505"/>
      <c r="AC69" s="771"/>
    </row>
    <row r="70" spans="1:256" s="1824" customFormat="1" ht="23.25" customHeight="1">
      <c r="A70" s="2892"/>
      <c r="B70" s="471"/>
      <c r="C70" s="402"/>
      <c r="D70" s="542"/>
      <c r="E70" s="2499" t="s">
        <v>199</v>
      </c>
      <c r="F70" s="511">
        <f t="shared" ref="F70" si="17">Y70</f>
        <v>2000</v>
      </c>
      <c r="G70" s="511">
        <v>2000</v>
      </c>
      <c r="H70" s="2382"/>
      <c r="I70" s="2502"/>
      <c r="J70" s="3350" t="s">
        <v>2944</v>
      </c>
      <c r="K70" s="3351"/>
      <c r="L70" s="3351"/>
      <c r="M70" s="3351"/>
      <c r="N70" s="3351"/>
      <c r="O70" s="3351"/>
      <c r="P70" s="2880"/>
      <c r="Q70" s="727"/>
      <c r="R70" s="2891"/>
      <c r="S70" s="1686">
        <v>1000000</v>
      </c>
      <c r="T70" s="516" t="s">
        <v>0</v>
      </c>
      <c r="U70" s="516"/>
      <c r="V70" s="516">
        <v>2</v>
      </c>
      <c r="W70" s="516" t="s">
        <v>196</v>
      </c>
      <c r="X70" s="517" t="s">
        <v>1</v>
      </c>
      <c r="Y70" s="636">
        <f t="shared" ref="Y70" si="18">Z70/1000</f>
        <v>2000</v>
      </c>
      <c r="Z70" s="1265">
        <f>S70*V70</f>
        <v>2000000</v>
      </c>
      <c r="AA70" s="771"/>
      <c r="AB70" s="505"/>
      <c r="AC70" s="771"/>
    </row>
    <row r="71" spans="1:256" s="1824" customFormat="1" ht="23.25" customHeight="1">
      <c r="A71" s="2406"/>
      <c r="B71" s="471"/>
      <c r="C71" s="402"/>
      <c r="D71" s="433"/>
      <c r="E71" s="2499" t="s">
        <v>84</v>
      </c>
      <c r="F71" s="511">
        <f t="shared" ref="F71:F72" si="19">Y71</f>
        <v>1800</v>
      </c>
      <c r="G71" s="511">
        <v>1800</v>
      </c>
      <c r="H71" s="2382"/>
      <c r="I71" s="2502"/>
      <c r="J71" s="514" t="s">
        <v>229</v>
      </c>
      <c r="K71" s="516"/>
      <c r="L71" s="2402"/>
      <c r="M71" s="2402"/>
      <c r="N71" s="635" t="s">
        <v>19</v>
      </c>
      <c r="O71" s="2402" t="s">
        <v>19</v>
      </c>
      <c r="P71" s="2402"/>
      <c r="Q71" s="727">
        <v>2</v>
      </c>
      <c r="R71" s="2474" t="s">
        <v>2945</v>
      </c>
      <c r="S71" s="1686">
        <v>30000</v>
      </c>
      <c r="T71" s="516" t="s">
        <v>0</v>
      </c>
      <c r="U71" s="516"/>
      <c r="V71" s="516">
        <v>30</v>
      </c>
      <c r="W71" s="516" t="s">
        <v>3</v>
      </c>
      <c r="X71" s="517" t="s">
        <v>1</v>
      </c>
      <c r="Y71" s="636">
        <f t="shared" ref="Y71:Y83" si="20">Z71/1000</f>
        <v>1800</v>
      </c>
      <c r="Z71" s="1265">
        <f>Q71*S71*V71</f>
        <v>1800000</v>
      </c>
      <c r="AA71" s="771"/>
      <c r="AB71" s="505"/>
      <c r="AC71" s="771"/>
    </row>
    <row r="72" spans="1:256" s="1824" customFormat="1" ht="23.25" customHeight="1">
      <c r="A72" s="2406"/>
      <c r="B72" s="471"/>
      <c r="C72" s="402"/>
      <c r="D72" s="433"/>
      <c r="E72" s="510" t="s">
        <v>52</v>
      </c>
      <c r="F72" s="511">
        <f t="shared" si="19"/>
        <v>34000</v>
      </c>
      <c r="G72" s="511">
        <v>34000</v>
      </c>
      <c r="H72" s="2382"/>
      <c r="I72" s="2502"/>
      <c r="J72" s="514" t="s">
        <v>8</v>
      </c>
      <c r="K72" s="2402"/>
      <c r="L72" s="2402"/>
      <c r="M72" s="2402"/>
      <c r="N72" s="2402"/>
      <c r="O72" s="2402"/>
      <c r="P72" s="2402"/>
      <c r="Q72" s="2402"/>
      <c r="R72" s="1187"/>
      <c r="S72" s="2402"/>
      <c r="T72" s="2402"/>
      <c r="U72" s="2402"/>
      <c r="V72" s="2402"/>
      <c r="W72" s="2402"/>
      <c r="X72" s="517"/>
      <c r="Y72" s="636">
        <f t="shared" si="20"/>
        <v>34000</v>
      </c>
      <c r="Z72" s="1265">
        <f>Z73+Z74</f>
        <v>34000000</v>
      </c>
      <c r="AA72" s="771"/>
      <c r="AB72" s="505"/>
      <c r="AC72" s="771"/>
    </row>
    <row r="73" spans="1:256" s="1824" customFormat="1" ht="23.25" customHeight="1">
      <c r="A73" s="2406"/>
      <c r="B73" s="471"/>
      <c r="C73" s="402"/>
      <c r="D73" s="1154"/>
      <c r="E73" s="510"/>
      <c r="F73" s="511"/>
      <c r="G73" s="511"/>
      <c r="H73" s="2378"/>
      <c r="I73" s="2502"/>
      <c r="J73" s="514" t="s">
        <v>2946</v>
      </c>
      <c r="K73" s="2402"/>
      <c r="L73" s="2402"/>
      <c r="M73" s="2402"/>
      <c r="N73" s="2402"/>
      <c r="O73" s="2402"/>
      <c r="P73" s="2402"/>
      <c r="Q73" s="727"/>
      <c r="R73" s="2474"/>
      <c r="S73" s="1686">
        <v>9000000</v>
      </c>
      <c r="T73" s="516" t="s">
        <v>0</v>
      </c>
      <c r="U73" s="516"/>
      <c r="V73" s="516">
        <v>1</v>
      </c>
      <c r="W73" s="516" t="s">
        <v>2941</v>
      </c>
      <c r="X73" s="517" t="s">
        <v>1</v>
      </c>
      <c r="Y73" s="636">
        <f t="shared" si="20"/>
        <v>9000</v>
      </c>
      <c r="Z73" s="1265">
        <f>S73*V73</f>
        <v>9000000</v>
      </c>
      <c r="AA73" s="771"/>
      <c r="AB73" s="505"/>
      <c r="AC73" s="771"/>
    </row>
    <row r="74" spans="1:256" s="1824" customFormat="1" ht="23.25" customHeight="1">
      <c r="A74" s="2406"/>
      <c r="B74" s="471"/>
      <c r="C74" s="402"/>
      <c r="D74" s="1154"/>
      <c r="E74" s="510"/>
      <c r="F74" s="511"/>
      <c r="G74" s="511"/>
      <c r="H74" s="2378"/>
      <c r="I74" s="2502"/>
      <c r="J74" s="514" t="s">
        <v>2947</v>
      </c>
      <c r="K74" s="2402"/>
      <c r="L74" s="2402"/>
      <c r="M74" s="2402"/>
      <c r="N74" s="2402"/>
      <c r="O74" s="2402"/>
      <c r="P74" s="2402"/>
      <c r="Q74" s="727"/>
      <c r="R74" s="2474"/>
      <c r="S74" s="1686">
        <v>25000000</v>
      </c>
      <c r="T74" s="516" t="s">
        <v>0</v>
      </c>
      <c r="U74" s="516"/>
      <c r="V74" s="516">
        <v>1</v>
      </c>
      <c r="W74" s="516" t="s">
        <v>2941</v>
      </c>
      <c r="X74" s="517" t="s">
        <v>1</v>
      </c>
      <c r="Y74" s="636">
        <f t="shared" si="20"/>
        <v>25000</v>
      </c>
      <c r="Z74" s="1265">
        <f>S74*V74</f>
        <v>25000000</v>
      </c>
      <c r="AA74" s="771"/>
      <c r="AB74" s="505"/>
      <c r="AC74" s="771"/>
    </row>
    <row r="75" spans="1:256" s="1824" customFormat="1" ht="23.25" customHeight="1">
      <c r="A75" s="2406"/>
      <c r="B75" s="471"/>
      <c r="C75" s="402"/>
      <c r="D75" s="1154"/>
      <c r="E75" s="2499" t="s">
        <v>2948</v>
      </c>
      <c r="F75" s="511">
        <f t="shared" ref="F75:F80" si="21">Y75</f>
        <v>20000</v>
      </c>
      <c r="G75" s="511">
        <v>20000</v>
      </c>
      <c r="H75" s="2382"/>
      <c r="I75" s="2502"/>
      <c r="J75" s="3350" t="s">
        <v>2949</v>
      </c>
      <c r="K75" s="3351"/>
      <c r="L75" s="3351"/>
      <c r="M75" s="3351"/>
      <c r="N75" s="3351"/>
      <c r="O75" s="2402" t="s">
        <v>19</v>
      </c>
      <c r="P75" s="2402"/>
      <c r="Q75" s="727"/>
      <c r="R75" s="2474"/>
      <c r="S75" s="1686">
        <v>10000000</v>
      </c>
      <c r="T75" s="516" t="s">
        <v>0</v>
      </c>
      <c r="U75" s="516"/>
      <c r="V75" s="516">
        <v>2</v>
      </c>
      <c r="W75" s="516" t="s">
        <v>2941</v>
      </c>
      <c r="X75" s="517" t="s">
        <v>1</v>
      </c>
      <c r="Y75" s="636">
        <f>Z75/1000</f>
        <v>20000</v>
      </c>
      <c r="Z75" s="1265">
        <f>S75*V75</f>
        <v>20000000</v>
      </c>
      <c r="AA75" s="771"/>
      <c r="AB75" s="505"/>
      <c r="AC75" s="771"/>
    </row>
    <row r="76" spans="1:256" s="1824" customFormat="1" ht="23.25" customHeight="1">
      <c r="A76" s="2406"/>
      <c r="B76" s="471"/>
      <c r="C76" s="402"/>
      <c r="D76" s="1154"/>
      <c r="E76" s="2499" t="s">
        <v>2950</v>
      </c>
      <c r="F76" s="511">
        <f t="shared" si="21"/>
        <v>11000</v>
      </c>
      <c r="G76" s="511">
        <v>11000</v>
      </c>
      <c r="H76" s="2382"/>
      <c r="I76" s="2502"/>
      <c r="J76" s="514" t="s">
        <v>2951</v>
      </c>
      <c r="K76" s="516"/>
      <c r="L76" s="2402"/>
      <c r="M76" s="2402"/>
      <c r="N76" s="635" t="s">
        <v>19</v>
      </c>
      <c r="O76" s="2402" t="s">
        <v>19</v>
      </c>
      <c r="P76" s="2402"/>
      <c r="Q76" s="727"/>
      <c r="R76" s="2474"/>
      <c r="S76" s="1686">
        <v>1100000</v>
      </c>
      <c r="T76" s="516" t="s">
        <v>0</v>
      </c>
      <c r="U76" s="516"/>
      <c r="V76" s="516">
        <v>10</v>
      </c>
      <c r="W76" s="516" t="s">
        <v>2952</v>
      </c>
      <c r="X76" s="517" t="s">
        <v>1</v>
      </c>
      <c r="Y76" s="636">
        <f>Z76/1000</f>
        <v>11000</v>
      </c>
      <c r="Z76" s="1265">
        <f>S76*V76</f>
        <v>11000000</v>
      </c>
      <c r="AA76" s="771"/>
      <c r="AB76" s="505"/>
      <c r="AC76" s="771"/>
    </row>
    <row r="77" spans="1:256" s="1824" customFormat="1" ht="23.25" customHeight="1">
      <c r="A77" s="2892"/>
      <c r="B77" s="471"/>
      <c r="C77" s="402"/>
      <c r="D77" s="433"/>
      <c r="E77" s="510" t="s">
        <v>208</v>
      </c>
      <c r="F77" s="511">
        <f>Y77</f>
        <v>55000</v>
      </c>
      <c r="G77" s="511">
        <v>55000</v>
      </c>
      <c r="H77" s="2382"/>
      <c r="I77" s="2502"/>
      <c r="J77" s="514" t="s">
        <v>8</v>
      </c>
      <c r="K77" s="516"/>
      <c r="L77" s="2880"/>
      <c r="M77" s="2880"/>
      <c r="N77" s="2880"/>
      <c r="O77" s="2880"/>
      <c r="P77" s="2880"/>
      <c r="Q77" s="727"/>
      <c r="R77" s="2887"/>
      <c r="S77" s="1686"/>
      <c r="T77" s="516"/>
      <c r="U77" s="516"/>
      <c r="V77" s="516"/>
      <c r="W77" s="516"/>
      <c r="X77" s="517"/>
      <c r="Y77" s="636">
        <f t="shared" ref="Y77:Y79" si="22">Z77/1000</f>
        <v>55000</v>
      </c>
      <c r="Z77" s="1265">
        <f>Z78+Z79</f>
        <v>55000000</v>
      </c>
      <c r="AA77" s="771"/>
      <c r="AB77" s="505"/>
      <c r="AC77" s="771"/>
    </row>
    <row r="78" spans="1:256" s="1824" customFormat="1" ht="23.25" customHeight="1">
      <c r="A78" s="2892"/>
      <c r="B78" s="471"/>
      <c r="C78" s="402"/>
      <c r="D78" s="433"/>
      <c r="E78" s="510"/>
      <c r="F78" s="511"/>
      <c r="G78" s="511"/>
      <c r="H78" s="2382"/>
      <c r="I78" s="2502"/>
      <c r="J78" s="514" t="s">
        <v>2940</v>
      </c>
      <c r="K78" s="516"/>
      <c r="L78" s="2880"/>
      <c r="M78" s="2880"/>
      <c r="N78" s="635"/>
      <c r="O78" s="2880"/>
      <c r="P78" s="2880"/>
      <c r="Q78" s="727"/>
      <c r="R78" s="2887"/>
      <c r="S78" s="1686">
        <v>45000000</v>
      </c>
      <c r="T78" s="516" t="s">
        <v>0</v>
      </c>
      <c r="U78" s="516"/>
      <c r="V78" s="516">
        <v>1</v>
      </c>
      <c r="W78" s="516" t="s">
        <v>196</v>
      </c>
      <c r="X78" s="517" t="s">
        <v>1</v>
      </c>
      <c r="Y78" s="636">
        <f t="shared" si="22"/>
        <v>45000</v>
      </c>
      <c r="Z78" s="1265">
        <f>S78*V78</f>
        <v>45000000</v>
      </c>
      <c r="AA78" s="771"/>
      <c r="AB78" s="505"/>
      <c r="AC78" s="771"/>
    </row>
    <row r="79" spans="1:256" s="1824" customFormat="1" ht="23.25" customHeight="1">
      <c r="A79" s="2892"/>
      <c r="B79" s="471"/>
      <c r="C79" s="402"/>
      <c r="D79" s="433"/>
      <c r="E79" s="510"/>
      <c r="F79" s="511"/>
      <c r="G79" s="511"/>
      <c r="H79" s="2382"/>
      <c r="I79" s="2502"/>
      <c r="J79" s="514" t="s">
        <v>2942</v>
      </c>
      <c r="K79" s="516"/>
      <c r="L79" s="2880"/>
      <c r="M79" s="2880"/>
      <c r="N79" s="635"/>
      <c r="O79" s="2880"/>
      <c r="P79" s="2880"/>
      <c r="Q79" s="727"/>
      <c r="R79" s="2887"/>
      <c r="S79" s="1686">
        <v>10000000</v>
      </c>
      <c r="T79" s="516" t="s">
        <v>0</v>
      </c>
      <c r="U79" s="516"/>
      <c r="V79" s="516">
        <v>1</v>
      </c>
      <c r="W79" s="516" t="s">
        <v>3</v>
      </c>
      <c r="X79" s="517" t="s">
        <v>1</v>
      </c>
      <c r="Y79" s="636">
        <f t="shared" si="22"/>
        <v>10000</v>
      </c>
      <c r="Z79" s="1265">
        <f>S79*V79</f>
        <v>10000000</v>
      </c>
      <c r="AA79" s="771"/>
      <c r="AB79" s="505"/>
      <c r="AC79" s="771"/>
    </row>
    <row r="80" spans="1:256" s="1824" customFormat="1" ht="23.25" customHeight="1">
      <c r="A80" s="2406"/>
      <c r="B80" s="471"/>
      <c r="C80" s="402"/>
      <c r="D80" s="1154"/>
      <c r="E80" s="510" t="s">
        <v>56</v>
      </c>
      <c r="F80" s="511">
        <f t="shared" si="21"/>
        <v>22600</v>
      </c>
      <c r="G80" s="511">
        <v>22600</v>
      </c>
      <c r="H80" s="2382"/>
      <c r="I80" s="2502"/>
      <c r="J80" s="514" t="s">
        <v>2953</v>
      </c>
      <c r="K80" s="516"/>
      <c r="L80" s="2402"/>
      <c r="M80" s="2402"/>
      <c r="N80" s="635"/>
      <c r="O80" s="2402"/>
      <c r="P80" s="2402"/>
      <c r="Q80" s="727"/>
      <c r="R80" s="2409"/>
      <c r="S80" s="1686"/>
      <c r="T80" s="516"/>
      <c r="U80" s="516"/>
      <c r="V80" s="516"/>
      <c r="W80" s="516"/>
      <c r="X80" s="517"/>
      <c r="Y80" s="636">
        <f t="shared" si="20"/>
        <v>22600</v>
      </c>
      <c r="Z80" s="1265">
        <f>+Z81+Z82</f>
        <v>22600000</v>
      </c>
      <c r="AA80" s="771"/>
      <c r="AB80" s="505"/>
      <c r="AC80" s="771"/>
    </row>
    <row r="81" spans="1:29" s="1824" customFormat="1" ht="23.25" customHeight="1">
      <c r="A81" s="2406"/>
      <c r="B81" s="471"/>
      <c r="C81" s="402"/>
      <c r="D81" s="1126"/>
      <c r="E81" s="2402"/>
      <c r="F81" s="511"/>
      <c r="G81" s="511"/>
      <c r="H81" s="2378"/>
      <c r="I81" s="2502"/>
      <c r="J81" s="514" t="s">
        <v>2954</v>
      </c>
      <c r="K81" s="516"/>
      <c r="L81" s="2402"/>
      <c r="M81" s="2402"/>
      <c r="N81" s="635"/>
      <c r="O81" s="2402"/>
      <c r="P81" s="2402"/>
      <c r="Q81" s="727"/>
      <c r="R81" s="2409"/>
      <c r="S81" s="1686">
        <v>11600000</v>
      </c>
      <c r="T81" s="516" t="s">
        <v>0</v>
      </c>
      <c r="U81" s="516"/>
      <c r="V81" s="516">
        <v>1</v>
      </c>
      <c r="W81" s="516" t="s">
        <v>2941</v>
      </c>
      <c r="X81" s="517" t="s">
        <v>1</v>
      </c>
      <c r="Y81" s="636">
        <f t="shared" si="20"/>
        <v>11600</v>
      </c>
      <c r="Z81" s="1265">
        <f>S81*V81</f>
        <v>11600000</v>
      </c>
      <c r="AA81" s="771"/>
      <c r="AB81" s="505"/>
      <c r="AC81" s="771"/>
    </row>
    <row r="82" spans="1:29" s="1824" customFormat="1" ht="23.25" customHeight="1">
      <c r="A82" s="2406"/>
      <c r="B82" s="471"/>
      <c r="C82" s="402"/>
      <c r="D82" s="1154"/>
      <c r="E82" s="510"/>
      <c r="F82" s="511"/>
      <c r="G82" s="511"/>
      <c r="H82" s="2378"/>
      <c r="I82" s="2502"/>
      <c r="J82" s="514" t="s">
        <v>2955</v>
      </c>
      <c r="K82" s="516"/>
      <c r="L82" s="2402"/>
      <c r="M82" s="2402"/>
      <c r="N82" s="635"/>
      <c r="O82" s="2402"/>
      <c r="P82" s="2402"/>
      <c r="Q82" s="727"/>
      <c r="R82" s="2409"/>
      <c r="S82" s="1686">
        <v>11000000</v>
      </c>
      <c r="T82" s="516" t="s">
        <v>0</v>
      </c>
      <c r="U82" s="516"/>
      <c r="V82" s="516">
        <v>1</v>
      </c>
      <c r="W82" s="516" t="s">
        <v>3</v>
      </c>
      <c r="X82" s="517" t="s">
        <v>1</v>
      </c>
      <c r="Y82" s="636">
        <f t="shared" si="20"/>
        <v>11000</v>
      </c>
      <c r="Z82" s="1265">
        <f>S82*V82</f>
        <v>11000000</v>
      </c>
      <c r="AA82" s="771"/>
      <c r="AB82" s="505"/>
      <c r="AC82" s="771"/>
    </row>
    <row r="83" spans="1:29" s="1824" customFormat="1" ht="23.25" customHeight="1">
      <c r="A83" s="2406"/>
      <c r="B83" s="471"/>
      <c r="C83" s="402"/>
      <c r="D83" s="2411"/>
      <c r="E83" s="2499" t="s">
        <v>55</v>
      </c>
      <c r="F83" s="511">
        <f>Y83</f>
        <v>1600</v>
      </c>
      <c r="G83" s="511">
        <v>1600</v>
      </c>
      <c r="H83" s="2382"/>
      <c r="I83" s="2502"/>
      <c r="J83" s="514" t="s">
        <v>235</v>
      </c>
      <c r="K83" s="516"/>
      <c r="L83" s="2402"/>
      <c r="M83" s="2402"/>
      <c r="N83" s="635"/>
      <c r="O83" s="2402"/>
      <c r="P83" s="2402"/>
      <c r="Q83" s="727">
        <v>5</v>
      </c>
      <c r="R83" s="2474" t="s">
        <v>2945</v>
      </c>
      <c r="S83" s="1686">
        <v>10000</v>
      </c>
      <c r="T83" s="516" t="s">
        <v>0</v>
      </c>
      <c r="U83" s="516"/>
      <c r="V83" s="516">
        <v>32</v>
      </c>
      <c r="W83" s="516" t="s">
        <v>3</v>
      </c>
      <c r="X83" s="517" t="s">
        <v>1</v>
      </c>
      <c r="Y83" s="636">
        <f t="shared" si="20"/>
        <v>1600</v>
      </c>
      <c r="Z83" s="1265">
        <f>Q83*S83*V83</f>
        <v>1600000</v>
      </c>
      <c r="AA83" s="771"/>
      <c r="AB83" s="505"/>
      <c r="AC83" s="771"/>
    </row>
    <row r="84" spans="1:29" s="2282" customFormat="1" ht="22.5" customHeight="1">
      <c r="A84" s="441"/>
      <c r="B84" s="90"/>
      <c r="C84" s="3277" t="s">
        <v>1711</v>
      </c>
      <c r="D84" s="3271"/>
      <c r="E84" s="3272"/>
      <c r="F84" s="1683">
        <f>+F85+F102</f>
        <v>1000000</v>
      </c>
      <c r="G84" s="1683">
        <f>+G85+G102</f>
        <v>1000000</v>
      </c>
      <c r="H84" s="386">
        <f>F84-G84</f>
        <v>0</v>
      </c>
      <c r="I84" s="409"/>
      <c r="J84" s="394"/>
      <c r="K84" s="2876"/>
      <c r="L84" s="2876"/>
      <c r="M84" s="2876"/>
      <c r="N84" s="2876"/>
      <c r="O84" s="2876"/>
      <c r="P84" s="2876"/>
      <c r="Q84" s="2876"/>
      <c r="R84" s="2876"/>
      <c r="S84" s="2876"/>
      <c r="T84" s="2876"/>
      <c r="U84" s="2876"/>
      <c r="V84" s="2876"/>
      <c r="W84" s="2876"/>
      <c r="X84" s="430"/>
      <c r="Y84" s="442"/>
      <c r="Z84" s="1733"/>
      <c r="AA84" s="305"/>
      <c r="AB84" s="305"/>
      <c r="AC84" s="166"/>
    </row>
    <row r="85" spans="1:29" s="1669" customFormat="1" ht="22.5" customHeight="1">
      <c r="A85" s="436"/>
      <c r="B85" s="437"/>
      <c r="C85" s="413"/>
      <c r="D85" s="3275" t="s">
        <v>1712</v>
      </c>
      <c r="E85" s="3276"/>
      <c r="F85" s="1683">
        <f>SUM(F86:F101)</f>
        <v>500000</v>
      </c>
      <c r="G85" s="1683">
        <f>SUM(G86:G101)</f>
        <v>500000</v>
      </c>
      <c r="H85" s="386">
        <f>F85-G85</f>
        <v>0</v>
      </c>
      <c r="I85" s="409"/>
      <c r="J85" s="394"/>
      <c r="K85" s="2876"/>
      <c r="L85" s="2876"/>
      <c r="M85" s="2876"/>
      <c r="N85" s="2876"/>
      <c r="O85" s="2876"/>
      <c r="P85" s="2876"/>
      <c r="Q85" s="2876"/>
      <c r="R85" s="395"/>
      <c r="S85" s="2876"/>
      <c r="T85" s="2876"/>
      <c r="U85" s="2876"/>
      <c r="V85" s="2876"/>
      <c r="W85" s="2876"/>
      <c r="X85" s="430"/>
      <c r="Y85" s="442"/>
      <c r="Z85" s="1733"/>
      <c r="AA85" s="305"/>
      <c r="AB85" s="305"/>
      <c r="AC85" s="166"/>
    </row>
    <row r="86" spans="1:29" s="2558" customFormat="1" ht="22.5" customHeight="1">
      <c r="A86" s="396"/>
      <c r="B86" s="2905"/>
      <c r="C86" s="397"/>
      <c r="D86" s="1144"/>
      <c r="E86" s="1134" t="s">
        <v>59</v>
      </c>
      <c r="F86" s="337">
        <f t="shared" ref="F86" si="23">Y86</f>
        <v>27000</v>
      </c>
      <c r="G86" s="1139">
        <v>33500</v>
      </c>
      <c r="H86" s="338">
        <f t="shared" ref="H86" si="24">F86-G86</f>
        <v>-6500</v>
      </c>
      <c r="I86" s="2889"/>
      <c r="J86" s="2899" t="s">
        <v>5453</v>
      </c>
      <c r="K86" s="2889"/>
      <c r="L86" s="2889"/>
      <c r="M86" s="2889"/>
      <c r="N86" s="2889"/>
      <c r="O86" s="2889"/>
      <c r="P86" s="2889"/>
      <c r="Q86" s="408"/>
      <c r="R86" s="2895"/>
      <c r="S86" s="1672"/>
      <c r="T86" s="2900"/>
      <c r="U86" s="2900"/>
      <c r="V86" s="2900"/>
      <c r="W86" s="2900"/>
      <c r="X86" s="1140"/>
      <c r="Y86" s="406">
        <f t="shared" ref="Y86:Y90" si="25">(Z86)/1000</f>
        <v>27000</v>
      </c>
      <c r="Z86" s="1098">
        <f>Z87+Z88</f>
        <v>27000000</v>
      </c>
      <c r="AA86" s="305"/>
      <c r="AB86" s="305"/>
      <c r="AC86" s="2557"/>
    </row>
    <row r="87" spans="1:29" s="2558" customFormat="1" ht="22.5" customHeight="1">
      <c r="A87" s="396"/>
      <c r="B87" s="2905"/>
      <c r="C87" s="397"/>
      <c r="D87" s="1144"/>
      <c r="E87" s="1134"/>
      <c r="F87" s="337"/>
      <c r="G87" s="1139"/>
      <c r="H87" s="338"/>
      <c r="I87" s="2889"/>
      <c r="J87" s="2899" t="s">
        <v>5622</v>
      </c>
      <c r="K87" s="2889"/>
      <c r="L87" s="2889"/>
      <c r="M87" s="2889"/>
      <c r="N87" s="2889"/>
      <c r="O87" s="2889"/>
      <c r="P87" s="2889"/>
      <c r="Q87" s="408">
        <v>1</v>
      </c>
      <c r="R87" s="2893" t="s">
        <v>5462</v>
      </c>
      <c r="S87" s="1672">
        <v>2500000</v>
      </c>
      <c r="T87" s="2900" t="s">
        <v>0</v>
      </c>
      <c r="U87" s="2900"/>
      <c r="V87" s="2900">
        <v>9</v>
      </c>
      <c r="W87" s="2900" t="s">
        <v>5553</v>
      </c>
      <c r="X87" s="1140" t="s">
        <v>5456</v>
      </c>
      <c r="Y87" s="406">
        <f t="shared" si="25"/>
        <v>22500</v>
      </c>
      <c r="Z87" s="1310">
        <f>Q87*S87*V87</f>
        <v>22500000</v>
      </c>
      <c r="AA87" s="305"/>
      <c r="AB87" s="305"/>
      <c r="AC87" s="2557"/>
    </row>
    <row r="88" spans="1:29" s="2558" customFormat="1" ht="22.5" customHeight="1">
      <c r="A88" s="396"/>
      <c r="B88" s="2905"/>
      <c r="C88" s="397"/>
      <c r="D88" s="1144"/>
      <c r="E88" s="1134"/>
      <c r="F88" s="337"/>
      <c r="G88" s="1139"/>
      <c r="H88" s="338"/>
      <c r="I88" s="2889"/>
      <c r="J88" s="2899" t="s">
        <v>5507</v>
      </c>
      <c r="K88" s="2889"/>
      <c r="L88" s="2889"/>
      <c r="M88" s="2889"/>
      <c r="N88" s="2889"/>
      <c r="O88" s="2889"/>
      <c r="P88" s="2889"/>
      <c r="Q88" s="408"/>
      <c r="R88" s="2893"/>
      <c r="S88" s="1672">
        <v>500000</v>
      </c>
      <c r="T88" s="2900" t="s">
        <v>5454</v>
      </c>
      <c r="U88" s="2900"/>
      <c r="V88" s="2900">
        <v>9</v>
      </c>
      <c r="W88" s="2900" t="s">
        <v>5553</v>
      </c>
      <c r="X88" s="1140" t="s">
        <v>5456</v>
      </c>
      <c r="Y88" s="406">
        <f t="shared" si="25"/>
        <v>4500</v>
      </c>
      <c r="Z88" s="1098">
        <f>S88*V88</f>
        <v>4500000</v>
      </c>
      <c r="AA88" s="305"/>
      <c r="AB88" s="305"/>
      <c r="AC88" s="2557"/>
    </row>
    <row r="89" spans="1:29" s="272" customFormat="1" ht="22.5" customHeight="1">
      <c r="A89" s="1315"/>
      <c r="B89" s="1316"/>
      <c r="C89" s="1317"/>
      <c r="D89" s="1144"/>
      <c r="E89" s="1134" t="s">
        <v>224</v>
      </c>
      <c r="F89" s="337">
        <f t="shared" ref="F89" si="26">Y89</f>
        <v>3000</v>
      </c>
      <c r="G89" s="438">
        <v>0</v>
      </c>
      <c r="H89" s="338">
        <f t="shared" ref="H89" si="27">F89-G89</f>
        <v>3000</v>
      </c>
      <c r="I89" s="2889"/>
      <c r="J89" s="2899" t="s">
        <v>5623</v>
      </c>
      <c r="K89" s="2889"/>
      <c r="L89" s="2889"/>
      <c r="M89" s="2889"/>
      <c r="N89" s="2889"/>
      <c r="O89" s="2889"/>
      <c r="P89" s="2889"/>
      <c r="Q89" s="408"/>
      <c r="R89" s="2893"/>
      <c r="S89" s="1672">
        <v>3000000</v>
      </c>
      <c r="T89" s="2900" t="s">
        <v>0</v>
      </c>
      <c r="U89" s="2900"/>
      <c r="V89" s="2900">
        <v>1</v>
      </c>
      <c r="W89" s="2900" t="s">
        <v>5457</v>
      </c>
      <c r="X89" s="1140" t="s">
        <v>5456</v>
      </c>
      <c r="Y89" s="406">
        <f t="shared" si="25"/>
        <v>3000</v>
      </c>
      <c r="Z89" s="1098">
        <f>S89*V89</f>
        <v>3000000</v>
      </c>
      <c r="AA89" s="305"/>
      <c r="AB89" s="305"/>
      <c r="AC89" s="2557"/>
    </row>
    <row r="90" spans="1:29" s="174" customFormat="1" ht="22.5" customHeight="1">
      <c r="A90" s="2892"/>
      <c r="B90" s="1145"/>
      <c r="C90" s="2904"/>
      <c r="D90" s="495"/>
      <c r="E90" s="1313" t="s">
        <v>195</v>
      </c>
      <c r="F90" s="337">
        <f t="shared" ref="F90" si="28">Y90</f>
        <v>2000</v>
      </c>
      <c r="G90" s="415">
        <v>4000</v>
      </c>
      <c r="H90" s="338">
        <f t="shared" ref="H90" si="29">F90-G90</f>
        <v>-2000</v>
      </c>
      <c r="I90" s="1308"/>
      <c r="J90" s="2899" t="s">
        <v>5619</v>
      </c>
      <c r="K90" s="2357"/>
      <c r="L90" s="2357"/>
      <c r="M90" s="2357"/>
      <c r="N90" s="2357"/>
      <c r="O90" s="2357"/>
      <c r="P90" s="1128"/>
      <c r="Q90" s="408">
        <v>4</v>
      </c>
      <c r="R90" s="2893" t="s">
        <v>5462</v>
      </c>
      <c r="S90" s="492">
        <v>50000</v>
      </c>
      <c r="T90" s="2889" t="s">
        <v>5616</v>
      </c>
      <c r="U90" s="2889"/>
      <c r="V90" s="492">
        <v>10</v>
      </c>
      <c r="W90" s="2889" t="s">
        <v>5463</v>
      </c>
      <c r="X90" s="1140" t="s">
        <v>1</v>
      </c>
      <c r="Y90" s="406">
        <f t="shared" si="25"/>
        <v>2000</v>
      </c>
      <c r="Z90" s="1310">
        <f>Q90*S90*V90</f>
        <v>2000000</v>
      </c>
      <c r="AA90" s="305"/>
      <c r="AB90" s="305"/>
      <c r="AC90" s="2557"/>
    </row>
    <row r="91" spans="1:29" s="271" customFormat="1" ht="22.5" customHeight="1">
      <c r="A91" s="475"/>
      <c r="B91" s="1145"/>
      <c r="C91" s="2904"/>
      <c r="D91" s="1312"/>
      <c r="E91" s="1313" t="s">
        <v>268</v>
      </c>
      <c r="F91" s="337">
        <f>Y91</f>
        <v>0</v>
      </c>
      <c r="G91" s="415">
        <v>2000</v>
      </c>
      <c r="H91" s="338">
        <f t="shared" ref="H91" si="30">F91-G91</f>
        <v>-2000</v>
      </c>
      <c r="I91" s="1308"/>
      <c r="J91" s="1670" t="s">
        <v>5124</v>
      </c>
      <c r="K91" s="2357"/>
      <c r="L91" s="2357"/>
      <c r="M91" s="2357"/>
      <c r="N91" s="2357"/>
      <c r="O91" s="2357"/>
      <c r="P91" s="1128"/>
      <c r="Q91" s="408"/>
      <c r="R91" s="2893"/>
      <c r="S91" s="492"/>
      <c r="T91" s="2889"/>
      <c r="U91" s="2889"/>
      <c r="V91" s="492"/>
      <c r="W91" s="2889"/>
      <c r="X91" s="1140"/>
      <c r="Y91" s="406"/>
      <c r="Z91" s="1310">
        <f>Q91*S91*V91</f>
        <v>0</v>
      </c>
      <c r="AA91" s="305"/>
      <c r="AB91" s="305"/>
      <c r="AC91" s="166"/>
    </row>
    <row r="92" spans="1:29" s="272" customFormat="1" ht="22.5" customHeight="1">
      <c r="A92" s="1315"/>
      <c r="B92" s="1316"/>
      <c r="C92" s="1317"/>
      <c r="D92" s="1144"/>
      <c r="E92" s="1134" t="s">
        <v>269</v>
      </c>
      <c r="F92" s="337">
        <f t="shared" ref="F92:F101" si="31">Y92</f>
        <v>6800</v>
      </c>
      <c r="G92" s="438">
        <v>6000</v>
      </c>
      <c r="H92" s="338">
        <f t="shared" ref="H92:H101" si="32">F92-G92</f>
        <v>800</v>
      </c>
      <c r="I92" s="2889"/>
      <c r="J92" s="2899" t="s">
        <v>5453</v>
      </c>
      <c r="K92" s="2889"/>
      <c r="L92" s="2889"/>
      <c r="M92" s="2889"/>
      <c r="N92" s="2889"/>
      <c r="O92" s="2889"/>
      <c r="P92" s="2889"/>
      <c r="Q92" s="408"/>
      <c r="R92" s="2895"/>
      <c r="S92" s="1672"/>
      <c r="T92" s="2900"/>
      <c r="U92" s="2900"/>
      <c r="V92" s="2900"/>
      <c r="W92" s="2900"/>
      <c r="X92" s="1140"/>
      <c r="Y92" s="406">
        <f t="shared" ref="Y92:Y101" si="33">(Z92)/1000</f>
        <v>6800</v>
      </c>
      <c r="Z92" s="1310">
        <f>Z93+Z94</f>
        <v>6800000</v>
      </c>
      <c r="AA92" s="305"/>
      <c r="AB92" s="305"/>
      <c r="AC92" s="166"/>
    </row>
    <row r="93" spans="1:29" s="1669" customFormat="1" ht="22.5" customHeight="1">
      <c r="A93" s="396"/>
      <c r="B93" s="2293"/>
      <c r="C93" s="1110"/>
      <c r="D93" s="1131"/>
      <c r="E93" s="1134"/>
      <c r="F93" s="337"/>
      <c r="G93" s="1139"/>
      <c r="H93" s="338"/>
      <c r="I93" s="409"/>
      <c r="J93" s="2899" t="s">
        <v>5620</v>
      </c>
      <c r="K93" s="2889"/>
      <c r="L93" s="2889"/>
      <c r="M93" s="2889"/>
      <c r="N93" s="2889"/>
      <c r="O93" s="2889"/>
      <c r="P93" s="2889"/>
      <c r="Q93" s="408">
        <v>3</v>
      </c>
      <c r="R93" s="2893" t="s">
        <v>5462</v>
      </c>
      <c r="S93" s="1672">
        <v>300000</v>
      </c>
      <c r="T93" s="2900" t="s">
        <v>0</v>
      </c>
      <c r="U93" s="2900"/>
      <c r="V93" s="2900">
        <v>2</v>
      </c>
      <c r="W93" s="2900" t="s">
        <v>5463</v>
      </c>
      <c r="X93" s="1140" t="s">
        <v>5456</v>
      </c>
      <c r="Y93" s="406">
        <f t="shared" si="33"/>
        <v>1800</v>
      </c>
      <c r="Z93" s="1310">
        <f t="shared" ref="Z93:Z94" si="34">Q93*S93*V93</f>
        <v>1800000</v>
      </c>
      <c r="AA93" s="305"/>
      <c r="AB93" s="305"/>
      <c r="AC93" s="166"/>
    </row>
    <row r="94" spans="1:29" s="2558" customFormat="1" ht="22.5" customHeight="1">
      <c r="A94" s="396"/>
      <c r="B94" s="2905"/>
      <c r="C94" s="397"/>
      <c r="D94" s="1144"/>
      <c r="E94" s="1134"/>
      <c r="F94" s="337"/>
      <c r="G94" s="1139"/>
      <c r="H94" s="338"/>
      <c r="I94" s="2889"/>
      <c r="J94" s="2899" t="s">
        <v>5621</v>
      </c>
      <c r="K94" s="2889"/>
      <c r="L94" s="2889"/>
      <c r="M94" s="2889"/>
      <c r="N94" s="2889"/>
      <c r="O94" s="2889"/>
      <c r="P94" s="2889"/>
      <c r="Q94" s="408">
        <v>5</v>
      </c>
      <c r="R94" s="2893" t="s">
        <v>5462</v>
      </c>
      <c r="S94" s="1672">
        <v>200000</v>
      </c>
      <c r="T94" s="2900" t="s">
        <v>0</v>
      </c>
      <c r="U94" s="2900"/>
      <c r="V94" s="2900">
        <v>5</v>
      </c>
      <c r="W94" s="2900" t="s">
        <v>5463</v>
      </c>
      <c r="X94" s="1140" t="s">
        <v>5456</v>
      </c>
      <c r="Y94" s="406">
        <f t="shared" si="33"/>
        <v>5000</v>
      </c>
      <c r="Z94" s="1310">
        <f t="shared" si="34"/>
        <v>5000000</v>
      </c>
      <c r="AA94" s="305"/>
      <c r="AB94" s="305"/>
      <c r="AC94" s="2557"/>
    </row>
    <row r="95" spans="1:29" s="271" customFormat="1" ht="22.5" customHeight="1">
      <c r="A95" s="2892"/>
      <c r="B95" s="1145"/>
      <c r="C95" s="2904"/>
      <c r="D95" s="1312"/>
      <c r="E95" s="1313" t="s">
        <v>223</v>
      </c>
      <c r="F95" s="337">
        <f t="shared" ref="F95" si="35">Y95</f>
        <v>3800</v>
      </c>
      <c r="G95" s="415">
        <v>15000</v>
      </c>
      <c r="H95" s="338">
        <f>F95-G95</f>
        <v>-11200</v>
      </c>
      <c r="I95" s="1308"/>
      <c r="J95" s="1670" t="s">
        <v>5617</v>
      </c>
      <c r="K95" s="2357"/>
      <c r="L95" s="2357"/>
      <c r="M95" s="2357"/>
      <c r="N95" s="2357"/>
      <c r="O95" s="2357"/>
      <c r="P95" s="1128"/>
      <c r="Q95" s="2889"/>
      <c r="R95" s="405"/>
      <c r="S95" s="2900">
        <v>380000</v>
      </c>
      <c r="T95" s="2900" t="s">
        <v>0</v>
      </c>
      <c r="U95" s="2900"/>
      <c r="V95" s="2900">
        <v>10</v>
      </c>
      <c r="W95" s="2900" t="s">
        <v>5618</v>
      </c>
      <c r="X95" s="1140" t="s">
        <v>5456</v>
      </c>
      <c r="Y95" s="406">
        <f t="shared" ref="Y95" si="36">(Z95)/1000</f>
        <v>3800</v>
      </c>
      <c r="Z95" s="1098">
        <f t="shared" ref="Z95" si="37">S95*V95</f>
        <v>3800000</v>
      </c>
      <c r="AA95" s="305"/>
      <c r="AB95" s="305"/>
      <c r="AC95" s="2557"/>
    </row>
    <row r="96" spans="1:29" s="272" customFormat="1" ht="22.5" customHeight="1">
      <c r="A96" s="1315"/>
      <c r="B96" s="1316"/>
      <c r="C96" s="1317"/>
      <c r="D96" s="1144"/>
      <c r="E96" s="1134" t="s">
        <v>222</v>
      </c>
      <c r="F96" s="337">
        <f t="shared" si="31"/>
        <v>430000</v>
      </c>
      <c r="G96" s="438">
        <v>424100</v>
      </c>
      <c r="H96" s="338">
        <f t="shared" si="32"/>
        <v>5900</v>
      </c>
      <c r="I96" s="2889"/>
      <c r="J96" s="2899" t="s">
        <v>5453</v>
      </c>
      <c r="K96" s="2889"/>
      <c r="L96" s="2889"/>
      <c r="M96" s="2889"/>
      <c r="N96" s="2889"/>
      <c r="O96" s="2889"/>
      <c r="P96" s="2889"/>
      <c r="Q96" s="408"/>
      <c r="R96" s="2895"/>
      <c r="S96" s="1672"/>
      <c r="T96" s="2900"/>
      <c r="U96" s="2900"/>
      <c r="V96" s="2900"/>
      <c r="W96" s="2900"/>
      <c r="X96" s="1140"/>
      <c r="Y96" s="406">
        <f t="shared" si="33"/>
        <v>430000</v>
      </c>
      <c r="Z96" s="1098">
        <f>Z97+Z98</f>
        <v>430000000</v>
      </c>
      <c r="AA96" s="305"/>
      <c r="AB96" s="305"/>
      <c r="AC96" s="166"/>
    </row>
    <row r="97" spans="1:29" s="1669" customFormat="1" ht="22.5" customHeight="1">
      <c r="A97" s="396"/>
      <c r="B97" s="2293"/>
      <c r="C97" s="1110"/>
      <c r="D97" s="1131"/>
      <c r="E97" s="1134"/>
      <c r="F97" s="337"/>
      <c r="G97" s="1139"/>
      <c r="H97" s="338"/>
      <c r="I97" s="409"/>
      <c r="J97" s="2899" t="s">
        <v>5624</v>
      </c>
      <c r="K97" s="2889"/>
      <c r="L97" s="2889"/>
      <c r="M97" s="2889"/>
      <c r="N97" s="2889"/>
      <c r="O97" s="2889"/>
      <c r="P97" s="2889"/>
      <c r="Q97" s="2889"/>
      <c r="R97" s="405"/>
      <c r="S97" s="2900">
        <v>30000000</v>
      </c>
      <c r="T97" s="2900" t="s">
        <v>0</v>
      </c>
      <c r="U97" s="2900"/>
      <c r="V97" s="2900">
        <v>12</v>
      </c>
      <c r="W97" s="2900" t="s">
        <v>5572</v>
      </c>
      <c r="X97" s="1140" t="s">
        <v>5456</v>
      </c>
      <c r="Y97" s="406">
        <f t="shared" si="33"/>
        <v>360000</v>
      </c>
      <c r="Z97" s="1098">
        <f>S97*V97</f>
        <v>360000000</v>
      </c>
      <c r="AA97" s="305"/>
      <c r="AB97" s="305"/>
      <c r="AC97" s="166"/>
    </row>
    <row r="98" spans="1:29" s="272" customFormat="1" ht="22.5" customHeight="1">
      <c r="A98" s="1315"/>
      <c r="B98" s="1316"/>
      <c r="C98" s="1317"/>
      <c r="D98" s="1144"/>
      <c r="E98" s="1134"/>
      <c r="F98" s="337"/>
      <c r="G98" s="438"/>
      <c r="H98" s="338"/>
      <c r="I98" s="2889"/>
      <c r="J98" s="2899" t="s">
        <v>5625</v>
      </c>
      <c r="K98" s="2889"/>
      <c r="L98" s="2889"/>
      <c r="M98" s="2889"/>
      <c r="N98" s="2889"/>
      <c r="O98" s="2889"/>
      <c r="P98" s="2889"/>
      <c r="Q98" s="408"/>
      <c r="R98" s="2893"/>
      <c r="S98" s="1672">
        <v>35000000</v>
      </c>
      <c r="T98" s="2900" t="s">
        <v>5454</v>
      </c>
      <c r="U98" s="2900"/>
      <c r="V98" s="2900">
        <v>2</v>
      </c>
      <c r="W98" s="2900" t="s">
        <v>5457</v>
      </c>
      <c r="X98" s="1140" t="s">
        <v>5456</v>
      </c>
      <c r="Y98" s="406">
        <f t="shared" si="33"/>
        <v>70000</v>
      </c>
      <c r="Z98" s="1098">
        <f>S98*V98</f>
        <v>70000000</v>
      </c>
      <c r="AA98" s="305"/>
      <c r="AB98" s="305"/>
      <c r="AC98" s="166"/>
    </row>
    <row r="99" spans="1:29" s="272" customFormat="1" ht="22.5" customHeight="1">
      <c r="A99" s="1315"/>
      <c r="B99" s="1316"/>
      <c r="C99" s="1317"/>
      <c r="D99" s="1144"/>
      <c r="E99" s="1134" t="s">
        <v>602</v>
      </c>
      <c r="F99" s="337">
        <f t="shared" si="31"/>
        <v>16400</v>
      </c>
      <c r="G99" s="438">
        <v>13000</v>
      </c>
      <c r="H99" s="338">
        <f t="shared" si="32"/>
        <v>3400</v>
      </c>
      <c r="I99" s="2889"/>
      <c r="J99" s="2899" t="s">
        <v>5626</v>
      </c>
      <c r="K99" s="2900"/>
      <c r="L99" s="2889"/>
      <c r="M99" s="2889"/>
      <c r="N99" s="1673"/>
      <c r="O99" s="2889"/>
      <c r="P99" s="2889"/>
      <c r="Q99" s="408"/>
      <c r="R99" s="2895"/>
      <c r="S99" s="1672">
        <v>4100000</v>
      </c>
      <c r="T99" s="2900" t="s">
        <v>0</v>
      </c>
      <c r="U99" s="2900"/>
      <c r="V99" s="2900">
        <v>4</v>
      </c>
      <c r="W99" s="2900" t="s">
        <v>5457</v>
      </c>
      <c r="X99" s="1140" t="s">
        <v>1</v>
      </c>
      <c r="Y99" s="1674">
        <f>S99*V99/1000</f>
        <v>16400</v>
      </c>
      <c r="Z99" s="1098">
        <f>S99*V99</f>
        <v>16400000</v>
      </c>
      <c r="AA99" s="305"/>
      <c r="AB99" s="305"/>
      <c r="AC99" s="166"/>
    </row>
    <row r="100" spans="1:29" s="1669" customFormat="1" ht="22.5" customHeight="1">
      <c r="A100" s="396"/>
      <c r="B100" s="2293"/>
      <c r="C100" s="1110"/>
      <c r="D100" s="1131"/>
      <c r="E100" s="1134" t="s">
        <v>695</v>
      </c>
      <c r="F100" s="337">
        <f t="shared" si="31"/>
        <v>7000</v>
      </c>
      <c r="G100" s="1698">
        <v>0</v>
      </c>
      <c r="H100" s="338">
        <f t="shared" si="32"/>
        <v>7000</v>
      </c>
      <c r="I100" s="409"/>
      <c r="J100" s="2899" t="s">
        <v>5627</v>
      </c>
      <c r="K100" s="2900"/>
      <c r="L100" s="2889"/>
      <c r="M100" s="2889"/>
      <c r="N100" s="1673"/>
      <c r="O100" s="2889"/>
      <c r="P100" s="2889"/>
      <c r="Q100" s="408"/>
      <c r="R100" s="2895"/>
      <c r="S100" s="1672">
        <v>7000000</v>
      </c>
      <c r="T100" s="2900" t="s">
        <v>0</v>
      </c>
      <c r="U100" s="2900"/>
      <c r="V100" s="2900">
        <v>1</v>
      </c>
      <c r="W100" s="2900" t="s">
        <v>5457</v>
      </c>
      <c r="X100" s="1140" t="s">
        <v>1</v>
      </c>
      <c r="Y100" s="1674">
        <f>S100*V100/1000</f>
        <v>7000</v>
      </c>
      <c r="Z100" s="1098">
        <f t="shared" ref="Z100:Z101" si="38">S100*V100</f>
        <v>7000000</v>
      </c>
      <c r="AA100" s="305"/>
      <c r="AB100" s="305"/>
      <c r="AC100" s="166"/>
    </row>
    <row r="101" spans="1:29" s="271" customFormat="1" ht="22.5" customHeight="1">
      <c r="A101" s="475"/>
      <c r="B101" s="1145"/>
      <c r="C101" s="2904"/>
      <c r="D101" s="2367"/>
      <c r="E101" s="1318" t="s">
        <v>271</v>
      </c>
      <c r="F101" s="360">
        <f t="shared" si="31"/>
        <v>4000</v>
      </c>
      <c r="G101" s="1319">
        <v>2400</v>
      </c>
      <c r="H101" s="361">
        <f t="shared" si="32"/>
        <v>1600</v>
      </c>
      <c r="I101" s="1308"/>
      <c r="J101" s="830" t="s">
        <v>5628</v>
      </c>
      <c r="K101" s="2801"/>
      <c r="L101" s="2801"/>
      <c r="M101" s="2801"/>
      <c r="N101" s="2801"/>
      <c r="O101" s="2801"/>
      <c r="P101" s="1130"/>
      <c r="Q101" s="528"/>
      <c r="R101" s="2883"/>
      <c r="S101" s="1320">
        <v>200000</v>
      </c>
      <c r="T101" s="362" t="s">
        <v>50</v>
      </c>
      <c r="U101" s="1321"/>
      <c r="V101" s="528">
        <v>20</v>
      </c>
      <c r="W101" s="2883" t="s">
        <v>5463</v>
      </c>
      <c r="X101" s="460" t="s">
        <v>1</v>
      </c>
      <c r="Y101" s="549">
        <f t="shared" si="33"/>
        <v>4000</v>
      </c>
      <c r="Z101" s="1098">
        <f t="shared" si="38"/>
        <v>4000000</v>
      </c>
      <c r="AA101" s="305"/>
      <c r="AB101" s="305"/>
      <c r="AC101" s="166"/>
    </row>
    <row r="102" spans="1:29" s="271" customFormat="1" ht="22.5" customHeight="1">
      <c r="A102" s="475"/>
      <c r="B102" s="1145"/>
      <c r="C102" s="2414"/>
      <c r="D102" s="3342" t="s">
        <v>2956</v>
      </c>
      <c r="E102" s="3343"/>
      <c r="F102" s="360">
        <f>SUM(F103:F116)</f>
        <v>500000</v>
      </c>
      <c r="G102" s="360">
        <f>SUM(G103:G116)</f>
        <v>500000</v>
      </c>
      <c r="H102" s="361">
        <f>F102-G102</f>
        <v>0</v>
      </c>
      <c r="I102" s="1308"/>
      <c r="J102" s="835"/>
      <c r="K102" s="2408"/>
      <c r="L102" s="2408"/>
      <c r="M102" s="2408"/>
      <c r="N102" s="2408"/>
      <c r="O102" s="2408"/>
      <c r="P102" s="484"/>
      <c r="Q102" s="485"/>
      <c r="R102" s="2401"/>
      <c r="S102" s="2503"/>
      <c r="T102" s="1002"/>
      <c r="U102" s="2319"/>
      <c r="V102" s="485"/>
      <c r="W102" s="2401"/>
      <c r="X102" s="1138"/>
      <c r="Y102" s="431"/>
      <c r="Z102" s="378"/>
      <c r="AA102" s="305"/>
      <c r="AB102" s="305"/>
      <c r="AC102" s="166"/>
    </row>
    <row r="103" spans="1:29" s="271" customFormat="1" ht="22.5" customHeight="1">
      <c r="A103" s="475"/>
      <c r="B103" s="1145"/>
      <c r="C103" s="2904"/>
      <c r="D103" s="495"/>
      <c r="E103" s="510" t="s">
        <v>59</v>
      </c>
      <c r="F103" s="767">
        <f t="shared" ref="F103" si="39">Y103</f>
        <v>28000</v>
      </c>
      <c r="G103" s="2505">
        <v>28000</v>
      </c>
      <c r="H103" s="2382"/>
      <c r="I103" s="2504"/>
      <c r="J103" s="514" t="s">
        <v>194</v>
      </c>
      <c r="K103" s="2880"/>
      <c r="L103" s="2880"/>
      <c r="M103" s="2880"/>
      <c r="N103" s="2880"/>
      <c r="O103" s="2880"/>
      <c r="P103" s="2880"/>
      <c r="Q103" s="727"/>
      <c r="R103" s="2887"/>
      <c r="S103" s="1686"/>
      <c r="T103" s="516"/>
      <c r="U103" s="516"/>
      <c r="V103" s="516"/>
      <c r="W103" s="516"/>
      <c r="X103" s="517"/>
      <c r="Y103" s="724">
        <f>(Z103)/1000</f>
        <v>28000</v>
      </c>
      <c r="Z103" s="1265">
        <f>SUM(Z104:Z105)</f>
        <v>28000000</v>
      </c>
      <c r="AA103" s="305"/>
      <c r="AB103" s="305"/>
      <c r="AC103" s="2557"/>
    </row>
    <row r="104" spans="1:29" s="271" customFormat="1" ht="22.5" customHeight="1">
      <c r="A104" s="475"/>
      <c r="B104" s="1145"/>
      <c r="C104" s="2904"/>
      <c r="D104" s="495"/>
      <c r="E104" s="510"/>
      <c r="F104" s="767"/>
      <c r="G104" s="2505"/>
      <c r="H104" s="2382"/>
      <c r="I104" s="2504"/>
      <c r="J104" s="514" t="s">
        <v>1718</v>
      </c>
      <c r="K104" s="2880"/>
      <c r="L104" s="2880"/>
      <c r="M104" s="2880"/>
      <c r="N104" s="2880"/>
      <c r="O104" s="2880"/>
      <c r="P104" s="2880"/>
      <c r="Q104" s="727">
        <v>1</v>
      </c>
      <c r="R104" s="2891" t="s">
        <v>33</v>
      </c>
      <c r="S104" s="1686">
        <v>2500000</v>
      </c>
      <c r="T104" s="516" t="s">
        <v>0</v>
      </c>
      <c r="U104" s="516"/>
      <c r="V104" s="516">
        <v>10</v>
      </c>
      <c r="W104" s="516" t="s">
        <v>49</v>
      </c>
      <c r="X104" s="517" t="s">
        <v>266</v>
      </c>
      <c r="Y104" s="724">
        <f>(Z104)/1000</f>
        <v>25000</v>
      </c>
      <c r="Z104" s="1386">
        <f>Q104*S104*V104</f>
        <v>25000000</v>
      </c>
      <c r="AA104" s="305"/>
      <c r="AB104" s="305"/>
      <c r="AC104" s="2557"/>
    </row>
    <row r="105" spans="1:29" s="271" customFormat="1" ht="22.5" customHeight="1">
      <c r="A105" s="475"/>
      <c r="B105" s="1145"/>
      <c r="C105" s="2904"/>
      <c r="D105" s="495"/>
      <c r="E105" s="510"/>
      <c r="F105" s="767"/>
      <c r="G105" s="873"/>
      <c r="H105" s="2382"/>
      <c r="I105" s="2504"/>
      <c r="J105" s="514" t="s">
        <v>1719</v>
      </c>
      <c r="K105" s="2880"/>
      <c r="L105" s="2880"/>
      <c r="M105" s="2880"/>
      <c r="N105" s="2880"/>
      <c r="O105" s="2880"/>
      <c r="P105" s="2880"/>
      <c r="Q105" s="727"/>
      <c r="R105" s="2891"/>
      <c r="S105" s="1686">
        <v>3000000</v>
      </c>
      <c r="T105" s="516" t="s">
        <v>264</v>
      </c>
      <c r="U105" s="516"/>
      <c r="V105" s="516">
        <v>1</v>
      </c>
      <c r="W105" s="516" t="s">
        <v>220</v>
      </c>
      <c r="X105" s="517" t="s">
        <v>266</v>
      </c>
      <c r="Y105" s="724">
        <f>(Z105)/1000</f>
        <v>3000</v>
      </c>
      <c r="Z105" s="1265">
        <f>S105*V105</f>
        <v>3000000</v>
      </c>
      <c r="AA105" s="305"/>
      <c r="AB105" s="305"/>
      <c r="AC105" s="2557"/>
    </row>
    <row r="106" spans="1:29" s="271" customFormat="1" ht="22.5" customHeight="1">
      <c r="A106" s="475"/>
      <c r="B106" s="1145"/>
      <c r="C106" s="2414"/>
      <c r="D106" s="495"/>
      <c r="E106" s="2471" t="s">
        <v>224</v>
      </c>
      <c r="F106" s="767">
        <f>Y106</f>
        <v>5000</v>
      </c>
      <c r="G106" s="2505">
        <v>5000</v>
      </c>
      <c r="H106" s="2382"/>
      <c r="I106" s="2504"/>
      <c r="J106" s="1780" t="s">
        <v>2958</v>
      </c>
      <c r="K106" s="2465"/>
      <c r="L106" s="2465"/>
      <c r="M106" s="2465"/>
      <c r="N106" s="2465"/>
      <c r="O106" s="2465"/>
      <c r="P106" s="535"/>
      <c r="Q106" s="727"/>
      <c r="R106" s="2474"/>
      <c r="S106" s="1385">
        <v>1000000</v>
      </c>
      <c r="T106" s="2402" t="s">
        <v>62</v>
      </c>
      <c r="U106" s="2402"/>
      <c r="V106" s="1385">
        <v>5</v>
      </c>
      <c r="W106" s="2402" t="s">
        <v>265</v>
      </c>
      <c r="X106" s="517" t="s">
        <v>1</v>
      </c>
      <c r="Y106" s="724">
        <f t="shared" ref="Y106" si="40">(Z106)/1000</f>
        <v>5000</v>
      </c>
      <c r="Z106" s="1386">
        <f>S106*V106</f>
        <v>5000000</v>
      </c>
      <c r="AA106" s="305"/>
      <c r="AB106" s="305"/>
      <c r="AC106" s="166"/>
    </row>
    <row r="107" spans="1:29" s="271" customFormat="1" ht="22.5" customHeight="1">
      <c r="A107" s="475"/>
      <c r="B107" s="1145"/>
      <c r="C107" s="2414"/>
      <c r="D107" s="495"/>
      <c r="E107" s="2499" t="s">
        <v>84</v>
      </c>
      <c r="F107" s="767">
        <f t="shared" ref="F107:F116" si="41">Y107</f>
        <v>4000</v>
      </c>
      <c r="G107" s="2505">
        <v>4000</v>
      </c>
      <c r="H107" s="2382"/>
      <c r="I107" s="2504"/>
      <c r="J107" s="514" t="s">
        <v>229</v>
      </c>
      <c r="K107" s="516"/>
      <c r="L107" s="2402"/>
      <c r="M107" s="2402"/>
      <c r="N107" s="635" t="s">
        <v>19</v>
      </c>
      <c r="O107" s="2402" t="s">
        <v>19</v>
      </c>
      <c r="P107" s="2402"/>
      <c r="Q107" s="727">
        <v>4</v>
      </c>
      <c r="R107" s="2474" t="s">
        <v>33</v>
      </c>
      <c r="S107" s="1686">
        <v>50000</v>
      </c>
      <c r="T107" s="516" t="s">
        <v>0</v>
      </c>
      <c r="U107" s="516"/>
      <c r="V107" s="516">
        <v>20</v>
      </c>
      <c r="W107" s="516" t="s">
        <v>3</v>
      </c>
      <c r="X107" s="517" t="s">
        <v>1</v>
      </c>
      <c r="Y107" s="636">
        <f>Z107/1000</f>
        <v>4000</v>
      </c>
      <c r="Z107" s="1265">
        <f>Q107*S107*V107</f>
        <v>4000000</v>
      </c>
      <c r="AA107" s="305"/>
      <c r="AB107" s="305"/>
      <c r="AC107" s="166"/>
    </row>
    <row r="108" spans="1:29" s="271" customFormat="1" ht="22.5" customHeight="1">
      <c r="A108" s="475"/>
      <c r="B108" s="1145"/>
      <c r="C108" s="2414"/>
      <c r="D108" s="495"/>
      <c r="E108" s="2471" t="s">
        <v>268</v>
      </c>
      <c r="F108" s="767">
        <f t="shared" si="41"/>
        <v>2000</v>
      </c>
      <c r="G108" s="2505">
        <v>2000</v>
      </c>
      <c r="H108" s="2382"/>
      <c r="I108" s="2504"/>
      <c r="J108" s="1780" t="s">
        <v>1713</v>
      </c>
      <c r="K108" s="2465"/>
      <c r="L108" s="2465"/>
      <c r="M108" s="2465"/>
      <c r="N108" s="2465"/>
      <c r="O108" s="2465"/>
      <c r="P108" s="535"/>
      <c r="Q108" s="727">
        <v>1</v>
      </c>
      <c r="R108" s="2474" t="s">
        <v>18</v>
      </c>
      <c r="S108" s="1385">
        <v>50000</v>
      </c>
      <c r="T108" s="2402" t="s">
        <v>62</v>
      </c>
      <c r="U108" s="2402"/>
      <c r="V108" s="1385">
        <v>40</v>
      </c>
      <c r="W108" s="2402" t="s">
        <v>265</v>
      </c>
      <c r="X108" s="517" t="s">
        <v>1</v>
      </c>
      <c r="Y108" s="724">
        <f t="shared" ref="Y108:Y113" si="42">(Z108)/1000</f>
        <v>2000</v>
      </c>
      <c r="Z108" s="1386">
        <f>S108*V108</f>
        <v>2000000</v>
      </c>
      <c r="AA108" s="305"/>
      <c r="AB108" s="305"/>
      <c r="AC108" s="166"/>
    </row>
    <row r="109" spans="1:29" s="271" customFormat="1" ht="22.5" customHeight="1">
      <c r="A109" s="475"/>
      <c r="B109" s="1145"/>
      <c r="C109" s="2414"/>
      <c r="D109" s="495"/>
      <c r="E109" s="510" t="s">
        <v>52</v>
      </c>
      <c r="F109" s="767">
        <f t="shared" si="41"/>
        <v>20000</v>
      </c>
      <c r="G109" s="873">
        <v>20000</v>
      </c>
      <c r="H109" s="2382"/>
      <c r="I109" s="2504"/>
      <c r="J109" s="514" t="s">
        <v>8</v>
      </c>
      <c r="K109" s="2402"/>
      <c r="L109" s="2402"/>
      <c r="M109" s="2402"/>
      <c r="N109" s="2402"/>
      <c r="O109" s="2402"/>
      <c r="P109" s="2402"/>
      <c r="Q109" s="2402"/>
      <c r="R109" s="1187"/>
      <c r="S109" s="2402"/>
      <c r="T109" s="2402"/>
      <c r="U109" s="2402"/>
      <c r="V109" s="2402"/>
      <c r="W109" s="2402"/>
      <c r="X109" s="517"/>
      <c r="Y109" s="636">
        <f t="shared" ref="Y109:Y111" si="43">Z109/1000</f>
        <v>20000</v>
      </c>
      <c r="Z109" s="1265">
        <f>Z110+Z111</f>
        <v>20000000</v>
      </c>
      <c r="AA109" s="305"/>
      <c r="AB109" s="305"/>
      <c r="AC109" s="166"/>
    </row>
    <row r="110" spans="1:29" s="271" customFormat="1" ht="22.5" customHeight="1">
      <c r="A110" s="475"/>
      <c r="B110" s="1145"/>
      <c r="C110" s="2414"/>
      <c r="D110" s="495"/>
      <c r="E110" s="510"/>
      <c r="F110" s="767"/>
      <c r="G110" s="873"/>
      <c r="H110" s="2382"/>
      <c r="I110" s="2504"/>
      <c r="J110" s="514" t="s">
        <v>2959</v>
      </c>
      <c r="K110" s="2402"/>
      <c r="L110" s="2402"/>
      <c r="M110" s="2402"/>
      <c r="N110" s="2402"/>
      <c r="O110" s="2402"/>
      <c r="P110" s="2402"/>
      <c r="Q110" s="727">
        <v>5</v>
      </c>
      <c r="R110" s="2474" t="s">
        <v>33</v>
      </c>
      <c r="S110" s="1686">
        <v>200000</v>
      </c>
      <c r="T110" s="516" t="s">
        <v>0</v>
      </c>
      <c r="U110" s="516"/>
      <c r="V110" s="516">
        <v>6</v>
      </c>
      <c r="W110" s="516" t="s">
        <v>265</v>
      </c>
      <c r="X110" s="517" t="s">
        <v>266</v>
      </c>
      <c r="Y110" s="724">
        <f>(Z110)/1000</f>
        <v>6000</v>
      </c>
      <c r="Z110" s="1386">
        <f>Q110*S110*V110</f>
        <v>6000000</v>
      </c>
      <c r="AA110" s="305"/>
      <c r="AB110" s="305"/>
      <c r="AC110" s="166"/>
    </row>
    <row r="111" spans="1:29" s="271" customFormat="1" ht="22.5" customHeight="1">
      <c r="A111" s="475"/>
      <c r="B111" s="1145"/>
      <c r="C111" s="2414"/>
      <c r="D111" s="495"/>
      <c r="E111" s="510"/>
      <c r="F111" s="767"/>
      <c r="G111" s="873"/>
      <c r="H111" s="2382"/>
      <c r="I111" s="2504"/>
      <c r="J111" s="514" t="s">
        <v>2960</v>
      </c>
      <c r="K111" s="2402"/>
      <c r="L111" s="2402"/>
      <c r="M111" s="2402"/>
      <c r="N111" s="2402"/>
      <c r="O111" s="2402"/>
      <c r="P111" s="2402"/>
      <c r="Q111" s="727"/>
      <c r="R111" s="2474"/>
      <c r="S111" s="1686">
        <v>14000000</v>
      </c>
      <c r="T111" s="516" t="s">
        <v>0</v>
      </c>
      <c r="U111" s="516"/>
      <c r="V111" s="516">
        <v>1</v>
      </c>
      <c r="W111" s="516" t="s">
        <v>196</v>
      </c>
      <c r="X111" s="517" t="s">
        <v>1</v>
      </c>
      <c r="Y111" s="636">
        <f t="shared" si="43"/>
        <v>14000</v>
      </c>
      <c r="Z111" s="1265">
        <f>S111*V111</f>
        <v>14000000</v>
      </c>
      <c r="AA111" s="305"/>
      <c r="AB111" s="305"/>
      <c r="AC111" s="166"/>
    </row>
    <row r="112" spans="1:29" s="271" customFormat="1" ht="22.5" customHeight="1">
      <c r="A112" s="475"/>
      <c r="B112" s="1145"/>
      <c r="C112" s="2414"/>
      <c r="D112" s="495"/>
      <c r="E112" s="2471" t="s">
        <v>223</v>
      </c>
      <c r="F112" s="767">
        <f t="shared" si="41"/>
        <v>15000</v>
      </c>
      <c r="G112" s="873">
        <v>15000</v>
      </c>
      <c r="H112" s="2382"/>
      <c r="I112" s="2504"/>
      <c r="J112" s="1780" t="s">
        <v>1715</v>
      </c>
      <c r="K112" s="2465"/>
      <c r="L112" s="2465"/>
      <c r="M112" s="2465"/>
      <c r="N112" s="2465"/>
      <c r="O112" s="2465"/>
      <c r="P112" s="535"/>
      <c r="Q112" s="2402"/>
      <c r="R112" s="1187"/>
      <c r="S112" s="516">
        <v>1500000</v>
      </c>
      <c r="T112" s="516" t="s">
        <v>0</v>
      </c>
      <c r="U112" s="516"/>
      <c r="V112" s="516">
        <v>10</v>
      </c>
      <c r="W112" s="516" t="s">
        <v>49</v>
      </c>
      <c r="X112" s="517" t="s">
        <v>266</v>
      </c>
      <c r="Y112" s="724">
        <f t="shared" si="42"/>
        <v>15000</v>
      </c>
      <c r="Z112" s="1265">
        <f>S112*V112</f>
        <v>15000000</v>
      </c>
      <c r="AA112" s="305"/>
      <c r="AB112" s="305"/>
      <c r="AC112" s="166"/>
    </row>
    <row r="113" spans="1:29" s="271" customFormat="1" ht="22.5" customHeight="1">
      <c r="A113" s="475"/>
      <c r="B113" s="1145"/>
      <c r="C113" s="2904"/>
      <c r="D113" s="495"/>
      <c r="E113" s="2471" t="s">
        <v>222</v>
      </c>
      <c r="F113" s="767">
        <f t="shared" si="41"/>
        <v>400000</v>
      </c>
      <c r="G113" s="873">
        <v>400000</v>
      </c>
      <c r="H113" s="2382"/>
      <c r="I113" s="2504"/>
      <c r="J113" s="1780" t="s">
        <v>2957</v>
      </c>
      <c r="K113" s="2894"/>
      <c r="L113" s="2894"/>
      <c r="M113" s="2894"/>
      <c r="N113" s="2880"/>
      <c r="O113" s="2880"/>
      <c r="P113" s="2880"/>
      <c r="Q113" s="2880"/>
      <c r="R113" s="1187"/>
      <c r="S113" s="516">
        <v>10000000</v>
      </c>
      <c r="T113" s="516" t="s">
        <v>0</v>
      </c>
      <c r="U113" s="516"/>
      <c r="V113" s="516">
        <v>40</v>
      </c>
      <c r="W113" s="516" t="s">
        <v>330</v>
      </c>
      <c r="X113" s="517" t="s">
        <v>266</v>
      </c>
      <c r="Y113" s="724">
        <f t="shared" si="42"/>
        <v>400000</v>
      </c>
      <c r="Z113" s="1265">
        <f>S113*V113</f>
        <v>400000000</v>
      </c>
      <c r="AA113" s="305"/>
      <c r="AB113" s="305"/>
      <c r="AC113" s="2557"/>
    </row>
    <row r="114" spans="1:29" s="271" customFormat="1" ht="22.5" customHeight="1">
      <c r="A114" s="475"/>
      <c r="B114" s="1145"/>
      <c r="C114" s="2414"/>
      <c r="D114" s="495"/>
      <c r="E114" s="510" t="s">
        <v>67</v>
      </c>
      <c r="F114" s="767">
        <f t="shared" si="41"/>
        <v>13000</v>
      </c>
      <c r="G114" s="873">
        <v>13000</v>
      </c>
      <c r="H114" s="2382"/>
      <c r="I114" s="2504"/>
      <c r="J114" s="514" t="s">
        <v>2961</v>
      </c>
      <c r="K114" s="516"/>
      <c r="L114" s="2402"/>
      <c r="M114" s="2402"/>
      <c r="N114" s="635"/>
      <c r="O114" s="2402"/>
      <c r="P114" s="2402"/>
      <c r="Q114" s="727"/>
      <c r="R114" s="2409"/>
      <c r="S114" s="1686">
        <v>6500000</v>
      </c>
      <c r="T114" s="516" t="s">
        <v>0</v>
      </c>
      <c r="U114" s="516"/>
      <c r="V114" s="516">
        <v>2</v>
      </c>
      <c r="W114" s="516" t="s">
        <v>196</v>
      </c>
      <c r="X114" s="517" t="s">
        <v>1</v>
      </c>
      <c r="Y114" s="636">
        <f>S114*V114/1000</f>
        <v>13000</v>
      </c>
      <c r="Z114" s="1265">
        <f>S114*V114</f>
        <v>13000000</v>
      </c>
      <c r="AA114" s="305"/>
      <c r="AB114" s="305"/>
      <c r="AC114" s="166"/>
    </row>
    <row r="115" spans="1:29" s="271" customFormat="1" ht="22.5" customHeight="1">
      <c r="A115" s="475"/>
      <c r="B115" s="1145"/>
      <c r="C115" s="2414"/>
      <c r="D115" s="495"/>
      <c r="E115" s="510" t="s">
        <v>695</v>
      </c>
      <c r="F115" s="767">
        <f t="shared" si="41"/>
        <v>10000</v>
      </c>
      <c r="G115" s="873">
        <v>10000</v>
      </c>
      <c r="H115" s="2382"/>
      <c r="I115" s="2504"/>
      <c r="J115" s="514" t="s">
        <v>2962</v>
      </c>
      <c r="K115" s="516"/>
      <c r="L115" s="2402"/>
      <c r="M115" s="2402"/>
      <c r="N115" s="635"/>
      <c r="O115" s="2402"/>
      <c r="P115" s="2402"/>
      <c r="Q115" s="727">
        <v>2</v>
      </c>
      <c r="R115" s="2474" t="s">
        <v>365</v>
      </c>
      <c r="S115" s="1686">
        <v>10000</v>
      </c>
      <c r="T115" s="516" t="s">
        <v>0</v>
      </c>
      <c r="U115" s="516"/>
      <c r="V115" s="516">
        <v>500</v>
      </c>
      <c r="W115" s="516" t="s">
        <v>288</v>
      </c>
      <c r="X115" s="517" t="s">
        <v>266</v>
      </c>
      <c r="Y115" s="724">
        <f>(Z115)/1000</f>
        <v>10000</v>
      </c>
      <c r="Z115" s="1386">
        <f>Q115*S115*V115</f>
        <v>10000000</v>
      </c>
      <c r="AA115" s="305"/>
      <c r="AB115" s="305"/>
      <c r="AC115" s="166"/>
    </row>
    <row r="116" spans="1:29" s="271" customFormat="1" ht="22.5" customHeight="1" thickBot="1">
      <c r="A116" s="475"/>
      <c r="B116" s="1145"/>
      <c r="C116" s="2414"/>
      <c r="D116" s="495"/>
      <c r="E116" s="2476" t="s">
        <v>271</v>
      </c>
      <c r="F116" s="767">
        <f t="shared" si="41"/>
        <v>3000</v>
      </c>
      <c r="G116" s="873">
        <v>3000</v>
      </c>
      <c r="H116" s="2382"/>
      <c r="I116" s="2504"/>
      <c r="J116" s="721" t="s">
        <v>1724</v>
      </c>
      <c r="K116" s="733"/>
      <c r="L116" s="733"/>
      <c r="M116" s="733"/>
      <c r="N116" s="733"/>
      <c r="O116" s="733"/>
      <c r="P116" s="2389"/>
      <c r="Q116" s="2506"/>
      <c r="R116" s="2410"/>
      <c r="S116" s="2507">
        <v>250000</v>
      </c>
      <c r="T116" s="2508" t="s">
        <v>50</v>
      </c>
      <c r="U116" s="2385"/>
      <c r="V116" s="2506">
        <v>12</v>
      </c>
      <c r="W116" s="2410" t="s">
        <v>2963</v>
      </c>
      <c r="X116" s="1152" t="s">
        <v>1</v>
      </c>
      <c r="Y116" s="724">
        <f t="shared" ref="Y116" si="44">(Z116)/1000</f>
        <v>3000</v>
      </c>
      <c r="Z116" s="1344">
        <f>S116*V116</f>
        <v>3000000</v>
      </c>
      <c r="AA116" s="305"/>
      <c r="AB116" s="305"/>
      <c r="AC116" s="166"/>
    </row>
    <row r="117" spans="1:29" s="2282" customFormat="1" ht="22.5" customHeight="1" thickBot="1">
      <c r="A117" s="396"/>
      <c r="B117" s="1826" t="s">
        <v>1726</v>
      </c>
      <c r="C117" s="1827"/>
      <c r="D117" s="1828"/>
      <c r="E117" s="1829"/>
      <c r="F117" s="1830">
        <f>F118+F153+F193+F227+F253</f>
        <v>2370000</v>
      </c>
      <c r="G117" s="2556">
        <f>G118+G153+G193+G227+G253</f>
        <v>2260000</v>
      </c>
      <c r="H117" s="169">
        <f>F117-G117</f>
        <v>110000</v>
      </c>
      <c r="I117" s="1817"/>
      <c r="J117" s="422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423"/>
      <c r="W117" s="423"/>
      <c r="X117" s="2809"/>
      <c r="Y117" s="2676"/>
      <c r="Z117" s="1734"/>
      <c r="AA117" s="305"/>
      <c r="AB117" s="305"/>
      <c r="AC117" s="166"/>
    </row>
    <row r="118" spans="1:29" s="2282" customFormat="1" ht="22.5" customHeight="1">
      <c r="A118" s="396"/>
      <c r="B118" s="2415"/>
      <c r="C118" s="3375" t="s">
        <v>3293</v>
      </c>
      <c r="D118" s="3375"/>
      <c r="E118" s="3376"/>
      <c r="F118" s="424">
        <f>F119+F138+F146</f>
        <v>280000</v>
      </c>
      <c r="G118" s="424">
        <f>G119+G138+G146</f>
        <v>130000</v>
      </c>
      <c r="H118" s="425">
        <f>F118-G118</f>
        <v>150000</v>
      </c>
      <c r="I118" s="398"/>
      <c r="J118" s="2284"/>
      <c r="K118" s="2404"/>
      <c r="L118" s="2404"/>
      <c r="M118" s="2404"/>
      <c r="N118" s="2404"/>
      <c r="O118" s="2404"/>
      <c r="P118" s="2404"/>
      <c r="Q118" s="2404"/>
      <c r="R118" s="2404"/>
      <c r="S118" s="2404"/>
      <c r="T118" s="2404"/>
      <c r="U118" s="2404"/>
      <c r="V118" s="2404"/>
      <c r="W118" s="2404"/>
      <c r="X118" s="426"/>
      <c r="Y118" s="427"/>
      <c r="Z118" s="1732"/>
      <c r="AA118" s="305"/>
      <c r="AB118" s="305"/>
      <c r="AC118" s="166"/>
    </row>
    <row r="119" spans="1:29" s="2282" customFormat="1" ht="22.5" customHeight="1">
      <c r="A119" s="396"/>
      <c r="B119" s="2415"/>
      <c r="C119" s="397"/>
      <c r="D119" s="3266" t="s">
        <v>4931</v>
      </c>
      <c r="E119" s="3267"/>
      <c r="F119" s="429">
        <f>SUM(F120:F137)</f>
        <v>280000</v>
      </c>
      <c r="G119" s="429">
        <f>SUM(G120:G137)</f>
        <v>0</v>
      </c>
      <c r="H119" s="386">
        <f>F119-G119</f>
        <v>280000</v>
      </c>
      <c r="I119" s="2559"/>
      <c r="J119" s="1135" t="s">
        <v>5084</v>
      </c>
      <c r="K119" s="2784"/>
      <c r="L119" s="2784"/>
      <c r="M119" s="2784"/>
      <c r="N119" s="2784"/>
      <c r="O119" s="2784"/>
      <c r="P119" s="2784"/>
      <c r="Q119" s="2784"/>
      <c r="R119" s="395"/>
      <c r="S119" s="2784"/>
      <c r="T119" s="2784"/>
      <c r="U119" s="2784"/>
      <c r="V119" s="2784"/>
      <c r="W119" s="2784"/>
      <c r="X119" s="430"/>
      <c r="Y119" s="431"/>
      <c r="Z119" s="1732"/>
      <c r="AA119" s="305"/>
      <c r="AB119" s="305"/>
      <c r="AC119" s="166"/>
    </row>
    <row r="120" spans="1:29" s="2889" customFormat="1" ht="22.5" customHeight="1">
      <c r="A120" s="436"/>
      <c r="B120" s="437"/>
      <c r="C120" s="397"/>
      <c r="D120" s="1144"/>
      <c r="E120" s="2823" t="s">
        <v>369</v>
      </c>
      <c r="F120" s="633">
        <f t="shared" ref="F120:F123" si="45">Y120</f>
        <v>10000</v>
      </c>
      <c r="G120" s="714"/>
      <c r="H120" s="634">
        <f t="shared" ref="H120:H123" si="46">F120-G120</f>
        <v>10000</v>
      </c>
      <c r="I120" s="1333"/>
      <c r="J120" s="514" t="s">
        <v>4930</v>
      </c>
      <c r="K120" s="2880"/>
      <c r="L120" s="2880"/>
      <c r="M120" s="2880"/>
      <c r="N120" s="2880"/>
      <c r="O120" s="2880"/>
      <c r="P120" s="2880"/>
      <c r="Q120" s="727"/>
      <c r="R120" s="2887"/>
      <c r="S120" s="516">
        <v>5000000</v>
      </c>
      <c r="T120" s="516" t="s">
        <v>0</v>
      </c>
      <c r="U120" s="516"/>
      <c r="V120" s="516">
        <v>2</v>
      </c>
      <c r="W120" s="516" t="s">
        <v>330</v>
      </c>
      <c r="X120" s="517" t="s">
        <v>1</v>
      </c>
      <c r="Y120" s="724">
        <f t="shared" ref="Y120:Y122" si="47">Z120/1000</f>
        <v>10000</v>
      </c>
      <c r="Z120" s="1265">
        <f t="shared" ref="Z120:Z122" si="48">S120*V120</f>
        <v>10000000</v>
      </c>
      <c r="AA120" s="305"/>
      <c r="AB120" s="305"/>
      <c r="AC120" s="2557"/>
    </row>
    <row r="121" spans="1:29" s="2889" customFormat="1" ht="22.5" customHeight="1">
      <c r="A121" s="436"/>
      <c r="B121" s="437"/>
      <c r="C121" s="397"/>
      <c r="D121" s="1154"/>
      <c r="E121" s="510" t="s">
        <v>199</v>
      </c>
      <c r="F121" s="633">
        <f t="shared" si="45"/>
        <v>10000</v>
      </c>
      <c r="G121" s="714"/>
      <c r="H121" s="634">
        <f t="shared" si="46"/>
        <v>10000</v>
      </c>
      <c r="I121" s="1118"/>
      <c r="J121" s="514" t="s">
        <v>4923</v>
      </c>
      <c r="K121" s="2880"/>
      <c r="L121" s="2880"/>
      <c r="M121" s="2880"/>
      <c r="N121" s="2880"/>
      <c r="O121" s="2880"/>
      <c r="P121" s="2880"/>
      <c r="Q121" s="727"/>
      <c r="R121" s="516"/>
      <c r="S121" s="1686">
        <v>5000000</v>
      </c>
      <c r="T121" s="516" t="s">
        <v>0</v>
      </c>
      <c r="U121" s="516"/>
      <c r="V121" s="516">
        <v>2</v>
      </c>
      <c r="W121" s="516" t="s">
        <v>196</v>
      </c>
      <c r="X121" s="517" t="s">
        <v>1</v>
      </c>
      <c r="Y121" s="724">
        <f t="shared" si="47"/>
        <v>10000</v>
      </c>
      <c r="Z121" s="1265">
        <f t="shared" si="48"/>
        <v>10000000</v>
      </c>
      <c r="AA121" s="305"/>
      <c r="AB121" s="305"/>
      <c r="AC121" s="2557"/>
    </row>
    <row r="122" spans="1:29" s="2889" customFormat="1" ht="22.5" customHeight="1">
      <c r="A122" s="436"/>
      <c r="B122" s="437"/>
      <c r="C122" s="397"/>
      <c r="D122" s="1154"/>
      <c r="E122" s="510" t="s">
        <v>224</v>
      </c>
      <c r="F122" s="633">
        <f t="shared" si="45"/>
        <v>3000</v>
      </c>
      <c r="G122" s="714"/>
      <c r="H122" s="634">
        <f t="shared" si="46"/>
        <v>3000</v>
      </c>
      <c r="I122" s="1118"/>
      <c r="J122" s="514" t="s">
        <v>4924</v>
      </c>
      <c r="K122" s="2880"/>
      <c r="L122" s="2880"/>
      <c r="M122" s="2880"/>
      <c r="N122" s="2880"/>
      <c r="O122" s="2880"/>
      <c r="P122" s="2880"/>
      <c r="Q122" s="727"/>
      <c r="R122" s="516"/>
      <c r="S122" s="1686">
        <v>3000000</v>
      </c>
      <c r="T122" s="516" t="s">
        <v>0</v>
      </c>
      <c r="U122" s="516"/>
      <c r="V122" s="516">
        <v>1</v>
      </c>
      <c r="W122" s="516" t="s">
        <v>196</v>
      </c>
      <c r="X122" s="517" t="s">
        <v>1</v>
      </c>
      <c r="Y122" s="724">
        <f t="shared" si="47"/>
        <v>3000</v>
      </c>
      <c r="Z122" s="1265">
        <f t="shared" si="48"/>
        <v>3000000</v>
      </c>
      <c r="AA122" s="305"/>
      <c r="AB122" s="305"/>
      <c r="AC122" s="2557"/>
    </row>
    <row r="123" spans="1:29" s="2889" customFormat="1" ht="22.5" customHeight="1">
      <c r="A123" s="436"/>
      <c r="B123" s="437"/>
      <c r="C123" s="397"/>
      <c r="D123" s="1154"/>
      <c r="E123" s="510" t="s">
        <v>195</v>
      </c>
      <c r="F123" s="633">
        <f t="shared" si="45"/>
        <v>20000</v>
      </c>
      <c r="G123" s="714"/>
      <c r="H123" s="634">
        <f t="shared" si="46"/>
        <v>20000</v>
      </c>
      <c r="I123" s="1333"/>
      <c r="J123" s="514" t="s">
        <v>4146</v>
      </c>
      <c r="K123" s="2880"/>
      <c r="L123" s="2880"/>
      <c r="M123" s="2880"/>
      <c r="N123" s="2880"/>
      <c r="O123" s="2880"/>
      <c r="P123" s="2880"/>
      <c r="Q123" s="727"/>
      <c r="R123" s="516"/>
      <c r="S123" s="1686"/>
      <c r="T123" s="516"/>
      <c r="U123" s="516"/>
      <c r="V123" s="516"/>
      <c r="W123" s="516"/>
      <c r="X123" s="517"/>
      <c r="Y123" s="724">
        <f>Y124+Y125</f>
        <v>20000</v>
      </c>
      <c r="Z123" s="1265">
        <f>Z124+Z125</f>
        <v>20000000</v>
      </c>
      <c r="AA123" s="305"/>
      <c r="AB123" s="305"/>
      <c r="AC123" s="2557"/>
    </row>
    <row r="124" spans="1:29" s="2889" customFormat="1" ht="22.5" customHeight="1">
      <c r="A124" s="436"/>
      <c r="B124" s="437"/>
      <c r="C124" s="397"/>
      <c r="D124" s="1154"/>
      <c r="E124" s="2824"/>
      <c r="F124" s="633"/>
      <c r="G124" s="714"/>
      <c r="H124" s="634"/>
      <c r="I124" s="1333"/>
      <c r="J124" s="514" t="s">
        <v>4925</v>
      </c>
      <c r="K124" s="2880"/>
      <c r="L124" s="2880"/>
      <c r="M124" s="2880"/>
      <c r="N124" s="2880"/>
      <c r="O124" s="2880"/>
      <c r="P124" s="2880"/>
      <c r="Q124" s="727">
        <v>4</v>
      </c>
      <c r="R124" s="516" t="s">
        <v>23</v>
      </c>
      <c r="S124" s="1686">
        <v>25000</v>
      </c>
      <c r="T124" s="516" t="s">
        <v>0</v>
      </c>
      <c r="U124" s="516"/>
      <c r="V124" s="516">
        <v>50</v>
      </c>
      <c r="W124" s="516" t="s">
        <v>265</v>
      </c>
      <c r="X124" s="517" t="s">
        <v>1</v>
      </c>
      <c r="Y124" s="724">
        <f t="shared" ref="Y124:Y125" si="49">Z124/1000</f>
        <v>5000</v>
      </c>
      <c r="Z124" s="1265">
        <f>V124*S124*Q124</f>
        <v>5000000</v>
      </c>
      <c r="AA124" s="305"/>
      <c r="AB124" s="305"/>
      <c r="AC124" s="2557"/>
    </row>
    <row r="125" spans="1:29" s="2889" customFormat="1" ht="22.5" customHeight="1">
      <c r="A125" s="436"/>
      <c r="B125" s="437"/>
      <c r="C125" s="397"/>
      <c r="D125" s="1154"/>
      <c r="E125" s="510"/>
      <c r="F125" s="633"/>
      <c r="G125" s="714"/>
      <c r="H125" s="634"/>
      <c r="I125" s="1333"/>
      <c r="J125" s="514" t="s">
        <v>4926</v>
      </c>
      <c r="K125" s="2880"/>
      <c r="L125" s="2880"/>
      <c r="M125" s="2880"/>
      <c r="N125" s="2880"/>
      <c r="O125" s="2880"/>
      <c r="P125" s="2880"/>
      <c r="Q125" s="727">
        <v>10</v>
      </c>
      <c r="R125" s="516" t="s">
        <v>23</v>
      </c>
      <c r="S125" s="1686">
        <v>1500000</v>
      </c>
      <c r="T125" s="516" t="s">
        <v>0</v>
      </c>
      <c r="U125" s="516"/>
      <c r="V125" s="516">
        <v>1</v>
      </c>
      <c r="W125" s="516" t="s">
        <v>265</v>
      </c>
      <c r="X125" s="517" t="s">
        <v>1</v>
      </c>
      <c r="Y125" s="724">
        <f t="shared" si="49"/>
        <v>15000</v>
      </c>
      <c r="Z125" s="1265">
        <f>S125*V125*Q125</f>
        <v>15000000</v>
      </c>
      <c r="AA125" s="305"/>
      <c r="AB125" s="305"/>
      <c r="AC125" s="2557"/>
    </row>
    <row r="126" spans="1:29" s="2889" customFormat="1" ht="22.5" customHeight="1">
      <c r="A126" s="396"/>
      <c r="B126" s="2905"/>
      <c r="C126" s="397"/>
      <c r="D126" s="433"/>
      <c r="E126" s="510" t="s">
        <v>269</v>
      </c>
      <c r="F126" s="633">
        <f>Y126</f>
        <v>10000</v>
      </c>
      <c r="G126" s="714"/>
      <c r="H126" s="634">
        <f>F126-G126</f>
        <v>10000</v>
      </c>
      <c r="I126" s="1118"/>
      <c r="J126" s="514" t="s">
        <v>4146</v>
      </c>
      <c r="K126" s="2880"/>
      <c r="L126" s="2880"/>
      <c r="M126" s="2880"/>
      <c r="N126" s="2880"/>
      <c r="O126" s="2880"/>
      <c r="P126" s="2880"/>
      <c r="Q126" s="727"/>
      <c r="R126" s="516"/>
      <c r="S126" s="1686"/>
      <c r="T126" s="516"/>
      <c r="U126" s="516"/>
      <c r="V126" s="516"/>
      <c r="W126" s="516"/>
      <c r="X126" s="517"/>
      <c r="Y126" s="724">
        <f>Y127+Y128</f>
        <v>10000</v>
      </c>
      <c r="Z126" s="1265">
        <f>Z127+Z128</f>
        <v>10000000</v>
      </c>
      <c r="AA126" s="305"/>
      <c r="AB126" s="305"/>
      <c r="AC126" s="2557"/>
    </row>
    <row r="127" spans="1:29" s="2889" customFormat="1" ht="22.5" customHeight="1">
      <c r="A127" s="396"/>
      <c r="B127" s="2905"/>
      <c r="C127" s="397"/>
      <c r="D127" s="433"/>
      <c r="E127" s="510"/>
      <c r="F127" s="633"/>
      <c r="G127" s="714"/>
      <c r="H127" s="634"/>
      <c r="I127" s="1118"/>
      <c r="J127" s="514" t="s">
        <v>5068</v>
      </c>
      <c r="K127" s="2880"/>
      <c r="L127" s="2880"/>
      <c r="M127" s="2880"/>
      <c r="N127" s="2880"/>
      <c r="O127" s="2880"/>
      <c r="P127" s="2880"/>
      <c r="Q127" s="727">
        <v>4</v>
      </c>
      <c r="R127" s="516" t="s">
        <v>23</v>
      </c>
      <c r="S127" s="1686">
        <v>200000</v>
      </c>
      <c r="T127" s="516" t="s">
        <v>0</v>
      </c>
      <c r="U127" s="516"/>
      <c r="V127" s="516">
        <v>10</v>
      </c>
      <c r="W127" s="516" t="s">
        <v>265</v>
      </c>
      <c r="X127" s="517" t="s">
        <v>1</v>
      </c>
      <c r="Y127" s="724">
        <f t="shared" ref="Y127:Y128" si="50">Z127/1000</f>
        <v>8000</v>
      </c>
      <c r="Z127" s="1265">
        <f>S127*V127*Q127</f>
        <v>8000000</v>
      </c>
      <c r="AA127" s="305"/>
      <c r="AB127" s="305"/>
      <c r="AC127" s="2557"/>
    </row>
    <row r="128" spans="1:29" s="2889" customFormat="1" ht="22.5" customHeight="1">
      <c r="A128" s="396"/>
      <c r="B128" s="2905"/>
      <c r="C128" s="397"/>
      <c r="D128" s="433"/>
      <c r="E128" s="510"/>
      <c r="F128" s="633"/>
      <c r="G128" s="714"/>
      <c r="H128" s="634"/>
      <c r="I128" s="1118"/>
      <c r="J128" s="514" t="s">
        <v>6104</v>
      </c>
      <c r="K128" s="2880"/>
      <c r="L128" s="2880"/>
      <c r="M128" s="2880"/>
      <c r="N128" s="2880"/>
      <c r="O128" s="2880"/>
      <c r="P128" s="2880"/>
      <c r="Q128" s="727">
        <v>2</v>
      </c>
      <c r="R128" s="516" t="s">
        <v>23</v>
      </c>
      <c r="S128" s="1686">
        <v>100000</v>
      </c>
      <c r="T128" s="516" t="s">
        <v>0</v>
      </c>
      <c r="U128" s="516"/>
      <c r="V128" s="516">
        <v>10</v>
      </c>
      <c r="W128" s="516" t="s">
        <v>265</v>
      </c>
      <c r="X128" s="517" t="s">
        <v>1</v>
      </c>
      <c r="Y128" s="724">
        <f t="shared" si="50"/>
        <v>2000</v>
      </c>
      <c r="Z128" s="1265">
        <f>S128*V128*Q128</f>
        <v>2000000</v>
      </c>
      <c r="AA128" s="305"/>
      <c r="AB128" s="305"/>
      <c r="AC128" s="2557"/>
    </row>
    <row r="129" spans="1:29" s="2780" customFormat="1" ht="22.5" customHeight="1">
      <c r="A129" s="396"/>
      <c r="B129" s="2782"/>
      <c r="C129" s="397"/>
      <c r="D129" s="433"/>
      <c r="E129" s="510" t="s">
        <v>4915</v>
      </c>
      <c r="F129" s="633">
        <f t="shared" ref="F129" si="51">Y129</f>
        <v>185000</v>
      </c>
      <c r="G129" s="714"/>
      <c r="H129" s="634">
        <f>F129-G129</f>
        <v>185000</v>
      </c>
      <c r="I129" s="1118"/>
      <c r="J129" s="514" t="s">
        <v>4881</v>
      </c>
      <c r="K129" s="2787"/>
      <c r="L129" s="2787"/>
      <c r="M129" s="2787"/>
      <c r="N129" s="2787"/>
      <c r="O129" s="2787"/>
      <c r="P129" s="2787"/>
      <c r="Q129" s="727"/>
      <c r="R129" s="2790"/>
      <c r="S129" s="1686"/>
      <c r="T129" s="516"/>
      <c r="U129" s="516"/>
      <c r="V129" s="516"/>
      <c r="W129" s="516"/>
      <c r="X129" s="517"/>
      <c r="Y129" s="724">
        <f>Z129/1000</f>
        <v>185000</v>
      </c>
      <c r="Z129" s="1265">
        <f>Z130+Z131+Z132+Z133</f>
        <v>185000000</v>
      </c>
      <c r="AA129" s="305"/>
      <c r="AB129" s="305"/>
      <c r="AC129" s="2557"/>
    </row>
    <row r="130" spans="1:29" s="2780" customFormat="1" ht="22.5" customHeight="1">
      <c r="A130" s="396"/>
      <c r="B130" s="2782"/>
      <c r="C130" s="397"/>
      <c r="D130" s="433"/>
      <c r="E130" s="2824"/>
      <c r="F130" s="633"/>
      <c r="G130" s="714"/>
      <c r="H130" s="634"/>
      <c r="I130" s="1118"/>
      <c r="J130" s="514" t="s">
        <v>5069</v>
      </c>
      <c r="K130" s="2787"/>
      <c r="L130" s="2787"/>
      <c r="M130" s="2787"/>
      <c r="N130" s="2787"/>
      <c r="O130" s="2787"/>
      <c r="P130" s="2787"/>
      <c r="Q130" s="727"/>
      <c r="R130" s="2790"/>
      <c r="S130" s="1686">
        <v>60000000</v>
      </c>
      <c r="T130" s="516" t="s">
        <v>0</v>
      </c>
      <c r="U130" s="516"/>
      <c r="V130" s="516">
        <v>1</v>
      </c>
      <c r="W130" s="516" t="s">
        <v>4922</v>
      </c>
      <c r="X130" s="517" t="s">
        <v>1</v>
      </c>
      <c r="Y130" s="724">
        <f t="shared" ref="Y130:Y137" si="52">Z130/1000</f>
        <v>60000</v>
      </c>
      <c r="Z130" s="1265">
        <f t="shared" ref="Z130:Z137" si="53">S130*V130</f>
        <v>60000000</v>
      </c>
      <c r="AA130" s="305"/>
      <c r="AB130" s="305"/>
      <c r="AC130" s="2557"/>
    </row>
    <row r="131" spans="1:29" s="2780" customFormat="1" ht="22.5" customHeight="1">
      <c r="A131" s="396"/>
      <c r="B131" s="2782"/>
      <c r="C131" s="397"/>
      <c r="D131" s="433"/>
      <c r="E131" s="510"/>
      <c r="F131" s="633"/>
      <c r="G131" s="714"/>
      <c r="H131" s="634"/>
      <c r="I131" s="1118"/>
      <c r="J131" s="514" t="s">
        <v>5070</v>
      </c>
      <c r="K131" s="2787"/>
      <c r="L131" s="2787"/>
      <c r="M131" s="2787"/>
      <c r="N131" s="2787"/>
      <c r="O131" s="2787"/>
      <c r="P131" s="2787"/>
      <c r="Q131" s="727"/>
      <c r="R131" s="2790"/>
      <c r="S131" s="1686">
        <v>80000000</v>
      </c>
      <c r="T131" s="516" t="s">
        <v>0</v>
      </c>
      <c r="U131" s="516"/>
      <c r="V131" s="516">
        <v>1</v>
      </c>
      <c r="W131" s="516" t="s">
        <v>4922</v>
      </c>
      <c r="X131" s="517" t="s">
        <v>1</v>
      </c>
      <c r="Y131" s="724">
        <f t="shared" si="52"/>
        <v>80000</v>
      </c>
      <c r="Z131" s="1265">
        <f t="shared" si="53"/>
        <v>80000000</v>
      </c>
      <c r="AA131" s="305"/>
      <c r="AB131" s="305"/>
      <c r="AC131" s="2557"/>
    </row>
    <row r="132" spans="1:29" s="2780" customFormat="1" ht="22.5" customHeight="1">
      <c r="A132" s="396"/>
      <c r="B132" s="2782"/>
      <c r="C132" s="397"/>
      <c r="D132" s="433"/>
      <c r="E132" s="510"/>
      <c r="F132" s="633"/>
      <c r="G132" s="714"/>
      <c r="H132" s="634"/>
      <c r="I132" s="1118"/>
      <c r="J132" s="514" t="s">
        <v>5071</v>
      </c>
      <c r="K132" s="2787"/>
      <c r="L132" s="2787"/>
      <c r="M132" s="2787"/>
      <c r="N132" s="2787"/>
      <c r="O132" s="2787"/>
      <c r="P132" s="2787"/>
      <c r="Q132" s="727"/>
      <c r="R132" s="2790"/>
      <c r="S132" s="1686">
        <v>30000000</v>
      </c>
      <c r="T132" s="516" t="s">
        <v>0</v>
      </c>
      <c r="U132" s="516"/>
      <c r="V132" s="516">
        <v>1</v>
      </c>
      <c r="W132" s="516" t="s">
        <v>4922</v>
      </c>
      <c r="X132" s="517" t="s">
        <v>1</v>
      </c>
      <c r="Y132" s="724">
        <f t="shared" si="52"/>
        <v>30000</v>
      </c>
      <c r="Z132" s="1265">
        <f t="shared" si="53"/>
        <v>30000000</v>
      </c>
      <c r="AA132" s="305"/>
      <c r="AB132" s="305"/>
      <c r="AC132" s="2557"/>
    </row>
    <row r="133" spans="1:29" s="2780" customFormat="1" ht="22.5" customHeight="1">
      <c r="A133" s="396"/>
      <c r="B133" s="2782"/>
      <c r="C133" s="397"/>
      <c r="D133" s="433"/>
      <c r="E133" s="510"/>
      <c r="F133" s="633"/>
      <c r="G133" s="714"/>
      <c r="H133" s="634"/>
      <c r="I133" s="1118"/>
      <c r="J133" s="514" t="s">
        <v>5072</v>
      </c>
      <c r="K133" s="2787"/>
      <c r="L133" s="2787"/>
      <c r="M133" s="2787"/>
      <c r="N133" s="2787"/>
      <c r="O133" s="2787"/>
      <c r="P133" s="2787"/>
      <c r="Q133" s="727"/>
      <c r="R133" s="516"/>
      <c r="S133" s="1686">
        <v>15000000</v>
      </c>
      <c r="T133" s="516" t="s">
        <v>0</v>
      </c>
      <c r="U133" s="516"/>
      <c r="V133" s="516">
        <v>1</v>
      </c>
      <c r="W133" s="516" t="s">
        <v>4922</v>
      </c>
      <c r="X133" s="517" t="s">
        <v>1</v>
      </c>
      <c r="Y133" s="724">
        <f t="shared" si="52"/>
        <v>15000</v>
      </c>
      <c r="Z133" s="1265">
        <f t="shared" si="53"/>
        <v>15000000</v>
      </c>
      <c r="AA133" s="305"/>
      <c r="AB133" s="305"/>
      <c r="AC133" s="2557"/>
    </row>
    <row r="134" spans="1:29" s="2889" customFormat="1" ht="22.5" customHeight="1">
      <c r="A134" s="396"/>
      <c r="B134" s="2905"/>
      <c r="C134" s="397"/>
      <c r="D134" s="433"/>
      <c r="E134" s="510" t="s">
        <v>222</v>
      </c>
      <c r="F134" s="633">
        <f t="shared" ref="F134" si="54">Y134</f>
        <v>15000</v>
      </c>
      <c r="G134" s="714"/>
      <c r="H134" s="634">
        <f>F134-G134</f>
        <v>15000</v>
      </c>
      <c r="I134" s="1118"/>
      <c r="J134" s="514" t="s">
        <v>4921</v>
      </c>
      <c r="K134" s="2880"/>
      <c r="L134" s="2880"/>
      <c r="M134" s="2880"/>
      <c r="N134" s="2880"/>
      <c r="O134" s="2880"/>
      <c r="P134" s="2880"/>
      <c r="Q134" s="727"/>
      <c r="R134" s="2887"/>
      <c r="S134" s="1686">
        <v>5000000</v>
      </c>
      <c r="T134" s="516" t="s">
        <v>0</v>
      </c>
      <c r="U134" s="516"/>
      <c r="V134" s="516">
        <v>3</v>
      </c>
      <c r="W134" s="516" t="s">
        <v>330</v>
      </c>
      <c r="X134" s="517" t="s">
        <v>1</v>
      </c>
      <c r="Y134" s="724">
        <f t="shared" ref="Y134" si="55">Z134/1000</f>
        <v>15000</v>
      </c>
      <c r="Z134" s="1265">
        <f t="shared" ref="Z134" si="56">S134*V134</f>
        <v>15000000</v>
      </c>
      <c r="AA134" s="305"/>
      <c r="AB134" s="305"/>
      <c r="AC134" s="2557"/>
    </row>
    <row r="135" spans="1:29" s="2282" customFormat="1" ht="22.5" customHeight="1">
      <c r="A135" s="436"/>
      <c r="B135" s="437"/>
      <c r="C135" s="397"/>
      <c r="D135" s="1154"/>
      <c r="E135" s="510" t="s">
        <v>4872</v>
      </c>
      <c r="F135" s="633">
        <f t="shared" ref="F135:F137" si="57">Y135</f>
        <v>3000</v>
      </c>
      <c r="G135" s="714"/>
      <c r="H135" s="634">
        <f t="shared" ref="H135:H137" si="58">F135-G135</f>
        <v>3000</v>
      </c>
      <c r="I135" s="1333"/>
      <c r="J135" s="514" t="s">
        <v>4927</v>
      </c>
      <c r="K135" s="2787"/>
      <c r="L135" s="2787"/>
      <c r="M135" s="2787"/>
      <c r="N135" s="2787"/>
      <c r="O135" s="2787"/>
      <c r="P135" s="2787"/>
      <c r="Q135" s="727"/>
      <c r="R135" s="516"/>
      <c r="S135" s="1686">
        <v>3000000</v>
      </c>
      <c r="T135" s="516" t="s">
        <v>0</v>
      </c>
      <c r="U135" s="516"/>
      <c r="V135" s="516">
        <v>1</v>
      </c>
      <c r="W135" s="516" t="s">
        <v>4883</v>
      </c>
      <c r="X135" s="517" t="s">
        <v>1</v>
      </c>
      <c r="Y135" s="724">
        <f t="shared" si="52"/>
        <v>3000</v>
      </c>
      <c r="Z135" s="1265">
        <f t="shared" ref="Z135:Z136" si="59">S135*V135</f>
        <v>3000000</v>
      </c>
      <c r="AA135" s="305"/>
      <c r="AB135" s="305"/>
      <c r="AC135" s="166"/>
    </row>
    <row r="136" spans="1:29" s="2282" customFormat="1" ht="22.5" customHeight="1">
      <c r="A136" s="436"/>
      <c r="B136" s="437"/>
      <c r="C136" s="397"/>
      <c r="D136" s="1154"/>
      <c r="E136" s="510" t="s">
        <v>4918</v>
      </c>
      <c r="F136" s="633">
        <f t="shared" si="57"/>
        <v>20000</v>
      </c>
      <c r="G136" s="714"/>
      <c r="H136" s="634">
        <f t="shared" si="58"/>
        <v>20000</v>
      </c>
      <c r="I136" s="1333"/>
      <c r="J136" s="514" t="s">
        <v>4928</v>
      </c>
      <c r="K136" s="2787"/>
      <c r="L136" s="2787"/>
      <c r="M136" s="2787"/>
      <c r="N136" s="2787"/>
      <c r="O136" s="2787"/>
      <c r="P136" s="2787"/>
      <c r="Q136" s="727"/>
      <c r="R136" s="516"/>
      <c r="S136" s="1686">
        <v>5000000</v>
      </c>
      <c r="T136" s="516" t="s">
        <v>0</v>
      </c>
      <c r="U136" s="516"/>
      <c r="V136" s="516">
        <v>4</v>
      </c>
      <c r="W136" s="516" t="s">
        <v>4865</v>
      </c>
      <c r="X136" s="517" t="s">
        <v>1</v>
      </c>
      <c r="Y136" s="724">
        <f t="shared" si="52"/>
        <v>20000</v>
      </c>
      <c r="Z136" s="1265">
        <f t="shared" si="59"/>
        <v>20000000</v>
      </c>
      <c r="AA136" s="305"/>
      <c r="AB136" s="305"/>
      <c r="AC136" s="166"/>
    </row>
    <row r="137" spans="1:29" s="2282" customFormat="1" ht="22.5" customHeight="1">
      <c r="A137" s="396"/>
      <c r="B137" s="2415"/>
      <c r="C137" s="397"/>
      <c r="D137" s="1144"/>
      <c r="E137" s="510" t="s">
        <v>4919</v>
      </c>
      <c r="F137" s="633">
        <f t="shared" si="57"/>
        <v>4000</v>
      </c>
      <c r="G137" s="714"/>
      <c r="H137" s="634">
        <f t="shared" si="58"/>
        <v>4000</v>
      </c>
      <c r="I137" s="1333"/>
      <c r="J137" s="514" t="s">
        <v>4929</v>
      </c>
      <c r="K137" s="2787"/>
      <c r="L137" s="2787"/>
      <c r="M137" s="2787"/>
      <c r="N137" s="2787"/>
      <c r="O137" s="2787"/>
      <c r="P137" s="2787"/>
      <c r="Q137" s="727"/>
      <c r="R137" s="2790"/>
      <c r="S137" s="1686">
        <v>200000</v>
      </c>
      <c r="T137" s="516" t="s">
        <v>0</v>
      </c>
      <c r="U137" s="516"/>
      <c r="V137" s="516">
        <v>20</v>
      </c>
      <c r="W137" s="516" t="s">
        <v>4865</v>
      </c>
      <c r="X137" s="517" t="s">
        <v>1</v>
      </c>
      <c r="Y137" s="724">
        <f t="shared" si="52"/>
        <v>4000</v>
      </c>
      <c r="Z137" s="1265">
        <f t="shared" si="53"/>
        <v>4000000</v>
      </c>
      <c r="AA137" s="305"/>
      <c r="AB137" s="305"/>
      <c r="AC137" s="166"/>
    </row>
    <row r="138" spans="1:29" s="2849" customFormat="1" ht="22.5" customHeight="1">
      <c r="A138" s="396"/>
      <c r="B138" s="2853"/>
      <c r="C138" s="397"/>
      <c r="D138" s="3266" t="s">
        <v>5078</v>
      </c>
      <c r="E138" s="3267"/>
      <c r="F138" s="429">
        <f>SUM(F139:F145)</f>
        <v>0</v>
      </c>
      <c r="G138" s="429">
        <f>SUM(G139:G145)</f>
        <v>50000</v>
      </c>
      <c r="H138" s="386">
        <f>F138-G138</f>
        <v>-50000</v>
      </c>
      <c r="I138" s="2559"/>
      <c r="J138" s="1135" t="s">
        <v>5080</v>
      </c>
      <c r="K138" s="2848"/>
      <c r="L138" s="2848"/>
      <c r="M138" s="2848"/>
      <c r="N138" s="2848"/>
      <c r="O138" s="2848"/>
      <c r="P138" s="2848"/>
      <c r="Q138" s="2848"/>
      <c r="R138" s="395"/>
      <c r="S138" s="2848"/>
      <c r="T138" s="2848"/>
      <c r="U138" s="2848"/>
      <c r="V138" s="2848"/>
      <c r="W138" s="2848"/>
      <c r="X138" s="430"/>
      <c r="Y138" s="431"/>
      <c r="Z138" s="1732">
        <f>Z139+Z140+Z141+Z142+Z143+Z144+Z145</f>
        <v>0</v>
      </c>
      <c r="AA138" s="305"/>
      <c r="AB138" s="305"/>
      <c r="AC138" s="2557"/>
    </row>
    <row r="139" spans="1:29" s="2849" customFormat="1" ht="22.5" hidden="1" customHeight="1">
      <c r="A139" s="436"/>
      <c r="B139" s="437"/>
      <c r="C139" s="397"/>
      <c r="D139" s="1126"/>
      <c r="E139" s="1134" t="s">
        <v>51</v>
      </c>
      <c r="F139" s="435">
        <f t="shared" ref="F139:F145" si="60">Y139</f>
        <v>0</v>
      </c>
      <c r="G139" s="438">
        <v>3000</v>
      </c>
      <c r="H139" s="391"/>
      <c r="I139" s="2559"/>
      <c r="J139" s="2851"/>
      <c r="Q139" s="408"/>
      <c r="R139" s="2850"/>
      <c r="S139" s="1672"/>
      <c r="T139" s="2852"/>
      <c r="U139" s="2852"/>
      <c r="V139" s="2852"/>
      <c r="W139" s="2852"/>
      <c r="X139" s="1140"/>
      <c r="Y139" s="406"/>
      <c r="Z139" s="1098"/>
      <c r="AA139" s="305"/>
      <c r="AB139" s="305"/>
      <c r="AC139" s="2557"/>
    </row>
    <row r="140" spans="1:29" s="2849" customFormat="1" ht="22.5" hidden="1" customHeight="1">
      <c r="A140" s="436"/>
      <c r="B140" s="437"/>
      <c r="C140" s="397"/>
      <c r="D140" s="1126"/>
      <c r="E140" s="1134" t="s">
        <v>73</v>
      </c>
      <c r="F140" s="435">
        <f t="shared" si="60"/>
        <v>0</v>
      </c>
      <c r="G140" s="438">
        <v>500</v>
      </c>
      <c r="H140" s="391"/>
      <c r="I140" s="2559"/>
      <c r="J140" s="2851"/>
      <c r="Q140" s="408"/>
      <c r="R140" s="2850"/>
      <c r="S140" s="1672"/>
      <c r="T140" s="2852"/>
      <c r="U140" s="2852"/>
      <c r="V140" s="2852"/>
      <c r="W140" s="2852"/>
      <c r="X140" s="1140"/>
      <c r="Y140" s="406"/>
      <c r="Z140" s="1098"/>
      <c r="AA140" s="305"/>
      <c r="AB140" s="305"/>
      <c r="AC140" s="2557"/>
    </row>
    <row r="141" spans="1:29" s="2849" customFormat="1" ht="22.5" hidden="1" customHeight="1">
      <c r="A141" s="436"/>
      <c r="B141" s="437"/>
      <c r="C141" s="397"/>
      <c r="D141" s="1126"/>
      <c r="E141" s="1134" t="s">
        <v>84</v>
      </c>
      <c r="F141" s="435">
        <f t="shared" si="60"/>
        <v>0</v>
      </c>
      <c r="G141" s="438">
        <v>1000</v>
      </c>
      <c r="H141" s="391"/>
      <c r="I141" s="409"/>
      <c r="J141" s="2851"/>
      <c r="Q141" s="408"/>
      <c r="R141" s="2850"/>
      <c r="S141" s="1672"/>
      <c r="T141" s="2852"/>
      <c r="U141" s="2852"/>
      <c r="V141" s="2852"/>
      <c r="W141" s="2852"/>
      <c r="X141" s="1140"/>
      <c r="Y141" s="406"/>
      <c r="Z141" s="1098"/>
      <c r="AA141" s="305"/>
      <c r="AB141" s="305"/>
      <c r="AC141" s="2557"/>
    </row>
    <row r="142" spans="1:29" s="2849" customFormat="1" ht="22.5" hidden="1" customHeight="1">
      <c r="A142" s="436"/>
      <c r="B142" s="437"/>
      <c r="C142" s="397"/>
      <c r="D142" s="1126"/>
      <c r="E142" s="1134" t="s">
        <v>52</v>
      </c>
      <c r="F142" s="435">
        <f t="shared" si="60"/>
        <v>0</v>
      </c>
      <c r="G142" s="438">
        <v>3600</v>
      </c>
      <c r="H142" s="391"/>
      <c r="I142" s="409"/>
      <c r="J142" s="2851"/>
      <c r="Q142" s="408"/>
      <c r="R142" s="2850"/>
      <c r="S142" s="1672"/>
      <c r="T142" s="2852"/>
      <c r="U142" s="2852"/>
      <c r="V142" s="2852"/>
      <c r="W142" s="2852"/>
      <c r="X142" s="1140"/>
      <c r="Y142" s="406"/>
      <c r="Z142" s="1098"/>
      <c r="AA142" s="305"/>
      <c r="AB142" s="305"/>
      <c r="AC142" s="2557"/>
    </row>
    <row r="143" spans="1:29" s="2849" customFormat="1" ht="22.5" hidden="1" customHeight="1">
      <c r="A143" s="436"/>
      <c r="B143" s="437"/>
      <c r="C143" s="397"/>
      <c r="D143" s="1126"/>
      <c r="E143" s="1134" t="s">
        <v>17</v>
      </c>
      <c r="F143" s="435">
        <f t="shared" si="60"/>
        <v>0</v>
      </c>
      <c r="G143" s="438">
        <v>400</v>
      </c>
      <c r="H143" s="391"/>
      <c r="I143" s="409"/>
      <c r="J143" s="2851"/>
      <c r="Q143" s="408"/>
      <c r="R143" s="2852"/>
      <c r="S143" s="1672"/>
      <c r="T143" s="2852"/>
      <c r="U143" s="2852"/>
      <c r="V143" s="2852"/>
      <c r="W143" s="2852"/>
      <c r="X143" s="1140"/>
      <c r="Y143" s="406"/>
      <c r="Z143" s="1098"/>
      <c r="AA143" s="305"/>
      <c r="AB143" s="305"/>
      <c r="AC143" s="2557"/>
    </row>
    <row r="144" spans="1:29" s="2849" customFormat="1" ht="22.5" hidden="1" customHeight="1">
      <c r="A144" s="396"/>
      <c r="B144" s="2853"/>
      <c r="C144" s="397"/>
      <c r="D144" s="1131"/>
      <c r="E144" s="1134" t="s">
        <v>65</v>
      </c>
      <c r="F144" s="435">
        <f t="shared" si="60"/>
        <v>0</v>
      </c>
      <c r="G144" s="438">
        <v>40000</v>
      </c>
      <c r="H144" s="391"/>
      <c r="I144" s="409"/>
      <c r="J144" s="2851"/>
      <c r="Q144" s="408"/>
      <c r="R144" s="2850"/>
      <c r="S144" s="1672"/>
      <c r="T144" s="2852"/>
      <c r="U144" s="2852"/>
      <c r="V144" s="2852"/>
      <c r="W144" s="2852"/>
      <c r="X144" s="1140"/>
      <c r="Y144" s="406"/>
      <c r="Z144" s="1098"/>
      <c r="AA144" s="305"/>
      <c r="AB144" s="305"/>
      <c r="AC144" s="2557"/>
    </row>
    <row r="145" spans="1:29" s="2849" customFormat="1" ht="22.5" hidden="1" customHeight="1">
      <c r="A145" s="436"/>
      <c r="B145" s="437"/>
      <c r="C145" s="397"/>
      <c r="D145" s="1131"/>
      <c r="E145" s="389" t="s">
        <v>55</v>
      </c>
      <c r="F145" s="435">
        <f t="shared" si="60"/>
        <v>0</v>
      </c>
      <c r="G145" s="438">
        <v>1500</v>
      </c>
      <c r="H145" s="391"/>
      <c r="I145" s="409"/>
      <c r="J145" s="2851"/>
      <c r="Q145" s="408"/>
      <c r="R145" s="2850"/>
      <c r="S145" s="2852"/>
      <c r="T145" s="2852"/>
      <c r="U145" s="2852"/>
      <c r="V145" s="2852"/>
      <c r="W145" s="2852"/>
      <c r="X145" s="1140"/>
      <c r="Y145" s="406"/>
      <c r="Z145" s="1098"/>
      <c r="AA145" s="305"/>
      <c r="AB145" s="305"/>
      <c r="AC145" s="2557"/>
    </row>
    <row r="146" spans="1:29" s="2849" customFormat="1" ht="22.5" customHeight="1">
      <c r="A146" s="436"/>
      <c r="B146" s="437"/>
      <c r="C146" s="413"/>
      <c r="D146" s="3266" t="s">
        <v>5079</v>
      </c>
      <c r="E146" s="3267"/>
      <c r="F146" s="429">
        <f>SUM(F147:F152)</f>
        <v>0</v>
      </c>
      <c r="G146" s="429">
        <f>SUM(G147:G152)</f>
        <v>80000</v>
      </c>
      <c r="H146" s="386">
        <f>F146-G146</f>
        <v>-80000</v>
      </c>
      <c r="I146" s="409"/>
      <c r="J146" s="1135" t="s">
        <v>5081</v>
      </c>
      <c r="K146" s="2848"/>
      <c r="L146" s="2848"/>
      <c r="M146" s="2848"/>
      <c r="N146" s="2848"/>
      <c r="O146" s="2848"/>
      <c r="P146" s="2848"/>
      <c r="Q146" s="2848"/>
      <c r="R146" s="395"/>
      <c r="S146" s="2848"/>
      <c r="T146" s="2848"/>
      <c r="U146" s="2848"/>
      <c r="V146" s="2848"/>
      <c r="W146" s="2848"/>
      <c r="X146" s="430"/>
      <c r="Y146" s="439"/>
      <c r="Z146" s="1733">
        <f>SUM(Z147+Z148+Z149+Z150+Z151+Z152)</f>
        <v>0</v>
      </c>
      <c r="AA146" s="305"/>
      <c r="AB146" s="305"/>
      <c r="AC146" s="2557"/>
    </row>
    <row r="147" spans="1:29" s="2849" customFormat="1" ht="22.5" hidden="1" customHeight="1">
      <c r="A147" s="436"/>
      <c r="B147" s="437"/>
      <c r="C147" s="397"/>
      <c r="D147" s="1126"/>
      <c r="E147" s="1134" t="s">
        <v>51</v>
      </c>
      <c r="F147" s="435">
        <f t="shared" ref="F147:F152" si="61">Y147</f>
        <v>0</v>
      </c>
      <c r="G147" s="438">
        <v>20000</v>
      </c>
      <c r="H147" s="391"/>
      <c r="I147" s="409"/>
      <c r="J147" s="2851"/>
      <c r="Q147" s="408"/>
      <c r="R147" s="2850"/>
      <c r="S147" s="1672"/>
      <c r="T147" s="2852"/>
      <c r="U147" s="2852"/>
      <c r="V147" s="2852"/>
      <c r="W147" s="2852"/>
      <c r="X147" s="1140"/>
      <c r="Y147" s="406"/>
      <c r="Z147" s="1098"/>
      <c r="AA147" s="305"/>
      <c r="AB147" s="305"/>
      <c r="AC147" s="2557"/>
    </row>
    <row r="148" spans="1:29" s="2849" customFormat="1" ht="22.5" hidden="1" customHeight="1">
      <c r="A148" s="436"/>
      <c r="B148" s="437"/>
      <c r="C148" s="397"/>
      <c r="D148" s="1126"/>
      <c r="E148" s="1134" t="s">
        <v>73</v>
      </c>
      <c r="F148" s="435">
        <f t="shared" si="61"/>
        <v>0</v>
      </c>
      <c r="G148" s="438">
        <v>1000</v>
      </c>
      <c r="H148" s="391"/>
      <c r="I148" s="409"/>
      <c r="J148" s="2851"/>
      <c r="Q148" s="408"/>
      <c r="R148" s="2850"/>
      <c r="S148" s="1672"/>
      <c r="T148" s="2852"/>
      <c r="U148" s="2852"/>
      <c r="V148" s="2852"/>
      <c r="W148" s="2852"/>
      <c r="X148" s="1140"/>
      <c r="Y148" s="406"/>
      <c r="Z148" s="1098"/>
      <c r="AA148" s="305"/>
      <c r="AB148" s="305"/>
      <c r="AC148" s="2557"/>
    </row>
    <row r="149" spans="1:29" s="2849" customFormat="1" ht="22.5" hidden="1" customHeight="1">
      <c r="A149" s="436"/>
      <c r="B149" s="437"/>
      <c r="C149" s="397"/>
      <c r="D149" s="1126"/>
      <c r="E149" s="1134" t="s">
        <v>84</v>
      </c>
      <c r="F149" s="435">
        <f t="shared" si="61"/>
        <v>0</v>
      </c>
      <c r="G149" s="438">
        <v>9000</v>
      </c>
      <c r="H149" s="391"/>
      <c r="I149" s="409"/>
      <c r="J149" s="2851"/>
      <c r="Q149" s="408"/>
      <c r="R149" s="2850"/>
      <c r="S149" s="1672"/>
      <c r="T149" s="2852"/>
      <c r="U149" s="2852"/>
      <c r="V149" s="2852"/>
      <c r="W149" s="2852"/>
      <c r="X149" s="1140"/>
      <c r="Y149" s="406"/>
      <c r="Z149" s="1098"/>
      <c r="AA149" s="305"/>
      <c r="AB149" s="305"/>
      <c r="AC149" s="2557"/>
    </row>
    <row r="150" spans="1:29" s="2849" customFormat="1" ht="22.5" hidden="1" customHeight="1">
      <c r="A150" s="436"/>
      <c r="B150" s="437"/>
      <c r="C150" s="397"/>
      <c r="D150" s="1126"/>
      <c r="E150" s="1134" t="s">
        <v>52</v>
      </c>
      <c r="F150" s="435">
        <f t="shared" si="61"/>
        <v>0</v>
      </c>
      <c r="G150" s="438">
        <v>12000</v>
      </c>
      <c r="H150" s="391"/>
      <c r="I150" s="409"/>
      <c r="J150" s="2851"/>
      <c r="Q150" s="408"/>
      <c r="R150" s="2850"/>
      <c r="S150" s="1672"/>
      <c r="T150" s="2852"/>
      <c r="U150" s="2852"/>
      <c r="V150" s="2852"/>
      <c r="W150" s="2852"/>
      <c r="X150" s="1140"/>
      <c r="Y150" s="406"/>
      <c r="Z150" s="1098"/>
      <c r="AA150" s="305"/>
      <c r="AB150" s="305"/>
      <c r="AC150" s="2557"/>
    </row>
    <row r="151" spans="1:29" s="2849" customFormat="1" ht="22.5" hidden="1" customHeight="1">
      <c r="A151" s="436"/>
      <c r="B151" s="437"/>
      <c r="C151" s="397"/>
      <c r="D151" s="1144"/>
      <c r="E151" s="1134" t="s">
        <v>56</v>
      </c>
      <c r="F151" s="435">
        <f t="shared" si="61"/>
        <v>0</v>
      </c>
      <c r="G151" s="438">
        <v>35000</v>
      </c>
      <c r="H151" s="391"/>
      <c r="I151" s="409"/>
      <c r="J151" s="2851"/>
      <c r="Q151" s="408"/>
      <c r="R151" s="2850"/>
      <c r="S151" s="1672"/>
      <c r="T151" s="2852"/>
      <c r="U151" s="2852"/>
      <c r="V151" s="2852"/>
      <c r="W151" s="2852"/>
      <c r="X151" s="1140"/>
      <c r="Y151" s="406"/>
      <c r="Z151" s="1098"/>
      <c r="AA151" s="305"/>
      <c r="AB151" s="305"/>
      <c r="AC151" s="2557"/>
    </row>
    <row r="152" spans="1:29" s="2849" customFormat="1" ht="22.5" hidden="1" customHeight="1">
      <c r="A152" s="436"/>
      <c r="B152" s="437"/>
      <c r="C152" s="397"/>
      <c r="D152" s="1131"/>
      <c r="E152" s="389" t="s">
        <v>55</v>
      </c>
      <c r="F152" s="435">
        <f t="shared" si="61"/>
        <v>0</v>
      </c>
      <c r="G152" s="438">
        <v>3000</v>
      </c>
      <c r="H152" s="391"/>
      <c r="I152" s="409"/>
      <c r="J152" s="2851"/>
      <c r="Q152" s="408"/>
      <c r="R152" s="2850"/>
      <c r="S152" s="1672"/>
      <c r="T152" s="2852"/>
      <c r="U152" s="2852"/>
      <c r="V152" s="2852"/>
      <c r="W152" s="2852"/>
      <c r="X152" s="1140"/>
      <c r="Y152" s="406"/>
      <c r="Z152" s="1098"/>
      <c r="AA152" s="305"/>
      <c r="AB152" s="305"/>
      <c r="AC152" s="2557"/>
    </row>
    <row r="153" spans="1:29" s="2282" customFormat="1" ht="22.5" customHeight="1">
      <c r="A153" s="441"/>
      <c r="B153" s="2415"/>
      <c r="C153" s="3277" t="s">
        <v>1734</v>
      </c>
      <c r="D153" s="3271"/>
      <c r="E153" s="3272"/>
      <c r="F153" s="1683">
        <f>F154+F174+F183+F190</f>
        <v>725000</v>
      </c>
      <c r="G153" s="1683">
        <f>G154+G174+G183+G190</f>
        <v>765000</v>
      </c>
      <c r="H153" s="386">
        <f>F153-G153</f>
        <v>-40000</v>
      </c>
      <c r="I153" s="409"/>
      <c r="J153" s="394"/>
      <c r="K153" s="2401"/>
      <c r="L153" s="2401"/>
      <c r="M153" s="2401"/>
      <c r="N153" s="2401"/>
      <c r="O153" s="2401"/>
      <c r="P153" s="2401"/>
      <c r="Q153" s="2401"/>
      <c r="R153" s="2401"/>
      <c r="S153" s="2401"/>
      <c r="T153" s="2401"/>
      <c r="U153" s="2401"/>
      <c r="V153" s="2401"/>
      <c r="W153" s="2401"/>
      <c r="X153" s="430"/>
      <c r="Y153" s="442"/>
      <c r="Z153" s="1733"/>
      <c r="AA153" s="305"/>
      <c r="AB153" s="305"/>
      <c r="AC153" s="166"/>
    </row>
    <row r="154" spans="1:29" s="2282" customFormat="1" ht="22.5" customHeight="1">
      <c r="A154" s="396"/>
      <c r="B154" s="2415"/>
      <c r="C154" s="397"/>
      <c r="D154" s="3266" t="s">
        <v>1735</v>
      </c>
      <c r="E154" s="3267"/>
      <c r="F154" s="1683">
        <f>SUM(F155:F173)</f>
        <v>565000</v>
      </c>
      <c r="G154" s="1683">
        <f>SUM(G155:G173)</f>
        <v>500000</v>
      </c>
      <c r="H154" s="386">
        <f>F154-G154</f>
        <v>65000</v>
      </c>
      <c r="I154" s="409"/>
      <c r="J154" s="1135" t="s">
        <v>6102</v>
      </c>
      <c r="K154" s="2784"/>
      <c r="L154" s="2784"/>
      <c r="M154" s="2784"/>
      <c r="N154" s="2784"/>
      <c r="O154" s="2784"/>
      <c r="P154" s="2784"/>
      <c r="Q154" s="2784"/>
      <c r="R154" s="395"/>
      <c r="S154" s="2784"/>
      <c r="T154" s="2784"/>
      <c r="U154" s="2784"/>
      <c r="V154" s="2784"/>
      <c r="W154" s="2784"/>
      <c r="X154" s="430"/>
      <c r="Y154" s="439"/>
      <c r="Z154" s="2826"/>
      <c r="AA154" s="305"/>
      <c r="AB154" s="305"/>
      <c r="AC154" s="166"/>
    </row>
    <row r="155" spans="1:29" s="2889" customFormat="1" ht="22.5" customHeight="1">
      <c r="A155" s="436"/>
      <c r="B155" s="437"/>
      <c r="C155" s="397"/>
      <c r="D155" s="367"/>
      <c r="E155" s="2823" t="s">
        <v>59</v>
      </c>
      <c r="F155" s="697">
        <f t="shared" ref="F155:F156" si="62">Y155</f>
        <v>20000</v>
      </c>
      <c r="G155" s="512">
        <v>0</v>
      </c>
      <c r="H155" s="634">
        <f t="shared" ref="H155:H156" si="63">F155-G155</f>
        <v>20000</v>
      </c>
      <c r="I155" s="1333"/>
      <c r="J155" s="514" t="s">
        <v>4943</v>
      </c>
      <c r="K155" s="2880"/>
      <c r="L155" s="2880"/>
      <c r="M155" s="2880"/>
      <c r="N155" s="2880"/>
      <c r="O155" s="2880"/>
      <c r="P155" s="2880"/>
      <c r="Q155" s="727">
        <v>1</v>
      </c>
      <c r="R155" s="2887" t="s">
        <v>23</v>
      </c>
      <c r="S155" s="1686">
        <v>2500000</v>
      </c>
      <c r="T155" s="516" t="s">
        <v>0</v>
      </c>
      <c r="U155" s="516"/>
      <c r="V155" s="516">
        <v>8</v>
      </c>
      <c r="W155" s="516" t="s">
        <v>200</v>
      </c>
      <c r="X155" s="517" t="s">
        <v>1</v>
      </c>
      <c r="Y155" s="724">
        <f t="shared" ref="Y155:Y156" si="64">Z155/1000</f>
        <v>20000</v>
      </c>
      <c r="Z155" s="1265">
        <f t="shared" ref="Z155" si="65">Q155*S155*V155</f>
        <v>20000000</v>
      </c>
      <c r="AA155" s="305"/>
      <c r="AB155" s="305"/>
      <c r="AC155" s="2557"/>
    </row>
    <row r="156" spans="1:29" s="2889" customFormat="1" ht="22.5" customHeight="1">
      <c r="A156" s="436"/>
      <c r="B156" s="437"/>
      <c r="C156" s="397"/>
      <c r="D156" s="1131"/>
      <c r="E156" s="510" t="s">
        <v>199</v>
      </c>
      <c r="F156" s="697">
        <f t="shared" si="62"/>
        <v>4000</v>
      </c>
      <c r="G156" s="512">
        <v>0</v>
      </c>
      <c r="H156" s="634">
        <f t="shared" si="63"/>
        <v>4000</v>
      </c>
      <c r="I156" s="1333"/>
      <c r="J156" s="514" t="s">
        <v>4941</v>
      </c>
      <c r="K156" s="2880"/>
      <c r="L156" s="2880"/>
      <c r="M156" s="2880"/>
      <c r="N156" s="2880"/>
      <c r="O156" s="2880"/>
      <c r="P156" s="2880"/>
      <c r="Q156" s="727"/>
      <c r="R156" s="2887"/>
      <c r="S156" s="1686">
        <v>1000</v>
      </c>
      <c r="T156" s="516" t="s">
        <v>0</v>
      </c>
      <c r="U156" s="516"/>
      <c r="V156" s="516">
        <v>4000</v>
      </c>
      <c r="W156" s="516" t="s">
        <v>218</v>
      </c>
      <c r="X156" s="517" t="s">
        <v>1</v>
      </c>
      <c r="Y156" s="724">
        <f t="shared" si="64"/>
        <v>4000</v>
      </c>
      <c r="Z156" s="1265">
        <f>S156*V156</f>
        <v>4000000</v>
      </c>
      <c r="AA156" s="305"/>
      <c r="AB156" s="305"/>
      <c r="AC156" s="2557"/>
    </row>
    <row r="157" spans="1:29" s="2780" customFormat="1" ht="22.5" customHeight="1">
      <c r="A157" s="396"/>
      <c r="B157" s="2782"/>
      <c r="C157" s="397"/>
      <c r="D157" s="542"/>
      <c r="E157" s="888" t="s">
        <v>73</v>
      </c>
      <c r="F157" s="697">
        <f t="shared" ref="F157" si="66">Y157</f>
        <v>1800</v>
      </c>
      <c r="G157" s="512">
        <v>1000</v>
      </c>
      <c r="H157" s="634">
        <f>F157-G157</f>
        <v>800</v>
      </c>
      <c r="I157" s="1333"/>
      <c r="J157" s="514" t="s">
        <v>239</v>
      </c>
      <c r="K157" s="2787"/>
      <c r="L157" s="2787"/>
      <c r="M157" s="2787"/>
      <c r="N157" s="2787"/>
      <c r="O157" s="2787"/>
      <c r="P157" s="2787"/>
      <c r="Q157" s="635"/>
      <c r="R157" s="516"/>
      <c r="S157" s="635">
        <v>200000</v>
      </c>
      <c r="T157" s="1685" t="s">
        <v>0</v>
      </c>
      <c r="U157" s="516"/>
      <c r="V157" s="516">
        <v>9</v>
      </c>
      <c r="W157" s="516" t="s">
        <v>3</v>
      </c>
      <c r="X157" s="517" t="s">
        <v>1</v>
      </c>
      <c r="Y157" s="724">
        <f t="shared" ref="Y157:Y173" si="67">Z157/1000</f>
        <v>1800</v>
      </c>
      <c r="Z157" s="1265">
        <f>S157*V157</f>
        <v>1800000</v>
      </c>
      <c r="AA157" s="305"/>
      <c r="AB157" s="305"/>
      <c r="AC157" s="2557"/>
    </row>
    <row r="158" spans="1:29" s="2780" customFormat="1" ht="22.5" customHeight="1">
      <c r="A158" s="396"/>
      <c r="B158" s="2782"/>
      <c r="C158" s="397"/>
      <c r="D158" s="542"/>
      <c r="E158" s="888" t="s">
        <v>84</v>
      </c>
      <c r="F158" s="697">
        <f>Y158</f>
        <v>3600</v>
      </c>
      <c r="G158" s="512">
        <v>2000</v>
      </c>
      <c r="H158" s="634">
        <f>F158-G158</f>
        <v>1600</v>
      </c>
      <c r="I158" s="1333"/>
      <c r="J158" s="514" t="s">
        <v>240</v>
      </c>
      <c r="K158" s="2787"/>
      <c r="L158" s="2787"/>
      <c r="M158" s="2787"/>
      <c r="N158" s="2787"/>
      <c r="O158" s="2787"/>
      <c r="P158" s="2787"/>
      <c r="Q158" s="635">
        <v>2</v>
      </c>
      <c r="R158" s="516" t="s">
        <v>23</v>
      </c>
      <c r="S158" s="635">
        <v>30000</v>
      </c>
      <c r="T158" s="1685" t="s">
        <v>0</v>
      </c>
      <c r="U158" s="516"/>
      <c r="V158" s="516">
        <v>60</v>
      </c>
      <c r="W158" s="516" t="s">
        <v>3</v>
      </c>
      <c r="X158" s="517" t="s">
        <v>1</v>
      </c>
      <c r="Y158" s="724">
        <f t="shared" si="67"/>
        <v>3600</v>
      </c>
      <c r="Z158" s="1265">
        <f>Q158*S158*V158</f>
        <v>3600000</v>
      </c>
      <c r="AA158" s="305"/>
      <c r="AB158" s="305"/>
      <c r="AC158" s="2557"/>
    </row>
    <row r="159" spans="1:29" s="2780" customFormat="1" ht="22.5" customHeight="1">
      <c r="A159" s="396"/>
      <c r="B159" s="2782"/>
      <c r="C159" s="397"/>
      <c r="D159" s="542"/>
      <c r="E159" s="888" t="s">
        <v>52</v>
      </c>
      <c r="F159" s="697">
        <f t="shared" ref="F159" si="68">Y159</f>
        <v>8600</v>
      </c>
      <c r="G159" s="512">
        <v>9200</v>
      </c>
      <c r="H159" s="634">
        <f>F159-G159</f>
        <v>-600</v>
      </c>
      <c r="I159" s="1333"/>
      <c r="J159" s="514" t="s">
        <v>194</v>
      </c>
      <c r="K159" s="2787"/>
      <c r="L159" s="2787"/>
      <c r="M159" s="2787"/>
      <c r="N159" s="2787"/>
      <c r="O159" s="2787"/>
      <c r="P159" s="2787"/>
      <c r="Q159" s="635"/>
      <c r="R159" s="516"/>
      <c r="S159" s="635"/>
      <c r="T159" s="1685"/>
      <c r="U159" s="516"/>
      <c r="V159" s="516"/>
      <c r="W159" s="516"/>
      <c r="X159" s="517"/>
      <c r="Y159" s="724">
        <f t="shared" si="67"/>
        <v>8600</v>
      </c>
      <c r="Z159" s="1265">
        <f>SUM(Z160:Z162)</f>
        <v>8600000</v>
      </c>
      <c r="AA159" s="305"/>
      <c r="AB159" s="305"/>
      <c r="AC159" s="2557"/>
    </row>
    <row r="160" spans="1:29" s="2780" customFormat="1" ht="22.5" customHeight="1">
      <c r="A160" s="396"/>
      <c r="B160" s="2782"/>
      <c r="C160" s="397"/>
      <c r="D160" s="542"/>
      <c r="E160" s="888"/>
      <c r="F160" s="697"/>
      <c r="G160" s="512"/>
      <c r="H160" s="634"/>
      <c r="I160" s="1333"/>
      <c r="J160" s="514" t="s">
        <v>1728</v>
      </c>
      <c r="K160" s="2787"/>
      <c r="L160" s="2787"/>
      <c r="M160" s="2787"/>
      <c r="N160" s="2787"/>
      <c r="O160" s="2787"/>
      <c r="P160" s="2787"/>
      <c r="Q160" s="635">
        <v>5</v>
      </c>
      <c r="R160" s="516" t="s">
        <v>23</v>
      </c>
      <c r="S160" s="635">
        <v>200000</v>
      </c>
      <c r="T160" s="1685" t="s">
        <v>0</v>
      </c>
      <c r="U160" s="516"/>
      <c r="V160" s="516">
        <v>4</v>
      </c>
      <c r="W160" s="516" t="s">
        <v>3</v>
      </c>
      <c r="X160" s="517" t="s">
        <v>1</v>
      </c>
      <c r="Y160" s="724">
        <f t="shared" si="67"/>
        <v>4000</v>
      </c>
      <c r="Z160" s="1265">
        <f>Q160*S160*V160</f>
        <v>4000000</v>
      </c>
      <c r="AA160" s="305"/>
      <c r="AB160" s="305"/>
      <c r="AC160" s="2557"/>
    </row>
    <row r="161" spans="1:29" s="2780" customFormat="1" ht="22.5" customHeight="1">
      <c r="A161" s="396"/>
      <c r="B161" s="2782"/>
      <c r="C161" s="397"/>
      <c r="D161" s="542"/>
      <c r="E161" s="888"/>
      <c r="F161" s="697"/>
      <c r="G161" s="512"/>
      <c r="H161" s="634"/>
      <c r="I161" s="1333"/>
      <c r="J161" s="514" t="s">
        <v>1729</v>
      </c>
      <c r="K161" s="2787"/>
      <c r="L161" s="2787"/>
      <c r="M161" s="2787"/>
      <c r="N161" s="2787"/>
      <c r="O161" s="2787"/>
      <c r="P161" s="2787"/>
      <c r="Q161" s="635">
        <v>5</v>
      </c>
      <c r="R161" s="516" t="s">
        <v>23</v>
      </c>
      <c r="S161" s="635">
        <v>200000</v>
      </c>
      <c r="T161" s="1685" t="s">
        <v>0</v>
      </c>
      <c r="U161" s="516"/>
      <c r="V161" s="516">
        <v>3</v>
      </c>
      <c r="W161" s="516" t="s">
        <v>3</v>
      </c>
      <c r="X161" s="517" t="s">
        <v>1</v>
      </c>
      <c r="Y161" s="724">
        <f t="shared" si="67"/>
        <v>3000</v>
      </c>
      <c r="Z161" s="1265">
        <f>Q161*S161*V161</f>
        <v>3000000</v>
      </c>
      <c r="AA161" s="305"/>
      <c r="AB161" s="305"/>
      <c r="AC161" s="2557"/>
    </row>
    <row r="162" spans="1:29" s="2780" customFormat="1" ht="22.5" customHeight="1">
      <c r="A162" s="396"/>
      <c r="B162" s="2782"/>
      <c r="C162" s="397"/>
      <c r="D162" s="542"/>
      <c r="E162" s="888"/>
      <c r="F162" s="697"/>
      <c r="G162" s="512"/>
      <c r="H162" s="634"/>
      <c r="I162" s="1333"/>
      <c r="J162" s="514" t="s">
        <v>4932</v>
      </c>
      <c r="K162" s="2787"/>
      <c r="L162" s="2787"/>
      <c r="M162" s="2787"/>
      <c r="N162" s="2787"/>
      <c r="O162" s="2787"/>
      <c r="P162" s="2787"/>
      <c r="Q162" s="635"/>
      <c r="R162" s="516"/>
      <c r="S162" s="635">
        <v>800000</v>
      </c>
      <c r="T162" s="1685" t="s">
        <v>0</v>
      </c>
      <c r="U162" s="516"/>
      <c r="V162" s="516">
        <v>2</v>
      </c>
      <c r="W162" s="516" t="s">
        <v>265</v>
      </c>
      <c r="X162" s="517" t="s">
        <v>1</v>
      </c>
      <c r="Y162" s="724">
        <f t="shared" si="67"/>
        <v>1600</v>
      </c>
      <c r="Z162" s="1265">
        <f>S162*V162</f>
        <v>1600000</v>
      </c>
      <c r="AA162" s="305"/>
      <c r="AB162" s="305"/>
      <c r="AC162" s="2557"/>
    </row>
    <row r="163" spans="1:29" s="2780" customFormat="1" ht="22.5" customHeight="1">
      <c r="A163" s="396"/>
      <c r="B163" s="2782"/>
      <c r="C163" s="397"/>
      <c r="D163" s="542"/>
      <c r="E163" s="888" t="s">
        <v>287</v>
      </c>
      <c r="F163" s="697">
        <f>Y163</f>
        <v>49000</v>
      </c>
      <c r="G163" s="512">
        <v>23000</v>
      </c>
      <c r="H163" s="634">
        <f>F163-G163</f>
        <v>26000</v>
      </c>
      <c r="I163" s="1333"/>
      <c r="J163" s="514" t="s">
        <v>194</v>
      </c>
      <c r="K163" s="2787"/>
      <c r="L163" s="2787"/>
      <c r="M163" s="2787"/>
      <c r="N163" s="2787"/>
      <c r="O163" s="2787"/>
      <c r="P163" s="2787"/>
      <c r="Q163" s="635"/>
      <c r="R163" s="516"/>
      <c r="S163" s="635"/>
      <c r="T163" s="1685"/>
      <c r="U163" s="516"/>
      <c r="V163" s="516"/>
      <c r="W163" s="516"/>
      <c r="X163" s="517"/>
      <c r="Y163" s="724">
        <f t="shared" si="67"/>
        <v>49000</v>
      </c>
      <c r="Z163" s="1265">
        <f>SUM(Z164:Z166)</f>
        <v>49000000</v>
      </c>
      <c r="AA163" s="305"/>
      <c r="AB163" s="305"/>
      <c r="AC163" s="2557"/>
    </row>
    <row r="164" spans="1:29" s="2780" customFormat="1" ht="22.5" customHeight="1">
      <c r="A164" s="396"/>
      <c r="B164" s="2782"/>
      <c r="C164" s="397"/>
      <c r="D164" s="542"/>
      <c r="E164" s="888"/>
      <c r="F164" s="697"/>
      <c r="G164" s="512"/>
      <c r="H164" s="634"/>
      <c r="I164" s="1333"/>
      <c r="J164" s="514" t="s">
        <v>1737</v>
      </c>
      <c r="K164" s="2787"/>
      <c r="L164" s="2787"/>
      <c r="M164" s="2787"/>
      <c r="N164" s="2787"/>
      <c r="O164" s="2787"/>
      <c r="P164" s="2787"/>
      <c r="Q164" s="635"/>
      <c r="R164" s="516"/>
      <c r="S164" s="635">
        <v>20000000</v>
      </c>
      <c r="T164" s="1685" t="s">
        <v>0</v>
      </c>
      <c r="U164" s="516"/>
      <c r="V164" s="516">
        <v>1</v>
      </c>
      <c r="W164" s="516" t="s">
        <v>196</v>
      </c>
      <c r="X164" s="517" t="s">
        <v>1</v>
      </c>
      <c r="Y164" s="724">
        <f t="shared" si="67"/>
        <v>20000</v>
      </c>
      <c r="Z164" s="1265">
        <f>S164*V164</f>
        <v>20000000</v>
      </c>
      <c r="AA164" s="305"/>
      <c r="AB164" s="305"/>
      <c r="AC164" s="2557"/>
    </row>
    <row r="165" spans="1:29" s="2780" customFormat="1" ht="22.5" customHeight="1">
      <c r="A165" s="396"/>
      <c r="B165" s="2782"/>
      <c r="C165" s="397"/>
      <c r="D165" s="542"/>
      <c r="E165" s="888"/>
      <c r="F165" s="697"/>
      <c r="G165" s="512"/>
      <c r="H165" s="634"/>
      <c r="I165" s="1333"/>
      <c r="J165" s="514" t="s">
        <v>4933</v>
      </c>
      <c r="K165" s="2787"/>
      <c r="L165" s="2787"/>
      <c r="M165" s="2787"/>
      <c r="N165" s="2787"/>
      <c r="O165" s="2787"/>
      <c r="P165" s="2787"/>
      <c r="Q165" s="635"/>
      <c r="R165" s="516"/>
      <c r="S165" s="635">
        <v>25000000</v>
      </c>
      <c r="T165" s="1685" t="s">
        <v>0</v>
      </c>
      <c r="U165" s="516"/>
      <c r="V165" s="516">
        <v>1</v>
      </c>
      <c r="W165" s="516" t="s">
        <v>196</v>
      </c>
      <c r="X165" s="517" t="s">
        <v>1</v>
      </c>
      <c r="Y165" s="724">
        <f t="shared" si="67"/>
        <v>25000</v>
      </c>
      <c r="Z165" s="1265">
        <f>S165*V165</f>
        <v>25000000</v>
      </c>
      <c r="AA165" s="305"/>
      <c r="AB165" s="305"/>
      <c r="AC165" s="2557"/>
    </row>
    <row r="166" spans="1:29" s="2780" customFormat="1" ht="22.5" customHeight="1">
      <c r="A166" s="396"/>
      <c r="B166" s="2782"/>
      <c r="C166" s="397"/>
      <c r="D166" s="542"/>
      <c r="E166" s="888"/>
      <c r="F166" s="697"/>
      <c r="G166" s="512"/>
      <c r="H166" s="634"/>
      <c r="I166" s="1333"/>
      <c r="J166" s="514" t="s">
        <v>4934</v>
      </c>
      <c r="K166" s="2787"/>
      <c r="L166" s="2787"/>
      <c r="M166" s="2787"/>
      <c r="N166" s="2787"/>
      <c r="O166" s="2787"/>
      <c r="P166" s="2787"/>
      <c r="Q166" s="635"/>
      <c r="R166" s="516"/>
      <c r="S166" s="635">
        <v>4000000</v>
      </c>
      <c r="T166" s="1685" t="s">
        <v>0</v>
      </c>
      <c r="U166" s="516"/>
      <c r="V166" s="516">
        <v>1</v>
      </c>
      <c r="W166" s="516" t="s">
        <v>196</v>
      </c>
      <c r="X166" s="517" t="s">
        <v>1</v>
      </c>
      <c r="Y166" s="724">
        <f t="shared" si="67"/>
        <v>4000</v>
      </c>
      <c r="Z166" s="1265">
        <f>S166*V166</f>
        <v>4000000</v>
      </c>
      <c r="AA166" s="305"/>
      <c r="AB166" s="305"/>
      <c r="AC166" s="2557"/>
    </row>
    <row r="167" spans="1:29" s="2780" customFormat="1" ht="22.5" customHeight="1">
      <c r="A167" s="396"/>
      <c r="B167" s="2782"/>
      <c r="C167" s="397"/>
      <c r="D167" s="542"/>
      <c r="E167" s="510" t="s">
        <v>208</v>
      </c>
      <c r="F167" s="697">
        <f>Y167</f>
        <v>468000</v>
      </c>
      <c r="G167" s="512">
        <v>454000</v>
      </c>
      <c r="H167" s="634">
        <f>F167-G167</f>
        <v>14000</v>
      </c>
      <c r="I167" s="1333"/>
      <c r="J167" s="514" t="s">
        <v>8</v>
      </c>
      <c r="K167" s="2787"/>
      <c r="L167" s="2787"/>
      <c r="M167" s="2787"/>
      <c r="N167" s="2787"/>
      <c r="O167" s="2787"/>
      <c r="P167" s="2787"/>
      <c r="Q167" s="727"/>
      <c r="R167" s="2790"/>
      <c r="S167" s="1686"/>
      <c r="T167" s="516"/>
      <c r="U167" s="516"/>
      <c r="V167" s="516"/>
      <c r="W167" s="516"/>
      <c r="X167" s="517"/>
      <c r="Y167" s="724">
        <f t="shared" si="67"/>
        <v>468000</v>
      </c>
      <c r="Z167" s="1265">
        <f>+Z168+Z169+Z170</f>
        <v>468000000</v>
      </c>
      <c r="AA167" s="305"/>
      <c r="AB167" s="305"/>
      <c r="AC167" s="2557"/>
    </row>
    <row r="168" spans="1:29" s="2780" customFormat="1" ht="22.5" customHeight="1">
      <c r="A168" s="396"/>
      <c r="B168" s="2782"/>
      <c r="C168" s="397"/>
      <c r="D168" s="542"/>
      <c r="E168" s="510"/>
      <c r="F168" s="697"/>
      <c r="G168" s="512"/>
      <c r="H168" s="634"/>
      <c r="I168" s="1333"/>
      <c r="J168" s="514" t="s">
        <v>4935</v>
      </c>
      <c r="K168" s="2787"/>
      <c r="L168" s="2787"/>
      <c r="M168" s="2787"/>
      <c r="N168" s="2787"/>
      <c r="O168" s="2787"/>
      <c r="P168" s="2787"/>
      <c r="Q168" s="727"/>
      <c r="R168" s="2790"/>
      <c r="S168" s="1686">
        <v>58000000</v>
      </c>
      <c r="T168" s="1685" t="s">
        <v>0</v>
      </c>
      <c r="U168" s="516"/>
      <c r="V168" s="516">
        <v>1</v>
      </c>
      <c r="W168" s="516" t="s">
        <v>6</v>
      </c>
      <c r="X168" s="517" t="s">
        <v>1</v>
      </c>
      <c r="Y168" s="724">
        <f t="shared" si="67"/>
        <v>58000</v>
      </c>
      <c r="Z168" s="1265">
        <f>S168*V168</f>
        <v>58000000</v>
      </c>
      <c r="AA168" s="305"/>
      <c r="AB168" s="305"/>
      <c r="AC168" s="2557"/>
    </row>
    <row r="169" spans="1:29" s="2780" customFormat="1" ht="22.5" customHeight="1">
      <c r="A169" s="396"/>
      <c r="B169" s="2782"/>
      <c r="C169" s="397"/>
      <c r="D169" s="542"/>
      <c r="E169" s="888"/>
      <c r="F169" s="697"/>
      <c r="G169" s="512"/>
      <c r="H169" s="634"/>
      <c r="I169" s="1333"/>
      <c r="J169" s="514" t="s">
        <v>4936</v>
      </c>
      <c r="K169" s="2787"/>
      <c r="L169" s="2787"/>
      <c r="M169" s="2787"/>
      <c r="N169" s="2787"/>
      <c r="O169" s="2787"/>
      <c r="P169" s="2787"/>
      <c r="Q169" s="727"/>
      <c r="R169" s="2790"/>
      <c r="S169" s="1686">
        <v>20000000</v>
      </c>
      <c r="T169" s="1685" t="s">
        <v>0</v>
      </c>
      <c r="U169" s="516"/>
      <c r="V169" s="516">
        <v>18.5</v>
      </c>
      <c r="W169" s="516" t="s">
        <v>241</v>
      </c>
      <c r="X169" s="517" t="s">
        <v>1</v>
      </c>
      <c r="Y169" s="724">
        <f t="shared" si="67"/>
        <v>370000</v>
      </c>
      <c r="Z169" s="1265">
        <f>S169*V169</f>
        <v>370000000</v>
      </c>
      <c r="AA169" s="305"/>
      <c r="AB169" s="305"/>
      <c r="AC169" s="2557"/>
    </row>
    <row r="170" spans="1:29" s="2282" customFormat="1" ht="22.5" customHeight="1">
      <c r="A170" s="436"/>
      <c r="B170" s="437"/>
      <c r="C170" s="397"/>
      <c r="D170" s="1131"/>
      <c r="E170" s="888"/>
      <c r="F170" s="633"/>
      <c r="G170" s="512"/>
      <c r="H170" s="634"/>
      <c r="I170" s="1333"/>
      <c r="J170" s="514" t="s">
        <v>4937</v>
      </c>
      <c r="K170" s="2787"/>
      <c r="L170" s="2787"/>
      <c r="M170" s="2787"/>
      <c r="N170" s="2787"/>
      <c r="O170" s="2787"/>
      <c r="P170" s="2787"/>
      <c r="Q170" s="727"/>
      <c r="R170" s="2790"/>
      <c r="S170" s="1686">
        <v>1000000</v>
      </c>
      <c r="T170" s="1685" t="s">
        <v>0</v>
      </c>
      <c r="U170" s="516"/>
      <c r="V170" s="516">
        <v>40</v>
      </c>
      <c r="W170" s="516" t="s">
        <v>4938</v>
      </c>
      <c r="X170" s="517" t="s">
        <v>1</v>
      </c>
      <c r="Y170" s="724">
        <f t="shared" si="67"/>
        <v>40000</v>
      </c>
      <c r="Z170" s="1265">
        <f>S170*V170</f>
        <v>40000000</v>
      </c>
      <c r="AA170" s="305"/>
      <c r="AB170" s="305"/>
      <c r="AC170" s="166"/>
    </row>
    <row r="171" spans="1:29" s="2282" customFormat="1" ht="22.5" customHeight="1">
      <c r="A171" s="436"/>
      <c r="B171" s="437"/>
      <c r="C171" s="397"/>
      <c r="D171" s="1131"/>
      <c r="E171" s="888" t="s">
        <v>4939</v>
      </c>
      <c r="F171" s="697">
        <f t="shared" ref="F171:F173" si="69">Y171</f>
        <v>1000</v>
      </c>
      <c r="G171" s="512">
        <v>1000</v>
      </c>
      <c r="H171" s="634"/>
      <c r="I171" s="1333"/>
      <c r="J171" s="514" t="s">
        <v>4940</v>
      </c>
      <c r="K171" s="2787"/>
      <c r="L171" s="2787"/>
      <c r="M171" s="2787"/>
      <c r="N171" s="2787"/>
      <c r="O171" s="2787"/>
      <c r="P171" s="2787"/>
      <c r="Q171" s="727"/>
      <c r="R171" s="2790"/>
      <c r="S171" s="1686">
        <v>1000000</v>
      </c>
      <c r="T171" s="1685" t="s">
        <v>0</v>
      </c>
      <c r="U171" s="516"/>
      <c r="V171" s="516">
        <v>1</v>
      </c>
      <c r="W171" s="516" t="s">
        <v>4938</v>
      </c>
      <c r="X171" s="517" t="s">
        <v>1</v>
      </c>
      <c r="Y171" s="724">
        <f t="shared" si="67"/>
        <v>1000</v>
      </c>
      <c r="Z171" s="1265">
        <f>S171*V171</f>
        <v>1000000</v>
      </c>
      <c r="AA171" s="305"/>
      <c r="AB171" s="305"/>
      <c r="AC171" s="166"/>
    </row>
    <row r="172" spans="1:29" s="2282" customFormat="1" ht="22.5" customHeight="1">
      <c r="A172" s="436"/>
      <c r="B172" s="437"/>
      <c r="C172" s="397"/>
      <c r="D172" s="1131"/>
      <c r="E172" s="888" t="s">
        <v>56</v>
      </c>
      <c r="F172" s="697">
        <f t="shared" si="69"/>
        <v>6000</v>
      </c>
      <c r="G172" s="512">
        <v>6000</v>
      </c>
      <c r="H172" s="634">
        <f t="shared" ref="H172:H173" si="70">F172-G172</f>
        <v>0</v>
      </c>
      <c r="I172" s="1333"/>
      <c r="J172" s="514" t="s">
        <v>242</v>
      </c>
      <c r="K172" s="1685"/>
      <c r="L172" s="1685"/>
      <c r="M172" s="1685"/>
      <c r="N172" s="1685"/>
      <c r="O172" s="1685"/>
      <c r="P172" s="1685"/>
      <c r="Q172" s="516"/>
      <c r="R172" s="516"/>
      <c r="S172" s="727">
        <v>1500000</v>
      </c>
      <c r="T172" s="516" t="s">
        <v>0</v>
      </c>
      <c r="U172" s="516"/>
      <c r="V172" s="516">
        <v>4</v>
      </c>
      <c r="W172" s="516" t="s">
        <v>6</v>
      </c>
      <c r="X172" s="517" t="s">
        <v>1</v>
      </c>
      <c r="Y172" s="724">
        <f t="shared" si="67"/>
        <v>6000</v>
      </c>
      <c r="Z172" s="1265">
        <f>S172*V172</f>
        <v>6000000</v>
      </c>
      <c r="AA172" s="305"/>
      <c r="AB172" s="305"/>
      <c r="AC172" s="166"/>
    </row>
    <row r="173" spans="1:29" s="2282" customFormat="1" ht="22.5" customHeight="1">
      <c r="A173" s="436"/>
      <c r="B173" s="437"/>
      <c r="C173" s="397"/>
      <c r="D173" s="1131"/>
      <c r="E173" s="888" t="s">
        <v>55</v>
      </c>
      <c r="F173" s="697">
        <f t="shared" si="69"/>
        <v>3000</v>
      </c>
      <c r="G173" s="512">
        <v>3800</v>
      </c>
      <c r="H173" s="634">
        <f t="shared" si="70"/>
        <v>-800</v>
      </c>
      <c r="I173" s="1333"/>
      <c r="J173" s="514" t="s">
        <v>243</v>
      </c>
      <c r="K173" s="2787"/>
      <c r="L173" s="2787"/>
      <c r="M173" s="2787"/>
      <c r="N173" s="2787"/>
      <c r="O173" s="2787"/>
      <c r="P173" s="2787"/>
      <c r="Q173" s="727">
        <v>10</v>
      </c>
      <c r="R173" s="2790" t="s">
        <v>23</v>
      </c>
      <c r="S173" s="1686">
        <v>20000</v>
      </c>
      <c r="T173" s="516" t="s">
        <v>0</v>
      </c>
      <c r="U173" s="516"/>
      <c r="V173" s="516">
        <v>15</v>
      </c>
      <c r="W173" s="516" t="s">
        <v>3</v>
      </c>
      <c r="X173" s="517" t="s">
        <v>1</v>
      </c>
      <c r="Y173" s="724">
        <f t="shared" si="67"/>
        <v>3000</v>
      </c>
      <c r="Z173" s="1265">
        <f>Q173*S173*V173</f>
        <v>3000000</v>
      </c>
      <c r="AA173" s="305"/>
      <c r="AB173" s="305"/>
      <c r="AC173" s="166"/>
    </row>
    <row r="174" spans="1:29" s="2849" customFormat="1" ht="22.5" customHeight="1">
      <c r="A174" s="396"/>
      <c r="B174" s="2853"/>
      <c r="C174" s="397"/>
      <c r="D174" s="3266" t="s">
        <v>5076</v>
      </c>
      <c r="E174" s="3267"/>
      <c r="F174" s="1683">
        <f>SUM(F175:F182)</f>
        <v>0</v>
      </c>
      <c r="G174" s="1683">
        <f>SUM(G175:G182)</f>
        <v>65000</v>
      </c>
      <c r="H174" s="386">
        <f>F174-G174</f>
        <v>-65000</v>
      </c>
      <c r="I174" s="409"/>
      <c r="J174" s="1135" t="s">
        <v>6102</v>
      </c>
      <c r="K174" s="3089"/>
      <c r="L174" s="3089"/>
      <c r="M174" s="3089"/>
      <c r="N174" s="3089"/>
      <c r="O174" s="3089"/>
      <c r="P174" s="3089"/>
      <c r="Q174" s="3089"/>
      <c r="R174" s="395"/>
      <c r="S174" s="3089"/>
      <c r="T174" s="3089"/>
      <c r="U174" s="2848"/>
      <c r="V174" s="2848"/>
      <c r="W174" s="2848"/>
      <c r="X174" s="430"/>
      <c r="Y174" s="439"/>
      <c r="Z174" s="2509">
        <f>SUM(Z175:Z177,Z178:Z182)</f>
        <v>0</v>
      </c>
      <c r="AA174" s="305"/>
      <c r="AB174" s="305"/>
      <c r="AC174" s="2557"/>
    </row>
    <row r="175" spans="1:29" s="2849" customFormat="1" ht="22.5" hidden="1" customHeight="1">
      <c r="A175" s="436"/>
      <c r="B175" s="437"/>
      <c r="C175" s="397"/>
      <c r="D175" s="367"/>
      <c r="E175" s="444" t="s">
        <v>224</v>
      </c>
      <c r="F175" s="403">
        <f t="shared" ref="F175:F182" si="71">Y175</f>
        <v>0</v>
      </c>
      <c r="G175" s="445">
        <v>400</v>
      </c>
      <c r="H175" s="391">
        <f>F175-G175</f>
        <v>-400</v>
      </c>
      <c r="I175" s="409"/>
      <c r="J175" s="446"/>
      <c r="K175" s="447"/>
      <c r="L175" s="447"/>
      <c r="M175" s="447"/>
      <c r="N175" s="447"/>
      <c r="O175" s="447"/>
      <c r="P175" s="447"/>
      <c r="Q175" s="448"/>
      <c r="R175" s="449"/>
      <c r="S175" s="450"/>
      <c r="T175" s="451"/>
      <c r="U175" s="451"/>
      <c r="V175" s="451"/>
      <c r="W175" s="451"/>
      <c r="X175" s="452"/>
      <c r="Y175" s="406"/>
      <c r="Z175" s="1098"/>
      <c r="AA175" s="305"/>
      <c r="AB175" s="305"/>
      <c r="AC175" s="2557"/>
    </row>
    <row r="176" spans="1:29" s="2849" customFormat="1" ht="22.5" hidden="1" customHeight="1">
      <c r="A176" s="436"/>
      <c r="B176" s="437"/>
      <c r="C176" s="397"/>
      <c r="D176" s="1131"/>
      <c r="E176" s="389" t="s">
        <v>84</v>
      </c>
      <c r="F176" s="403">
        <f t="shared" si="71"/>
        <v>0</v>
      </c>
      <c r="G176" s="1139">
        <v>1000</v>
      </c>
      <c r="H176" s="391">
        <f t="shared" ref="H176:H182" si="72">F176-G176</f>
        <v>-1000</v>
      </c>
      <c r="I176" s="409"/>
      <c r="J176" s="2851"/>
      <c r="Q176" s="1673"/>
      <c r="R176" s="2852"/>
      <c r="S176" s="1673"/>
      <c r="T176" s="1671"/>
      <c r="U176" s="2852"/>
      <c r="V176" s="1671"/>
      <c r="W176" s="2852"/>
      <c r="X176" s="1140"/>
      <c r="Y176" s="406"/>
      <c r="Z176" s="1098"/>
      <c r="AA176" s="305"/>
      <c r="AB176" s="305"/>
      <c r="AC176" s="2557"/>
    </row>
    <row r="177" spans="1:29" s="2849" customFormat="1" ht="22.5" hidden="1" customHeight="1">
      <c r="A177" s="436"/>
      <c r="B177" s="437"/>
      <c r="C177" s="397"/>
      <c r="D177" s="1131"/>
      <c r="E177" s="1134" t="s">
        <v>52</v>
      </c>
      <c r="F177" s="403">
        <f t="shared" si="71"/>
        <v>0</v>
      </c>
      <c r="G177" s="1139">
        <v>3600</v>
      </c>
      <c r="H177" s="391">
        <f t="shared" si="72"/>
        <v>-3600</v>
      </c>
      <c r="I177" s="409"/>
      <c r="J177" s="2851"/>
      <c r="Q177" s="1673"/>
      <c r="R177" s="2852"/>
      <c r="S177" s="1673"/>
      <c r="T177" s="1671"/>
      <c r="U177" s="2852"/>
      <c r="V177" s="1671"/>
      <c r="W177" s="2852"/>
      <c r="X177" s="1140"/>
      <c r="Y177" s="406"/>
      <c r="Z177" s="1098"/>
      <c r="AA177" s="305"/>
      <c r="AB177" s="305"/>
      <c r="AC177" s="2557"/>
    </row>
    <row r="178" spans="1:29" s="2849" customFormat="1" ht="22.5" hidden="1" customHeight="1">
      <c r="A178" s="436"/>
      <c r="B178" s="437"/>
      <c r="C178" s="397"/>
      <c r="D178" s="1131"/>
      <c r="E178" s="389" t="s">
        <v>16</v>
      </c>
      <c r="F178" s="403">
        <f t="shared" si="71"/>
        <v>0</v>
      </c>
      <c r="G178" s="1139">
        <v>12500</v>
      </c>
      <c r="H178" s="391">
        <f t="shared" si="72"/>
        <v>-12500</v>
      </c>
      <c r="I178" s="409"/>
      <c r="J178" s="2851"/>
      <c r="K178" s="1671"/>
      <c r="L178" s="1671"/>
      <c r="M178" s="1671"/>
      <c r="N178" s="1671"/>
      <c r="O178" s="1671"/>
      <c r="P178" s="1671"/>
      <c r="Q178" s="1673"/>
      <c r="R178" s="2852"/>
      <c r="S178" s="408"/>
      <c r="T178" s="2852"/>
      <c r="U178" s="2852"/>
      <c r="V178" s="2852"/>
      <c r="W178" s="2852"/>
      <c r="X178" s="1140"/>
      <c r="Y178" s="406"/>
      <c r="Z178" s="1098"/>
      <c r="AA178" s="305"/>
      <c r="AB178" s="305"/>
      <c r="AC178" s="2557"/>
    </row>
    <row r="179" spans="1:29" s="2849" customFormat="1" ht="22.5" hidden="1" customHeight="1">
      <c r="A179" s="436"/>
      <c r="B179" s="437"/>
      <c r="C179" s="397"/>
      <c r="D179" s="1131"/>
      <c r="E179" s="1134" t="s">
        <v>208</v>
      </c>
      <c r="F179" s="403">
        <f t="shared" si="71"/>
        <v>0</v>
      </c>
      <c r="G179" s="1139">
        <v>40000</v>
      </c>
      <c r="H179" s="391">
        <f t="shared" si="72"/>
        <v>-40000</v>
      </c>
      <c r="I179" s="409"/>
      <c r="J179" s="2851"/>
      <c r="Q179" s="408"/>
      <c r="R179" s="2850"/>
      <c r="S179" s="1672"/>
      <c r="T179" s="2852"/>
      <c r="U179" s="2852"/>
      <c r="V179" s="2852"/>
      <c r="W179" s="2852"/>
      <c r="X179" s="1140"/>
      <c r="Y179" s="406"/>
      <c r="Z179" s="1098"/>
      <c r="AA179" s="305"/>
      <c r="AB179" s="305"/>
      <c r="AC179" s="2557"/>
    </row>
    <row r="180" spans="1:29" s="2849" customFormat="1" ht="22.5" hidden="1" customHeight="1">
      <c r="A180" s="436"/>
      <c r="B180" s="437"/>
      <c r="C180" s="397"/>
      <c r="D180" s="1131"/>
      <c r="E180" s="389" t="s">
        <v>56</v>
      </c>
      <c r="F180" s="403">
        <f t="shared" si="71"/>
        <v>0</v>
      </c>
      <c r="G180" s="1139">
        <v>4500</v>
      </c>
      <c r="H180" s="391">
        <f t="shared" si="72"/>
        <v>-4500</v>
      </c>
      <c r="I180" s="409"/>
      <c r="J180" s="2851"/>
      <c r="Q180" s="1673"/>
      <c r="R180" s="2852"/>
      <c r="S180" s="1673"/>
      <c r="T180" s="1671"/>
      <c r="U180" s="2852"/>
      <c r="V180" s="1671"/>
      <c r="W180" s="2852"/>
      <c r="X180" s="1140"/>
      <c r="Y180" s="406"/>
      <c r="Z180" s="1098"/>
      <c r="AA180" s="305"/>
      <c r="AB180" s="305"/>
      <c r="AC180" s="2557"/>
    </row>
    <row r="181" spans="1:29" s="2849" customFormat="1" ht="22.5" hidden="1" customHeight="1">
      <c r="A181" s="436"/>
      <c r="B181" s="437"/>
      <c r="C181" s="397"/>
      <c r="D181" s="1131"/>
      <c r="E181" s="389" t="s">
        <v>14</v>
      </c>
      <c r="F181" s="403">
        <f t="shared" si="71"/>
        <v>0</v>
      </c>
      <c r="G181" s="1139">
        <v>1000</v>
      </c>
      <c r="H181" s="391">
        <f t="shared" si="72"/>
        <v>-1000</v>
      </c>
      <c r="I181" s="409"/>
      <c r="J181" s="2851"/>
      <c r="Q181" s="1673"/>
      <c r="R181" s="2852"/>
      <c r="S181" s="1673"/>
      <c r="T181" s="1671"/>
      <c r="U181" s="2852"/>
      <c r="V181" s="1671"/>
      <c r="W181" s="2852"/>
      <c r="X181" s="1140"/>
      <c r="Y181" s="406"/>
      <c r="Z181" s="1098"/>
      <c r="AA181" s="305"/>
      <c r="AB181" s="305"/>
      <c r="AC181" s="2557"/>
    </row>
    <row r="182" spans="1:29" s="2849" customFormat="1" ht="22.5" hidden="1" customHeight="1">
      <c r="A182" s="436"/>
      <c r="B182" s="437"/>
      <c r="C182" s="397"/>
      <c r="D182" s="1131"/>
      <c r="E182" s="389" t="s">
        <v>199</v>
      </c>
      <c r="F182" s="403">
        <f t="shared" si="71"/>
        <v>0</v>
      </c>
      <c r="G182" s="1139">
        <v>2000</v>
      </c>
      <c r="H182" s="391">
        <f t="shared" si="72"/>
        <v>-2000</v>
      </c>
      <c r="I182" s="409"/>
      <c r="J182" s="2851"/>
      <c r="Q182" s="1673"/>
      <c r="R182" s="2852"/>
      <c r="S182" s="1673"/>
      <c r="T182" s="1671"/>
      <c r="U182" s="2852"/>
      <c r="V182" s="1671"/>
      <c r="W182" s="2852"/>
      <c r="X182" s="1140"/>
      <c r="Y182" s="406"/>
      <c r="Z182" s="1098"/>
      <c r="AA182" s="305"/>
      <c r="AB182" s="305"/>
      <c r="AC182" s="2557"/>
    </row>
    <row r="183" spans="1:29" s="2849" customFormat="1" ht="22.5" customHeight="1">
      <c r="A183" s="396"/>
      <c r="B183" s="437"/>
      <c r="C183" s="397"/>
      <c r="D183" s="3266" t="s">
        <v>5082</v>
      </c>
      <c r="E183" s="3267"/>
      <c r="F183" s="1683">
        <f>SUM(F184:F189)</f>
        <v>0</v>
      </c>
      <c r="G183" s="1683">
        <f>SUM(G184:G189)</f>
        <v>40000</v>
      </c>
      <c r="H183" s="386">
        <f>F183-G183</f>
        <v>-40000</v>
      </c>
      <c r="I183" s="409"/>
      <c r="J183" s="1135" t="s">
        <v>5083</v>
      </c>
      <c r="K183" s="2848"/>
      <c r="L183" s="2848"/>
      <c r="M183" s="2848"/>
      <c r="N183" s="2848"/>
      <c r="O183" s="2848"/>
      <c r="P183" s="2848"/>
      <c r="Q183" s="2848"/>
      <c r="R183" s="395"/>
      <c r="S183" s="2848"/>
      <c r="T183" s="2848"/>
      <c r="U183" s="2848"/>
      <c r="V183" s="2848"/>
      <c r="W183" s="2848"/>
      <c r="X183" s="430"/>
      <c r="Y183" s="439"/>
      <c r="Z183" s="2509">
        <v>40000000</v>
      </c>
      <c r="AA183" s="305"/>
      <c r="AB183" s="305"/>
      <c r="AC183" s="2557"/>
    </row>
    <row r="184" spans="1:29" s="2849" customFormat="1" ht="22.5" hidden="1" customHeight="1">
      <c r="A184" s="436"/>
      <c r="B184" s="437"/>
      <c r="C184" s="397"/>
      <c r="D184" s="367"/>
      <c r="E184" s="444" t="s">
        <v>199</v>
      </c>
      <c r="F184" s="403">
        <f t="shared" ref="F184:F189" si="73">Y184</f>
        <v>0</v>
      </c>
      <c r="G184" s="445">
        <v>5000</v>
      </c>
      <c r="H184" s="391"/>
      <c r="I184" s="409"/>
      <c r="J184" s="446"/>
      <c r="K184" s="447"/>
      <c r="L184" s="447"/>
      <c r="M184" s="447"/>
      <c r="N184" s="447"/>
      <c r="O184" s="447"/>
      <c r="P184" s="447"/>
      <c r="Q184" s="448"/>
      <c r="R184" s="449"/>
      <c r="S184" s="450"/>
      <c r="T184" s="451"/>
      <c r="U184" s="451"/>
      <c r="V184" s="451"/>
      <c r="W184" s="451"/>
      <c r="X184" s="452"/>
      <c r="Y184" s="406"/>
      <c r="Z184" s="1098"/>
      <c r="AA184" s="305"/>
      <c r="AB184" s="305"/>
      <c r="AC184" s="2557"/>
    </row>
    <row r="185" spans="1:29" s="2849" customFormat="1" ht="22.5" hidden="1" customHeight="1">
      <c r="A185" s="436"/>
      <c r="B185" s="437"/>
      <c r="C185" s="397"/>
      <c r="D185" s="1131"/>
      <c r="E185" s="389" t="s">
        <v>84</v>
      </c>
      <c r="F185" s="403">
        <f t="shared" si="73"/>
        <v>0</v>
      </c>
      <c r="G185" s="1139">
        <v>1000</v>
      </c>
      <c r="H185" s="391"/>
      <c r="I185" s="409"/>
      <c r="J185" s="2851"/>
      <c r="Q185" s="1673"/>
      <c r="R185" s="2852"/>
      <c r="S185" s="1673"/>
      <c r="T185" s="1671"/>
      <c r="U185" s="2852"/>
      <c r="V185" s="1671"/>
      <c r="W185" s="2852"/>
      <c r="X185" s="1140"/>
      <c r="Y185" s="406"/>
      <c r="Z185" s="1098"/>
      <c r="AA185" s="305"/>
      <c r="AB185" s="305"/>
      <c r="AC185" s="2557"/>
    </row>
    <row r="186" spans="1:29" s="2849" customFormat="1" ht="22.5" hidden="1" customHeight="1">
      <c r="A186" s="436"/>
      <c r="B186" s="437"/>
      <c r="C186" s="397"/>
      <c r="D186" s="1131"/>
      <c r="E186" s="1134" t="s">
        <v>52</v>
      </c>
      <c r="F186" s="403">
        <f t="shared" si="73"/>
        <v>0</v>
      </c>
      <c r="G186" s="1139">
        <v>6000</v>
      </c>
      <c r="H186" s="391"/>
      <c r="I186" s="409"/>
      <c r="J186" s="2851"/>
      <c r="Q186" s="1673"/>
      <c r="R186" s="2852"/>
      <c r="S186" s="1673"/>
      <c r="T186" s="1671"/>
      <c r="U186" s="2852"/>
      <c r="V186" s="1671"/>
      <c r="W186" s="2852"/>
      <c r="X186" s="1140"/>
      <c r="Y186" s="406"/>
      <c r="Z186" s="1098"/>
      <c r="AA186" s="305"/>
      <c r="AB186" s="305"/>
      <c r="AC186" s="2557"/>
    </row>
    <row r="187" spans="1:29" s="2849" customFormat="1" ht="22.5" hidden="1" customHeight="1">
      <c r="A187" s="436"/>
      <c r="B187" s="437"/>
      <c r="C187" s="397"/>
      <c r="D187" s="1131"/>
      <c r="E187" s="389" t="s">
        <v>16</v>
      </c>
      <c r="F187" s="403">
        <f>Y187</f>
        <v>0</v>
      </c>
      <c r="G187" s="1139">
        <v>7000</v>
      </c>
      <c r="H187" s="391"/>
      <c r="I187" s="409"/>
      <c r="J187" s="2851"/>
      <c r="K187" s="1671"/>
      <c r="L187" s="1671"/>
      <c r="M187" s="1671"/>
      <c r="N187" s="1671"/>
      <c r="O187" s="1671"/>
      <c r="P187" s="1671"/>
      <c r="Q187" s="2852"/>
      <c r="R187" s="2852"/>
      <c r="S187" s="408"/>
      <c r="T187" s="2852"/>
      <c r="U187" s="2852"/>
      <c r="V187" s="2852"/>
      <c r="W187" s="2852"/>
      <c r="X187" s="1140"/>
      <c r="Y187" s="406"/>
      <c r="Z187" s="1098"/>
      <c r="AA187" s="305"/>
      <c r="AB187" s="305"/>
      <c r="AC187" s="2557"/>
    </row>
    <row r="188" spans="1:29" s="2849" customFormat="1" ht="22.5" hidden="1" customHeight="1">
      <c r="A188" s="436"/>
      <c r="B188" s="437"/>
      <c r="C188" s="397"/>
      <c r="D188" s="1131"/>
      <c r="E188" s="389" t="s">
        <v>222</v>
      </c>
      <c r="F188" s="403">
        <f t="shared" si="73"/>
        <v>0</v>
      </c>
      <c r="G188" s="1139">
        <v>20000</v>
      </c>
      <c r="H188" s="391"/>
      <c r="I188" s="409"/>
      <c r="J188" s="2851"/>
      <c r="Q188" s="1673"/>
      <c r="R188" s="2852"/>
      <c r="S188" s="1673"/>
      <c r="T188" s="1671"/>
      <c r="U188" s="2852"/>
      <c r="V188" s="1671"/>
      <c r="W188" s="2852"/>
      <c r="X188" s="1140"/>
      <c r="Y188" s="406"/>
      <c r="Z188" s="1098"/>
      <c r="AA188" s="305"/>
      <c r="AB188" s="305"/>
      <c r="AC188" s="2557"/>
    </row>
    <row r="189" spans="1:29" s="2849" customFormat="1" ht="22.5" hidden="1" customHeight="1">
      <c r="A189" s="436"/>
      <c r="B189" s="437"/>
      <c r="C189" s="397"/>
      <c r="D189" s="1131"/>
      <c r="E189" s="389" t="s">
        <v>55</v>
      </c>
      <c r="F189" s="403">
        <f t="shared" si="73"/>
        <v>0</v>
      </c>
      <c r="G189" s="1139">
        <v>1000</v>
      </c>
      <c r="H189" s="391"/>
      <c r="I189" s="409"/>
      <c r="J189" s="2851"/>
      <c r="Q189" s="408"/>
      <c r="R189" s="2850"/>
      <c r="S189" s="1672"/>
      <c r="T189" s="2852"/>
      <c r="U189" s="2852"/>
      <c r="V189" s="2852"/>
      <c r="W189" s="2852"/>
      <c r="X189" s="1140"/>
      <c r="Y189" s="406"/>
      <c r="Z189" s="1098"/>
      <c r="AA189" s="305"/>
      <c r="AB189" s="305"/>
      <c r="AC189" s="2557"/>
    </row>
    <row r="190" spans="1:29" s="2534" customFormat="1" ht="22.5" customHeight="1">
      <c r="A190" s="396"/>
      <c r="B190" s="2540"/>
      <c r="C190" s="397"/>
      <c r="D190" s="3266" t="s">
        <v>3032</v>
      </c>
      <c r="E190" s="3267"/>
      <c r="F190" s="1683">
        <f>SUM(F191:F192)</f>
        <v>160000</v>
      </c>
      <c r="G190" s="1683">
        <f>SUM(G191:G192)</f>
        <v>160000</v>
      </c>
      <c r="H190" s="386">
        <f>F190-G190</f>
        <v>0</v>
      </c>
      <c r="I190" s="409"/>
      <c r="J190" s="394"/>
      <c r="K190" s="2525"/>
      <c r="L190" s="2525"/>
      <c r="M190" s="2525"/>
      <c r="N190" s="2525"/>
      <c r="O190" s="2525"/>
      <c r="P190" s="2525"/>
      <c r="Q190" s="2525"/>
      <c r="R190" s="395"/>
      <c r="S190" s="2525"/>
      <c r="T190" s="2525"/>
      <c r="U190" s="2525"/>
      <c r="V190" s="2525"/>
      <c r="W190" s="2525"/>
      <c r="X190" s="430"/>
      <c r="Y190" s="439"/>
      <c r="Z190" s="2509">
        <f>SUM(Z191:Z193,Z195:Z205)</f>
        <v>256000000</v>
      </c>
      <c r="AA190" s="305"/>
      <c r="AB190" s="305"/>
      <c r="AC190" s="2557"/>
    </row>
    <row r="191" spans="1:29" s="2534" customFormat="1" ht="20.45" customHeight="1">
      <c r="A191" s="436"/>
      <c r="B191" s="437"/>
      <c r="C191" s="397"/>
      <c r="D191" s="367"/>
      <c r="E191" s="1134" t="s">
        <v>52</v>
      </c>
      <c r="F191" s="403">
        <f t="shared" ref="F191" si="74">Y191</f>
        <v>2000</v>
      </c>
      <c r="G191" s="1139">
        <v>2000</v>
      </c>
      <c r="H191" s="2382"/>
      <c r="I191" s="409"/>
      <c r="J191" s="2538" t="s">
        <v>2970</v>
      </c>
      <c r="Q191" s="1673">
        <v>5</v>
      </c>
      <c r="R191" s="2539" t="s">
        <v>23</v>
      </c>
      <c r="S191" s="1673">
        <v>200000</v>
      </c>
      <c r="T191" s="1671" t="s">
        <v>0</v>
      </c>
      <c r="U191" s="2539"/>
      <c r="V191" s="1671">
        <v>2</v>
      </c>
      <c r="W191" s="2539" t="s">
        <v>299</v>
      </c>
      <c r="X191" s="1140" t="s">
        <v>1</v>
      </c>
      <c r="Y191" s="406">
        <f t="shared" ref="Y191" si="75">Z191/1000</f>
        <v>2000</v>
      </c>
      <c r="Z191" s="1098">
        <f>Q191*S191*V191</f>
        <v>2000000</v>
      </c>
      <c r="AA191" s="305"/>
      <c r="AB191" s="305"/>
      <c r="AC191" s="2557"/>
    </row>
    <row r="192" spans="1:29" s="2534" customFormat="1" ht="20.45" customHeight="1">
      <c r="A192" s="436"/>
      <c r="B192" s="437"/>
      <c r="C192" s="397"/>
      <c r="D192" s="1131"/>
      <c r="E192" s="389" t="s">
        <v>638</v>
      </c>
      <c r="F192" s="403">
        <f>Y192</f>
        <v>158000</v>
      </c>
      <c r="G192" s="1139">
        <v>158000</v>
      </c>
      <c r="H192" s="2382"/>
      <c r="I192" s="409"/>
      <c r="J192" s="2538" t="s">
        <v>3034</v>
      </c>
      <c r="K192" s="1671"/>
      <c r="L192" s="1671"/>
      <c r="M192" s="1671"/>
      <c r="N192" s="1671"/>
      <c r="O192" s="1671"/>
      <c r="P192" s="1671"/>
      <c r="Q192" s="2539"/>
      <c r="R192" s="2539"/>
      <c r="S192" s="408">
        <v>158000000</v>
      </c>
      <c r="T192" s="2539" t="s">
        <v>0</v>
      </c>
      <c r="U192" s="2539"/>
      <c r="V192" s="2539">
        <v>1</v>
      </c>
      <c r="W192" s="2539" t="s">
        <v>6</v>
      </c>
      <c r="X192" s="1140" t="s">
        <v>1</v>
      </c>
      <c r="Y192" s="406">
        <f>Z192/1000</f>
        <v>158000</v>
      </c>
      <c r="Z192" s="1098">
        <f>S192*V192</f>
        <v>158000000</v>
      </c>
      <c r="AA192" s="305"/>
      <c r="AB192" s="305"/>
      <c r="AC192" s="2557"/>
    </row>
    <row r="193" spans="1:29" s="2282" customFormat="1" ht="22.5" customHeight="1">
      <c r="A193" s="411"/>
      <c r="B193" s="412"/>
      <c r="C193" s="3347" t="s">
        <v>244</v>
      </c>
      <c r="D193" s="3347"/>
      <c r="E193" s="3267"/>
      <c r="F193" s="385">
        <f>F194+F219</f>
        <v>400000</v>
      </c>
      <c r="G193" s="385">
        <f>G194+G219</f>
        <v>400000</v>
      </c>
      <c r="H193" s="461">
        <f>F193-G193</f>
        <v>0</v>
      </c>
      <c r="I193" s="409"/>
      <c r="J193" s="1135"/>
      <c r="K193" s="2401"/>
      <c r="L193" s="2401"/>
      <c r="M193" s="2401"/>
      <c r="N193" s="2401"/>
      <c r="O193" s="2401"/>
      <c r="P193" s="2401"/>
      <c r="Q193" s="462"/>
      <c r="R193" s="395"/>
      <c r="S193" s="399"/>
      <c r="T193" s="1136"/>
      <c r="U193" s="1136"/>
      <c r="V193" s="1136"/>
      <c r="W193" s="1136"/>
      <c r="X193" s="1138"/>
      <c r="Y193" s="377"/>
      <c r="Z193" s="1819"/>
      <c r="AA193" s="305"/>
      <c r="AB193" s="305"/>
      <c r="AC193" s="166"/>
    </row>
    <row r="194" spans="1:29" s="2282" customFormat="1" ht="22.5" customHeight="1">
      <c r="A194" s="411"/>
      <c r="B194" s="412"/>
      <c r="C194" s="1671"/>
      <c r="D194" s="3266" t="s">
        <v>1745</v>
      </c>
      <c r="E194" s="3267"/>
      <c r="F194" s="382">
        <f>SUM(F195:F218)</f>
        <v>400000</v>
      </c>
      <c r="G194" s="382">
        <f>SUM(G195:G218)</f>
        <v>250000</v>
      </c>
      <c r="H194" s="461">
        <f>F194-G194</f>
        <v>150000</v>
      </c>
      <c r="I194" s="2559"/>
      <c r="J194" s="1135" t="s">
        <v>6103</v>
      </c>
      <c r="K194" s="2784"/>
      <c r="L194" s="2784"/>
      <c r="M194" s="2784"/>
      <c r="N194" s="2784"/>
      <c r="O194" s="2784"/>
      <c r="P194" s="2784"/>
      <c r="Q194" s="2784"/>
      <c r="R194" s="395"/>
      <c r="S194" s="1136"/>
      <c r="T194" s="1136"/>
      <c r="U194" s="1136"/>
      <c r="V194" s="1136"/>
      <c r="W194" s="1136"/>
      <c r="X194" s="1138"/>
      <c r="Y194" s="377"/>
      <c r="Z194" s="1448"/>
      <c r="AA194" s="305"/>
      <c r="AB194" s="305"/>
      <c r="AC194" s="166"/>
    </row>
    <row r="195" spans="1:29" s="2282" customFormat="1" ht="22.5" customHeight="1">
      <c r="A195" s="411"/>
      <c r="B195" s="412"/>
      <c r="C195" s="1671"/>
      <c r="D195" s="1131"/>
      <c r="E195" s="888" t="s">
        <v>4942</v>
      </c>
      <c r="F195" s="1185">
        <f>Y195</f>
        <v>20000</v>
      </c>
      <c r="G195" s="1185">
        <v>0</v>
      </c>
      <c r="H195" s="703">
        <f>F195-G195</f>
        <v>20000</v>
      </c>
      <c r="I195" s="1118"/>
      <c r="J195" s="514" t="s">
        <v>4953</v>
      </c>
      <c r="K195" s="2787"/>
      <c r="L195" s="2787"/>
      <c r="M195" s="2787"/>
      <c r="N195" s="2787"/>
      <c r="O195" s="2787"/>
      <c r="P195" s="2787"/>
      <c r="Q195" s="635">
        <v>1</v>
      </c>
      <c r="R195" s="1187" t="s">
        <v>33</v>
      </c>
      <c r="S195" s="516">
        <v>2500000</v>
      </c>
      <c r="T195" s="516" t="s">
        <v>50</v>
      </c>
      <c r="U195" s="516"/>
      <c r="V195" s="516">
        <v>8</v>
      </c>
      <c r="W195" s="516" t="s">
        <v>200</v>
      </c>
      <c r="X195" s="517" t="s">
        <v>1</v>
      </c>
      <c r="Y195" s="636">
        <f t="shared" ref="Y195:Y218" si="76">Z195/1000</f>
        <v>20000</v>
      </c>
      <c r="Z195" s="1265">
        <f>Q195*S195*V195</f>
        <v>20000000</v>
      </c>
      <c r="AA195" s="305"/>
      <c r="AB195" s="305"/>
      <c r="AC195" s="166"/>
    </row>
    <row r="196" spans="1:29" s="2780" customFormat="1" ht="22.5" customHeight="1">
      <c r="A196" s="411"/>
      <c r="B196" s="412"/>
      <c r="C196" s="1671"/>
      <c r="D196" s="1131"/>
      <c r="E196" s="888" t="s">
        <v>118</v>
      </c>
      <c r="F196" s="1185">
        <f>Y196</f>
        <v>12000</v>
      </c>
      <c r="G196" s="1185">
        <v>0</v>
      </c>
      <c r="H196" s="700"/>
      <c r="I196" s="1118"/>
      <c r="J196" s="514" t="s">
        <v>248</v>
      </c>
      <c r="K196" s="2787"/>
      <c r="L196" s="2787"/>
      <c r="M196" s="2787"/>
      <c r="N196" s="2787"/>
      <c r="O196" s="2787"/>
      <c r="P196" s="2787"/>
      <c r="Q196" s="727"/>
      <c r="R196" s="2790"/>
      <c r="S196" s="1686">
        <v>6000000</v>
      </c>
      <c r="T196" s="516" t="s">
        <v>0</v>
      </c>
      <c r="U196" s="516"/>
      <c r="V196" s="516">
        <v>2</v>
      </c>
      <c r="W196" s="516" t="s">
        <v>3</v>
      </c>
      <c r="X196" s="517" t="s">
        <v>1</v>
      </c>
      <c r="Y196" s="636">
        <f>Z196/1000</f>
        <v>12000</v>
      </c>
      <c r="Z196" s="1265">
        <f>S196*V196</f>
        <v>12000000</v>
      </c>
      <c r="AA196" s="305"/>
      <c r="AB196" s="305"/>
      <c r="AC196" s="2557"/>
    </row>
    <row r="197" spans="1:29" s="2282" customFormat="1" ht="22.5" customHeight="1">
      <c r="A197" s="411"/>
      <c r="B197" s="412"/>
      <c r="C197" s="1671"/>
      <c r="D197" s="1131"/>
      <c r="E197" s="888" t="s">
        <v>51</v>
      </c>
      <c r="F197" s="1185">
        <f>Y197</f>
        <v>15000</v>
      </c>
      <c r="G197" s="1185">
        <v>15000</v>
      </c>
      <c r="H197" s="700"/>
      <c r="I197" s="1118"/>
      <c r="J197" s="514" t="s">
        <v>8</v>
      </c>
      <c r="K197" s="2787"/>
      <c r="L197" s="2787"/>
      <c r="M197" s="2787"/>
      <c r="N197" s="2787"/>
      <c r="O197" s="2787"/>
      <c r="P197" s="2787"/>
      <c r="Q197" s="635" t="s">
        <v>19</v>
      </c>
      <c r="R197" s="1187" t="s">
        <v>19</v>
      </c>
      <c r="S197" s="1686"/>
      <c r="T197" s="516"/>
      <c r="U197" s="516"/>
      <c r="V197" s="516"/>
      <c r="W197" s="516"/>
      <c r="X197" s="517"/>
      <c r="Y197" s="636">
        <f t="shared" si="76"/>
        <v>15000</v>
      </c>
      <c r="Z197" s="1265">
        <f>+Z198+Z199</f>
        <v>15000000</v>
      </c>
      <c r="AA197" s="305"/>
      <c r="AB197" s="305"/>
      <c r="AC197" s="166"/>
    </row>
    <row r="198" spans="1:29" s="2780" customFormat="1" ht="22.5" customHeight="1">
      <c r="A198" s="411"/>
      <c r="B198" s="412"/>
      <c r="C198" s="1671"/>
      <c r="D198" s="1131"/>
      <c r="E198" s="888"/>
      <c r="F198" s="1185"/>
      <c r="G198" s="1185"/>
      <c r="H198" s="513"/>
      <c r="I198" s="1118"/>
      <c r="J198" s="514" t="s">
        <v>4958</v>
      </c>
      <c r="K198" s="2787"/>
      <c r="L198" s="2787"/>
      <c r="M198" s="2787"/>
      <c r="N198" s="2787"/>
      <c r="O198" s="2787"/>
      <c r="P198" s="2787"/>
      <c r="Q198" s="2787"/>
      <c r="R198" s="1187"/>
      <c r="S198" s="516">
        <v>10000000</v>
      </c>
      <c r="T198" s="516" t="s">
        <v>0</v>
      </c>
      <c r="U198" s="516"/>
      <c r="V198" s="516">
        <v>1</v>
      </c>
      <c r="W198" s="516" t="s">
        <v>6</v>
      </c>
      <c r="X198" s="517" t="s">
        <v>1</v>
      </c>
      <c r="Y198" s="636">
        <f t="shared" si="76"/>
        <v>10000</v>
      </c>
      <c r="Z198" s="1265">
        <f>S198*V198</f>
        <v>10000000</v>
      </c>
      <c r="AA198" s="305"/>
      <c r="AB198" s="305"/>
      <c r="AC198" s="2557"/>
    </row>
    <row r="199" spans="1:29" s="2780" customFormat="1" ht="22.5" customHeight="1">
      <c r="A199" s="411"/>
      <c r="B199" s="412"/>
      <c r="C199" s="1671"/>
      <c r="D199" s="1131"/>
      <c r="E199" s="888"/>
      <c r="F199" s="1185"/>
      <c r="G199" s="1185"/>
      <c r="H199" s="513"/>
      <c r="I199" s="1118"/>
      <c r="J199" s="514" t="s">
        <v>4959</v>
      </c>
      <c r="K199" s="2787"/>
      <c r="L199" s="2787"/>
      <c r="M199" s="2787"/>
      <c r="N199" s="2787"/>
      <c r="O199" s="2787"/>
      <c r="P199" s="2787"/>
      <c r="Q199" s="2787"/>
      <c r="R199" s="1187"/>
      <c r="S199" s="516">
        <v>2500000</v>
      </c>
      <c r="T199" s="516" t="s">
        <v>0</v>
      </c>
      <c r="U199" s="516"/>
      <c r="V199" s="516">
        <v>2</v>
      </c>
      <c r="W199" s="516" t="s">
        <v>6</v>
      </c>
      <c r="X199" s="517" t="s">
        <v>1</v>
      </c>
      <c r="Y199" s="636">
        <f t="shared" si="76"/>
        <v>5000</v>
      </c>
      <c r="Z199" s="1265">
        <f>S199*V199</f>
        <v>5000000</v>
      </c>
      <c r="AA199" s="305"/>
      <c r="AB199" s="305"/>
      <c r="AC199" s="2557"/>
    </row>
    <row r="200" spans="1:29" s="2282" customFormat="1" ht="22.5" customHeight="1">
      <c r="A200" s="411"/>
      <c r="B200" s="412"/>
      <c r="C200" s="1671"/>
      <c r="D200" s="1131"/>
      <c r="E200" s="888" t="s">
        <v>73</v>
      </c>
      <c r="F200" s="1185">
        <f>Y200</f>
        <v>6000</v>
      </c>
      <c r="G200" s="1185">
        <v>1000</v>
      </c>
      <c r="H200" s="700">
        <f>F200-G200</f>
        <v>5000</v>
      </c>
      <c r="I200" s="1118"/>
      <c r="J200" s="514" t="s">
        <v>8</v>
      </c>
      <c r="K200" s="2787"/>
      <c r="L200" s="2787"/>
      <c r="M200" s="2787"/>
      <c r="N200" s="2787"/>
      <c r="O200" s="2787"/>
      <c r="P200" s="2787"/>
      <c r="Q200" s="635" t="s">
        <v>19</v>
      </c>
      <c r="R200" s="1187" t="s">
        <v>19</v>
      </c>
      <c r="S200" s="1686"/>
      <c r="T200" s="516"/>
      <c r="U200" s="516"/>
      <c r="V200" s="516"/>
      <c r="W200" s="516"/>
      <c r="X200" s="517"/>
      <c r="Y200" s="636">
        <f>Z200/1000</f>
        <v>6000</v>
      </c>
      <c r="Z200" s="1265">
        <f>+Z201+Z202</f>
        <v>6000000</v>
      </c>
      <c r="AA200" s="305"/>
      <c r="AB200" s="305"/>
      <c r="AC200" s="166"/>
    </row>
    <row r="201" spans="1:29" s="2282" customFormat="1" ht="22.5" customHeight="1">
      <c r="A201" s="411"/>
      <c r="B201" s="412"/>
      <c r="C201" s="1671"/>
      <c r="D201" s="1131"/>
      <c r="E201" s="888"/>
      <c r="F201" s="1185"/>
      <c r="G201" s="1185"/>
      <c r="H201" s="513"/>
      <c r="I201" s="1118"/>
      <c r="J201" s="514" t="s">
        <v>4962</v>
      </c>
      <c r="K201" s="2787"/>
      <c r="L201" s="2787"/>
      <c r="M201" s="2787"/>
      <c r="N201" s="2787"/>
      <c r="O201" s="2787"/>
      <c r="P201" s="2787"/>
      <c r="Q201" s="2787"/>
      <c r="R201" s="1187"/>
      <c r="S201" s="516">
        <v>500000</v>
      </c>
      <c r="T201" s="516" t="s">
        <v>0</v>
      </c>
      <c r="U201" s="516"/>
      <c r="V201" s="516">
        <v>2</v>
      </c>
      <c r="W201" s="516" t="s">
        <v>4963</v>
      </c>
      <c r="X201" s="517" t="s">
        <v>1</v>
      </c>
      <c r="Y201" s="636">
        <f>Z201/1000</f>
        <v>1000</v>
      </c>
      <c r="Z201" s="1265">
        <f>S201*V201</f>
        <v>1000000</v>
      </c>
      <c r="AA201" s="305"/>
      <c r="AB201" s="305"/>
      <c r="AC201" s="166"/>
    </row>
    <row r="202" spans="1:29" s="2282" customFormat="1" ht="22.5" customHeight="1">
      <c r="A202" s="411"/>
      <c r="B202" s="412"/>
      <c r="C202" s="1671"/>
      <c r="D202" s="1131"/>
      <c r="E202" s="888"/>
      <c r="F202" s="1185"/>
      <c r="G202" s="1185"/>
      <c r="H202" s="700"/>
      <c r="I202" s="1118"/>
      <c r="J202" s="514" t="s">
        <v>4964</v>
      </c>
      <c r="K202" s="2787"/>
      <c r="L202" s="2787"/>
      <c r="M202" s="2787"/>
      <c r="N202" s="2787"/>
      <c r="O202" s="2787"/>
      <c r="P202" s="2787"/>
      <c r="Q202" s="2787"/>
      <c r="R202" s="1187"/>
      <c r="S202" s="516">
        <v>2500000</v>
      </c>
      <c r="T202" s="516" t="s">
        <v>0</v>
      </c>
      <c r="U202" s="516"/>
      <c r="V202" s="516">
        <v>2</v>
      </c>
      <c r="W202" s="516" t="s">
        <v>4963</v>
      </c>
      <c r="X202" s="517" t="s">
        <v>1</v>
      </c>
      <c r="Y202" s="636">
        <f>Z202/1000</f>
        <v>5000</v>
      </c>
      <c r="Z202" s="1265">
        <f>S202*V202</f>
        <v>5000000</v>
      </c>
      <c r="AA202" s="305"/>
      <c r="AB202" s="305"/>
      <c r="AC202" s="166"/>
    </row>
    <row r="203" spans="1:29" s="2282" customFormat="1" ht="22.5" customHeight="1">
      <c r="A203" s="411"/>
      <c r="B203" s="412"/>
      <c r="C203" s="1671"/>
      <c r="D203" s="1131"/>
      <c r="E203" s="888" t="s">
        <v>84</v>
      </c>
      <c r="F203" s="1185">
        <f>Y203</f>
        <v>6000</v>
      </c>
      <c r="G203" s="1185">
        <v>4000</v>
      </c>
      <c r="H203" s="700"/>
      <c r="I203" s="1118"/>
      <c r="J203" s="514" t="s">
        <v>4965</v>
      </c>
      <c r="K203" s="2787"/>
      <c r="L203" s="2787"/>
      <c r="M203" s="2787"/>
      <c r="N203" s="2787"/>
      <c r="O203" s="2787"/>
      <c r="P203" s="2787"/>
      <c r="Q203" s="516">
        <v>3</v>
      </c>
      <c r="R203" s="516" t="s">
        <v>23</v>
      </c>
      <c r="S203" s="516">
        <v>50000</v>
      </c>
      <c r="T203" s="516" t="s">
        <v>0</v>
      </c>
      <c r="U203" s="516"/>
      <c r="V203" s="516">
        <v>40</v>
      </c>
      <c r="W203" s="516" t="s">
        <v>3</v>
      </c>
      <c r="X203" s="517" t="s">
        <v>1</v>
      </c>
      <c r="Y203" s="636">
        <f t="shared" ref="Y203" si="77">Z203/1000</f>
        <v>6000</v>
      </c>
      <c r="Z203" s="1265">
        <f>Q203*S203*V203</f>
        <v>6000000</v>
      </c>
      <c r="AA203" s="305"/>
      <c r="AB203" s="305"/>
      <c r="AC203" s="166"/>
    </row>
    <row r="204" spans="1:29" s="2282" customFormat="1" ht="22.5" customHeight="1">
      <c r="A204" s="411"/>
      <c r="B204" s="412"/>
      <c r="C204" s="1671"/>
      <c r="D204" s="1131"/>
      <c r="E204" s="888" t="s">
        <v>4960</v>
      </c>
      <c r="F204" s="1185">
        <f>Y204</f>
        <v>1000</v>
      </c>
      <c r="G204" s="1185"/>
      <c r="H204" s="700">
        <f>F204-G204</f>
        <v>1000</v>
      </c>
      <c r="I204" s="1118"/>
      <c r="J204" s="514" t="s">
        <v>4961</v>
      </c>
      <c r="K204" s="2787"/>
      <c r="L204" s="2787"/>
      <c r="M204" s="2787"/>
      <c r="N204" s="2787"/>
      <c r="O204" s="2787"/>
      <c r="P204" s="2787"/>
      <c r="Q204" s="635"/>
      <c r="R204" s="1187"/>
      <c r="S204" s="516">
        <v>250000</v>
      </c>
      <c r="T204" s="516" t="s">
        <v>50</v>
      </c>
      <c r="U204" s="516"/>
      <c r="V204" s="516">
        <v>4</v>
      </c>
      <c r="W204" s="516" t="s">
        <v>3</v>
      </c>
      <c r="X204" s="517" t="s">
        <v>1</v>
      </c>
      <c r="Y204" s="636">
        <f t="shared" ref="Y204:Y217" si="78">Z204/1000</f>
        <v>1000</v>
      </c>
      <c r="Z204" s="1265">
        <f>S204*V204</f>
        <v>1000000</v>
      </c>
      <c r="AA204" s="305"/>
      <c r="AB204" s="305"/>
      <c r="AC204" s="166"/>
    </row>
    <row r="205" spans="1:29" s="2282" customFormat="1" ht="22.5" customHeight="1">
      <c r="A205" s="411"/>
      <c r="B205" s="412"/>
      <c r="C205" s="1671"/>
      <c r="D205" s="1131"/>
      <c r="E205" s="888" t="s">
        <v>52</v>
      </c>
      <c r="F205" s="1185">
        <f>Y205</f>
        <v>15000</v>
      </c>
      <c r="G205" s="1185">
        <v>17000</v>
      </c>
      <c r="H205" s="700">
        <f>F205-G205</f>
        <v>-2000</v>
      </c>
      <c r="I205" s="1118"/>
      <c r="J205" s="514" t="s">
        <v>8</v>
      </c>
      <c r="K205" s="2787"/>
      <c r="L205" s="2787"/>
      <c r="M205" s="2787"/>
      <c r="N205" s="2787"/>
      <c r="O205" s="2787"/>
      <c r="P205" s="2787"/>
      <c r="Q205" s="516"/>
      <c r="R205" s="516"/>
      <c r="S205" s="516"/>
      <c r="T205" s="516"/>
      <c r="U205" s="516"/>
      <c r="V205" s="516"/>
      <c r="W205" s="516"/>
      <c r="X205" s="517"/>
      <c r="Y205" s="636">
        <f t="shared" si="78"/>
        <v>15000</v>
      </c>
      <c r="Z205" s="1265">
        <f>Z206+Z207</f>
        <v>15000000</v>
      </c>
      <c r="AA205" s="305"/>
      <c r="AB205" s="305"/>
      <c r="AC205" s="166"/>
    </row>
    <row r="206" spans="1:29" s="2282" customFormat="1" ht="22.5" customHeight="1">
      <c r="A206" s="411"/>
      <c r="B206" s="412"/>
      <c r="C206" s="1671"/>
      <c r="D206" s="1131"/>
      <c r="E206" s="888"/>
      <c r="F206" s="1185"/>
      <c r="G206" s="1185"/>
      <c r="H206" s="700"/>
      <c r="I206" s="1118"/>
      <c r="J206" s="514" t="s">
        <v>246</v>
      </c>
      <c r="K206" s="2787"/>
      <c r="L206" s="2787"/>
      <c r="M206" s="2787"/>
      <c r="N206" s="2787"/>
      <c r="O206" s="2787"/>
      <c r="P206" s="2787"/>
      <c r="Q206" s="516">
        <v>9</v>
      </c>
      <c r="R206" s="516" t="s">
        <v>23</v>
      </c>
      <c r="S206" s="516">
        <v>200000</v>
      </c>
      <c r="T206" s="516" t="s">
        <v>0</v>
      </c>
      <c r="U206" s="516"/>
      <c r="V206" s="516">
        <v>5</v>
      </c>
      <c r="W206" s="516" t="s">
        <v>3</v>
      </c>
      <c r="X206" s="517" t="s">
        <v>1</v>
      </c>
      <c r="Y206" s="636">
        <f t="shared" si="78"/>
        <v>9000</v>
      </c>
      <c r="Z206" s="1265">
        <f>Q206*S206*V206</f>
        <v>9000000</v>
      </c>
      <c r="AA206" s="305"/>
      <c r="AB206" s="305"/>
      <c r="AC206" s="166"/>
    </row>
    <row r="207" spans="1:29" s="2282" customFormat="1" ht="22.5" customHeight="1">
      <c r="A207" s="411"/>
      <c r="B207" s="412"/>
      <c r="C207" s="1671"/>
      <c r="D207" s="1131"/>
      <c r="E207" s="888"/>
      <c r="F207" s="1185"/>
      <c r="G207" s="1185"/>
      <c r="H207" s="700"/>
      <c r="I207" s="1118"/>
      <c r="J207" s="514" t="s">
        <v>4954</v>
      </c>
      <c r="K207" s="2787"/>
      <c r="L207" s="2787"/>
      <c r="M207" s="2787"/>
      <c r="N207" s="2787"/>
      <c r="O207" s="2787"/>
      <c r="P207" s="2787"/>
      <c r="Q207" s="516">
        <v>5</v>
      </c>
      <c r="R207" s="516" t="s">
        <v>23</v>
      </c>
      <c r="S207" s="516">
        <v>1200000</v>
      </c>
      <c r="T207" s="516" t="s">
        <v>0</v>
      </c>
      <c r="U207" s="516"/>
      <c r="V207" s="516">
        <v>1</v>
      </c>
      <c r="W207" s="516" t="s">
        <v>3</v>
      </c>
      <c r="X207" s="517" t="s">
        <v>1</v>
      </c>
      <c r="Y207" s="636">
        <f t="shared" si="78"/>
        <v>6000</v>
      </c>
      <c r="Z207" s="1265">
        <f>Q207*S207*V207</f>
        <v>6000000</v>
      </c>
      <c r="AA207" s="305"/>
      <c r="AB207" s="305"/>
      <c r="AC207" s="166"/>
    </row>
    <row r="208" spans="1:29" s="2282" customFormat="1" ht="22.5" customHeight="1">
      <c r="A208" s="411"/>
      <c r="B208" s="412"/>
      <c r="C208" s="1671"/>
      <c r="D208" s="1131"/>
      <c r="E208" s="888" t="s">
        <v>65</v>
      </c>
      <c r="F208" s="1185">
        <f>Y208</f>
        <v>20000</v>
      </c>
      <c r="G208" s="1185">
        <v>21000</v>
      </c>
      <c r="H208" s="700">
        <f>F208-G208</f>
        <v>-1000</v>
      </c>
      <c r="I208" s="1118"/>
      <c r="J208" s="514" t="s">
        <v>4955</v>
      </c>
      <c r="K208" s="2787"/>
      <c r="L208" s="2787"/>
      <c r="M208" s="2787"/>
      <c r="N208" s="2787"/>
      <c r="O208" s="2787"/>
      <c r="P208" s="2787"/>
      <c r="Q208" s="2787"/>
      <c r="R208" s="1187"/>
      <c r="S208" s="1686"/>
      <c r="T208" s="516"/>
      <c r="U208" s="516"/>
      <c r="V208" s="516"/>
      <c r="W208" s="516"/>
      <c r="X208" s="517" t="s">
        <v>19</v>
      </c>
      <c r="Y208" s="636">
        <f t="shared" si="78"/>
        <v>20000</v>
      </c>
      <c r="Z208" s="1265">
        <f>+Z209+Z210</f>
        <v>20000000</v>
      </c>
      <c r="AA208" s="305"/>
      <c r="AB208" s="305"/>
      <c r="AC208" s="166"/>
    </row>
    <row r="209" spans="1:29" s="2282" customFormat="1" ht="22.5" customHeight="1">
      <c r="A209" s="464"/>
      <c r="B209" s="412"/>
      <c r="C209" s="465"/>
      <c r="D209" s="466"/>
      <c r="E209" s="510"/>
      <c r="F209" s="1185"/>
      <c r="G209" s="1185"/>
      <c r="H209" s="700"/>
      <c r="I209" s="1118"/>
      <c r="J209" s="1780" t="s">
        <v>4956</v>
      </c>
      <c r="K209" s="2787"/>
      <c r="L209" s="2787"/>
      <c r="M209" s="2787"/>
      <c r="N209" s="2787"/>
      <c r="O209" s="2787"/>
      <c r="P209" s="2787"/>
      <c r="Q209" s="516"/>
      <c r="R209" s="516"/>
      <c r="S209" s="635">
        <v>14000000</v>
      </c>
      <c r="T209" s="516" t="s">
        <v>0</v>
      </c>
      <c r="U209" s="516"/>
      <c r="V209" s="516">
        <v>1</v>
      </c>
      <c r="W209" s="516" t="s">
        <v>6</v>
      </c>
      <c r="X209" s="517" t="s">
        <v>1</v>
      </c>
      <c r="Y209" s="636">
        <f t="shared" si="78"/>
        <v>14000</v>
      </c>
      <c r="Z209" s="1265">
        <f>S209*V209</f>
        <v>14000000</v>
      </c>
      <c r="AA209" s="305"/>
      <c r="AB209" s="305"/>
      <c r="AC209" s="166"/>
    </row>
    <row r="210" spans="1:29" s="2282" customFormat="1" ht="22.5" customHeight="1">
      <c r="A210" s="464"/>
      <c r="B210" s="412"/>
      <c r="C210" s="413"/>
      <c r="D210" s="466"/>
      <c r="E210" s="510"/>
      <c r="F210" s="1185"/>
      <c r="G210" s="1185"/>
      <c r="H210" s="700"/>
      <c r="I210" s="1118"/>
      <c r="J210" s="1780" t="s">
        <v>4957</v>
      </c>
      <c r="K210" s="2787"/>
      <c r="L210" s="2787"/>
      <c r="M210" s="2787"/>
      <c r="N210" s="2787"/>
      <c r="O210" s="2787"/>
      <c r="P210" s="2787"/>
      <c r="Q210" s="516"/>
      <c r="R210" s="516"/>
      <c r="S210" s="635">
        <v>3000000</v>
      </c>
      <c r="T210" s="516" t="s">
        <v>0</v>
      </c>
      <c r="U210" s="516"/>
      <c r="V210" s="516">
        <v>2</v>
      </c>
      <c r="W210" s="516" t="s">
        <v>6</v>
      </c>
      <c r="X210" s="517" t="s">
        <v>1</v>
      </c>
      <c r="Y210" s="636">
        <f t="shared" si="78"/>
        <v>6000</v>
      </c>
      <c r="Z210" s="1265">
        <f>S210*V210</f>
        <v>6000000</v>
      </c>
      <c r="AA210" s="305"/>
      <c r="AB210" s="305"/>
      <c r="AC210" s="166"/>
    </row>
    <row r="211" spans="1:29" s="2282" customFormat="1" ht="22.5" customHeight="1">
      <c r="A211" s="411"/>
      <c r="B211" s="412"/>
      <c r="C211" s="1671"/>
      <c r="D211" s="1131"/>
      <c r="E211" s="888" t="s">
        <v>208</v>
      </c>
      <c r="F211" s="1185">
        <f>Y211</f>
        <v>295000</v>
      </c>
      <c r="G211" s="1185">
        <v>180000</v>
      </c>
      <c r="H211" s="513">
        <f>F211-G211</f>
        <v>115000</v>
      </c>
      <c r="I211" s="1118"/>
      <c r="J211" s="514" t="s">
        <v>8</v>
      </c>
      <c r="K211" s="2787"/>
      <c r="L211" s="2787"/>
      <c r="M211" s="2787"/>
      <c r="N211" s="2787"/>
      <c r="O211" s="2787"/>
      <c r="P211" s="2787"/>
      <c r="Q211" s="516"/>
      <c r="R211" s="516"/>
      <c r="S211" s="635"/>
      <c r="T211" s="516"/>
      <c r="U211" s="516"/>
      <c r="V211" s="516"/>
      <c r="W211" s="516"/>
      <c r="X211" s="517"/>
      <c r="Y211" s="636">
        <f t="shared" si="78"/>
        <v>295000</v>
      </c>
      <c r="Z211" s="1265">
        <f>Z212+Z213+Z214+Z215</f>
        <v>295000000</v>
      </c>
      <c r="AA211" s="305"/>
      <c r="AB211" s="305"/>
      <c r="AC211" s="166"/>
    </row>
    <row r="212" spans="1:29" s="2282" customFormat="1" ht="22.5" customHeight="1">
      <c r="A212" s="411"/>
      <c r="B212" s="412"/>
      <c r="C212" s="1671"/>
      <c r="D212" s="1131"/>
      <c r="E212" s="888"/>
      <c r="F212" s="1185"/>
      <c r="G212" s="1185"/>
      <c r="H212" s="700"/>
      <c r="I212" s="1118"/>
      <c r="J212" s="1780" t="s">
        <v>4945</v>
      </c>
      <c r="K212" s="2787"/>
      <c r="L212" s="2787"/>
      <c r="M212" s="2787"/>
      <c r="N212" s="2787"/>
      <c r="O212" s="2787"/>
      <c r="P212" s="2787"/>
      <c r="Q212" s="516">
        <v>1</v>
      </c>
      <c r="R212" s="516" t="s">
        <v>4946</v>
      </c>
      <c r="S212" s="635">
        <v>40000000</v>
      </c>
      <c r="T212" s="516" t="s">
        <v>0</v>
      </c>
      <c r="U212" s="516"/>
      <c r="V212" s="516">
        <v>1</v>
      </c>
      <c r="W212" s="516" t="s">
        <v>4947</v>
      </c>
      <c r="X212" s="517" t="s">
        <v>4948</v>
      </c>
      <c r="Y212" s="636">
        <f t="shared" si="78"/>
        <v>40000</v>
      </c>
      <c r="Z212" s="1265">
        <f>Q212*S212*V212</f>
        <v>40000000</v>
      </c>
      <c r="AA212" s="305"/>
      <c r="AB212" s="305"/>
      <c r="AC212" s="166"/>
    </row>
    <row r="213" spans="1:29" s="2282" customFormat="1" ht="22.5" customHeight="1">
      <c r="A213" s="411"/>
      <c r="B213" s="412"/>
      <c r="C213" s="1671"/>
      <c r="D213" s="1131"/>
      <c r="E213" s="888"/>
      <c r="F213" s="1185"/>
      <c r="G213" s="1185"/>
      <c r="H213" s="700"/>
      <c r="I213" s="1118"/>
      <c r="J213" s="1780" t="s">
        <v>4949</v>
      </c>
      <c r="K213" s="2787"/>
      <c r="L213" s="2787"/>
      <c r="M213" s="2787"/>
      <c r="N213" s="2787"/>
      <c r="O213" s="2787"/>
      <c r="P213" s="2787"/>
      <c r="Q213" s="516">
        <v>5</v>
      </c>
      <c r="R213" s="516" t="s">
        <v>4946</v>
      </c>
      <c r="S213" s="635">
        <v>25000000</v>
      </c>
      <c r="T213" s="516" t="s">
        <v>4950</v>
      </c>
      <c r="U213" s="516"/>
      <c r="V213" s="516">
        <v>1</v>
      </c>
      <c r="W213" s="516" t="s">
        <v>4947</v>
      </c>
      <c r="X213" s="517" t="s">
        <v>4948</v>
      </c>
      <c r="Y213" s="636">
        <f t="shared" si="78"/>
        <v>125000</v>
      </c>
      <c r="Z213" s="1265">
        <f>Q213*S213*V213</f>
        <v>125000000</v>
      </c>
      <c r="AA213" s="305"/>
      <c r="AB213" s="305"/>
      <c r="AC213" s="166"/>
    </row>
    <row r="214" spans="1:29" s="2282" customFormat="1" ht="22.5" customHeight="1">
      <c r="A214" s="411"/>
      <c r="B214" s="412"/>
      <c r="C214" s="1671"/>
      <c r="D214" s="1131"/>
      <c r="E214" s="888"/>
      <c r="F214" s="1185"/>
      <c r="G214" s="1185"/>
      <c r="H214" s="700"/>
      <c r="I214" s="1118"/>
      <c r="J214" s="1780" t="s">
        <v>4951</v>
      </c>
      <c r="K214" s="2787"/>
      <c r="L214" s="2787"/>
      <c r="M214" s="2787"/>
      <c r="N214" s="2787"/>
      <c r="O214" s="2787"/>
      <c r="P214" s="2787"/>
      <c r="Q214" s="516">
        <v>6</v>
      </c>
      <c r="R214" s="516" t="s">
        <v>4946</v>
      </c>
      <c r="S214" s="635">
        <v>5000000</v>
      </c>
      <c r="T214" s="516" t="s">
        <v>0</v>
      </c>
      <c r="U214" s="516"/>
      <c r="V214" s="516">
        <v>1</v>
      </c>
      <c r="W214" s="516" t="s">
        <v>4947</v>
      </c>
      <c r="X214" s="517" t="s">
        <v>1</v>
      </c>
      <c r="Y214" s="636">
        <f t="shared" si="78"/>
        <v>30000</v>
      </c>
      <c r="Z214" s="1265">
        <f>Q214*S214*V214</f>
        <v>30000000</v>
      </c>
      <c r="AA214" s="305"/>
      <c r="AB214" s="305"/>
      <c r="AC214" s="166"/>
    </row>
    <row r="215" spans="1:29" s="2282" customFormat="1" ht="22.5" customHeight="1">
      <c r="A215" s="411"/>
      <c r="B215" s="412"/>
      <c r="C215" s="1671"/>
      <c r="D215" s="1131"/>
      <c r="E215" s="888"/>
      <c r="F215" s="1185"/>
      <c r="G215" s="1185"/>
      <c r="H215" s="513"/>
      <c r="I215" s="1118"/>
      <c r="J215" s="1780" t="s">
        <v>4952</v>
      </c>
      <c r="K215" s="2787"/>
      <c r="L215" s="2787"/>
      <c r="M215" s="2787"/>
      <c r="N215" s="2787"/>
      <c r="O215" s="2787"/>
      <c r="P215" s="2787"/>
      <c r="Q215" s="516">
        <v>2</v>
      </c>
      <c r="R215" s="516" t="s">
        <v>4946</v>
      </c>
      <c r="S215" s="635">
        <v>50000000</v>
      </c>
      <c r="T215" s="516" t="s">
        <v>0</v>
      </c>
      <c r="U215" s="516"/>
      <c r="V215" s="516">
        <v>1</v>
      </c>
      <c r="W215" s="516" t="s">
        <v>4947</v>
      </c>
      <c r="X215" s="517" t="s">
        <v>1</v>
      </c>
      <c r="Y215" s="636">
        <f t="shared" si="78"/>
        <v>100000</v>
      </c>
      <c r="Z215" s="1265">
        <f>Q215*S215*V215</f>
        <v>100000000</v>
      </c>
      <c r="AA215" s="305"/>
      <c r="AB215" s="305"/>
      <c r="AC215" s="166"/>
    </row>
    <row r="216" spans="1:29" s="2282" customFormat="1" ht="22.5" customHeight="1">
      <c r="A216" s="411"/>
      <c r="B216" s="412"/>
      <c r="C216" s="1671"/>
      <c r="D216" s="1131"/>
      <c r="E216" s="888" t="s">
        <v>54</v>
      </c>
      <c r="F216" s="1185">
        <f>Y216</f>
        <v>2000</v>
      </c>
      <c r="G216" s="1185">
        <v>1000</v>
      </c>
      <c r="H216" s="700">
        <f>F216-G216</f>
        <v>1000</v>
      </c>
      <c r="I216" s="1118"/>
      <c r="J216" s="514" t="s">
        <v>98</v>
      </c>
      <c r="K216" s="2787"/>
      <c r="L216" s="2787"/>
      <c r="M216" s="2787"/>
      <c r="N216" s="2787"/>
      <c r="O216" s="2787"/>
      <c r="P216" s="2787"/>
      <c r="Q216" s="635"/>
      <c r="R216" s="1187"/>
      <c r="S216" s="516">
        <v>500000</v>
      </c>
      <c r="T216" s="516" t="s">
        <v>50</v>
      </c>
      <c r="U216" s="516"/>
      <c r="V216" s="516">
        <v>4</v>
      </c>
      <c r="W216" s="516" t="s">
        <v>3</v>
      </c>
      <c r="X216" s="517" t="s">
        <v>1</v>
      </c>
      <c r="Y216" s="636">
        <f t="shared" si="78"/>
        <v>2000</v>
      </c>
      <c r="Z216" s="1265">
        <f>S216*V216</f>
        <v>2000000</v>
      </c>
      <c r="AA216" s="305"/>
      <c r="AB216" s="305"/>
      <c r="AC216" s="166"/>
    </row>
    <row r="217" spans="1:29" s="2780" customFormat="1" ht="22.5" customHeight="1">
      <c r="A217" s="411"/>
      <c r="B217" s="412"/>
      <c r="C217" s="1671"/>
      <c r="D217" s="1131"/>
      <c r="E217" s="510" t="s">
        <v>56</v>
      </c>
      <c r="F217" s="1185">
        <f t="shared" ref="F217:F218" si="79">Y217</f>
        <v>4000</v>
      </c>
      <c r="G217" s="1185">
        <v>7000</v>
      </c>
      <c r="H217" s="700">
        <f t="shared" ref="H217:H218" si="80">F217-G217</f>
        <v>-3000</v>
      </c>
      <c r="I217" s="1118"/>
      <c r="J217" s="514" t="s">
        <v>5053</v>
      </c>
      <c r="K217" s="2787"/>
      <c r="L217" s="2787"/>
      <c r="M217" s="2787"/>
      <c r="N217" s="2787"/>
      <c r="O217" s="2787"/>
      <c r="P217" s="2787"/>
      <c r="Q217" s="635" t="s">
        <v>19</v>
      </c>
      <c r="R217" s="1187" t="s">
        <v>19</v>
      </c>
      <c r="S217" s="1686">
        <v>1000000</v>
      </c>
      <c r="T217" s="516" t="s">
        <v>0</v>
      </c>
      <c r="U217" s="516"/>
      <c r="V217" s="516">
        <v>4</v>
      </c>
      <c r="W217" s="516" t="s">
        <v>3</v>
      </c>
      <c r="X217" s="517" t="s">
        <v>1</v>
      </c>
      <c r="Y217" s="636">
        <f t="shared" si="78"/>
        <v>4000</v>
      </c>
      <c r="Z217" s="1265">
        <f>S217*V217</f>
        <v>4000000</v>
      </c>
      <c r="AA217" s="305"/>
      <c r="AB217" s="305"/>
      <c r="AC217" s="2557"/>
    </row>
    <row r="218" spans="1:29" s="2780" customFormat="1" ht="22.5" customHeight="1">
      <c r="A218" s="411"/>
      <c r="B218" s="412"/>
      <c r="C218" s="1671"/>
      <c r="D218" s="1131"/>
      <c r="E218" s="888" t="s">
        <v>55</v>
      </c>
      <c r="F218" s="1185">
        <f t="shared" si="79"/>
        <v>4000</v>
      </c>
      <c r="G218" s="1185">
        <v>4000</v>
      </c>
      <c r="H218" s="1166">
        <f t="shared" si="80"/>
        <v>0</v>
      </c>
      <c r="I218" s="1118"/>
      <c r="J218" s="514" t="s">
        <v>247</v>
      </c>
      <c r="K218" s="2787"/>
      <c r="L218" s="2787"/>
      <c r="M218" s="2787"/>
      <c r="N218" s="2787"/>
      <c r="O218" s="2787"/>
      <c r="P218" s="2787"/>
      <c r="Q218" s="516">
        <v>10</v>
      </c>
      <c r="R218" s="516" t="s">
        <v>23</v>
      </c>
      <c r="S218" s="516">
        <v>20000</v>
      </c>
      <c r="T218" s="516" t="s">
        <v>0</v>
      </c>
      <c r="U218" s="516"/>
      <c r="V218" s="516">
        <v>20</v>
      </c>
      <c r="W218" s="516" t="s">
        <v>3</v>
      </c>
      <c r="X218" s="517" t="s">
        <v>1</v>
      </c>
      <c r="Y218" s="636">
        <f t="shared" si="76"/>
        <v>4000</v>
      </c>
      <c r="Z218" s="1265">
        <f>Q218*S218*V218</f>
        <v>4000000</v>
      </c>
      <c r="AA218" s="305"/>
      <c r="AB218" s="305"/>
      <c r="AC218" s="2557"/>
    </row>
    <row r="219" spans="1:29" s="2849" customFormat="1" ht="22.5" customHeight="1">
      <c r="A219" s="411"/>
      <c r="B219" s="412"/>
      <c r="C219" s="1671"/>
      <c r="D219" s="3314" t="s">
        <v>5077</v>
      </c>
      <c r="E219" s="3314"/>
      <c r="F219" s="382">
        <f>SUM(F220:F226)</f>
        <v>0</v>
      </c>
      <c r="G219" s="382">
        <f>SUM(G220:G226)</f>
        <v>150000</v>
      </c>
      <c r="H219" s="468">
        <f>F219-G219</f>
        <v>-150000</v>
      </c>
      <c r="I219" s="2559"/>
      <c r="J219" s="1135" t="s">
        <v>6103</v>
      </c>
      <c r="K219" s="3089"/>
      <c r="L219" s="3089"/>
      <c r="M219" s="3089"/>
      <c r="N219" s="3089"/>
      <c r="O219" s="3089"/>
      <c r="P219" s="3089"/>
      <c r="Q219" s="3089"/>
      <c r="R219" s="395"/>
      <c r="S219" s="1136"/>
      <c r="T219" s="1136"/>
      <c r="U219" s="1136"/>
      <c r="V219" s="1136"/>
      <c r="W219" s="1136"/>
      <c r="X219" s="1138"/>
      <c r="Y219" s="377"/>
      <c r="Z219" s="1819"/>
      <c r="AA219" s="305"/>
      <c r="AB219" s="305"/>
      <c r="AC219" s="2557"/>
    </row>
    <row r="220" spans="1:29" s="2849" customFormat="1" ht="22.5" hidden="1" customHeight="1">
      <c r="A220" s="411"/>
      <c r="B220" s="412"/>
      <c r="C220" s="1671"/>
      <c r="D220" s="1131"/>
      <c r="E220" s="389" t="s">
        <v>118</v>
      </c>
      <c r="F220" s="383">
        <f>Y220</f>
        <v>0</v>
      </c>
      <c r="G220" s="383">
        <v>12000</v>
      </c>
      <c r="H220" s="404">
        <f t="shared" ref="H220:H228" si="81">F220-G220</f>
        <v>-12000</v>
      </c>
      <c r="I220" s="2559"/>
      <c r="J220" s="2851"/>
      <c r="Q220" s="408"/>
      <c r="R220" s="2850"/>
      <c r="S220" s="1672"/>
      <c r="T220" s="2852"/>
      <c r="U220" s="2852"/>
      <c r="V220" s="2852"/>
      <c r="W220" s="2852"/>
      <c r="X220" s="1140"/>
      <c r="Y220" s="1674"/>
      <c r="Z220" s="1823"/>
      <c r="AA220" s="305"/>
      <c r="AB220" s="305"/>
      <c r="AC220" s="2557"/>
    </row>
    <row r="221" spans="1:29" s="2849" customFormat="1" ht="22.5" hidden="1" customHeight="1">
      <c r="A221" s="411"/>
      <c r="B221" s="412"/>
      <c r="C221" s="1671"/>
      <c r="D221" s="1131"/>
      <c r="E221" s="1134" t="s">
        <v>73</v>
      </c>
      <c r="F221" s="383">
        <f>Y221</f>
        <v>0</v>
      </c>
      <c r="G221" s="383">
        <v>6000</v>
      </c>
      <c r="H221" s="404">
        <f t="shared" si="81"/>
        <v>-6000</v>
      </c>
      <c r="I221" s="2559"/>
      <c r="J221" s="2851"/>
      <c r="R221" s="405"/>
      <c r="S221" s="1672"/>
      <c r="T221" s="2852"/>
      <c r="U221" s="2852"/>
      <c r="V221" s="2852"/>
      <c r="W221" s="2852"/>
      <c r="X221" s="1140"/>
      <c r="Y221" s="1674"/>
      <c r="Z221" s="1823"/>
      <c r="AA221" s="305"/>
      <c r="AB221" s="305"/>
      <c r="AC221" s="2557"/>
    </row>
    <row r="222" spans="1:29" s="2849" customFormat="1" ht="22.5" hidden="1" customHeight="1">
      <c r="A222" s="411"/>
      <c r="B222" s="412"/>
      <c r="C222" s="1671"/>
      <c r="D222" s="1131"/>
      <c r="E222" s="389" t="s">
        <v>84</v>
      </c>
      <c r="F222" s="383">
        <f t="shared" ref="F222:F226" si="82">Y222</f>
        <v>0</v>
      </c>
      <c r="G222" s="383">
        <v>2000</v>
      </c>
      <c r="H222" s="404">
        <f t="shared" si="81"/>
        <v>-2000</v>
      </c>
      <c r="I222" s="2559"/>
      <c r="J222" s="2851"/>
      <c r="Q222" s="2852"/>
      <c r="R222" s="2852"/>
      <c r="S222" s="2852"/>
      <c r="T222" s="2852"/>
      <c r="U222" s="2852"/>
      <c r="V222" s="2852"/>
      <c r="W222" s="2852"/>
      <c r="X222" s="1140"/>
      <c r="Y222" s="1674"/>
      <c r="Z222" s="1823"/>
      <c r="AA222" s="305"/>
      <c r="AB222" s="305"/>
      <c r="AC222" s="2557"/>
    </row>
    <row r="223" spans="1:29" s="2849" customFormat="1" ht="22.5" hidden="1" customHeight="1">
      <c r="A223" s="411"/>
      <c r="B223" s="412"/>
      <c r="C223" s="1671"/>
      <c r="D223" s="1131"/>
      <c r="E223" s="389" t="s">
        <v>52</v>
      </c>
      <c r="F223" s="383">
        <f t="shared" si="82"/>
        <v>0</v>
      </c>
      <c r="G223" s="383">
        <v>2400</v>
      </c>
      <c r="H223" s="404">
        <f t="shared" si="81"/>
        <v>-2400</v>
      </c>
      <c r="I223" s="2559"/>
      <c r="J223" s="2851"/>
      <c r="R223" s="405"/>
      <c r="S223" s="1672"/>
      <c r="T223" s="2852"/>
      <c r="U223" s="2852"/>
      <c r="V223" s="2852"/>
      <c r="W223" s="2852"/>
      <c r="X223" s="1140"/>
      <c r="Y223" s="1674"/>
      <c r="Z223" s="1823"/>
      <c r="AA223" s="305"/>
      <c r="AB223" s="305"/>
      <c r="AC223" s="2557"/>
    </row>
    <row r="224" spans="1:29" s="2849" customFormat="1" ht="22.5" hidden="1" customHeight="1">
      <c r="A224" s="411"/>
      <c r="B224" s="412"/>
      <c r="C224" s="1671"/>
      <c r="D224" s="1131"/>
      <c r="E224" s="389" t="s">
        <v>208</v>
      </c>
      <c r="F224" s="383">
        <f t="shared" si="82"/>
        <v>0</v>
      </c>
      <c r="G224" s="383">
        <v>124000</v>
      </c>
      <c r="H224" s="404">
        <f t="shared" si="81"/>
        <v>-124000</v>
      </c>
      <c r="I224" s="2559"/>
      <c r="J224" s="2851"/>
      <c r="R224" s="405"/>
      <c r="S224" s="2852"/>
      <c r="T224" s="2852"/>
      <c r="U224" s="2852"/>
      <c r="V224" s="2852"/>
      <c r="W224" s="2852"/>
      <c r="X224" s="1140"/>
      <c r="Y224" s="1674"/>
      <c r="Z224" s="1823"/>
      <c r="AA224" s="305"/>
      <c r="AB224" s="305"/>
      <c r="AC224" s="2557"/>
    </row>
    <row r="225" spans="1:29" s="2849" customFormat="1" ht="22.5" hidden="1" customHeight="1">
      <c r="A225" s="411"/>
      <c r="B225" s="412"/>
      <c r="C225" s="1671"/>
      <c r="D225" s="1131"/>
      <c r="E225" s="1134" t="s">
        <v>54</v>
      </c>
      <c r="F225" s="383">
        <f t="shared" si="82"/>
        <v>0</v>
      </c>
      <c r="G225" s="383">
        <v>1400</v>
      </c>
      <c r="H225" s="404">
        <f t="shared" si="81"/>
        <v>-1400</v>
      </c>
      <c r="I225" s="2559"/>
      <c r="J225" s="2851"/>
      <c r="Q225" s="1673"/>
      <c r="R225" s="405"/>
      <c r="S225" s="2852"/>
      <c r="T225" s="2852"/>
      <c r="U225" s="2852"/>
      <c r="V225" s="2852"/>
      <c r="W225" s="2852"/>
      <c r="X225" s="1140"/>
      <c r="Y225" s="1674"/>
      <c r="Z225" s="1823"/>
      <c r="AA225" s="305"/>
      <c r="AB225" s="305"/>
      <c r="AC225" s="2557"/>
    </row>
    <row r="226" spans="1:29" s="2849" customFormat="1" ht="22.5" hidden="1" customHeight="1">
      <c r="A226" s="411"/>
      <c r="B226" s="412"/>
      <c r="C226" s="1671"/>
      <c r="D226" s="1131"/>
      <c r="E226" s="389" t="s">
        <v>55</v>
      </c>
      <c r="F226" s="383">
        <f t="shared" si="82"/>
        <v>0</v>
      </c>
      <c r="G226" s="383">
        <v>2200</v>
      </c>
      <c r="H226" s="404">
        <f t="shared" si="81"/>
        <v>-2200</v>
      </c>
      <c r="I226" s="2559"/>
      <c r="J226" s="2851"/>
      <c r="Q226" s="2852"/>
      <c r="R226" s="2852"/>
      <c r="S226" s="2852"/>
      <c r="T226" s="2852"/>
      <c r="U226" s="2852"/>
      <c r="V226" s="2852"/>
      <c r="W226" s="2852"/>
      <c r="X226" s="1140"/>
      <c r="Y226" s="1674"/>
      <c r="Z226" s="1823"/>
      <c r="AA226" s="305"/>
      <c r="AB226" s="305"/>
      <c r="AC226" s="2557"/>
    </row>
    <row r="227" spans="1:29" s="2282" customFormat="1" ht="23.45" customHeight="1">
      <c r="A227" s="411"/>
      <c r="B227" s="412"/>
      <c r="C227" s="3347" t="s">
        <v>1749</v>
      </c>
      <c r="D227" s="3347"/>
      <c r="E227" s="3267"/>
      <c r="F227" s="385">
        <f>F228+F247</f>
        <v>900000</v>
      </c>
      <c r="G227" s="385">
        <f>G228+G247</f>
        <v>900000</v>
      </c>
      <c r="H227" s="461">
        <f t="shared" si="81"/>
        <v>0</v>
      </c>
      <c r="I227" s="409"/>
      <c r="J227" s="1135"/>
      <c r="K227" s="2401"/>
      <c r="L227" s="2401"/>
      <c r="M227" s="2401"/>
      <c r="N227" s="2401"/>
      <c r="O227" s="2401"/>
      <c r="P227" s="2401"/>
      <c r="Q227" s="462"/>
      <c r="R227" s="395"/>
      <c r="S227" s="399"/>
      <c r="T227" s="1136"/>
      <c r="U227" s="1136"/>
      <c r="V227" s="1136"/>
      <c r="W227" s="1136"/>
      <c r="X227" s="1138"/>
      <c r="Y227" s="377"/>
      <c r="Z227" s="1448"/>
      <c r="AA227" s="305"/>
      <c r="AB227" s="305"/>
      <c r="AC227" s="166"/>
    </row>
    <row r="228" spans="1:29" s="2282" customFormat="1" ht="23.45" customHeight="1">
      <c r="A228" s="411"/>
      <c r="B228" s="412"/>
      <c r="C228" s="1671"/>
      <c r="D228" s="3266" t="s">
        <v>1750</v>
      </c>
      <c r="E228" s="3267"/>
      <c r="F228" s="382">
        <f>SUM(F229:F246)</f>
        <v>400000</v>
      </c>
      <c r="G228" s="382">
        <f>SUM(G229:G246)</f>
        <v>400000</v>
      </c>
      <c r="H228" s="461">
        <f t="shared" si="81"/>
        <v>0</v>
      </c>
      <c r="I228" s="398"/>
      <c r="J228" s="1135"/>
      <c r="K228" s="2401"/>
      <c r="L228" s="2401"/>
      <c r="M228" s="2401"/>
      <c r="N228" s="2401"/>
      <c r="O228" s="2401"/>
      <c r="P228" s="2401"/>
      <c r="Q228" s="2401"/>
      <c r="R228" s="395"/>
      <c r="S228" s="1136"/>
      <c r="T228" s="1136"/>
      <c r="U228" s="1136"/>
      <c r="V228" s="1136"/>
      <c r="W228" s="1136"/>
      <c r="X228" s="1138"/>
      <c r="Y228" s="377"/>
      <c r="Z228" s="1448"/>
      <c r="AA228" s="305"/>
      <c r="AB228" s="305"/>
      <c r="AC228" s="166"/>
    </row>
    <row r="229" spans="1:29" s="2282" customFormat="1" ht="23.45" customHeight="1">
      <c r="A229" s="396"/>
      <c r="B229" s="412"/>
      <c r="C229" s="1671"/>
      <c r="D229" s="1131"/>
      <c r="E229" s="389" t="s">
        <v>51</v>
      </c>
      <c r="F229" s="383">
        <f>Y229</f>
        <v>13500</v>
      </c>
      <c r="G229" s="383">
        <v>13500</v>
      </c>
      <c r="H229" s="404"/>
      <c r="I229" s="398"/>
      <c r="J229" s="2412" t="s">
        <v>8</v>
      </c>
      <c r="K229" s="2405"/>
      <c r="L229" s="2405"/>
      <c r="M229" s="2405"/>
      <c r="N229" s="2405"/>
      <c r="O229" s="2405"/>
      <c r="P229" s="2405"/>
      <c r="Q229" s="1673" t="s">
        <v>19</v>
      </c>
      <c r="R229" s="405" t="s">
        <v>19</v>
      </c>
      <c r="S229" s="1672"/>
      <c r="T229" s="2413"/>
      <c r="U229" s="2413"/>
      <c r="V229" s="2413"/>
      <c r="W229" s="2413"/>
      <c r="X229" s="1140"/>
      <c r="Y229" s="1674">
        <f t="shared" ref="Y229:Y246" si="83">Z229/1000</f>
        <v>13500</v>
      </c>
      <c r="Z229" s="1098">
        <f>+Z230+Z231</f>
        <v>13500000</v>
      </c>
      <c r="AA229" s="305"/>
      <c r="AB229" s="305"/>
      <c r="AC229" s="166"/>
    </row>
    <row r="230" spans="1:29" s="1835" customFormat="1" ht="23.45" customHeight="1">
      <c r="A230" s="1290"/>
      <c r="B230" s="412"/>
      <c r="C230" s="1671"/>
      <c r="D230" s="1131"/>
      <c r="E230" s="389"/>
      <c r="F230" s="383"/>
      <c r="G230" s="383"/>
      <c r="H230" s="404"/>
      <c r="I230" s="398"/>
      <c r="J230" s="2412" t="s">
        <v>1751</v>
      </c>
      <c r="K230" s="2405"/>
      <c r="L230" s="2405"/>
      <c r="M230" s="2405"/>
      <c r="N230" s="2405"/>
      <c r="O230" s="2405"/>
      <c r="P230" s="2405"/>
      <c r="Q230" s="2405"/>
      <c r="R230" s="405"/>
      <c r="S230" s="2413">
        <v>7500000</v>
      </c>
      <c r="T230" s="2413" t="s">
        <v>0</v>
      </c>
      <c r="U230" s="2413"/>
      <c r="V230" s="2413">
        <v>1</v>
      </c>
      <c r="W230" s="2413" t="s">
        <v>6</v>
      </c>
      <c r="X230" s="1140" t="s">
        <v>1</v>
      </c>
      <c r="Y230" s="1674">
        <f t="shared" si="83"/>
        <v>7500</v>
      </c>
      <c r="Z230" s="1098">
        <f>S230*V230</f>
        <v>7500000</v>
      </c>
      <c r="AA230" s="305"/>
      <c r="AB230" s="305"/>
      <c r="AC230" s="166"/>
    </row>
    <row r="231" spans="1:29" s="1835" customFormat="1" ht="23.45" customHeight="1">
      <c r="A231" s="1290"/>
      <c r="B231" s="412"/>
      <c r="C231" s="1671"/>
      <c r="D231" s="1131"/>
      <c r="E231" s="389"/>
      <c r="F231" s="383"/>
      <c r="G231" s="383"/>
      <c r="H231" s="404"/>
      <c r="I231" s="398"/>
      <c r="J231" s="2412" t="s">
        <v>1752</v>
      </c>
      <c r="K231" s="2405"/>
      <c r="L231" s="2405"/>
      <c r="M231" s="2405"/>
      <c r="N231" s="2405"/>
      <c r="O231" s="2405"/>
      <c r="P231" s="2405"/>
      <c r="Q231" s="2405"/>
      <c r="R231" s="405"/>
      <c r="S231" s="2413">
        <v>3000000</v>
      </c>
      <c r="T231" s="2413" t="s">
        <v>0</v>
      </c>
      <c r="U231" s="2413"/>
      <c r="V231" s="2413">
        <v>2</v>
      </c>
      <c r="W231" s="2413" t="s">
        <v>6</v>
      </c>
      <c r="X231" s="1140" t="s">
        <v>1</v>
      </c>
      <c r="Y231" s="1674">
        <f t="shared" si="83"/>
        <v>6000</v>
      </c>
      <c r="Z231" s="1098">
        <f>S231*V231</f>
        <v>6000000</v>
      </c>
      <c r="AA231" s="305"/>
      <c r="AB231" s="305"/>
      <c r="AC231" s="166"/>
    </row>
    <row r="232" spans="1:29" s="1835" customFormat="1" ht="23.45" customHeight="1">
      <c r="A232" s="1290"/>
      <c r="B232" s="412"/>
      <c r="C232" s="1671"/>
      <c r="D232" s="1131"/>
      <c r="E232" s="389" t="s">
        <v>73</v>
      </c>
      <c r="F232" s="383">
        <f>Y232</f>
        <v>1000</v>
      </c>
      <c r="G232" s="383">
        <v>1000</v>
      </c>
      <c r="H232" s="404"/>
      <c r="I232" s="398"/>
      <c r="J232" s="2412" t="s">
        <v>210</v>
      </c>
      <c r="K232" s="2405"/>
      <c r="L232" s="2405"/>
      <c r="M232" s="2405"/>
      <c r="N232" s="2405"/>
      <c r="O232" s="2405"/>
      <c r="P232" s="2405"/>
      <c r="Q232" s="2413"/>
      <c r="R232" s="2413"/>
      <c r="S232" s="1673">
        <v>500000</v>
      </c>
      <c r="T232" s="2413" t="s">
        <v>0</v>
      </c>
      <c r="U232" s="2413"/>
      <c r="V232" s="2413">
        <v>2</v>
      </c>
      <c r="W232" s="2413" t="s">
        <v>3</v>
      </c>
      <c r="X232" s="1140" t="s">
        <v>1</v>
      </c>
      <c r="Y232" s="1674">
        <f t="shared" si="83"/>
        <v>1000</v>
      </c>
      <c r="Z232" s="1098">
        <f>S232*V232</f>
        <v>1000000</v>
      </c>
      <c r="AA232" s="305"/>
      <c r="AB232" s="305"/>
      <c r="AC232" s="166"/>
    </row>
    <row r="233" spans="1:29" s="1835" customFormat="1" ht="23.45" customHeight="1">
      <c r="A233" s="1290"/>
      <c r="B233" s="412"/>
      <c r="C233" s="1671"/>
      <c r="D233" s="1131"/>
      <c r="E233" s="389" t="s">
        <v>84</v>
      </c>
      <c r="F233" s="383">
        <f>Y233</f>
        <v>2000</v>
      </c>
      <c r="G233" s="383">
        <v>2000</v>
      </c>
      <c r="H233" s="404"/>
      <c r="I233" s="398"/>
      <c r="J233" s="2412" t="s">
        <v>240</v>
      </c>
      <c r="K233" s="2405"/>
      <c r="L233" s="2405"/>
      <c r="M233" s="2405"/>
      <c r="N233" s="2405"/>
      <c r="O233" s="2405"/>
      <c r="P233" s="2405"/>
      <c r="Q233" s="2413">
        <v>2</v>
      </c>
      <c r="R233" s="2413" t="s">
        <v>23</v>
      </c>
      <c r="S233" s="2413">
        <v>20000</v>
      </c>
      <c r="T233" s="2413" t="s">
        <v>0</v>
      </c>
      <c r="U233" s="2413"/>
      <c r="V233" s="2413">
        <v>50</v>
      </c>
      <c r="W233" s="2413" t="s">
        <v>3</v>
      </c>
      <c r="X233" s="1140" t="s">
        <v>1</v>
      </c>
      <c r="Y233" s="1674">
        <f t="shared" si="83"/>
        <v>2000</v>
      </c>
      <c r="Z233" s="1098">
        <f>Q233*S233*V233</f>
        <v>2000000</v>
      </c>
      <c r="AA233" s="305"/>
      <c r="AB233" s="305"/>
      <c r="AC233" s="166"/>
    </row>
    <row r="234" spans="1:29" s="1835" customFormat="1" ht="23.45" customHeight="1">
      <c r="A234" s="1290"/>
      <c r="B234" s="412"/>
      <c r="C234" s="1671"/>
      <c r="D234" s="1131"/>
      <c r="E234" s="389" t="s">
        <v>52</v>
      </c>
      <c r="F234" s="383">
        <f>Y234</f>
        <v>11000</v>
      </c>
      <c r="G234" s="383">
        <v>11000</v>
      </c>
      <c r="H234" s="404"/>
      <c r="I234" s="398"/>
      <c r="J234" s="2412" t="s">
        <v>8</v>
      </c>
      <c r="K234" s="2405"/>
      <c r="L234" s="2405"/>
      <c r="M234" s="2405"/>
      <c r="N234" s="2405"/>
      <c r="O234" s="2405"/>
      <c r="P234" s="2405"/>
      <c r="Q234" s="2413"/>
      <c r="R234" s="2413"/>
      <c r="S234" s="2413"/>
      <c r="T234" s="2413"/>
      <c r="U234" s="2413"/>
      <c r="V234" s="2413"/>
      <c r="W234" s="2413"/>
      <c r="X234" s="1140"/>
      <c r="Y234" s="1674">
        <f t="shared" si="83"/>
        <v>11000</v>
      </c>
      <c r="Z234" s="1098">
        <f>+Z235+Z236+Z237</f>
        <v>11000000</v>
      </c>
      <c r="AA234" s="305"/>
      <c r="AB234" s="305"/>
      <c r="AC234" s="166"/>
    </row>
    <row r="235" spans="1:29" s="1835" customFormat="1" ht="23.45" customHeight="1">
      <c r="A235" s="1290"/>
      <c r="B235" s="412"/>
      <c r="C235" s="1671"/>
      <c r="D235" s="1131"/>
      <c r="E235" s="389"/>
      <c r="F235" s="383"/>
      <c r="G235" s="383"/>
      <c r="H235" s="404"/>
      <c r="I235" s="398"/>
      <c r="J235" s="2412" t="s">
        <v>246</v>
      </c>
      <c r="K235" s="2405"/>
      <c r="L235" s="2405"/>
      <c r="M235" s="2405"/>
      <c r="N235" s="2405"/>
      <c r="O235" s="2405"/>
      <c r="P235" s="2405"/>
      <c r="Q235" s="2413">
        <v>5</v>
      </c>
      <c r="R235" s="2413" t="s">
        <v>23</v>
      </c>
      <c r="S235" s="2413">
        <v>200000</v>
      </c>
      <c r="T235" s="2413" t="s">
        <v>0</v>
      </c>
      <c r="U235" s="2413"/>
      <c r="V235" s="2413">
        <v>3</v>
      </c>
      <c r="W235" s="2413" t="s">
        <v>3</v>
      </c>
      <c r="X235" s="1140" t="s">
        <v>1</v>
      </c>
      <c r="Y235" s="1674">
        <f t="shared" si="83"/>
        <v>3000</v>
      </c>
      <c r="Z235" s="1098">
        <f>Q235*S235*V235</f>
        <v>3000000</v>
      </c>
      <c r="AA235" s="305"/>
      <c r="AB235" s="305"/>
      <c r="AC235" s="166"/>
    </row>
    <row r="236" spans="1:29" s="1835" customFormat="1" ht="23.45" customHeight="1">
      <c r="A236" s="1290"/>
      <c r="B236" s="412"/>
      <c r="C236" s="1671"/>
      <c r="D236" s="1131"/>
      <c r="E236" s="389"/>
      <c r="F236" s="383"/>
      <c r="G236" s="383"/>
      <c r="H236" s="404"/>
      <c r="I236" s="398"/>
      <c r="J236" s="2412" t="s">
        <v>1754</v>
      </c>
      <c r="K236" s="2405"/>
      <c r="L236" s="2405"/>
      <c r="M236" s="2405"/>
      <c r="N236" s="2405"/>
      <c r="O236" s="2405"/>
      <c r="P236" s="2405"/>
      <c r="Q236" s="2413">
        <v>5</v>
      </c>
      <c r="R236" s="2413" t="s">
        <v>23</v>
      </c>
      <c r="S236" s="2413">
        <v>200000</v>
      </c>
      <c r="T236" s="2413" t="s">
        <v>0</v>
      </c>
      <c r="U236" s="2413"/>
      <c r="V236" s="2413">
        <v>4</v>
      </c>
      <c r="W236" s="2413" t="s">
        <v>3</v>
      </c>
      <c r="X236" s="1140" t="s">
        <v>1</v>
      </c>
      <c r="Y236" s="1674">
        <f t="shared" si="83"/>
        <v>4000</v>
      </c>
      <c r="Z236" s="1098">
        <f>Q236*S236*V236</f>
        <v>4000000</v>
      </c>
      <c r="AA236" s="305"/>
      <c r="AB236" s="305"/>
      <c r="AC236" s="166"/>
    </row>
    <row r="237" spans="1:29" s="1835" customFormat="1" ht="23.45" customHeight="1">
      <c r="A237" s="1290"/>
      <c r="B237" s="412"/>
      <c r="C237" s="1671"/>
      <c r="D237" s="1131"/>
      <c r="E237" s="389"/>
      <c r="F237" s="383"/>
      <c r="G237" s="383"/>
      <c r="H237" s="404"/>
      <c r="I237" s="398"/>
      <c r="J237" s="2412" t="s">
        <v>1755</v>
      </c>
      <c r="K237" s="2405"/>
      <c r="L237" s="2405"/>
      <c r="M237" s="2405"/>
      <c r="N237" s="2405"/>
      <c r="O237" s="2405"/>
      <c r="P237" s="2405"/>
      <c r="Q237" s="2413">
        <v>5</v>
      </c>
      <c r="R237" s="2413" t="s">
        <v>23</v>
      </c>
      <c r="S237" s="2413">
        <v>200000</v>
      </c>
      <c r="T237" s="2413" t="s">
        <v>0</v>
      </c>
      <c r="U237" s="2413"/>
      <c r="V237" s="2413">
        <v>4</v>
      </c>
      <c r="W237" s="2413" t="s">
        <v>3</v>
      </c>
      <c r="X237" s="1140" t="s">
        <v>1</v>
      </c>
      <c r="Y237" s="1674">
        <f t="shared" si="83"/>
        <v>4000</v>
      </c>
      <c r="Z237" s="1098">
        <f>Q237*S237*V237</f>
        <v>4000000</v>
      </c>
      <c r="AA237" s="305"/>
      <c r="AB237" s="305"/>
      <c r="AC237" s="166"/>
    </row>
    <row r="238" spans="1:29" s="1835" customFormat="1" ht="23.45" customHeight="1">
      <c r="A238" s="1290"/>
      <c r="B238" s="412"/>
      <c r="C238" s="1671"/>
      <c r="D238" s="1131"/>
      <c r="E238" s="389" t="s">
        <v>65</v>
      </c>
      <c r="F238" s="383">
        <f>Y238</f>
        <v>8000</v>
      </c>
      <c r="G238" s="383">
        <v>8000</v>
      </c>
      <c r="H238" s="404"/>
      <c r="I238" s="398"/>
      <c r="J238" s="2412" t="s">
        <v>1756</v>
      </c>
      <c r="K238" s="2405"/>
      <c r="L238" s="2405"/>
      <c r="M238" s="2405"/>
      <c r="N238" s="2405"/>
      <c r="O238" s="2405"/>
      <c r="P238" s="2405"/>
      <c r="Q238" s="2405"/>
      <c r="R238" s="405"/>
      <c r="S238" s="1673">
        <v>4000000</v>
      </c>
      <c r="T238" s="2413" t="s">
        <v>0</v>
      </c>
      <c r="U238" s="2413"/>
      <c r="V238" s="2413">
        <v>2</v>
      </c>
      <c r="W238" s="2413" t="s">
        <v>6</v>
      </c>
      <c r="X238" s="1140" t="s">
        <v>1</v>
      </c>
      <c r="Y238" s="1674">
        <f t="shared" si="83"/>
        <v>8000</v>
      </c>
      <c r="Z238" s="1098">
        <f>S238*V238</f>
        <v>8000000</v>
      </c>
      <c r="AA238" s="305"/>
      <c r="AB238" s="305"/>
      <c r="AC238" s="166"/>
    </row>
    <row r="239" spans="1:29" s="1835" customFormat="1" ht="23.45" customHeight="1">
      <c r="A239" s="1290"/>
      <c r="B239" s="412"/>
      <c r="C239" s="1671"/>
      <c r="D239" s="1131"/>
      <c r="E239" s="389" t="s">
        <v>208</v>
      </c>
      <c r="F239" s="383">
        <f>Y239</f>
        <v>360000</v>
      </c>
      <c r="G239" s="383">
        <v>360000</v>
      </c>
      <c r="H239" s="404"/>
      <c r="I239" s="398"/>
      <c r="J239" s="2412" t="s">
        <v>8</v>
      </c>
      <c r="K239" s="2405"/>
      <c r="L239" s="2405"/>
      <c r="M239" s="2405"/>
      <c r="N239" s="2405"/>
      <c r="O239" s="2405"/>
      <c r="P239" s="2405"/>
      <c r="Q239" s="2413"/>
      <c r="R239" s="2413"/>
      <c r="S239" s="1673"/>
      <c r="T239" s="2413"/>
      <c r="U239" s="2413"/>
      <c r="V239" s="2413"/>
      <c r="W239" s="2413"/>
      <c r="X239" s="1140"/>
      <c r="Y239" s="1674">
        <f t="shared" si="83"/>
        <v>360000</v>
      </c>
      <c r="Z239" s="1098">
        <f>+Z240+Z242+Z243+Z241</f>
        <v>360000000</v>
      </c>
      <c r="AA239" s="305"/>
      <c r="AB239" s="305"/>
      <c r="AC239" s="166"/>
    </row>
    <row r="240" spans="1:29" s="1835" customFormat="1" ht="23.45" customHeight="1">
      <c r="A240" s="1290"/>
      <c r="B240" s="412"/>
      <c r="C240" s="1671"/>
      <c r="D240" s="1131"/>
      <c r="E240" s="389"/>
      <c r="F240" s="383"/>
      <c r="G240" s="383"/>
      <c r="H240" s="404"/>
      <c r="I240" s="398"/>
      <c r="J240" s="1670" t="s">
        <v>245</v>
      </c>
      <c r="K240" s="2405"/>
      <c r="L240" s="2405"/>
      <c r="M240" s="2405"/>
      <c r="N240" s="2405"/>
      <c r="O240" s="2405"/>
      <c r="P240" s="2405"/>
      <c r="Q240" s="2413">
        <v>4</v>
      </c>
      <c r="R240" s="2413" t="s">
        <v>1741</v>
      </c>
      <c r="S240" s="1673">
        <v>40000000</v>
      </c>
      <c r="T240" s="2413" t="s">
        <v>0</v>
      </c>
      <c r="U240" s="2413"/>
      <c r="V240" s="2413">
        <v>1</v>
      </c>
      <c r="W240" s="2413" t="s">
        <v>1721</v>
      </c>
      <c r="X240" s="1140" t="s">
        <v>1</v>
      </c>
      <c r="Y240" s="1674">
        <f t="shared" si="83"/>
        <v>160000</v>
      </c>
      <c r="Z240" s="1098">
        <f>Q240*S240*V240</f>
        <v>160000000</v>
      </c>
      <c r="AA240" s="305"/>
      <c r="AB240" s="305"/>
      <c r="AC240" s="166"/>
    </row>
    <row r="241" spans="1:29" s="1835" customFormat="1" ht="23.45" customHeight="1">
      <c r="A241" s="1290"/>
      <c r="B241" s="412"/>
      <c r="C241" s="1671"/>
      <c r="D241" s="1131"/>
      <c r="E241" s="389"/>
      <c r="F241" s="383"/>
      <c r="G241" s="383"/>
      <c r="H241" s="404"/>
      <c r="I241" s="398"/>
      <c r="J241" s="1670"/>
      <c r="K241" s="2405"/>
      <c r="L241" s="2405"/>
      <c r="M241" s="2405"/>
      <c r="N241" s="2405"/>
      <c r="O241" s="2405"/>
      <c r="P241" s="2405"/>
      <c r="Q241" s="2413">
        <v>1</v>
      </c>
      <c r="R241" s="2413" t="s">
        <v>1741</v>
      </c>
      <c r="S241" s="1673">
        <v>30000000</v>
      </c>
      <c r="T241" s="2413" t="s">
        <v>0</v>
      </c>
      <c r="U241" s="2413"/>
      <c r="V241" s="2413">
        <v>1</v>
      </c>
      <c r="W241" s="2413" t="s">
        <v>1721</v>
      </c>
      <c r="X241" s="1140" t="s">
        <v>1</v>
      </c>
      <c r="Y241" s="1674">
        <f t="shared" si="83"/>
        <v>30000</v>
      </c>
      <c r="Z241" s="1098">
        <f>Q241*S241*V241</f>
        <v>30000000</v>
      </c>
      <c r="AA241" s="305"/>
      <c r="AB241" s="305"/>
      <c r="AC241" s="166"/>
    </row>
    <row r="242" spans="1:29" s="1835" customFormat="1" ht="23.45" customHeight="1">
      <c r="A242" s="1290"/>
      <c r="B242" s="412"/>
      <c r="C242" s="1671"/>
      <c r="D242" s="1131"/>
      <c r="E242" s="389"/>
      <c r="F242" s="383"/>
      <c r="G242" s="383"/>
      <c r="H242" s="404"/>
      <c r="I242" s="398"/>
      <c r="J242" s="1670" t="s">
        <v>1757</v>
      </c>
      <c r="K242" s="2405"/>
      <c r="L242" s="2405"/>
      <c r="M242" s="2405"/>
      <c r="N242" s="2405"/>
      <c r="O242" s="2405"/>
      <c r="P242" s="2405"/>
      <c r="Q242" s="2413">
        <v>2</v>
      </c>
      <c r="R242" s="2413" t="s">
        <v>1741</v>
      </c>
      <c r="S242" s="1673">
        <v>60000000</v>
      </c>
      <c r="T242" s="2413" t="s">
        <v>0</v>
      </c>
      <c r="U242" s="2413"/>
      <c r="V242" s="2413">
        <v>1</v>
      </c>
      <c r="W242" s="2413" t="s">
        <v>1721</v>
      </c>
      <c r="X242" s="1140" t="s">
        <v>1</v>
      </c>
      <c r="Y242" s="1674">
        <f t="shared" si="83"/>
        <v>120000</v>
      </c>
      <c r="Z242" s="1098">
        <f>Q242*S242*V242</f>
        <v>120000000</v>
      </c>
      <c r="AA242" s="305"/>
      <c r="AB242" s="305"/>
      <c r="AC242" s="166"/>
    </row>
    <row r="243" spans="1:29" s="1835" customFormat="1" ht="23.45" customHeight="1">
      <c r="A243" s="1290"/>
      <c r="B243" s="412"/>
      <c r="C243" s="1671"/>
      <c r="D243" s="1131"/>
      <c r="E243" s="389"/>
      <c r="F243" s="383"/>
      <c r="G243" s="383"/>
      <c r="H243" s="404"/>
      <c r="I243" s="398"/>
      <c r="J243" s="1670" t="s">
        <v>1758</v>
      </c>
      <c r="K243" s="2405"/>
      <c r="L243" s="2405"/>
      <c r="M243" s="2405"/>
      <c r="N243" s="2405"/>
      <c r="O243" s="2405"/>
      <c r="P243" s="2405"/>
      <c r="Q243" s="2413">
        <v>1</v>
      </c>
      <c r="R243" s="2413" t="s">
        <v>1741</v>
      </c>
      <c r="S243" s="1673">
        <v>50000000</v>
      </c>
      <c r="T243" s="2413" t="s">
        <v>0</v>
      </c>
      <c r="U243" s="2413"/>
      <c r="V243" s="2413">
        <v>1</v>
      </c>
      <c r="W243" s="2413" t="s">
        <v>1721</v>
      </c>
      <c r="X243" s="1140" t="s">
        <v>1</v>
      </c>
      <c r="Y243" s="1674">
        <f t="shared" si="83"/>
        <v>50000</v>
      </c>
      <c r="Z243" s="1098">
        <f>Q243*S243*V243</f>
        <v>50000000</v>
      </c>
      <c r="AA243" s="305"/>
      <c r="AB243" s="305"/>
      <c r="AC243" s="166"/>
    </row>
    <row r="244" spans="1:29" s="1835" customFormat="1" ht="23.45" customHeight="1">
      <c r="A244" s="1290"/>
      <c r="B244" s="412"/>
      <c r="C244" s="1671"/>
      <c r="D244" s="1131"/>
      <c r="E244" s="389" t="s">
        <v>297</v>
      </c>
      <c r="F244" s="383">
        <f>Y244</f>
        <v>1000</v>
      </c>
      <c r="G244" s="383">
        <v>1000</v>
      </c>
      <c r="H244" s="404"/>
      <c r="I244" s="2559"/>
      <c r="J244" s="2899" t="s">
        <v>625</v>
      </c>
      <c r="K244" s="2889"/>
      <c r="L244" s="2889"/>
      <c r="M244" s="2889"/>
      <c r="N244" s="2889"/>
      <c r="O244" s="2889"/>
      <c r="P244" s="2889"/>
      <c r="Q244" s="2900"/>
      <c r="R244" s="2900"/>
      <c r="S244" s="1673">
        <v>5000</v>
      </c>
      <c r="T244" s="2900" t="s">
        <v>0</v>
      </c>
      <c r="U244" s="2900"/>
      <c r="V244" s="2900">
        <v>200</v>
      </c>
      <c r="W244" s="2900" t="s">
        <v>330</v>
      </c>
      <c r="X244" s="1140" t="s">
        <v>1</v>
      </c>
      <c r="Y244" s="1674">
        <f t="shared" ref="Y244" si="84">Z244/1000</f>
        <v>1000</v>
      </c>
      <c r="Z244" s="1098">
        <f>S244*V244</f>
        <v>1000000</v>
      </c>
      <c r="AA244" s="305"/>
      <c r="AB244" s="305"/>
      <c r="AC244" s="2557"/>
    </row>
    <row r="245" spans="1:29" s="1835" customFormat="1" ht="23.45" customHeight="1">
      <c r="A245" s="1290"/>
      <c r="B245" s="412"/>
      <c r="C245" s="413"/>
      <c r="D245" s="1131"/>
      <c r="E245" s="1134" t="s">
        <v>56</v>
      </c>
      <c r="F245" s="383">
        <f>Y245</f>
        <v>2000</v>
      </c>
      <c r="G245" s="383">
        <v>2000</v>
      </c>
      <c r="H245" s="404"/>
      <c r="I245" s="398"/>
      <c r="J245" s="2412" t="s">
        <v>1759</v>
      </c>
      <c r="K245" s="2405"/>
      <c r="L245" s="2405"/>
      <c r="M245" s="2405"/>
      <c r="N245" s="2405"/>
      <c r="O245" s="2405"/>
      <c r="P245" s="2405"/>
      <c r="Q245" s="1673" t="s">
        <v>19</v>
      </c>
      <c r="R245" s="405" t="s">
        <v>19</v>
      </c>
      <c r="S245" s="1672">
        <v>500000</v>
      </c>
      <c r="T245" s="2413" t="s">
        <v>0</v>
      </c>
      <c r="U245" s="2413"/>
      <c r="V245" s="2413">
        <v>4</v>
      </c>
      <c r="W245" s="2413" t="s">
        <v>3</v>
      </c>
      <c r="X245" s="1140" t="s">
        <v>1</v>
      </c>
      <c r="Y245" s="1674">
        <f t="shared" si="83"/>
        <v>2000</v>
      </c>
      <c r="Z245" s="1098">
        <f>S245*V245</f>
        <v>2000000</v>
      </c>
      <c r="AA245" s="305"/>
      <c r="AB245" s="305"/>
      <c r="AC245" s="166"/>
    </row>
    <row r="246" spans="1:29" s="1835" customFormat="1" ht="23.45" customHeight="1">
      <c r="A246" s="1290"/>
      <c r="B246" s="412"/>
      <c r="C246" s="465"/>
      <c r="D246" s="1131"/>
      <c r="E246" s="389" t="s">
        <v>55</v>
      </c>
      <c r="F246" s="383">
        <f>Y246</f>
        <v>1500</v>
      </c>
      <c r="G246" s="383">
        <v>1500</v>
      </c>
      <c r="H246" s="404"/>
      <c r="I246" s="398"/>
      <c r="J246" s="2412" t="s">
        <v>247</v>
      </c>
      <c r="K246" s="2405"/>
      <c r="L246" s="2405"/>
      <c r="M246" s="2405"/>
      <c r="N246" s="2405"/>
      <c r="O246" s="2405"/>
      <c r="P246" s="2405"/>
      <c r="Q246" s="2413">
        <v>10</v>
      </c>
      <c r="R246" s="2413" t="s">
        <v>23</v>
      </c>
      <c r="S246" s="2413">
        <v>10000</v>
      </c>
      <c r="T246" s="2413" t="s">
        <v>0</v>
      </c>
      <c r="U246" s="2413"/>
      <c r="V246" s="2413">
        <v>15</v>
      </c>
      <c r="W246" s="2413" t="s">
        <v>3</v>
      </c>
      <c r="X246" s="1140" t="s">
        <v>1</v>
      </c>
      <c r="Y246" s="1674">
        <f t="shared" si="83"/>
        <v>1500</v>
      </c>
      <c r="Z246" s="1098">
        <f>Q246*S246*V246</f>
        <v>1500000</v>
      </c>
      <c r="AA246" s="305"/>
      <c r="AB246" s="305"/>
      <c r="AC246" s="166"/>
    </row>
    <row r="247" spans="1:29" s="2562" customFormat="1" ht="23.45" customHeight="1">
      <c r="A247" s="2583"/>
      <c r="B247" s="2584"/>
      <c r="C247" s="1450"/>
      <c r="D247" s="3353" t="s">
        <v>3027</v>
      </c>
      <c r="E247" s="3343"/>
      <c r="F247" s="599">
        <f>SUM(F248:F252)</f>
        <v>500000</v>
      </c>
      <c r="G247" s="599">
        <f>SUM(G248:G252)</f>
        <v>500000</v>
      </c>
      <c r="H247" s="1683">
        <f t="shared" ref="H247" si="85">F247-G247</f>
        <v>0</v>
      </c>
      <c r="I247" s="1783"/>
      <c r="J247" s="1280"/>
      <c r="K247" s="1281"/>
      <c r="L247" s="1281"/>
      <c r="M247" s="1281"/>
      <c r="N247" s="1281"/>
      <c r="O247" s="1281"/>
      <c r="P247" s="2023"/>
      <c r="Q247" s="2023"/>
      <c r="R247" s="2585"/>
      <c r="S247" s="1284"/>
      <c r="T247" s="1285"/>
      <c r="U247" s="1285"/>
      <c r="V247" s="1285"/>
      <c r="W247" s="1285"/>
      <c r="X247" s="1286"/>
      <c r="Y247" s="2586"/>
      <c r="Z247" s="2587"/>
      <c r="AA247" s="583"/>
      <c r="AB247" s="583"/>
    </row>
    <row r="248" spans="1:29" s="1667" customFormat="1" ht="23.45" customHeight="1">
      <c r="A248" s="1670"/>
      <c r="B248" s="402"/>
      <c r="C248" s="1449"/>
      <c r="D248" s="2588"/>
      <c r="E248" s="389" t="s">
        <v>638</v>
      </c>
      <c r="F248" s="403">
        <f t="shared" ref="F248" si="86">Y248</f>
        <v>500000</v>
      </c>
      <c r="G248" s="403">
        <v>500000</v>
      </c>
      <c r="H248" s="404"/>
      <c r="I248" s="2559"/>
      <c r="J248" s="2899" t="s">
        <v>194</v>
      </c>
      <c r="K248" s="2579"/>
      <c r="L248" s="2579"/>
      <c r="M248" s="2579"/>
      <c r="N248" s="2579"/>
      <c r="O248" s="2579"/>
      <c r="P248" s="1671"/>
      <c r="Q248" s="1671"/>
      <c r="R248" s="405" t="s">
        <v>635</v>
      </c>
      <c r="S248" s="1672"/>
      <c r="T248" s="2582"/>
      <c r="U248" s="2582"/>
      <c r="V248" s="2582"/>
      <c r="W248" s="2582"/>
      <c r="X248" s="1140"/>
      <c r="Y248" s="406">
        <f>SUM(Y249:Y252)</f>
        <v>500000</v>
      </c>
      <c r="Z248" s="1098">
        <f>Z250+Z249+Z251+Z252</f>
        <v>500000000</v>
      </c>
      <c r="AA248" s="301"/>
      <c r="AB248" s="301"/>
    </row>
    <row r="249" spans="1:29" s="1667" customFormat="1" ht="23.45" customHeight="1">
      <c r="A249" s="1670"/>
      <c r="B249" s="402"/>
      <c r="C249" s="465"/>
      <c r="D249" s="2589"/>
      <c r="E249" s="389"/>
      <c r="F249" s="403"/>
      <c r="G249" s="403"/>
      <c r="H249" s="404"/>
      <c r="I249" s="2559"/>
      <c r="J249" s="2581" t="s">
        <v>3028</v>
      </c>
      <c r="K249" s="2579"/>
      <c r="L249" s="2579"/>
      <c r="M249" s="2579"/>
      <c r="N249" s="2579"/>
      <c r="O249" s="2579"/>
      <c r="P249" s="1671"/>
      <c r="Q249" s="1671"/>
      <c r="R249" s="405"/>
      <c r="S249" s="1672">
        <v>25000000</v>
      </c>
      <c r="T249" s="2582" t="s">
        <v>622</v>
      </c>
      <c r="U249" s="2582"/>
      <c r="V249" s="2582">
        <v>1</v>
      </c>
      <c r="W249" s="2582" t="s">
        <v>299</v>
      </c>
      <c r="X249" s="1140" t="s">
        <v>623</v>
      </c>
      <c r="Y249" s="406">
        <f t="shared" ref="Y249" si="87">Z249/1000</f>
        <v>25000</v>
      </c>
      <c r="Z249" s="1098">
        <f>S249*V249</f>
        <v>25000000</v>
      </c>
      <c r="AA249" s="301"/>
      <c r="AB249" s="301"/>
    </row>
    <row r="250" spans="1:29" s="1667" customFormat="1" ht="23.45" customHeight="1">
      <c r="A250" s="1670"/>
      <c r="B250" s="402"/>
      <c r="C250" s="465"/>
      <c r="D250" s="2589"/>
      <c r="E250" s="389"/>
      <c r="F250" s="403"/>
      <c r="G250" s="403"/>
      <c r="H250" s="404"/>
      <c r="I250" s="2559"/>
      <c r="J250" s="2581" t="s">
        <v>3029</v>
      </c>
      <c r="K250" s="2579"/>
      <c r="L250" s="2579"/>
      <c r="M250" s="2579"/>
      <c r="N250" s="2579"/>
      <c r="O250" s="2579"/>
      <c r="P250" s="1671"/>
      <c r="Q250" s="1671"/>
      <c r="R250" s="405"/>
      <c r="S250" s="1672">
        <v>250000000</v>
      </c>
      <c r="T250" s="2582" t="s">
        <v>622</v>
      </c>
      <c r="U250" s="2582"/>
      <c r="V250" s="2582">
        <v>1</v>
      </c>
      <c r="W250" s="2582" t="s">
        <v>299</v>
      </c>
      <c r="X250" s="1140" t="s">
        <v>623</v>
      </c>
      <c r="Y250" s="406">
        <f>Z250/1000</f>
        <v>250000</v>
      </c>
      <c r="Z250" s="1098">
        <f>S250*V250</f>
        <v>250000000</v>
      </c>
      <c r="AA250" s="301"/>
      <c r="AB250" s="301"/>
    </row>
    <row r="251" spans="1:29" s="1667" customFormat="1" ht="23.45" customHeight="1">
      <c r="A251" s="1670"/>
      <c r="B251" s="402"/>
      <c r="C251" s="465"/>
      <c r="D251" s="2589"/>
      <c r="E251" s="389"/>
      <c r="F251" s="403"/>
      <c r="G251" s="403"/>
      <c r="H251" s="404"/>
      <c r="I251" s="2559"/>
      <c r="J251" s="2581" t="s">
        <v>3031</v>
      </c>
      <c r="K251" s="2579"/>
      <c r="L251" s="2579"/>
      <c r="M251" s="2579"/>
      <c r="N251" s="2579"/>
      <c r="O251" s="2579"/>
      <c r="P251" s="1671"/>
      <c r="Q251" s="1671"/>
      <c r="R251" s="405"/>
      <c r="S251" s="1672">
        <v>50000000</v>
      </c>
      <c r="T251" s="2582" t="s">
        <v>622</v>
      </c>
      <c r="U251" s="2582"/>
      <c r="V251" s="2582">
        <v>1</v>
      </c>
      <c r="W251" s="2582" t="s">
        <v>299</v>
      </c>
      <c r="X251" s="1140" t="s">
        <v>623</v>
      </c>
      <c r="Y251" s="406">
        <f>Z251/1000</f>
        <v>50000</v>
      </c>
      <c r="Z251" s="1098">
        <f>S251*V251</f>
        <v>50000000</v>
      </c>
      <c r="AA251" s="301"/>
      <c r="AB251" s="301"/>
    </row>
    <row r="252" spans="1:29" s="1667" customFormat="1" ht="23.45" customHeight="1">
      <c r="A252" s="1670"/>
      <c r="B252" s="402"/>
      <c r="C252" s="465"/>
      <c r="D252" s="2590"/>
      <c r="E252" s="454"/>
      <c r="F252" s="600"/>
      <c r="G252" s="600"/>
      <c r="H252" s="820"/>
      <c r="I252" s="2591"/>
      <c r="J252" s="1627" t="s">
        <v>3030</v>
      </c>
      <c r="K252" s="2576"/>
      <c r="L252" s="2576"/>
      <c r="M252" s="2576"/>
      <c r="N252" s="2576"/>
      <c r="O252" s="2576"/>
      <c r="P252" s="371"/>
      <c r="Q252" s="371"/>
      <c r="R252" s="1325"/>
      <c r="S252" s="458">
        <v>175000000</v>
      </c>
      <c r="T252" s="459" t="s">
        <v>622</v>
      </c>
      <c r="U252" s="459"/>
      <c r="V252" s="459">
        <v>1</v>
      </c>
      <c r="W252" s="459" t="s">
        <v>299</v>
      </c>
      <c r="X252" s="460" t="s">
        <v>623</v>
      </c>
      <c r="Y252" s="549">
        <f t="shared" ref="Y252" si="88">Z252/1000</f>
        <v>175000</v>
      </c>
      <c r="Z252" s="1452">
        <f>S252*V252</f>
        <v>175000000</v>
      </c>
      <c r="AA252" s="301"/>
      <c r="AB252" s="301"/>
    </row>
    <row r="253" spans="1:29" s="1835" customFormat="1" ht="23.45" customHeight="1">
      <c r="A253" s="1290"/>
      <c r="B253" s="412"/>
      <c r="C253" s="3347" t="s">
        <v>3294</v>
      </c>
      <c r="D253" s="3347"/>
      <c r="E253" s="3267"/>
      <c r="F253" s="385">
        <f>F254</f>
        <v>65000</v>
      </c>
      <c r="G253" s="385">
        <f>G254</f>
        <v>65000</v>
      </c>
      <c r="H253" s="461">
        <f>F253-G253</f>
        <v>0</v>
      </c>
      <c r="I253" s="409"/>
      <c r="J253" s="1135"/>
      <c r="K253" s="2572"/>
      <c r="L253" s="2572"/>
      <c r="M253" s="2572"/>
      <c r="N253" s="2572"/>
      <c r="O253" s="2572"/>
      <c r="P253" s="2572"/>
      <c r="Q253" s="462"/>
      <c r="R253" s="395"/>
      <c r="S253" s="399"/>
      <c r="T253" s="1136"/>
      <c r="U253" s="1136"/>
      <c r="V253" s="1136"/>
      <c r="W253" s="1136"/>
      <c r="X253" s="1138"/>
      <c r="Y253" s="377"/>
      <c r="Z253" s="1448"/>
      <c r="AA253" s="305"/>
      <c r="AB253" s="305"/>
      <c r="AC253" s="166"/>
    </row>
    <row r="254" spans="1:29" s="1835" customFormat="1" ht="23.45" customHeight="1">
      <c r="A254" s="1290"/>
      <c r="B254" s="412"/>
      <c r="C254" s="402"/>
      <c r="D254" s="3280" t="s">
        <v>2964</v>
      </c>
      <c r="E254" s="3282"/>
      <c r="F254" s="1263">
        <f>SUM(F255:F261)</f>
        <v>65000</v>
      </c>
      <c r="G254" s="1263">
        <f>SUM(G255:G261)</f>
        <v>65000</v>
      </c>
      <c r="H254" s="2493">
        <f>F254-G254</f>
        <v>0</v>
      </c>
      <c r="I254" s="1333"/>
      <c r="J254" s="889"/>
      <c r="K254" s="2574"/>
      <c r="L254" s="2574"/>
      <c r="M254" s="2574"/>
      <c r="N254" s="2574"/>
      <c r="O254" s="2574"/>
      <c r="P254" s="2574"/>
      <c r="Q254" s="2574"/>
      <c r="R254" s="1120"/>
      <c r="S254" s="732"/>
      <c r="T254" s="732"/>
      <c r="U254" s="732"/>
      <c r="V254" s="732"/>
      <c r="W254" s="732"/>
      <c r="X254" s="891"/>
      <c r="Y254" s="704"/>
      <c r="Z254" s="2510"/>
      <c r="AA254" s="305"/>
      <c r="AB254" s="305"/>
      <c r="AC254" s="166"/>
    </row>
    <row r="255" spans="1:29" s="1835" customFormat="1" ht="23.45" customHeight="1">
      <c r="A255" s="1290"/>
      <c r="B255" s="412"/>
      <c r="C255" s="402"/>
      <c r="D255" s="1264"/>
      <c r="E255" s="888" t="s">
        <v>59</v>
      </c>
      <c r="F255" s="1185">
        <f t="shared" ref="F255:F256" si="89">Y255</f>
        <v>27950</v>
      </c>
      <c r="G255" s="1185">
        <v>27950</v>
      </c>
      <c r="H255" s="2511"/>
      <c r="I255" s="1333"/>
      <c r="J255" s="514" t="s">
        <v>3290</v>
      </c>
      <c r="K255" s="2573"/>
      <c r="L255" s="2573"/>
      <c r="M255" s="2573"/>
      <c r="N255" s="2573"/>
      <c r="O255" s="2573"/>
      <c r="P255" s="2573"/>
      <c r="Q255" s="635" t="s">
        <v>19</v>
      </c>
      <c r="R255" s="1187" t="s">
        <v>19</v>
      </c>
      <c r="S255" s="1686">
        <v>27950000</v>
      </c>
      <c r="T255" s="516" t="s">
        <v>264</v>
      </c>
      <c r="U255" s="516"/>
      <c r="V255" s="516">
        <v>1</v>
      </c>
      <c r="W255" s="516" t="s">
        <v>200</v>
      </c>
      <c r="X255" s="517" t="s">
        <v>1</v>
      </c>
      <c r="Y255" s="636">
        <f>SUM(S255*V255/1000)</f>
        <v>27950</v>
      </c>
      <c r="Z255" s="1265">
        <f>S255*V255</f>
        <v>27950000</v>
      </c>
      <c r="AA255" s="305"/>
      <c r="AB255" s="305"/>
      <c r="AC255" s="166"/>
    </row>
    <row r="256" spans="1:29" s="1835" customFormat="1" ht="23.45" customHeight="1">
      <c r="A256" s="1290"/>
      <c r="B256" s="412"/>
      <c r="C256" s="402"/>
      <c r="D256" s="509"/>
      <c r="E256" s="888" t="s">
        <v>224</v>
      </c>
      <c r="F256" s="1185">
        <f t="shared" si="89"/>
        <v>2000</v>
      </c>
      <c r="G256" s="1185">
        <v>2000</v>
      </c>
      <c r="H256" s="513"/>
      <c r="I256" s="1333"/>
      <c r="J256" s="514" t="s">
        <v>210</v>
      </c>
      <c r="K256" s="2880"/>
      <c r="L256" s="2880"/>
      <c r="M256" s="2880"/>
      <c r="N256" s="2880"/>
      <c r="O256" s="2880"/>
      <c r="P256" s="2880"/>
      <c r="Q256" s="516"/>
      <c r="R256" s="516"/>
      <c r="S256" s="635">
        <v>1000000</v>
      </c>
      <c r="T256" s="516" t="s">
        <v>0</v>
      </c>
      <c r="U256" s="516"/>
      <c r="V256" s="516">
        <v>2</v>
      </c>
      <c r="W256" s="516" t="s">
        <v>3</v>
      </c>
      <c r="X256" s="517" t="s">
        <v>1</v>
      </c>
      <c r="Y256" s="636">
        <f t="shared" ref="Y256" si="90">Z256/1000</f>
        <v>2000</v>
      </c>
      <c r="Z256" s="1265">
        <f>S256*V256</f>
        <v>2000000</v>
      </c>
      <c r="AA256" s="305"/>
      <c r="AB256" s="305"/>
      <c r="AC256" s="2557"/>
    </row>
    <row r="257" spans="1:29" s="1835" customFormat="1" ht="23.45" customHeight="1">
      <c r="A257" s="1290"/>
      <c r="B257" s="412"/>
      <c r="C257" s="402"/>
      <c r="D257" s="509"/>
      <c r="E257" s="888" t="s">
        <v>295</v>
      </c>
      <c r="F257" s="1185">
        <f>Y257</f>
        <v>16900</v>
      </c>
      <c r="G257" s="1185">
        <v>16900</v>
      </c>
      <c r="H257" s="513"/>
      <c r="I257" s="1333"/>
      <c r="J257" s="514" t="s">
        <v>2965</v>
      </c>
      <c r="K257" s="2573"/>
      <c r="L257" s="2573"/>
      <c r="M257" s="2573"/>
      <c r="N257" s="2573"/>
      <c r="O257" s="2573"/>
      <c r="P257" s="2573"/>
      <c r="Q257" s="516"/>
      <c r="R257" s="516"/>
      <c r="S257" s="635">
        <v>16900000</v>
      </c>
      <c r="T257" s="516" t="s">
        <v>0</v>
      </c>
      <c r="U257" s="516"/>
      <c r="V257" s="516">
        <v>1</v>
      </c>
      <c r="W257" s="516" t="s">
        <v>196</v>
      </c>
      <c r="X257" s="517" t="s">
        <v>1</v>
      </c>
      <c r="Y257" s="636">
        <f t="shared" ref="Y257:Y261" si="91">Z257/1000</f>
        <v>16900</v>
      </c>
      <c r="Z257" s="1265">
        <f>S257*V257</f>
        <v>16900000</v>
      </c>
      <c r="AA257" s="305"/>
      <c r="AB257" s="305"/>
      <c r="AC257" s="166"/>
    </row>
    <row r="258" spans="1:29" s="1835" customFormat="1" ht="23.45" customHeight="1">
      <c r="A258" s="1290"/>
      <c r="B258" s="412"/>
      <c r="C258" s="402"/>
      <c r="D258" s="509"/>
      <c r="E258" s="888" t="s">
        <v>65</v>
      </c>
      <c r="F258" s="1185">
        <f t="shared" ref="F258:F261" si="92">Y258</f>
        <v>12800</v>
      </c>
      <c r="G258" s="1185">
        <v>12800</v>
      </c>
      <c r="H258" s="513"/>
      <c r="I258" s="1333"/>
      <c r="J258" s="514" t="s">
        <v>2966</v>
      </c>
      <c r="K258" s="2573"/>
      <c r="L258" s="2573"/>
      <c r="M258" s="2573"/>
      <c r="N258" s="2573"/>
      <c r="O258" s="2573"/>
      <c r="P258" s="2573"/>
      <c r="Q258" s="2573"/>
      <c r="R258" s="1187"/>
      <c r="S258" s="635">
        <v>12800000</v>
      </c>
      <c r="T258" s="516" t="s">
        <v>0</v>
      </c>
      <c r="U258" s="516"/>
      <c r="V258" s="516">
        <v>1</v>
      </c>
      <c r="W258" s="516" t="s">
        <v>6</v>
      </c>
      <c r="X258" s="517" t="s">
        <v>1</v>
      </c>
      <c r="Y258" s="636">
        <f t="shared" si="91"/>
        <v>12800</v>
      </c>
      <c r="Z258" s="1265">
        <f>S258*V258</f>
        <v>12800000</v>
      </c>
      <c r="AA258" s="305"/>
      <c r="AB258" s="305"/>
      <c r="AC258" s="166"/>
    </row>
    <row r="259" spans="1:29" s="1835" customFormat="1" ht="23.45" customHeight="1">
      <c r="A259" s="1290"/>
      <c r="B259" s="412"/>
      <c r="C259" s="402"/>
      <c r="D259" s="509"/>
      <c r="E259" s="888" t="s">
        <v>297</v>
      </c>
      <c r="F259" s="1185">
        <f t="shared" ref="F259" si="93">Y259</f>
        <v>1350</v>
      </c>
      <c r="G259" s="1185">
        <v>1350</v>
      </c>
      <c r="H259" s="513"/>
      <c r="I259" s="1333"/>
      <c r="J259" s="514" t="s">
        <v>471</v>
      </c>
      <c r="K259" s="2880"/>
      <c r="L259" s="2880"/>
      <c r="M259" s="2880"/>
      <c r="N259" s="2880"/>
      <c r="O259" s="2880"/>
      <c r="P259" s="2880"/>
      <c r="Q259" s="516"/>
      <c r="R259" s="516"/>
      <c r="S259" s="516">
        <v>1350000</v>
      </c>
      <c r="T259" s="516" t="s">
        <v>0</v>
      </c>
      <c r="U259" s="516"/>
      <c r="V259" s="516">
        <v>1</v>
      </c>
      <c r="W259" s="516" t="s">
        <v>196</v>
      </c>
      <c r="X259" s="517" t="s">
        <v>1</v>
      </c>
      <c r="Y259" s="636">
        <f>SUM(S259*V259/1000)</f>
        <v>1350</v>
      </c>
      <c r="Z259" s="1265">
        <f>SUM(V259*S259)</f>
        <v>1350000</v>
      </c>
      <c r="AA259" s="305"/>
      <c r="AB259" s="305"/>
      <c r="AC259" s="2557"/>
    </row>
    <row r="260" spans="1:29" s="1835" customFormat="1" ht="23.45" customHeight="1">
      <c r="A260" s="1290"/>
      <c r="B260" s="412"/>
      <c r="C260" s="402"/>
      <c r="D260" s="509"/>
      <c r="E260" s="510" t="s">
        <v>56</v>
      </c>
      <c r="F260" s="1185">
        <f t="shared" si="92"/>
        <v>2000</v>
      </c>
      <c r="G260" s="1185">
        <v>2000</v>
      </c>
      <c r="H260" s="513"/>
      <c r="I260" s="1333"/>
      <c r="J260" s="514" t="s">
        <v>2967</v>
      </c>
      <c r="K260" s="2573"/>
      <c r="L260" s="2573"/>
      <c r="M260" s="2573"/>
      <c r="N260" s="2573"/>
      <c r="O260" s="2573"/>
      <c r="P260" s="2573"/>
      <c r="Q260" s="635" t="s">
        <v>19</v>
      </c>
      <c r="R260" s="1187" t="s">
        <v>19</v>
      </c>
      <c r="S260" s="1686">
        <v>500000</v>
      </c>
      <c r="T260" s="516" t="s">
        <v>0</v>
      </c>
      <c r="U260" s="516"/>
      <c r="V260" s="516">
        <v>4</v>
      </c>
      <c r="W260" s="516" t="s">
        <v>3</v>
      </c>
      <c r="X260" s="517" t="s">
        <v>1</v>
      </c>
      <c r="Y260" s="636">
        <f t="shared" si="91"/>
        <v>2000</v>
      </c>
      <c r="Z260" s="1265">
        <f>S260*V260</f>
        <v>2000000</v>
      </c>
      <c r="AA260" s="305"/>
      <c r="AB260" s="305"/>
      <c r="AC260" s="166"/>
    </row>
    <row r="261" spans="1:29" s="1835" customFormat="1" ht="23.45" customHeight="1" thickBot="1">
      <c r="A261" s="1290"/>
      <c r="B261" s="412"/>
      <c r="C261" s="402"/>
      <c r="D261" s="509"/>
      <c r="E261" s="888" t="s">
        <v>55</v>
      </c>
      <c r="F261" s="1185">
        <f t="shared" si="92"/>
        <v>2000</v>
      </c>
      <c r="G261" s="1185">
        <v>2000</v>
      </c>
      <c r="H261" s="2512"/>
      <c r="I261" s="1333"/>
      <c r="J261" s="514" t="s">
        <v>247</v>
      </c>
      <c r="K261" s="2573"/>
      <c r="L261" s="2573"/>
      <c r="M261" s="2573"/>
      <c r="N261" s="2573"/>
      <c r="O261" s="2573"/>
      <c r="P261" s="2573"/>
      <c r="Q261" s="516">
        <v>10</v>
      </c>
      <c r="R261" s="516" t="s">
        <v>23</v>
      </c>
      <c r="S261" s="516">
        <v>10000</v>
      </c>
      <c r="T261" s="516" t="s">
        <v>0</v>
      </c>
      <c r="U261" s="516"/>
      <c r="V261" s="516">
        <v>20</v>
      </c>
      <c r="W261" s="516" t="s">
        <v>3</v>
      </c>
      <c r="X261" s="517" t="s">
        <v>1</v>
      </c>
      <c r="Y261" s="636">
        <f t="shared" si="91"/>
        <v>2000</v>
      </c>
      <c r="Z261" s="1265">
        <f>Q261*S261*V261</f>
        <v>2000000</v>
      </c>
      <c r="AA261" s="305"/>
      <c r="AB261" s="305"/>
      <c r="AC261" s="166"/>
    </row>
    <row r="262" spans="1:29" s="1669" customFormat="1" ht="23.45" customHeight="1" thickBot="1">
      <c r="A262" s="115"/>
      <c r="B262" s="1826" t="s">
        <v>1760</v>
      </c>
      <c r="C262" s="1827"/>
      <c r="D262" s="1828"/>
      <c r="E262" s="1829"/>
      <c r="F262" s="1830">
        <f>+F263</f>
        <v>1666000</v>
      </c>
      <c r="G262" s="2556">
        <f>+G263</f>
        <v>2636000</v>
      </c>
      <c r="H262" s="1836">
        <f>F262-G262</f>
        <v>-970000</v>
      </c>
      <c r="I262" s="1803"/>
      <c r="J262" s="422"/>
      <c r="K262" s="423"/>
      <c r="L262" s="423"/>
      <c r="M262" s="423"/>
      <c r="N262" s="423"/>
      <c r="O262" s="423"/>
      <c r="P262" s="423"/>
      <c r="Q262" s="423"/>
      <c r="R262" s="423"/>
      <c r="S262" s="423"/>
      <c r="T262" s="423"/>
      <c r="U262" s="423"/>
      <c r="V262" s="423"/>
      <c r="W262" s="423"/>
      <c r="X262" s="2809"/>
      <c r="Y262" s="2676"/>
      <c r="Z262" s="1837"/>
      <c r="AA262" s="305"/>
      <c r="AB262" s="305"/>
      <c r="AC262" s="166"/>
    </row>
    <row r="263" spans="1:29" s="1835" customFormat="1" ht="23.45" customHeight="1">
      <c r="A263" s="1290"/>
      <c r="B263" s="1291"/>
      <c r="C263" s="3277" t="s">
        <v>4611</v>
      </c>
      <c r="D263" s="3271"/>
      <c r="E263" s="3272"/>
      <c r="F263" s="385">
        <f>+F264+F277+F289+F301+F310+F316+F328+F335</f>
        <v>1666000</v>
      </c>
      <c r="G263" s="385">
        <f>+G264+G277+G289+G301+G310+G316+G328+G335</f>
        <v>2636000</v>
      </c>
      <c r="H263" s="1193">
        <f>+F263-G263</f>
        <v>-970000</v>
      </c>
      <c r="I263" s="2559"/>
      <c r="J263" s="1135"/>
      <c r="K263" s="2876"/>
      <c r="L263" s="2876"/>
      <c r="M263" s="2876"/>
      <c r="N263" s="2876"/>
      <c r="O263" s="2876"/>
      <c r="P263" s="2876"/>
      <c r="Q263" s="2876"/>
      <c r="R263" s="1137"/>
      <c r="S263" s="399"/>
      <c r="T263" s="1136"/>
      <c r="U263" s="1136"/>
      <c r="V263" s="1136"/>
      <c r="W263" s="1136"/>
      <c r="X263" s="1138"/>
      <c r="Y263" s="377"/>
      <c r="Z263" s="1452"/>
      <c r="AA263" s="275"/>
      <c r="AB263" s="275"/>
      <c r="AC263" s="1424"/>
    </row>
    <row r="264" spans="1:29" s="1835" customFormat="1" ht="23.45" customHeight="1">
      <c r="A264" s="1290"/>
      <c r="B264" s="1189"/>
      <c r="C264" s="1671"/>
      <c r="D264" s="3266" t="s">
        <v>4612</v>
      </c>
      <c r="E264" s="3267"/>
      <c r="F264" s="382">
        <f>SUM(F265:F276)</f>
        <v>0</v>
      </c>
      <c r="G264" s="382">
        <f>SUM(G265:G276)</f>
        <v>1000000</v>
      </c>
      <c r="H264" s="1193">
        <f>+F264-G264</f>
        <v>-1000000</v>
      </c>
      <c r="I264" s="2559"/>
      <c r="J264" s="1135" t="s">
        <v>5897</v>
      </c>
      <c r="K264" s="2876"/>
      <c r="L264" s="2876"/>
      <c r="M264" s="2876"/>
      <c r="N264" s="2784"/>
      <c r="O264" s="2784"/>
      <c r="P264" s="2784"/>
      <c r="Q264" s="2784"/>
      <c r="R264" s="395"/>
      <c r="S264" s="1136"/>
      <c r="T264" s="1136"/>
      <c r="U264" s="1136"/>
      <c r="V264" s="1136"/>
      <c r="W264" s="1136"/>
      <c r="X264" s="1138"/>
      <c r="Y264" s="377"/>
      <c r="Z264" s="1448"/>
      <c r="AA264" s="275"/>
      <c r="AB264" s="275"/>
      <c r="AC264" s="1424"/>
    </row>
    <row r="265" spans="1:29" s="1835" customFormat="1" ht="23.45" hidden="1" customHeight="1">
      <c r="A265" s="1290"/>
      <c r="B265" s="1189"/>
      <c r="C265" s="1671"/>
      <c r="D265" s="433"/>
      <c r="E265" s="434" t="s">
        <v>59</v>
      </c>
      <c r="F265" s="472"/>
      <c r="G265" s="2705">
        <v>192000</v>
      </c>
      <c r="H265" s="1193">
        <f>F265-G265</f>
        <v>-192000</v>
      </c>
      <c r="I265" s="2559"/>
      <c r="J265" s="2802"/>
      <c r="K265" s="2800"/>
      <c r="L265" s="2800"/>
      <c r="M265" s="2800"/>
      <c r="N265" s="2800"/>
      <c r="O265" s="2800"/>
      <c r="P265" s="2800"/>
      <c r="Q265" s="2800"/>
      <c r="R265" s="405"/>
      <c r="S265" s="2803"/>
      <c r="T265" s="2803"/>
      <c r="U265" s="2803"/>
      <c r="V265" s="2803"/>
      <c r="W265" s="2803"/>
      <c r="X265" s="1140"/>
      <c r="Y265" s="1674"/>
      <c r="Z265" s="1098"/>
      <c r="AA265" s="275"/>
      <c r="AB265" s="275"/>
      <c r="AC265" s="1424"/>
    </row>
    <row r="266" spans="1:29" s="1835" customFormat="1" ht="23.45" hidden="1" customHeight="1">
      <c r="A266" s="1290"/>
      <c r="B266" s="1189"/>
      <c r="C266" s="1671"/>
      <c r="D266" s="1154"/>
      <c r="E266" s="1126" t="s">
        <v>611</v>
      </c>
      <c r="F266" s="383"/>
      <c r="G266" s="383">
        <v>40000</v>
      </c>
      <c r="H266" s="391">
        <f>F266-G266</f>
        <v>-40000</v>
      </c>
      <c r="I266" s="2559"/>
      <c r="J266" s="2345"/>
      <c r="K266" s="1672"/>
      <c r="L266" s="1672"/>
      <c r="M266" s="1672"/>
      <c r="N266" s="1672"/>
      <c r="O266" s="1672"/>
      <c r="P266" s="1672"/>
      <c r="Q266" s="1672"/>
      <c r="R266" s="1672"/>
      <c r="S266" s="1672"/>
      <c r="T266" s="1672"/>
      <c r="U266" s="1672"/>
      <c r="V266" s="1672"/>
      <c r="W266" s="1672"/>
      <c r="X266" s="1323"/>
      <c r="Y266" s="636"/>
      <c r="Z266" s="1265"/>
      <c r="AA266" s="275"/>
      <c r="AB266" s="275"/>
      <c r="AC266" s="1424"/>
    </row>
    <row r="267" spans="1:29" s="1835" customFormat="1" ht="23.45" hidden="1" customHeight="1">
      <c r="A267" s="1290"/>
      <c r="B267" s="1189"/>
      <c r="C267" s="1671"/>
      <c r="D267" s="1126"/>
      <c r="E267" s="2357" t="s">
        <v>2240</v>
      </c>
      <c r="F267" s="383"/>
      <c r="G267" s="383">
        <v>37000</v>
      </c>
      <c r="H267" s="391">
        <f>F267-G267</f>
        <v>-37000</v>
      </c>
      <c r="I267" s="2559"/>
      <c r="J267" s="2345"/>
      <c r="K267" s="1672"/>
      <c r="L267" s="1672"/>
      <c r="M267" s="1672"/>
      <c r="N267" s="1672"/>
      <c r="O267" s="1672"/>
      <c r="P267" s="1672"/>
      <c r="Q267" s="1672"/>
      <c r="R267" s="1672"/>
      <c r="S267" s="1672"/>
      <c r="T267" s="1672"/>
      <c r="U267" s="1672"/>
      <c r="V267" s="1672"/>
      <c r="W267" s="1672"/>
      <c r="X267" s="1672"/>
      <c r="Y267" s="1674"/>
      <c r="Z267" s="1265"/>
      <c r="AA267" s="275"/>
      <c r="AB267" s="275"/>
      <c r="AC267" s="1424"/>
    </row>
    <row r="268" spans="1:29" s="1835" customFormat="1" ht="23.45" hidden="1" customHeight="1">
      <c r="A268" s="1290"/>
      <c r="B268" s="1189"/>
      <c r="C268" s="1671"/>
      <c r="D268" s="1154"/>
      <c r="E268" s="1126" t="s">
        <v>4613</v>
      </c>
      <c r="F268" s="1788"/>
      <c r="G268" s="2706">
        <v>5000</v>
      </c>
      <c r="H268" s="391">
        <f t="shared" ref="H268:H269" si="94">F268-G268</f>
        <v>-5000</v>
      </c>
      <c r="I268" s="2559"/>
      <c r="J268" s="2345"/>
      <c r="K268" s="1672"/>
      <c r="L268" s="1672"/>
      <c r="M268" s="1672"/>
      <c r="N268" s="1672"/>
      <c r="O268" s="1672"/>
      <c r="P268" s="1672"/>
      <c r="Q268" s="1672"/>
      <c r="R268" s="1672"/>
      <c r="S268" s="1672"/>
      <c r="T268" s="1672"/>
      <c r="U268" s="1672"/>
      <c r="V268" s="1672"/>
      <c r="W268" s="1672"/>
      <c r="X268" s="1323"/>
      <c r="Y268" s="636"/>
      <c r="Z268" s="1265"/>
      <c r="AA268" s="275"/>
      <c r="AB268" s="275"/>
      <c r="AC268" s="1424"/>
    </row>
    <row r="269" spans="1:29" s="1835" customFormat="1" ht="23.45" hidden="1" customHeight="1">
      <c r="A269" s="1290"/>
      <c r="B269" s="1189"/>
      <c r="C269" s="1671"/>
      <c r="D269" s="433"/>
      <c r="E269" s="542" t="s">
        <v>224</v>
      </c>
      <c r="F269" s="472"/>
      <c r="G269" s="2705">
        <v>12000</v>
      </c>
      <c r="H269" s="391">
        <f t="shared" si="94"/>
        <v>-12000</v>
      </c>
      <c r="I269" s="2559"/>
      <c r="J269" s="2802"/>
      <c r="K269" s="2800"/>
      <c r="L269" s="2800"/>
      <c r="M269" s="2800"/>
      <c r="N269" s="2800"/>
      <c r="O269" s="2800"/>
      <c r="P269" s="2800"/>
      <c r="Q269" s="2800"/>
      <c r="R269" s="405"/>
      <c r="S269" s="2803"/>
      <c r="T269" s="2803"/>
      <c r="U269" s="2803"/>
      <c r="V269" s="2803"/>
      <c r="W269" s="2803"/>
      <c r="X269" s="1140"/>
      <c r="Y269" s="1674"/>
      <c r="Z269" s="1265"/>
      <c r="AA269" s="275"/>
      <c r="AB269" s="275"/>
      <c r="AC269" s="1424"/>
    </row>
    <row r="270" spans="1:29" s="1835" customFormat="1" ht="23.45" hidden="1" customHeight="1">
      <c r="A270" s="1290"/>
      <c r="B270" s="1189"/>
      <c r="C270" s="1671"/>
      <c r="D270" s="1154"/>
      <c r="E270" s="1126" t="s">
        <v>195</v>
      </c>
      <c r="F270" s="383"/>
      <c r="G270" s="383">
        <v>15000</v>
      </c>
      <c r="H270" s="391">
        <f>F270-G270</f>
        <v>-15000</v>
      </c>
      <c r="I270" s="2559"/>
      <c r="J270" s="2345"/>
      <c r="K270" s="1672"/>
      <c r="L270" s="1672"/>
      <c r="M270" s="1672"/>
      <c r="N270" s="1672"/>
      <c r="O270" s="1672"/>
      <c r="P270" s="1672"/>
      <c r="Q270" s="1672"/>
      <c r="R270" s="1672"/>
      <c r="S270" s="1672"/>
      <c r="T270" s="1672"/>
      <c r="U270" s="1672"/>
      <c r="V270" s="1672"/>
      <c r="W270" s="1672"/>
      <c r="X270" s="1323"/>
      <c r="Y270" s="1674"/>
      <c r="Z270" s="1265"/>
      <c r="AA270" s="275"/>
      <c r="AB270" s="275"/>
      <c r="AC270" s="1424"/>
    </row>
    <row r="271" spans="1:29" s="1835" customFormat="1" ht="23.45" hidden="1" customHeight="1">
      <c r="A271" s="1290"/>
      <c r="B271" s="1189"/>
      <c r="C271" s="1671"/>
      <c r="D271" s="1154"/>
      <c r="E271" s="1126" t="s">
        <v>15</v>
      </c>
      <c r="F271" s="383"/>
      <c r="G271" s="383">
        <v>50000</v>
      </c>
      <c r="H271" s="391">
        <f>F271-G271</f>
        <v>-50000</v>
      </c>
      <c r="I271" s="2559"/>
      <c r="J271" s="2345"/>
      <c r="K271" s="1672"/>
      <c r="L271" s="1672"/>
      <c r="M271" s="1672"/>
      <c r="N271" s="1672"/>
      <c r="O271" s="1672"/>
      <c r="P271" s="1672"/>
      <c r="Q271" s="1672"/>
      <c r="R271" s="1672"/>
      <c r="S271" s="1672"/>
      <c r="T271" s="1672"/>
      <c r="U271" s="1672"/>
      <c r="V271" s="1672"/>
      <c r="W271" s="1672"/>
      <c r="X271" s="1323"/>
      <c r="Y271" s="1674"/>
      <c r="Z271" s="1265"/>
      <c r="AA271" s="275"/>
      <c r="AB271" s="275"/>
      <c r="AC271" s="1424"/>
    </row>
    <row r="272" spans="1:29" s="1835" customFormat="1" ht="23.45" hidden="1" customHeight="1">
      <c r="A272" s="1290"/>
      <c r="B272" s="1189"/>
      <c r="C272" s="1671"/>
      <c r="D272" s="1154"/>
      <c r="E272" s="1126" t="s">
        <v>16</v>
      </c>
      <c r="F272" s="383"/>
      <c r="G272" s="383">
        <v>560000</v>
      </c>
      <c r="H272" s="391">
        <f>F272-G272</f>
        <v>-560000</v>
      </c>
      <c r="I272" s="2559"/>
      <c r="J272" s="2345"/>
      <c r="K272" s="1672"/>
      <c r="L272" s="1672"/>
      <c r="M272" s="1672"/>
      <c r="N272" s="1672"/>
      <c r="O272" s="1672"/>
      <c r="P272" s="1672"/>
      <c r="Q272" s="1672"/>
      <c r="R272" s="1672"/>
      <c r="S272" s="1672"/>
      <c r="T272" s="1672"/>
      <c r="U272" s="1672"/>
      <c r="V272" s="1672"/>
      <c r="W272" s="1672"/>
      <c r="X272" s="1323"/>
      <c r="Y272" s="1674"/>
      <c r="Z272" s="1265"/>
      <c r="AA272" s="275"/>
      <c r="AB272" s="275"/>
      <c r="AC272" s="1424"/>
    </row>
    <row r="273" spans="1:29" s="1835" customFormat="1" ht="23.45" hidden="1" customHeight="1">
      <c r="A273" s="1290"/>
      <c r="B273" s="1189"/>
      <c r="C273" s="1671"/>
      <c r="D273" s="1154"/>
      <c r="E273" s="1126" t="s">
        <v>4614</v>
      </c>
      <c r="F273" s="383"/>
      <c r="G273" s="383">
        <v>30000</v>
      </c>
      <c r="H273" s="391">
        <f t="shared" ref="H273:H276" si="95">F273-G273</f>
        <v>-30000</v>
      </c>
      <c r="I273" s="2559"/>
      <c r="J273" s="2345"/>
      <c r="K273" s="1672"/>
      <c r="L273" s="1672"/>
      <c r="M273" s="1672"/>
      <c r="N273" s="1672"/>
      <c r="O273" s="1672"/>
      <c r="P273" s="1672"/>
      <c r="Q273" s="1672"/>
      <c r="R273" s="1672"/>
      <c r="S273" s="1672"/>
      <c r="T273" s="1672"/>
      <c r="U273" s="1672"/>
      <c r="V273" s="1672"/>
      <c r="W273" s="1672"/>
      <c r="X273" s="1323"/>
      <c r="Y273" s="636"/>
      <c r="Z273" s="1265"/>
      <c r="AA273" s="275"/>
      <c r="AB273" s="275"/>
      <c r="AC273" s="1424"/>
    </row>
    <row r="274" spans="1:29" s="1835" customFormat="1" ht="23.45" hidden="1" customHeight="1">
      <c r="A274" s="1290"/>
      <c r="B274" s="1189"/>
      <c r="C274" s="1671"/>
      <c r="D274" s="1154"/>
      <c r="E274" s="1126" t="s">
        <v>1771</v>
      </c>
      <c r="F274" s="383"/>
      <c r="G274" s="383">
        <v>3000</v>
      </c>
      <c r="H274" s="391">
        <f t="shared" si="95"/>
        <v>-3000</v>
      </c>
      <c r="I274" s="2559"/>
      <c r="J274" s="2345"/>
      <c r="K274" s="1672"/>
      <c r="L274" s="1672"/>
      <c r="M274" s="1672"/>
      <c r="N274" s="1672"/>
      <c r="O274" s="1672"/>
      <c r="P274" s="1672"/>
      <c r="Q274" s="1672"/>
      <c r="R274" s="1672"/>
      <c r="S274" s="1672"/>
      <c r="T274" s="1672"/>
      <c r="U274" s="1672"/>
      <c r="V274" s="1672"/>
      <c r="W274" s="1672"/>
      <c r="X274" s="1323"/>
      <c r="Y274" s="636"/>
      <c r="Z274" s="1265"/>
      <c r="AA274" s="275"/>
      <c r="AB274" s="275"/>
      <c r="AC274" s="1424"/>
    </row>
    <row r="275" spans="1:29" s="1835" customFormat="1" ht="23.45" hidden="1" customHeight="1">
      <c r="A275" s="1290"/>
      <c r="B275" s="1189"/>
      <c r="C275" s="1671"/>
      <c r="D275" s="1154"/>
      <c r="E275" s="1126" t="s">
        <v>67</v>
      </c>
      <c r="F275" s="383"/>
      <c r="G275" s="383">
        <v>50000</v>
      </c>
      <c r="H275" s="391">
        <f t="shared" si="95"/>
        <v>-50000</v>
      </c>
      <c r="I275" s="2559"/>
      <c r="J275" s="2345"/>
      <c r="K275" s="1672"/>
      <c r="L275" s="1672"/>
      <c r="M275" s="1672"/>
      <c r="N275" s="1672"/>
      <c r="O275" s="1672"/>
      <c r="P275" s="1672"/>
      <c r="Q275" s="1672"/>
      <c r="R275" s="1672"/>
      <c r="S275" s="1672"/>
      <c r="T275" s="1672"/>
      <c r="U275" s="1672"/>
      <c r="V275" s="1672"/>
      <c r="W275" s="1672"/>
      <c r="X275" s="1323"/>
      <c r="Y275" s="636"/>
      <c r="Z275" s="1265"/>
      <c r="AA275" s="275"/>
      <c r="AB275" s="275"/>
      <c r="AC275" s="1424"/>
    </row>
    <row r="276" spans="1:29" s="1835" customFormat="1" ht="23.45" hidden="1" customHeight="1">
      <c r="A276" s="1290"/>
      <c r="B276" s="1189"/>
      <c r="C276" s="1671"/>
      <c r="D276" s="1154"/>
      <c r="E276" s="1126" t="s">
        <v>14</v>
      </c>
      <c r="F276" s="383"/>
      <c r="G276" s="383">
        <v>6000</v>
      </c>
      <c r="H276" s="391">
        <f t="shared" si="95"/>
        <v>-6000</v>
      </c>
      <c r="I276" s="2559"/>
      <c r="J276" s="2345"/>
      <c r="K276" s="1672"/>
      <c r="L276" s="1672"/>
      <c r="M276" s="1672"/>
      <c r="N276" s="1672"/>
      <c r="O276" s="1672"/>
      <c r="P276" s="1672"/>
      <c r="Q276" s="1672"/>
      <c r="R276" s="1672"/>
      <c r="S276" s="1672"/>
      <c r="T276" s="1672"/>
      <c r="U276" s="1672"/>
      <c r="V276" s="1672"/>
      <c r="W276" s="1672"/>
      <c r="X276" s="1323"/>
      <c r="Y276" s="636"/>
      <c r="Z276" s="1265"/>
      <c r="AA276" s="275"/>
      <c r="AB276" s="275"/>
      <c r="AC276" s="1424"/>
    </row>
    <row r="277" spans="1:29" s="1835" customFormat="1" ht="23.45" customHeight="1">
      <c r="A277" s="1290"/>
      <c r="B277" s="1189"/>
      <c r="C277" s="1671"/>
      <c r="D277" s="3266" t="s">
        <v>4616</v>
      </c>
      <c r="E277" s="3267"/>
      <c r="F277" s="382">
        <f>SUM(F278:F288)</f>
        <v>230000</v>
      </c>
      <c r="G277" s="382">
        <f>SUM(G278:G288)</f>
        <v>200000</v>
      </c>
      <c r="H277" s="388">
        <f>+F277-G277</f>
        <v>30000</v>
      </c>
      <c r="I277" s="2559"/>
      <c r="J277" s="1135"/>
      <c r="K277" s="2784"/>
      <c r="L277" s="2784"/>
      <c r="M277" s="2784"/>
      <c r="N277" s="2784"/>
      <c r="O277" s="2784"/>
      <c r="P277" s="2784"/>
      <c r="Q277" s="2784"/>
      <c r="R277" s="395"/>
      <c r="S277" s="1136"/>
      <c r="T277" s="1136"/>
      <c r="U277" s="1136"/>
      <c r="V277" s="1136"/>
      <c r="W277" s="1136"/>
      <c r="X277" s="1138"/>
      <c r="Y277" s="377"/>
      <c r="Z277" s="1265">
        <f t="shared" ref="Z277:Z301" si="96">S277*V277</f>
        <v>0</v>
      </c>
      <c r="AA277" s="275"/>
      <c r="AB277" s="275"/>
      <c r="AC277" s="1424"/>
    </row>
    <row r="278" spans="1:29" s="1835" customFormat="1" ht="23.45" customHeight="1">
      <c r="A278" s="1290"/>
      <c r="B278" s="1189"/>
      <c r="C278" s="1671"/>
      <c r="D278" s="1154"/>
      <c r="E278" s="434" t="s">
        <v>59</v>
      </c>
      <c r="F278" s="383">
        <f t="shared" ref="F278" si="97">Y278</f>
        <v>30000</v>
      </c>
      <c r="G278" s="2705">
        <v>30000</v>
      </c>
      <c r="H278" s="391"/>
      <c r="I278" s="2559"/>
      <c r="J278" s="2802" t="s">
        <v>4873</v>
      </c>
      <c r="K278" s="2800"/>
      <c r="L278" s="2800"/>
      <c r="M278" s="2800"/>
      <c r="N278" s="2800"/>
      <c r="O278" s="2800"/>
      <c r="P278" s="2800"/>
      <c r="Q278" s="1672">
        <v>1</v>
      </c>
      <c r="R278" s="1672" t="s">
        <v>4869</v>
      </c>
      <c r="S278" s="2803">
        <v>2500000</v>
      </c>
      <c r="T278" s="1672" t="s">
        <v>4874</v>
      </c>
      <c r="U278" s="2803"/>
      <c r="V278" s="1672">
        <v>12</v>
      </c>
      <c r="W278" s="2803" t="s">
        <v>4875</v>
      </c>
      <c r="X278" s="1323" t="s">
        <v>4864</v>
      </c>
      <c r="Y278" s="1674">
        <f>Z278/1000</f>
        <v>30000</v>
      </c>
      <c r="Z278" s="1265">
        <f>Q278*S278*V278</f>
        <v>30000000</v>
      </c>
      <c r="AA278" s="275"/>
      <c r="AB278" s="275"/>
      <c r="AC278" s="1424"/>
    </row>
    <row r="279" spans="1:29" s="1835" customFormat="1" ht="23.45" customHeight="1">
      <c r="A279" s="1290"/>
      <c r="B279" s="1189"/>
      <c r="C279" s="1671"/>
      <c r="D279" s="1154"/>
      <c r="E279" s="1126" t="s">
        <v>369</v>
      </c>
      <c r="F279" s="383">
        <f>Y279</f>
        <v>75000</v>
      </c>
      <c r="G279" s="383">
        <v>10000</v>
      </c>
      <c r="H279" s="391">
        <f>F279-G279</f>
        <v>65000</v>
      </c>
      <c r="I279" s="2559"/>
      <c r="J279" s="2345" t="s">
        <v>4876</v>
      </c>
      <c r="K279" s="1672"/>
      <c r="L279" s="1672"/>
      <c r="M279" s="1672"/>
      <c r="N279" s="1672"/>
      <c r="O279" s="1672"/>
      <c r="P279" s="1672"/>
      <c r="Q279" s="1672"/>
      <c r="R279" s="1672"/>
      <c r="S279" s="1672">
        <v>75000000</v>
      </c>
      <c r="T279" s="1672" t="s">
        <v>4874</v>
      </c>
      <c r="U279" s="1672"/>
      <c r="V279" s="1672">
        <v>1</v>
      </c>
      <c r="W279" s="1672" t="s">
        <v>4877</v>
      </c>
      <c r="X279" s="1323" t="s">
        <v>4864</v>
      </c>
      <c r="Y279" s="636">
        <f t="shared" ref="Y279:Y282" si="98">Z279/1000</f>
        <v>75000</v>
      </c>
      <c r="Z279" s="1265">
        <f>S279*V279</f>
        <v>75000000</v>
      </c>
      <c r="AA279" s="275"/>
      <c r="AB279" s="275"/>
      <c r="AC279" s="1424"/>
    </row>
    <row r="280" spans="1:29" s="1835" customFormat="1" ht="23.45" customHeight="1">
      <c r="A280" s="1290"/>
      <c r="B280" s="1189"/>
      <c r="C280" s="1671"/>
      <c r="D280" s="1154"/>
      <c r="E280" s="1126" t="s">
        <v>199</v>
      </c>
      <c r="F280" s="383">
        <f t="shared" ref="F280:F283" si="99">Y280</f>
        <v>5000</v>
      </c>
      <c r="G280" s="383">
        <v>10000</v>
      </c>
      <c r="H280" s="391">
        <f t="shared" ref="H280:H283" si="100">F280-G280</f>
        <v>-5000</v>
      </c>
      <c r="I280" s="2559"/>
      <c r="J280" s="2345" t="s">
        <v>5054</v>
      </c>
      <c r="K280" s="1672"/>
      <c r="L280" s="1672"/>
      <c r="M280" s="1672"/>
      <c r="N280" s="1672"/>
      <c r="O280" s="1672"/>
      <c r="P280" s="1672"/>
      <c r="Q280" s="1672"/>
      <c r="R280" s="1672"/>
      <c r="S280" s="1672">
        <v>5000000</v>
      </c>
      <c r="T280" s="1672" t="s">
        <v>4874</v>
      </c>
      <c r="U280" s="1672"/>
      <c r="V280" s="1672">
        <v>1</v>
      </c>
      <c r="W280" s="1672" t="s">
        <v>4878</v>
      </c>
      <c r="X280" s="1323" t="s">
        <v>4864</v>
      </c>
      <c r="Y280" s="636">
        <f t="shared" si="98"/>
        <v>5000</v>
      </c>
      <c r="Z280" s="1265">
        <f>S280*V280</f>
        <v>5000000</v>
      </c>
      <c r="AA280" s="275"/>
      <c r="AB280" s="275"/>
      <c r="AC280" s="1424"/>
    </row>
    <row r="281" spans="1:29" s="1835" customFormat="1" ht="23.45" customHeight="1">
      <c r="A281" s="1290"/>
      <c r="B281" s="1189"/>
      <c r="C281" s="1671"/>
      <c r="D281" s="1154"/>
      <c r="E281" s="1126" t="s">
        <v>195</v>
      </c>
      <c r="F281" s="383">
        <f t="shared" si="99"/>
        <v>1200</v>
      </c>
      <c r="G281" s="383">
        <v>2400</v>
      </c>
      <c r="H281" s="391">
        <f t="shared" si="100"/>
        <v>-1200</v>
      </c>
      <c r="I281" s="2559"/>
      <c r="J281" s="2345" t="s">
        <v>4879</v>
      </c>
      <c r="K281" s="1672"/>
      <c r="L281" s="1672"/>
      <c r="M281" s="1672"/>
      <c r="N281" s="1672"/>
      <c r="O281" s="1672"/>
      <c r="P281" s="1672"/>
      <c r="Q281" s="1672">
        <v>2</v>
      </c>
      <c r="R281" s="1672" t="s">
        <v>4869</v>
      </c>
      <c r="S281" s="1672">
        <v>30000</v>
      </c>
      <c r="T281" s="1672" t="s">
        <v>4874</v>
      </c>
      <c r="U281" s="1672"/>
      <c r="V281" s="1672">
        <v>20</v>
      </c>
      <c r="W281" s="1672" t="s">
        <v>4865</v>
      </c>
      <c r="X281" s="1323" t="s">
        <v>4864</v>
      </c>
      <c r="Y281" s="636">
        <f t="shared" si="98"/>
        <v>1200</v>
      </c>
      <c r="Z281" s="1265">
        <f t="shared" ref="Z281:Z282" si="101">Q281*S281*V281</f>
        <v>1200000</v>
      </c>
      <c r="AA281" s="275"/>
      <c r="AB281" s="275"/>
      <c r="AC281" s="1424"/>
    </row>
    <row r="282" spans="1:29" s="1835" customFormat="1" ht="21" customHeight="1">
      <c r="A282" s="1290"/>
      <c r="B282" s="1189"/>
      <c r="C282" s="1671"/>
      <c r="D282" s="1154"/>
      <c r="E282" s="1126" t="s">
        <v>269</v>
      </c>
      <c r="F282" s="383">
        <f t="shared" si="99"/>
        <v>300</v>
      </c>
      <c r="G282" s="383">
        <v>16300</v>
      </c>
      <c r="H282" s="391">
        <f t="shared" si="100"/>
        <v>-16000</v>
      </c>
      <c r="I282" s="2559"/>
      <c r="J282" s="2345" t="s">
        <v>4880</v>
      </c>
      <c r="K282" s="1672"/>
      <c r="L282" s="1672"/>
      <c r="M282" s="1672"/>
      <c r="N282" s="1672"/>
      <c r="O282" s="1672"/>
      <c r="P282" s="1672"/>
      <c r="Q282" s="1672">
        <v>2</v>
      </c>
      <c r="R282" s="1672" t="s">
        <v>4869</v>
      </c>
      <c r="S282" s="1672">
        <v>30000</v>
      </c>
      <c r="T282" s="1672" t="s">
        <v>4874</v>
      </c>
      <c r="U282" s="1672"/>
      <c r="V282" s="1672">
        <v>5</v>
      </c>
      <c r="W282" s="1672" t="s">
        <v>4865</v>
      </c>
      <c r="X282" s="1323" t="s">
        <v>4864</v>
      </c>
      <c r="Y282" s="636">
        <f t="shared" si="98"/>
        <v>300</v>
      </c>
      <c r="Z282" s="1265">
        <f t="shared" si="101"/>
        <v>300000</v>
      </c>
      <c r="AA282" s="275"/>
      <c r="AB282" s="275"/>
      <c r="AC282" s="1424"/>
    </row>
    <row r="283" spans="1:29" s="1835" customFormat="1" ht="21" customHeight="1">
      <c r="A283" s="1290"/>
      <c r="B283" s="1189"/>
      <c r="C283" s="1671"/>
      <c r="D283" s="1154"/>
      <c r="E283" s="1126" t="s">
        <v>287</v>
      </c>
      <c r="F283" s="383">
        <f t="shared" si="99"/>
        <v>110000</v>
      </c>
      <c r="G283" s="383">
        <v>115000</v>
      </c>
      <c r="H283" s="391">
        <f t="shared" si="100"/>
        <v>-5000</v>
      </c>
      <c r="I283" s="2559"/>
      <c r="J283" s="2345" t="s">
        <v>4881</v>
      </c>
      <c r="K283" s="1672"/>
      <c r="L283" s="1672"/>
      <c r="M283" s="1672"/>
      <c r="N283" s="1672"/>
      <c r="O283" s="1672"/>
      <c r="P283" s="1672"/>
      <c r="Q283" s="1672"/>
      <c r="R283" s="1672"/>
      <c r="S283" s="1672"/>
      <c r="T283" s="1672"/>
      <c r="U283" s="1672"/>
      <c r="V283" s="1672"/>
      <c r="W283" s="1672"/>
      <c r="X283" s="1323"/>
      <c r="Y283" s="1674">
        <f>Z283/1000</f>
        <v>110000</v>
      </c>
      <c r="Z283" s="1265">
        <f>Z284+Z285+Z286</f>
        <v>110000000</v>
      </c>
      <c r="AA283" s="275"/>
      <c r="AB283" s="275"/>
      <c r="AC283" s="1424"/>
    </row>
    <row r="284" spans="1:29" s="1835" customFormat="1" ht="21" customHeight="1">
      <c r="A284" s="1290"/>
      <c r="B284" s="1189"/>
      <c r="C284" s="1671"/>
      <c r="D284" s="1154"/>
      <c r="E284" s="1126"/>
      <c r="F284" s="383"/>
      <c r="G284" s="383"/>
      <c r="H284" s="391"/>
      <c r="I284" s="2559"/>
      <c r="J284" s="2345" t="s">
        <v>4882</v>
      </c>
      <c r="K284" s="1672"/>
      <c r="L284" s="1672"/>
      <c r="M284" s="1672"/>
      <c r="N284" s="1672"/>
      <c r="O284" s="1672"/>
      <c r="P284" s="1672"/>
      <c r="Q284" s="1672"/>
      <c r="R284" s="1672"/>
      <c r="S284" s="1672">
        <v>40000000</v>
      </c>
      <c r="T284" s="1672" t="s">
        <v>4874</v>
      </c>
      <c r="U284" s="1672"/>
      <c r="V284" s="1672">
        <v>1</v>
      </c>
      <c r="W284" s="1672" t="s">
        <v>4883</v>
      </c>
      <c r="X284" s="1323" t="s">
        <v>4864</v>
      </c>
      <c r="Y284" s="636">
        <f t="shared" ref="Y284:Y288" si="102">Z284/1000</f>
        <v>40000</v>
      </c>
      <c r="Z284" s="1265">
        <f t="shared" ref="Z284:Z288" si="103">S284*V284</f>
        <v>40000000</v>
      </c>
      <c r="AA284" s="275"/>
      <c r="AB284" s="275"/>
      <c r="AC284" s="1424"/>
    </row>
    <row r="285" spans="1:29" s="1835" customFormat="1" ht="21" customHeight="1">
      <c r="A285" s="1290"/>
      <c r="B285" s="1189"/>
      <c r="C285" s="1671"/>
      <c r="D285" s="1154"/>
      <c r="E285" s="1126"/>
      <c r="F285" s="383"/>
      <c r="G285" s="383"/>
      <c r="H285" s="391"/>
      <c r="I285" s="2559"/>
      <c r="J285" s="2345" t="s">
        <v>4884</v>
      </c>
      <c r="K285" s="1672"/>
      <c r="L285" s="1672"/>
      <c r="M285" s="1672"/>
      <c r="N285" s="1672"/>
      <c r="O285" s="1672"/>
      <c r="P285" s="1672"/>
      <c r="Q285" s="1672"/>
      <c r="R285" s="1672"/>
      <c r="S285" s="1672">
        <v>50000000</v>
      </c>
      <c r="T285" s="1672" t="s">
        <v>4874</v>
      </c>
      <c r="U285" s="1672"/>
      <c r="V285" s="1672">
        <v>1</v>
      </c>
      <c r="W285" s="1672" t="s">
        <v>4883</v>
      </c>
      <c r="X285" s="1323" t="s">
        <v>4864</v>
      </c>
      <c r="Y285" s="636">
        <f t="shared" si="102"/>
        <v>50000</v>
      </c>
      <c r="Z285" s="1265">
        <f t="shared" si="103"/>
        <v>50000000</v>
      </c>
      <c r="AA285" s="275"/>
      <c r="AB285" s="275"/>
      <c r="AC285" s="1424"/>
    </row>
    <row r="286" spans="1:29" s="1835" customFormat="1" ht="21" customHeight="1">
      <c r="A286" s="1290"/>
      <c r="B286" s="1189"/>
      <c r="C286" s="1671"/>
      <c r="D286" s="1154"/>
      <c r="E286" s="1126"/>
      <c r="F286" s="383"/>
      <c r="G286" s="383"/>
      <c r="H286" s="391"/>
      <c r="I286" s="2559"/>
      <c r="J286" s="2345" t="s">
        <v>4885</v>
      </c>
      <c r="K286" s="1672"/>
      <c r="L286" s="1672"/>
      <c r="M286" s="1672"/>
      <c r="N286" s="1672"/>
      <c r="O286" s="1672"/>
      <c r="P286" s="1672"/>
      <c r="Q286" s="1672"/>
      <c r="R286" s="1672"/>
      <c r="S286" s="1672">
        <v>20000000</v>
      </c>
      <c r="T286" s="1672" t="s">
        <v>4874</v>
      </c>
      <c r="U286" s="1672"/>
      <c r="V286" s="1672">
        <v>1</v>
      </c>
      <c r="W286" s="1672" t="s">
        <v>4883</v>
      </c>
      <c r="X286" s="1323" t="s">
        <v>4864</v>
      </c>
      <c r="Y286" s="636">
        <f t="shared" si="102"/>
        <v>20000</v>
      </c>
      <c r="Z286" s="1265">
        <f t="shared" si="103"/>
        <v>20000000</v>
      </c>
      <c r="AA286" s="275"/>
      <c r="AB286" s="275"/>
      <c r="AC286" s="1424"/>
    </row>
    <row r="287" spans="1:29" s="1835" customFormat="1" ht="21" customHeight="1">
      <c r="A287" s="1290"/>
      <c r="B287" s="1189"/>
      <c r="C287" s="1671"/>
      <c r="D287" s="1154"/>
      <c r="E287" s="1126" t="s">
        <v>602</v>
      </c>
      <c r="F287" s="383">
        <f t="shared" ref="F287:F288" si="104">Y287</f>
        <v>5500</v>
      </c>
      <c r="G287" s="383">
        <v>10500</v>
      </c>
      <c r="H287" s="391">
        <f t="shared" ref="H287:H288" si="105">F287-G287</f>
        <v>-5000</v>
      </c>
      <c r="I287" s="2559"/>
      <c r="J287" s="2345" t="s">
        <v>4886</v>
      </c>
      <c r="K287" s="1672"/>
      <c r="L287" s="1672"/>
      <c r="M287" s="1672"/>
      <c r="N287" s="1672"/>
      <c r="O287" s="1672"/>
      <c r="P287" s="1672"/>
      <c r="Q287" s="1672"/>
      <c r="R287" s="1672"/>
      <c r="S287" s="1672">
        <v>5500000</v>
      </c>
      <c r="T287" s="1672" t="s">
        <v>4874</v>
      </c>
      <c r="U287" s="1672"/>
      <c r="V287" s="1672">
        <v>1</v>
      </c>
      <c r="W287" s="1672" t="s">
        <v>4883</v>
      </c>
      <c r="X287" s="1323" t="s">
        <v>4864</v>
      </c>
      <c r="Y287" s="636">
        <f t="shared" si="102"/>
        <v>5500</v>
      </c>
      <c r="Z287" s="1265">
        <f t="shared" si="103"/>
        <v>5500000</v>
      </c>
      <c r="AA287" s="275"/>
      <c r="AB287" s="275"/>
      <c r="AC287" s="1424"/>
    </row>
    <row r="288" spans="1:29" s="1835" customFormat="1" ht="21" customHeight="1">
      <c r="A288" s="1290"/>
      <c r="B288" s="1189"/>
      <c r="C288" s="1671"/>
      <c r="D288" s="1154"/>
      <c r="E288" s="1126" t="s">
        <v>271</v>
      </c>
      <c r="F288" s="383">
        <f t="shared" si="104"/>
        <v>3000</v>
      </c>
      <c r="G288" s="383">
        <v>5800</v>
      </c>
      <c r="H288" s="391">
        <f t="shared" si="105"/>
        <v>-2800</v>
      </c>
      <c r="I288" s="2559"/>
      <c r="J288" s="2345" t="s">
        <v>4887</v>
      </c>
      <c r="K288" s="1672"/>
      <c r="L288" s="1672"/>
      <c r="M288" s="1672"/>
      <c r="N288" s="1672"/>
      <c r="O288" s="1672"/>
      <c r="P288" s="1672"/>
      <c r="Q288" s="1672"/>
      <c r="R288" s="1672"/>
      <c r="S288" s="1672">
        <v>200000</v>
      </c>
      <c r="T288" s="1672" t="s">
        <v>4874</v>
      </c>
      <c r="U288" s="1672"/>
      <c r="V288" s="1672">
        <v>15</v>
      </c>
      <c r="W288" s="1672" t="s">
        <v>4865</v>
      </c>
      <c r="X288" s="1323" t="s">
        <v>4864</v>
      </c>
      <c r="Y288" s="636">
        <f t="shared" si="102"/>
        <v>3000</v>
      </c>
      <c r="Z288" s="1265">
        <f t="shared" si="103"/>
        <v>3000000</v>
      </c>
      <c r="AA288" s="275"/>
      <c r="AB288" s="275"/>
      <c r="AC288" s="1424"/>
    </row>
    <row r="289" spans="1:29" s="1835" customFormat="1" ht="21" customHeight="1">
      <c r="A289" s="1290"/>
      <c r="B289" s="1189"/>
      <c r="C289" s="1671"/>
      <c r="D289" s="3266" t="s">
        <v>4617</v>
      </c>
      <c r="E289" s="3267"/>
      <c r="F289" s="382">
        <f>SUM(F290:F300)</f>
        <v>500000</v>
      </c>
      <c r="G289" s="382">
        <f>SUM(G290:G300)</f>
        <v>500000</v>
      </c>
      <c r="H289" s="388">
        <f>+F289-G289</f>
        <v>0</v>
      </c>
      <c r="I289" s="2559"/>
      <c r="J289" s="1135"/>
      <c r="K289" s="2876"/>
      <c r="L289" s="2876"/>
      <c r="M289" s="2876"/>
      <c r="N289" s="2876"/>
      <c r="O289" s="2876"/>
      <c r="P289" s="2876"/>
      <c r="Q289" s="2876"/>
      <c r="R289" s="395"/>
      <c r="S289" s="1136"/>
      <c r="T289" s="1136"/>
      <c r="U289" s="1136"/>
      <c r="V289" s="1136"/>
      <c r="W289" s="1136"/>
      <c r="X289" s="1138"/>
      <c r="Y289" s="377"/>
      <c r="Z289" s="1265">
        <f t="shared" si="96"/>
        <v>0</v>
      </c>
      <c r="AA289" s="275"/>
      <c r="AB289" s="275"/>
      <c r="AC289" s="1424"/>
    </row>
    <row r="290" spans="1:29" s="1835" customFormat="1" ht="21" customHeight="1">
      <c r="A290" s="1290"/>
      <c r="B290" s="1189"/>
      <c r="C290" s="1671"/>
      <c r="D290" s="1154"/>
      <c r="E290" s="1126" t="s">
        <v>5496</v>
      </c>
      <c r="F290" s="472">
        <f t="shared" ref="F290:F291" si="106">Y290</f>
        <v>30000</v>
      </c>
      <c r="G290" s="2706">
        <v>30000</v>
      </c>
      <c r="H290" s="482"/>
      <c r="I290" s="409"/>
      <c r="J290" s="2345" t="s">
        <v>5484</v>
      </c>
      <c r="K290" s="1672"/>
      <c r="L290" s="1672"/>
      <c r="M290" s="1672"/>
      <c r="N290" s="1672"/>
      <c r="O290" s="1672"/>
      <c r="P290" s="1672"/>
      <c r="Q290" s="1672">
        <v>1</v>
      </c>
      <c r="R290" s="1672" t="s">
        <v>5462</v>
      </c>
      <c r="S290" s="1672">
        <v>2500000</v>
      </c>
      <c r="T290" s="1672" t="s">
        <v>5454</v>
      </c>
      <c r="U290" s="1672"/>
      <c r="V290" s="1672">
        <v>12</v>
      </c>
      <c r="W290" s="1672" t="s">
        <v>5485</v>
      </c>
      <c r="X290" s="1323" t="s">
        <v>5456</v>
      </c>
      <c r="Y290" s="1674">
        <f>Q290*S290*V290/1000</f>
        <v>30000</v>
      </c>
      <c r="Z290" s="1098">
        <f>Q290*S290*V290</f>
        <v>30000000</v>
      </c>
      <c r="AA290" s="275"/>
      <c r="AB290" s="275"/>
      <c r="AC290" s="1424"/>
    </row>
    <row r="291" spans="1:29" s="1835" customFormat="1" ht="21" customHeight="1">
      <c r="A291" s="1290"/>
      <c r="B291" s="1189"/>
      <c r="C291" s="1671"/>
      <c r="D291" s="1154"/>
      <c r="E291" s="1126" t="s">
        <v>5497</v>
      </c>
      <c r="F291" s="472">
        <f t="shared" si="106"/>
        <v>0</v>
      </c>
      <c r="G291" s="2705">
        <v>20000</v>
      </c>
      <c r="H291" s="482">
        <f>F291-G291</f>
        <v>-20000</v>
      </c>
      <c r="I291" s="2559"/>
      <c r="J291" s="2345" t="s">
        <v>5124</v>
      </c>
      <c r="K291" s="1672"/>
      <c r="L291" s="1672"/>
      <c r="M291" s="1672"/>
      <c r="N291" s="1672"/>
      <c r="O291" s="1672"/>
      <c r="P291" s="1672"/>
      <c r="Q291" s="1672"/>
      <c r="R291" s="1672"/>
      <c r="S291" s="1672"/>
      <c r="T291" s="1672"/>
      <c r="U291" s="1672"/>
      <c r="V291" s="1672"/>
      <c r="W291" s="1672"/>
      <c r="X291" s="1323"/>
      <c r="Y291" s="1674"/>
      <c r="Z291" s="1265"/>
      <c r="AA291" s="275"/>
      <c r="AB291" s="275"/>
      <c r="AC291" s="1424"/>
    </row>
    <row r="292" spans="1:29" s="1835" customFormat="1" ht="21" customHeight="1">
      <c r="A292" s="1290"/>
      <c r="B292" s="1189"/>
      <c r="C292" s="1671"/>
      <c r="D292" s="1154"/>
      <c r="E292" s="1126" t="s">
        <v>5498</v>
      </c>
      <c r="F292" s="472">
        <f t="shared" ref="F292:F300" si="107">Y292</f>
        <v>7200</v>
      </c>
      <c r="G292" s="383">
        <v>2400</v>
      </c>
      <c r="H292" s="482">
        <f t="shared" ref="H292:H300" si="108">F292-G292</f>
        <v>4800</v>
      </c>
      <c r="I292" s="2559"/>
      <c r="J292" s="2345" t="s">
        <v>5453</v>
      </c>
      <c r="K292" s="1672"/>
      <c r="L292" s="1672"/>
      <c r="M292" s="1672"/>
      <c r="N292" s="1672"/>
      <c r="O292" s="1672"/>
      <c r="P292" s="1672"/>
      <c r="Q292" s="1672"/>
      <c r="R292" s="1672"/>
      <c r="S292" s="1672"/>
      <c r="T292" s="1672"/>
      <c r="U292" s="1672"/>
      <c r="V292" s="1672"/>
      <c r="W292" s="1672"/>
      <c r="X292" s="1323"/>
      <c r="Y292" s="1674">
        <f>SUM(Y293:Y294)</f>
        <v>7200</v>
      </c>
      <c r="Z292" s="1265">
        <f>Z293+Z294</f>
        <v>7200000</v>
      </c>
      <c r="AA292" s="275"/>
      <c r="AB292" s="275"/>
      <c r="AC292" s="1424"/>
    </row>
    <row r="293" spans="1:29" s="1835" customFormat="1" ht="21" customHeight="1">
      <c r="A293" s="1290"/>
      <c r="B293" s="1189"/>
      <c r="C293" s="1671"/>
      <c r="D293" s="1154"/>
      <c r="E293" s="1126"/>
      <c r="F293" s="472"/>
      <c r="G293" s="383"/>
      <c r="H293" s="482"/>
      <c r="I293" s="2559"/>
      <c r="J293" s="2345" t="s">
        <v>5486</v>
      </c>
      <c r="K293" s="1672"/>
      <c r="L293" s="1672"/>
      <c r="M293" s="1672"/>
      <c r="N293" s="1672"/>
      <c r="O293" s="1672"/>
      <c r="P293" s="1672"/>
      <c r="Q293" s="1672"/>
      <c r="R293" s="1672"/>
      <c r="S293" s="1672">
        <v>6000000</v>
      </c>
      <c r="T293" s="1672" t="s">
        <v>5454</v>
      </c>
      <c r="U293" s="1672"/>
      <c r="V293" s="1672">
        <v>1</v>
      </c>
      <c r="W293" s="1672" t="s">
        <v>5487</v>
      </c>
      <c r="X293" s="1323" t="s">
        <v>5456</v>
      </c>
      <c r="Y293" s="1674">
        <f t="shared" ref="Y293" si="109">S293*V293/1000</f>
        <v>6000</v>
      </c>
      <c r="Z293" s="1098">
        <f>S293*V293</f>
        <v>6000000</v>
      </c>
      <c r="AA293" s="275"/>
      <c r="AB293" s="275"/>
      <c r="AC293" s="1424"/>
    </row>
    <row r="294" spans="1:29" s="1835" customFormat="1" ht="21" customHeight="1">
      <c r="A294" s="1290"/>
      <c r="B294" s="1189"/>
      <c r="C294" s="1671"/>
      <c r="D294" s="1154"/>
      <c r="E294" s="1126"/>
      <c r="F294" s="472"/>
      <c r="G294" s="383"/>
      <c r="H294" s="482"/>
      <c r="I294" s="2559"/>
      <c r="J294" s="2345" t="s">
        <v>5488</v>
      </c>
      <c r="K294" s="1672"/>
      <c r="L294" s="1672"/>
      <c r="M294" s="1672"/>
      <c r="N294" s="1672"/>
      <c r="O294" s="1672"/>
      <c r="P294" s="1672"/>
      <c r="Q294" s="1672">
        <v>1</v>
      </c>
      <c r="R294" s="1672" t="s">
        <v>5462</v>
      </c>
      <c r="S294" s="1672">
        <v>100000</v>
      </c>
      <c r="T294" s="1672" t="s">
        <v>5454</v>
      </c>
      <c r="U294" s="1672"/>
      <c r="V294" s="1672">
        <v>12</v>
      </c>
      <c r="W294" s="1672" t="s">
        <v>5463</v>
      </c>
      <c r="X294" s="1323" t="s">
        <v>5456</v>
      </c>
      <c r="Y294" s="1674">
        <f>Q294*S294*V294/1000</f>
        <v>1200</v>
      </c>
      <c r="Z294" s="1098">
        <f t="shared" ref="Z294:Z295" si="110">Q294*S294*V294</f>
        <v>1200000</v>
      </c>
      <c r="AA294" s="275"/>
      <c r="AB294" s="275"/>
      <c r="AC294" s="1424"/>
    </row>
    <row r="295" spans="1:29" s="1835" customFormat="1" ht="21" customHeight="1">
      <c r="A295" s="1290"/>
      <c r="B295" s="1189"/>
      <c r="C295" s="1671"/>
      <c r="D295" s="1154"/>
      <c r="E295" s="1126" t="s">
        <v>5499</v>
      </c>
      <c r="F295" s="472">
        <f t="shared" si="107"/>
        <v>2800</v>
      </c>
      <c r="G295" s="383">
        <v>2800</v>
      </c>
      <c r="H295" s="482"/>
      <c r="I295" s="2559"/>
      <c r="J295" s="2345" t="s">
        <v>5489</v>
      </c>
      <c r="K295" s="1672"/>
      <c r="L295" s="1672"/>
      <c r="M295" s="1672"/>
      <c r="N295" s="1672"/>
      <c r="O295" s="1672"/>
      <c r="P295" s="1672"/>
      <c r="Q295" s="1672">
        <v>7</v>
      </c>
      <c r="R295" s="1672" t="s">
        <v>5462</v>
      </c>
      <c r="S295" s="1672">
        <v>200000</v>
      </c>
      <c r="T295" s="1672" t="s">
        <v>5454</v>
      </c>
      <c r="U295" s="1672"/>
      <c r="V295" s="1672">
        <v>2</v>
      </c>
      <c r="W295" s="1672" t="s">
        <v>5490</v>
      </c>
      <c r="X295" s="1323" t="s">
        <v>5456</v>
      </c>
      <c r="Y295" s="1674">
        <f>Q295*S295*V295/1000</f>
        <v>2800</v>
      </c>
      <c r="Z295" s="1098">
        <f t="shared" si="110"/>
        <v>2800000</v>
      </c>
      <c r="AA295" s="275"/>
      <c r="AB295" s="275"/>
      <c r="AC295" s="1424"/>
    </row>
    <row r="296" spans="1:29" s="1835" customFormat="1" ht="21" customHeight="1">
      <c r="A296" s="1290"/>
      <c r="B296" s="1189"/>
      <c r="C296" s="1671"/>
      <c r="D296" s="1154"/>
      <c r="E296" s="1126" t="s">
        <v>5500</v>
      </c>
      <c r="F296" s="472">
        <f t="shared" si="107"/>
        <v>342000</v>
      </c>
      <c r="G296" s="383">
        <v>145000</v>
      </c>
      <c r="H296" s="482">
        <f t="shared" si="108"/>
        <v>197000</v>
      </c>
      <c r="I296" s="2559"/>
      <c r="J296" s="2345" t="s">
        <v>5491</v>
      </c>
      <c r="K296" s="1672"/>
      <c r="L296" s="1672"/>
      <c r="M296" s="1672"/>
      <c r="N296" s="1672"/>
      <c r="O296" s="1672"/>
      <c r="P296" s="1672"/>
      <c r="Q296" s="1672"/>
      <c r="R296" s="1672"/>
      <c r="S296" s="1672">
        <v>342000000</v>
      </c>
      <c r="T296" s="1672" t="s">
        <v>5454</v>
      </c>
      <c r="U296" s="1672"/>
      <c r="V296" s="1672">
        <v>1</v>
      </c>
      <c r="W296" s="1672" t="s">
        <v>5458</v>
      </c>
      <c r="X296" s="1323" t="s">
        <v>5456</v>
      </c>
      <c r="Y296" s="1674">
        <f t="shared" ref="Y296:Y297" si="111">S296*V296/1000</f>
        <v>342000</v>
      </c>
      <c r="Z296" s="1265">
        <f t="shared" si="96"/>
        <v>342000000</v>
      </c>
      <c r="AA296" s="275"/>
      <c r="AB296" s="275"/>
      <c r="AC296" s="1424"/>
    </row>
    <row r="297" spans="1:29" s="1835" customFormat="1" ht="21" customHeight="1">
      <c r="A297" s="1290"/>
      <c r="B297" s="1189"/>
      <c r="C297" s="1671"/>
      <c r="D297" s="1154"/>
      <c r="E297" s="1126" t="s">
        <v>5501</v>
      </c>
      <c r="F297" s="472">
        <f t="shared" si="107"/>
        <v>5000</v>
      </c>
      <c r="G297" s="383">
        <v>5000</v>
      </c>
      <c r="H297" s="482"/>
      <c r="I297" s="2559"/>
      <c r="J297" s="2345" t="s">
        <v>5492</v>
      </c>
      <c r="K297" s="1672"/>
      <c r="L297" s="1672"/>
      <c r="M297" s="1672"/>
      <c r="N297" s="1672"/>
      <c r="O297" s="1672"/>
      <c r="P297" s="1672"/>
      <c r="Q297" s="1672"/>
      <c r="R297" s="1672"/>
      <c r="S297" s="1672">
        <v>5000000</v>
      </c>
      <c r="T297" s="1672" t="s">
        <v>5454</v>
      </c>
      <c r="U297" s="1672"/>
      <c r="V297" s="1672">
        <v>1</v>
      </c>
      <c r="W297" s="1672" t="s">
        <v>5458</v>
      </c>
      <c r="X297" s="1323" t="s">
        <v>5456</v>
      </c>
      <c r="Y297" s="1674">
        <f t="shared" si="111"/>
        <v>5000</v>
      </c>
      <c r="Z297" s="1265">
        <f t="shared" si="96"/>
        <v>5000000</v>
      </c>
      <c r="AA297" s="275"/>
      <c r="AB297" s="275"/>
      <c r="AC297" s="1424"/>
    </row>
    <row r="298" spans="1:29" s="1835" customFormat="1" ht="21" customHeight="1">
      <c r="A298" s="1290"/>
      <c r="B298" s="1189"/>
      <c r="C298" s="1671"/>
      <c r="D298" s="1154"/>
      <c r="E298" s="542" t="s">
        <v>5502</v>
      </c>
      <c r="F298" s="472">
        <f t="shared" si="107"/>
        <v>60000</v>
      </c>
      <c r="G298" s="383">
        <v>280000</v>
      </c>
      <c r="H298" s="482">
        <f t="shared" si="108"/>
        <v>-220000</v>
      </c>
      <c r="I298" s="2559"/>
      <c r="J298" s="2899" t="s">
        <v>5493</v>
      </c>
      <c r="K298" s="2889"/>
      <c r="L298" s="2889"/>
      <c r="M298" s="2889"/>
      <c r="N298" s="2889"/>
      <c r="O298" s="2889"/>
      <c r="P298" s="2889"/>
      <c r="Q298" s="2889"/>
      <c r="R298" s="405"/>
      <c r="S298" s="1672">
        <v>60000000</v>
      </c>
      <c r="T298" s="1672" t="s">
        <v>5454</v>
      </c>
      <c r="U298" s="1672"/>
      <c r="V298" s="1672">
        <v>1</v>
      </c>
      <c r="W298" s="1672" t="s">
        <v>5458</v>
      </c>
      <c r="X298" s="1323" t="s">
        <v>5456</v>
      </c>
      <c r="Y298" s="1674">
        <f>S298*V298/1000</f>
        <v>60000</v>
      </c>
      <c r="Z298" s="1265">
        <f t="shared" si="96"/>
        <v>60000000</v>
      </c>
      <c r="AA298" s="275"/>
      <c r="AB298" s="275"/>
      <c r="AC298" s="1424"/>
    </row>
    <row r="299" spans="1:29" s="1835" customFormat="1" ht="21" customHeight="1">
      <c r="A299" s="1290"/>
      <c r="B299" s="1189"/>
      <c r="C299" s="1671"/>
      <c r="D299" s="1154"/>
      <c r="E299" s="1126" t="s">
        <v>5503</v>
      </c>
      <c r="F299" s="472">
        <f t="shared" si="107"/>
        <v>50000</v>
      </c>
      <c r="G299" s="383">
        <v>12000</v>
      </c>
      <c r="H299" s="482">
        <f t="shared" si="108"/>
        <v>38000</v>
      </c>
      <c r="I299" s="2559"/>
      <c r="J299" s="2345" t="s">
        <v>5494</v>
      </c>
      <c r="K299" s="1672"/>
      <c r="L299" s="1672"/>
      <c r="M299" s="1672"/>
      <c r="N299" s="1672"/>
      <c r="O299" s="1672"/>
      <c r="P299" s="1672"/>
      <c r="Q299" s="1672"/>
      <c r="R299" s="1672"/>
      <c r="S299" s="1672">
        <v>50000000</v>
      </c>
      <c r="T299" s="1672" t="s">
        <v>5454</v>
      </c>
      <c r="U299" s="1672"/>
      <c r="V299" s="1672">
        <v>1</v>
      </c>
      <c r="W299" s="1672" t="s">
        <v>5457</v>
      </c>
      <c r="X299" s="1323" t="s">
        <v>5456</v>
      </c>
      <c r="Y299" s="1674">
        <f>S299*V299/1000</f>
        <v>50000</v>
      </c>
      <c r="Z299" s="1265">
        <f t="shared" si="96"/>
        <v>50000000</v>
      </c>
      <c r="AA299" s="275"/>
      <c r="AB299" s="275"/>
      <c r="AC299" s="1424"/>
    </row>
    <row r="300" spans="1:29" s="1835" customFormat="1" ht="21" customHeight="1">
      <c r="A300" s="1290"/>
      <c r="B300" s="1189"/>
      <c r="C300" s="1671"/>
      <c r="D300" s="1154"/>
      <c r="E300" s="1126" t="s">
        <v>5504</v>
      </c>
      <c r="F300" s="472">
        <f t="shared" si="107"/>
        <v>3000</v>
      </c>
      <c r="G300" s="383">
        <v>2800</v>
      </c>
      <c r="H300" s="482">
        <f t="shared" si="108"/>
        <v>200</v>
      </c>
      <c r="I300" s="2559"/>
      <c r="J300" s="2345" t="s">
        <v>5495</v>
      </c>
      <c r="K300" s="1672"/>
      <c r="L300" s="1672"/>
      <c r="M300" s="1672"/>
      <c r="N300" s="1672"/>
      <c r="O300" s="1672"/>
      <c r="P300" s="1672"/>
      <c r="Q300" s="1672"/>
      <c r="R300" s="1672"/>
      <c r="S300" s="1672">
        <v>150000</v>
      </c>
      <c r="T300" s="1672" t="s">
        <v>5454</v>
      </c>
      <c r="U300" s="1672"/>
      <c r="V300" s="1672">
        <v>20</v>
      </c>
      <c r="W300" s="1672" t="s">
        <v>5490</v>
      </c>
      <c r="X300" s="1323" t="s">
        <v>5456</v>
      </c>
      <c r="Y300" s="1674">
        <f t="shared" ref="Y300" si="112">S300*V300/1000</f>
        <v>3000</v>
      </c>
      <c r="Z300" s="1265">
        <f t="shared" si="96"/>
        <v>3000000</v>
      </c>
      <c r="AA300" s="275"/>
      <c r="AB300" s="275"/>
      <c r="AC300" s="1424"/>
    </row>
    <row r="301" spans="1:29" s="1835" customFormat="1" ht="21" customHeight="1">
      <c r="A301" s="1290"/>
      <c r="B301" s="1189"/>
      <c r="C301" s="1671"/>
      <c r="D301" s="3266" t="s">
        <v>4619</v>
      </c>
      <c r="E301" s="3267"/>
      <c r="F301" s="382">
        <f>SUM(F302:F309)</f>
        <v>100000</v>
      </c>
      <c r="G301" s="382">
        <f>SUM(G302:G309)</f>
        <v>100000</v>
      </c>
      <c r="H301" s="388">
        <f>+F301-G301</f>
        <v>0</v>
      </c>
      <c r="I301" s="2559"/>
      <c r="J301" s="1135"/>
      <c r="K301" s="2598"/>
      <c r="L301" s="2598"/>
      <c r="M301" s="2598"/>
      <c r="N301" s="2598"/>
      <c r="O301" s="2598"/>
      <c r="P301" s="2598"/>
      <c r="Q301" s="2598"/>
      <c r="R301" s="395"/>
      <c r="S301" s="1136"/>
      <c r="T301" s="1136"/>
      <c r="U301" s="1136"/>
      <c r="V301" s="1136"/>
      <c r="W301" s="1136"/>
      <c r="X301" s="1138"/>
      <c r="Y301" s="377"/>
      <c r="Z301" s="1265">
        <f t="shared" si="96"/>
        <v>0</v>
      </c>
      <c r="AA301" s="275"/>
      <c r="AB301" s="275"/>
      <c r="AC301" s="1424"/>
    </row>
    <row r="302" spans="1:29" s="1835" customFormat="1" ht="21" customHeight="1">
      <c r="A302" s="1290"/>
      <c r="B302" s="1189"/>
      <c r="C302" s="1671"/>
      <c r="D302" s="433"/>
      <c r="E302" s="434" t="s">
        <v>59</v>
      </c>
      <c r="F302" s="1788">
        <f t="shared" ref="F302:F309" si="113">Y302</f>
        <v>30000</v>
      </c>
      <c r="G302" s="2705">
        <v>30000</v>
      </c>
      <c r="H302" s="482"/>
      <c r="I302" s="2559"/>
      <c r="J302" s="2345" t="s">
        <v>5484</v>
      </c>
      <c r="K302" s="1672"/>
      <c r="L302" s="1672"/>
      <c r="M302" s="1672"/>
      <c r="N302" s="1672"/>
      <c r="O302" s="1672"/>
      <c r="P302" s="1672"/>
      <c r="Q302" s="1672">
        <v>1</v>
      </c>
      <c r="R302" s="1672" t="s">
        <v>5462</v>
      </c>
      <c r="S302" s="1672">
        <v>2500000</v>
      </c>
      <c r="T302" s="1672" t="s">
        <v>5454</v>
      </c>
      <c r="U302" s="1672"/>
      <c r="V302" s="1672">
        <v>12</v>
      </c>
      <c r="W302" s="1672" t="s">
        <v>5485</v>
      </c>
      <c r="X302" s="1323" t="s">
        <v>5456</v>
      </c>
      <c r="Y302" s="1674">
        <f>Q302*S302*V302/1000</f>
        <v>30000</v>
      </c>
      <c r="Z302" s="1098">
        <f>Q302*S302*V302</f>
        <v>30000000</v>
      </c>
      <c r="AA302" s="275"/>
      <c r="AB302" s="275"/>
      <c r="AC302" s="1424"/>
    </row>
    <row r="303" spans="1:29" s="1835" customFormat="1" ht="21" customHeight="1">
      <c r="A303" s="1290"/>
      <c r="B303" s="1189"/>
      <c r="C303" s="1671"/>
      <c r="D303" s="1154"/>
      <c r="E303" s="1126" t="s">
        <v>195</v>
      </c>
      <c r="F303" s="1788">
        <f>Y303</f>
        <v>9200</v>
      </c>
      <c r="G303" s="383">
        <v>9200</v>
      </c>
      <c r="H303" s="482"/>
      <c r="I303" s="2559"/>
      <c r="J303" s="2345" t="s">
        <v>5453</v>
      </c>
      <c r="K303" s="1672"/>
      <c r="L303" s="1672"/>
      <c r="M303" s="1672"/>
      <c r="N303" s="1672"/>
      <c r="O303" s="1672"/>
      <c r="P303" s="1672"/>
      <c r="Q303" s="1672"/>
      <c r="R303" s="1672"/>
      <c r="S303" s="1672"/>
      <c r="T303" s="1672"/>
      <c r="U303" s="1672"/>
      <c r="V303" s="1672"/>
      <c r="W303" s="1672"/>
      <c r="X303" s="1323"/>
      <c r="Y303" s="1674">
        <f>SUM(Y304:Y305)</f>
        <v>9200</v>
      </c>
      <c r="Z303" s="1265">
        <f>Z304+Z305</f>
        <v>9200000</v>
      </c>
      <c r="AA303" s="275"/>
      <c r="AB303" s="275"/>
      <c r="AC303" s="1424"/>
    </row>
    <row r="304" spans="1:29" s="1835" customFormat="1" ht="21" customHeight="1">
      <c r="A304" s="1290"/>
      <c r="B304" s="1189"/>
      <c r="C304" s="1671"/>
      <c r="D304" s="1154"/>
      <c r="E304" s="1126"/>
      <c r="F304" s="1788"/>
      <c r="G304" s="383"/>
      <c r="H304" s="482"/>
      <c r="I304" s="2559"/>
      <c r="J304" s="2345" t="s">
        <v>4661</v>
      </c>
      <c r="K304" s="1672"/>
      <c r="L304" s="1672"/>
      <c r="M304" s="1672"/>
      <c r="N304" s="1672"/>
      <c r="O304" s="1672"/>
      <c r="P304" s="1672"/>
      <c r="Q304" s="1672">
        <v>2</v>
      </c>
      <c r="R304" s="1672" t="s">
        <v>5462</v>
      </c>
      <c r="S304" s="1672">
        <v>30000</v>
      </c>
      <c r="T304" s="1672" t="s">
        <v>5454</v>
      </c>
      <c r="U304" s="1672"/>
      <c r="V304" s="1672">
        <v>20</v>
      </c>
      <c r="W304" s="1672" t="s">
        <v>5487</v>
      </c>
      <c r="X304" s="1323" t="s">
        <v>5456</v>
      </c>
      <c r="Y304" s="636">
        <f t="shared" ref="Y304:Y309" si="114">Z304/1000</f>
        <v>1200</v>
      </c>
      <c r="Z304" s="1098">
        <f>Q304*S304*V304</f>
        <v>1200000</v>
      </c>
      <c r="AA304" s="275"/>
      <c r="AB304" s="275"/>
      <c r="AC304" s="1424"/>
    </row>
    <row r="305" spans="1:29" s="1835" customFormat="1" ht="21" customHeight="1">
      <c r="A305" s="1290"/>
      <c r="B305" s="1189"/>
      <c r="C305" s="1671"/>
      <c r="D305" s="1154"/>
      <c r="E305" s="1126"/>
      <c r="F305" s="1788"/>
      <c r="G305" s="383"/>
      <c r="H305" s="482"/>
      <c r="I305" s="2559"/>
      <c r="J305" s="2345" t="s">
        <v>4662</v>
      </c>
      <c r="K305" s="1672"/>
      <c r="L305" s="1672"/>
      <c r="M305" s="1672"/>
      <c r="N305" s="1672"/>
      <c r="O305" s="1672"/>
      <c r="P305" s="1672"/>
      <c r="Q305" s="1672"/>
      <c r="R305" s="1672"/>
      <c r="S305" s="1672">
        <v>4000000</v>
      </c>
      <c r="T305" s="1672" t="s">
        <v>5454</v>
      </c>
      <c r="U305" s="1672"/>
      <c r="V305" s="1672">
        <v>2</v>
      </c>
      <c r="W305" s="1672" t="s">
        <v>220</v>
      </c>
      <c r="X305" s="1323" t="s">
        <v>5456</v>
      </c>
      <c r="Y305" s="636">
        <f t="shared" si="114"/>
        <v>8000</v>
      </c>
      <c r="Z305" s="1098">
        <f>S305*V305</f>
        <v>8000000</v>
      </c>
      <c r="AA305" s="275"/>
      <c r="AB305" s="275"/>
      <c r="AC305" s="1424"/>
    </row>
    <row r="306" spans="1:29" s="1835" customFormat="1" ht="21" customHeight="1">
      <c r="A306" s="1290"/>
      <c r="B306" s="1189"/>
      <c r="C306" s="1671"/>
      <c r="D306" s="1154"/>
      <c r="E306" s="1126" t="s">
        <v>15</v>
      </c>
      <c r="F306" s="383">
        <f>Y306</f>
        <v>2800</v>
      </c>
      <c r="G306" s="383">
        <v>2800</v>
      </c>
      <c r="H306" s="482"/>
      <c r="I306" s="2559"/>
      <c r="J306" s="2345" t="s">
        <v>4618</v>
      </c>
      <c r="K306" s="1672"/>
      <c r="L306" s="1672"/>
      <c r="M306" s="1672"/>
      <c r="N306" s="1672"/>
      <c r="O306" s="1672"/>
      <c r="P306" s="1672"/>
      <c r="Q306" s="1672">
        <v>7</v>
      </c>
      <c r="R306" s="1672" t="s">
        <v>33</v>
      </c>
      <c r="S306" s="1672">
        <v>200000</v>
      </c>
      <c r="T306" s="1672" t="s">
        <v>4</v>
      </c>
      <c r="U306" s="1672"/>
      <c r="V306" s="1672">
        <v>2</v>
      </c>
      <c r="W306" s="1672" t="s">
        <v>2969</v>
      </c>
      <c r="X306" s="1323" t="s">
        <v>5</v>
      </c>
      <c r="Y306" s="636">
        <f t="shared" si="114"/>
        <v>2800</v>
      </c>
      <c r="Z306" s="1098">
        <f>Q306*S306*V306</f>
        <v>2800000</v>
      </c>
      <c r="AA306" s="275"/>
      <c r="AB306" s="275"/>
      <c r="AC306" s="1424"/>
    </row>
    <row r="307" spans="1:29" s="1835" customFormat="1" ht="21" customHeight="1">
      <c r="A307" s="1290"/>
      <c r="B307" s="1189"/>
      <c r="C307" s="1671"/>
      <c r="D307" s="1154"/>
      <c r="E307" s="1126" t="s">
        <v>16</v>
      </c>
      <c r="F307" s="383">
        <f t="shared" si="113"/>
        <v>55000</v>
      </c>
      <c r="G307" s="383">
        <v>55000</v>
      </c>
      <c r="H307" s="482"/>
      <c r="I307" s="2559"/>
      <c r="J307" s="2345" t="s">
        <v>4620</v>
      </c>
      <c r="K307" s="1672"/>
      <c r="L307" s="1672"/>
      <c r="M307" s="1672"/>
      <c r="N307" s="1672"/>
      <c r="O307" s="1672"/>
      <c r="P307" s="1672"/>
      <c r="Q307" s="1672"/>
      <c r="R307" s="1672"/>
      <c r="S307" s="1672">
        <v>55000000</v>
      </c>
      <c r="T307" s="1672" t="s">
        <v>4</v>
      </c>
      <c r="U307" s="1672"/>
      <c r="V307" s="1672">
        <v>1</v>
      </c>
      <c r="W307" s="1672" t="s">
        <v>2826</v>
      </c>
      <c r="X307" s="1323" t="s">
        <v>5</v>
      </c>
      <c r="Y307" s="636">
        <f t="shared" si="114"/>
        <v>55000</v>
      </c>
      <c r="Z307" s="1265">
        <f t="shared" ref="Z307:Z337" si="115">S307*V307</f>
        <v>55000000</v>
      </c>
      <c r="AA307" s="275"/>
      <c r="AB307" s="275"/>
      <c r="AC307" s="1424"/>
    </row>
    <row r="308" spans="1:29" s="1835" customFormat="1" ht="21" customHeight="1">
      <c r="A308" s="1290"/>
      <c r="B308" s="1189"/>
      <c r="C308" s="1671"/>
      <c r="D308" s="1154"/>
      <c r="E308" s="1126" t="s">
        <v>67</v>
      </c>
      <c r="F308" s="1788">
        <f>Y308</f>
        <v>1000</v>
      </c>
      <c r="G308" s="2706">
        <v>1000</v>
      </c>
      <c r="H308" s="482"/>
      <c r="I308" s="2559"/>
      <c r="J308" s="2345" t="s">
        <v>5745</v>
      </c>
      <c r="K308" s="1672"/>
      <c r="L308" s="1672"/>
      <c r="M308" s="1672"/>
      <c r="N308" s="1672"/>
      <c r="O308" s="1672"/>
      <c r="P308" s="1672"/>
      <c r="Q308" s="1672"/>
      <c r="R308" s="1672"/>
      <c r="S308" s="1672">
        <v>1000000</v>
      </c>
      <c r="T308" s="1672" t="s">
        <v>4</v>
      </c>
      <c r="U308" s="1672"/>
      <c r="V308" s="1672">
        <v>1</v>
      </c>
      <c r="W308" s="1672" t="s">
        <v>196</v>
      </c>
      <c r="X308" s="1323" t="s">
        <v>5</v>
      </c>
      <c r="Y308" s="636">
        <f>Z308/1000</f>
        <v>1000</v>
      </c>
      <c r="Z308" s="1265">
        <f>S308*V308</f>
        <v>1000000</v>
      </c>
      <c r="AA308" s="275"/>
      <c r="AB308" s="275"/>
      <c r="AC308" s="1424"/>
    </row>
    <row r="309" spans="1:29" s="1835" customFormat="1" ht="21" customHeight="1">
      <c r="A309" s="1290"/>
      <c r="B309" s="1189"/>
      <c r="C309" s="1671"/>
      <c r="D309" s="1154"/>
      <c r="E309" s="1126" t="s">
        <v>14</v>
      </c>
      <c r="F309" s="383">
        <f t="shared" si="113"/>
        <v>2000</v>
      </c>
      <c r="G309" s="383">
        <v>2000</v>
      </c>
      <c r="H309" s="482"/>
      <c r="I309" s="2559"/>
      <c r="J309" s="2345" t="s">
        <v>4615</v>
      </c>
      <c r="K309" s="1672"/>
      <c r="L309" s="1672"/>
      <c r="M309" s="1672"/>
      <c r="N309" s="1672"/>
      <c r="O309" s="1672"/>
      <c r="P309" s="1672"/>
      <c r="Q309" s="1672"/>
      <c r="R309" s="1672"/>
      <c r="S309" s="1672">
        <v>200000</v>
      </c>
      <c r="T309" s="1672" t="s">
        <v>4</v>
      </c>
      <c r="U309" s="1672"/>
      <c r="V309" s="1672">
        <v>10</v>
      </c>
      <c r="W309" s="1672" t="s">
        <v>2969</v>
      </c>
      <c r="X309" s="1323" t="s">
        <v>5</v>
      </c>
      <c r="Y309" s="636">
        <f t="shared" si="114"/>
        <v>2000</v>
      </c>
      <c r="Z309" s="1265">
        <f t="shared" si="115"/>
        <v>2000000</v>
      </c>
      <c r="AA309" s="275"/>
      <c r="AB309" s="275"/>
      <c r="AC309" s="1424"/>
    </row>
    <row r="310" spans="1:29" s="1835" customFormat="1" ht="21" customHeight="1">
      <c r="A310" s="1290"/>
      <c r="B310" s="1189"/>
      <c r="C310" s="1671"/>
      <c r="D310" s="3266" t="s">
        <v>4621</v>
      </c>
      <c r="E310" s="3267"/>
      <c r="F310" s="382">
        <f>SUM(F311:F315)</f>
        <v>100000</v>
      </c>
      <c r="G310" s="382">
        <f>SUM(G311:G315)</f>
        <v>100000</v>
      </c>
      <c r="H310" s="388">
        <f>+F310-G310</f>
        <v>0</v>
      </c>
      <c r="I310" s="2559"/>
      <c r="J310" s="1135"/>
      <c r="K310" s="2598"/>
      <c r="L310" s="2598"/>
      <c r="M310" s="2598"/>
      <c r="N310" s="2598"/>
      <c r="O310" s="2598"/>
      <c r="P310" s="2598"/>
      <c r="Q310" s="2598"/>
      <c r="R310" s="395"/>
      <c r="S310" s="1136"/>
      <c r="T310" s="1136"/>
      <c r="U310" s="1136"/>
      <c r="V310" s="1136"/>
      <c r="W310" s="1136"/>
      <c r="X310" s="1138"/>
      <c r="Y310" s="377"/>
      <c r="Z310" s="1265">
        <f t="shared" si="115"/>
        <v>0</v>
      </c>
      <c r="AA310" s="275"/>
      <c r="AB310" s="275"/>
      <c r="AC310" s="1424"/>
    </row>
    <row r="311" spans="1:29" s="1835" customFormat="1" ht="21" customHeight="1">
      <c r="A311" s="1290"/>
      <c r="B311" s="1189"/>
      <c r="C311" s="1671"/>
      <c r="D311" s="1154"/>
      <c r="E311" s="1126" t="s">
        <v>195</v>
      </c>
      <c r="F311" s="1788">
        <f>Y311</f>
        <v>1800</v>
      </c>
      <c r="G311" s="383">
        <v>1800</v>
      </c>
      <c r="H311" s="391"/>
      <c r="I311" s="2559"/>
      <c r="J311" s="2345" t="s">
        <v>221</v>
      </c>
      <c r="K311" s="1672"/>
      <c r="L311" s="1672"/>
      <c r="M311" s="1672"/>
      <c r="N311" s="1672"/>
      <c r="O311" s="1672"/>
      <c r="P311" s="1672"/>
      <c r="Q311" s="1672">
        <v>2</v>
      </c>
      <c r="R311" s="1672" t="s">
        <v>33</v>
      </c>
      <c r="S311" s="1672">
        <v>30000</v>
      </c>
      <c r="T311" s="1672" t="s">
        <v>4</v>
      </c>
      <c r="U311" s="1672"/>
      <c r="V311" s="1672">
        <v>30</v>
      </c>
      <c r="W311" s="1672" t="s">
        <v>35</v>
      </c>
      <c r="X311" s="1323" t="s">
        <v>5</v>
      </c>
      <c r="Y311" s="636">
        <f>Z311/1000</f>
        <v>1800</v>
      </c>
      <c r="Z311" s="1098">
        <f>Q311*S311*V311</f>
        <v>1800000</v>
      </c>
      <c r="AA311" s="275"/>
      <c r="AB311" s="275"/>
      <c r="AC311" s="1424"/>
    </row>
    <row r="312" spans="1:29" s="1835" customFormat="1" ht="21" customHeight="1">
      <c r="A312" s="1290"/>
      <c r="B312" s="1189"/>
      <c r="C312" s="1671"/>
      <c r="D312" s="1154"/>
      <c r="E312" s="1126" t="s">
        <v>15</v>
      </c>
      <c r="F312" s="383">
        <f>Y312</f>
        <v>4200</v>
      </c>
      <c r="G312" s="383">
        <v>4200</v>
      </c>
      <c r="H312" s="391"/>
      <c r="I312" s="2559"/>
      <c r="J312" s="2345" t="s">
        <v>4618</v>
      </c>
      <c r="K312" s="1672"/>
      <c r="L312" s="1672"/>
      <c r="M312" s="1672"/>
      <c r="N312" s="1672"/>
      <c r="O312" s="1672"/>
      <c r="P312" s="1672"/>
      <c r="Q312" s="1672">
        <v>7</v>
      </c>
      <c r="R312" s="1672" t="s">
        <v>33</v>
      </c>
      <c r="S312" s="1672">
        <v>200000</v>
      </c>
      <c r="T312" s="1672" t="s">
        <v>4</v>
      </c>
      <c r="U312" s="1672"/>
      <c r="V312" s="1672">
        <v>3</v>
      </c>
      <c r="W312" s="1672" t="s">
        <v>2969</v>
      </c>
      <c r="X312" s="1323" t="s">
        <v>5</v>
      </c>
      <c r="Y312" s="636">
        <f>Z312/1000</f>
        <v>4200</v>
      </c>
      <c r="Z312" s="1098">
        <f>Q312*S312*V312</f>
        <v>4200000</v>
      </c>
      <c r="AA312" s="275"/>
      <c r="AB312" s="275"/>
      <c r="AC312" s="1424"/>
    </row>
    <row r="313" spans="1:29" s="1835" customFormat="1" ht="21" customHeight="1">
      <c r="A313" s="1290"/>
      <c r="B313" s="1189"/>
      <c r="C313" s="1671"/>
      <c r="D313" s="1154"/>
      <c r="E313" s="1126" t="s">
        <v>16</v>
      </c>
      <c r="F313" s="383">
        <f t="shared" ref="F313:F314" si="116">Y313</f>
        <v>85000</v>
      </c>
      <c r="G313" s="383">
        <v>85000</v>
      </c>
      <c r="H313" s="391"/>
      <c r="I313" s="2559"/>
      <c r="J313" s="2345" t="s">
        <v>4622</v>
      </c>
      <c r="K313" s="1672"/>
      <c r="L313" s="1672"/>
      <c r="M313" s="1672"/>
      <c r="N313" s="1672"/>
      <c r="O313" s="1672"/>
      <c r="P313" s="1672"/>
      <c r="Q313" s="1672"/>
      <c r="R313" s="1672"/>
      <c r="S313" s="1672">
        <v>85000000</v>
      </c>
      <c r="T313" s="1672" t="s">
        <v>4</v>
      </c>
      <c r="U313" s="1672"/>
      <c r="V313" s="1672">
        <v>1</v>
      </c>
      <c r="W313" s="1672" t="s">
        <v>2826</v>
      </c>
      <c r="X313" s="1323" t="s">
        <v>5</v>
      </c>
      <c r="Y313" s="636">
        <f t="shared" ref="Y313:Y315" si="117">Z313/1000</f>
        <v>85000</v>
      </c>
      <c r="Z313" s="1265">
        <f t="shared" si="115"/>
        <v>85000000</v>
      </c>
      <c r="AA313" s="275"/>
      <c r="AB313" s="275"/>
      <c r="AC313" s="1424"/>
    </row>
    <row r="314" spans="1:29" s="1835" customFormat="1" ht="21" customHeight="1">
      <c r="A314" s="1290"/>
      <c r="B314" s="1189"/>
      <c r="C314" s="1671"/>
      <c r="D314" s="1154"/>
      <c r="E314" s="1126" t="s">
        <v>14</v>
      </c>
      <c r="F314" s="383">
        <f t="shared" si="116"/>
        <v>1000</v>
      </c>
      <c r="G314" s="383">
        <v>1000</v>
      </c>
      <c r="H314" s="391"/>
      <c r="I314" s="2559"/>
      <c r="J314" s="2345" t="s">
        <v>4615</v>
      </c>
      <c r="K314" s="1672"/>
      <c r="L314" s="1672"/>
      <c r="M314" s="1672"/>
      <c r="N314" s="1672"/>
      <c r="O314" s="1672"/>
      <c r="P314" s="1672"/>
      <c r="Q314" s="1672"/>
      <c r="R314" s="1672"/>
      <c r="S314" s="1672">
        <v>200000</v>
      </c>
      <c r="T314" s="1672" t="s">
        <v>4</v>
      </c>
      <c r="U314" s="1672"/>
      <c r="V314" s="1672">
        <v>5</v>
      </c>
      <c r="W314" s="1672" t="s">
        <v>2969</v>
      </c>
      <c r="X314" s="1323" t="s">
        <v>5</v>
      </c>
      <c r="Y314" s="636">
        <f t="shared" si="117"/>
        <v>1000</v>
      </c>
      <c r="Z314" s="1265">
        <f t="shared" si="115"/>
        <v>1000000</v>
      </c>
      <c r="AA314" s="275"/>
      <c r="AB314" s="275"/>
      <c r="AC314" s="1424"/>
    </row>
    <row r="315" spans="1:29" s="1835" customFormat="1" ht="21" customHeight="1">
      <c r="A315" s="1290"/>
      <c r="B315" s="1189"/>
      <c r="C315" s="1671"/>
      <c r="D315" s="1154"/>
      <c r="E315" s="1126" t="s">
        <v>67</v>
      </c>
      <c r="F315" s="1788">
        <f>Y315</f>
        <v>8000</v>
      </c>
      <c r="G315" s="2706">
        <v>8000</v>
      </c>
      <c r="H315" s="391"/>
      <c r="I315" s="2559"/>
      <c r="J315" s="2345" t="s">
        <v>4623</v>
      </c>
      <c r="K315" s="1672"/>
      <c r="L315" s="1672"/>
      <c r="M315" s="1672"/>
      <c r="N315" s="1672"/>
      <c r="O315" s="1672"/>
      <c r="P315" s="1672"/>
      <c r="Q315" s="1672"/>
      <c r="R315" s="1672"/>
      <c r="S315" s="1672">
        <v>8000000</v>
      </c>
      <c r="T315" s="1672" t="s">
        <v>4</v>
      </c>
      <c r="U315" s="1672"/>
      <c r="V315" s="1672">
        <v>1</v>
      </c>
      <c r="W315" s="1672" t="s">
        <v>196</v>
      </c>
      <c r="X315" s="1323" t="s">
        <v>5</v>
      </c>
      <c r="Y315" s="636">
        <f t="shared" si="117"/>
        <v>8000</v>
      </c>
      <c r="Z315" s="1265">
        <f t="shared" si="115"/>
        <v>8000000</v>
      </c>
      <c r="AA315" s="275"/>
      <c r="AB315" s="275"/>
      <c r="AC315" s="1424"/>
    </row>
    <row r="316" spans="1:29" s="1835" customFormat="1" ht="21" customHeight="1">
      <c r="A316" s="1290"/>
      <c r="B316" s="1189"/>
      <c r="C316" s="1671"/>
      <c r="D316" s="3266" t="s">
        <v>4624</v>
      </c>
      <c r="E316" s="3352"/>
      <c r="F316" s="382">
        <f>SUM(F317:F327)</f>
        <v>300000</v>
      </c>
      <c r="G316" s="382">
        <f>SUM(G317:G327)</f>
        <v>300000</v>
      </c>
      <c r="H316" s="388">
        <f>+F316-G316</f>
        <v>0</v>
      </c>
      <c r="I316" s="2559"/>
      <c r="J316" s="1135"/>
      <c r="K316" s="2876"/>
      <c r="L316" s="2876"/>
      <c r="M316" s="2876"/>
      <c r="N316" s="2876"/>
      <c r="O316" s="2876"/>
      <c r="P316" s="2876"/>
      <c r="Q316" s="2876"/>
      <c r="R316" s="395"/>
      <c r="S316" s="1136"/>
      <c r="T316" s="1136"/>
      <c r="U316" s="1136"/>
      <c r="V316" s="1136"/>
      <c r="W316" s="1136"/>
      <c r="X316" s="1138"/>
      <c r="Y316" s="377"/>
      <c r="Z316" s="1265">
        <f t="shared" si="115"/>
        <v>0</v>
      </c>
      <c r="AA316" s="275"/>
      <c r="AB316" s="275"/>
      <c r="AC316" s="1424"/>
    </row>
    <row r="317" spans="1:29" s="1835" customFormat="1" ht="21" customHeight="1">
      <c r="A317" s="1290"/>
      <c r="B317" s="1189"/>
      <c r="C317" s="1671"/>
      <c r="D317" s="1154"/>
      <c r="E317" s="350" t="s">
        <v>59</v>
      </c>
      <c r="F317" s="1788">
        <f>Y317</f>
        <v>30000</v>
      </c>
      <c r="G317" s="1788">
        <v>30000</v>
      </c>
      <c r="H317" s="482"/>
      <c r="I317" s="2559"/>
      <c r="J317" s="2345" t="s">
        <v>5484</v>
      </c>
      <c r="K317" s="1672"/>
      <c r="L317" s="1672"/>
      <c r="M317" s="1672"/>
      <c r="N317" s="1672"/>
      <c r="O317" s="1672"/>
      <c r="P317" s="1672"/>
      <c r="Q317" s="1672">
        <v>1</v>
      </c>
      <c r="R317" s="1672" t="s">
        <v>5462</v>
      </c>
      <c r="S317" s="1672">
        <v>2500000</v>
      </c>
      <c r="T317" s="1672" t="s">
        <v>5454</v>
      </c>
      <c r="U317" s="1672"/>
      <c r="V317" s="1672">
        <v>12</v>
      </c>
      <c r="W317" s="1672" t="s">
        <v>5485</v>
      </c>
      <c r="X317" s="1323" t="s">
        <v>5456</v>
      </c>
      <c r="Y317" s="1674">
        <f>Q317*S317*V317/1000</f>
        <v>30000</v>
      </c>
      <c r="Z317" s="1098">
        <f>Q317*S317*V317</f>
        <v>30000000</v>
      </c>
      <c r="AA317" s="275"/>
      <c r="AB317" s="275"/>
      <c r="AC317" s="1424"/>
    </row>
    <row r="318" spans="1:29" s="1835" customFormat="1" ht="21" customHeight="1">
      <c r="A318" s="1290"/>
      <c r="B318" s="1189"/>
      <c r="C318" s="1671"/>
      <c r="D318" s="1154"/>
      <c r="E318" s="1126" t="s">
        <v>611</v>
      </c>
      <c r="F318" s="1788">
        <f>Y318</f>
        <v>160000</v>
      </c>
      <c r="G318" s="1788">
        <v>40000</v>
      </c>
      <c r="H318" s="482">
        <f>F318-G318</f>
        <v>120000</v>
      </c>
      <c r="I318" s="2559"/>
      <c r="J318" s="3348" t="s">
        <v>194</v>
      </c>
      <c r="K318" s="3349"/>
      <c r="L318" s="3349"/>
      <c r="M318" s="3349"/>
      <c r="N318" s="3349"/>
      <c r="O318" s="1672"/>
      <c r="P318" s="1672"/>
      <c r="Q318" s="1672"/>
      <c r="R318" s="1672"/>
      <c r="S318" s="1672"/>
      <c r="T318" s="1672"/>
      <c r="U318" s="1672"/>
      <c r="V318" s="1672"/>
      <c r="W318" s="1672"/>
      <c r="X318" s="1323"/>
      <c r="Y318" s="1674">
        <f>Z318/1000</f>
        <v>160000</v>
      </c>
      <c r="Z318" s="1265">
        <f>Z319+Z320</f>
        <v>160000000</v>
      </c>
      <c r="AA318" s="275"/>
      <c r="AB318" s="275"/>
      <c r="AC318" s="1424"/>
    </row>
    <row r="319" spans="1:29" s="1835" customFormat="1" ht="21" customHeight="1">
      <c r="A319" s="1290"/>
      <c r="B319" s="1189"/>
      <c r="C319" s="1671"/>
      <c r="D319" s="1154"/>
      <c r="E319" s="1126"/>
      <c r="F319" s="1788"/>
      <c r="G319" s="1788"/>
      <c r="H319" s="482"/>
      <c r="I319" s="2559"/>
      <c r="J319" s="3348" t="s">
        <v>5182</v>
      </c>
      <c r="K319" s="3349"/>
      <c r="L319" s="3349"/>
      <c r="M319" s="3349"/>
      <c r="N319" s="3349"/>
      <c r="O319" s="1672"/>
      <c r="P319" s="1672"/>
      <c r="Q319" s="1672"/>
      <c r="R319" s="1672"/>
      <c r="S319" s="1672">
        <v>40000000</v>
      </c>
      <c r="T319" s="1672" t="s">
        <v>5454</v>
      </c>
      <c r="U319" s="1672"/>
      <c r="V319" s="1672">
        <v>1</v>
      </c>
      <c r="W319" s="1672" t="s">
        <v>5458</v>
      </c>
      <c r="X319" s="1323" t="s">
        <v>5456</v>
      </c>
      <c r="Y319" s="1674">
        <f>S319*V319/1000</f>
        <v>40000</v>
      </c>
      <c r="Z319" s="1265">
        <f>S319*V319</f>
        <v>40000000</v>
      </c>
      <c r="AA319" s="275"/>
      <c r="AB319" s="275"/>
      <c r="AC319" s="1424"/>
    </row>
    <row r="320" spans="1:29" s="1835" customFormat="1" ht="21" customHeight="1">
      <c r="A320" s="1290"/>
      <c r="B320" s="1189"/>
      <c r="C320" s="1671"/>
      <c r="D320" s="1154"/>
      <c r="E320" s="1189"/>
      <c r="F320" s="1788"/>
      <c r="G320" s="1788"/>
      <c r="H320" s="482"/>
      <c r="I320" s="2559"/>
      <c r="J320" s="1835" t="s">
        <v>5183</v>
      </c>
      <c r="S320" s="1424">
        <v>120000000</v>
      </c>
      <c r="T320" s="1835" t="s">
        <v>5454</v>
      </c>
      <c r="V320" s="1835">
        <v>1</v>
      </c>
      <c r="W320" s="1835" t="s">
        <v>5457</v>
      </c>
      <c r="X320" s="2983" t="s">
        <v>5456</v>
      </c>
      <c r="Y320" s="1424">
        <v>120000</v>
      </c>
      <c r="Z320" s="1098">
        <f>S320*V320</f>
        <v>120000000</v>
      </c>
      <c r="AA320" s="275"/>
      <c r="AB320" s="275"/>
      <c r="AC320" s="1424"/>
    </row>
    <row r="321" spans="1:29" s="1835" customFormat="1" ht="21" customHeight="1">
      <c r="A321" s="1290"/>
      <c r="B321" s="1189"/>
      <c r="C321" s="1671"/>
      <c r="D321" s="1154"/>
      <c r="E321" s="1126" t="s">
        <v>224</v>
      </c>
      <c r="F321" s="1788">
        <f>Y321</f>
        <v>1400</v>
      </c>
      <c r="G321" s="1788">
        <v>1400</v>
      </c>
      <c r="H321" s="482"/>
      <c r="I321" s="2559"/>
      <c r="J321" s="2345" t="s">
        <v>5566</v>
      </c>
      <c r="K321" s="1672"/>
      <c r="L321" s="1672"/>
      <c r="M321" s="1672"/>
      <c r="N321" s="1672"/>
      <c r="O321" s="1672"/>
      <c r="P321" s="1672"/>
      <c r="Q321" s="1672"/>
      <c r="R321" s="1672"/>
      <c r="S321" s="1672">
        <v>1400000</v>
      </c>
      <c r="T321" s="1672" t="s">
        <v>5454</v>
      </c>
      <c r="U321" s="1672"/>
      <c r="V321" s="1672">
        <v>1</v>
      </c>
      <c r="W321" s="1672" t="s">
        <v>5458</v>
      </c>
      <c r="X321" s="1323" t="s">
        <v>5456</v>
      </c>
      <c r="Y321" s="1674">
        <f t="shared" ref="Y321" si="118">S321*V321/1000</f>
        <v>1400</v>
      </c>
      <c r="Z321" s="1098">
        <f>S321*V321</f>
        <v>1400000</v>
      </c>
      <c r="AA321" s="275"/>
      <c r="AB321" s="275"/>
      <c r="AC321" s="1424"/>
    </row>
    <row r="322" spans="1:29" s="1835" customFormat="1" ht="21" customHeight="1">
      <c r="A322" s="1290"/>
      <c r="B322" s="1189"/>
      <c r="C322" s="1671"/>
      <c r="D322" s="1154"/>
      <c r="E322" s="1126" t="s">
        <v>195</v>
      </c>
      <c r="F322" s="1788">
        <f t="shared" ref="F322:F327" si="119">Y322</f>
        <v>1800</v>
      </c>
      <c r="G322" s="1788">
        <v>1800</v>
      </c>
      <c r="H322" s="482"/>
      <c r="I322" s="2559"/>
      <c r="J322" s="2345" t="s">
        <v>5567</v>
      </c>
      <c r="K322" s="1672"/>
      <c r="L322" s="1672"/>
      <c r="M322" s="1672"/>
      <c r="N322" s="1672"/>
      <c r="O322" s="1672"/>
      <c r="P322" s="1672"/>
      <c r="Q322" s="1672">
        <v>2</v>
      </c>
      <c r="R322" s="1672" t="s">
        <v>5462</v>
      </c>
      <c r="S322" s="1672">
        <v>30000</v>
      </c>
      <c r="T322" s="1672" t="s">
        <v>5454</v>
      </c>
      <c r="U322" s="1672"/>
      <c r="V322" s="1672">
        <v>30</v>
      </c>
      <c r="W322" s="1672" t="s">
        <v>5490</v>
      </c>
      <c r="X322" s="1323" t="s">
        <v>5456</v>
      </c>
      <c r="Y322" s="1674">
        <f>Q322*S322*V322/1000</f>
        <v>1800</v>
      </c>
      <c r="Z322" s="1265">
        <f t="shared" si="115"/>
        <v>900000</v>
      </c>
      <c r="AA322" s="275"/>
      <c r="AB322" s="275"/>
      <c r="AC322" s="1424"/>
    </row>
    <row r="323" spans="1:29" s="1835" customFormat="1" ht="24" customHeight="1">
      <c r="A323" s="1290"/>
      <c r="B323" s="1189"/>
      <c r="C323" s="1671"/>
      <c r="D323" s="1154"/>
      <c r="E323" s="1126" t="s">
        <v>269</v>
      </c>
      <c r="F323" s="1788">
        <f t="shared" si="119"/>
        <v>2800</v>
      </c>
      <c r="G323" s="1788">
        <v>2800</v>
      </c>
      <c r="H323" s="482"/>
      <c r="I323" s="2559"/>
      <c r="J323" s="2345" t="s">
        <v>5489</v>
      </c>
      <c r="K323" s="1672"/>
      <c r="L323" s="1672"/>
      <c r="M323" s="1672"/>
      <c r="N323" s="1672"/>
      <c r="O323" s="1672"/>
      <c r="P323" s="1672"/>
      <c r="Q323" s="1672">
        <v>7</v>
      </c>
      <c r="R323" s="1672" t="s">
        <v>5462</v>
      </c>
      <c r="S323" s="1672">
        <v>200000</v>
      </c>
      <c r="T323" s="1672" t="s">
        <v>5454</v>
      </c>
      <c r="U323" s="1672"/>
      <c r="V323" s="1672">
        <v>2</v>
      </c>
      <c r="W323" s="1672" t="s">
        <v>5490</v>
      </c>
      <c r="X323" s="1323" t="s">
        <v>5456</v>
      </c>
      <c r="Y323" s="1674">
        <f>Q323*S323*V323/1000</f>
        <v>2800</v>
      </c>
      <c r="Z323" s="1098">
        <f>Q323*S323*V323</f>
        <v>2800000</v>
      </c>
      <c r="AA323" s="275"/>
      <c r="AB323" s="275"/>
      <c r="AC323" s="1424"/>
    </row>
    <row r="324" spans="1:29" s="1835" customFormat="1" ht="24" customHeight="1">
      <c r="A324" s="1290"/>
      <c r="B324" s="1189"/>
      <c r="C324" s="1671"/>
      <c r="D324" s="1154"/>
      <c r="E324" s="1126" t="s">
        <v>287</v>
      </c>
      <c r="F324" s="1788">
        <f t="shared" si="119"/>
        <v>80000</v>
      </c>
      <c r="G324" s="1788">
        <v>200000</v>
      </c>
      <c r="H324" s="482">
        <f t="shared" ref="H324:H326" si="120">F324-G324</f>
        <v>-120000</v>
      </c>
      <c r="I324" s="2559"/>
      <c r="J324" s="2345" t="s">
        <v>5568</v>
      </c>
      <c r="K324" s="1672"/>
      <c r="L324" s="1672"/>
      <c r="M324" s="1672"/>
      <c r="N324" s="1672"/>
      <c r="O324" s="1672"/>
      <c r="P324" s="1672"/>
      <c r="Q324" s="1672"/>
      <c r="R324" s="1672"/>
      <c r="S324" s="1672">
        <v>80000000</v>
      </c>
      <c r="T324" s="1672" t="s">
        <v>5454</v>
      </c>
      <c r="U324" s="1672"/>
      <c r="V324" s="1672">
        <v>1</v>
      </c>
      <c r="W324" s="1672" t="s">
        <v>5458</v>
      </c>
      <c r="X324" s="1323" t="s">
        <v>5456</v>
      </c>
      <c r="Y324" s="1674">
        <f t="shared" ref="Y324:Y327" si="121">S324*V324/1000</f>
        <v>80000</v>
      </c>
      <c r="Z324" s="1098">
        <f>S324*V324</f>
        <v>80000000</v>
      </c>
      <c r="AA324" s="275"/>
      <c r="AB324" s="275"/>
      <c r="AC324" s="1424"/>
    </row>
    <row r="325" spans="1:29" s="1835" customFormat="1" ht="24" customHeight="1">
      <c r="A325" s="1290"/>
      <c r="B325" s="1189"/>
      <c r="C325" s="1671"/>
      <c r="D325" s="1154"/>
      <c r="E325" s="1126" t="s">
        <v>703</v>
      </c>
      <c r="F325" s="1788">
        <f t="shared" si="119"/>
        <v>5000</v>
      </c>
      <c r="G325" s="1788">
        <v>0</v>
      </c>
      <c r="H325" s="482">
        <f t="shared" si="120"/>
        <v>5000</v>
      </c>
      <c r="I325" s="2559"/>
      <c r="J325" s="2345" t="s">
        <v>5492</v>
      </c>
      <c r="K325" s="1672"/>
      <c r="L325" s="1672"/>
      <c r="M325" s="1672"/>
      <c r="N325" s="1672"/>
      <c r="O325" s="1672"/>
      <c r="P325" s="1672"/>
      <c r="Q325" s="1672"/>
      <c r="R325" s="1672"/>
      <c r="S325" s="1672">
        <v>5000000</v>
      </c>
      <c r="T325" s="1672" t="s">
        <v>5454</v>
      </c>
      <c r="U325" s="1672"/>
      <c r="V325" s="1672">
        <v>1</v>
      </c>
      <c r="W325" s="1672" t="s">
        <v>5458</v>
      </c>
      <c r="X325" s="1323" t="s">
        <v>5456</v>
      </c>
      <c r="Y325" s="1674">
        <f t="shared" si="121"/>
        <v>5000</v>
      </c>
      <c r="Z325" s="1098">
        <f>S325*V325</f>
        <v>5000000</v>
      </c>
      <c r="AA325" s="275"/>
      <c r="AB325" s="275"/>
      <c r="AC325" s="1424"/>
    </row>
    <row r="326" spans="1:29" s="1835" customFormat="1" ht="24" customHeight="1">
      <c r="A326" s="1290"/>
      <c r="B326" s="1189"/>
      <c r="C326" s="1671"/>
      <c r="D326" s="1154"/>
      <c r="E326" s="1126" t="s">
        <v>602</v>
      </c>
      <c r="F326" s="1788">
        <f>Y326</f>
        <v>15000</v>
      </c>
      <c r="G326" s="1788">
        <v>20000</v>
      </c>
      <c r="H326" s="482">
        <f t="shared" si="120"/>
        <v>-5000</v>
      </c>
      <c r="I326" s="2559"/>
      <c r="J326" s="2345" t="s">
        <v>5569</v>
      </c>
      <c r="K326" s="1672"/>
      <c r="L326" s="1672"/>
      <c r="M326" s="1672"/>
      <c r="N326" s="1672"/>
      <c r="O326" s="1672"/>
      <c r="P326" s="1672"/>
      <c r="Q326" s="1672"/>
      <c r="R326" s="1672"/>
      <c r="S326" s="1672">
        <v>15000000</v>
      </c>
      <c r="T326" s="1672" t="s">
        <v>5454</v>
      </c>
      <c r="U326" s="1672"/>
      <c r="V326" s="1672">
        <v>1</v>
      </c>
      <c r="W326" s="1672" t="s">
        <v>5457</v>
      </c>
      <c r="X326" s="1323" t="s">
        <v>5456</v>
      </c>
      <c r="Y326" s="1674">
        <f>S326*V326/1000</f>
        <v>15000</v>
      </c>
      <c r="Z326" s="1098">
        <f>S326*V326</f>
        <v>15000000</v>
      </c>
      <c r="AA326" s="275"/>
      <c r="AB326" s="275"/>
      <c r="AC326" s="1424"/>
    </row>
    <row r="327" spans="1:29" s="1835" customFormat="1" ht="24" customHeight="1">
      <c r="A327" s="1290"/>
      <c r="B327" s="1189"/>
      <c r="C327" s="1671"/>
      <c r="D327" s="1154"/>
      <c r="E327" s="359" t="s">
        <v>271</v>
      </c>
      <c r="F327" s="1788">
        <f t="shared" si="119"/>
        <v>4000</v>
      </c>
      <c r="G327" s="1788">
        <v>4000</v>
      </c>
      <c r="H327" s="482"/>
      <c r="I327" s="2559"/>
      <c r="J327" s="2345" t="s">
        <v>5495</v>
      </c>
      <c r="K327" s="1672"/>
      <c r="L327" s="1672"/>
      <c r="M327" s="1672"/>
      <c r="N327" s="1672"/>
      <c r="O327" s="1672"/>
      <c r="P327" s="1672"/>
      <c r="Q327" s="1672"/>
      <c r="R327" s="1672"/>
      <c r="S327" s="1672">
        <v>200000</v>
      </c>
      <c r="T327" s="1672" t="s">
        <v>5454</v>
      </c>
      <c r="U327" s="1672"/>
      <c r="V327" s="1672">
        <v>20</v>
      </c>
      <c r="W327" s="1672" t="s">
        <v>5490</v>
      </c>
      <c r="X327" s="1323" t="s">
        <v>5456</v>
      </c>
      <c r="Y327" s="1674">
        <f t="shared" si="121"/>
        <v>4000</v>
      </c>
      <c r="Z327" s="1098">
        <f t="shared" ref="Z327" si="122">S327*V327</f>
        <v>4000000</v>
      </c>
      <c r="AA327" s="275"/>
      <c r="AB327" s="275"/>
      <c r="AC327" s="1424"/>
    </row>
    <row r="328" spans="1:29" s="1835" customFormat="1" ht="24" customHeight="1">
      <c r="A328" s="1290"/>
      <c r="B328" s="1189"/>
      <c r="C328" s="1671"/>
      <c r="D328" s="3266" t="s">
        <v>4625</v>
      </c>
      <c r="E328" s="3267"/>
      <c r="F328" s="382">
        <f>SUM(F329:F334)</f>
        <v>300000</v>
      </c>
      <c r="G328" s="382">
        <f>SUM(G329:G334)</f>
        <v>300000</v>
      </c>
      <c r="H328" s="388">
        <f>+F328-G328</f>
        <v>0</v>
      </c>
      <c r="I328" s="2559"/>
      <c r="J328" s="1135"/>
      <c r="K328" s="2598"/>
      <c r="L328" s="2598"/>
      <c r="M328" s="2598"/>
      <c r="N328" s="2598"/>
      <c r="O328" s="2598"/>
      <c r="P328" s="2598"/>
      <c r="Q328" s="2598"/>
      <c r="R328" s="395"/>
      <c r="S328" s="1136"/>
      <c r="T328" s="1136"/>
      <c r="U328" s="1136"/>
      <c r="V328" s="1136"/>
      <c r="W328" s="1136"/>
      <c r="X328" s="1138"/>
      <c r="Y328" s="377"/>
      <c r="Z328" s="1265">
        <f t="shared" si="115"/>
        <v>0</v>
      </c>
      <c r="AA328" s="275"/>
      <c r="AB328" s="275"/>
      <c r="AC328" s="1424"/>
    </row>
    <row r="329" spans="1:29" s="1835" customFormat="1" ht="24" customHeight="1">
      <c r="A329" s="1290"/>
      <c r="B329" s="1189"/>
      <c r="C329" s="1671"/>
      <c r="D329" s="1154"/>
      <c r="E329" s="1126" t="s">
        <v>611</v>
      </c>
      <c r="F329" s="1788">
        <f>Y329</f>
        <v>20000</v>
      </c>
      <c r="G329" s="383">
        <v>20000</v>
      </c>
      <c r="H329" s="391"/>
      <c r="I329" s="2559"/>
      <c r="J329" s="2345" t="s">
        <v>4626</v>
      </c>
      <c r="K329" s="1672"/>
      <c r="L329" s="1672"/>
      <c r="M329" s="1672"/>
      <c r="N329" s="1672"/>
      <c r="O329" s="1672"/>
      <c r="P329" s="1672"/>
      <c r="Q329" s="1672"/>
      <c r="R329" s="1672"/>
      <c r="S329" s="1672">
        <v>20000000</v>
      </c>
      <c r="T329" s="1672" t="s">
        <v>4</v>
      </c>
      <c r="U329" s="1672"/>
      <c r="V329" s="1672">
        <v>1</v>
      </c>
      <c r="W329" s="1672" t="s">
        <v>2826</v>
      </c>
      <c r="X329" s="1323" t="s">
        <v>5</v>
      </c>
      <c r="Y329" s="636">
        <f t="shared" ref="Y329:Y334" si="123">Z329/1000</f>
        <v>20000</v>
      </c>
      <c r="Z329" s="1265">
        <f t="shared" si="115"/>
        <v>20000000</v>
      </c>
      <c r="AA329" s="275"/>
      <c r="AB329" s="275"/>
      <c r="AC329" s="1424"/>
    </row>
    <row r="330" spans="1:29" s="1835" customFormat="1" ht="24" customHeight="1">
      <c r="A330" s="1290"/>
      <c r="B330" s="1189"/>
      <c r="C330" s="1671"/>
      <c r="D330" s="1154"/>
      <c r="E330" s="1126" t="s">
        <v>195</v>
      </c>
      <c r="F330" s="1788">
        <f t="shared" ref="F330:F334" si="124">Y330</f>
        <v>2400</v>
      </c>
      <c r="G330" s="383">
        <v>2400</v>
      </c>
      <c r="H330" s="391"/>
      <c r="I330" s="2559"/>
      <c r="J330" s="2345" t="s">
        <v>221</v>
      </c>
      <c r="K330" s="1672"/>
      <c r="L330" s="1672"/>
      <c r="M330" s="1672"/>
      <c r="N330" s="1672"/>
      <c r="O330" s="1672"/>
      <c r="P330" s="1672"/>
      <c r="Q330" s="1672">
        <v>2</v>
      </c>
      <c r="R330" s="1672" t="s">
        <v>33</v>
      </c>
      <c r="S330" s="1672">
        <v>30000</v>
      </c>
      <c r="T330" s="1672" t="s">
        <v>4</v>
      </c>
      <c r="U330" s="1672"/>
      <c r="V330" s="1672">
        <v>40</v>
      </c>
      <c r="W330" s="1672" t="s">
        <v>2969</v>
      </c>
      <c r="X330" s="1323" t="s">
        <v>5</v>
      </c>
      <c r="Y330" s="636">
        <f t="shared" si="123"/>
        <v>2400</v>
      </c>
      <c r="Z330" s="1098">
        <f>Q330*S330*V330</f>
        <v>2400000</v>
      </c>
      <c r="AA330" s="275"/>
      <c r="AB330" s="275"/>
      <c r="AC330" s="1424"/>
    </row>
    <row r="331" spans="1:29" s="1835" customFormat="1" ht="24" customHeight="1">
      <c r="A331" s="1290"/>
      <c r="B331" s="1189"/>
      <c r="C331" s="1671"/>
      <c r="D331" s="1154"/>
      <c r="E331" s="1126" t="s">
        <v>15</v>
      </c>
      <c r="F331" s="1788">
        <f t="shared" si="124"/>
        <v>2400</v>
      </c>
      <c r="G331" s="383">
        <v>2400</v>
      </c>
      <c r="H331" s="391"/>
      <c r="I331" s="2559"/>
      <c r="J331" s="2345" t="s">
        <v>4618</v>
      </c>
      <c r="K331" s="1672"/>
      <c r="L331" s="1672"/>
      <c r="M331" s="1672"/>
      <c r="N331" s="1672"/>
      <c r="O331" s="1672"/>
      <c r="P331" s="1672"/>
      <c r="Q331" s="1672">
        <v>6</v>
      </c>
      <c r="R331" s="1672" t="s">
        <v>33</v>
      </c>
      <c r="S331" s="1672">
        <v>200000</v>
      </c>
      <c r="T331" s="1672" t="s">
        <v>4</v>
      </c>
      <c r="U331" s="1672"/>
      <c r="V331" s="1672">
        <v>2</v>
      </c>
      <c r="W331" s="1672" t="s">
        <v>2969</v>
      </c>
      <c r="X331" s="1323" t="s">
        <v>5</v>
      </c>
      <c r="Y331" s="636">
        <f t="shared" si="123"/>
        <v>2400</v>
      </c>
      <c r="Z331" s="1098">
        <f>Q331*S331*V331</f>
        <v>2400000</v>
      </c>
      <c r="AA331" s="275"/>
      <c r="AB331" s="275"/>
      <c r="AC331" s="1424"/>
    </row>
    <row r="332" spans="1:29" s="1835" customFormat="1" ht="24" customHeight="1">
      <c r="A332" s="1290"/>
      <c r="B332" s="1189"/>
      <c r="C332" s="1671"/>
      <c r="D332" s="1154"/>
      <c r="E332" s="1126" t="s">
        <v>16</v>
      </c>
      <c r="F332" s="1788">
        <f t="shared" si="124"/>
        <v>270000</v>
      </c>
      <c r="G332" s="383">
        <v>270000</v>
      </c>
      <c r="H332" s="391"/>
      <c r="I332" s="2559"/>
      <c r="J332" s="2345" t="s">
        <v>2971</v>
      </c>
      <c r="K332" s="1672"/>
      <c r="L332" s="1672"/>
      <c r="M332" s="1672"/>
      <c r="N332" s="1672"/>
      <c r="O332" s="1672"/>
      <c r="P332" s="1672"/>
      <c r="Q332" s="1672"/>
      <c r="R332" s="1672"/>
      <c r="S332" s="1672">
        <v>270000000</v>
      </c>
      <c r="T332" s="1672" t="s">
        <v>4</v>
      </c>
      <c r="U332" s="1672"/>
      <c r="V332" s="1672">
        <v>1</v>
      </c>
      <c r="W332" s="1672" t="s">
        <v>2826</v>
      </c>
      <c r="X332" s="1323" t="s">
        <v>5</v>
      </c>
      <c r="Y332" s="636">
        <f t="shared" si="123"/>
        <v>270000</v>
      </c>
      <c r="Z332" s="1265">
        <f t="shared" si="115"/>
        <v>270000000</v>
      </c>
      <c r="AA332" s="275"/>
      <c r="AB332" s="275"/>
      <c r="AC332" s="1424"/>
    </row>
    <row r="333" spans="1:29" s="1835" customFormat="1" ht="24" customHeight="1">
      <c r="A333" s="1290"/>
      <c r="B333" s="1189"/>
      <c r="C333" s="1671"/>
      <c r="D333" s="1154"/>
      <c r="E333" s="1126" t="s">
        <v>67</v>
      </c>
      <c r="F333" s="1788">
        <f>Y333</f>
        <v>3000</v>
      </c>
      <c r="G333" s="2706">
        <v>3000</v>
      </c>
      <c r="H333" s="391"/>
      <c r="I333" s="2559"/>
      <c r="J333" s="2345" t="s">
        <v>4627</v>
      </c>
      <c r="K333" s="1672"/>
      <c r="L333" s="1672"/>
      <c r="M333" s="1672"/>
      <c r="N333" s="1672"/>
      <c r="O333" s="1672"/>
      <c r="P333" s="1672"/>
      <c r="Q333" s="1672"/>
      <c r="R333" s="1672"/>
      <c r="S333" s="1672">
        <v>3000000</v>
      </c>
      <c r="T333" s="1672" t="s">
        <v>4</v>
      </c>
      <c r="U333" s="1672"/>
      <c r="V333" s="1672">
        <v>1</v>
      </c>
      <c r="W333" s="1672" t="s">
        <v>196</v>
      </c>
      <c r="X333" s="1323" t="s">
        <v>5</v>
      </c>
      <c r="Y333" s="636">
        <f t="shared" ref="Y333" si="125">Z333/1000</f>
        <v>3000</v>
      </c>
      <c r="Z333" s="1265">
        <f t="shared" ref="Z333" si="126">S333*V333</f>
        <v>3000000</v>
      </c>
      <c r="AA333" s="275"/>
      <c r="AB333" s="275"/>
      <c r="AC333" s="1424"/>
    </row>
    <row r="334" spans="1:29" s="1835" customFormat="1" ht="24" customHeight="1">
      <c r="A334" s="1290"/>
      <c r="B334" s="1189"/>
      <c r="C334" s="1671"/>
      <c r="D334" s="1154"/>
      <c r="E334" s="1126" t="s">
        <v>14</v>
      </c>
      <c r="F334" s="1788">
        <f t="shared" si="124"/>
        <v>2200</v>
      </c>
      <c r="G334" s="383">
        <v>2200</v>
      </c>
      <c r="H334" s="391"/>
      <c r="I334" s="2559"/>
      <c r="J334" s="2345" t="s">
        <v>4615</v>
      </c>
      <c r="K334" s="1672"/>
      <c r="L334" s="1672"/>
      <c r="M334" s="1672"/>
      <c r="N334" s="1672"/>
      <c r="O334" s="1672"/>
      <c r="P334" s="1672"/>
      <c r="Q334" s="1672"/>
      <c r="R334" s="1672"/>
      <c r="S334" s="1672">
        <v>200000</v>
      </c>
      <c r="T334" s="1672" t="s">
        <v>4</v>
      </c>
      <c r="U334" s="1672"/>
      <c r="V334" s="1672">
        <v>11</v>
      </c>
      <c r="W334" s="1672" t="s">
        <v>2969</v>
      </c>
      <c r="X334" s="1323" t="s">
        <v>5</v>
      </c>
      <c r="Y334" s="636">
        <f t="shared" si="123"/>
        <v>2200</v>
      </c>
      <c r="Z334" s="1265">
        <f t="shared" si="115"/>
        <v>2200000</v>
      </c>
      <c r="AA334" s="275"/>
      <c r="AB334" s="275"/>
      <c r="AC334" s="1424"/>
    </row>
    <row r="335" spans="1:29" s="1835" customFormat="1" ht="24" customHeight="1">
      <c r="A335" s="1290"/>
      <c r="B335" s="1189"/>
      <c r="C335" s="1671"/>
      <c r="D335" s="3266" t="s">
        <v>5073</v>
      </c>
      <c r="E335" s="3267"/>
      <c r="F335" s="382">
        <f>SUM(F336:F347)</f>
        <v>136000</v>
      </c>
      <c r="G335" s="382">
        <f>SUM(G336:G347)</f>
        <v>136000</v>
      </c>
      <c r="H335" s="388">
        <f>+F335-G335</f>
        <v>0</v>
      </c>
      <c r="I335" s="2559"/>
      <c r="J335" s="1821" t="s">
        <v>5074</v>
      </c>
      <c r="K335" s="399"/>
      <c r="L335" s="399"/>
      <c r="M335" s="399"/>
      <c r="N335" s="2876"/>
      <c r="O335" s="2876"/>
      <c r="P335" s="2876"/>
      <c r="Q335" s="2876"/>
      <c r="R335" s="395"/>
      <c r="S335" s="1136"/>
      <c r="T335" s="1136"/>
      <c r="U335" s="1136"/>
      <c r="V335" s="1136"/>
      <c r="W335" s="1136"/>
      <c r="X335" s="1138"/>
      <c r="Y335" s="377"/>
      <c r="Z335" s="1265">
        <f t="shared" si="115"/>
        <v>0</v>
      </c>
      <c r="AA335" s="275"/>
      <c r="AB335" s="275"/>
      <c r="AC335" s="1424"/>
    </row>
    <row r="336" spans="1:29" s="165" customFormat="1" ht="24" customHeight="1">
      <c r="A336" s="1290"/>
      <c r="B336" s="1189"/>
      <c r="C336" s="1671"/>
      <c r="D336" s="1154"/>
      <c r="E336" s="350" t="s">
        <v>611</v>
      </c>
      <c r="F336" s="1788">
        <f>Y336</f>
        <v>25000</v>
      </c>
      <c r="G336" s="383">
        <v>25000</v>
      </c>
      <c r="H336" s="391"/>
      <c r="I336" s="2559"/>
      <c r="J336" s="2345" t="s">
        <v>5583</v>
      </c>
      <c r="K336" s="1672"/>
      <c r="L336" s="1672"/>
      <c r="M336" s="1672"/>
      <c r="N336" s="1672"/>
      <c r="O336" s="1672"/>
      <c r="P336" s="1672"/>
      <c r="Q336" s="1672"/>
      <c r="R336" s="1672"/>
      <c r="S336" s="1672">
        <v>25000000</v>
      </c>
      <c r="T336" s="1672" t="s">
        <v>5454</v>
      </c>
      <c r="U336" s="1672"/>
      <c r="V336" s="1672">
        <v>1</v>
      </c>
      <c r="W336" s="1672" t="s">
        <v>5458</v>
      </c>
      <c r="X336" s="1323" t="s">
        <v>5456</v>
      </c>
      <c r="Y336" s="1674">
        <f>S336*V336/1000</f>
        <v>25000</v>
      </c>
      <c r="Z336" s="1265">
        <f t="shared" si="115"/>
        <v>25000000</v>
      </c>
      <c r="AA336" s="305"/>
      <c r="AB336" s="305"/>
      <c r="AC336" s="2557"/>
    </row>
    <row r="337" spans="1:29" s="165" customFormat="1" ht="24" customHeight="1">
      <c r="A337" s="1290"/>
      <c r="B337" s="1189"/>
      <c r="C337" s="1671"/>
      <c r="D337" s="1154"/>
      <c r="E337" s="1126" t="s">
        <v>224</v>
      </c>
      <c r="F337" s="1788">
        <f t="shared" ref="F337:F347" si="127">Y337</f>
        <v>2000</v>
      </c>
      <c r="G337" s="2706">
        <v>3000</v>
      </c>
      <c r="H337" s="391">
        <f>F337-G337</f>
        <v>-1000</v>
      </c>
      <c r="I337" s="2559"/>
      <c r="J337" s="2345" t="s">
        <v>5566</v>
      </c>
      <c r="K337" s="1672"/>
      <c r="L337" s="1672"/>
      <c r="M337" s="1672"/>
      <c r="N337" s="1672"/>
      <c r="O337" s="1672"/>
      <c r="P337" s="1672"/>
      <c r="Q337" s="1672"/>
      <c r="R337" s="1672"/>
      <c r="S337" s="1672">
        <v>2000000</v>
      </c>
      <c r="T337" s="1672" t="s">
        <v>5454</v>
      </c>
      <c r="U337" s="1672"/>
      <c r="V337" s="1672">
        <v>1</v>
      </c>
      <c r="W337" s="1672" t="s">
        <v>5458</v>
      </c>
      <c r="X337" s="1323" t="s">
        <v>5543</v>
      </c>
      <c r="Y337" s="1674">
        <f t="shared" ref="Y337" si="128">S337*V337/1000</f>
        <v>2000</v>
      </c>
      <c r="Z337" s="1265">
        <f t="shared" si="115"/>
        <v>2000000</v>
      </c>
      <c r="AA337" s="305"/>
      <c r="AB337" s="305"/>
      <c r="AC337" s="2557"/>
    </row>
    <row r="338" spans="1:29" s="165" customFormat="1" ht="24" customHeight="1">
      <c r="A338" s="1290"/>
      <c r="B338" s="1189"/>
      <c r="C338" s="1671"/>
      <c r="D338" s="1154"/>
      <c r="E338" s="1126" t="s">
        <v>195</v>
      </c>
      <c r="F338" s="1788">
        <f t="shared" si="127"/>
        <v>5200</v>
      </c>
      <c r="G338" s="2706">
        <v>1200</v>
      </c>
      <c r="H338" s="391">
        <f t="shared" ref="H338:H347" si="129">F338-G338</f>
        <v>4000</v>
      </c>
      <c r="I338" s="2559"/>
      <c r="J338" s="2345" t="s">
        <v>5453</v>
      </c>
      <c r="K338" s="1672"/>
      <c r="L338" s="1672"/>
      <c r="M338" s="1672"/>
      <c r="N338" s="1672"/>
      <c r="O338" s="1672"/>
      <c r="P338" s="1672"/>
      <c r="Q338" s="1672"/>
      <c r="R338" s="1672"/>
      <c r="S338" s="1672"/>
      <c r="T338" s="1672"/>
      <c r="U338" s="1672"/>
      <c r="V338" s="1672"/>
      <c r="W338" s="1672"/>
      <c r="X338" s="1323"/>
      <c r="Y338" s="1674">
        <f>SUM(Y339:Y340)</f>
        <v>5200</v>
      </c>
      <c r="Z338" s="1265">
        <f>Z339+Z340</f>
        <v>5200000</v>
      </c>
      <c r="AA338" s="305"/>
      <c r="AB338" s="305"/>
      <c r="AC338" s="2557"/>
    </row>
    <row r="339" spans="1:29" s="165" customFormat="1" ht="24" customHeight="1">
      <c r="A339" s="1290"/>
      <c r="B339" s="1189"/>
      <c r="C339" s="1671"/>
      <c r="D339" s="1154"/>
      <c r="E339" s="1126"/>
      <c r="F339" s="1788"/>
      <c r="G339" s="2706"/>
      <c r="H339" s="391"/>
      <c r="I339" s="2559"/>
      <c r="J339" s="2345" t="s">
        <v>5486</v>
      </c>
      <c r="K339" s="1672"/>
      <c r="L339" s="1672"/>
      <c r="M339" s="1672"/>
      <c r="N339" s="1672"/>
      <c r="O339" s="1672"/>
      <c r="P339" s="1672"/>
      <c r="Q339" s="1672"/>
      <c r="R339" s="1672"/>
      <c r="S339" s="1672">
        <v>4000000</v>
      </c>
      <c r="T339" s="1672" t="s">
        <v>5454</v>
      </c>
      <c r="U339" s="1672"/>
      <c r="V339" s="1672">
        <v>1</v>
      </c>
      <c r="W339" s="1672" t="s">
        <v>5487</v>
      </c>
      <c r="X339" s="1323" t="s">
        <v>5456</v>
      </c>
      <c r="Y339" s="1674">
        <f t="shared" ref="Y339" si="130">S339*V339/1000</f>
        <v>4000</v>
      </c>
      <c r="Z339" s="1265">
        <f>S339*V339</f>
        <v>4000000</v>
      </c>
      <c r="AA339" s="305"/>
      <c r="AB339" s="305"/>
      <c r="AC339" s="2557"/>
    </row>
    <row r="340" spans="1:29" s="165" customFormat="1" ht="24" customHeight="1">
      <c r="A340" s="1290"/>
      <c r="B340" s="1189"/>
      <c r="C340" s="1671"/>
      <c r="D340" s="1154"/>
      <c r="E340" s="1126"/>
      <c r="F340" s="1788"/>
      <c r="G340" s="2706"/>
      <c r="H340" s="391"/>
      <c r="I340" s="2559"/>
      <c r="J340" s="2345" t="s">
        <v>5488</v>
      </c>
      <c r="K340" s="1672"/>
      <c r="L340" s="1672"/>
      <c r="M340" s="1672"/>
      <c r="N340" s="1672"/>
      <c r="O340" s="1672"/>
      <c r="P340" s="1672"/>
      <c r="Q340" s="1672">
        <v>2</v>
      </c>
      <c r="R340" s="1672" t="s">
        <v>5462</v>
      </c>
      <c r="S340" s="1672">
        <v>30000</v>
      </c>
      <c r="T340" s="1672" t="s">
        <v>5454</v>
      </c>
      <c r="U340" s="1672"/>
      <c r="V340" s="1672">
        <v>20</v>
      </c>
      <c r="W340" s="1672" t="s">
        <v>5463</v>
      </c>
      <c r="X340" s="1323" t="s">
        <v>5456</v>
      </c>
      <c r="Y340" s="1674">
        <f>Q340*S340*V340/1000</f>
        <v>1200</v>
      </c>
      <c r="Z340" s="1265">
        <f>Q340*S340*V340</f>
        <v>1200000</v>
      </c>
      <c r="AA340" s="305"/>
      <c r="AB340" s="305"/>
      <c r="AC340" s="2557"/>
    </row>
    <row r="341" spans="1:29" s="165" customFormat="1" ht="24" customHeight="1">
      <c r="A341" s="1290"/>
      <c r="B341" s="1189"/>
      <c r="C341" s="1671"/>
      <c r="D341" s="1154"/>
      <c r="E341" s="1126" t="s">
        <v>269</v>
      </c>
      <c r="F341" s="1788">
        <f t="shared" si="127"/>
        <v>2800</v>
      </c>
      <c r="G341" s="2706">
        <v>2800</v>
      </c>
      <c r="H341" s="391"/>
      <c r="I341" s="2559"/>
      <c r="J341" s="2345" t="s">
        <v>5489</v>
      </c>
      <c r="K341" s="1672"/>
      <c r="L341" s="1672"/>
      <c r="M341" s="1672"/>
      <c r="N341" s="1672"/>
      <c r="O341" s="1672"/>
      <c r="P341" s="1672"/>
      <c r="Q341" s="1672">
        <v>7</v>
      </c>
      <c r="R341" s="1672" t="s">
        <v>5462</v>
      </c>
      <c r="S341" s="1672">
        <v>200000</v>
      </c>
      <c r="T341" s="1672" t="s">
        <v>5454</v>
      </c>
      <c r="U341" s="1672"/>
      <c r="V341" s="1672">
        <v>2</v>
      </c>
      <c r="W341" s="1672" t="s">
        <v>5490</v>
      </c>
      <c r="X341" s="1323" t="s">
        <v>5456</v>
      </c>
      <c r="Y341" s="1674">
        <f>Q341*S341*V341/1000</f>
        <v>2800</v>
      </c>
      <c r="Z341" s="1265">
        <f>Q341*S341*V341</f>
        <v>2800000</v>
      </c>
      <c r="AA341" s="305"/>
      <c r="AB341" s="305"/>
      <c r="AC341" s="2557"/>
    </row>
    <row r="342" spans="1:29" s="2704" customFormat="1" ht="24" customHeight="1">
      <c r="A342" s="1290"/>
      <c r="B342" s="1189"/>
      <c r="C342" s="1671"/>
      <c r="D342" s="1154"/>
      <c r="E342" s="1126" t="s">
        <v>287</v>
      </c>
      <c r="F342" s="1788">
        <f t="shared" si="127"/>
        <v>90000</v>
      </c>
      <c r="G342" s="383">
        <v>90000</v>
      </c>
      <c r="H342" s="391"/>
      <c r="I342" s="2559"/>
      <c r="J342" s="2345" t="s">
        <v>5453</v>
      </c>
      <c r="K342" s="1672"/>
      <c r="L342" s="1672"/>
      <c r="M342" s="1672"/>
      <c r="N342" s="1672"/>
      <c r="O342" s="1672"/>
      <c r="P342" s="1672"/>
      <c r="Q342" s="1672"/>
      <c r="R342" s="1672"/>
      <c r="S342" s="1672"/>
      <c r="T342" s="1672"/>
      <c r="U342" s="1672"/>
      <c r="V342" s="1672"/>
      <c r="W342" s="1672"/>
      <c r="X342" s="1323"/>
      <c r="Y342" s="1674">
        <f>Y343+Y344</f>
        <v>90000</v>
      </c>
      <c r="Z342" s="1098">
        <f>Z343+Z344</f>
        <v>90000000</v>
      </c>
      <c r="AA342" s="2702"/>
      <c r="AB342" s="2702"/>
      <c r="AC342" s="2703"/>
    </row>
    <row r="343" spans="1:29" s="165" customFormat="1" ht="24" customHeight="1">
      <c r="A343" s="1290"/>
      <c r="B343" s="1189"/>
      <c r="C343" s="1671"/>
      <c r="D343" s="1154"/>
      <c r="E343" s="1126"/>
      <c r="F343" s="1788"/>
      <c r="G343" s="383"/>
      <c r="H343" s="391"/>
      <c r="I343" s="2559"/>
      <c r="J343" s="2345" t="s">
        <v>5584</v>
      </c>
      <c r="K343" s="1672"/>
      <c r="L343" s="1672"/>
      <c r="M343" s="1672"/>
      <c r="N343" s="1672"/>
      <c r="O343" s="1672"/>
      <c r="P343" s="1672"/>
      <c r="Q343" s="1672"/>
      <c r="R343" s="1672"/>
      <c r="S343" s="1672">
        <v>50000000</v>
      </c>
      <c r="T343" s="1672" t="s">
        <v>5454</v>
      </c>
      <c r="U343" s="1672"/>
      <c r="V343" s="1672">
        <v>1</v>
      </c>
      <c r="W343" s="1672" t="s">
        <v>5458</v>
      </c>
      <c r="X343" s="1323" t="s">
        <v>5456</v>
      </c>
      <c r="Y343" s="1674">
        <f>S343*V343/1000</f>
        <v>50000</v>
      </c>
      <c r="Z343" s="1098">
        <f>S343*V343</f>
        <v>50000000</v>
      </c>
      <c r="AA343" s="305"/>
      <c r="AB343" s="305"/>
      <c r="AC343" s="2557"/>
    </row>
    <row r="344" spans="1:29" s="165" customFormat="1" ht="24" customHeight="1">
      <c r="A344" s="1290"/>
      <c r="B344" s="1189"/>
      <c r="C344" s="1671"/>
      <c r="D344" s="1154"/>
      <c r="E344" s="1126"/>
      <c r="F344" s="1788"/>
      <c r="G344" s="383"/>
      <c r="H344" s="391"/>
      <c r="I344" s="2559"/>
      <c r="J344" s="2345" t="s">
        <v>5585</v>
      </c>
      <c r="K344" s="1672"/>
      <c r="L344" s="1672"/>
      <c r="M344" s="1672"/>
      <c r="N344" s="1672"/>
      <c r="O344" s="1672"/>
      <c r="P344" s="1672"/>
      <c r="Q344" s="1672"/>
      <c r="R344" s="1672"/>
      <c r="S344" s="1672">
        <v>40000000</v>
      </c>
      <c r="T344" s="1672" t="s">
        <v>5454</v>
      </c>
      <c r="U344" s="1672"/>
      <c r="V344" s="1672">
        <v>1</v>
      </c>
      <c r="W344" s="1672" t="s">
        <v>5458</v>
      </c>
      <c r="X344" s="1323" t="s">
        <v>5456</v>
      </c>
      <c r="Y344" s="1674">
        <f>S344*V344/1000</f>
        <v>40000</v>
      </c>
      <c r="Z344" s="1098">
        <f t="shared" ref="Z344:Z347" si="131">S344*V344</f>
        <v>40000000</v>
      </c>
      <c r="AA344" s="305"/>
      <c r="AB344" s="305"/>
      <c r="AC344" s="2557"/>
    </row>
    <row r="345" spans="1:29" s="165" customFormat="1" ht="24" customHeight="1">
      <c r="A345" s="1290"/>
      <c r="B345" s="1189"/>
      <c r="C345" s="1671"/>
      <c r="D345" s="1154"/>
      <c r="E345" s="1126" t="s">
        <v>703</v>
      </c>
      <c r="F345" s="1788">
        <f t="shared" si="127"/>
        <v>7000</v>
      </c>
      <c r="G345" s="383">
        <v>5000</v>
      </c>
      <c r="H345" s="391">
        <f t="shared" si="129"/>
        <v>2000</v>
      </c>
      <c r="I345" s="2559"/>
      <c r="J345" s="2345" t="s">
        <v>5492</v>
      </c>
      <c r="K345" s="1672"/>
      <c r="L345" s="1672"/>
      <c r="M345" s="1672"/>
      <c r="N345" s="1672"/>
      <c r="O345" s="1672"/>
      <c r="P345" s="1672"/>
      <c r="Q345" s="1672"/>
      <c r="R345" s="1672"/>
      <c r="S345" s="1672">
        <v>7000000</v>
      </c>
      <c r="T345" s="1672" t="s">
        <v>5454</v>
      </c>
      <c r="U345" s="1672"/>
      <c r="V345" s="1672">
        <v>1</v>
      </c>
      <c r="W345" s="1672" t="s">
        <v>5458</v>
      </c>
      <c r="X345" s="1323" t="s">
        <v>5456</v>
      </c>
      <c r="Y345" s="1674">
        <f t="shared" ref="Y345:Y347" si="132">S345*V345/1000</f>
        <v>7000</v>
      </c>
      <c r="Z345" s="1098">
        <f t="shared" si="131"/>
        <v>7000000</v>
      </c>
      <c r="AA345" s="305"/>
      <c r="AB345" s="305"/>
      <c r="AC345" s="2557"/>
    </row>
    <row r="346" spans="1:29" s="165" customFormat="1" ht="24" customHeight="1">
      <c r="A346" s="1290"/>
      <c r="B346" s="1189"/>
      <c r="C346" s="1671"/>
      <c r="D346" s="1154"/>
      <c r="E346" s="1126" t="s">
        <v>602</v>
      </c>
      <c r="F346" s="1788">
        <f t="shared" si="127"/>
        <v>2000</v>
      </c>
      <c r="G346" s="383">
        <v>4000</v>
      </c>
      <c r="H346" s="391">
        <f t="shared" si="129"/>
        <v>-2000</v>
      </c>
      <c r="I346" s="2559"/>
      <c r="J346" s="2345" t="s">
        <v>5586</v>
      </c>
      <c r="K346" s="1672"/>
      <c r="L346" s="1672"/>
      <c r="M346" s="1672"/>
      <c r="N346" s="1672"/>
      <c r="O346" s="1672"/>
      <c r="P346" s="1672"/>
      <c r="Q346" s="1672"/>
      <c r="R346" s="1672"/>
      <c r="S346" s="1672">
        <v>2000000</v>
      </c>
      <c r="T346" s="1672" t="s">
        <v>5454</v>
      </c>
      <c r="U346" s="1672"/>
      <c r="V346" s="1672">
        <v>1</v>
      </c>
      <c r="W346" s="1672" t="s">
        <v>5457</v>
      </c>
      <c r="X346" s="1323" t="s">
        <v>5456</v>
      </c>
      <c r="Y346" s="1674">
        <f>S346*V346/1000</f>
        <v>2000</v>
      </c>
      <c r="Z346" s="1098">
        <f t="shared" si="131"/>
        <v>2000000</v>
      </c>
      <c r="AA346" s="305"/>
      <c r="AB346" s="305"/>
      <c r="AC346" s="2557"/>
    </row>
    <row r="347" spans="1:29" s="165" customFormat="1" ht="24" customHeight="1" thickBot="1">
      <c r="A347" s="1290"/>
      <c r="B347" s="1189"/>
      <c r="C347" s="1671"/>
      <c r="D347" s="1154"/>
      <c r="E347" s="359" t="s">
        <v>271</v>
      </c>
      <c r="F347" s="1788">
        <f t="shared" si="127"/>
        <v>2000</v>
      </c>
      <c r="G347" s="2706">
        <v>5000</v>
      </c>
      <c r="H347" s="391">
        <f t="shared" si="129"/>
        <v>-3000</v>
      </c>
      <c r="I347" s="2559"/>
      <c r="J347" s="2345" t="s">
        <v>5495</v>
      </c>
      <c r="K347" s="1672"/>
      <c r="L347" s="1672"/>
      <c r="M347" s="1672"/>
      <c r="N347" s="1672"/>
      <c r="O347" s="1672"/>
      <c r="P347" s="1672"/>
      <c r="Q347" s="1672"/>
      <c r="R347" s="1672"/>
      <c r="S347" s="1672">
        <v>200000</v>
      </c>
      <c r="T347" s="1672" t="s">
        <v>5454</v>
      </c>
      <c r="U347" s="1672"/>
      <c r="V347" s="1672">
        <v>10</v>
      </c>
      <c r="W347" s="1672" t="s">
        <v>5490</v>
      </c>
      <c r="X347" s="1323" t="s">
        <v>5456</v>
      </c>
      <c r="Y347" s="1674">
        <f t="shared" si="132"/>
        <v>2000</v>
      </c>
      <c r="Z347" s="1098">
        <f t="shared" si="131"/>
        <v>2000000</v>
      </c>
      <c r="AA347" s="305"/>
      <c r="AB347" s="305"/>
      <c r="AC347" s="2557"/>
    </row>
    <row r="348" spans="1:29" s="165" customFormat="1" ht="24" customHeight="1" thickBot="1">
      <c r="A348" s="396"/>
      <c r="B348" s="416" t="s">
        <v>1827</v>
      </c>
      <c r="C348" s="417"/>
      <c r="D348" s="418"/>
      <c r="E348" s="419"/>
      <c r="F348" s="420">
        <f>+F349+F385</f>
        <v>1385000</v>
      </c>
      <c r="G348" s="420">
        <f>+G349+G385</f>
        <v>1385000</v>
      </c>
      <c r="H348" s="421">
        <f t="shared" ref="H348:H350" si="133">F348-G348</f>
        <v>0</v>
      </c>
      <c r="I348" s="2559"/>
      <c r="J348" s="422"/>
      <c r="K348" s="423"/>
      <c r="L348" s="423"/>
      <c r="M348" s="423"/>
      <c r="N348" s="423"/>
      <c r="O348" s="423"/>
      <c r="P348" s="423"/>
      <c r="Q348" s="423"/>
      <c r="R348" s="423"/>
      <c r="S348" s="423"/>
      <c r="T348" s="423"/>
      <c r="U348" s="423"/>
      <c r="V348" s="423"/>
      <c r="W348" s="423"/>
      <c r="X348" s="423"/>
      <c r="Y348" s="2676"/>
      <c r="Z348" s="420" t="e">
        <f>+Z349+Z386+Z436+Z478+Z510</f>
        <v>#REF!</v>
      </c>
      <c r="AA348" s="305"/>
      <c r="AB348" s="305"/>
      <c r="AC348" s="166"/>
    </row>
    <row r="349" spans="1:29" s="165" customFormat="1" ht="24" customHeight="1">
      <c r="A349" s="115"/>
      <c r="B349" s="90"/>
      <c r="C349" s="3344" t="s">
        <v>1828</v>
      </c>
      <c r="D349" s="3345"/>
      <c r="E349" s="3346"/>
      <c r="F349" s="1838">
        <f>+F350+F380</f>
        <v>130000</v>
      </c>
      <c r="G349" s="1838">
        <f>+G350+G380</f>
        <v>130000</v>
      </c>
      <c r="H349" s="87">
        <f t="shared" si="133"/>
        <v>0</v>
      </c>
      <c r="I349" s="1817"/>
      <c r="J349" s="1831"/>
      <c r="K349" s="2263"/>
      <c r="L349" s="2263"/>
      <c r="M349" s="2263"/>
      <c r="N349" s="2263"/>
      <c r="O349" s="2263"/>
      <c r="P349" s="2263"/>
      <c r="Q349" s="2263"/>
      <c r="R349" s="273"/>
      <c r="S349" s="2263"/>
      <c r="T349" s="2263"/>
      <c r="U349" s="2263"/>
      <c r="V349" s="2263"/>
      <c r="W349" s="2263"/>
      <c r="X349" s="2263"/>
      <c r="Y349" s="1839"/>
      <c r="Z349" s="1840" t="e">
        <f>+Z350+Z380</f>
        <v>#REF!</v>
      </c>
      <c r="AA349" s="305"/>
      <c r="AB349" s="305"/>
      <c r="AC349" s="166"/>
    </row>
    <row r="350" spans="1:29" s="165" customFormat="1" ht="24" customHeight="1">
      <c r="A350" s="396"/>
      <c r="B350" s="2941"/>
      <c r="C350" s="2927"/>
      <c r="D350" s="3266" t="s">
        <v>1829</v>
      </c>
      <c r="E350" s="3267"/>
      <c r="F350" s="382">
        <f>SUM(F351:F379)</f>
        <v>120000</v>
      </c>
      <c r="G350" s="382">
        <f>SUM(G351:G379)</f>
        <v>120000</v>
      </c>
      <c r="H350" s="468">
        <f t="shared" si="133"/>
        <v>0</v>
      </c>
      <c r="I350" s="2559"/>
      <c r="J350" s="394"/>
      <c r="K350" s="2921"/>
      <c r="L350" s="2921"/>
      <c r="M350" s="2921"/>
      <c r="N350" s="2921"/>
      <c r="O350" s="2921"/>
      <c r="P350" s="2921"/>
      <c r="Q350" s="2921"/>
      <c r="R350" s="395"/>
      <c r="S350" s="2921"/>
      <c r="T350" s="2921"/>
      <c r="U350" s="2921"/>
      <c r="V350" s="2921"/>
      <c r="W350" s="2921"/>
      <c r="X350" s="2921"/>
      <c r="Y350" s="443"/>
      <c r="Z350" s="2509" t="e">
        <f>+Z351+Z353+#REF!+Z354+Z355+Z364+Z368+Z369+Z370+Z375+Z376+Z379</f>
        <v>#REF!</v>
      </c>
      <c r="AA350" s="305"/>
      <c r="AB350" s="305"/>
      <c r="AC350" s="166"/>
    </row>
    <row r="351" spans="1:29" s="165" customFormat="1" ht="24" customHeight="1">
      <c r="A351" s="396"/>
      <c r="B351" s="2941"/>
      <c r="C351" s="397"/>
      <c r="D351" s="402"/>
      <c r="E351" s="1134" t="s">
        <v>1830</v>
      </c>
      <c r="F351" s="383">
        <f>Y351</f>
        <v>3000</v>
      </c>
      <c r="G351" s="1311">
        <v>3000</v>
      </c>
      <c r="H351" s="404"/>
      <c r="I351" s="2559"/>
      <c r="J351" s="2939" t="s">
        <v>5899</v>
      </c>
      <c r="K351" s="2940"/>
      <c r="L351" s="2938"/>
      <c r="M351" s="2938"/>
      <c r="N351" s="2938"/>
      <c r="O351" s="2938"/>
      <c r="P351" s="2938"/>
      <c r="Q351" s="408"/>
      <c r="R351" s="2931"/>
      <c r="S351" s="1672">
        <v>250000</v>
      </c>
      <c r="T351" s="2940" t="s">
        <v>1763</v>
      </c>
      <c r="U351" s="2940"/>
      <c r="V351" s="2940">
        <v>12</v>
      </c>
      <c r="W351" s="2940" t="s">
        <v>1778</v>
      </c>
      <c r="X351" s="2940" t="s">
        <v>1765</v>
      </c>
      <c r="Y351" s="1674">
        <f t="shared" ref="Y351:Y381" si="134">(Z351)/1000</f>
        <v>3000</v>
      </c>
      <c r="Z351" s="1098">
        <f>S351*V351</f>
        <v>3000000</v>
      </c>
      <c r="AA351" s="305"/>
      <c r="AB351" s="305"/>
      <c r="AC351" s="166"/>
    </row>
    <row r="352" spans="1:29" s="165" customFormat="1" ht="24" customHeight="1">
      <c r="A352" s="396"/>
      <c r="B352" s="2941"/>
      <c r="C352" s="397"/>
      <c r="D352" s="402"/>
      <c r="E352" s="1134" t="s">
        <v>2989</v>
      </c>
      <c r="F352" s="383">
        <f>Y352</f>
        <v>2000</v>
      </c>
      <c r="G352" s="1311">
        <v>2000</v>
      </c>
      <c r="H352" s="404"/>
      <c r="I352" s="2559"/>
      <c r="J352" s="2939" t="s">
        <v>5900</v>
      </c>
      <c r="K352" s="2940"/>
      <c r="L352" s="2938"/>
      <c r="M352" s="2938"/>
      <c r="N352" s="2938"/>
      <c r="O352" s="2938"/>
      <c r="P352" s="2938"/>
      <c r="Q352" s="3108"/>
      <c r="R352" s="3109"/>
      <c r="S352" s="3110">
        <v>500000</v>
      </c>
      <c r="T352" s="3111" t="s">
        <v>0</v>
      </c>
      <c r="U352" s="3111"/>
      <c r="V352" s="3111">
        <v>4</v>
      </c>
      <c r="W352" s="3111" t="s">
        <v>25</v>
      </c>
      <c r="X352" s="3111" t="s">
        <v>1</v>
      </c>
      <c r="Y352" s="1674">
        <f t="shared" si="134"/>
        <v>2000</v>
      </c>
      <c r="Z352" s="1098">
        <f>S352*V352</f>
        <v>2000000</v>
      </c>
      <c r="AA352" s="305"/>
      <c r="AB352" s="305"/>
      <c r="AC352" s="166"/>
    </row>
    <row r="353" spans="1:29" s="1669" customFormat="1" ht="24" customHeight="1">
      <c r="A353" s="396"/>
      <c r="B353" s="2941"/>
      <c r="C353" s="397"/>
      <c r="D353" s="402"/>
      <c r="E353" s="1134" t="s">
        <v>1831</v>
      </c>
      <c r="F353" s="383">
        <f>Y353</f>
        <v>2400</v>
      </c>
      <c r="G353" s="1311">
        <v>2400</v>
      </c>
      <c r="H353" s="404"/>
      <c r="I353" s="2559"/>
      <c r="J353" s="2939" t="s">
        <v>5898</v>
      </c>
      <c r="K353" s="2940"/>
      <c r="L353" s="2938"/>
      <c r="M353" s="2938"/>
      <c r="N353" s="2938"/>
      <c r="O353" s="2938"/>
      <c r="P353" s="2938"/>
      <c r="Q353" s="408"/>
      <c r="R353" s="2931"/>
      <c r="S353" s="1672">
        <v>200000</v>
      </c>
      <c r="T353" s="2940" t="s">
        <v>1763</v>
      </c>
      <c r="U353" s="2940"/>
      <c r="V353" s="2940">
        <v>12</v>
      </c>
      <c r="W353" s="2940" t="s">
        <v>1779</v>
      </c>
      <c r="X353" s="2940" t="s">
        <v>1765</v>
      </c>
      <c r="Y353" s="1674">
        <f t="shared" si="134"/>
        <v>2400</v>
      </c>
      <c r="Z353" s="1098">
        <f>S353*V353</f>
        <v>2400000</v>
      </c>
      <c r="AA353" s="305"/>
      <c r="AB353" s="305"/>
      <c r="AC353" s="166"/>
    </row>
    <row r="354" spans="1:29" s="1669" customFormat="1" ht="24" customHeight="1">
      <c r="A354" s="396"/>
      <c r="B354" s="2941"/>
      <c r="C354" s="397"/>
      <c r="D354" s="465"/>
      <c r="E354" s="1134" t="s">
        <v>1837</v>
      </c>
      <c r="F354" s="383">
        <f>Y354</f>
        <v>4200</v>
      </c>
      <c r="G354" s="1311">
        <v>4200</v>
      </c>
      <c r="H354" s="404"/>
      <c r="I354" s="2559"/>
      <c r="J354" s="2939" t="s">
        <v>1838</v>
      </c>
      <c r="K354" s="2940"/>
      <c r="L354" s="2938"/>
      <c r="M354" s="2938"/>
      <c r="N354" s="2938"/>
      <c r="O354" s="2938"/>
      <c r="P354" s="2938"/>
      <c r="Q354" s="408"/>
      <c r="R354" s="2931"/>
      <c r="S354" s="1672">
        <v>350000</v>
      </c>
      <c r="T354" s="2940" t="s">
        <v>1763</v>
      </c>
      <c r="U354" s="2940"/>
      <c r="V354" s="2940">
        <v>12</v>
      </c>
      <c r="W354" s="2940" t="s">
        <v>1779</v>
      </c>
      <c r="X354" s="2940" t="s">
        <v>1765</v>
      </c>
      <c r="Y354" s="1674">
        <f t="shared" si="134"/>
        <v>4200</v>
      </c>
      <c r="Z354" s="1098">
        <f>S354*V354</f>
        <v>4200000</v>
      </c>
      <c r="AA354" s="305"/>
      <c r="AB354" s="305"/>
      <c r="AC354" s="166"/>
    </row>
    <row r="355" spans="1:29" s="1669" customFormat="1" ht="24" customHeight="1">
      <c r="A355" s="396"/>
      <c r="B355" s="2941"/>
      <c r="C355" s="397"/>
      <c r="D355" s="465"/>
      <c r="E355" s="1134" t="s">
        <v>1777</v>
      </c>
      <c r="F355" s="383">
        <f>Y355</f>
        <v>14000</v>
      </c>
      <c r="G355" s="1311">
        <v>14000</v>
      </c>
      <c r="H355" s="404"/>
      <c r="I355" s="2559"/>
      <c r="J355" s="2939" t="s">
        <v>1767</v>
      </c>
      <c r="K355" s="2940"/>
      <c r="L355" s="2938"/>
      <c r="M355" s="2938"/>
      <c r="N355" s="2938"/>
      <c r="O355" s="2938"/>
      <c r="P355" s="2938"/>
      <c r="Q355" s="408"/>
      <c r="R355" s="2931"/>
      <c r="S355" s="1672"/>
      <c r="T355" s="2940"/>
      <c r="U355" s="2940"/>
      <c r="V355" s="2940"/>
      <c r="W355" s="2940"/>
      <c r="X355" s="2940"/>
      <c r="Y355" s="1674">
        <f t="shared" si="134"/>
        <v>14000</v>
      </c>
      <c r="Z355" s="1098">
        <f>SUM(Z356:Z358)</f>
        <v>14000000</v>
      </c>
      <c r="AA355" s="305"/>
      <c r="AB355" s="305"/>
      <c r="AC355" s="166"/>
    </row>
    <row r="356" spans="1:29" s="1669" customFormat="1" ht="24" customHeight="1">
      <c r="A356" s="396"/>
      <c r="B356" s="2941"/>
      <c r="C356" s="397"/>
      <c r="D356" s="402"/>
      <c r="E356" s="1134"/>
      <c r="F356" s="383"/>
      <c r="G356" s="1311"/>
      <c r="H356" s="404"/>
      <c r="I356" s="2559"/>
      <c r="J356" s="3112" t="s">
        <v>2991</v>
      </c>
      <c r="K356" s="3113"/>
      <c r="L356" s="2938"/>
      <c r="M356" s="2938"/>
      <c r="N356" s="2938"/>
      <c r="O356" s="3114"/>
      <c r="P356" s="3115"/>
      <c r="Q356" s="3114">
        <v>10</v>
      </c>
      <c r="R356" s="3115" t="s">
        <v>23</v>
      </c>
      <c r="S356" s="3116">
        <v>30000</v>
      </c>
      <c r="T356" s="3113" t="s">
        <v>0</v>
      </c>
      <c r="U356" s="3113"/>
      <c r="V356" s="3113">
        <v>18.666666666666664</v>
      </c>
      <c r="W356" s="3113" t="s">
        <v>3</v>
      </c>
      <c r="X356" s="3113" t="s">
        <v>1</v>
      </c>
      <c r="Y356" s="1674">
        <f t="shared" si="134"/>
        <v>5599.9999999999991</v>
      </c>
      <c r="Z356" s="1098">
        <f>Q356*S356*V356</f>
        <v>5599999.9999999991</v>
      </c>
      <c r="AA356" s="305"/>
      <c r="AB356" s="2549"/>
      <c r="AC356" s="166"/>
    </row>
    <row r="357" spans="1:29" s="1669" customFormat="1" ht="24" customHeight="1">
      <c r="A357" s="396"/>
      <c r="B357" s="2941"/>
      <c r="C357" s="397"/>
      <c r="D357" s="402"/>
      <c r="E357" s="1134"/>
      <c r="F357" s="383"/>
      <c r="G357" s="1311"/>
      <c r="H357" s="404"/>
      <c r="I357" s="2559"/>
      <c r="J357" s="3112" t="s">
        <v>2992</v>
      </c>
      <c r="K357" s="3113"/>
      <c r="L357" s="2938"/>
      <c r="M357" s="2938"/>
      <c r="N357" s="2938"/>
      <c r="O357" s="2938"/>
      <c r="P357" s="2938"/>
      <c r="Q357" s="3114">
        <v>2</v>
      </c>
      <c r="R357" s="3115" t="s">
        <v>23</v>
      </c>
      <c r="S357" s="3116">
        <v>200000</v>
      </c>
      <c r="T357" s="3113" t="s">
        <v>0</v>
      </c>
      <c r="U357" s="3113"/>
      <c r="V357" s="3113">
        <v>12</v>
      </c>
      <c r="W357" s="3113" t="s">
        <v>2</v>
      </c>
      <c r="X357" s="3113" t="s">
        <v>1</v>
      </c>
      <c r="Y357" s="1674">
        <f t="shared" si="134"/>
        <v>4800</v>
      </c>
      <c r="Z357" s="1098">
        <f t="shared" ref="Z357:Z358" si="135">Q357*S357*V357</f>
        <v>4800000</v>
      </c>
      <c r="AA357" s="305"/>
      <c r="AB357" s="305"/>
      <c r="AC357" s="166"/>
    </row>
    <row r="358" spans="1:29" s="1669" customFormat="1" ht="24" customHeight="1">
      <c r="A358" s="396"/>
      <c r="B358" s="2941"/>
      <c r="C358" s="397"/>
      <c r="D358" s="402"/>
      <c r="E358" s="1134"/>
      <c r="F358" s="383"/>
      <c r="G358" s="1311"/>
      <c r="H358" s="404"/>
      <c r="I358" s="2559"/>
      <c r="J358" s="3112" t="s">
        <v>2993</v>
      </c>
      <c r="K358" s="3113"/>
      <c r="L358" s="2938"/>
      <c r="M358" s="2938"/>
      <c r="N358" s="2938"/>
      <c r="O358" s="2938"/>
      <c r="P358" s="2938"/>
      <c r="Q358" s="3114">
        <v>3</v>
      </c>
      <c r="R358" s="3115" t="s">
        <v>23</v>
      </c>
      <c r="S358" s="3116">
        <v>100000</v>
      </c>
      <c r="T358" s="3113" t="s">
        <v>0</v>
      </c>
      <c r="U358" s="3113"/>
      <c r="V358" s="3113">
        <v>12</v>
      </c>
      <c r="W358" s="3113" t="s">
        <v>2</v>
      </c>
      <c r="X358" s="3113" t="s">
        <v>1</v>
      </c>
      <c r="Y358" s="1674">
        <f t="shared" si="134"/>
        <v>3600</v>
      </c>
      <c r="Z358" s="1098">
        <f t="shared" si="135"/>
        <v>3600000</v>
      </c>
      <c r="AA358" s="305"/>
      <c r="AB358" s="305"/>
      <c r="AC358" s="166"/>
    </row>
    <row r="359" spans="1:29" s="2558" customFormat="1" ht="21.95" customHeight="1">
      <c r="A359" s="396"/>
      <c r="B359" s="2941"/>
      <c r="C359" s="397"/>
      <c r="D359" s="402"/>
      <c r="E359" s="1134" t="s">
        <v>224</v>
      </c>
      <c r="F359" s="383">
        <f>Y359</f>
        <v>11780</v>
      </c>
      <c r="G359" s="1311">
        <v>11780</v>
      </c>
      <c r="H359" s="404"/>
      <c r="I359" s="2559"/>
      <c r="J359" s="2939" t="s">
        <v>194</v>
      </c>
      <c r="K359" s="2940"/>
      <c r="L359" s="2938"/>
      <c r="M359" s="2938"/>
      <c r="N359" s="2938"/>
      <c r="O359" s="2938"/>
      <c r="P359" s="2938"/>
      <c r="Q359" s="408"/>
      <c r="R359" s="2931"/>
      <c r="S359" s="1672"/>
      <c r="T359" s="2940"/>
      <c r="U359" s="2940"/>
      <c r="V359" s="2940"/>
      <c r="W359" s="2940"/>
      <c r="X359" s="2940"/>
      <c r="Y359" s="1674">
        <f t="shared" ref="Y359:Y363" si="136">(Z359)/1000</f>
        <v>11780</v>
      </c>
      <c r="Z359" s="1098">
        <f>SUM(Z360:Z363)</f>
        <v>11780000</v>
      </c>
      <c r="AA359" s="305"/>
      <c r="AB359" s="305"/>
      <c r="AC359" s="2557"/>
    </row>
    <row r="360" spans="1:29" s="2558" customFormat="1" ht="21.95" customHeight="1">
      <c r="A360" s="396"/>
      <c r="B360" s="2941"/>
      <c r="C360" s="397"/>
      <c r="D360" s="402"/>
      <c r="E360" s="1134"/>
      <c r="F360" s="383"/>
      <c r="G360" s="1311"/>
      <c r="H360" s="404"/>
      <c r="I360" s="2559"/>
      <c r="J360" s="2939" t="s">
        <v>1832</v>
      </c>
      <c r="K360" s="2940"/>
      <c r="L360" s="2938"/>
      <c r="M360" s="2938"/>
      <c r="N360" s="2938"/>
      <c r="O360" s="2938"/>
      <c r="P360" s="2938"/>
      <c r="Q360" s="408">
        <v>7</v>
      </c>
      <c r="R360" s="2931" t="s">
        <v>1833</v>
      </c>
      <c r="S360" s="1672">
        <v>30000</v>
      </c>
      <c r="T360" s="2940" t="s">
        <v>264</v>
      </c>
      <c r="U360" s="2940"/>
      <c r="V360" s="2940">
        <v>12</v>
      </c>
      <c r="W360" s="2940" t="s">
        <v>49</v>
      </c>
      <c r="X360" s="2940" t="s">
        <v>266</v>
      </c>
      <c r="Y360" s="1674">
        <f t="shared" si="136"/>
        <v>2520</v>
      </c>
      <c r="Z360" s="1098">
        <f>Q360*S360*V360</f>
        <v>2520000</v>
      </c>
      <c r="AA360" s="305"/>
      <c r="AB360" s="305"/>
      <c r="AC360" s="2557"/>
    </row>
    <row r="361" spans="1:29" s="2558" customFormat="1" ht="21.95" customHeight="1">
      <c r="A361" s="396"/>
      <c r="B361" s="2941"/>
      <c r="C361" s="397"/>
      <c r="D361" s="402"/>
      <c r="E361" s="1134"/>
      <c r="F361" s="383"/>
      <c r="G361" s="1311"/>
      <c r="H361" s="404"/>
      <c r="I361" s="2559"/>
      <c r="J361" s="2939" t="s">
        <v>1834</v>
      </c>
      <c r="K361" s="2940"/>
      <c r="L361" s="2938"/>
      <c r="M361" s="2938"/>
      <c r="N361" s="2938"/>
      <c r="O361" s="2938"/>
      <c r="P361" s="2938"/>
      <c r="Q361" s="408">
        <v>5</v>
      </c>
      <c r="R361" s="2931" t="s">
        <v>1835</v>
      </c>
      <c r="S361" s="1672">
        <v>7000</v>
      </c>
      <c r="T361" s="2940" t="s">
        <v>264</v>
      </c>
      <c r="U361" s="2940"/>
      <c r="V361" s="2940">
        <v>12</v>
      </c>
      <c r="W361" s="2940" t="s">
        <v>49</v>
      </c>
      <c r="X361" s="2940" t="s">
        <v>266</v>
      </c>
      <c r="Y361" s="1674">
        <f t="shared" si="136"/>
        <v>420</v>
      </c>
      <c r="Z361" s="1098">
        <f>Q361*S361*V361</f>
        <v>420000</v>
      </c>
      <c r="AA361" s="305"/>
      <c r="AB361" s="305"/>
      <c r="AC361" s="2557"/>
    </row>
    <row r="362" spans="1:29" s="2558" customFormat="1" ht="21.95" customHeight="1">
      <c r="A362" s="396"/>
      <c r="B362" s="2941"/>
      <c r="C362" s="397"/>
      <c r="D362" s="402"/>
      <c r="E362" s="1134"/>
      <c r="F362" s="383"/>
      <c r="G362" s="1311"/>
      <c r="H362" s="404"/>
      <c r="I362" s="2559"/>
      <c r="J362" s="2939" t="s">
        <v>1836</v>
      </c>
      <c r="K362" s="2940"/>
      <c r="L362" s="2938"/>
      <c r="M362" s="2938"/>
      <c r="N362" s="2938"/>
      <c r="O362" s="2938"/>
      <c r="P362" s="2938"/>
      <c r="Q362" s="408"/>
      <c r="R362" s="2931"/>
      <c r="S362" s="1672">
        <v>320000</v>
      </c>
      <c r="T362" s="2940" t="s">
        <v>264</v>
      </c>
      <c r="U362" s="2940"/>
      <c r="V362" s="2940">
        <v>12</v>
      </c>
      <c r="W362" s="2940" t="s">
        <v>49</v>
      </c>
      <c r="X362" s="2940" t="s">
        <v>266</v>
      </c>
      <c r="Y362" s="1674">
        <f t="shared" si="136"/>
        <v>3840</v>
      </c>
      <c r="Z362" s="1098">
        <f>S362*V362</f>
        <v>3840000</v>
      </c>
      <c r="AA362" s="305"/>
      <c r="AB362" s="305"/>
      <c r="AC362" s="2557"/>
    </row>
    <row r="363" spans="1:29" s="2558" customFormat="1" ht="21.95" customHeight="1">
      <c r="A363" s="396"/>
      <c r="B363" s="2941"/>
      <c r="C363" s="397"/>
      <c r="D363" s="402"/>
      <c r="E363" s="1134"/>
      <c r="F363" s="383"/>
      <c r="G363" s="1311"/>
      <c r="H363" s="404"/>
      <c r="I363" s="2559"/>
      <c r="J363" s="3117" t="s">
        <v>2990</v>
      </c>
      <c r="K363" s="3118"/>
      <c r="L363" s="2938"/>
      <c r="M363" s="2938"/>
      <c r="N363" s="2938"/>
      <c r="O363" s="2938"/>
      <c r="P363" s="2938"/>
      <c r="Q363" s="3119"/>
      <c r="R363" s="3120"/>
      <c r="S363" s="3121">
        <v>200000</v>
      </c>
      <c r="T363" s="3118" t="s">
        <v>0</v>
      </c>
      <c r="U363" s="3118"/>
      <c r="V363" s="3118">
        <v>25</v>
      </c>
      <c r="W363" s="3118" t="s">
        <v>58</v>
      </c>
      <c r="X363" s="3118" t="s">
        <v>1</v>
      </c>
      <c r="Y363" s="1674">
        <f t="shared" si="136"/>
        <v>5000</v>
      </c>
      <c r="Z363" s="1098">
        <f>S363*V363</f>
        <v>5000000</v>
      </c>
      <c r="AA363" s="305"/>
      <c r="AB363" s="305"/>
      <c r="AC363" s="2557"/>
    </row>
    <row r="364" spans="1:29" s="1669" customFormat="1" ht="21.95" customHeight="1">
      <c r="A364" s="396"/>
      <c r="B364" s="2941"/>
      <c r="C364" s="397"/>
      <c r="D364" s="402"/>
      <c r="E364" s="1134" t="s">
        <v>1839</v>
      </c>
      <c r="F364" s="383">
        <f>Y364</f>
        <v>10000</v>
      </c>
      <c r="G364" s="1311">
        <v>10000</v>
      </c>
      <c r="H364" s="404"/>
      <c r="I364" s="2559"/>
      <c r="J364" s="2939" t="s">
        <v>1767</v>
      </c>
      <c r="K364" s="2940"/>
      <c r="L364" s="2938"/>
      <c r="M364" s="2938"/>
      <c r="N364" s="2938"/>
      <c r="O364" s="2938"/>
      <c r="P364" s="2938"/>
      <c r="Q364" s="408"/>
      <c r="R364" s="2931"/>
      <c r="S364" s="1672"/>
      <c r="T364" s="2940"/>
      <c r="U364" s="2940"/>
      <c r="V364" s="2940"/>
      <c r="W364" s="2940"/>
      <c r="X364" s="2940"/>
      <c r="Y364" s="1674">
        <f>(Z364)/1000</f>
        <v>10000</v>
      </c>
      <c r="Z364" s="1098">
        <f>SUM(Z365:Z367)</f>
        <v>10000000</v>
      </c>
      <c r="AA364" s="305"/>
      <c r="AB364" s="305"/>
      <c r="AC364" s="166"/>
    </row>
    <row r="365" spans="1:29" s="1669" customFormat="1" ht="21.95" customHeight="1">
      <c r="A365" s="396"/>
      <c r="B365" s="2941"/>
      <c r="C365" s="397"/>
      <c r="D365" s="402"/>
      <c r="E365" s="1134"/>
      <c r="F365" s="383"/>
      <c r="G365" s="1311"/>
      <c r="H365" s="404"/>
      <c r="I365" s="2559"/>
      <c r="J365" s="2939" t="s">
        <v>1840</v>
      </c>
      <c r="K365" s="2940"/>
      <c r="L365" s="2938"/>
      <c r="M365" s="2938"/>
      <c r="N365" s="2938"/>
      <c r="O365" s="408"/>
      <c r="P365" s="2931"/>
      <c r="Q365" s="408"/>
      <c r="R365" s="2931"/>
      <c r="S365" s="1672">
        <v>300000</v>
      </c>
      <c r="T365" s="2940" t="s">
        <v>1763</v>
      </c>
      <c r="U365" s="2940"/>
      <c r="V365" s="2940">
        <v>12</v>
      </c>
      <c r="W365" s="2940" t="s">
        <v>1779</v>
      </c>
      <c r="X365" s="2940" t="s">
        <v>1765</v>
      </c>
      <c r="Y365" s="1674">
        <f>(Z365)/1000</f>
        <v>3600</v>
      </c>
      <c r="Z365" s="1098">
        <f>+S365*V365</f>
        <v>3600000</v>
      </c>
      <c r="AA365" s="305"/>
      <c r="AB365" s="305"/>
      <c r="AC365" s="166"/>
    </row>
    <row r="366" spans="1:29" s="1669" customFormat="1" ht="21.95" customHeight="1">
      <c r="A366" s="396"/>
      <c r="B366" s="2941"/>
      <c r="C366" s="397"/>
      <c r="D366" s="402"/>
      <c r="E366" s="1134"/>
      <c r="F366" s="383"/>
      <c r="G366" s="1311"/>
      <c r="H366" s="404"/>
      <c r="I366" s="2559"/>
      <c r="J366" s="2939" t="s">
        <v>1841</v>
      </c>
      <c r="K366" s="2940"/>
      <c r="L366" s="2938"/>
      <c r="M366" s="2938"/>
      <c r="N366" s="2938"/>
      <c r="O366" s="2938"/>
      <c r="P366" s="2938"/>
      <c r="Q366" s="408"/>
      <c r="R366" s="2931"/>
      <c r="S366" s="1672">
        <v>200000</v>
      </c>
      <c r="T366" s="2940" t="s">
        <v>1763</v>
      </c>
      <c r="U366" s="2940"/>
      <c r="V366" s="2940">
        <v>12</v>
      </c>
      <c r="W366" s="2940" t="s">
        <v>1779</v>
      </c>
      <c r="X366" s="2940" t="s">
        <v>1765</v>
      </c>
      <c r="Y366" s="1674">
        <f>(Z366)/1000</f>
        <v>2400</v>
      </c>
      <c r="Z366" s="1098">
        <f>+S366*V366</f>
        <v>2400000</v>
      </c>
      <c r="AA366" s="305"/>
      <c r="AB366" s="305"/>
      <c r="AC366" s="166"/>
    </row>
    <row r="367" spans="1:29" s="2548" customFormat="1" ht="21.95" customHeight="1">
      <c r="A367" s="396"/>
      <c r="B367" s="2941"/>
      <c r="C367" s="397"/>
      <c r="D367" s="402"/>
      <c r="E367" s="1134"/>
      <c r="F367" s="383"/>
      <c r="G367" s="1311"/>
      <c r="H367" s="404"/>
      <c r="I367" s="2559"/>
      <c r="J367" s="3122" t="s">
        <v>2994</v>
      </c>
      <c r="K367" s="3123"/>
      <c r="L367" s="2938"/>
      <c r="M367" s="2938"/>
      <c r="N367" s="2938"/>
      <c r="O367" s="2938"/>
      <c r="P367" s="2938"/>
      <c r="Q367" s="3124"/>
      <c r="R367" s="3125"/>
      <c r="S367" s="3126">
        <v>4000000</v>
      </c>
      <c r="T367" s="3123" t="s">
        <v>0</v>
      </c>
      <c r="U367" s="3123"/>
      <c r="V367" s="3123">
        <v>1</v>
      </c>
      <c r="W367" s="3123" t="s">
        <v>6</v>
      </c>
      <c r="X367" s="3123" t="s">
        <v>1</v>
      </c>
      <c r="Y367" s="1674">
        <f>(Z367)/1000</f>
        <v>4000</v>
      </c>
      <c r="Z367" s="1098">
        <f>+S367*V367</f>
        <v>4000000</v>
      </c>
      <c r="AA367" s="305"/>
      <c r="AB367" s="305"/>
      <c r="AC367" s="2547"/>
    </row>
    <row r="368" spans="1:29" s="1669" customFormat="1" ht="21.95" customHeight="1">
      <c r="A368" s="396"/>
      <c r="B368" s="2941"/>
      <c r="C368" s="397"/>
      <c r="D368" s="465"/>
      <c r="E368" s="1134" t="s">
        <v>1780</v>
      </c>
      <c r="F368" s="383">
        <f>Y368</f>
        <v>3600</v>
      </c>
      <c r="G368" s="1311">
        <v>3600</v>
      </c>
      <c r="H368" s="404"/>
      <c r="I368" s="2559"/>
      <c r="J368" s="2939" t="s">
        <v>1842</v>
      </c>
      <c r="K368" s="2940"/>
      <c r="L368" s="2938"/>
      <c r="M368" s="2938"/>
      <c r="N368" s="2938"/>
      <c r="O368" s="2938"/>
      <c r="P368" s="2938"/>
      <c r="Q368" s="408">
        <v>6</v>
      </c>
      <c r="R368" s="2931" t="s">
        <v>23</v>
      </c>
      <c r="S368" s="1672">
        <v>200000</v>
      </c>
      <c r="T368" s="2940" t="s">
        <v>1763</v>
      </c>
      <c r="U368" s="2940"/>
      <c r="V368" s="2940">
        <v>3</v>
      </c>
      <c r="W368" s="2940" t="s">
        <v>1764</v>
      </c>
      <c r="X368" s="2940" t="s">
        <v>1765</v>
      </c>
      <c r="Y368" s="1674">
        <f t="shared" ref="Y368" si="137">(Z368)/1000</f>
        <v>3600</v>
      </c>
      <c r="Z368" s="1098">
        <f>Q368*S368*V368</f>
        <v>3600000</v>
      </c>
      <c r="AA368" s="305"/>
      <c r="AB368" s="305"/>
      <c r="AC368" s="166"/>
    </row>
    <row r="369" spans="1:29" s="1669" customFormat="1" ht="21.95" customHeight="1">
      <c r="A369" s="396"/>
      <c r="B369" s="2941"/>
      <c r="C369" s="397"/>
      <c r="D369" s="402"/>
      <c r="E369" s="1134" t="s">
        <v>1766</v>
      </c>
      <c r="F369" s="383">
        <f>Y369</f>
        <v>1620</v>
      </c>
      <c r="G369" s="1311">
        <v>1620</v>
      </c>
      <c r="H369" s="404"/>
      <c r="I369" s="2559"/>
      <c r="J369" s="2939" t="s">
        <v>1843</v>
      </c>
      <c r="K369" s="2940"/>
      <c r="L369" s="2938"/>
      <c r="M369" s="2938"/>
      <c r="N369" s="2938"/>
      <c r="O369" s="2938"/>
      <c r="P369" s="2938"/>
      <c r="Q369" s="408"/>
      <c r="R369" s="2931"/>
      <c r="S369" s="1672">
        <v>135000</v>
      </c>
      <c r="T369" s="2940" t="s">
        <v>1763</v>
      </c>
      <c r="U369" s="2940"/>
      <c r="V369" s="2940">
        <v>12</v>
      </c>
      <c r="W369" s="2940" t="s">
        <v>1779</v>
      </c>
      <c r="X369" s="2940" t="s">
        <v>1765</v>
      </c>
      <c r="Y369" s="1674">
        <f>(Z369)/1000</f>
        <v>1620</v>
      </c>
      <c r="Z369" s="1098">
        <f>+S369*V369</f>
        <v>1620000</v>
      </c>
      <c r="AA369" s="305"/>
      <c r="AB369" s="305"/>
      <c r="AC369" s="166"/>
    </row>
    <row r="370" spans="1:29" s="1669" customFormat="1" ht="21.95" customHeight="1">
      <c r="A370" s="396"/>
      <c r="B370" s="2941"/>
      <c r="C370" s="397"/>
      <c r="D370" s="402"/>
      <c r="E370" s="1134" t="s">
        <v>1844</v>
      </c>
      <c r="F370" s="383">
        <f>Y370</f>
        <v>60240</v>
      </c>
      <c r="G370" s="1311">
        <v>60240</v>
      </c>
      <c r="H370" s="404"/>
      <c r="I370" s="2559"/>
      <c r="J370" s="2939" t="s">
        <v>1767</v>
      </c>
      <c r="K370" s="2940"/>
      <c r="L370" s="2938"/>
      <c r="M370" s="2938"/>
      <c r="N370" s="2938"/>
      <c r="O370" s="2938"/>
      <c r="P370" s="2938"/>
      <c r="Q370" s="408"/>
      <c r="R370" s="2931"/>
      <c r="S370" s="1672"/>
      <c r="T370" s="2940"/>
      <c r="U370" s="2940"/>
      <c r="V370" s="2940"/>
      <c r="W370" s="2940"/>
      <c r="X370" s="2940"/>
      <c r="Y370" s="1674">
        <f t="shared" si="134"/>
        <v>60240</v>
      </c>
      <c r="Z370" s="1098">
        <f>SUM(Z371:Z374)</f>
        <v>60240000</v>
      </c>
      <c r="AA370" s="305"/>
      <c r="AB370" s="305"/>
      <c r="AC370" s="166"/>
    </row>
    <row r="371" spans="1:29" s="1669" customFormat="1" ht="21.95" customHeight="1">
      <c r="A371" s="396"/>
      <c r="B371" s="2941"/>
      <c r="C371" s="397"/>
      <c r="D371" s="402"/>
      <c r="E371" s="1134"/>
      <c r="F371" s="383"/>
      <c r="G371" s="1311"/>
      <c r="H371" s="404"/>
      <c r="I371" s="2559"/>
      <c r="J371" s="3127" t="s">
        <v>2995</v>
      </c>
      <c r="K371" s="3128"/>
      <c r="L371" s="2938"/>
      <c r="M371" s="2938"/>
      <c r="N371" s="2938"/>
      <c r="O371" s="2938"/>
      <c r="P371" s="2938"/>
      <c r="Q371" s="3129"/>
      <c r="R371" s="3130"/>
      <c r="S371" s="3131">
        <v>2700000</v>
      </c>
      <c r="T371" s="3128" t="s">
        <v>0</v>
      </c>
      <c r="U371" s="3128"/>
      <c r="V371" s="3128">
        <v>12</v>
      </c>
      <c r="W371" s="3128" t="s">
        <v>2</v>
      </c>
      <c r="X371" s="3128" t="s">
        <v>1</v>
      </c>
      <c r="Y371" s="1674">
        <f>(Z371)/1000</f>
        <v>32400</v>
      </c>
      <c r="Z371" s="1098">
        <f>+S371*V371</f>
        <v>32400000</v>
      </c>
      <c r="AA371" s="305"/>
      <c r="AB371" s="305"/>
      <c r="AC371" s="166"/>
    </row>
    <row r="372" spans="1:29" s="1669" customFormat="1" ht="21.95" customHeight="1">
      <c r="A372" s="396"/>
      <c r="B372" s="2941"/>
      <c r="C372" s="397"/>
      <c r="D372" s="402"/>
      <c r="E372" s="1134"/>
      <c r="F372" s="383"/>
      <c r="G372" s="1311"/>
      <c r="H372" s="404"/>
      <c r="I372" s="2559"/>
      <c r="J372" s="3127" t="s">
        <v>2996</v>
      </c>
      <c r="K372" s="3128"/>
      <c r="L372" s="2938"/>
      <c r="M372" s="2938"/>
      <c r="N372" s="2938"/>
      <c r="O372" s="2938"/>
      <c r="P372" s="2938"/>
      <c r="Q372" s="3129">
        <v>3</v>
      </c>
      <c r="R372" s="3130" t="s">
        <v>23</v>
      </c>
      <c r="S372" s="3131">
        <v>400000</v>
      </c>
      <c r="T372" s="3128" t="s">
        <v>0</v>
      </c>
      <c r="U372" s="3128"/>
      <c r="V372" s="3128">
        <v>12</v>
      </c>
      <c r="W372" s="3128" t="s">
        <v>2</v>
      </c>
      <c r="X372" s="3128" t="s">
        <v>1</v>
      </c>
      <c r="Y372" s="1674">
        <f t="shared" ref="Y372:Y375" si="138">(Z372)/1000</f>
        <v>14400</v>
      </c>
      <c r="Z372" s="1098">
        <f>+Q372*S372*V372</f>
        <v>14400000</v>
      </c>
      <c r="AA372" s="305"/>
      <c r="AB372" s="305"/>
      <c r="AC372" s="166"/>
    </row>
    <row r="373" spans="1:29" s="1669" customFormat="1" ht="21.95" customHeight="1">
      <c r="A373" s="396"/>
      <c r="B373" s="2941"/>
      <c r="C373" s="397"/>
      <c r="D373" s="402"/>
      <c r="E373" s="1134"/>
      <c r="F373" s="383"/>
      <c r="G373" s="1311"/>
      <c r="H373" s="404"/>
      <c r="I373" s="2559"/>
      <c r="J373" s="3127" t="s">
        <v>2997</v>
      </c>
      <c r="K373" s="3128"/>
      <c r="L373" s="2938"/>
      <c r="M373" s="2938"/>
      <c r="N373" s="2938"/>
      <c r="O373" s="2938"/>
      <c r="P373" s="2938"/>
      <c r="Q373" s="3129">
        <v>1</v>
      </c>
      <c r="R373" s="3130" t="s">
        <v>29</v>
      </c>
      <c r="S373" s="3131">
        <v>800000</v>
      </c>
      <c r="T373" s="3128" t="s">
        <v>0</v>
      </c>
      <c r="U373" s="3128"/>
      <c r="V373" s="3128">
        <v>12</v>
      </c>
      <c r="W373" s="3128" t="s">
        <v>2</v>
      </c>
      <c r="X373" s="3128" t="s">
        <v>1</v>
      </c>
      <c r="Y373" s="1674">
        <f t="shared" si="138"/>
        <v>9600</v>
      </c>
      <c r="Z373" s="1098">
        <f t="shared" ref="Z373:Z375" si="139">+S373*V373</f>
        <v>9600000</v>
      </c>
      <c r="AA373" s="305"/>
      <c r="AB373" s="305"/>
      <c r="AC373" s="166"/>
    </row>
    <row r="374" spans="1:29" s="1669" customFormat="1" ht="21.95" customHeight="1">
      <c r="A374" s="396"/>
      <c r="B374" s="2941"/>
      <c r="C374" s="397"/>
      <c r="D374" s="402"/>
      <c r="E374" s="1134"/>
      <c r="F374" s="383"/>
      <c r="G374" s="1311"/>
      <c r="H374" s="404"/>
      <c r="I374" s="2559"/>
      <c r="J374" s="3127" t="s">
        <v>2998</v>
      </c>
      <c r="K374" s="3128"/>
      <c r="L374" s="2938"/>
      <c r="M374" s="2938"/>
      <c r="N374" s="2938"/>
      <c r="O374" s="2938"/>
      <c r="P374" s="2938"/>
      <c r="Q374" s="3129">
        <v>1</v>
      </c>
      <c r="R374" s="3130" t="s">
        <v>29</v>
      </c>
      <c r="S374" s="3131">
        <v>320000</v>
      </c>
      <c r="T374" s="3128" t="s">
        <v>0</v>
      </c>
      <c r="U374" s="3128"/>
      <c r="V374" s="3128">
        <v>12</v>
      </c>
      <c r="W374" s="3128" t="s">
        <v>2</v>
      </c>
      <c r="X374" s="3128" t="s">
        <v>1</v>
      </c>
      <c r="Y374" s="1674">
        <f t="shared" si="138"/>
        <v>3840</v>
      </c>
      <c r="Z374" s="1098">
        <f t="shared" si="139"/>
        <v>3840000</v>
      </c>
      <c r="AA374" s="305"/>
      <c r="AB374" s="305"/>
      <c r="AC374" s="166"/>
    </row>
    <row r="375" spans="1:29" s="1669" customFormat="1" ht="21.95" customHeight="1">
      <c r="A375" s="396"/>
      <c r="B375" s="2941"/>
      <c r="C375" s="397"/>
      <c r="D375" s="402"/>
      <c r="E375" s="1134" t="s">
        <v>1845</v>
      </c>
      <c r="F375" s="383">
        <f>Y375</f>
        <v>3600</v>
      </c>
      <c r="G375" s="1311">
        <v>3600</v>
      </c>
      <c r="H375" s="404"/>
      <c r="I375" s="2559"/>
      <c r="J375" s="2939" t="s">
        <v>1846</v>
      </c>
      <c r="K375" s="2940"/>
      <c r="L375" s="2938"/>
      <c r="M375" s="2938"/>
      <c r="N375" s="2938"/>
      <c r="O375" s="2938"/>
      <c r="P375" s="2938"/>
      <c r="Q375" s="408"/>
      <c r="R375" s="2931"/>
      <c r="S375" s="1672">
        <v>300000</v>
      </c>
      <c r="T375" s="2940" t="s">
        <v>1763</v>
      </c>
      <c r="U375" s="2940"/>
      <c r="V375" s="2940">
        <v>12</v>
      </c>
      <c r="W375" s="2940" t="s">
        <v>1779</v>
      </c>
      <c r="X375" s="2940" t="s">
        <v>1765</v>
      </c>
      <c r="Y375" s="1674">
        <f t="shared" si="138"/>
        <v>3600</v>
      </c>
      <c r="Z375" s="1098">
        <f t="shared" si="139"/>
        <v>3600000</v>
      </c>
      <c r="AA375" s="305"/>
      <c r="AB375" s="305"/>
      <c r="AC375" s="166"/>
    </row>
    <row r="376" spans="1:29" s="1669" customFormat="1" ht="21.95" customHeight="1">
      <c r="A376" s="396"/>
      <c r="B376" s="2941"/>
      <c r="C376" s="1110"/>
      <c r="D376" s="402"/>
      <c r="E376" s="1134" t="s">
        <v>1847</v>
      </c>
      <c r="F376" s="383">
        <f>Y376</f>
        <v>1560</v>
      </c>
      <c r="G376" s="1311">
        <v>1560</v>
      </c>
      <c r="H376" s="404"/>
      <c r="I376" s="2559"/>
      <c r="J376" s="2939" t="s">
        <v>1767</v>
      </c>
      <c r="K376" s="2940"/>
      <c r="L376" s="2938"/>
      <c r="M376" s="2938"/>
      <c r="N376" s="2938"/>
      <c r="O376" s="2938"/>
      <c r="P376" s="2938"/>
      <c r="Q376" s="408"/>
      <c r="R376" s="2940"/>
      <c r="S376" s="1672"/>
      <c r="T376" s="2940"/>
      <c r="U376" s="2940"/>
      <c r="V376" s="2940"/>
      <c r="W376" s="2940"/>
      <c r="X376" s="2940"/>
      <c r="Y376" s="1674">
        <f t="shared" si="134"/>
        <v>1560</v>
      </c>
      <c r="Z376" s="1098">
        <f>SUM(Z377:Z378)</f>
        <v>1560000</v>
      </c>
      <c r="AA376" s="305"/>
      <c r="AB376" s="305"/>
      <c r="AC376" s="166"/>
    </row>
    <row r="377" spans="1:29" s="1669" customFormat="1" ht="21.95" customHeight="1">
      <c r="A377" s="396"/>
      <c r="B377" s="2941"/>
      <c r="C377" s="397"/>
      <c r="D377" s="402"/>
      <c r="E377" s="1134"/>
      <c r="F377" s="383"/>
      <c r="G377" s="1311"/>
      <c r="H377" s="404"/>
      <c r="I377" s="2559"/>
      <c r="J377" s="2939" t="s">
        <v>1848</v>
      </c>
      <c r="K377" s="2940"/>
      <c r="L377" s="2938"/>
      <c r="M377" s="2938"/>
      <c r="N377" s="2938"/>
      <c r="O377" s="2938"/>
      <c r="P377" s="2938"/>
      <c r="Q377" s="408"/>
      <c r="R377" s="2931"/>
      <c r="S377" s="1672">
        <v>30000</v>
      </c>
      <c r="T377" s="2940" t="s">
        <v>1763</v>
      </c>
      <c r="U377" s="2940"/>
      <c r="V377" s="2940">
        <v>12</v>
      </c>
      <c r="W377" s="2940" t="s">
        <v>1779</v>
      </c>
      <c r="X377" s="2940" t="s">
        <v>1765</v>
      </c>
      <c r="Y377" s="1674">
        <f t="shared" si="134"/>
        <v>360</v>
      </c>
      <c r="Z377" s="1098">
        <f>+S377*V377</f>
        <v>360000</v>
      </c>
      <c r="AA377" s="305"/>
      <c r="AB377" s="305"/>
      <c r="AC377" s="166"/>
    </row>
    <row r="378" spans="1:29" s="1669" customFormat="1" ht="21.95" customHeight="1">
      <c r="A378" s="396"/>
      <c r="B378" s="2941"/>
      <c r="C378" s="397"/>
      <c r="D378" s="402"/>
      <c r="E378" s="1134"/>
      <c r="F378" s="383"/>
      <c r="G378" s="1311"/>
      <c r="H378" s="404"/>
      <c r="I378" s="2559"/>
      <c r="J378" s="2939" t="s">
        <v>1849</v>
      </c>
      <c r="K378" s="2940"/>
      <c r="L378" s="2938"/>
      <c r="M378" s="2938"/>
      <c r="N378" s="2938"/>
      <c r="O378" s="2938"/>
      <c r="P378" s="2938"/>
      <c r="Q378" s="408">
        <v>1</v>
      </c>
      <c r="R378" s="2931" t="s">
        <v>1850</v>
      </c>
      <c r="S378" s="1672">
        <v>100000</v>
      </c>
      <c r="T378" s="2940" t="s">
        <v>1763</v>
      </c>
      <c r="U378" s="2940"/>
      <c r="V378" s="2940">
        <v>12</v>
      </c>
      <c r="W378" s="2940" t="s">
        <v>1779</v>
      </c>
      <c r="X378" s="2940" t="s">
        <v>1765</v>
      </c>
      <c r="Y378" s="1674">
        <f t="shared" si="134"/>
        <v>1200</v>
      </c>
      <c r="Z378" s="1098">
        <f>Q378*S378*V378</f>
        <v>1200000</v>
      </c>
      <c r="AA378" s="305"/>
      <c r="AB378" s="305"/>
      <c r="AC378" s="166"/>
    </row>
    <row r="379" spans="1:29" s="1669" customFormat="1" ht="21.95" customHeight="1">
      <c r="A379" s="396"/>
      <c r="B379" s="2941"/>
      <c r="C379" s="397"/>
      <c r="D379" s="402"/>
      <c r="E379" s="1134" t="s">
        <v>1768</v>
      </c>
      <c r="F379" s="383">
        <f>Y379</f>
        <v>2000</v>
      </c>
      <c r="G379" s="1311">
        <v>2000</v>
      </c>
      <c r="H379" s="404"/>
      <c r="I379" s="2559"/>
      <c r="J379" s="2939" t="s">
        <v>1851</v>
      </c>
      <c r="K379" s="2940"/>
      <c r="L379" s="2938"/>
      <c r="M379" s="2938"/>
      <c r="N379" s="2938"/>
      <c r="O379" s="2938"/>
      <c r="P379" s="2938"/>
      <c r="Q379" s="408">
        <v>20</v>
      </c>
      <c r="R379" s="2931" t="s">
        <v>23</v>
      </c>
      <c r="S379" s="1672">
        <v>10000</v>
      </c>
      <c r="T379" s="2940" t="s">
        <v>1763</v>
      </c>
      <c r="U379" s="2940"/>
      <c r="V379" s="2940">
        <v>10</v>
      </c>
      <c r="W379" s="2940" t="s">
        <v>1764</v>
      </c>
      <c r="X379" s="2940" t="s">
        <v>1765</v>
      </c>
      <c r="Y379" s="1674">
        <f t="shared" si="134"/>
        <v>2000</v>
      </c>
      <c r="Z379" s="1098">
        <f>Q379*S379*V379</f>
        <v>2000000</v>
      </c>
      <c r="AA379" s="305"/>
      <c r="AB379" s="305"/>
      <c r="AC379" s="166"/>
    </row>
    <row r="380" spans="1:29" s="1669" customFormat="1" ht="21.95" customHeight="1">
      <c r="A380" s="396"/>
      <c r="B380" s="2941"/>
      <c r="C380" s="397"/>
      <c r="D380" s="3266" t="s">
        <v>2999</v>
      </c>
      <c r="E380" s="3267"/>
      <c r="F380" s="385">
        <f>+F381</f>
        <v>10000</v>
      </c>
      <c r="G380" s="385">
        <f>+G381</f>
        <v>10000</v>
      </c>
      <c r="H380" s="468">
        <f>F380-G380</f>
        <v>0</v>
      </c>
      <c r="I380" s="2559"/>
      <c r="J380" s="1135"/>
      <c r="K380" s="1136"/>
      <c r="L380" s="2921"/>
      <c r="M380" s="2921"/>
      <c r="N380" s="2921"/>
      <c r="O380" s="2921"/>
      <c r="P380" s="2921"/>
      <c r="Q380" s="1307"/>
      <c r="R380" s="1137"/>
      <c r="S380" s="399"/>
      <c r="T380" s="1136"/>
      <c r="U380" s="1136"/>
      <c r="V380" s="1136"/>
      <c r="W380" s="1136"/>
      <c r="X380" s="1136"/>
      <c r="Y380" s="443"/>
      <c r="Z380" s="1448">
        <f>+Z381</f>
        <v>10000000</v>
      </c>
      <c r="AA380" s="305"/>
      <c r="AB380" s="305"/>
      <c r="AC380" s="166"/>
    </row>
    <row r="381" spans="1:29" s="1669" customFormat="1" ht="21.95" customHeight="1">
      <c r="A381" s="396"/>
      <c r="B381" s="2941"/>
      <c r="C381" s="397"/>
      <c r="D381" s="402"/>
      <c r="E381" s="1134" t="s">
        <v>1852</v>
      </c>
      <c r="F381" s="383">
        <f>Y381</f>
        <v>10000</v>
      </c>
      <c r="G381" s="1311">
        <v>10000</v>
      </c>
      <c r="H381" s="810"/>
      <c r="I381" s="2559"/>
      <c r="J381" s="3132" t="s">
        <v>8</v>
      </c>
      <c r="K381" s="3133"/>
      <c r="L381" s="2938"/>
      <c r="M381" s="2938"/>
      <c r="N381" s="2938"/>
      <c r="O381" s="2938"/>
      <c r="P381" s="2938"/>
      <c r="Q381" s="3134"/>
      <c r="R381" s="3135"/>
      <c r="S381" s="3136"/>
      <c r="T381" s="3133"/>
      <c r="U381" s="3133"/>
      <c r="V381" s="3133"/>
      <c r="W381" s="3133"/>
      <c r="X381" s="3133"/>
      <c r="Y381" s="1674">
        <f t="shared" si="134"/>
        <v>10000</v>
      </c>
      <c r="Z381" s="3137">
        <f>SUM(Z382:Z384)</f>
        <v>10000000</v>
      </c>
      <c r="AA381" s="305"/>
      <c r="AB381" s="305"/>
      <c r="AC381" s="166"/>
    </row>
    <row r="382" spans="1:29" s="2554" customFormat="1" ht="21.95" customHeight="1">
      <c r="A382" s="1082"/>
      <c r="B382" s="2941"/>
      <c r="C382" s="397"/>
      <c r="D382" s="465"/>
      <c r="E382" s="1134"/>
      <c r="F382" s="383"/>
      <c r="G382" s="1311"/>
      <c r="H382" s="404"/>
      <c r="I382" s="2559"/>
      <c r="J382" s="3132" t="s">
        <v>3000</v>
      </c>
      <c r="K382" s="3133"/>
      <c r="L382" s="2938"/>
      <c r="M382" s="2938"/>
      <c r="N382" s="2938"/>
      <c r="O382" s="2938"/>
      <c r="P382" s="2938"/>
      <c r="Q382" s="3134"/>
      <c r="R382" s="3135"/>
      <c r="S382" s="3136">
        <v>2000000</v>
      </c>
      <c r="T382" s="3133" t="s">
        <v>0</v>
      </c>
      <c r="U382" s="3133"/>
      <c r="V382" s="3133">
        <v>1</v>
      </c>
      <c r="W382" s="3133" t="s">
        <v>6</v>
      </c>
      <c r="X382" s="3133" t="s">
        <v>1</v>
      </c>
      <c r="Y382" s="3138">
        <v>2000</v>
      </c>
      <c r="Z382" s="1098">
        <f>+S382*V382</f>
        <v>2000000</v>
      </c>
      <c r="AA382" s="305"/>
      <c r="AB382" s="305"/>
      <c r="AC382" s="2551"/>
    </row>
    <row r="383" spans="1:29" s="2554" customFormat="1" ht="21.95" customHeight="1">
      <c r="A383" s="1082"/>
      <c r="B383" s="2941"/>
      <c r="C383" s="397"/>
      <c r="D383" s="465"/>
      <c r="E383" s="1134"/>
      <c r="F383" s="383"/>
      <c r="G383" s="1311"/>
      <c r="H383" s="404"/>
      <c r="I383" s="2559"/>
      <c r="J383" s="3132" t="s">
        <v>3001</v>
      </c>
      <c r="K383" s="3133"/>
      <c r="L383" s="2938"/>
      <c r="M383" s="2938"/>
      <c r="N383" s="2938"/>
      <c r="O383" s="2938"/>
      <c r="P383" s="2938"/>
      <c r="Q383" s="3134"/>
      <c r="R383" s="3135"/>
      <c r="S383" s="3136">
        <v>6000000</v>
      </c>
      <c r="T383" s="3133" t="s">
        <v>0</v>
      </c>
      <c r="U383" s="3133"/>
      <c r="V383" s="3133">
        <v>1</v>
      </c>
      <c r="W383" s="3133" t="s">
        <v>6</v>
      </c>
      <c r="X383" s="3133" t="s">
        <v>1</v>
      </c>
      <c r="Y383" s="3138">
        <v>6000</v>
      </c>
      <c r="Z383" s="1098">
        <f>+S383*V383</f>
        <v>6000000</v>
      </c>
      <c r="AA383" s="305"/>
      <c r="AB383" s="305"/>
      <c r="AC383" s="2551"/>
    </row>
    <row r="384" spans="1:29" s="2554" customFormat="1" ht="21.95" customHeight="1" thickBot="1">
      <c r="A384" s="1082"/>
      <c r="B384" s="2941"/>
      <c r="C384" s="397"/>
      <c r="D384" s="477"/>
      <c r="E384" s="1159"/>
      <c r="F384" s="1081"/>
      <c r="G384" s="2211"/>
      <c r="H384" s="977"/>
      <c r="I384" s="2559"/>
      <c r="J384" s="3139" t="s">
        <v>3002</v>
      </c>
      <c r="K384" s="3140"/>
      <c r="L384" s="2925"/>
      <c r="M384" s="2925"/>
      <c r="N384" s="2925"/>
      <c r="O384" s="2925"/>
      <c r="P384" s="2925"/>
      <c r="Q384" s="3141"/>
      <c r="R384" s="3142"/>
      <c r="S384" s="3143">
        <v>2000000</v>
      </c>
      <c r="T384" s="3140" t="s">
        <v>0</v>
      </c>
      <c r="U384" s="3140"/>
      <c r="V384" s="3140">
        <v>1</v>
      </c>
      <c r="W384" s="3140" t="s">
        <v>6</v>
      </c>
      <c r="X384" s="3140" t="s">
        <v>1</v>
      </c>
      <c r="Y384" s="3144">
        <v>2000</v>
      </c>
      <c r="Z384" s="1098">
        <f>+S384*V384</f>
        <v>2000000</v>
      </c>
      <c r="AA384" s="305"/>
      <c r="AB384" s="305"/>
      <c r="AC384" s="2551"/>
    </row>
    <row r="385" spans="1:29" ht="21.95" customHeight="1" thickBot="1">
      <c r="A385" s="2317"/>
      <c r="B385" s="1145"/>
      <c r="C385" s="3355" t="s">
        <v>71</v>
      </c>
      <c r="D385" s="3310"/>
      <c r="E385" s="3311"/>
      <c r="F385" s="1260">
        <f>+F386+F436+F478+F510</f>
        <v>1255000</v>
      </c>
      <c r="G385" s="1260">
        <v>1255000</v>
      </c>
      <c r="H385" s="838">
        <f>F385-G385</f>
        <v>0</v>
      </c>
      <c r="I385" s="473"/>
      <c r="J385" s="2318"/>
      <c r="K385" s="1336"/>
      <c r="L385" s="1337"/>
      <c r="M385" s="1337"/>
      <c r="N385" s="1337"/>
      <c r="O385" s="1337"/>
      <c r="P385" s="1337"/>
      <c r="Q385" s="1337"/>
      <c r="R385" s="1339"/>
      <c r="S385" s="1337"/>
      <c r="T385" s="1337"/>
      <c r="U385" s="1337"/>
      <c r="V385" s="1337"/>
      <c r="W385" s="1337"/>
      <c r="X385" s="1354"/>
      <c r="Y385" s="842"/>
      <c r="Z385" s="1355"/>
      <c r="AA385" s="305"/>
      <c r="AB385" s="305"/>
      <c r="AC385" s="166"/>
    </row>
    <row r="386" spans="1:29" s="1669" customFormat="1" ht="21.95" customHeight="1">
      <c r="A386" s="396"/>
      <c r="B386" s="2941"/>
      <c r="C386" s="3271" t="s">
        <v>1853</v>
      </c>
      <c r="D386" s="3271"/>
      <c r="E386" s="3272"/>
      <c r="F386" s="382">
        <f>+F387+F403+F414+F423</f>
        <v>535000</v>
      </c>
      <c r="G386" s="382">
        <f>+G387+G403+G414+G423</f>
        <v>535000</v>
      </c>
      <c r="H386" s="468">
        <f>F386-G386</f>
        <v>0</v>
      </c>
      <c r="I386" s="2559"/>
      <c r="J386" s="394"/>
      <c r="K386" s="2921"/>
      <c r="L386" s="2921"/>
      <c r="M386" s="2921"/>
      <c r="N386" s="2921"/>
      <c r="O386" s="2921"/>
      <c r="P386" s="2921"/>
      <c r="Q386" s="2921"/>
      <c r="R386" s="2921"/>
      <c r="S386" s="2921"/>
      <c r="T386" s="2921"/>
      <c r="U386" s="2921"/>
      <c r="V386" s="2921"/>
      <c r="W386" s="2921"/>
      <c r="X386" s="2921"/>
      <c r="Y386" s="443"/>
      <c r="Z386" s="1825" t="e">
        <f>+Z387+Z403+Z414+Z423</f>
        <v>#REF!</v>
      </c>
      <c r="AA386" s="305"/>
      <c r="AB386" s="305"/>
      <c r="AC386" s="166"/>
    </row>
    <row r="387" spans="1:29" s="1669" customFormat="1" ht="21.95" customHeight="1">
      <c r="A387" s="396"/>
      <c r="B387" s="2941"/>
      <c r="C387" s="1110"/>
      <c r="D387" s="3266" t="s">
        <v>1854</v>
      </c>
      <c r="E387" s="3267"/>
      <c r="F387" s="382">
        <f>SUM(F388:F402)</f>
        <v>350000</v>
      </c>
      <c r="G387" s="382">
        <f>SUM(G388:G402)</f>
        <v>350000</v>
      </c>
      <c r="H387" s="468">
        <f>F387-G387</f>
        <v>0</v>
      </c>
      <c r="I387" s="2559"/>
      <c r="J387" s="394"/>
      <c r="K387" s="2921"/>
      <c r="L387" s="2921"/>
      <c r="M387" s="2921"/>
      <c r="N387" s="2921"/>
      <c r="O387" s="2921"/>
      <c r="P387" s="2921"/>
      <c r="Q387" s="2921"/>
      <c r="R387" s="395"/>
      <c r="S387" s="2921"/>
      <c r="T387" s="2921"/>
      <c r="U387" s="2921"/>
      <c r="V387" s="2921"/>
      <c r="W387" s="2921"/>
      <c r="X387" s="2921"/>
      <c r="Y387" s="443">
        <v>350000</v>
      </c>
      <c r="Z387" s="1833" t="e">
        <f>+Z388+Z391+Z398+#REF!+#REF!+#REF!+Z399+Z402</f>
        <v>#REF!</v>
      </c>
      <c r="AA387" s="305"/>
      <c r="AB387" s="305"/>
      <c r="AC387" s="166"/>
    </row>
    <row r="388" spans="1:29" s="1669" customFormat="1" ht="21.95" customHeight="1">
      <c r="A388" s="396"/>
      <c r="B388" s="2941"/>
      <c r="C388" s="397"/>
      <c r="D388" s="465"/>
      <c r="E388" s="1134" t="s">
        <v>1772</v>
      </c>
      <c r="F388" s="383">
        <f>Y388</f>
        <v>34200</v>
      </c>
      <c r="G388" s="1116">
        <v>34200</v>
      </c>
      <c r="H388" s="404"/>
      <c r="I388" s="2559"/>
      <c r="J388" s="2939" t="s">
        <v>1767</v>
      </c>
      <c r="K388" s="2938"/>
      <c r="L388" s="2938"/>
      <c r="M388" s="2938"/>
      <c r="N388" s="2938"/>
      <c r="O388" s="2938"/>
      <c r="P388" s="2938"/>
      <c r="Q388" s="2938"/>
      <c r="R388" s="2982"/>
      <c r="S388" s="2938"/>
      <c r="T388" s="2938"/>
      <c r="U388" s="2938"/>
      <c r="V388" s="2938"/>
      <c r="W388" s="2938"/>
      <c r="X388" s="2940"/>
      <c r="Y388" s="1674">
        <f>SUM(Y389:Y390)</f>
        <v>34200</v>
      </c>
      <c r="Z388" s="1823">
        <f>SUM(Z389:Z390)</f>
        <v>34200000</v>
      </c>
      <c r="AA388" s="305"/>
      <c r="AB388" s="305"/>
      <c r="AC388" s="166"/>
    </row>
    <row r="389" spans="1:29" s="1669" customFormat="1" ht="21.95" customHeight="1">
      <c r="A389" s="396"/>
      <c r="B389" s="2941"/>
      <c r="C389" s="397"/>
      <c r="D389" s="465"/>
      <c r="E389" s="1134"/>
      <c r="F389" s="383"/>
      <c r="G389" s="1116"/>
      <c r="H389" s="404"/>
      <c r="I389" s="2559"/>
      <c r="J389" s="2939" t="s">
        <v>1855</v>
      </c>
      <c r="K389" s="2938"/>
      <c r="L389" s="2938"/>
      <c r="M389" s="2938"/>
      <c r="N389" s="2938"/>
      <c r="O389" s="2938"/>
      <c r="P389" s="2938"/>
      <c r="Q389" s="408">
        <v>1</v>
      </c>
      <c r="R389" s="2931" t="s">
        <v>23</v>
      </c>
      <c r="S389" s="1672">
        <v>2500000</v>
      </c>
      <c r="T389" s="2940" t="s">
        <v>0</v>
      </c>
      <c r="U389" s="2940"/>
      <c r="V389" s="2940">
        <v>12</v>
      </c>
      <c r="W389" s="2940" t="s">
        <v>1856</v>
      </c>
      <c r="X389" s="2940" t="s">
        <v>1765</v>
      </c>
      <c r="Y389" s="1674">
        <f t="shared" ref="Y389:Y413" si="140">(Z389)/1000</f>
        <v>30000</v>
      </c>
      <c r="Z389" s="1823">
        <f>Q389*S389*V389</f>
        <v>30000000</v>
      </c>
      <c r="AA389" s="305"/>
      <c r="AB389" s="305"/>
      <c r="AC389" s="166"/>
    </row>
    <row r="390" spans="1:29" s="1669" customFormat="1" ht="21.95" customHeight="1">
      <c r="A390" s="396"/>
      <c r="B390" s="2941"/>
      <c r="C390" s="397"/>
      <c r="D390" s="465"/>
      <c r="E390" s="1134"/>
      <c r="F390" s="383"/>
      <c r="G390" s="1116"/>
      <c r="H390" s="404"/>
      <c r="I390" s="2559"/>
      <c r="J390" s="2939" t="s">
        <v>1857</v>
      </c>
      <c r="K390" s="2938"/>
      <c r="L390" s="2938"/>
      <c r="M390" s="2938"/>
      <c r="N390" s="2938"/>
      <c r="O390" s="2938"/>
      <c r="P390" s="2938"/>
      <c r="Q390" s="408">
        <v>2</v>
      </c>
      <c r="R390" s="2931" t="s">
        <v>23</v>
      </c>
      <c r="S390" s="1672">
        <v>70000</v>
      </c>
      <c r="T390" s="2940" t="s">
        <v>0</v>
      </c>
      <c r="U390" s="2940"/>
      <c r="V390" s="2940">
        <v>30</v>
      </c>
      <c r="W390" s="2940" t="s">
        <v>1858</v>
      </c>
      <c r="X390" s="2940" t="s">
        <v>1765</v>
      </c>
      <c r="Y390" s="1674">
        <f t="shared" si="140"/>
        <v>4200</v>
      </c>
      <c r="Z390" s="1823">
        <f>Q390*S390*V390</f>
        <v>4200000</v>
      </c>
      <c r="AA390" s="305"/>
      <c r="AB390" s="305"/>
      <c r="AC390" s="166"/>
    </row>
    <row r="391" spans="1:29" s="1669" customFormat="1" ht="21.95" customHeight="1">
      <c r="A391" s="396"/>
      <c r="B391" s="2941"/>
      <c r="C391" s="1110"/>
      <c r="D391" s="465"/>
      <c r="E391" s="1134" t="s">
        <v>1774</v>
      </c>
      <c r="F391" s="383">
        <f>Y391</f>
        <v>4100</v>
      </c>
      <c r="G391" s="1311">
        <v>4100</v>
      </c>
      <c r="H391" s="404"/>
      <c r="I391" s="2559"/>
      <c r="J391" s="2939" t="s">
        <v>1859</v>
      </c>
      <c r="K391" s="2938"/>
      <c r="L391" s="2938"/>
      <c r="M391" s="2938"/>
      <c r="N391" s="2938"/>
      <c r="O391" s="2938"/>
      <c r="P391" s="2938"/>
      <c r="Q391" s="408"/>
      <c r="R391" s="2931"/>
      <c r="S391" s="1672">
        <v>4100000</v>
      </c>
      <c r="T391" s="2940" t="s">
        <v>0</v>
      </c>
      <c r="U391" s="2940"/>
      <c r="V391" s="2940">
        <v>1</v>
      </c>
      <c r="W391" s="2940" t="s">
        <v>1770</v>
      </c>
      <c r="X391" s="2940" t="s">
        <v>1765</v>
      </c>
      <c r="Y391" s="1674">
        <f t="shared" si="140"/>
        <v>4100</v>
      </c>
      <c r="Z391" s="1823">
        <f>S391*V391</f>
        <v>4100000</v>
      </c>
      <c r="AA391" s="305"/>
      <c r="AB391" s="305"/>
      <c r="AC391" s="166"/>
    </row>
    <row r="392" spans="1:29" s="2558" customFormat="1" ht="21.95" customHeight="1">
      <c r="A392" s="396"/>
      <c r="B392" s="2941"/>
      <c r="C392" s="397"/>
      <c r="D392" s="402"/>
      <c r="E392" s="1134" t="s">
        <v>224</v>
      </c>
      <c r="F392" s="383">
        <f>Y392</f>
        <v>700</v>
      </c>
      <c r="G392" s="1311">
        <v>700</v>
      </c>
      <c r="H392" s="404"/>
      <c r="I392" s="2559"/>
      <c r="J392" s="2939" t="s">
        <v>1861</v>
      </c>
      <c r="K392" s="2938"/>
      <c r="L392" s="2938"/>
      <c r="M392" s="2938"/>
      <c r="N392" s="2938"/>
      <c r="O392" s="2938"/>
      <c r="P392" s="2938"/>
      <c r="Q392" s="408"/>
      <c r="R392" s="2931"/>
      <c r="S392" s="1672">
        <v>700000</v>
      </c>
      <c r="T392" s="2940" t="s">
        <v>264</v>
      </c>
      <c r="U392" s="2940"/>
      <c r="V392" s="2940">
        <v>1</v>
      </c>
      <c r="W392" s="2940" t="s">
        <v>196</v>
      </c>
      <c r="X392" s="2940" t="s">
        <v>266</v>
      </c>
      <c r="Y392" s="1674">
        <f t="shared" ref="Y392:Y393" si="141">(Z392)/1000</f>
        <v>700</v>
      </c>
      <c r="Z392" s="1823">
        <f>S392*V392</f>
        <v>700000</v>
      </c>
      <c r="AA392" s="305"/>
      <c r="AB392" s="305"/>
      <c r="AC392" s="2557"/>
    </row>
    <row r="393" spans="1:29" s="2558" customFormat="1" ht="21.95" customHeight="1">
      <c r="A393" s="396"/>
      <c r="B393" s="2941"/>
      <c r="C393" s="397"/>
      <c r="D393" s="402"/>
      <c r="E393" s="1134" t="s">
        <v>195</v>
      </c>
      <c r="F393" s="383">
        <f>Y393</f>
        <v>2400</v>
      </c>
      <c r="G393" s="1311">
        <v>2400</v>
      </c>
      <c r="H393" s="404"/>
      <c r="I393" s="2559"/>
      <c r="J393" s="2939" t="s">
        <v>1304</v>
      </c>
      <c r="K393" s="2940" t="s">
        <v>1863</v>
      </c>
      <c r="L393" s="2938" t="s">
        <v>1864</v>
      </c>
      <c r="M393" s="2938"/>
      <c r="N393" s="2938"/>
      <c r="O393" s="408">
        <v>10</v>
      </c>
      <c r="P393" s="2931" t="s">
        <v>28</v>
      </c>
      <c r="Q393" s="408">
        <v>1</v>
      </c>
      <c r="R393" s="2931" t="s">
        <v>33</v>
      </c>
      <c r="S393" s="1672">
        <v>20000</v>
      </c>
      <c r="T393" s="2940" t="s">
        <v>0</v>
      </c>
      <c r="U393" s="2940"/>
      <c r="V393" s="2940">
        <v>12</v>
      </c>
      <c r="W393" s="2940" t="s">
        <v>49</v>
      </c>
      <c r="X393" s="2940" t="s">
        <v>266</v>
      </c>
      <c r="Y393" s="1674">
        <f t="shared" si="141"/>
        <v>2400</v>
      </c>
      <c r="Z393" s="1823">
        <f>O393*Q393*S393*V393</f>
        <v>2400000</v>
      </c>
      <c r="AA393" s="305"/>
      <c r="AB393" s="305"/>
      <c r="AC393" s="2557"/>
    </row>
    <row r="394" spans="1:29" s="2558" customFormat="1" ht="21.95" customHeight="1">
      <c r="A394" s="411"/>
      <c r="B394" s="412"/>
      <c r="C394" s="1328"/>
      <c r="D394" s="1126"/>
      <c r="E394" s="389" t="s">
        <v>269</v>
      </c>
      <c r="F394" s="383">
        <f>Y394</f>
        <v>5600</v>
      </c>
      <c r="G394" s="1116">
        <v>5600</v>
      </c>
      <c r="H394" s="404"/>
      <c r="I394" s="2559"/>
      <c r="J394" s="2939" t="s">
        <v>194</v>
      </c>
      <c r="K394" s="2938"/>
      <c r="L394" s="2938"/>
      <c r="M394" s="2938"/>
      <c r="N394" s="2938"/>
      <c r="O394" s="2938"/>
      <c r="P394" s="2938"/>
      <c r="Q394" s="408"/>
      <c r="R394" s="2931"/>
      <c r="S394" s="1672"/>
      <c r="T394" s="2940"/>
      <c r="U394" s="2940"/>
      <c r="V394" s="2940"/>
      <c r="W394" s="2940"/>
      <c r="X394" s="2940"/>
      <c r="Y394" s="1674">
        <f>SUM(Y395:Y397)</f>
        <v>5600</v>
      </c>
      <c r="Z394" s="1823">
        <f>SUM(Z395:Z397)</f>
        <v>5600000</v>
      </c>
      <c r="AA394" s="305"/>
      <c r="AB394" s="305"/>
      <c r="AC394" s="2557"/>
    </row>
    <row r="395" spans="1:29" s="2558" customFormat="1" ht="21.95" customHeight="1">
      <c r="A395" s="411"/>
      <c r="B395" s="412"/>
      <c r="C395" s="1111"/>
      <c r="D395" s="1126"/>
      <c r="E395" s="1134"/>
      <c r="F395" s="383"/>
      <c r="G395" s="1116"/>
      <c r="H395" s="404"/>
      <c r="I395" s="2559"/>
      <c r="J395" s="2939" t="s">
        <v>1865</v>
      </c>
      <c r="K395" s="2938"/>
      <c r="L395" s="2938"/>
      <c r="M395" s="2938"/>
      <c r="N395" s="2938"/>
      <c r="O395" s="408"/>
      <c r="P395" s="2931"/>
      <c r="Q395" s="408">
        <v>6</v>
      </c>
      <c r="R395" s="2931" t="s">
        <v>33</v>
      </c>
      <c r="S395" s="1672">
        <v>150000</v>
      </c>
      <c r="T395" s="2940" t="s">
        <v>0</v>
      </c>
      <c r="U395" s="2940"/>
      <c r="V395" s="2940">
        <v>2</v>
      </c>
      <c r="W395" s="2940" t="s">
        <v>265</v>
      </c>
      <c r="X395" s="2940" t="s">
        <v>266</v>
      </c>
      <c r="Y395" s="1674">
        <f t="shared" ref="Y395:Y397" si="142">(Z395)/1000</f>
        <v>1800</v>
      </c>
      <c r="Z395" s="1823">
        <f>Q395*S395*V395</f>
        <v>1800000</v>
      </c>
      <c r="AA395" s="305"/>
      <c r="AB395" s="305"/>
      <c r="AC395" s="2557"/>
    </row>
    <row r="396" spans="1:29" s="2558" customFormat="1" ht="21.95" customHeight="1">
      <c r="A396" s="411"/>
      <c r="B396" s="412"/>
      <c r="C396" s="1111"/>
      <c r="D396" s="1126"/>
      <c r="E396" s="1134"/>
      <c r="F396" s="383"/>
      <c r="G396" s="1116"/>
      <c r="H396" s="404"/>
      <c r="I396" s="2559"/>
      <c r="J396" s="2939" t="s">
        <v>1866</v>
      </c>
      <c r="K396" s="2938"/>
      <c r="L396" s="2938"/>
      <c r="M396" s="2938"/>
      <c r="N396" s="2938"/>
      <c r="O396" s="408"/>
      <c r="P396" s="2931"/>
      <c r="Q396" s="408">
        <v>6</v>
      </c>
      <c r="R396" s="2931" t="s">
        <v>33</v>
      </c>
      <c r="S396" s="1672">
        <v>200000</v>
      </c>
      <c r="T396" s="2940" t="s">
        <v>0</v>
      </c>
      <c r="U396" s="2940"/>
      <c r="V396" s="2940">
        <v>2</v>
      </c>
      <c r="W396" s="2940" t="s">
        <v>265</v>
      </c>
      <c r="X396" s="2940" t="s">
        <v>266</v>
      </c>
      <c r="Y396" s="1674">
        <f t="shared" si="142"/>
        <v>2400</v>
      </c>
      <c r="Z396" s="1823">
        <f>Q396*S396*V396</f>
        <v>2400000</v>
      </c>
      <c r="AA396" s="305"/>
      <c r="AB396" s="305"/>
      <c r="AC396" s="2557"/>
    </row>
    <row r="397" spans="1:29" s="2558" customFormat="1" ht="21.95" customHeight="1">
      <c r="A397" s="411"/>
      <c r="B397" s="412"/>
      <c r="C397" s="1111"/>
      <c r="D397" s="1126"/>
      <c r="E397" s="1134"/>
      <c r="F397" s="383"/>
      <c r="G397" s="1116"/>
      <c r="H397" s="404"/>
      <c r="I397" s="2559"/>
      <c r="J397" s="2939" t="s">
        <v>1867</v>
      </c>
      <c r="K397" s="2938"/>
      <c r="L397" s="2938"/>
      <c r="M397" s="2938"/>
      <c r="N397" s="2938"/>
      <c r="O397" s="408"/>
      <c r="P397" s="2931"/>
      <c r="Q397" s="408">
        <v>7</v>
      </c>
      <c r="R397" s="2931" t="s">
        <v>33</v>
      </c>
      <c r="S397" s="1672">
        <v>200000</v>
      </c>
      <c r="T397" s="2940" t="s">
        <v>0</v>
      </c>
      <c r="U397" s="2940"/>
      <c r="V397" s="2940">
        <v>1</v>
      </c>
      <c r="W397" s="2940" t="s">
        <v>265</v>
      </c>
      <c r="X397" s="2940" t="s">
        <v>266</v>
      </c>
      <c r="Y397" s="1674">
        <f t="shared" si="142"/>
        <v>1400</v>
      </c>
      <c r="Z397" s="1823">
        <f>Q397*S397*V397</f>
        <v>1400000</v>
      </c>
      <c r="AA397" s="305"/>
      <c r="AB397" s="305"/>
      <c r="AC397" s="2557"/>
    </row>
    <row r="398" spans="1:29" s="1669" customFormat="1" ht="21.95" customHeight="1">
      <c r="A398" s="396"/>
      <c r="B398" s="2941"/>
      <c r="C398" s="1110"/>
      <c r="D398" s="465"/>
      <c r="E398" s="1134" t="s">
        <v>1766</v>
      </c>
      <c r="F398" s="383">
        <f>Y398</f>
        <v>40000</v>
      </c>
      <c r="G398" s="1311">
        <v>40000</v>
      </c>
      <c r="H398" s="404"/>
      <c r="I398" s="2559"/>
      <c r="J398" s="2939" t="s">
        <v>1860</v>
      </c>
      <c r="K398" s="2938"/>
      <c r="L398" s="2938"/>
      <c r="M398" s="2938"/>
      <c r="N398" s="2938"/>
      <c r="O398" s="2938"/>
      <c r="P398" s="2938"/>
      <c r="Q398" s="408"/>
      <c r="R398" s="2931"/>
      <c r="S398" s="1672">
        <v>40000000</v>
      </c>
      <c r="T398" s="2940" t="s">
        <v>0</v>
      </c>
      <c r="U398" s="2940"/>
      <c r="V398" s="2940">
        <v>1</v>
      </c>
      <c r="W398" s="2940" t="s">
        <v>1770</v>
      </c>
      <c r="X398" s="2940" t="s">
        <v>1765</v>
      </c>
      <c r="Y398" s="1674">
        <f t="shared" si="140"/>
        <v>40000</v>
      </c>
      <c r="Z398" s="1823">
        <f>S398*V398</f>
        <v>40000000</v>
      </c>
      <c r="AA398" s="305"/>
      <c r="AB398" s="305"/>
      <c r="AC398" s="166"/>
    </row>
    <row r="399" spans="1:29" s="1669" customFormat="1" ht="21.95" customHeight="1">
      <c r="A399" s="411"/>
      <c r="B399" s="412"/>
      <c r="C399" s="1111"/>
      <c r="D399" s="1126"/>
      <c r="E399" s="389" t="s">
        <v>1781</v>
      </c>
      <c r="F399" s="383">
        <f>Y399</f>
        <v>260000</v>
      </c>
      <c r="G399" s="1116">
        <v>260000</v>
      </c>
      <c r="H399" s="404"/>
      <c r="I399" s="2559"/>
      <c r="J399" s="2939" t="s">
        <v>1767</v>
      </c>
      <c r="K399" s="2938"/>
      <c r="L399" s="2938"/>
      <c r="M399" s="2938"/>
      <c r="N399" s="2938"/>
      <c r="O399" s="2938"/>
      <c r="P399" s="2938"/>
      <c r="Q399" s="408"/>
      <c r="R399" s="2931"/>
      <c r="S399" s="1672"/>
      <c r="T399" s="2940"/>
      <c r="U399" s="2940"/>
      <c r="V399" s="2940"/>
      <c r="W399" s="2940"/>
      <c r="X399" s="2940"/>
      <c r="Y399" s="1674">
        <f>SUM(Y400:Y401)</f>
        <v>260000</v>
      </c>
      <c r="Z399" s="1823">
        <f>SUM(Z400:Z401)</f>
        <v>260000000</v>
      </c>
      <c r="AA399" s="305"/>
      <c r="AB399" s="305"/>
      <c r="AC399" s="166"/>
    </row>
    <row r="400" spans="1:29" s="1669" customFormat="1" ht="21" customHeight="1">
      <c r="A400" s="411"/>
      <c r="B400" s="412"/>
      <c r="C400" s="1111"/>
      <c r="D400" s="1126"/>
      <c r="E400" s="1134"/>
      <c r="F400" s="383"/>
      <c r="G400" s="1116"/>
      <c r="H400" s="404"/>
      <c r="I400" s="2559"/>
      <c r="J400" s="2939" t="s">
        <v>1868</v>
      </c>
      <c r="K400" s="2938"/>
      <c r="L400" s="2938"/>
      <c r="M400" s="2938"/>
      <c r="N400" s="2938"/>
      <c r="O400" s="408"/>
      <c r="P400" s="2931"/>
      <c r="Q400" s="408"/>
      <c r="R400" s="2931"/>
      <c r="S400" s="1672">
        <v>10000000</v>
      </c>
      <c r="T400" s="2940" t="s">
        <v>0</v>
      </c>
      <c r="U400" s="2940"/>
      <c r="V400" s="2940">
        <v>16</v>
      </c>
      <c r="W400" s="2940" t="s">
        <v>1869</v>
      </c>
      <c r="X400" s="2940" t="s">
        <v>1765</v>
      </c>
      <c r="Y400" s="1674">
        <f t="shared" ref="Y400" si="143">(Z400)/1000</f>
        <v>160000</v>
      </c>
      <c r="Z400" s="1823">
        <f>S400*V400</f>
        <v>160000000</v>
      </c>
      <c r="AA400" s="305"/>
      <c r="AB400" s="305"/>
      <c r="AC400" s="166"/>
    </row>
    <row r="401" spans="1:29" s="1669" customFormat="1" ht="21" customHeight="1">
      <c r="A401" s="411"/>
      <c r="B401" s="412"/>
      <c r="C401" s="1111"/>
      <c r="D401" s="1126"/>
      <c r="E401" s="1134"/>
      <c r="F401" s="383"/>
      <c r="G401" s="1116"/>
      <c r="H401" s="404"/>
      <c r="I401" s="2559"/>
      <c r="J401" s="2939" t="s">
        <v>1870</v>
      </c>
      <c r="K401" s="2938"/>
      <c r="L401" s="2938"/>
      <c r="M401" s="2938"/>
      <c r="N401" s="2938"/>
      <c r="O401" s="408"/>
      <c r="P401" s="2931"/>
      <c r="Q401" s="408"/>
      <c r="R401" s="2931"/>
      <c r="S401" s="1672">
        <v>20000000</v>
      </c>
      <c r="T401" s="2940" t="s">
        <v>0</v>
      </c>
      <c r="U401" s="2940"/>
      <c r="V401" s="2940">
        <v>5</v>
      </c>
      <c r="W401" s="2940" t="s">
        <v>1869</v>
      </c>
      <c r="X401" s="2940" t="s">
        <v>1765</v>
      </c>
      <c r="Y401" s="1674">
        <v>100000</v>
      </c>
      <c r="Z401" s="1823">
        <f>S401*V401</f>
        <v>100000000</v>
      </c>
      <c r="AA401" s="305"/>
      <c r="AB401" s="305"/>
      <c r="AC401" s="166"/>
    </row>
    <row r="402" spans="1:29" s="1669" customFormat="1" ht="21" customHeight="1">
      <c r="A402" s="396"/>
      <c r="B402" s="2941"/>
      <c r="C402" s="397"/>
      <c r="D402" s="402"/>
      <c r="E402" s="1134" t="s">
        <v>1768</v>
      </c>
      <c r="F402" s="383">
        <f>Y402</f>
        <v>3000</v>
      </c>
      <c r="G402" s="1311">
        <v>3000</v>
      </c>
      <c r="H402" s="404"/>
      <c r="I402" s="2559"/>
      <c r="J402" s="2939" t="s">
        <v>1871</v>
      </c>
      <c r="K402" s="2940"/>
      <c r="L402" s="2938"/>
      <c r="M402" s="2938"/>
      <c r="N402" s="2938"/>
      <c r="O402" s="2938"/>
      <c r="P402" s="2938"/>
      <c r="Q402" s="408">
        <v>30</v>
      </c>
      <c r="R402" s="2931" t="s">
        <v>1773</v>
      </c>
      <c r="S402" s="1672">
        <v>10000</v>
      </c>
      <c r="T402" s="2940" t="s">
        <v>0</v>
      </c>
      <c r="U402" s="2940"/>
      <c r="V402" s="2940">
        <v>10</v>
      </c>
      <c r="W402" s="2940" t="s">
        <v>1764</v>
      </c>
      <c r="X402" s="2940" t="s">
        <v>1765</v>
      </c>
      <c r="Y402" s="1674">
        <f t="shared" si="140"/>
        <v>3000</v>
      </c>
      <c r="Z402" s="1823">
        <f>Q402*S402*V402</f>
        <v>3000000</v>
      </c>
      <c r="AA402" s="305"/>
      <c r="AB402" s="305"/>
      <c r="AC402" s="166"/>
    </row>
    <row r="403" spans="1:29" s="1669" customFormat="1" ht="21" customHeight="1">
      <c r="A403" s="2937"/>
      <c r="B403" s="2941"/>
      <c r="C403" s="3145"/>
      <c r="D403" s="3275" t="s">
        <v>1872</v>
      </c>
      <c r="E403" s="3276"/>
      <c r="F403" s="382">
        <f>SUM(F404:F413)</f>
        <v>100000</v>
      </c>
      <c r="G403" s="382">
        <f>SUM(G404:G413)</f>
        <v>100000</v>
      </c>
      <c r="H403" s="468">
        <f>F403-G403</f>
        <v>0</v>
      </c>
      <c r="I403" s="2559"/>
      <c r="J403" s="394"/>
      <c r="K403" s="2921"/>
      <c r="L403" s="2921"/>
      <c r="M403" s="2921"/>
      <c r="N403" s="2921"/>
      <c r="O403" s="2921"/>
      <c r="P403" s="2921"/>
      <c r="Q403" s="2921"/>
      <c r="R403" s="395"/>
      <c r="S403" s="2921"/>
      <c r="T403" s="2921"/>
      <c r="U403" s="2921"/>
      <c r="V403" s="2921"/>
      <c r="W403" s="2921"/>
      <c r="X403" s="430"/>
      <c r="Y403" s="443"/>
      <c r="Z403" s="1833">
        <f>+Z404+Z405+Z406+Z409+Z413</f>
        <v>100000000</v>
      </c>
      <c r="AA403" s="305"/>
      <c r="AB403" s="305"/>
      <c r="AC403" s="166"/>
    </row>
    <row r="404" spans="1:29" ht="21" customHeight="1">
      <c r="A404" s="396"/>
      <c r="B404" s="2941"/>
      <c r="C404" s="397"/>
      <c r="D404" s="402"/>
      <c r="E404" s="1134" t="s">
        <v>73</v>
      </c>
      <c r="F404" s="383">
        <f>Y404</f>
        <v>600</v>
      </c>
      <c r="G404" s="1311">
        <v>600</v>
      </c>
      <c r="H404" s="404"/>
      <c r="I404" s="2559"/>
      <c r="J404" s="2939" t="s">
        <v>251</v>
      </c>
      <c r="K404" s="2938"/>
      <c r="L404" s="2938"/>
      <c r="M404" s="2938"/>
      <c r="N404" s="2938"/>
      <c r="O404" s="2938"/>
      <c r="P404" s="2938"/>
      <c r="Q404" s="408"/>
      <c r="R404" s="2931"/>
      <c r="S404" s="1672">
        <v>600000</v>
      </c>
      <c r="T404" s="2940" t="s">
        <v>0</v>
      </c>
      <c r="U404" s="2940"/>
      <c r="V404" s="2940">
        <v>1</v>
      </c>
      <c r="W404" s="2940" t="s">
        <v>6</v>
      </c>
      <c r="X404" s="1140" t="s">
        <v>1</v>
      </c>
      <c r="Y404" s="1674">
        <f t="shared" si="140"/>
        <v>600</v>
      </c>
      <c r="Z404" s="1823">
        <f>S404*V404</f>
        <v>600000</v>
      </c>
      <c r="AA404" s="305"/>
      <c r="AB404" s="305"/>
      <c r="AC404" s="166"/>
    </row>
    <row r="405" spans="1:29" ht="21" customHeight="1">
      <c r="A405" s="411"/>
      <c r="B405" s="412"/>
      <c r="C405" s="1328"/>
      <c r="D405" s="1126"/>
      <c r="E405" s="1134" t="s">
        <v>84</v>
      </c>
      <c r="F405" s="383">
        <f>Y405</f>
        <v>400</v>
      </c>
      <c r="G405" s="1311">
        <v>400</v>
      </c>
      <c r="H405" s="404"/>
      <c r="I405" s="2559"/>
      <c r="J405" s="2939" t="s">
        <v>252</v>
      </c>
      <c r="K405" s="2940"/>
      <c r="L405" s="2938"/>
      <c r="M405" s="2938"/>
      <c r="N405" s="2938"/>
      <c r="O405" s="408">
        <v>2</v>
      </c>
      <c r="P405" s="2931" t="s">
        <v>1873</v>
      </c>
      <c r="Q405" s="408">
        <v>1</v>
      </c>
      <c r="R405" s="2931" t="s">
        <v>1773</v>
      </c>
      <c r="S405" s="1672">
        <v>20000</v>
      </c>
      <c r="T405" s="2940" t="s">
        <v>0</v>
      </c>
      <c r="U405" s="2940"/>
      <c r="V405" s="2940">
        <v>10</v>
      </c>
      <c r="W405" s="2940" t="s">
        <v>2</v>
      </c>
      <c r="X405" s="1140" t="s">
        <v>1</v>
      </c>
      <c r="Y405" s="1674">
        <f t="shared" si="140"/>
        <v>400</v>
      </c>
      <c r="Z405" s="1823">
        <f>O405*Q405*S405*V405</f>
        <v>400000</v>
      </c>
      <c r="AA405" s="305"/>
      <c r="AB405" s="305"/>
      <c r="AC405" s="166"/>
    </row>
    <row r="406" spans="1:29" s="1669" customFormat="1" ht="21" customHeight="1">
      <c r="A406" s="411"/>
      <c r="B406" s="412"/>
      <c r="C406" s="1111"/>
      <c r="D406" s="1126"/>
      <c r="E406" s="389" t="s">
        <v>52</v>
      </c>
      <c r="F406" s="383">
        <f>Y406</f>
        <v>5000</v>
      </c>
      <c r="G406" s="1116">
        <v>5000</v>
      </c>
      <c r="H406" s="404"/>
      <c r="I406" s="2559"/>
      <c r="J406" s="2939" t="s">
        <v>8</v>
      </c>
      <c r="K406" s="2938"/>
      <c r="L406" s="2938"/>
      <c r="M406" s="2938"/>
      <c r="N406" s="2938"/>
      <c r="O406" s="2938"/>
      <c r="P406" s="2938"/>
      <c r="Q406" s="408"/>
      <c r="R406" s="2931"/>
      <c r="S406" s="1672"/>
      <c r="T406" s="2940"/>
      <c r="U406" s="2940"/>
      <c r="V406" s="2940"/>
      <c r="W406" s="2940"/>
      <c r="X406" s="1140"/>
      <c r="Y406" s="1674">
        <f t="shared" si="140"/>
        <v>5000</v>
      </c>
      <c r="Z406" s="1823">
        <f>SUM(Z407:Z408)</f>
        <v>5000000</v>
      </c>
      <c r="AA406" s="305"/>
      <c r="AB406" s="305"/>
      <c r="AC406" s="166"/>
    </row>
    <row r="407" spans="1:29" s="1669" customFormat="1" ht="21" customHeight="1">
      <c r="A407" s="411"/>
      <c r="B407" s="412"/>
      <c r="C407" s="1111"/>
      <c r="D407" s="1126"/>
      <c r="E407" s="1134"/>
      <c r="F407" s="383"/>
      <c r="G407" s="1116"/>
      <c r="H407" s="404"/>
      <c r="I407" s="2559"/>
      <c r="J407" s="2939" t="s">
        <v>249</v>
      </c>
      <c r="K407" s="2938"/>
      <c r="L407" s="2938"/>
      <c r="M407" s="2938"/>
      <c r="N407" s="2938"/>
      <c r="O407" s="2938"/>
      <c r="P407" s="2938"/>
      <c r="Q407" s="408">
        <v>8</v>
      </c>
      <c r="R407" s="2931" t="s">
        <v>1773</v>
      </c>
      <c r="S407" s="1672">
        <v>200000</v>
      </c>
      <c r="T407" s="2940" t="s">
        <v>0</v>
      </c>
      <c r="U407" s="2940"/>
      <c r="V407" s="2940">
        <v>2</v>
      </c>
      <c r="W407" s="2940" t="s">
        <v>3</v>
      </c>
      <c r="X407" s="1140" t="s">
        <v>1</v>
      </c>
      <c r="Y407" s="1674">
        <f t="shared" si="140"/>
        <v>3200</v>
      </c>
      <c r="Z407" s="1823">
        <f>Q407*S407*V407</f>
        <v>3200000</v>
      </c>
      <c r="AA407" s="305"/>
      <c r="AB407" s="305"/>
      <c r="AC407" s="166"/>
    </row>
    <row r="408" spans="1:29" ht="21" customHeight="1">
      <c r="A408" s="1329"/>
      <c r="B408" s="412"/>
      <c r="C408" s="1328"/>
      <c r="D408" s="1126"/>
      <c r="E408" s="1134"/>
      <c r="F408" s="383"/>
      <c r="G408" s="1116"/>
      <c r="H408" s="404"/>
      <c r="I408" s="2559"/>
      <c r="J408" s="2939" t="s">
        <v>250</v>
      </c>
      <c r="K408" s="2938"/>
      <c r="L408" s="2938"/>
      <c r="M408" s="2938"/>
      <c r="N408" s="2938"/>
      <c r="O408" s="2938"/>
      <c r="P408" s="2938"/>
      <c r="Q408" s="408">
        <v>6</v>
      </c>
      <c r="R408" s="2931" t="s">
        <v>1773</v>
      </c>
      <c r="S408" s="1672">
        <v>150000</v>
      </c>
      <c r="T408" s="2940" t="s">
        <v>0</v>
      </c>
      <c r="U408" s="2940"/>
      <c r="V408" s="2940">
        <v>2</v>
      </c>
      <c r="W408" s="2940" t="s">
        <v>3</v>
      </c>
      <c r="X408" s="1140" t="s">
        <v>1</v>
      </c>
      <c r="Y408" s="1674">
        <f t="shared" si="140"/>
        <v>1800</v>
      </c>
      <c r="Z408" s="1823">
        <f>Q408*S408*V408</f>
        <v>1800000</v>
      </c>
      <c r="AA408" s="305"/>
      <c r="AB408" s="305"/>
      <c r="AC408" s="166"/>
    </row>
    <row r="409" spans="1:29" ht="21" customHeight="1">
      <c r="A409" s="1329"/>
      <c r="B409" s="412"/>
      <c r="C409" s="1328"/>
      <c r="D409" s="1126"/>
      <c r="E409" s="389" t="s">
        <v>208</v>
      </c>
      <c r="F409" s="383">
        <f>Y409</f>
        <v>93000</v>
      </c>
      <c r="G409" s="1116">
        <v>93000</v>
      </c>
      <c r="H409" s="404"/>
      <c r="I409" s="2559"/>
      <c r="J409" s="2939" t="s">
        <v>8</v>
      </c>
      <c r="K409" s="2938"/>
      <c r="L409" s="2938"/>
      <c r="M409" s="2938"/>
      <c r="N409" s="2938"/>
      <c r="O409" s="2938"/>
      <c r="P409" s="2938"/>
      <c r="Q409" s="408"/>
      <c r="R409" s="2931"/>
      <c r="S409" s="1672"/>
      <c r="T409" s="2940"/>
      <c r="U409" s="2940"/>
      <c r="V409" s="2940"/>
      <c r="W409" s="2940"/>
      <c r="X409" s="1140"/>
      <c r="Y409" s="1674">
        <f t="shared" si="140"/>
        <v>93000</v>
      </c>
      <c r="Z409" s="1823">
        <f>SUM(Z410:Z412)</f>
        <v>93000000</v>
      </c>
      <c r="AA409" s="305"/>
      <c r="AB409" s="305"/>
      <c r="AC409" s="166"/>
    </row>
    <row r="410" spans="1:29" ht="21" customHeight="1">
      <c r="A410" s="1329"/>
      <c r="B410" s="412"/>
      <c r="C410" s="1328"/>
      <c r="D410" s="1126"/>
      <c r="E410" s="389"/>
      <c r="F410" s="383"/>
      <c r="G410" s="1116"/>
      <c r="H410" s="404"/>
      <c r="I410" s="2559"/>
      <c r="J410" s="2939" t="s">
        <v>1874</v>
      </c>
      <c r="K410" s="2938"/>
      <c r="L410" s="2938"/>
      <c r="M410" s="2938"/>
      <c r="N410" s="2938"/>
      <c r="O410" s="2938"/>
      <c r="P410" s="2938"/>
      <c r="Q410" s="408"/>
      <c r="R410" s="2931"/>
      <c r="S410" s="1672">
        <v>1000000</v>
      </c>
      <c r="T410" s="2940" t="s">
        <v>0</v>
      </c>
      <c r="U410" s="2940"/>
      <c r="V410" s="2940">
        <v>8</v>
      </c>
      <c r="W410" s="2940" t="s">
        <v>68</v>
      </c>
      <c r="X410" s="1140" t="s">
        <v>1</v>
      </c>
      <c r="Y410" s="1674">
        <f t="shared" si="140"/>
        <v>8000</v>
      </c>
      <c r="Z410" s="1823">
        <f>S410*V410</f>
        <v>8000000</v>
      </c>
      <c r="AA410" s="305"/>
      <c r="AB410" s="305"/>
      <c r="AC410" s="166"/>
    </row>
    <row r="411" spans="1:29" ht="21" customHeight="1">
      <c r="A411" s="1329"/>
      <c r="B411" s="412"/>
      <c r="C411" s="1328"/>
      <c r="D411" s="1126"/>
      <c r="E411" s="389"/>
      <c r="F411" s="383"/>
      <c r="G411" s="1116"/>
      <c r="H411" s="404"/>
      <c r="I411" s="2559"/>
      <c r="J411" s="2939" t="s">
        <v>1875</v>
      </c>
      <c r="K411" s="2938"/>
      <c r="L411" s="2938"/>
      <c r="M411" s="2938"/>
      <c r="N411" s="2938"/>
      <c r="O411" s="2938"/>
      <c r="P411" s="2938"/>
      <c r="Q411" s="408"/>
      <c r="R411" s="2931"/>
      <c r="S411" s="1672">
        <v>5000000</v>
      </c>
      <c r="T411" s="2940" t="s">
        <v>0</v>
      </c>
      <c r="U411" s="2940"/>
      <c r="V411" s="2940">
        <v>7</v>
      </c>
      <c r="W411" s="2940" t="s">
        <v>68</v>
      </c>
      <c r="X411" s="1140" t="s">
        <v>1</v>
      </c>
      <c r="Y411" s="1674">
        <f t="shared" si="140"/>
        <v>35000</v>
      </c>
      <c r="Z411" s="1823">
        <f>S411*V411</f>
        <v>35000000</v>
      </c>
      <c r="AA411" s="305"/>
      <c r="AB411" s="305"/>
      <c r="AC411" s="166"/>
    </row>
    <row r="412" spans="1:29" ht="21" customHeight="1">
      <c r="A412" s="1329"/>
      <c r="B412" s="412"/>
      <c r="C412" s="1328"/>
      <c r="D412" s="1126"/>
      <c r="E412" s="389"/>
      <c r="F412" s="383"/>
      <c r="G412" s="1116"/>
      <c r="H412" s="404"/>
      <c r="I412" s="2559"/>
      <c r="J412" s="2939" t="s">
        <v>1876</v>
      </c>
      <c r="K412" s="2938"/>
      <c r="L412" s="2938"/>
      <c r="M412" s="2938"/>
      <c r="N412" s="2938"/>
      <c r="O412" s="2938"/>
      <c r="P412" s="2938"/>
      <c r="Q412" s="408"/>
      <c r="R412" s="2931"/>
      <c r="S412" s="1672">
        <v>5000000</v>
      </c>
      <c r="T412" s="2940" t="s">
        <v>0</v>
      </c>
      <c r="U412" s="2940"/>
      <c r="V412" s="2940">
        <v>10</v>
      </c>
      <c r="W412" s="2940" t="s">
        <v>68</v>
      </c>
      <c r="X412" s="1140" t="s">
        <v>1</v>
      </c>
      <c r="Y412" s="1674">
        <f t="shared" si="140"/>
        <v>50000</v>
      </c>
      <c r="Z412" s="1823">
        <f>S412*V412</f>
        <v>50000000</v>
      </c>
      <c r="AA412" s="305"/>
      <c r="AB412" s="305"/>
      <c r="AC412" s="166"/>
    </row>
    <row r="413" spans="1:29" ht="21" customHeight="1">
      <c r="A413" s="396"/>
      <c r="B413" s="2941"/>
      <c r="C413" s="397"/>
      <c r="D413" s="859"/>
      <c r="E413" s="855" t="s">
        <v>1723</v>
      </c>
      <c r="F413" s="383">
        <f>Y413</f>
        <v>1000</v>
      </c>
      <c r="G413" s="1332">
        <v>1000</v>
      </c>
      <c r="H413" s="820"/>
      <c r="I413" s="2559"/>
      <c r="J413" s="2939" t="s">
        <v>1877</v>
      </c>
      <c r="K413" s="2940" t="s">
        <v>1878</v>
      </c>
      <c r="L413" s="2938"/>
      <c r="M413" s="2938"/>
      <c r="N413" s="2938"/>
      <c r="O413" s="2938"/>
      <c r="P413" s="2938"/>
      <c r="Q413" s="408">
        <v>10</v>
      </c>
      <c r="R413" s="2931" t="s">
        <v>1695</v>
      </c>
      <c r="S413" s="1672">
        <v>20000</v>
      </c>
      <c r="T413" s="2940" t="s">
        <v>1697</v>
      </c>
      <c r="U413" s="2940"/>
      <c r="V413" s="2940">
        <v>5</v>
      </c>
      <c r="W413" s="2940" t="s">
        <v>1710</v>
      </c>
      <c r="X413" s="2940" t="s">
        <v>1698</v>
      </c>
      <c r="Y413" s="1674">
        <f t="shared" si="140"/>
        <v>1000</v>
      </c>
      <c r="Z413" s="1823">
        <f>Q413*S413*V413</f>
        <v>1000000</v>
      </c>
      <c r="AA413" s="305"/>
      <c r="AB413" s="305"/>
      <c r="AC413" s="166"/>
    </row>
    <row r="414" spans="1:29" s="1669" customFormat="1" ht="21" customHeight="1">
      <c r="A414" s="396"/>
      <c r="B414" s="2941"/>
      <c r="C414" s="1110"/>
      <c r="D414" s="3266" t="s">
        <v>1879</v>
      </c>
      <c r="E414" s="3267"/>
      <c r="F414" s="382">
        <f>SUM(F415:F422)</f>
        <v>30000</v>
      </c>
      <c r="G414" s="382">
        <f>SUM(G415:G422)</f>
        <v>30000</v>
      </c>
      <c r="H414" s="468">
        <f>F414-G414</f>
        <v>0</v>
      </c>
      <c r="I414" s="2559"/>
      <c r="J414" s="394"/>
      <c r="K414" s="2921"/>
      <c r="L414" s="2921"/>
      <c r="M414" s="2921"/>
      <c r="N414" s="2921"/>
      <c r="O414" s="2921"/>
      <c r="P414" s="2921"/>
      <c r="Q414" s="2921"/>
      <c r="R414" s="395"/>
      <c r="S414" s="2921"/>
      <c r="T414" s="2921"/>
      <c r="U414" s="2921"/>
      <c r="V414" s="2921"/>
      <c r="W414" s="2921"/>
      <c r="X414" s="2921"/>
      <c r="Y414" s="443"/>
      <c r="Z414" s="1833">
        <f>SUM(Z415:Z422)</f>
        <v>30000000</v>
      </c>
      <c r="AA414" s="305"/>
      <c r="AB414" s="305"/>
      <c r="AC414" s="166"/>
    </row>
    <row r="415" spans="1:29" s="1669" customFormat="1" ht="21" customHeight="1">
      <c r="A415" s="396"/>
      <c r="B415" s="2941"/>
      <c r="C415" s="1110"/>
      <c r="D415" s="465"/>
      <c r="E415" s="1134" t="s">
        <v>1743</v>
      </c>
      <c r="F415" s="383">
        <f t="shared" ref="F415:F435" si="144">Y415</f>
        <v>3000</v>
      </c>
      <c r="G415" s="1311">
        <v>3000</v>
      </c>
      <c r="H415" s="404"/>
      <c r="I415" s="2559"/>
      <c r="J415" s="2939" t="s">
        <v>1880</v>
      </c>
      <c r="K415" s="2940"/>
      <c r="L415" s="2938"/>
      <c r="M415" s="2938"/>
      <c r="N415" s="2938"/>
      <c r="O415" s="2938"/>
      <c r="P415" s="2938"/>
      <c r="Q415" s="408"/>
      <c r="R415" s="2931"/>
      <c r="S415" s="1672">
        <v>3000000</v>
      </c>
      <c r="T415" s="2940" t="s">
        <v>1697</v>
      </c>
      <c r="U415" s="2940"/>
      <c r="V415" s="2940">
        <v>1</v>
      </c>
      <c r="W415" s="2940" t="s">
        <v>1722</v>
      </c>
      <c r="X415" s="2940" t="s">
        <v>1698</v>
      </c>
      <c r="Y415" s="1674">
        <f t="shared" ref="Y415:Y422" si="145">(Z415)/1000</f>
        <v>3000</v>
      </c>
      <c r="Z415" s="1823">
        <f>S415*V415</f>
        <v>3000000</v>
      </c>
      <c r="AA415" s="305"/>
      <c r="AB415" s="305"/>
      <c r="AC415" s="166"/>
    </row>
    <row r="416" spans="1:29" s="1669" customFormat="1" ht="21" customHeight="1">
      <c r="A416" s="396"/>
      <c r="B416" s="2941"/>
      <c r="C416" s="397"/>
      <c r="D416" s="402"/>
      <c r="E416" s="1134" t="s">
        <v>1740</v>
      </c>
      <c r="F416" s="383">
        <f t="shared" si="144"/>
        <v>1000</v>
      </c>
      <c r="G416" s="1311">
        <v>1000</v>
      </c>
      <c r="H416" s="404"/>
      <c r="I416" s="2559"/>
      <c r="J416" s="2939" t="s">
        <v>1881</v>
      </c>
      <c r="K416" s="2938"/>
      <c r="L416" s="2938"/>
      <c r="M416" s="2938"/>
      <c r="N416" s="2938"/>
      <c r="O416" s="2938"/>
      <c r="P416" s="2938"/>
      <c r="Q416" s="408"/>
      <c r="R416" s="2931"/>
      <c r="S416" s="1672">
        <v>1000000</v>
      </c>
      <c r="T416" s="2940" t="s">
        <v>1697</v>
      </c>
      <c r="U416" s="2940"/>
      <c r="V416" s="2940">
        <v>1</v>
      </c>
      <c r="W416" s="2940" t="s">
        <v>1722</v>
      </c>
      <c r="X416" s="2940" t="s">
        <v>1698</v>
      </c>
      <c r="Y416" s="1674">
        <f t="shared" si="145"/>
        <v>1000</v>
      </c>
      <c r="Z416" s="1823">
        <f>S416*V416</f>
        <v>1000000</v>
      </c>
      <c r="AA416" s="305"/>
      <c r="AB416" s="305"/>
      <c r="AC416" s="166"/>
    </row>
    <row r="417" spans="1:29" s="2558" customFormat="1" ht="21" customHeight="1">
      <c r="A417" s="396"/>
      <c r="B417" s="2941"/>
      <c r="C417" s="397"/>
      <c r="D417" s="402"/>
      <c r="E417" s="1134" t="s">
        <v>84</v>
      </c>
      <c r="F417" s="383">
        <f>Y417</f>
        <v>400</v>
      </c>
      <c r="G417" s="1311">
        <v>400</v>
      </c>
      <c r="H417" s="404"/>
      <c r="I417" s="2559"/>
      <c r="J417" s="2939" t="s">
        <v>252</v>
      </c>
      <c r="K417" s="2940"/>
      <c r="L417" s="2938"/>
      <c r="M417" s="2938"/>
      <c r="N417" s="2938"/>
      <c r="O417" s="408">
        <v>2</v>
      </c>
      <c r="P417" s="2931" t="s">
        <v>202</v>
      </c>
      <c r="Q417" s="408">
        <v>1</v>
      </c>
      <c r="R417" s="2931" t="s">
        <v>33</v>
      </c>
      <c r="S417" s="1672">
        <v>20000</v>
      </c>
      <c r="T417" s="2940" t="s">
        <v>0</v>
      </c>
      <c r="U417" s="2940"/>
      <c r="V417" s="2940">
        <v>10</v>
      </c>
      <c r="W417" s="2940" t="s">
        <v>2</v>
      </c>
      <c r="X417" s="1140" t="s">
        <v>1</v>
      </c>
      <c r="Y417" s="1674">
        <f t="shared" ref="Y417" si="146">Z417/1000</f>
        <v>400</v>
      </c>
      <c r="Z417" s="1823">
        <f>O417*Q417*S417*V417</f>
        <v>400000</v>
      </c>
      <c r="AA417" s="305"/>
      <c r="AB417" s="305"/>
      <c r="AC417" s="2557"/>
    </row>
    <row r="418" spans="1:29" ht="21" customHeight="1">
      <c r="A418" s="411"/>
      <c r="B418" s="412"/>
      <c r="C418" s="1111"/>
      <c r="D418" s="1126"/>
      <c r="E418" s="1134" t="s">
        <v>1717</v>
      </c>
      <c r="F418" s="383">
        <f t="shared" si="144"/>
        <v>4800</v>
      </c>
      <c r="G418" s="1116">
        <v>4800</v>
      </c>
      <c r="H418" s="404"/>
      <c r="I418" s="2559"/>
      <c r="J418" s="2939" t="s">
        <v>1882</v>
      </c>
      <c r="K418" s="2938"/>
      <c r="L418" s="2938"/>
      <c r="M418" s="2938"/>
      <c r="N418" s="2938"/>
      <c r="O418" s="2938"/>
      <c r="P418" s="2938"/>
      <c r="Q418" s="408">
        <v>8</v>
      </c>
      <c r="R418" s="2931" t="s">
        <v>1695</v>
      </c>
      <c r="S418" s="1672">
        <v>150000</v>
      </c>
      <c r="T418" s="2940" t="s">
        <v>1697</v>
      </c>
      <c r="U418" s="2940"/>
      <c r="V418" s="2940">
        <v>4</v>
      </c>
      <c r="W418" s="2940" t="s">
        <v>1710</v>
      </c>
      <c r="X418" s="2940" t="s">
        <v>1698</v>
      </c>
      <c r="Y418" s="1674">
        <f t="shared" si="145"/>
        <v>4800</v>
      </c>
      <c r="Z418" s="1823">
        <f>Q418*S418*V418</f>
        <v>4800000</v>
      </c>
      <c r="AA418" s="305"/>
      <c r="AB418" s="305"/>
      <c r="AC418" s="166"/>
    </row>
    <row r="419" spans="1:29" s="1669" customFormat="1" ht="21" customHeight="1">
      <c r="A419" s="396"/>
      <c r="B419" s="2941"/>
      <c r="C419" s="397"/>
      <c r="D419" s="402"/>
      <c r="E419" s="1134" t="s">
        <v>1742</v>
      </c>
      <c r="F419" s="383">
        <f t="shared" si="144"/>
        <v>9000</v>
      </c>
      <c r="G419" s="1311">
        <v>9000</v>
      </c>
      <c r="H419" s="404"/>
      <c r="I419" s="2559"/>
      <c r="J419" s="2939" t="s">
        <v>1883</v>
      </c>
      <c r="K419" s="2938"/>
      <c r="L419" s="2938"/>
      <c r="M419" s="2938"/>
      <c r="N419" s="2938"/>
      <c r="O419" s="2938"/>
      <c r="P419" s="2938"/>
      <c r="Q419" s="408"/>
      <c r="R419" s="2931"/>
      <c r="S419" s="1672">
        <v>9000000</v>
      </c>
      <c r="T419" s="2940" t="s">
        <v>1697</v>
      </c>
      <c r="U419" s="2940"/>
      <c r="V419" s="2940">
        <v>1</v>
      </c>
      <c r="W419" s="2940" t="s">
        <v>1722</v>
      </c>
      <c r="X419" s="2940" t="s">
        <v>1698</v>
      </c>
      <c r="Y419" s="1674">
        <f t="shared" si="145"/>
        <v>9000</v>
      </c>
      <c r="Z419" s="1823">
        <f>S419*V419</f>
        <v>9000000</v>
      </c>
      <c r="AA419" s="305"/>
      <c r="AB419" s="305"/>
      <c r="AC419" s="166"/>
    </row>
    <row r="420" spans="1:29" s="1669" customFormat="1" ht="21" customHeight="1">
      <c r="A420" s="396"/>
      <c r="B420" s="2941"/>
      <c r="C420" s="397"/>
      <c r="D420" s="402"/>
      <c r="E420" s="1134" t="s">
        <v>1739</v>
      </c>
      <c r="F420" s="383">
        <f t="shared" si="144"/>
        <v>400</v>
      </c>
      <c r="G420" s="1311">
        <v>400</v>
      </c>
      <c r="H420" s="404"/>
      <c r="I420" s="2559"/>
      <c r="J420" s="2939" t="s">
        <v>1884</v>
      </c>
      <c r="K420" s="2940"/>
      <c r="L420" s="2938"/>
      <c r="M420" s="2938"/>
      <c r="N420" s="2938"/>
      <c r="O420" s="2938"/>
      <c r="P420" s="2938"/>
      <c r="Q420" s="408"/>
      <c r="R420" s="2940"/>
      <c r="S420" s="1672">
        <v>100000</v>
      </c>
      <c r="T420" s="2940" t="s">
        <v>1763</v>
      </c>
      <c r="U420" s="2940"/>
      <c r="V420" s="2940">
        <v>4</v>
      </c>
      <c r="W420" s="2940" t="s">
        <v>1764</v>
      </c>
      <c r="X420" s="2940" t="s">
        <v>1765</v>
      </c>
      <c r="Y420" s="1674">
        <f t="shared" si="145"/>
        <v>400</v>
      </c>
      <c r="Z420" s="1823">
        <f>S420*V420</f>
        <v>400000</v>
      </c>
      <c r="AA420" s="305"/>
      <c r="AB420" s="305"/>
      <c r="AC420" s="166"/>
    </row>
    <row r="421" spans="1:29" s="1669" customFormat="1" ht="21" customHeight="1">
      <c r="A421" s="396"/>
      <c r="B421" s="2941"/>
      <c r="C421" s="397"/>
      <c r="D421" s="402"/>
      <c r="E421" s="1134" t="s">
        <v>1769</v>
      </c>
      <c r="F421" s="383">
        <f t="shared" si="144"/>
        <v>10000</v>
      </c>
      <c r="G421" s="1311">
        <v>10000</v>
      </c>
      <c r="H421" s="404"/>
      <c r="I421" s="2559"/>
      <c r="J421" s="2939" t="s">
        <v>1885</v>
      </c>
      <c r="K421" s="2940"/>
      <c r="L421" s="2938"/>
      <c r="M421" s="2938"/>
      <c r="N421" s="2938"/>
      <c r="O421" s="2938"/>
      <c r="P421" s="2938"/>
      <c r="Q421" s="408"/>
      <c r="R421" s="2931"/>
      <c r="S421" s="1672">
        <v>10000000</v>
      </c>
      <c r="T421" s="2940" t="s">
        <v>1763</v>
      </c>
      <c r="U421" s="2940"/>
      <c r="V421" s="2940">
        <v>1</v>
      </c>
      <c r="W421" s="2940" t="s">
        <v>1764</v>
      </c>
      <c r="X421" s="2940" t="s">
        <v>1765</v>
      </c>
      <c r="Y421" s="1674">
        <f t="shared" si="145"/>
        <v>10000</v>
      </c>
      <c r="Z421" s="1823">
        <f>S421*V421</f>
        <v>10000000</v>
      </c>
      <c r="AA421" s="305"/>
      <c r="AB421" s="305"/>
      <c r="AC421" s="166"/>
    </row>
    <row r="422" spans="1:29" s="1669" customFormat="1" ht="21" customHeight="1">
      <c r="A422" s="396"/>
      <c r="B422" s="2941"/>
      <c r="C422" s="397"/>
      <c r="D422" s="402"/>
      <c r="E422" s="1134" t="s">
        <v>1768</v>
      </c>
      <c r="F422" s="383">
        <f t="shared" si="144"/>
        <v>1400</v>
      </c>
      <c r="G422" s="1311">
        <v>1400</v>
      </c>
      <c r="H422" s="404"/>
      <c r="I422" s="2559"/>
      <c r="J422" s="2939" t="s">
        <v>1886</v>
      </c>
      <c r="K422" s="2940"/>
      <c r="L422" s="2938"/>
      <c r="M422" s="2938"/>
      <c r="N422" s="2938"/>
      <c r="O422" s="2938"/>
      <c r="P422" s="2938"/>
      <c r="Q422" s="408">
        <v>10</v>
      </c>
      <c r="R422" s="2931" t="s">
        <v>1773</v>
      </c>
      <c r="S422" s="1672">
        <v>20000</v>
      </c>
      <c r="T422" s="2940" t="s">
        <v>1763</v>
      </c>
      <c r="U422" s="2940"/>
      <c r="V422" s="2940">
        <v>7</v>
      </c>
      <c r="W422" s="2940" t="s">
        <v>1764</v>
      </c>
      <c r="X422" s="2940" t="s">
        <v>1765</v>
      </c>
      <c r="Y422" s="1674">
        <f t="shared" si="145"/>
        <v>1400</v>
      </c>
      <c r="Z422" s="1823">
        <f>Q422*S422*V422</f>
        <v>1400000</v>
      </c>
      <c r="AA422" s="305"/>
      <c r="AB422" s="305"/>
      <c r="AC422" s="166"/>
    </row>
    <row r="423" spans="1:29" s="1669" customFormat="1" ht="21" customHeight="1">
      <c r="A423" s="396"/>
      <c r="B423" s="2941"/>
      <c r="C423" s="397"/>
      <c r="D423" s="3366" t="s">
        <v>1887</v>
      </c>
      <c r="E423" s="3367"/>
      <c r="F423" s="382">
        <f>SUM(F424:F435)</f>
        <v>55000</v>
      </c>
      <c r="G423" s="382">
        <f>SUM(G424:G435)</f>
        <v>55000</v>
      </c>
      <c r="H423" s="1331">
        <f t="shared" ref="H423" si="147">F423-G423</f>
        <v>0</v>
      </c>
      <c r="I423" s="2559"/>
      <c r="J423" s="394"/>
      <c r="K423" s="2921"/>
      <c r="L423" s="2921"/>
      <c r="M423" s="2921"/>
      <c r="N423" s="2921"/>
      <c r="O423" s="2921"/>
      <c r="P423" s="2921"/>
      <c r="Q423" s="2921"/>
      <c r="R423" s="395"/>
      <c r="S423" s="2921"/>
      <c r="T423" s="2921"/>
      <c r="U423" s="2921"/>
      <c r="V423" s="2921"/>
      <c r="W423" s="2921"/>
      <c r="X423" s="2921"/>
      <c r="Y423" s="443"/>
      <c r="Z423" s="2509">
        <f>SUM(Z424:Z435)</f>
        <v>55000000</v>
      </c>
      <c r="AA423" s="305"/>
      <c r="AB423" s="305"/>
      <c r="AC423" s="166"/>
    </row>
    <row r="424" spans="1:29" s="1669" customFormat="1" ht="21" customHeight="1">
      <c r="A424" s="396"/>
      <c r="B424" s="2941"/>
      <c r="C424" s="397"/>
      <c r="D424" s="934"/>
      <c r="E424" s="542" t="s">
        <v>1503</v>
      </c>
      <c r="F424" s="383">
        <f>Y424</f>
        <v>15000</v>
      </c>
      <c r="G424" s="2561">
        <v>15000</v>
      </c>
      <c r="H424" s="467"/>
      <c r="I424" s="2559"/>
      <c r="J424" s="2939" t="s">
        <v>5549</v>
      </c>
      <c r="K424" s="2938"/>
      <c r="L424" s="2938"/>
      <c r="M424" s="2938"/>
      <c r="N424" s="2938"/>
      <c r="O424" s="2938"/>
      <c r="P424" s="2938"/>
      <c r="Q424" s="408">
        <v>1</v>
      </c>
      <c r="R424" s="2931" t="s">
        <v>5462</v>
      </c>
      <c r="S424" s="1672">
        <v>2500000</v>
      </c>
      <c r="T424" s="2940" t="s">
        <v>0</v>
      </c>
      <c r="U424" s="2940"/>
      <c r="V424" s="2940">
        <v>6</v>
      </c>
      <c r="W424" s="2940" t="s">
        <v>5506</v>
      </c>
      <c r="X424" s="2931" t="s">
        <v>5456</v>
      </c>
      <c r="Y424" s="1674">
        <f t="shared" ref="Y424:Y435" si="148">(Z424)/1000</f>
        <v>15000</v>
      </c>
      <c r="Z424" s="1098">
        <f>Q424*S424*V424</f>
        <v>15000000</v>
      </c>
      <c r="AA424" s="305"/>
      <c r="AB424" s="305"/>
      <c r="AC424" s="166"/>
    </row>
    <row r="425" spans="1:29" s="1669" customFormat="1" ht="21" customHeight="1">
      <c r="A425" s="396"/>
      <c r="B425" s="2941"/>
      <c r="C425" s="1110"/>
      <c r="D425" s="465"/>
      <c r="E425" s="542" t="s">
        <v>705</v>
      </c>
      <c r="F425" s="383">
        <f t="shared" si="144"/>
        <v>200</v>
      </c>
      <c r="G425" s="1311">
        <v>200</v>
      </c>
      <c r="H425" s="467"/>
      <c r="I425" s="2559"/>
      <c r="J425" s="2939" t="s">
        <v>5550</v>
      </c>
      <c r="K425" s="2940"/>
      <c r="L425" s="2938"/>
      <c r="M425" s="2938"/>
      <c r="N425" s="2938"/>
      <c r="O425" s="2938"/>
      <c r="P425" s="2938"/>
      <c r="Q425" s="408"/>
      <c r="R425" s="2931"/>
      <c r="S425" s="1672">
        <v>200000</v>
      </c>
      <c r="T425" s="2940" t="s">
        <v>5454</v>
      </c>
      <c r="U425" s="2940"/>
      <c r="V425" s="2940">
        <v>1</v>
      </c>
      <c r="W425" s="2940" t="s">
        <v>5457</v>
      </c>
      <c r="X425" s="2931" t="s">
        <v>5456</v>
      </c>
      <c r="Y425" s="1674">
        <f t="shared" si="148"/>
        <v>200</v>
      </c>
      <c r="Z425" s="1098">
        <f>S425*V425</f>
        <v>200000</v>
      </c>
      <c r="AA425" s="305"/>
      <c r="AB425" s="305"/>
      <c r="AC425" s="166"/>
    </row>
    <row r="426" spans="1:29" ht="21" customHeight="1">
      <c r="A426" s="396"/>
      <c r="B426" s="2941"/>
      <c r="C426" s="397"/>
      <c r="D426" s="465"/>
      <c r="E426" s="1134" t="s">
        <v>1775</v>
      </c>
      <c r="F426" s="383">
        <f t="shared" ref="F426" si="149">Y426</f>
        <v>300</v>
      </c>
      <c r="G426" s="1311">
        <v>0</v>
      </c>
      <c r="H426" s="467">
        <f>F426-G426</f>
        <v>300</v>
      </c>
      <c r="I426" s="409"/>
      <c r="J426" s="2939" t="s">
        <v>5565</v>
      </c>
      <c r="K426" s="2938"/>
      <c r="L426" s="2938"/>
      <c r="M426" s="2938"/>
      <c r="N426" s="1673" t="s">
        <v>19</v>
      </c>
      <c r="O426" s="2938" t="s">
        <v>19</v>
      </c>
      <c r="P426" s="2938"/>
      <c r="Q426" s="408">
        <v>1</v>
      </c>
      <c r="R426" s="2935" t="s">
        <v>5563</v>
      </c>
      <c r="S426" s="1672">
        <v>300000</v>
      </c>
      <c r="T426" s="2940" t="s">
        <v>0</v>
      </c>
      <c r="U426" s="2940"/>
      <c r="V426" s="2940">
        <v>1</v>
      </c>
      <c r="W426" s="2940" t="s">
        <v>5564</v>
      </c>
      <c r="X426" s="1140" t="s">
        <v>1</v>
      </c>
      <c r="Y426" s="1674">
        <f>Z426/1000</f>
        <v>300</v>
      </c>
      <c r="Z426" s="1098">
        <f>Q426*S426*V426</f>
        <v>300000</v>
      </c>
      <c r="AA426" s="305"/>
      <c r="AB426" s="305"/>
      <c r="AC426" s="2557"/>
    </row>
    <row r="427" spans="1:29" s="1669" customFormat="1" ht="21" customHeight="1">
      <c r="A427" s="396"/>
      <c r="B427" s="2941"/>
      <c r="C427" s="397"/>
      <c r="D427" s="465"/>
      <c r="E427" s="1134" t="s">
        <v>609</v>
      </c>
      <c r="F427" s="383">
        <f t="shared" si="144"/>
        <v>4000</v>
      </c>
      <c r="G427" s="1116">
        <v>1000</v>
      </c>
      <c r="H427" s="467">
        <f t="shared" ref="H427:H434" si="150">F427-G427</f>
        <v>3000</v>
      </c>
      <c r="I427" s="409"/>
      <c r="J427" s="2939" t="s">
        <v>5551</v>
      </c>
      <c r="K427" s="2938"/>
      <c r="L427" s="2938"/>
      <c r="M427" s="2938"/>
      <c r="N427" s="2938"/>
      <c r="O427" s="408"/>
      <c r="P427" s="2931"/>
      <c r="Q427" s="408"/>
      <c r="R427" s="2931"/>
      <c r="S427" s="1672">
        <v>800000</v>
      </c>
      <c r="T427" s="2940" t="s">
        <v>5454</v>
      </c>
      <c r="U427" s="2940"/>
      <c r="V427" s="2940">
        <v>5</v>
      </c>
      <c r="W427" s="2940" t="s">
        <v>5457</v>
      </c>
      <c r="X427" s="2931" t="s">
        <v>5456</v>
      </c>
      <c r="Y427" s="1674">
        <f t="shared" si="148"/>
        <v>4000</v>
      </c>
      <c r="Z427" s="1098">
        <f>S427*V427</f>
        <v>4000000</v>
      </c>
      <c r="AA427" s="305"/>
      <c r="AB427" s="305"/>
      <c r="AC427" s="166"/>
    </row>
    <row r="428" spans="1:29" s="1669" customFormat="1" ht="21" customHeight="1">
      <c r="A428" s="396"/>
      <c r="B428" s="2941"/>
      <c r="C428" s="397"/>
      <c r="D428" s="1126"/>
      <c r="E428" s="1134" t="s">
        <v>606</v>
      </c>
      <c r="F428" s="383">
        <f t="shared" si="144"/>
        <v>900</v>
      </c>
      <c r="G428" s="1311">
        <v>900</v>
      </c>
      <c r="H428" s="467"/>
      <c r="I428" s="409"/>
      <c r="J428" s="2939" t="s">
        <v>5552</v>
      </c>
      <c r="K428" s="2938"/>
      <c r="L428" s="2938"/>
      <c r="M428" s="2938"/>
      <c r="N428" s="2938"/>
      <c r="O428" s="2938"/>
      <c r="P428" s="2938"/>
      <c r="Q428" s="408">
        <v>1</v>
      </c>
      <c r="R428" s="2931" t="s">
        <v>5462</v>
      </c>
      <c r="S428" s="1672">
        <v>150000</v>
      </c>
      <c r="T428" s="2940" t="s">
        <v>5454</v>
      </c>
      <c r="U428" s="2940"/>
      <c r="V428" s="2940">
        <v>6</v>
      </c>
      <c r="W428" s="2940" t="s">
        <v>5553</v>
      </c>
      <c r="X428" s="2931" t="s">
        <v>5456</v>
      </c>
      <c r="Y428" s="1674">
        <f t="shared" si="148"/>
        <v>900</v>
      </c>
      <c r="Z428" s="1098">
        <f>Q428*S428*V428</f>
        <v>900000</v>
      </c>
      <c r="AA428" s="305"/>
      <c r="AB428" s="305"/>
      <c r="AC428" s="166"/>
    </row>
    <row r="429" spans="1:29" ht="21" customHeight="1">
      <c r="A429" s="396"/>
      <c r="B429" s="2941"/>
      <c r="C429" s="397"/>
      <c r="D429" s="1126"/>
      <c r="E429" s="1134" t="s">
        <v>1506</v>
      </c>
      <c r="F429" s="383">
        <f t="shared" si="144"/>
        <v>6000</v>
      </c>
      <c r="G429" s="1311">
        <v>1000</v>
      </c>
      <c r="H429" s="467">
        <f t="shared" si="150"/>
        <v>5000</v>
      </c>
      <c r="I429" s="409"/>
      <c r="J429" s="2939" t="s">
        <v>5554</v>
      </c>
      <c r="K429" s="2938"/>
      <c r="L429" s="2938"/>
      <c r="M429" s="2938"/>
      <c r="N429" s="2938"/>
      <c r="O429" s="2938"/>
      <c r="P429" s="2938"/>
      <c r="Q429" s="408"/>
      <c r="R429" s="2931"/>
      <c r="S429" s="1672">
        <v>500000</v>
      </c>
      <c r="T429" s="2940" t="s">
        <v>0</v>
      </c>
      <c r="U429" s="2940"/>
      <c r="V429" s="2940">
        <v>12</v>
      </c>
      <c r="W429" s="2940" t="s">
        <v>5457</v>
      </c>
      <c r="X429" s="2931" t="s">
        <v>5456</v>
      </c>
      <c r="Y429" s="1674">
        <f t="shared" si="148"/>
        <v>6000</v>
      </c>
      <c r="Z429" s="1098">
        <f>S429*V429</f>
        <v>6000000</v>
      </c>
      <c r="AA429" s="305"/>
      <c r="AB429" s="305"/>
      <c r="AC429" s="166"/>
    </row>
    <row r="430" spans="1:29" ht="21" customHeight="1">
      <c r="A430" s="396"/>
      <c r="B430" s="2941"/>
      <c r="C430" s="397"/>
      <c r="D430" s="1126"/>
      <c r="E430" s="1134" t="s">
        <v>564</v>
      </c>
      <c r="F430" s="383">
        <f t="shared" si="144"/>
        <v>3500</v>
      </c>
      <c r="G430" s="1311">
        <v>1500</v>
      </c>
      <c r="H430" s="467">
        <f t="shared" si="150"/>
        <v>2000</v>
      </c>
      <c r="I430" s="409"/>
      <c r="J430" s="2939" t="s">
        <v>5555</v>
      </c>
      <c r="K430" s="2938"/>
      <c r="L430" s="2938"/>
      <c r="M430" s="2938"/>
      <c r="N430" s="2938"/>
      <c r="O430" s="2938"/>
      <c r="P430" s="2938"/>
      <c r="Q430" s="408">
        <v>1</v>
      </c>
      <c r="R430" s="2931" t="s">
        <v>5462</v>
      </c>
      <c r="S430" s="1672">
        <v>100000</v>
      </c>
      <c r="T430" s="2940" t="s">
        <v>5454</v>
      </c>
      <c r="U430" s="2940"/>
      <c r="V430" s="2940">
        <v>35</v>
      </c>
      <c r="W430" s="2940" t="s">
        <v>5463</v>
      </c>
      <c r="X430" s="2931" t="s">
        <v>5456</v>
      </c>
      <c r="Y430" s="1674">
        <f t="shared" si="148"/>
        <v>3500</v>
      </c>
      <c r="Z430" s="1098">
        <f>Q430*S430*V430</f>
        <v>3500000</v>
      </c>
      <c r="AA430" s="305"/>
      <c r="AB430" s="305"/>
      <c r="AC430" s="166"/>
    </row>
    <row r="431" spans="1:29" ht="21" customHeight="1">
      <c r="A431" s="396"/>
      <c r="B431" s="2941"/>
      <c r="C431" s="397"/>
      <c r="D431" s="1126"/>
      <c r="E431" s="1134" t="s">
        <v>1478</v>
      </c>
      <c r="F431" s="383">
        <f t="shared" si="144"/>
        <v>17700</v>
      </c>
      <c r="G431" s="1311">
        <v>28000</v>
      </c>
      <c r="H431" s="467">
        <f t="shared" si="150"/>
        <v>-10300</v>
      </c>
      <c r="I431" s="409"/>
      <c r="J431" s="2939" t="s">
        <v>5556</v>
      </c>
      <c r="K431" s="2938"/>
      <c r="L431" s="2938"/>
      <c r="M431" s="2938"/>
      <c r="N431" s="2938"/>
      <c r="O431" s="2938"/>
      <c r="P431" s="2938"/>
      <c r="Q431" s="408"/>
      <c r="R431" s="2931"/>
      <c r="S431" s="1672">
        <v>4425000</v>
      </c>
      <c r="T431" s="2940" t="s">
        <v>0</v>
      </c>
      <c r="U431" s="2940"/>
      <c r="V431" s="2940">
        <v>4</v>
      </c>
      <c r="W431" s="2940" t="s">
        <v>5463</v>
      </c>
      <c r="X431" s="2931" t="s">
        <v>5456</v>
      </c>
      <c r="Y431" s="1674">
        <f t="shared" si="148"/>
        <v>17700</v>
      </c>
      <c r="Z431" s="1098">
        <f>S431*V431</f>
        <v>17700000</v>
      </c>
      <c r="AA431" s="305"/>
      <c r="AB431" s="305"/>
      <c r="AC431" s="166"/>
    </row>
    <row r="432" spans="1:29" ht="21" customHeight="1">
      <c r="A432" s="396"/>
      <c r="B432" s="2941"/>
      <c r="C432" s="397"/>
      <c r="D432" s="1126"/>
      <c r="E432" s="1134" t="s">
        <v>703</v>
      </c>
      <c r="F432" s="383">
        <f t="shared" si="144"/>
        <v>1000</v>
      </c>
      <c r="G432" s="1311">
        <v>3000</v>
      </c>
      <c r="H432" s="467">
        <f t="shared" si="150"/>
        <v>-2000</v>
      </c>
      <c r="I432" s="2938"/>
      <c r="J432" s="2939" t="s">
        <v>5557</v>
      </c>
      <c r="K432" s="2940"/>
      <c r="L432" s="2938"/>
      <c r="M432" s="2938"/>
      <c r="N432" s="1673"/>
      <c r="O432" s="2938"/>
      <c r="P432" s="2938"/>
      <c r="Q432" s="408">
        <v>2</v>
      </c>
      <c r="R432" s="2931" t="s">
        <v>5558</v>
      </c>
      <c r="S432" s="1672">
        <v>500000</v>
      </c>
      <c r="T432" s="2940" t="s">
        <v>5454</v>
      </c>
      <c r="U432" s="2940"/>
      <c r="V432" s="2940">
        <v>1</v>
      </c>
      <c r="W432" s="2940" t="s">
        <v>5559</v>
      </c>
      <c r="X432" s="2931" t="s">
        <v>5456</v>
      </c>
      <c r="Y432" s="1674">
        <f t="shared" si="148"/>
        <v>1000</v>
      </c>
      <c r="Z432" s="1098">
        <f>Q432*S432*V432</f>
        <v>1000000</v>
      </c>
      <c r="AA432" s="305"/>
      <c r="AB432" s="305"/>
      <c r="AC432" s="166"/>
    </row>
    <row r="433" spans="1:29" ht="21" customHeight="1">
      <c r="A433" s="396"/>
      <c r="B433" s="2941"/>
      <c r="C433" s="397"/>
      <c r="D433" s="1126"/>
      <c r="E433" s="1134" t="s">
        <v>704</v>
      </c>
      <c r="F433" s="383">
        <f t="shared" si="144"/>
        <v>500</v>
      </c>
      <c r="G433" s="1311">
        <v>500</v>
      </c>
      <c r="H433" s="467"/>
      <c r="I433" s="2938"/>
      <c r="J433" s="2939" t="s">
        <v>5560</v>
      </c>
      <c r="K433" s="2938"/>
      <c r="L433" s="2938"/>
      <c r="M433" s="2938"/>
      <c r="N433" s="2938"/>
      <c r="O433" s="2938"/>
      <c r="P433" s="2938"/>
      <c r="Q433" s="1673"/>
      <c r="R433" s="2982"/>
      <c r="S433" s="1672">
        <v>100000</v>
      </c>
      <c r="T433" s="2940" t="s">
        <v>5454</v>
      </c>
      <c r="U433" s="2940"/>
      <c r="V433" s="2940">
        <v>5</v>
      </c>
      <c r="W433" s="2940" t="s">
        <v>5463</v>
      </c>
      <c r="X433" s="2931" t="s">
        <v>5456</v>
      </c>
      <c r="Y433" s="1674">
        <f t="shared" si="148"/>
        <v>500</v>
      </c>
      <c r="Z433" s="1098">
        <f>S433*V433</f>
        <v>500000</v>
      </c>
      <c r="AA433" s="305"/>
      <c r="AB433" s="305"/>
      <c r="AC433" s="2557"/>
    </row>
    <row r="434" spans="1:29" ht="21" customHeight="1">
      <c r="A434" s="396"/>
      <c r="B434" s="2941"/>
      <c r="C434" s="397"/>
      <c r="D434" s="875"/>
      <c r="E434" s="1134" t="s">
        <v>1473</v>
      </c>
      <c r="F434" s="383">
        <f t="shared" si="144"/>
        <v>4400</v>
      </c>
      <c r="G434" s="1311">
        <v>2400</v>
      </c>
      <c r="H434" s="467">
        <f t="shared" si="150"/>
        <v>2000</v>
      </c>
      <c r="I434" s="409"/>
      <c r="J434" s="2939" t="s">
        <v>5561</v>
      </c>
      <c r="K434" s="2940"/>
      <c r="L434" s="2938"/>
      <c r="M434" s="2938"/>
      <c r="N434" s="2938"/>
      <c r="O434" s="2938"/>
      <c r="P434" s="2938"/>
      <c r="Q434" s="408"/>
      <c r="R434" s="2940"/>
      <c r="S434" s="1672">
        <v>880000</v>
      </c>
      <c r="T434" s="2940" t="s">
        <v>5454</v>
      </c>
      <c r="U434" s="2940"/>
      <c r="V434" s="2940">
        <v>5</v>
      </c>
      <c r="W434" s="2940" t="s">
        <v>5463</v>
      </c>
      <c r="X434" s="2931" t="s">
        <v>5456</v>
      </c>
      <c r="Y434" s="1674">
        <f t="shared" si="148"/>
        <v>4400</v>
      </c>
      <c r="Z434" s="1098">
        <f>S434*V434</f>
        <v>4400000</v>
      </c>
      <c r="AA434" s="305"/>
      <c r="AB434" s="305"/>
      <c r="AC434" s="166"/>
    </row>
    <row r="435" spans="1:29" ht="21" customHeight="1">
      <c r="A435" s="396"/>
      <c r="B435" s="2941"/>
      <c r="C435" s="397"/>
      <c r="D435" s="465"/>
      <c r="E435" s="1134" t="s">
        <v>610</v>
      </c>
      <c r="F435" s="383">
        <f t="shared" si="144"/>
        <v>1500</v>
      </c>
      <c r="G435" s="1311">
        <v>1500</v>
      </c>
      <c r="H435" s="467"/>
      <c r="I435" s="409"/>
      <c r="J435" s="2939" t="s">
        <v>5562</v>
      </c>
      <c r="K435" s="2938"/>
      <c r="L435" s="2938"/>
      <c r="M435" s="2938"/>
      <c r="N435" s="2938"/>
      <c r="O435" s="2938"/>
      <c r="P435" s="2938"/>
      <c r="Q435" s="408">
        <v>6</v>
      </c>
      <c r="R435" s="2931" t="s">
        <v>5462</v>
      </c>
      <c r="S435" s="1672">
        <v>10000</v>
      </c>
      <c r="T435" s="2940" t="s">
        <v>5454</v>
      </c>
      <c r="U435" s="2940"/>
      <c r="V435" s="2940">
        <v>25</v>
      </c>
      <c r="W435" s="2940" t="s">
        <v>5463</v>
      </c>
      <c r="X435" s="2931" t="s">
        <v>5456</v>
      </c>
      <c r="Y435" s="1674">
        <f t="shared" si="148"/>
        <v>1500</v>
      </c>
      <c r="Z435" s="1098">
        <f t="shared" ref="Z435" si="151">Q435*S435*V435</f>
        <v>1500000</v>
      </c>
      <c r="AA435" s="305"/>
      <c r="AB435" s="305"/>
      <c r="AC435" s="166"/>
    </row>
    <row r="436" spans="1:29" ht="21" customHeight="1">
      <c r="A436" s="115"/>
      <c r="B436" s="90"/>
      <c r="C436" s="3368" t="s">
        <v>3295</v>
      </c>
      <c r="D436" s="3369"/>
      <c r="E436" s="3370"/>
      <c r="F436" s="1834">
        <f>+F437+F468</f>
        <v>250000</v>
      </c>
      <c r="G436" s="1834">
        <f>+G437+G468</f>
        <v>250000</v>
      </c>
      <c r="H436" s="302">
        <f>F436-G436</f>
        <v>0</v>
      </c>
      <c r="I436" s="1817"/>
      <c r="J436" s="1631"/>
      <c r="K436" s="2264"/>
      <c r="L436" s="2264"/>
      <c r="M436" s="2264"/>
      <c r="N436" s="2264"/>
      <c r="O436" s="2264"/>
      <c r="P436" s="2264"/>
      <c r="Q436" s="2264"/>
      <c r="R436" s="2264"/>
      <c r="S436" s="2264"/>
      <c r="T436" s="2264"/>
      <c r="U436" s="2264"/>
      <c r="V436" s="2264"/>
      <c r="W436" s="2264"/>
      <c r="X436" s="2264"/>
      <c r="Y436" s="1841"/>
      <c r="Z436" s="1825">
        <f>+Z437+Z468</f>
        <v>260200000</v>
      </c>
      <c r="AA436" s="305"/>
      <c r="AB436" s="305"/>
      <c r="AC436" s="166"/>
    </row>
    <row r="437" spans="1:29" ht="21" customHeight="1">
      <c r="A437" s="396"/>
      <c r="B437" s="2941"/>
      <c r="C437" s="397"/>
      <c r="D437" s="3371" t="s">
        <v>5838</v>
      </c>
      <c r="E437" s="3372"/>
      <c r="F437" s="1263">
        <f>SUM(F438:F467)</f>
        <v>150000</v>
      </c>
      <c r="G437" s="1263">
        <f>SUM(G438:G467)</f>
        <v>150000</v>
      </c>
      <c r="H437" s="2984">
        <f t="shared" ref="H437" si="152">F437-G437</f>
        <v>0</v>
      </c>
      <c r="I437" s="1118"/>
      <c r="J437" s="1119"/>
      <c r="K437" s="2912"/>
      <c r="L437" s="2912"/>
      <c r="M437" s="2912"/>
      <c r="N437" s="2912"/>
      <c r="O437" s="2912"/>
      <c r="P437" s="2912"/>
      <c r="Q437" s="2912"/>
      <c r="R437" s="1120"/>
      <c r="S437" s="2912"/>
      <c r="T437" s="2912"/>
      <c r="U437" s="2912"/>
      <c r="V437" s="2912"/>
      <c r="W437" s="2912"/>
      <c r="X437" s="2912"/>
      <c r="Y437" s="2959"/>
      <c r="Z437" s="2985">
        <f>Z438+Z439+Z440+Z442+Z443+Z444+Z449+Z452+Z457+Z460+Z467</f>
        <v>160200000</v>
      </c>
      <c r="AA437" s="305"/>
      <c r="AB437" s="305"/>
      <c r="AC437" s="166"/>
    </row>
    <row r="438" spans="1:29" s="1669" customFormat="1" ht="21" customHeight="1">
      <c r="A438" s="396"/>
      <c r="B438" s="2941"/>
      <c r="C438" s="397"/>
      <c r="D438" s="2986"/>
      <c r="E438" s="2388" t="s">
        <v>5652</v>
      </c>
      <c r="F438" s="2723">
        <f>Y438</f>
        <v>30000</v>
      </c>
      <c r="G438" s="2723">
        <v>30000</v>
      </c>
      <c r="H438" s="700"/>
      <c r="I438" s="1118"/>
      <c r="J438" s="514" t="s">
        <v>5629</v>
      </c>
      <c r="K438" s="2880"/>
      <c r="L438" s="2880"/>
      <c r="M438" s="2880"/>
      <c r="N438" s="2880"/>
      <c r="O438" s="2880"/>
      <c r="P438" s="2880"/>
      <c r="Q438" s="727">
        <v>1</v>
      </c>
      <c r="R438" s="2887" t="s">
        <v>23</v>
      </c>
      <c r="S438" s="1686">
        <v>2500000</v>
      </c>
      <c r="T438" s="516" t="s">
        <v>0</v>
      </c>
      <c r="U438" s="516"/>
      <c r="V438" s="516">
        <v>12</v>
      </c>
      <c r="W438" s="516" t="s">
        <v>5506</v>
      </c>
      <c r="X438" s="516" t="s">
        <v>5456</v>
      </c>
      <c r="Y438" s="636">
        <f t="shared" ref="Y438:Y467" si="153">(Z438)/1000</f>
        <v>30000</v>
      </c>
      <c r="Z438" s="1265">
        <f>Q438*S438*V438</f>
        <v>30000000</v>
      </c>
      <c r="AA438" s="305"/>
      <c r="AB438" s="305"/>
      <c r="AC438" s="166"/>
    </row>
    <row r="439" spans="1:29" s="1669" customFormat="1" ht="21" customHeight="1">
      <c r="A439" s="396"/>
      <c r="B439" s="2941"/>
      <c r="C439" s="397"/>
      <c r="D439" s="620"/>
      <c r="E439" s="510" t="s">
        <v>51</v>
      </c>
      <c r="F439" s="2723">
        <f t="shared" ref="F439:F443" si="154">Y439</f>
        <v>4500</v>
      </c>
      <c r="G439" s="1699">
        <v>4500</v>
      </c>
      <c r="H439" s="700"/>
      <c r="I439" s="2880"/>
      <c r="J439" s="514" t="s">
        <v>5630</v>
      </c>
      <c r="K439" s="516"/>
      <c r="L439" s="2880"/>
      <c r="M439" s="2880"/>
      <c r="N439" s="2880"/>
      <c r="O439" s="2880"/>
      <c r="P439" s="2880"/>
      <c r="Q439" s="727"/>
      <c r="R439" s="2887"/>
      <c r="S439" s="1686">
        <v>4500000</v>
      </c>
      <c r="T439" s="516" t="s">
        <v>0</v>
      </c>
      <c r="U439" s="516"/>
      <c r="V439" s="516">
        <v>1</v>
      </c>
      <c r="W439" s="516" t="s">
        <v>5457</v>
      </c>
      <c r="X439" s="517" t="s">
        <v>1</v>
      </c>
      <c r="Y439" s="636">
        <f t="shared" si="153"/>
        <v>4500</v>
      </c>
      <c r="Z439" s="1265">
        <f>S439*V439</f>
        <v>4500000</v>
      </c>
      <c r="AA439" s="305"/>
      <c r="AB439" s="305"/>
      <c r="AC439" s="166"/>
    </row>
    <row r="440" spans="1:29" s="1669" customFormat="1" ht="23.1" customHeight="1">
      <c r="A440" s="396"/>
      <c r="B440" s="2941"/>
      <c r="C440" s="397"/>
      <c r="D440" s="620"/>
      <c r="E440" s="510" t="s">
        <v>5653</v>
      </c>
      <c r="F440" s="2723">
        <f t="shared" si="154"/>
        <v>1300</v>
      </c>
      <c r="G440" s="1699">
        <v>1300</v>
      </c>
      <c r="H440" s="700"/>
      <c r="I440" s="2880"/>
      <c r="J440" s="514" t="s">
        <v>5656</v>
      </c>
      <c r="K440" s="2880"/>
      <c r="L440" s="2880"/>
      <c r="M440" s="2880"/>
      <c r="N440" s="2880"/>
      <c r="O440" s="727"/>
      <c r="P440" s="2887"/>
      <c r="Q440" s="727"/>
      <c r="R440" s="2887"/>
      <c r="S440" s="1686">
        <v>1300000</v>
      </c>
      <c r="T440" s="516" t="s">
        <v>5454</v>
      </c>
      <c r="U440" s="516"/>
      <c r="V440" s="516">
        <v>1</v>
      </c>
      <c r="W440" s="516" t="s">
        <v>5457</v>
      </c>
      <c r="X440" s="516" t="s">
        <v>5456</v>
      </c>
      <c r="Y440" s="636">
        <f t="shared" ref="Y440" si="155">(Z440)/1000</f>
        <v>1300</v>
      </c>
      <c r="Z440" s="1265">
        <f t="shared" ref="Z440" si="156">S440*V440</f>
        <v>1300000</v>
      </c>
      <c r="AA440" s="305"/>
      <c r="AB440" s="305"/>
      <c r="AC440" s="166"/>
    </row>
    <row r="441" spans="1:29" s="1669" customFormat="1" ht="23.1" customHeight="1">
      <c r="A441" s="396"/>
      <c r="B441" s="2941"/>
      <c r="C441" s="397"/>
      <c r="D441" s="2960"/>
      <c r="E441" s="510" t="s">
        <v>84</v>
      </c>
      <c r="F441" s="2723">
        <f t="shared" si="154"/>
        <v>1600</v>
      </c>
      <c r="G441" s="1699">
        <v>2400</v>
      </c>
      <c r="H441" s="700">
        <f>F441-G441</f>
        <v>-800</v>
      </c>
      <c r="I441" s="2880"/>
      <c r="J441" s="514" t="s">
        <v>5459</v>
      </c>
      <c r="K441" s="2880"/>
      <c r="L441" s="2880"/>
      <c r="M441" s="2880"/>
      <c r="N441" s="2880"/>
      <c r="O441" s="727"/>
      <c r="P441" s="2887"/>
      <c r="Q441" s="727">
        <v>2</v>
      </c>
      <c r="R441" s="2887" t="s">
        <v>5462</v>
      </c>
      <c r="S441" s="1686">
        <v>20000</v>
      </c>
      <c r="T441" s="516" t="s">
        <v>0</v>
      </c>
      <c r="U441" s="516"/>
      <c r="V441" s="516">
        <v>40</v>
      </c>
      <c r="W441" s="516" t="s">
        <v>5463</v>
      </c>
      <c r="X441" s="516" t="s">
        <v>5456</v>
      </c>
      <c r="Y441" s="636">
        <f t="shared" si="153"/>
        <v>1600</v>
      </c>
      <c r="Z441" s="1265">
        <f>Q441*S441*V441</f>
        <v>1600000</v>
      </c>
      <c r="AA441" s="305"/>
      <c r="AB441" s="305"/>
      <c r="AC441" s="166"/>
    </row>
    <row r="442" spans="1:29" ht="23.1" customHeight="1">
      <c r="A442" s="396"/>
      <c r="B442" s="2941"/>
      <c r="C442" s="397"/>
      <c r="D442" s="2960"/>
      <c r="E442" s="510" t="s">
        <v>5654</v>
      </c>
      <c r="F442" s="2723">
        <f t="shared" si="154"/>
        <v>1000</v>
      </c>
      <c r="G442" s="1186">
        <v>1000</v>
      </c>
      <c r="H442" s="700"/>
      <c r="I442" s="1118"/>
      <c r="J442" s="514" t="s">
        <v>5571</v>
      </c>
      <c r="K442" s="516"/>
      <c r="L442" s="2880"/>
      <c r="M442" s="2880"/>
      <c r="N442" s="2880"/>
      <c r="O442" s="2880"/>
      <c r="P442" s="2880"/>
      <c r="Q442" s="727"/>
      <c r="R442" s="2887"/>
      <c r="S442" s="1686">
        <v>1000000</v>
      </c>
      <c r="T442" s="516" t="s">
        <v>0</v>
      </c>
      <c r="U442" s="516"/>
      <c r="V442" s="516">
        <v>1</v>
      </c>
      <c r="W442" s="516" t="s">
        <v>5457</v>
      </c>
      <c r="X442" s="517" t="s">
        <v>1</v>
      </c>
      <c r="Y442" s="636">
        <f t="shared" si="153"/>
        <v>1000</v>
      </c>
      <c r="Z442" s="1265">
        <f>S442*V442</f>
        <v>1000000</v>
      </c>
      <c r="AA442" s="305"/>
      <c r="AB442" s="305"/>
      <c r="AC442" s="166"/>
    </row>
    <row r="443" spans="1:29" s="1669" customFormat="1" ht="23.1" customHeight="1">
      <c r="A443" s="411"/>
      <c r="B443" s="412"/>
      <c r="C443" s="1111"/>
      <c r="D443" s="620"/>
      <c r="E443" s="510" t="s">
        <v>5499</v>
      </c>
      <c r="F443" s="2723">
        <f t="shared" si="154"/>
        <v>53400</v>
      </c>
      <c r="G443" s="1699">
        <v>24350</v>
      </c>
      <c r="H443" s="700">
        <f>F443-G443</f>
        <v>29050</v>
      </c>
      <c r="I443" s="1118"/>
      <c r="J443" s="514" t="s">
        <v>5453</v>
      </c>
      <c r="K443" s="2880"/>
      <c r="L443" s="2880"/>
      <c r="M443" s="2880"/>
      <c r="N443" s="2880"/>
      <c r="O443" s="2880"/>
      <c r="P443" s="2880"/>
      <c r="Q443" s="727"/>
      <c r="R443" s="2887"/>
      <c r="S443" s="1686"/>
      <c r="T443" s="516"/>
      <c r="U443" s="516"/>
      <c r="V443" s="516"/>
      <c r="W443" s="516"/>
      <c r="X443" s="516"/>
      <c r="Y443" s="636">
        <f t="shared" si="153"/>
        <v>53400</v>
      </c>
      <c r="Z443" s="1265">
        <f>Z444+Z445+Z446+Z447+Z448+Z449+Z450+Z451</f>
        <v>53400000</v>
      </c>
      <c r="AA443" s="305"/>
      <c r="AB443" s="305"/>
      <c r="AC443" s="166"/>
    </row>
    <row r="444" spans="1:29" ht="23.1" customHeight="1">
      <c r="A444" s="411"/>
      <c r="B444" s="412"/>
      <c r="C444" s="1111"/>
      <c r="D444" s="2960"/>
      <c r="E444" s="510"/>
      <c r="F444" s="1185"/>
      <c r="G444" s="1186"/>
      <c r="H444" s="700"/>
      <c r="I444" s="1118"/>
      <c r="J444" s="514" t="s">
        <v>5631</v>
      </c>
      <c r="K444" s="2880"/>
      <c r="L444" s="2880"/>
      <c r="M444" s="2880"/>
      <c r="N444" s="2880"/>
      <c r="O444" s="2880"/>
      <c r="P444" s="2880"/>
      <c r="Q444" s="727">
        <v>1</v>
      </c>
      <c r="R444" s="2887" t="s">
        <v>5462</v>
      </c>
      <c r="S444" s="1686">
        <v>1500000</v>
      </c>
      <c r="T444" s="516" t="s">
        <v>0</v>
      </c>
      <c r="U444" s="516"/>
      <c r="V444" s="516">
        <v>9</v>
      </c>
      <c r="W444" s="516" t="s">
        <v>5553</v>
      </c>
      <c r="X444" s="516" t="s">
        <v>5456</v>
      </c>
      <c r="Y444" s="636">
        <f t="shared" si="153"/>
        <v>13500</v>
      </c>
      <c r="Z444" s="1265">
        <f t="shared" ref="Z444:Z451" si="157">Q444*S444*V444</f>
        <v>13500000</v>
      </c>
      <c r="AA444" s="305"/>
      <c r="AB444" s="305"/>
      <c r="AC444" s="166"/>
    </row>
    <row r="445" spans="1:29" ht="23.1" customHeight="1">
      <c r="A445" s="411"/>
      <c r="B445" s="412"/>
      <c r="C445" s="1328"/>
      <c r="D445" s="508"/>
      <c r="E445" s="510"/>
      <c r="F445" s="1185"/>
      <c r="G445" s="1186"/>
      <c r="H445" s="700"/>
      <c r="I445" s="1118"/>
      <c r="J445" s="514" t="s">
        <v>5632</v>
      </c>
      <c r="K445" s="2880"/>
      <c r="L445" s="2880"/>
      <c r="M445" s="2880"/>
      <c r="N445" s="2880"/>
      <c r="O445" s="2880"/>
      <c r="P445" s="2880"/>
      <c r="Q445" s="727">
        <v>10</v>
      </c>
      <c r="R445" s="2887" t="s">
        <v>5462</v>
      </c>
      <c r="S445" s="1686">
        <v>1000000</v>
      </c>
      <c r="T445" s="516" t="s">
        <v>0</v>
      </c>
      <c r="U445" s="516"/>
      <c r="V445" s="516">
        <v>1</v>
      </c>
      <c r="W445" s="516" t="s">
        <v>5463</v>
      </c>
      <c r="X445" s="516" t="s">
        <v>5456</v>
      </c>
      <c r="Y445" s="636">
        <f t="shared" si="153"/>
        <v>10000</v>
      </c>
      <c r="Z445" s="1265">
        <f t="shared" si="157"/>
        <v>10000000</v>
      </c>
      <c r="AA445" s="305"/>
      <c r="AB445" s="305"/>
      <c r="AC445" s="166"/>
    </row>
    <row r="446" spans="1:29" ht="23.1" customHeight="1">
      <c r="A446" s="411"/>
      <c r="B446" s="412"/>
      <c r="C446" s="1328"/>
      <c r="D446" s="508"/>
      <c r="E446" s="510"/>
      <c r="F446" s="1185"/>
      <c r="G446" s="1186"/>
      <c r="H446" s="700"/>
      <c r="I446" s="1118"/>
      <c r="J446" s="514" t="s">
        <v>5633</v>
      </c>
      <c r="K446" s="2880"/>
      <c r="L446" s="2880"/>
      <c r="M446" s="2880"/>
      <c r="N446" s="2880"/>
      <c r="O446" s="2880"/>
      <c r="P446" s="2880"/>
      <c r="Q446" s="727">
        <v>1</v>
      </c>
      <c r="R446" s="2887" t="s">
        <v>5462</v>
      </c>
      <c r="S446" s="1686">
        <v>350000</v>
      </c>
      <c r="T446" s="516" t="s">
        <v>0</v>
      </c>
      <c r="U446" s="516"/>
      <c r="V446" s="516">
        <v>20</v>
      </c>
      <c r="W446" s="516" t="s">
        <v>5463</v>
      </c>
      <c r="X446" s="516" t="s">
        <v>5456</v>
      </c>
      <c r="Y446" s="636">
        <f t="shared" si="153"/>
        <v>7000</v>
      </c>
      <c r="Z446" s="1265">
        <f t="shared" si="157"/>
        <v>7000000</v>
      </c>
      <c r="AA446" s="305"/>
      <c r="AB446" s="305"/>
      <c r="AC446" s="166"/>
    </row>
    <row r="447" spans="1:29" ht="23.1" customHeight="1">
      <c r="A447" s="396"/>
      <c r="B447" s="2941"/>
      <c r="C447" s="397"/>
      <c r="D447" s="508"/>
      <c r="E447" s="510"/>
      <c r="F447" s="1185"/>
      <c r="G447" s="1186"/>
      <c r="H447" s="700"/>
      <c r="I447" s="1118"/>
      <c r="J447" s="514" t="s">
        <v>5634</v>
      </c>
      <c r="K447" s="2880"/>
      <c r="L447" s="2880"/>
      <c r="M447" s="2880"/>
      <c r="N447" s="2880"/>
      <c r="O447" s="2880"/>
      <c r="P447" s="2880"/>
      <c r="Q447" s="727">
        <v>4</v>
      </c>
      <c r="R447" s="2887" t="s">
        <v>5462</v>
      </c>
      <c r="S447" s="1686">
        <v>150000</v>
      </c>
      <c r="T447" s="516" t="s">
        <v>0</v>
      </c>
      <c r="U447" s="516"/>
      <c r="V447" s="516">
        <v>20</v>
      </c>
      <c r="W447" s="516" t="s">
        <v>5463</v>
      </c>
      <c r="X447" s="516" t="s">
        <v>5456</v>
      </c>
      <c r="Y447" s="636">
        <f t="shared" si="153"/>
        <v>12000</v>
      </c>
      <c r="Z447" s="1265">
        <f t="shared" si="157"/>
        <v>12000000</v>
      </c>
      <c r="AA447" s="305"/>
      <c r="AB447" s="305"/>
      <c r="AC447" s="166"/>
    </row>
    <row r="448" spans="1:29" ht="23.1" customHeight="1">
      <c r="A448" s="396"/>
      <c r="B448" s="2941"/>
      <c r="C448" s="397"/>
      <c r="D448" s="508"/>
      <c r="E448" s="510"/>
      <c r="F448" s="1185"/>
      <c r="G448" s="1186"/>
      <c r="H448" s="700"/>
      <c r="I448" s="1118"/>
      <c r="J448" s="514" t="s">
        <v>5635</v>
      </c>
      <c r="K448" s="2880"/>
      <c r="L448" s="2880"/>
      <c r="M448" s="2880"/>
      <c r="N448" s="2880"/>
      <c r="O448" s="2880"/>
      <c r="P448" s="2880"/>
      <c r="Q448" s="727">
        <v>1</v>
      </c>
      <c r="R448" s="2887" t="s">
        <v>5462</v>
      </c>
      <c r="S448" s="1686">
        <v>300000</v>
      </c>
      <c r="T448" s="516" t="s">
        <v>0</v>
      </c>
      <c r="U448" s="516"/>
      <c r="V448" s="516">
        <v>20</v>
      </c>
      <c r="W448" s="516" t="s">
        <v>5463</v>
      </c>
      <c r="X448" s="516" t="s">
        <v>5456</v>
      </c>
      <c r="Y448" s="636">
        <f t="shared" si="153"/>
        <v>6000</v>
      </c>
      <c r="Z448" s="1265">
        <f t="shared" si="157"/>
        <v>6000000</v>
      </c>
      <c r="AA448" s="305"/>
      <c r="AB448" s="305"/>
      <c r="AC448" s="166"/>
    </row>
    <row r="449" spans="1:29" ht="23.1" customHeight="1">
      <c r="A449" s="411"/>
      <c r="B449" s="412"/>
      <c r="C449" s="1328"/>
      <c r="D449" s="620"/>
      <c r="E449" s="510"/>
      <c r="F449" s="1185"/>
      <c r="G449" s="1186"/>
      <c r="H449" s="700"/>
      <c r="I449" s="1118"/>
      <c r="J449" s="514" t="s">
        <v>5636</v>
      </c>
      <c r="K449" s="2880"/>
      <c r="L449" s="2880"/>
      <c r="M449" s="2880"/>
      <c r="N449" s="2880"/>
      <c r="O449" s="2880"/>
      <c r="P449" s="2880"/>
      <c r="Q449" s="727">
        <v>1</v>
      </c>
      <c r="R449" s="2887" t="s">
        <v>5462</v>
      </c>
      <c r="S449" s="1686">
        <v>300000</v>
      </c>
      <c r="T449" s="516" t="s">
        <v>0</v>
      </c>
      <c r="U449" s="516"/>
      <c r="V449" s="516">
        <v>5</v>
      </c>
      <c r="W449" s="516" t="s">
        <v>5463</v>
      </c>
      <c r="X449" s="516" t="s">
        <v>5456</v>
      </c>
      <c r="Y449" s="636">
        <f t="shared" si="153"/>
        <v>1500</v>
      </c>
      <c r="Z449" s="1265">
        <f t="shared" si="157"/>
        <v>1500000</v>
      </c>
      <c r="AA449" s="305"/>
      <c r="AB449" s="305"/>
      <c r="AC449" s="166"/>
    </row>
    <row r="450" spans="1:29" ht="23.1" customHeight="1">
      <c r="A450" s="411"/>
      <c r="B450" s="412"/>
      <c r="C450" s="1328"/>
      <c r="D450" s="620"/>
      <c r="E450" s="510"/>
      <c r="F450" s="1185"/>
      <c r="G450" s="1186"/>
      <c r="H450" s="700"/>
      <c r="I450" s="1118"/>
      <c r="J450" s="514" t="s">
        <v>5637</v>
      </c>
      <c r="K450" s="2880"/>
      <c r="L450" s="2880"/>
      <c r="M450" s="2880"/>
      <c r="N450" s="2880"/>
      <c r="O450" s="2880"/>
      <c r="P450" s="2880"/>
      <c r="Q450" s="727">
        <v>4</v>
      </c>
      <c r="R450" s="2887" t="s">
        <v>5462</v>
      </c>
      <c r="S450" s="1686">
        <v>200000</v>
      </c>
      <c r="T450" s="516" t="s">
        <v>0</v>
      </c>
      <c r="U450" s="516"/>
      <c r="V450" s="516">
        <v>3</v>
      </c>
      <c r="W450" s="516" t="s">
        <v>5463</v>
      </c>
      <c r="X450" s="516" t="s">
        <v>5456</v>
      </c>
      <c r="Y450" s="636">
        <f t="shared" si="153"/>
        <v>2400</v>
      </c>
      <c r="Z450" s="1265">
        <f t="shared" si="157"/>
        <v>2400000</v>
      </c>
      <c r="AA450" s="305"/>
      <c r="AB450" s="305"/>
      <c r="AC450" s="2557"/>
    </row>
    <row r="451" spans="1:29" ht="23.1" customHeight="1">
      <c r="A451" s="411"/>
      <c r="B451" s="412"/>
      <c r="C451" s="1328"/>
      <c r="D451" s="620"/>
      <c r="E451" s="510"/>
      <c r="F451" s="1185"/>
      <c r="G451" s="1186"/>
      <c r="H451" s="700"/>
      <c r="I451" s="1118"/>
      <c r="J451" s="514" t="s">
        <v>5638</v>
      </c>
      <c r="K451" s="2880"/>
      <c r="L451" s="2880"/>
      <c r="M451" s="2880"/>
      <c r="N451" s="2880"/>
      <c r="O451" s="2880"/>
      <c r="P451" s="2880"/>
      <c r="Q451" s="727">
        <v>5</v>
      </c>
      <c r="R451" s="2887" t="s">
        <v>5462</v>
      </c>
      <c r="S451" s="1686">
        <v>200000</v>
      </c>
      <c r="T451" s="516" t="s">
        <v>0</v>
      </c>
      <c r="U451" s="516"/>
      <c r="V451" s="516">
        <v>1</v>
      </c>
      <c r="W451" s="516" t="s">
        <v>5463</v>
      </c>
      <c r="X451" s="516" t="s">
        <v>5456</v>
      </c>
      <c r="Y451" s="636">
        <f t="shared" si="153"/>
        <v>1000</v>
      </c>
      <c r="Z451" s="1265">
        <f t="shared" si="157"/>
        <v>1000000</v>
      </c>
      <c r="AA451" s="305"/>
      <c r="AB451" s="305"/>
      <c r="AC451" s="2557"/>
    </row>
    <row r="452" spans="1:29" ht="23.1" customHeight="1">
      <c r="A452" s="411"/>
      <c r="B452" s="412"/>
      <c r="C452" s="1328"/>
      <c r="D452" s="508"/>
      <c r="E452" s="510" t="s">
        <v>5500</v>
      </c>
      <c r="F452" s="2723">
        <f t="shared" ref="F452:F457" si="158">Y452</f>
        <v>2500</v>
      </c>
      <c r="G452" s="1699">
        <v>500</v>
      </c>
      <c r="H452" s="700">
        <f t="shared" ref="H452:H457" si="159">F452-G452</f>
        <v>2000</v>
      </c>
      <c r="I452" s="1118"/>
      <c r="J452" s="514" t="s">
        <v>5642</v>
      </c>
      <c r="K452" s="516"/>
      <c r="L452" s="2880"/>
      <c r="M452" s="2880"/>
      <c r="N452" s="2880"/>
      <c r="O452" s="2880"/>
      <c r="P452" s="2880"/>
      <c r="Q452" s="727"/>
      <c r="R452" s="2887"/>
      <c r="S452" s="1686">
        <v>2500000</v>
      </c>
      <c r="T452" s="516" t="s">
        <v>0</v>
      </c>
      <c r="U452" s="516"/>
      <c r="V452" s="516">
        <v>1</v>
      </c>
      <c r="W452" s="516" t="s">
        <v>5457</v>
      </c>
      <c r="X452" s="516" t="s">
        <v>5456</v>
      </c>
      <c r="Y452" s="636">
        <f t="shared" si="153"/>
        <v>2500</v>
      </c>
      <c r="Z452" s="1265">
        <f t="shared" ref="Z452" si="160">S452*V452</f>
        <v>2500000</v>
      </c>
      <c r="AA452" s="305"/>
      <c r="AB452" s="305"/>
      <c r="AC452" s="166"/>
    </row>
    <row r="453" spans="1:29" ht="23.1" customHeight="1">
      <c r="A453" s="411"/>
      <c r="B453" s="412"/>
      <c r="C453" s="1328"/>
      <c r="D453" s="620"/>
      <c r="E453" s="510" t="s">
        <v>5655</v>
      </c>
      <c r="F453" s="2723">
        <f t="shared" si="158"/>
        <v>3200</v>
      </c>
      <c r="G453" s="1186">
        <v>5200</v>
      </c>
      <c r="H453" s="700">
        <f>F453-G453</f>
        <v>-2000</v>
      </c>
      <c r="I453" s="1118"/>
      <c r="J453" s="514" t="s">
        <v>5453</v>
      </c>
      <c r="K453" s="2880"/>
      <c r="L453" s="2880"/>
      <c r="M453" s="2880"/>
      <c r="N453" s="2880"/>
      <c r="O453" s="2880"/>
      <c r="P453" s="2880"/>
      <c r="Q453" s="727"/>
      <c r="R453" s="2887"/>
      <c r="S453" s="1686"/>
      <c r="T453" s="516"/>
      <c r="U453" s="516"/>
      <c r="V453" s="516"/>
      <c r="W453" s="516"/>
      <c r="X453" s="516"/>
      <c r="Y453" s="636">
        <f t="shared" ref="Y453:Y456" si="161">(Z453)/1000</f>
        <v>3200</v>
      </c>
      <c r="Z453" s="1265">
        <f>Z454+Z455+Z456</f>
        <v>3200000</v>
      </c>
      <c r="AA453" s="305"/>
      <c r="AB453" s="305"/>
      <c r="AC453" s="2557"/>
    </row>
    <row r="454" spans="1:29" ht="23.1" customHeight="1">
      <c r="A454" s="411"/>
      <c r="B454" s="412"/>
      <c r="C454" s="1328"/>
      <c r="D454" s="620"/>
      <c r="E454" s="510"/>
      <c r="F454" s="1185"/>
      <c r="G454" s="1186"/>
      <c r="H454" s="700"/>
      <c r="I454" s="1118"/>
      <c r="J454" s="514" t="s">
        <v>5639</v>
      </c>
      <c r="K454" s="2880"/>
      <c r="L454" s="2880"/>
      <c r="M454" s="2880"/>
      <c r="N454" s="2880"/>
      <c r="O454" s="2880"/>
      <c r="P454" s="2880"/>
      <c r="Q454" s="727"/>
      <c r="R454" s="2887"/>
      <c r="S454" s="1686">
        <v>1000000</v>
      </c>
      <c r="T454" s="516" t="s">
        <v>0</v>
      </c>
      <c r="U454" s="516"/>
      <c r="V454" s="516">
        <v>1</v>
      </c>
      <c r="W454" s="516" t="s">
        <v>5463</v>
      </c>
      <c r="X454" s="516" t="s">
        <v>5456</v>
      </c>
      <c r="Y454" s="636">
        <f t="shared" si="161"/>
        <v>1000</v>
      </c>
      <c r="Z454" s="1265">
        <f t="shared" ref="Z454:Z456" si="162">S454*V454</f>
        <v>1000000</v>
      </c>
      <c r="AA454" s="305"/>
      <c r="AB454" s="305"/>
      <c r="AC454" s="2557"/>
    </row>
    <row r="455" spans="1:29" ht="23.1" customHeight="1">
      <c r="A455" s="411"/>
      <c r="B455" s="412"/>
      <c r="C455" s="1328"/>
      <c r="D455" s="620"/>
      <c r="E455" s="510"/>
      <c r="F455" s="1185"/>
      <c r="G455" s="1186"/>
      <c r="H455" s="700"/>
      <c r="I455" s="1118"/>
      <c r="J455" s="514" t="s">
        <v>5640</v>
      </c>
      <c r="K455" s="2880"/>
      <c r="L455" s="2880"/>
      <c r="M455" s="2880"/>
      <c r="N455" s="2880"/>
      <c r="O455" s="2880"/>
      <c r="P455" s="2880"/>
      <c r="Q455" s="727"/>
      <c r="R455" s="2887"/>
      <c r="S455" s="1686">
        <v>1000000</v>
      </c>
      <c r="T455" s="516" t="s">
        <v>0</v>
      </c>
      <c r="U455" s="516"/>
      <c r="V455" s="516">
        <v>1</v>
      </c>
      <c r="W455" s="516" t="s">
        <v>5463</v>
      </c>
      <c r="X455" s="516" t="s">
        <v>5456</v>
      </c>
      <c r="Y455" s="636">
        <f t="shared" si="161"/>
        <v>1000</v>
      </c>
      <c r="Z455" s="1265">
        <f t="shared" si="162"/>
        <v>1000000</v>
      </c>
      <c r="AA455" s="305"/>
      <c r="AB455" s="305"/>
      <c r="AC455" s="2557"/>
    </row>
    <row r="456" spans="1:29" ht="23.1" customHeight="1">
      <c r="A456" s="411"/>
      <c r="B456" s="412"/>
      <c r="C456" s="1328"/>
      <c r="D456" s="620"/>
      <c r="E456" s="510"/>
      <c r="F456" s="1185"/>
      <c r="G456" s="1186"/>
      <c r="H456" s="700"/>
      <c r="I456" s="1118"/>
      <c r="J456" s="514" t="s">
        <v>5641</v>
      </c>
      <c r="K456" s="2880"/>
      <c r="L456" s="2880"/>
      <c r="M456" s="2880"/>
      <c r="N456" s="2880"/>
      <c r="O456" s="2880"/>
      <c r="P456" s="2880"/>
      <c r="Q456" s="727"/>
      <c r="R456" s="2887"/>
      <c r="S456" s="1686">
        <v>1200000</v>
      </c>
      <c r="T456" s="516" t="s">
        <v>0</v>
      </c>
      <c r="U456" s="516"/>
      <c r="V456" s="516">
        <v>1</v>
      </c>
      <c r="W456" s="516" t="s">
        <v>5463</v>
      </c>
      <c r="X456" s="516" t="s">
        <v>5456</v>
      </c>
      <c r="Y456" s="636">
        <f t="shared" si="161"/>
        <v>1200</v>
      </c>
      <c r="Z456" s="1265">
        <f t="shared" si="162"/>
        <v>1200000</v>
      </c>
      <c r="AA456" s="305"/>
      <c r="AB456" s="305"/>
      <c r="AC456" s="2557"/>
    </row>
    <row r="457" spans="1:29" ht="23.1" customHeight="1">
      <c r="A457" s="396"/>
      <c r="B457" s="2941"/>
      <c r="C457" s="397"/>
      <c r="D457" s="508"/>
      <c r="E457" s="888" t="s">
        <v>5502</v>
      </c>
      <c r="F457" s="2723">
        <f t="shared" si="158"/>
        <v>40000</v>
      </c>
      <c r="G457" s="1186">
        <v>60000</v>
      </c>
      <c r="H457" s="700">
        <f t="shared" si="159"/>
        <v>-20000</v>
      </c>
      <c r="I457" s="1118"/>
      <c r="J457" s="514" t="s">
        <v>5453</v>
      </c>
      <c r="K457" s="2880"/>
      <c r="L457" s="2880"/>
      <c r="M457" s="2880"/>
      <c r="N457" s="2880"/>
      <c r="O457" s="2880"/>
      <c r="P457" s="2880"/>
      <c r="Q457" s="727"/>
      <c r="R457" s="2887"/>
      <c r="S457" s="1686"/>
      <c r="T457" s="516"/>
      <c r="U457" s="516"/>
      <c r="V457" s="516"/>
      <c r="W457" s="516"/>
      <c r="X457" s="516"/>
      <c r="Y457" s="636">
        <f t="shared" si="153"/>
        <v>40000</v>
      </c>
      <c r="Z457" s="1265">
        <f>SUM(Z458:Z459)</f>
        <v>40000000</v>
      </c>
      <c r="AA457" s="305"/>
      <c r="AB457" s="305"/>
      <c r="AC457" s="166"/>
    </row>
    <row r="458" spans="1:29" ht="23.1" customHeight="1">
      <c r="A458" s="396"/>
      <c r="B458" s="2941"/>
      <c r="C458" s="397"/>
      <c r="D458" s="508"/>
      <c r="E458" s="888"/>
      <c r="F458" s="1185"/>
      <c r="G458" s="1186"/>
      <c r="H458" s="700"/>
      <c r="I458" s="1118"/>
      <c r="J458" s="514" t="s">
        <v>5643</v>
      </c>
      <c r="K458" s="2880"/>
      <c r="L458" s="2880"/>
      <c r="M458" s="2880"/>
      <c r="N458" s="2880"/>
      <c r="O458" s="2880"/>
      <c r="P458" s="2880"/>
      <c r="Q458" s="727"/>
      <c r="R458" s="2887"/>
      <c r="S458" s="1686">
        <v>2000000</v>
      </c>
      <c r="T458" s="516" t="s">
        <v>0</v>
      </c>
      <c r="U458" s="516"/>
      <c r="V458" s="516">
        <v>15</v>
      </c>
      <c r="W458" s="516" t="s">
        <v>5572</v>
      </c>
      <c r="X458" s="516" t="s">
        <v>5456</v>
      </c>
      <c r="Y458" s="636">
        <f t="shared" si="153"/>
        <v>30000</v>
      </c>
      <c r="Z458" s="1265">
        <f t="shared" ref="Z458:Z459" si="163">S458*V458</f>
        <v>30000000</v>
      </c>
      <c r="AA458" s="305"/>
      <c r="AB458" s="305"/>
      <c r="AC458" s="166"/>
    </row>
    <row r="459" spans="1:29" ht="23.1" customHeight="1">
      <c r="A459" s="396"/>
      <c r="B459" s="2941"/>
      <c r="C459" s="397"/>
      <c r="D459" s="508"/>
      <c r="E459" s="888"/>
      <c r="F459" s="1185"/>
      <c r="G459" s="1186"/>
      <c r="H459" s="700"/>
      <c r="I459" s="1118"/>
      <c r="J459" s="514" t="s">
        <v>5644</v>
      </c>
      <c r="K459" s="2880"/>
      <c r="L459" s="2880"/>
      <c r="M459" s="2880"/>
      <c r="N459" s="2880"/>
      <c r="O459" s="2880"/>
      <c r="P459" s="2880"/>
      <c r="Q459" s="727"/>
      <c r="R459" s="2887"/>
      <c r="S459" s="1686">
        <v>1000000</v>
      </c>
      <c r="T459" s="516" t="s">
        <v>0</v>
      </c>
      <c r="U459" s="516"/>
      <c r="V459" s="516">
        <v>10</v>
      </c>
      <c r="W459" s="516" t="s">
        <v>5572</v>
      </c>
      <c r="X459" s="516" t="s">
        <v>5456</v>
      </c>
      <c r="Y459" s="636">
        <f t="shared" si="153"/>
        <v>10000</v>
      </c>
      <c r="Z459" s="1265">
        <f t="shared" si="163"/>
        <v>10000000</v>
      </c>
      <c r="AA459" s="305"/>
      <c r="AB459" s="305"/>
      <c r="AC459" s="166"/>
    </row>
    <row r="460" spans="1:29" ht="23.1" customHeight="1">
      <c r="A460" s="396"/>
      <c r="B460" s="2941"/>
      <c r="C460" s="397"/>
      <c r="D460" s="620"/>
      <c r="E460" s="510" t="s">
        <v>5503</v>
      </c>
      <c r="F460" s="2723">
        <f t="shared" ref="F460" si="164">Y460</f>
        <v>11000</v>
      </c>
      <c r="G460" s="1699">
        <v>19250</v>
      </c>
      <c r="H460" s="700">
        <f>F460-G460</f>
        <v>-8250</v>
      </c>
      <c r="I460" s="1118"/>
      <c r="J460" s="514" t="s">
        <v>5453</v>
      </c>
      <c r="K460" s="516"/>
      <c r="L460" s="2880"/>
      <c r="M460" s="2880"/>
      <c r="N460" s="2880"/>
      <c r="O460" s="2880"/>
      <c r="P460" s="2880"/>
      <c r="Q460" s="727"/>
      <c r="R460" s="2887"/>
      <c r="S460" s="1686"/>
      <c r="T460" s="516"/>
      <c r="U460" s="516"/>
      <c r="V460" s="516"/>
      <c r="W460" s="516"/>
      <c r="X460" s="516"/>
      <c r="Y460" s="636">
        <f t="shared" si="153"/>
        <v>11000</v>
      </c>
      <c r="Z460" s="1265">
        <f>Z461+Z462+Z463+Z464+Z465+Z466</f>
        <v>11000000</v>
      </c>
      <c r="AA460" s="305"/>
      <c r="AB460" s="305"/>
      <c r="AC460" s="166"/>
    </row>
    <row r="461" spans="1:29" ht="23.1" customHeight="1">
      <c r="A461" s="396"/>
      <c r="B461" s="2941"/>
      <c r="C461" s="397"/>
      <c r="D461" s="620"/>
      <c r="E461" s="510"/>
      <c r="F461" s="1185"/>
      <c r="G461" s="1699"/>
      <c r="H461" s="700"/>
      <c r="I461" s="1118"/>
      <c r="J461" s="514" t="s">
        <v>5645</v>
      </c>
      <c r="K461" s="516"/>
      <c r="L461" s="2880"/>
      <c r="M461" s="2880"/>
      <c r="N461" s="2880"/>
      <c r="O461" s="2880"/>
      <c r="P461" s="2880"/>
      <c r="Q461" s="727"/>
      <c r="R461" s="2887"/>
      <c r="S461" s="1686">
        <v>500000</v>
      </c>
      <c r="T461" s="516" t="s">
        <v>0</v>
      </c>
      <c r="U461" s="516"/>
      <c r="V461" s="516">
        <v>1</v>
      </c>
      <c r="W461" s="516" t="s">
        <v>5457</v>
      </c>
      <c r="X461" s="516" t="s">
        <v>5456</v>
      </c>
      <c r="Y461" s="636">
        <f t="shared" si="153"/>
        <v>500</v>
      </c>
      <c r="Z461" s="1265">
        <f t="shared" ref="Z461:Z466" si="165">S461*V461</f>
        <v>500000</v>
      </c>
      <c r="AA461" s="305"/>
      <c r="AB461" s="305"/>
      <c r="AC461" s="166"/>
    </row>
    <row r="462" spans="1:29" ht="23.1" customHeight="1">
      <c r="A462" s="396"/>
      <c r="B462" s="2941"/>
      <c r="C462" s="397"/>
      <c r="D462" s="620"/>
      <c r="E462" s="510"/>
      <c r="F462" s="1185"/>
      <c r="G462" s="1699"/>
      <c r="H462" s="700"/>
      <c r="I462" s="1118"/>
      <c r="J462" s="514" t="s">
        <v>5646</v>
      </c>
      <c r="K462" s="516"/>
      <c r="L462" s="2880"/>
      <c r="M462" s="2880"/>
      <c r="N462" s="2880"/>
      <c r="O462" s="2880"/>
      <c r="P462" s="2880"/>
      <c r="Q462" s="727"/>
      <c r="R462" s="2887"/>
      <c r="S462" s="1686">
        <v>5000000</v>
      </c>
      <c r="T462" s="516" t="s">
        <v>0</v>
      </c>
      <c r="U462" s="516"/>
      <c r="V462" s="516">
        <v>1</v>
      </c>
      <c r="W462" s="516" t="s">
        <v>5457</v>
      </c>
      <c r="X462" s="516" t="s">
        <v>5456</v>
      </c>
      <c r="Y462" s="636">
        <f t="shared" si="153"/>
        <v>5000</v>
      </c>
      <c r="Z462" s="1265">
        <f t="shared" si="165"/>
        <v>5000000</v>
      </c>
      <c r="AA462" s="305"/>
      <c r="AB462" s="305"/>
      <c r="AC462" s="2557"/>
    </row>
    <row r="463" spans="1:29" ht="23.1" customHeight="1">
      <c r="A463" s="396"/>
      <c r="B463" s="2941"/>
      <c r="C463" s="397"/>
      <c r="D463" s="620"/>
      <c r="E463" s="510"/>
      <c r="F463" s="1185"/>
      <c r="G463" s="1699"/>
      <c r="H463" s="700"/>
      <c r="I463" s="1118"/>
      <c r="J463" s="514" t="s">
        <v>5647</v>
      </c>
      <c r="K463" s="516"/>
      <c r="L463" s="2880"/>
      <c r="M463" s="2880"/>
      <c r="N463" s="2880"/>
      <c r="O463" s="2880"/>
      <c r="P463" s="2880"/>
      <c r="Q463" s="727"/>
      <c r="R463" s="2887"/>
      <c r="S463" s="1686">
        <v>1500000</v>
      </c>
      <c r="T463" s="516" t="s">
        <v>0</v>
      </c>
      <c r="U463" s="516"/>
      <c r="V463" s="516">
        <v>1</v>
      </c>
      <c r="W463" s="516" t="s">
        <v>5457</v>
      </c>
      <c r="X463" s="516" t="s">
        <v>5456</v>
      </c>
      <c r="Y463" s="636">
        <f t="shared" si="153"/>
        <v>1500</v>
      </c>
      <c r="Z463" s="1265">
        <f t="shared" si="165"/>
        <v>1500000</v>
      </c>
      <c r="AA463" s="305"/>
      <c r="AB463" s="305"/>
      <c r="AC463" s="2557"/>
    </row>
    <row r="464" spans="1:29" s="1669" customFormat="1" ht="23.1" customHeight="1">
      <c r="A464" s="396"/>
      <c r="B464" s="2941"/>
      <c r="C464" s="397"/>
      <c r="D464" s="620"/>
      <c r="E464" s="510"/>
      <c r="F464" s="1185"/>
      <c r="G464" s="1699"/>
      <c r="H464" s="700"/>
      <c r="I464" s="1118"/>
      <c r="J464" s="514" t="s">
        <v>5648</v>
      </c>
      <c r="K464" s="516"/>
      <c r="L464" s="2880"/>
      <c r="M464" s="2880"/>
      <c r="N464" s="2880"/>
      <c r="O464" s="2880"/>
      <c r="P464" s="2880"/>
      <c r="Q464" s="727"/>
      <c r="R464" s="2887"/>
      <c r="S464" s="1686">
        <v>1500000</v>
      </c>
      <c r="T464" s="516" t="s">
        <v>0</v>
      </c>
      <c r="U464" s="516"/>
      <c r="V464" s="516">
        <v>1</v>
      </c>
      <c r="W464" s="516" t="s">
        <v>5463</v>
      </c>
      <c r="X464" s="516" t="s">
        <v>5456</v>
      </c>
      <c r="Y464" s="636">
        <f t="shared" si="153"/>
        <v>1500</v>
      </c>
      <c r="Z464" s="1265">
        <f t="shared" si="165"/>
        <v>1500000</v>
      </c>
      <c r="AA464" s="305"/>
      <c r="AB464" s="305"/>
      <c r="AC464" s="166"/>
    </row>
    <row r="465" spans="1:29" s="1669" customFormat="1" ht="23.1" customHeight="1">
      <c r="A465" s="396"/>
      <c r="B465" s="2941"/>
      <c r="C465" s="397"/>
      <c r="D465" s="620"/>
      <c r="E465" s="510"/>
      <c r="F465" s="1185"/>
      <c r="G465" s="1699"/>
      <c r="H465" s="700"/>
      <c r="I465" s="1118"/>
      <c r="J465" s="514" t="s">
        <v>5649</v>
      </c>
      <c r="K465" s="516"/>
      <c r="L465" s="2922"/>
      <c r="M465" s="2922"/>
      <c r="N465" s="2922"/>
      <c r="O465" s="2922"/>
      <c r="P465" s="2922"/>
      <c r="Q465" s="727"/>
      <c r="R465" s="2926"/>
      <c r="S465" s="1686">
        <v>100000</v>
      </c>
      <c r="T465" s="516" t="s">
        <v>0</v>
      </c>
      <c r="U465" s="516"/>
      <c r="V465" s="516">
        <v>15</v>
      </c>
      <c r="W465" s="516" t="s">
        <v>5457</v>
      </c>
      <c r="X465" s="516" t="s">
        <v>5456</v>
      </c>
      <c r="Y465" s="636">
        <f t="shared" si="153"/>
        <v>1500</v>
      </c>
      <c r="Z465" s="1265">
        <f t="shared" si="165"/>
        <v>1500000</v>
      </c>
      <c r="AA465" s="305"/>
      <c r="AB465" s="305"/>
      <c r="AC465" s="166"/>
    </row>
    <row r="466" spans="1:29" s="1669" customFormat="1" ht="23.1" customHeight="1">
      <c r="A466" s="396"/>
      <c r="B466" s="2941"/>
      <c r="C466" s="397"/>
      <c r="D466" s="620"/>
      <c r="E466" s="510"/>
      <c r="F466" s="1185"/>
      <c r="G466" s="1699"/>
      <c r="H466" s="700"/>
      <c r="I466" s="1118"/>
      <c r="J466" s="514" t="s">
        <v>5650</v>
      </c>
      <c r="K466" s="516"/>
      <c r="L466" s="2922"/>
      <c r="M466" s="2922"/>
      <c r="N466" s="2922"/>
      <c r="O466" s="2922"/>
      <c r="P466" s="2922"/>
      <c r="Q466" s="727"/>
      <c r="R466" s="2926"/>
      <c r="S466" s="1686">
        <v>1000000</v>
      </c>
      <c r="T466" s="516" t="s">
        <v>0</v>
      </c>
      <c r="U466" s="516"/>
      <c r="V466" s="516">
        <v>1</v>
      </c>
      <c r="W466" s="516" t="s">
        <v>5463</v>
      </c>
      <c r="X466" s="516" t="s">
        <v>5456</v>
      </c>
      <c r="Y466" s="636">
        <f t="shared" si="153"/>
        <v>1000</v>
      </c>
      <c r="Z466" s="1265">
        <f t="shared" si="165"/>
        <v>1000000</v>
      </c>
      <c r="AA466" s="305"/>
      <c r="AB466" s="305"/>
      <c r="AC466" s="166"/>
    </row>
    <row r="467" spans="1:29" s="1669" customFormat="1" ht="23.1" customHeight="1">
      <c r="A467" s="396"/>
      <c r="B467" s="2941"/>
      <c r="C467" s="397"/>
      <c r="D467" s="620"/>
      <c r="E467" s="510" t="s">
        <v>5504</v>
      </c>
      <c r="F467" s="2723">
        <f t="shared" ref="F467" si="166">Y467</f>
        <v>1500</v>
      </c>
      <c r="G467" s="1699">
        <v>1500</v>
      </c>
      <c r="H467" s="700"/>
      <c r="I467" s="1118"/>
      <c r="J467" s="514" t="s">
        <v>5651</v>
      </c>
      <c r="K467" s="2922"/>
      <c r="L467" s="2922"/>
      <c r="M467" s="2922"/>
      <c r="N467" s="2922"/>
      <c r="O467" s="2922"/>
      <c r="P467" s="2922"/>
      <c r="Q467" s="727">
        <v>5</v>
      </c>
      <c r="R467" s="2926" t="s">
        <v>5462</v>
      </c>
      <c r="S467" s="1686">
        <v>10000</v>
      </c>
      <c r="T467" s="516" t="s">
        <v>0</v>
      </c>
      <c r="U467" s="516"/>
      <c r="V467" s="516">
        <v>30</v>
      </c>
      <c r="W467" s="516" t="s">
        <v>3</v>
      </c>
      <c r="X467" s="516" t="s">
        <v>5456</v>
      </c>
      <c r="Y467" s="636">
        <f t="shared" si="153"/>
        <v>1500</v>
      </c>
      <c r="Z467" s="1265">
        <f>Q467*S467*V467</f>
        <v>1500000</v>
      </c>
      <c r="AA467" s="305"/>
      <c r="AB467" s="305"/>
      <c r="AC467" s="166"/>
    </row>
    <row r="468" spans="1:29" s="1669" customFormat="1" ht="23.1" customHeight="1">
      <c r="A468" s="396"/>
      <c r="B468" s="2941"/>
      <c r="C468" s="397"/>
      <c r="D468" s="3275" t="s">
        <v>1889</v>
      </c>
      <c r="E468" s="3276"/>
      <c r="F468" s="382">
        <f>SUM(F469:F477)</f>
        <v>100000</v>
      </c>
      <c r="G468" s="382">
        <f>SUM(G469:G477)</f>
        <v>100000</v>
      </c>
      <c r="H468" s="468">
        <f>F468-G468</f>
        <v>0</v>
      </c>
      <c r="I468" s="2559"/>
      <c r="J468" s="394"/>
      <c r="K468" s="2921"/>
      <c r="L468" s="2921"/>
      <c r="M468" s="2921"/>
      <c r="N468" s="2921"/>
      <c r="O468" s="2921"/>
      <c r="P468" s="2921"/>
      <c r="Q468" s="2921"/>
      <c r="R468" s="395"/>
      <c r="S468" s="2921"/>
      <c r="T468" s="2921"/>
      <c r="U468" s="2921"/>
      <c r="V468" s="2921"/>
      <c r="W468" s="2921"/>
      <c r="X468" s="2921"/>
      <c r="Y468" s="443"/>
      <c r="Z468" s="1833">
        <f>+Z469+Z470+Z471+Z475+Z476+Z477</f>
        <v>100000000</v>
      </c>
      <c r="AA468" s="305"/>
      <c r="AB468" s="305"/>
      <c r="AC468" s="166"/>
    </row>
    <row r="469" spans="1:29" s="1669" customFormat="1" ht="23.1" customHeight="1">
      <c r="A469" s="396"/>
      <c r="B469" s="2941"/>
      <c r="C469" s="397"/>
      <c r="D469" s="465"/>
      <c r="E469" s="1134" t="s">
        <v>51</v>
      </c>
      <c r="F469" s="472">
        <f>Y469</f>
        <v>1800</v>
      </c>
      <c r="G469" s="1311">
        <v>1800</v>
      </c>
      <c r="H469" s="404"/>
      <c r="I469" s="2938"/>
      <c r="J469" s="2939" t="s">
        <v>1888</v>
      </c>
      <c r="K469" s="2940"/>
      <c r="L469" s="2938"/>
      <c r="M469" s="2938"/>
      <c r="N469" s="2938"/>
      <c r="O469" s="2938"/>
      <c r="P469" s="2938"/>
      <c r="Q469" s="408"/>
      <c r="R469" s="2931"/>
      <c r="S469" s="1672">
        <v>1800000</v>
      </c>
      <c r="T469" s="2940" t="s">
        <v>1763</v>
      </c>
      <c r="U469" s="2940"/>
      <c r="V469" s="2940">
        <v>1</v>
      </c>
      <c r="W469" s="2940" t="s">
        <v>1770</v>
      </c>
      <c r="X469" s="2940" t="s">
        <v>1765</v>
      </c>
      <c r="Y469" s="1674">
        <f t="shared" ref="Y469:Y477" si="167">(Z469)/1000</f>
        <v>1800</v>
      </c>
      <c r="Z469" s="1823">
        <f>S469*V469</f>
        <v>1800000</v>
      </c>
      <c r="AA469" s="305"/>
      <c r="AB469" s="305"/>
      <c r="AC469" s="166"/>
    </row>
    <row r="470" spans="1:29" s="1669" customFormat="1" ht="23.1" customHeight="1">
      <c r="A470" s="396"/>
      <c r="B470" s="2941"/>
      <c r="C470" s="397"/>
      <c r="D470" s="465"/>
      <c r="E470" s="1134" t="s">
        <v>1777</v>
      </c>
      <c r="F470" s="383">
        <f>Y470</f>
        <v>400</v>
      </c>
      <c r="G470" s="1116">
        <v>400</v>
      </c>
      <c r="H470" s="404"/>
      <c r="I470" s="2559"/>
      <c r="J470" s="2939" t="s">
        <v>1862</v>
      </c>
      <c r="K470" s="2938"/>
      <c r="L470" s="2938"/>
      <c r="M470" s="2938"/>
      <c r="N470" s="2938"/>
      <c r="O470" s="408"/>
      <c r="P470" s="2931"/>
      <c r="Q470" s="408">
        <v>2</v>
      </c>
      <c r="R470" s="2931" t="s">
        <v>1773</v>
      </c>
      <c r="S470" s="1672">
        <v>20000</v>
      </c>
      <c r="T470" s="2940" t="s">
        <v>0</v>
      </c>
      <c r="U470" s="2940"/>
      <c r="V470" s="2940">
        <v>10</v>
      </c>
      <c r="W470" s="2940" t="s">
        <v>1764</v>
      </c>
      <c r="X470" s="2940" t="s">
        <v>1765</v>
      </c>
      <c r="Y470" s="1674">
        <f t="shared" si="167"/>
        <v>400</v>
      </c>
      <c r="Z470" s="1823">
        <f>Q470*S470*V470</f>
        <v>400000</v>
      </c>
      <c r="AA470" s="305"/>
      <c r="AB470" s="305"/>
      <c r="AC470" s="166"/>
    </row>
    <row r="471" spans="1:29" s="1669" customFormat="1" ht="23.1" customHeight="1">
      <c r="A471" s="396"/>
      <c r="B471" s="2941"/>
      <c r="C471" s="397"/>
      <c r="D471" s="465"/>
      <c r="E471" s="1134" t="s">
        <v>1780</v>
      </c>
      <c r="F471" s="383">
        <f>Y471</f>
        <v>6300</v>
      </c>
      <c r="G471" s="1116">
        <v>6300</v>
      </c>
      <c r="H471" s="404"/>
      <c r="I471" s="2559"/>
      <c r="J471" s="2939" t="s">
        <v>1767</v>
      </c>
      <c r="K471" s="2938"/>
      <c r="L471" s="2938"/>
      <c r="M471" s="2938"/>
      <c r="N471" s="2938"/>
      <c r="O471" s="2938"/>
      <c r="P471" s="2938"/>
      <c r="Q471" s="408"/>
      <c r="R471" s="2931"/>
      <c r="S471" s="1672"/>
      <c r="T471" s="2940"/>
      <c r="U471" s="2940"/>
      <c r="V471" s="2940"/>
      <c r="W471" s="2940"/>
      <c r="X471" s="2940"/>
      <c r="Y471" s="1674">
        <f t="shared" si="167"/>
        <v>6300</v>
      </c>
      <c r="Z471" s="1823">
        <f>SUM(Z472:Z474)</f>
        <v>6300000</v>
      </c>
      <c r="AA471" s="305"/>
      <c r="AB471" s="305"/>
      <c r="AC471" s="166"/>
    </row>
    <row r="472" spans="1:29" s="1669" customFormat="1" ht="23.1" customHeight="1">
      <c r="A472" s="396"/>
      <c r="B472" s="2941"/>
      <c r="C472" s="397"/>
      <c r="D472" s="402"/>
      <c r="E472" s="1134"/>
      <c r="F472" s="383"/>
      <c r="G472" s="1116"/>
      <c r="H472" s="404"/>
      <c r="I472" s="2559"/>
      <c r="J472" s="2939" t="s">
        <v>1890</v>
      </c>
      <c r="K472" s="2938"/>
      <c r="L472" s="2938"/>
      <c r="M472" s="2938"/>
      <c r="N472" s="2938"/>
      <c r="O472" s="2938"/>
      <c r="P472" s="2938"/>
      <c r="Q472" s="408">
        <v>3</v>
      </c>
      <c r="R472" s="2931" t="s">
        <v>1773</v>
      </c>
      <c r="S472" s="1672">
        <v>200000</v>
      </c>
      <c r="T472" s="2940" t="s">
        <v>0</v>
      </c>
      <c r="U472" s="2940"/>
      <c r="V472" s="2940">
        <v>3</v>
      </c>
      <c r="W472" s="2940" t="s">
        <v>1764</v>
      </c>
      <c r="X472" s="2940" t="s">
        <v>1765</v>
      </c>
      <c r="Y472" s="1674">
        <f t="shared" si="167"/>
        <v>1800</v>
      </c>
      <c r="Z472" s="1823">
        <f>Q472*S472*V472</f>
        <v>1800000</v>
      </c>
      <c r="AA472" s="305"/>
      <c r="AB472" s="305"/>
      <c r="AC472" s="166"/>
    </row>
    <row r="473" spans="1:29" s="1669" customFormat="1" ht="23.1" customHeight="1">
      <c r="A473" s="396"/>
      <c r="B473" s="2941"/>
      <c r="C473" s="397"/>
      <c r="D473" s="402"/>
      <c r="E473" s="1134"/>
      <c r="F473" s="383"/>
      <c r="G473" s="1116"/>
      <c r="H473" s="404"/>
      <c r="I473" s="2559"/>
      <c r="J473" s="2939" t="s">
        <v>1891</v>
      </c>
      <c r="K473" s="2938"/>
      <c r="L473" s="2938"/>
      <c r="M473" s="2938"/>
      <c r="N473" s="2938"/>
      <c r="O473" s="2938"/>
      <c r="P473" s="2938"/>
      <c r="Q473" s="408">
        <v>6</v>
      </c>
      <c r="R473" s="2931" t="s">
        <v>1773</v>
      </c>
      <c r="S473" s="1672">
        <v>250000</v>
      </c>
      <c r="T473" s="2940" t="s">
        <v>0</v>
      </c>
      <c r="U473" s="2940"/>
      <c r="V473" s="2940">
        <v>2</v>
      </c>
      <c r="W473" s="2940" t="s">
        <v>1764</v>
      </c>
      <c r="X473" s="2940" t="s">
        <v>1765</v>
      </c>
      <c r="Y473" s="1674">
        <f t="shared" si="167"/>
        <v>3000</v>
      </c>
      <c r="Z473" s="1823">
        <f>Q473*S473*V473</f>
        <v>3000000</v>
      </c>
      <c r="AA473" s="305"/>
      <c r="AB473" s="305"/>
      <c r="AC473" s="166"/>
    </row>
    <row r="474" spans="1:29" s="1669" customFormat="1" ht="23.1" customHeight="1">
      <c r="A474" s="396"/>
      <c r="B474" s="2941"/>
      <c r="C474" s="397"/>
      <c r="D474" s="402"/>
      <c r="E474" s="1134"/>
      <c r="F474" s="383"/>
      <c r="G474" s="1116"/>
      <c r="H474" s="404"/>
      <c r="I474" s="2559"/>
      <c r="J474" s="2939" t="s">
        <v>1892</v>
      </c>
      <c r="K474" s="2938"/>
      <c r="L474" s="2938"/>
      <c r="M474" s="2938"/>
      <c r="N474" s="2938"/>
      <c r="O474" s="2938"/>
      <c r="P474" s="2938"/>
      <c r="Q474" s="408">
        <v>1</v>
      </c>
      <c r="R474" s="2931" t="s">
        <v>1773</v>
      </c>
      <c r="S474" s="1672">
        <v>300000</v>
      </c>
      <c r="T474" s="2940" t="s">
        <v>0</v>
      </c>
      <c r="U474" s="2940"/>
      <c r="V474" s="2940">
        <v>5</v>
      </c>
      <c r="W474" s="2940" t="s">
        <v>1764</v>
      </c>
      <c r="X474" s="2940" t="s">
        <v>1765</v>
      </c>
      <c r="Y474" s="1674">
        <f t="shared" si="167"/>
        <v>1500</v>
      </c>
      <c r="Z474" s="1823">
        <f>Q474*S474*V474</f>
        <v>1500000</v>
      </c>
      <c r="AA474" s="305"/>
      <c r="AB474" s="305"/>
      <c r="AC474" s="166"/>
    </row>
    <row r="475" spans="1:29" s="1669" customFormat="1" ht="23.1" customHeight="1">
      <c r="A475" s="396"/>
      <c r="B475" s="2941"/>
      <c r="C475" s="397"/>
      <c r="D475" s="402"/>
      <c r="E475" s="875" t="s">
        <v>1893</v>
      </c>
      <c r="F475" s="472">
        <f>Y475</f>
        <v>90000</v>
      </c>
      <c r="G475" s="472">
        <v>90000</v>
      </c>
      <c r="H475" s="404"/>
      <c r="I475" s="2559"/>
      <c r="J475" s="2939" t="s">
        <v>1894</v>
      </c>
      <c r="K475" s="2938"/>
      <c r="L475" s="2938"/>
      <c r="M475" s="2938"/>
      <c r="N475" s="2938"/>
      <c r="O475" s="2938"/>
      <c r="P475" s="2938"/>
      <c r="Q475" s="2938"/>
      <c r="R475" s="2982"/>
      <c r="S475" s="1672">
        <v>15000000</v>
      </c>
      <c r="T475" s="2940" t="s">
        <v>1763</v>
      </c>
      <c r="U475" s="2940"/>
      <c r="V475" s="2940">
        <v>6</v>
      </c>
      <c r="W475" s="2940" t="s">
        <v>1869</v>
      </c>
      <c r="X475" s="2940" t="s">
        <v>1765</v>
      </c>
      <c r="Y475" s="1674">
        <f t="shared" si="167"/>
        <v>90000</v>
      </c>
      <c r="Z475" s="1823">
        <f>S475*V475</f>
        <v>90000000</v>
      </c>
      <c r="AA475" s="305"/>
      <c r="AB475" s="305"/>
      <c r="AC475" s="166"/>
    </row>
    <row r="476" spans="1:29" s="1669" customFormat="1" ht="23.1" customHeight="1">
      <c r="A476" s="411"/>
      <c r="B476" s="412"/>
      <c r="C476" s="1328"/>
      <c r="D476" s="1154"/>
      <c r="E476" s="875" t="s">
        <v>1769</v>
      </c>
      <c r="F476" s="472">
        <f>Y476</f>
        <v>1000</v>
      </c>
      <c r="G476" s="472">
        <v>1000</v>
      </c>
      <c r="H476" s="404"/>
      <c r="I476" s="2559"/>
      <c r="J476" s="2939" t="s">
        <v>1895</v>
      </c>
      <c r="K476" s="2938"/>
      <c r="L476" s="2938"/>
      <c r="M476" s="2938"/>
      <c r="N476" s="2938"/>
      <c r="O476" s="2938"/>
      <c r="P476" s="2938"/>
      <c r="Q476" s="2938"/>
      <c r="R476" s="2982"/>
      <c r="S476" s="1672">
        <v>200000</v>
      </c>
      <c r="T476" s="2940" t="s">
        <v>1763</v>
      </c>
      <c r="U476" s="2940"/>
      <c r="V476" s="2940">
        <v>5</v>
      </c>
      <c r="W476" s="2940" t="s">
        <v>1764</v>
      </c>
      <c r="X476" s="2940" t="s">
        <v>1765</v>
      </c>
      <c r="Y476" s="1674">
        <f t="shared" si="167"/>
        <v>1000</v>
      </c>
      <c r="Z476" s="1823">
        <f>S476*V476</f>
        <v>1000000</v>
      </c>
      <c r="AA476" s="305"/>
      <c r="AB476" s="305"/>
      <c r="AC476" s="166"/>
    </row>
    <row r="477" spans="1:29" ht="23.1" customHeight="1">
      <c r="A477" s="411"/>
      <c r="B477" s="412"/>
      <c r="C477" s="1111"/>
      <c r="D477" s="1154"/>
      <c r="E477" s="1134" t="s">
        <v>1768</v>
      </c>
      <c r="F477" s="383">
        <f>Y477</f>
        <v>500</v>
      </c>
      <c r="G477" s="1311">
        <v>500</v>
      </c>
      <c r="H477" s="404"/>
      <c r="I477" s="2559"/>
      <c r="J477" s="2939" t="s">
        <v>1896</v>
      </c>
      <c r="K477" s="2938"/>
      <c r="L477" s="2938"/>
      <c r="M477" s="2938"/>
      <c r="N477" s="2938"/>
      <c r="O477" s="2938"/>
      <c r="P477" s="2938"/>
      <c r="Q477" s="408">
        <v>5</v>
      </c>
      <c r="R477" s="2931" t="s">
        <v>1773</v>
      </c>
      <c r="S477" s="1672">
        <v>10000</v>
      </c>
      <c r="T477" s="2940" t="s">
        <v>0</v>
      </c>
      <c r="U477" s="2940"/>
      <c r="V477" s="2940">
        <v>10</v>
      </c>
      <c r="W477" s="2940" t="s">
        <v>3</v>
      </c>
      <c r="X477" s="2940" t="s">
        <v>1765</v>
      </c>
      <c r="Y477" s="1674">
        <f t="shared" si="167"/>
        <v>500</v>
      </c>
      <c r="Z477" s="1823">
        <f>Q477*S477*V477</f>
        <v>500000</v>
      </c>
      <c r="AA477" s="305"/>
      <c r="AB477" s="305"/>
      <c r="AC477" s="166"/>
    </row>
    <row r="478" spans="1:29" ht="20.45" customHeight="1">
      <c r="A478" s="396"/>
      <c r="B478" s="2941"/>
      <c r="C478" s="3277" t="s">
        <v>1897</v>
      </c>
      <c r="D478" s="3271"/>
      <c r="E478" s="3272"/>
      <c r="F478" s="382">
        <f>+F479+F486+F501</f>
        <v>270000</v>
      </c>
      <c r="G478" s="382">
        <f>+G479+G486+G501</f>
        <v>270000</v>
      </c>
      <c r="H478" s="468">
        <f>F478-G478</f>
        <v>0</v>
      </c>
      <c r="I478" s="2559"/>
      <c r="J478" s="394"/>
      <c r="K478" s="2921"/>
      <c r="L478" s="2921"/>
      <c r="M478" s="2921"/>
      <c r="N478" s="2921"/>
      <c r="O478" s="2921"/>
      <c r="P478" s="2921"/>
      <c r="Q478" s="2921"/>
      <c r="R478" s="2921"/>
      <c r="S478" s="2921"/>
      <c r="T478" s="2921"/>
      <c r="U478" s="2921"/>
      <c r="V478" s="2921"/>
      <c r="W478" s="2921"/>
      <c r="X478" s="2921"/>
      <c r="Y478" s="443"/>
      <c r="Z478" s="1825" t="e">
        <f>+Z479+Z486+Z501</f>
        <v>#REF!</v>
      </c>
      <c r="AA478" s="305"/>
      <c r="AB478" s="305"/>
      <c r="AC478" s="166"/>
    </row>
    <row r="479" spans="1:29" s="1669" customFormat="1" ht="20.45" customHeight="1">
      <c r="A479" s="396"/>
      <c r="B479" s="2941"/>
      <c r="C479" s="397"/>
      <c r="D479" s="3275" t="s">
        <v>1898</v>
      </c>
      <c r="E479" s="3276"/>
      <c r="F479" s="382">
        <f>SUM(F480:F485)</f>
        <v>50000</v>
      </c>
      <c r="G479" s="382">
        <f>SUM(G480:G485)</f>
        <v>50000</v>
      </c>
      <c r="H479" s="468">
        <f>F479-G479</f>
        <v>0</v>
      </c>
      <c r="I479" s="2559"/>
      <c r="J479" s="394"/>
      <c r="K479" s="2921"/>
      <c r="L479" s="2921"/>
      <c r="M479" s="2921"/>
      <c r="N479" s="2921"/>
      <c r="O479" s="2921"/>
      <c r="P479" s="2921"/>
      <c r="Q479" s="2921"/>
      <c r="R479" s="395"/>
      <c r="S479" s="2921"/>
      <c r="T479" s="2921"/>
      <c r="U479" s="2921"/>
      <c r="V479" s="2921"/>
      <c r="W479" s="2921"/>
      <c r="X479" s="2921"/>
      <c r="Y479" s="443"/>
      <c r="Z479" s="1833">
        <f>SUM(Z480:Z485)</f>
        <v>50000000</v>
      </c>
      <c r="AA479" s="305"/>
      <c r="AB479" s="305"/>
      <c r="AC479" s="166"/>
    </row>
    <row r="480" spans="1:29" s="1669" customFormat="1" ht="20.45" customHeight="1">
      <c r="A480" s="396"/>
      <c r="B480" s="2941"/>
      <c r="C480" s="397"/>
      <c r="D480" s="402"/>
      <c r="E480" s="1134" t="s">
        <v>1776</v>
      </c>
      <c r="F480" s="383">
        <v>90</v>
      </c>
      <c r="G480" s="1311">
        <v>90</v>
      </c>
      <c r="H480" s="404"/>
      <c r="I480" s="2559"/>
      <c r="J480" s="2939" t="s">
        <v>5861</v>
      </c>
      <c r="K480" s="2940"/>
      <c r="L480" s="2938"/>
      <c r="M480" s="2938"/>
      <c r="N480" s="2938"/>
      <c r="O480" s="408"/>
      <c r="P480" s="2931"/>
      <c r="Q480" s="408" t="s">
        <v>19</v>
      </c>
      <c r="R480" s="2931" t="s">
        <v>19</v>
      </c>
      <c r="S480" s="1672">
        <v>90000</v>
      </c>
      <c r="T480" s="2940" t="s">
        <v>0</v>
      </c>
      <c r="U480" s="2940"/>
      <c r="V480" s="2940">
        <v>1</v>
      </c>
      <c r="W480" s="2940" t="s">
        <v>1770</v>
      </c>
      <c r="X480" s="2940" t="s">
        <v>1765</v>
      </c>
      <c r="Y480" s="1674">
        <f t="shared" ref="Y480:Y509" si="168">(Z480)/1000</f>
        <v>90</v>
      </c>
      <c r="Z480" s="1823">
        <f>+S480*V480</f>
        <v>90000</v>
      </c>
      <c r="AA480" s="305"/>
      <c r="AB480" s="305"/>
      <c r="AC480" s="166"/>
    </row>
    <row r="481" spans="1:29" s="1669" customFormat="1" ht="20.45" customHeight="1">
      <c r="A481" s="396"/>
      <c r="B481" s="2941"/>
      <c r="C481" s="397"/>
      <c r="D481" s="402"/>
      <c r="E481" s="1134" t="s">
        <v>1777</v>
      </c>
      <c r="F481" s="383">
        <v>960</v>
      </c>
      <c r="G481" s="1311">
        <v>960</v>
      </c>
      <c r="H481" s="404"/>
      <c r="I481" s="2559"/>
      <c r="J481" s="2939" t="s">
        <v>1862</v>
      </c>
      <c r="K481" s="2940"/>
      <c r="L481" s="2938"/>
      <c r="M481" s="2938"/>
      <c r="N481" s="2938"/>
      <c r="O481" s="408">
        <v>4</v>
      </c>
      <c r="P481" s="2931" t="s">
        <v>28</v>
      </c>
      <c r="Q481" s="408">
        <v>1</v>
      </c>
      <c r="R481" s="2931" t="s">
        <v>1773</v>
      </c>
      <c r="S481" s="1672">
        <v>20000</v>
      </c>
      <c r="T481" s="2940" t="s">
        <v>0</v>
      </c>
      <c r="U481" s="2940"/>
      <c r="V481" s="2940">
        <v>12</v>
      </c>
      <c r="W481" s="2940" t="s">
        <v>1779</v>
      </c>
      <c r="X481" s="2940" t="s">
        <v>1765</v>
      </c>
      <c r="Y481" s="1674">
        <f t="shared" si="168"/>
        <v>960</v>
      </c>
      <c r="Z481" s="1823">
        <f>+O481*Q481*S481*V481</f>
        <v>960000</v>
      </c>
      <c r="AA481" s="305"/>
      <c r="AB481" s="305"/>
      <c r="AC481" s="166"/>
    </row>
    <row r="482" spans="1:29" s="1669" customFormat="1" ht="20.45" customHeight="1">
      <c r="A482" s="411"/>
      <c r="B482" s="412"/>
      <c r="C482" s="1328"/>
      <c r="D482" s="1126"/>
      <c r="E482" s="389" t="s">
        <v>1780</v>
      </c>
      <c r="F482" s="383">
        <v>1500</v>
      </c>
      <c r="G482" s="1116">
        <v>1500</v>
      </c>
      <c r="H482" s="404"/>
      <c r="I482" s="2559"/>
      <c r="J482" s="2939" t="s">
        <v>1899</v>
      </c>
      <c r="K482" s="2938"/>
      <c r="L482" s="2938"/>
      <c r="M482" s="2938"/>
      <c r="N482" s="2938"/>
      <c r="O482" s="2938"/>
      <c r="P482" s="2938"/>
      <c r="Q482" s="408">
        <v>6</v>
      </c>
      <c r="R482" s="2931" t="s">
        <v>1773</v>
      </c>
      <c r="S482" s="1672">
        <v>250000</v>
      </c>
      <c r="T482" s="2940" t="s">
        <v>0</v>
      </c>
      <c r="U482" s="2940"/>
      <c r="V482" s="2940">
        <v>1</v>
      </c>
      <c r="W482" s="2940" t="s">
        <v>1764</v>
      </c>
      <c r="X482" s="2940" t="s">
        <v>1765</v>
      </c>
      <c r="Y482" s="1674">
        <f t="shared" si="168"/>
        <v>1500</v>
      </c>
      <c r="Z482" s="1823">
        <f>+Q482*S482*V482</f>
        <v>1500000</v>
      </c>
      <c r="AA482" s="305"/>
      <c r="AB482" s="305"/>
      <c r="AC482" s="166"/>
    </row>
    <row r="483" spans="1:29" s="1669" customFormat="1" ht="20.45" customHeight="1">
      <c r="A483" s="411"/>
      <c r="B483" s="412"/>
      <c r="C483" s="1328"/>
      <c r="D483" s="1126"/>
      <c r="E483" s="389" t="s">
        <v>1781</v>
      </c>
      <c r="F483" s="383">
        <v>45000</v>
      </c>
      <c r="G483" s="1116">
        <v>45000</v>
      </c>
      <c r="H483" s="404"/>
      <c r="I483" s="2559"/>
      <c r="J483" s="2939" t="s">
        <v>1900</v>
      </c>
      <c r="K483" s="2938" t="s">
        <v>1901</v>
      </c>
      <c r="L483" s="2938"/>
      <c r="M483" s="2938"/>
      <c r="N483" s="2938"/>
      <c r="O483" s="408">
        <v>3</v>
      </c>
      <c r="P483" s="2931" t="s">
        <v>28</v>
      </c>
      <c r="Q483" s="408"/>
      <c r="R483" s="2931"/>
      <c r="S483" s="1672">
        <v>1000000</v>
      </c>
      <c r="T483" s="2940" t="s">
        <v>0</v>
      </c>
      <c r="U483" s="2940"/>
      <c r="V483" s="2940">
        <v>15</v>
      </c>
      <c r="W483" s="2940" t="s">
        <v>1869</v>
      </c>
      <c r="X483" s="2940" t="s">
        <v>1765</v>
      </c>
      <c r="Y483" s="1674">
        <f t="shared" si="168"/>
        <v>45000</v>
      </c>
      <c r="Z483" s="1823">
        <f>+O483*S483*V483</f>
        <v>45000000</v>
      </c>
      <c r="AA483" s="305"/>
      <c r="AB483" s="305"/>
      <c r="AC483" s="166"/>
    </row>
    <row r="484" spans="1:29" s="1669" customFormat="1" ht="20.45" customHeight="1">
      <c r="A484" s="396"/>
      <c r="B484" s="2941"/>
      <c r="C484" s="397"/>
      <c r="D484" s="402"/>
      <c r="E484" s="1134" t="s">
        <v>1902</v>
      </c>
      <c r="F484" s="383">
        <v>2000</v>
      </c>
      <c r="G484" s="1311">
        <v>2000</v>
      </c>
      <c r="H484" s="404"/>
      <c r="I484" s="2559"/>
      <c r="J484" s="2939" t="s">
        <v>1903</v>
      </c>
      <c r="K484" s="2940" t="s">
        <v>1904</v>
      </c>
      <c r="L484" s="2938"/>
      <c r="M484" s="2938"/>
      <c r="N484" s="2938"/>
      <c r="O484" s="408"/>
      <c r="P484" s="2931"/>
      <c r="Q484" s="408"/>
      <c r="R484" s="2940"/>
      <c r="S484" s="1672">
        <v>2000000</v>
      </c>
      <c r="T484" s="2940" t="s">
        <v>0</v>
      </c>
      <c r="U484" s="2940"/>
      <c r="V484" s="2940">
        <v>1</v>
      </c>
      <c r="W484" s="2940" t="s">
        <v>1764</v>
      </c>
      <c r="X484" s="2940" t="s">
        <v>1765</v>
      </c>
      <c r="Y484" s="1674">
        <f t="shared" si="168"/>
        <v>2000</v>
      </c>
      <c r="Z484" s="1823">
        <f>S484*V484</f>
        <v>2000000</v>
      </c>
      <c r="AA484" s="305"/>
      <c r="AB484" s="305"/>
      <c r="AC484" s="166"/>
    </row>
    <row r="485" spans="1:29" s="1669" customFormat="1" ht="20.45" customHeight="1">
      <c r="A485" s="396"/>
      <c r="B485" s="2941"/>
      <c r="C485" s="397"/>
      <c r="D485" s="402"/>
      <c r="E485" s="1134" t="s">
        <v>1768</v>
      </c>
      <c r="F485" s="383">
        <v>450</v>
      </c>
      <c r="G485" s="1311">
        <v>450</v>
      </c>
      <c r="H485" s="404"/>
      <c r="I485" s="2559"/>
      <c r="J485" s="2939" t="s">
        <v>1871</v>
      </c>
      <c r="K485" s="2940" t="s">
        <v>1905</v>
      </c>
      <c r="L485" s="2938"/>
      <c r="M485" s="2938"/>
      <c r="N485" s="2938"/>
      <c r="O485" s="2938"/>
      <c r="P485" s="2938"/>
      <c r="Q485" s="408">
        <v>15</v>
      </c>
      <c r="R485" s="2931" t="s">
        <v>1773</v>
      </c>
      <c r="S485" s="1672">
        <v>10000</v>
      </c>
      <c r="T485" s="2940" t="s">
        <v>0</v>
      </c>
      <c r="U485" s="2940"/>
      <c r="V485" s="2940">
        <v>3</v>
      </c>
      <c r="W485" s="2940" t="s">
        <v>1764</v>
      </c>
      <c r="X485" s="2940" t="s">
        <v>1765</v>
      </c>
      <c r="Y485" s="1674">
        <f t="shared" si="168"/>
        <v>450</v>
      </c>
      <c r="Z485" s="1823">
        <f>Q485*S485*V485</f>
        <v>450000</v>
      </c>
      <c r="AA485" s="305"/>
      <c r="AB485" s="305"/>
      <c r="AC485" s="166"/>
    </row>
    <row r="486" spans="1:29" ht="20.45" customHeight="1">
      <c r="A486" s="396"/>
      <c r="B486" s="2941"/>
      <c r="C486" s="397"/>
      <c r="D486" s="3275" t="s">
        <v>3296</v>
      </c>
      <c r="E486" s="3276"/>
      <c r="F486" s="382">
        <f>SUM(F487:F500)</f>
        <v>120000</v>
      </c>
      <c r="G486" s="382">
        <f>SUM(G487:G500)</f>
        <v>120000</v>
      </c>
      <c r="H486" s="810">
        <f t="shared" ref="H486:H487" si="169">F486-G486</f>
        <v>0</v>
      </c>
      <c r="I486" s="2559"/>
      <c r="J486" s="394"/>
      <c r="K486" s="2921"/>
      <c r="L486" s="2921"/>
      <c r="M486" s="2921"/>
      <c r="N486" s="2921"/>
      <c r="O486" s="2921"/>
      <c r="P486" s="2921"/>
      <c r="Q486" s="2921"/>
      <c r="R486" s="395"/>
      <c r="S486" s="2921"/>
      <c r="T486" s="2921"/>
      <c r="U486" s="2921"/>
      <c r="V486" s="2921"/>
      <c r="W486" s="2921"/>
      <c r="X486" s="2921"/>
      <c r="Y486" s="443"/>
      <c r="Z486" s="2509" t="e">
        <f>+#REF!+Z487+#REF!+#REF!+#REF!+Z497+#REF!+Z499+Z500</f>
        <v>#REF!</v>
      </c>
      <c r="AA486" s="305"/>
      <c r="AB486" s="305"/>
      <c r="AC486" s="166"/>
    </row>
    <row r="487" spans="1:29" ht="20.45" customHeight="1">
      <c r="A487" s="396"/>
      <c r="B487" s="2941"/>
      <c r="C487" s="397"/>
      <c r="D487" s="465"/>
      <c r="E487" s="1134" t="s">
        <v>51</v>
      </c>
      <c r="F487" s="383">
        <f>+Y487</f>
        <v>3000</v>
      </c>
      <c r="G487" s="1311">
        <v>4500</v>
      </c>
      <c r="H487" s="810">
        <f t="shared" si="169"/>
        <v>-1500</v>
      </c>
      <c r="I487" s="2559"/>
      <c r="J487" s="1087" t="s">
        <v>1888</v>
      </c>
      <c r="K487" s="2938"/>
      <c r="L487" s="2938"/>
      <c r="M487" s="2938"/>
      <c r="N487" s="2938"/>
      <c r="O487" s="2938"/>
      <c r="P487" s="2938"/>
      <c r="Q487" s="408"/>
      <c r="R487" s="2931"/>
      <c r="S487" s="1672">
        <v>10000</v>
      </c>
      <c r="T487" s="2940" t="s">
        <v>5454</v>
      </c>
      <c r="U487" s="2940"/>
      <c r="V487" s="2940">
        <v>300</v>
      </c>
      <c r="W487" s="2940" t="s">
        <v>5455</v>
      </c>
      <c r="X487" s="2940" t="s">
        <v>5456</v>
      </c>
      <c r="Y487" s="1674">
        <f t="shared" ref="Y487:Y500" si="170">(Z487)/1000</f>
        <v>3000</v>
      </c>
      <c r="Z487" s="1098">
        <f>S487*V487</f>
        <v>3000000</v>
      </c>
      <c r="AA487" s="305"/>
      <c r="AB487" s="305"/>
      <c r="AC487" s="166"/>
    </row>
    <row r="488" spans="1:29" s="2558" customFormat="1" ht="20.45" customHeight="1">
      <c r="A488" s="411"/>
      <c r="B488" s="412"/>
      <c r="C488" s="1111"/>
      <c r="D488" s="1154"/>
      <c r="E488" s="1134" t="s">
        <v>224</v>
      </c>
      <c r="F488" s="383">
        <f>+Y488</f>
        <v>400</v>
      </c>
      <c r="G488" s="472">
        <v>400</v>
      </c>
      <c r="H488" s="404"/>
      <c r="I488" s="409"/>
      <c r="J488" s="1087" t="s">
        <v>5467</v>
      </c>
      <c r="K488" s="2938"/>
      <c r="L488" s="2938"/>
      <c r="M488" s="2938"/>
      <c r="N488" s="2938"/>
      <c r="O488" s="2938"/>
      <c r="P488" s="2938"/>
      <c r="Q488" s="408"/>
      <c r="R488" s="2931"/>
      <c r="S488" s="1672">
        <v>400000</v>
      </c>
      <c r="T488" s="2940" t="s">
        <v>5454</v>
      </c>
      <c r="U488" s="2940"/>
      <c r="V488" s="2940">
        <v>1</v>
      </c>
      <c r="W488" s="2940" t="s">
        <v>5457</v>
      </c>
      <c r="X488" s="2940" t="s">
        <v>5456</v>
      </c>
      <c r="Y488" s="1674">
        <f t="shared" si="170"/>
        <v>400</v>
      </c>
      <c r="Z488" s="1098">
        <f t="shared" ref="Z488" si="171">S488*V488</f>
        <v>400000</v>
      </c>
      <c r="AA488" s="305"/>
      <c r="AB488" s="305"/>
      <c r="AC488" s="2557"/>
    </row>
    <row r="489" spans="1:29" s="2558" customFormat="1" ht="20.45" customHeight="1">
      <c r="A489" s="411"/>
      <c r="B489" s="412"/>
      <c r="C489" s="1111"/>
      <c r="D489" s="1126"/>
      <c r="E489" s="1134" t="s">
        <v>195</v>
      </c>
      <c r="F489" s="383">
        <f>Y489</f>
        <v>2400</v>
      </c>
      <c r="G489" s="1116">
        <v>1600</v>
      </c>
      <c r="H489" s="404">
        <f>F489-G489</f>
        <v>800</v>
      </c>
      <c r="I489" s="2559"/>
      <c r="J489" s="1087" t="s">
        <v>5459</v>
      </c>
      <c r="K489" s="2938"/>
      <c r="L489" s="2938"/>
      <c r="M489" s="2938"/>
      <c r="N489" s="2938"/>
      <c r="O489" s="408">
        <v>8</v>
      </c>
      <c r="P489" s="2931" t="s">
        <v>28</v>
      </c>
      <c r="Q489" s="408">
        <v>10</v>
      </c>
      <c r="R489" s="2931" t="s">
        <v>5460</v>
      </c>
      <c r="S489" s="1672">
        <v>30000</v>
      </c>
      <c r="T489" s="2940" t="s">
        <v>0</v>
      </c>
      <c r="U489" s="2940"/>
      <c r="V489" s="2940">
        <v>1</v>
      </c>
      <c r="W489" s="2940" t="s">
        <v>5457</v>
      </c>
      <c r="X489" s="2940" t="s">
        <v>5456</v>
      </c>
      <c r="Y489" s="1674">
        <f t="shared" ref="Y489" si="172">(Z489)/1000</f>
        <v>2400</v>
      </c>
      <c r="Z489" s="1098">
        <f>O489*Q489*S489*V489</f>
        <v>2400000</v>
      </c>
      <c r="AA489" s="305"/>
      <c r="AB489" s="305"/>
      <c r="AC489" s="2557"/>
    </row>
    <row r="490" spans="1:29" s="2558" customFormat="1" ht="20.45" customHeight="1">
      <c r="A490" s="411"/>
      <c r="B490" s="412"/>
      <c r="C490" s="1111"/>
      <c r="D490" s="1126"/>
      <c r="E490" s="1134" t="s">
        <v>269</v>
      </c>
      <c r="F490" s="383">
        <f>Y490</f>
        <v>7200</v>
      </c>
      <c r="G490" s="1116">
        <v>6500</v>
      </c>
      <c r="H490" s="404">
        <f>F490-G490</f>
        <v>700</v>
      </c>
      <c r="I490" s="2559"/>
      <c r="J490" s="1087" t="s">
        <v>5453</v>
      </c>
      <c r="K490" s="2938"/>
      <c r="L490" s="2938"/>
      <c r="M490" s="2938"/>
      <c r="N490" s="2938"/>
      <c r="O490" s="2938"/>
      <c r="P490" s="2938"/>
      <c r="Q490" s="408"/>
      <c r="R490" s="2931"/>
      <c r="S490" s="1672"/>
      <c r="T490" s="2940"/>
      <c r="U490" s="2940"/>
      <c r="V490" s="2940"/>
      <c r="W490" s="2940"/>
      <c r="X490" s="2940"/>
      <c r="Y490" s="1674">
        <v>7200</v>
      </c>
      <c r="Z490" s="1098">
        <f>Z491+Z492+Z493</f>
        <v>7200000</v>
      </c>
      <c r="AA490" s="305"/>
      <c r="AB490" s="305"/>
      <c r="AC490" s="2557"/>
    </row>
    <row r="491" spans="1:29" s="2558" customFormat="1" ht="20.45" customHeight="1">
      <c r="A491" s="411"/>
      <c r="B491" s="412"/>
      <c r="C491" s="1111"/>
      <c r="D491" s="1126"/>
      <c r="E491" s="1134"/>
      <c r="F491" s="383"/>
      <c r="G491" s="1116"/>
      <c r="H491" s="404"/>
      <c r="I491" s="2559"/>
      <c r="J491" s="1087" t="s">
        <v>5471</v>
      </c>
      <c r="K491" s="2938"/>
      <c r="L491" s="2938"/>
      <c r="M491" s="2938"/>
      <c r="N491" s="2938"/>
      <c r="O491" s="2938"/>
      <c r="P491" s="2938"/>
      <c r="Q491" s="408">
        <v>7</v>
      </c>
      <c r="R491" s="2931" t="s">
        <v>5462</v>
      </c>
      <c r="S491" s="1672">
        <v>200000</v>
      </c>
      <c r="T491" s="2940" t="s">
        <v>0</v>
      </c>
      <c r="U491" s="2940"/>
      <c r="V491" s="2940">
        <v>2</v>
      </c>
      <c r="W491" s="2940" t="s">
        <v>5463</v>
      </c>
      <c r="X491" s="2940" t="s">
        <v>5456</v>
      </c>
      <c r="Y491" s="1674">
        <f t="shared" si="170"/>
        <v>2800</v>
      </c>
      <c r="Z491" s="1098">
        <f>Q491*S491*V491</f>
        <v>2800000</v>
      </c>
      <c r="AA491" s="305"/>
      <c r="AB491" s="305"/>
      <c r="AC491" s="2557"/>
    </row>
    <row r="492" spans="1:29" s="1669" customFormat="1" ht="20.45" customHeight="1">
      <c r="A492" s="411"/>
      <c r="B492" s="412"/>
      <c r="C492" s="1111"/>
      <c r="D492" s="1126"/>
      <c r="E492" s="1134"/>
      <c r="F492" s="383"/>
      <c r="G492" s="1116"/>
      <c r="H492" s="404"/>
      <c r="I492" s="2559"/>
      <c r="J492" s="1087" t="s">
        <v>5464</v>
      </c>
      <c r="K492" s="2938"/>
      <c r="L492" s="2938"/>
      <c r="M492" s="2938"/>
      <c r="N492" s="2938"/>
      <c r="O492" s="2938"/>
      <c r="P492" s="2938"/>
      <c r="Q492" s="408">
        <v>10</v>
      </c>
      <c r="R492" s="2931" t="s">
        <v>5462</v>
      </c>
      <c r="S492" s="1672">
        <v>100000</v>
      </c>
      <c r="T492" s="2940" t="s">
        <v>5454</v>
      </c>
      <c r="U492" s="2940"/>
      <c r="V492" s="2940">
        <v>2</v>
      </c>
      <c r="W492" s="2940" t="s">
        <v>5463</v>
      </c>
      <c r="X492" s="2940" t="s">
        <v>5456</v>
      </c>
      <c r="Y492" s="1674">
        <f t="shared" si="170"/>
        <v>2000</v>
      </c>
      <c r="Z492" s="1098">
        <f t="shared" ref="Z492:Z493" si="173">Q492*S492*V492</f>
        <v>2000000</v>
      </c>
      <c r="AA492" s="305"/>
      <c r="AB492" s="305"/>
      <c r="AC492" s="166"/>
    </row>
    <row r="493" spans="1:29" s="1669" customFormat="1" ht="20.45" customHeight="1">
      <c r="A493" s="411"/>
      <c r="B493" s="412"/>
      <c r="C493" s="1328"/>
      <c r="D493" s="1154"/>
      <c r="E493" s="1134"/>
      <c r="F493" s="383"/>
      <c r="G493" s="1116"/>
      <c r="H493" s="404"/>
      <c r="I493" s="409"/>
      <c r="J493" s="1087" t="s">
        <v>5465</v>
      </c>
      <c r="K493" s="2938"/>
      <c r="L493" s="2938"/>
      <c r="M493" s="2938"/>
      <c r="N493" s="2938"/>
      <c r="O493" s="2938"/>
      <c r="P493" s="2938"/>
      <c r="Q493" s="408">
        <v>6</v>
      </c>
      <c r="R493" s="2931" t="s">
        <v>5462</v>
      </c>
      <c r="S493" s="1672">
        <v>400000</v>
      </c>
      <c r="T493" s="2940" t="s">
        <v>0</v>
      </c>
      <c r="U493" s="2940"/>
      <c r="V493" s="2940">
        <v>1</v>
      </c>
      <c r="W493" s="2940" t="s">
        <v>5463</v>
      </c>
      <c r="X493" s="2940" t="s">
        <v>5456</v>
      </c>
      <c r="Y493" s="1674">
        <f t="shared" si="170"/>
        <v>2400</v>
      </c>
      <c r="Z493" s="1098">
        <f t="shared" si="173"/>
        <v>2400000</v>
      </c>
      <c r="AA493" s="305"/>
      <c r="AB493" s="305"/>
      <c r="AC493" s="166"/>
    </row>
    <row r="494" spans="1:29" ht="20.45" customHeight="1">
      <c r="A494" s="396"/>
      <c r="B494" s="2941"/>
      <c r="C494" s="397"/>
      <c r="D494" s="402"/>
      <c r="E494" s="1134" t="s">
        <v>287</v>
      </c>
      <c r="F494" s="383">
        <f>+Y494</f>
        <v>102000</v>
      </c>
      <c r="G494" s="383">
        <v>22000</v>
      </c>
      <c r="H494" s="404">
        <f t="shared" ref="H494" si="174">F494-G494</f>
        <v>80000</v>
      </c>
      <c r="I494" s="2938"/>
      <c r="J494" s="2939" t="s">
        <v>5453</v>
      </c>
      <c r="K494" s="2938"/>
      <c r="L494" s="2938"/>
      <c r="M494" s="2938"/>
      <c r="N494" s="2938"/>
      <c r="O494" s="2938"/>
      <c r="P494" s="2938"/>
      <c r="Q494" s="408"/>
      <c r="R494" s="2931"/>
      <c r="S494" s="1672"/>
      <c r="T494" s="2940"/>
      <c r="U494" s="2940"/>
      <c r="V494" s="2940"/>
      <c r="W494" s="2940"/>
      <c r="X494" s="2940"/>
      <c r="Y494" s="1674">
        <v>102000</v>
      </c>
      <c r="Z494" s="1098">
        <f>Z495+Z496</f>
        <v>102000000</v>
      </c>
      <c r="AA494" s="305"/>
      <c r="AB494" s="305"/>
      <c r="AC494" s="2557"/>
    </row>
    <row r="495" spans="1:29" ht="20.45" customHeight="1">
      <c r="A495" s="396"/>
      <c r="B495" s="2941"/>
      <c r="C495" s="397"/>
      <c r="D495" s="402"/>
      <c r="E495" s="437"/>
      <c r="F495" s="383"/>
      <c r="G495" s="383"/>
      <c r="H495" s="404"/>
      <c r="I495" s="409"/>
      <c r="J495" s="1087" t="s">
        <v>5472</v>
      </c>
      <c r="K495" s="2938"/>
      <c r="L495" s="2938"/>
      <c r="M495" s="2938"/>
      <c r="N495" s="2938"/>
      <c r="O495" s="2938"/>
      <c r="P495" s="2938"/>
      <c r="Q495" s="408"/>
      <c r="R495" s="2931"/>
      <c r="S495" s="1672">
        <v>12000000</v>
      </c>
      <c r="T495" s="2940" t="s">
        <v>5454</v>
      </c>
      <c r="U495" s="2940"/>
      <c r="V495" s="2940">
        <v>1</v>
      </c>
      <c r="W495" s="2940" t="s">
        <v>5457</v>
      </c>
      <c r="X495" s="2940" t="s">
        <v>5456</v>
      </c>
      <c r="Y495" s="1674">
        <f t="shared" ref="Y495:Y496" si="175">(Z495)/1000</f>
        <v>12000</v>
      </c>
      <c r="Z495" s="1098">
        <f>S495*V495</f>
        <v>12000000</v>
      </c>
      <c r="AA495" s="305"/>
      <c r="AB495" s="305"/>
      <c r="AC495" s="2557"/>
    </row>
    <row r="496" spans="1:29" s="2558" customFormat="1" ht="20.45" customHeight="1">
      <c r="A496" s="411"/>
      <c r="B496" s="412"/>
      <c r="C496" s="1328"/>
      <c r="D496" s="1126"/>
      <c r="E496" s="1134"/>
      <c r="F496" s="383"/>
      <c r="G496" s="1116"/>
      <c r="H496" s="404"/>
      <c r="I496" s="2559"/>
      <c r="J496" s="1087" t="s">
        <v>5473</v>
      </c>
      <c r="K496" s="2938"/>
      <c r="L496" s="2938"/>
      <c r="M496" s="2938"/>
      <c r="N496" s="2938"/>
      <c r="O496" s="2938"/>
      <c r="P496" s="2938"/>
      <c r="Q496" s="408"/>
      <c r="R496" s="2931"/>
      <c r="S496" s="1672">
        <v>90000000</v>
      </c>
      <c r="T496" s="2940" t="s">
        <v>0</v>
      </c>
      <c r="U496" s="2940"/>
      <c r="V496" s="2940">
        <v>1</v>
      </c>
      <c r="W496" s="2940" t="s">
        <v>5458</v>
      </c>
      <c r="X496" s="2940" t="s">
        <v>5456</v>
      </c>
      <c r="Y496" s="1674">
        <f t="shared" si="175"/>
        <v>90000</v>
      </c>
      <c r="Z496" s="1098">
        <f>S496*V496</f>
        <v>90000000</v>
      </c>
      <c r="AA496" s="305"/>
      <c r="AB496" s="305"/>
      <c r="AC496" s="2557"/>
    </row>
    <row r="497" spans="1:29" s="1669" customFormat="1" ht="20.45" customHeight="1">
      <c r="A497" s="411"/>
      <c r="B497" s="412"/>
      <c r="C497" s="1328"/>
      <c r="D497" s="1154"/>
      <c r="E497" s="1134" t="s">
        <v>223</v>
      </c>
      <c r="F497" s="383">
        <f>+Y497</f>
        <v>500</v>
      </c>
      <c r="G497" s="472">
        <v>500</v>
      </c>
      <c r="H497" s="404"/>
      <c r="I497" s="409"/>
      <c r="J497" s="1087" t="s">
        <v>5466</v>
      </c>
      <c r="K497" s="2938"/>
      <c r="L497" s="2938"/>
      <c r="M497" s="2938"/>
      <c r="N497" s="2938"/>
      <c r="O497" s="2938"/>
      <c r="P497" s="2938"/>
      <c r="Q497" s="408"/>
      <c r="R497" s="2931"/>
      <c r="S497" s="1672">
        <v>500000</v>
      </c>
      <c r="T497" s="2940" t="s">
        <v>5454</v>
      </c>
      <c r="U497" s="2940"/>
      <c r="V497" s="2940">
        <v>1</v>
      </c>
      <c r="W497" s="2940" t="s">
        <v>5463</v>
      </c>
      <c r="X497" s="2940" t="s">
        <v>5456</v>
      </c>
      <c r="Y497" s="1674">
        <f t="shared" si="170"/>
        <v>500</v>
      </c>
      <c r="Z497" s="1098">
        <f>S497*V497</f>
        <v>500000</v>
      </c>
      <c r="AA497" s="305"/>
      <c r="AB497" s="305"/>
      <c r="AC497" s="166"/>
    </row>
    <row r="498" spans="1:29" ht="20.45" customHeight="1">
      <c r="A498" s="396"/>
      <c r="B498" s="2941"/>
      <c r="C498" s="397"/>
      <c r="D498" s="1289"/>
      <c r="E498" s="1134" t="s">
        <v>222</v>
      </c>
      <c r="F498" s="383">
        <f>+Y498</f>
        <v>0</v>
      </c>
      <c r="G498" s="383">
        <v>80000</v>
      </c>
      <c r="H498" s="404">
        <f t="shared" ref="H498" si="176">F498-G498</f>
        <v>-80000</v>
      </c>
      <c r="I498" s="409"/>
      <c r="J498" s="1087" t="s">
        <v>5124</v>
      </c>
      <c r="K498" s="2938"/>
      <c r="L498" s="2938"/>
      <c r="M498" s="2938"/>
      <c r="N498" s="2938"/>
      <c r="O498" s="2938"/>
      <c r="P498" s="2938"/>
      <c r="Q498" s="408"/>
      <c r="R498" s="2931"/>
      <c r="S498" s="1672"/>
      <c r="T498" s="2940"/>
      <c r="U498" s="2940"/>
      <c r="V498" s="2940"/>
      <c r="W498" s="2940"/>
      <c r="X498" s="2940"/>
      <c r="Y498" s="1674"/>
      <c r="Z498" s="1098">
        <f>+S498*V498</f>
        <v>0</v>
      </c>
      <c r="AA498" s="305"/>
      <c r="AB498" s="305"/>
      <c r="AC498" s="2557"/>
    </row>
    <row r="499" spans="1:29" s="1669" customFormat="1" ht="20.45" customHeight="1">
      <c r="A499" s="396"/>
      <c r="B499" s="2941"/>
      <c r="C499" s="397"/>
      <c r="D499" s="1154"/>
      <c r="E499" s="1134" t="s">
        <v>602</v>
      </c>
      <c r="F499" s="383">
        <f>+Y499</f>
        <v>3000</v>
      </c>
      <c r="G499" s="472">
        <v>3000</v>
      </c>
      <c r="H499" s="404"/>
      <c r="I499" s="409"/>
      <c r="J499" s="1087" t="s">
        <v>5468</v>
      </c>
      <c r="K499" s="2938" t="s">
        <v>5469</v>
      </c>
      <c r="L499" s="2938"/>
      <c r="M499" s="2938"/>
      <c r="N499" s="2938"/>
      <c r="O499" s="2938"/>
      <c r="P499" s="2938"/>
      <c r="Q499" s="408"/>
      <c r="R499" s="2931"/>
      <c r="S499" s="1672">
        <v>3000000</v>
      </c>
      <c r="T499" s="2940" t="s">
        <v>0</v>
      </c>
      <c r="U499" s="2940"/>
      <c r="V499" s="2940">
        <v>1</v>
      </c>
      <c r="W499" s="2940" t="s">
        <v>5457</v>
      </c>
      <c r="X499" s="2940" t="s">
        <v>5456</v>
      </c>
      <c r="Y499" s="1674">
        <f t="shared" si="170"/>
        <v>3000</v>
      </c>
      <c r="Z499" s="1098">
        <f t="shared" ref="Z499" si="177">S499*V499</f>
        <v>3000000</v>
      </c>
      <c r="AA499" s="305"/>
      <c r="AB499" s="305"/>
      <c r="AC499" s="166"/>
    </row>
    <row r="500" spans="1:29" s="1669" customFormat="1" ht="20.45" customHeight="1">
      <c r="A500" s="396"/>
      <c r="B500" s="2941"/>
      <c r="C500" s="397"/>
      <c r="D500" s="1126"/>
      <c r="E500" s="855" t="s">
        <v>271</v>
      </c>
      <c r="F500" s="383">
        <f>+Y500</f>
        <v>1500</v>
      </c>
      <c r="G500" s="472">
        <v>1500</v>
      </c>
      <c r="H500" s="404"/>
      <c r="I500" s="2938"/>
      <c r="J500" s="1627" t="s">
        <v>5470</v>
      </c>
      <c r="K500" s="459"/>
      <c r="L500" s="2925"/>
      <c r="M500" s="2925"/>
      <c r="N500" s="368"/>
      <c r="O500" s="2925"/>
      <c r="P500" s="2925"/>
      <c r="Q500" s="456">
        <v>15</v>
      </c>
      <c r="R500" s="457" t="s">
        <v>5462</v>
      </c>
      <c r="S500" s="458">
        <v>10000</v>
      </c>
      <c r="T500" s="459" t="s">
        <v>5454</v>
      </c>
      <c r="U500" s="459"/>
      <c r="V500" s="459">
        <v>10</v>
      </c>
      <c r="W500" s="459" t="s">
        <v>5463</v>
      </c>
      <c r="X500" s="457" t="s">
        <v>5456</v>
      </c>
      <c r="Y500" s="345">
        <f t="shared" si="170"/>
        <v>1500</v>
      </c>
      <c r="Z500" s="1098">
        <f>Q500*S500*V500</f>
        <v>1500000</v>
      </c>
      <c r="AA500" s="305"/>
      <c r="AB500" s="305"/>
      <c r="AC500" s="166"/>
    </row>
    <row r="501" spans="1:29" s="1669" customFormat="1" ht="20.45" customHeight="1">
      <c r="A501" s="396"/>
      <c r="B501" s="2941"/>
      <c r="C501" s="397"/>
      <c r="D501" s="3275" t="s">
        <v>3297</v>
      </c>
      <c r="E501" s="3276"/>
      <c r="F501" s="382">
        <f>SUM(F502:F509)</f>
        <v>100000</v>
      </c>
      <c r="G501" s="382">
        <f>SUM(G502:G509)</f>
        <v>100000</v>
      </c>
      <c r="H501" s="468">
        <f>F501-G501</f>
        <v>0</v>
      </c>
      <c r="I501" s="2559"/>
      <c r="J501" s="394"/>
      <c r="K501" s="2921"/>
      <c r="L501" s="2921"/>
      <c r="M501" s="2921"/>
      <c r="N501" s="2921"/>
      <c r="O501" s="2921"/>
      <c r="P501" s="2921"/>
      <c r="Q501" s="2921"/>
      <c r="R501" s="395"/>
      <c r="S501" s="2921"/>
      <c r="T501" s="2921"/>
      <c r="U501" s="2921"/>
      <c r="V501" s="2921"/>
      <c r="W501" s="2921"/>
      <c r="X501" s="2921"/>
      <c r="Y501" s="443"/>
      <c r="Z501" s="1833">
        <f>+Z502+Z503+Z504+Z507+Z508+Z509</f>
        <v>100000000</v>
      </c>
      <c r="AA501" s="305"/>
      <c r="AB501" s="305"/>
      <c r="AC501" s="166"/>
    </row>
    <row r="502" spans="1:29" s="1669" customFormat="1" ht="20.45" customHeight="1">
      <c r="A502" s="396"/>
      <c r="B502" s="2941"/>
      <c r="C502" s="397"/>
      <c r="D502" s="402"/>
      <c r="E502" s="1134" t="s">
        <v>1776</v>
      </c>
      <c r="F502" s="383">
        <f>+Y502</f>
        <v>100</v>
      </c>
      <c r="G502" s="1311">
        <v>100</v>
      </c>
      <c r="H502" s="404"/>
      <c r="I502" s="2559"/>
      <c r="J502" s="1087" t="s">
        <v>5862</v>
      </c>
      <c r="K502" s="2938"/>
      <c r="L502" s="2938"/>
      <c r="M502" s="2938"/>
      <c r="N502" s="2938"/>
      <c r="O502" s="408"/>
      <c r="P502" s="2931"/>
      <c r="Q502" s="408" t="s">
        <v>19</v>
      </c>
      <c r="R502" s="2931" t="s">
        <v>19</v>
      </c>
      <c r="S502" s="1672">
        <v>100000</v>
      </c>
      <c r="T502" s="2940" t="s">
        <v>0</v>
      </c>
      <c r="U502" s="2940"/>
      <c r="V502" s="2940">
        <v>1</v>
      </c>
      <c r="W502" s="2940" t="s">
        <v>1770</v>
      </c>
      <c r="X502" s="2940" t="s">
        <v>1765</v>
      </c>
      <c r="Y502" s="1674">
        <f t="shared" si="168"/>
        <v>100</v>
      </c>
      <c r="Z502" s="1823">
        <f>+S502*V502</f>
        <v>100000</v>
      </c>
      <c r="AA502" s="305"/>
      <c r="AB502" s="305"/>
      <c r="AC502" s="166"/>
    </row>
    <row r="503" spans="1:29" s="1669" customFormat="1" ht="20.45" customHeight="1">
      <c r="A503" s="396"/>
      <c r="B503" s="2941"/>
      <c r="C503" s="397"/>
      <c r="D503" s="402"/>
      <c r="E503" s="1134" t="s">
        <v>1777</v>
      </c>
      <c r="F503" s="383">
        <f>+Y503</f>
        <v>400</v>
      </c>
      <c r="G503" s="1311">
        <v>400</v>
      </c>
      <c r="H503" s="404"/>
      <c r="I503" s="2559"/>
      <c r="J503" s="2939" t="s">
        <v>1862</v>
      </c>
      <c r="K503" s="2940"/>
      <c r="L503" s="2938"/>
      <c r="M503" s="2938"/>
      <c r="N503" s="2938"/>
      <c r="O503" s="408">
        <v>20</v>
      </c>
      <c r="P503" s="2931" t="s">
        <v>28</v>
      </c>
      <c r="Q503" s="408">
        <v>1</v>
      </c>
      <c r="R503" s="2931" t="s">
        <v>1773</v>
      </c>
      <c r="S503" s="1672">
        <v>20000</v>
      </c>
      <c r="T503" s="2940" t="s">
        <v>0</v>
      </c>
      <c r="U503" s="2940"/>
      <c r="V503" s="2940">
        <v>1</v>
      </c>
      <c r="W503" s="2940" t="s">
        <v>1770</v>
      </c>
      <c r="X503" s="2940" t="s">
        <v>1765</v>
      </c>
      <c r="Y503" s="1674">
        <f t="shared" si="168"/>
        <v>400</v>
      </c>
      <c r="Z503" s="1823">
        <f>O503*Q503*S503*V503</f>
        <v>400000</v>
      </c>
      <c r="AA503" s="305"/>
      <c r="AB503" s="305"/>
      <c r="AC503" s="166"/>
    </row>
    <row r="504" spans="1:29" s="1669" customFormat="1" ht="20.45" customHeight="1">
      <c r="A504" s="411"/>
      <c r="B504" s="412"/>
      <c r="C504" s="1328"/>
      <c r="D504" s="1126"/>
      <c r="E504" s="389" t="s">
        <v>1780</v>
      </c>
      <c r="F504" s="383">
        <f>+Y504</f>
        <v>7000</v>
      </c>
      <c r="G504" s="1116">
        <v>7000</v>
      </c>
      <c r="H504" s="404"/>
      <c r="I504" s="2559"/>
      <c r="J504" s="2939" t="s">
        <v>1767</v>
      </c>
      <c r="K504" s="2938"/>
      <c r="L504" s="2938"/>
      <c r="M504" s="2938"/>
      <c r="N504" s="2938"/>
      <c r="O504" s="2938"/>
      <c r="P504" s="2938"/>
      <c r="Q504" s="408"/>
      <c r="R504" s="2931"/>
      <c r="S504" s="1672"/>
      <c r="T504" s="2940"/>
      <c r="U504" s="2940"/>
      <c r="V504" s="2940"/>
      <c r="W504" s="2940"/>
      <c r="X504" s="2940"/>
      <c r="Y504" s="1674">
        <f t="shared" si="168"/>
        <v>7000</v>
      </c>
      <c r="Z504" s="1823">
        <f>SUM(Z505:Z506)</f>
        <v>7000000</v>
      </c>
      <c r="AA504" s="305"/>
      <c r="AB504" s="305"/>
      <c r="AC504" s="166"/>
    </row>
    <row r="505" spans="1:29" s="1669" customFormat="1" ht="20.45" customHeight="1">
      <c r="A505" s="411"/>
      <c r="B505" s="412"/>
      <c r="C505" s="1111"/>
      <c r="D505" s="1126"/>
      <c r="E505" s="1134"/>
      <c r="F505" s="383"/>
      <c r="G505" s="1116"/>
      <c r="H505" s="404"/>
      <c r="I505" s="2559"/>
      <c r="J505" s="2939" t="s">
        <v>1907</v>
      </c>
      <c r="K505" s="2938"/>
      <c r="L505" s="2938"/>
      <c r="M505" s="2938"/>
      <c r="N505" s="2938"/>
      <c r="O505" s="2938"/>
      <c r="P505" s="2938"/>
      <c r="Q505" s="408">
        <v>10</v>
      </c>
      <c r="R505" s="2931" t="s">
        <v>1773</v>
      </c>
      <c r="S505" s="1672">
        <v>250000</v>
      </c>
      <c r="T505" s="2940" t="s">
        <v>0</v>
      </c>
      <c r="U505" s="2940"/>
      <c r="V505" s="2940">
        <v>1</v>
      </c>
      <c r="W505" s="2940" t="s">
        <v>1764</v>
      </c>
      <c r="X505" s="2940" t="s">
        <v>1765</v>
      </c>
      <c r="Y505" s="1674">
        <f t="shared" si="168"/>
        <v>2500</v>
      </c>
      <c r="Z505" s="1823">
        <f>Q505*S505*V505</f>
        <v>2500000</v>
      </c>
      <c r="AA505" s="305"/>
      <c r="AB505" s="305"/>
      <c r="AC505" s="166"/>
    </row>
    <row r="506" spans="1:29" s="1669" customFormat="1" ht="20.45" customHeight="1">
      <c r="A506" s="411"/>
      <c r="B506" s="412"/>
      <c r="C506" s="1111"/>
      <c r="D506" s="1126"/>
      <c r="E506" s="1134"/>
      <c r="F506" s="383"/>
      <c r="G506" s="1116"/>
      <c r="H506" s="404"/>
      <c r="I506" s="2559"/>
      <c r="J506" s="2937" t="s">
        <v>1908</v>
      </c>
      <c r="K506" s="2938"/>
      <c r="L506" s="2938"/>
      <c r="M506" s="2938"/>
      <c r="N506" s="2938"/>
      <c r="O506" s="2938"/>
      <c r="P506" s="2938"/>
      <c r="Q506" s="408">
        <v>3</v>
      </c>
      <c r="R506" s="2931" t="s">
        <v>1773</v>
      </c>
      <c r="S506" s="1672">
        <v>250000</v>
      </c>
      <c r="T506" s="2940" t="s">
        <v>1763</v>
      </c>
      <c r="U506" s="2940"/>
      <c r="V506" s="2940">
        <v>6</v>
      </c>
      <c r="W506" s="2940" t="s">
        <v>1764</v>
      </c>
      <c r="X506" s="2940" t="s">
        <v>1765</v>
      </c>
      <c r="Y506" s="1674">
        <f t="shared" si="168"/>
        <v>4500</v>
      </c>
      <c r="Z506" s="1823">
        <f>Q506*S506*V506</f>
        <v>4500000</v>
      </c>
      <c r="AA506" s="305"/>
      <c r="AB506" s="305"/>
      <c r="AC506" s="166"/>
    </row>
    <row r="507" spans="1:29" s="1669" customFormat="1" ht="20.45" customHeight="1">
      <c r="A507" s="411"/>
      <c r="B507" s="412"/>
      <c r="C507" s="1328"/>
      <c r="D507" s="1126"/>
      <c r="E507" s="389" t="s">
        <v>1909</v>
      </c>
      <c r="F507" s="383">
        <f>+Y507</f>
        <v>90000</v>
      </c>
      <c r="G507" s="1116">
        <v>90000</v>
      </c>
      <c r="H507" s="404"/>
      <c r="I507" s="2559"/>
      <c r="J507" s="2939" t="s">
        <v>1900</v>
      </c>
      <c r="K507" s="2938" t="s">
        <v>1910</v>
      </c>
      <c r="L507" s="2938"/>
      <c r="M507" s="2938"/>
      <c r="N507" s="2938"/>
      <c r="O507" s="2938"/>
      <c r="P507" s="2938"/>
      <c r="Q507" s="408"/>
      <c r="R507" s="2931"/>
      <c r="S507" s="1672">
        <v>90000000</v>
      </c>
      <c r="T507" s="2940" t="s">
        <v>0</v>
      </c>
      <c r="U507" s="2940"/>
      <c r="V507" s="2940">
        <v>1</v>
      </c>
      <c r="W507" s="2940" t="s">
        <v>1770</v>
      </c>
      <c r="X507" s="2940" t="s">
        <v>1765</v>
      </c>
      <c r="Y507" s="1674">
        <f t="shared" si="168"/>
        <v>90000</v>
      </c>
      <c r="Z507" s="1823">
        <f>+S507*V507</f>
        <v>90000000</v>
      </c>
      <c r="AA507" s="305"/>
      <c r="AB507" s="305"/>
      <c r="AC507" s="166"/>
    </row>
    <row r="508" spans="1:29" s="1669" customFormat="1" ht="20.45" customHeight="1">
      <c r="A508" s="396"/>
      <c r="B508" s="2941"/>
      <c r="C508" s="397"/>
      <c r="D508" s="402"/>
      <c r="E508" s="1134" t="s">
        <v>1902</v>
      </c>
      <c r="F508" s="383">
        <f>+Y508</f>
        <v>2000</v>
      </c>
      <c r="G508" s="1311">
        <v>2000</v>
      </c>
      <c r="H508" s="404"/>
      <c r="I508" s="2559"/>
      <c r="J508" s="2939" t="s">
        <v>1903</v>
      </c>
      <c r="K508" s="2940" t="s">
        <v>1911</v>
      </c>
      <c r="L508" s="2938"/>
      <c r="M508" s="2938"/>
      <c r="N508" s="2938"/>
      <c r="O508" s="2938"/>
      <c r="P508" s="2938"/>
      <c r="Q508" s="408"/>
      <c r="R508" s="2940"/>
      <c r="S508" s="1672">
        <v>2000000</v>
      </c>
      <c r="T508" s="2940" t="s">
        <v>0</v>
      </c>
      <c r="U508" s="2940"/>
      <c r="V508" s="2940">
        <v>1</v>
      </c>
      <c r="W508" s="2940" t="s">
        <v>1764</v>
      </c>
      <c r="X508" s="2940" t="s">
        <v>1765</v>
      </c>
      <c r="Y508" s="1674">
        <f t="shared" si="168"/>
        <v>2000</v>
      </c>
      <c r="Z508" s="1823">
        <f>+S508*V508</f>
        <v>2000000</v>
      </c>
      <c r="AA508" s="305"/>
      <c r="AB508" s="305"/>
      <c r="AC508" s="166"/>
    </row>
    <row r="509" spans="1:29" s="1669" customFormat="1" ht="20.45" customHeight="1">
      <c r="A509" s="396"/>
      <c r="B509" s="2941"/>
      <c r="C509" s="397"/>
      <c r="D509" s="402"/>
      <c r="E509" s="1134" t="s">
        <v>1768</v>
      </c>
      <c r="F509" s="383">
        <f>+Y509</f>
        <v>500</v>
      </c>
      <c r="G509" s="1311">
        <v>500</v>
      </c>
      <c r="H509" s="404"/>
      <c r="I509" s="2559"/>
      <c r="J509" s="2939" t="s">
        <v>1871</v>
      </c>
      <c r="K509" s="2940" t="s">
        <v>1905</v>
      </c>
      <c r="L509" s="2938"/>
      <c r="M509" s="2938"/>
      <c r="N509" s="2938"/>
      <c r="O509" s="2938"/>
      <c r="P509" s="2938"/>
      <c r="Q509" s="408">
        <v>5</v>
      </c>
      <c r="R509" s="2931" t="s">
        <v>1773</v>
      </c>
      <c r="S509" s="1672">
        <v>10000</v>
      </c>
      <c r="T509" s="2940" t="s">
        <v>0</v>
      </c>
      <c r="U509" s="2940"/>
      <c r="V509" s="2940">
        <v>10</v>
      </c>
      <c r="W509" s="2940" t="s">
        <v>1764</v>
      </c>
      <c r="X509" s="2940" t="s">
        <v>1765</v>
      </c>
      <c r="Y509" s="1674">
        <f t="shared" si="168"/>
        <v>500</v>
      </c>
      <c r="Z509" s="1823">
        <f>Q509*S509*V509</f>
        <v>500000</v>
      </c>
      <c r="AA509" s="305"/>
      <c r="AB509" s="305"/>
      <c r="AC509" s="166"/>
    </row>
    <row r="510" spans="1:29" ht="20.45" customHeight="1">
      <c r="A510" s="396"/>
      <c r="B510" s="2941"/>
      <c r="C510" s="3277" t="s">
        <v>1912</v>
      </c>
      <c r="D510" s="3271"/>
      <c r="E510" s="3272"/>
      <c r="F510" s="382">
        <f>+F511+F520</f>
        <v>200000</v>
      </c>
      <c r="G510" s="382">
        <f>+G511+G520</f>
        <v>200000</v>
      </c>
      <c r="H510" s="468">
        <f>F510-G510</f>
        <v>0</v>
      </c>
      <c r="I510" s="2559"/>
      <c r="J510" s="394"/>
      <c r="K510" s="2921"/>
      <c r="L510" s="2921"/>
      <c r="M510" s="2921"/>
      <c r="N510" s="2921"/>
      <c r="O510" s="2921"/>
      <c r="P510" s="2921"/>
      <c r="Q510" s="2921"/>
      <c r="R510" s="2921"/>
      <c r="S510" s="2921"/>
      <c r="T510" s="2921"/>
      <c r="U510" s="2921"/>
      <c r="V510" s="2921"/>
      <c r="W510" s="2921"/>
      <c r="X510" s="2921"/>
      <c r="Y510" s="443"/>
      <c r="Z510" s="1825">
        <f>+Z511+Z520</f>
        <v>0</v>
      </c>
      <c r="AA510" s="305"/>
      <c r="AB510" s="305"/>
      <c r="AC510" s="166"/>
    </row>
    <row r="511" spans="1:29" s="1669" customFormat="1" ht="20.45" customHeight="1">
      <c r="A511" s="396"/>
      <c r="B511" s="2941"/>
      <c r="C511" s="397"/>
      <c r="D511" s="3284" t="s">
        <v>1913</v>
      </c>
      <c r="E511" s="3285"/>
      <c r="F511" s="385">
        <f>SUM(F512:F519)</f>
        <v>100000</v>
      </c>
      <c r="G511" s="385">
        <f>SUM(G512:G519)</f>
        <v>100000</v>
      </c>
      <c r="H511" s="468">
        <f>F511-G511</f>
        <v>0</v>
      </c>
      <c r="I511" s="2938"/>
      <c r="J511" s="1135"/>
      <c r="K511" s="1136"/>
      <c r="L511" s="2921"/>
      <c r="M511" s="2921"/>
      <c r="N511" s="836"/>
      <c r="O511" s="2921"/>
      <c r="P511" s="2921"/>
      <c r="Q511" s="1307"/>
      <c r="R511" s="1137"/>
      <c r="S511" s="399"/>
      <c r="T511" s="1136"/>
      <c r="U511" s="1136"/>
      <c r="V511" s="1136"/>
      <c r="W511" s="1136"/>
      <c r="X511" s="1137"/>
      <c r="Y511" s="377"/>
      <c r="Z511" s="1819"/>
      <c r="AA511" s="305"/>
      <c r="AB511" s="305"/>
      <c r="AC511" s="166"/>
    </row>
    <row r="512" spans="1:29" s="2558" customFormat="1" ht="20.45" customHeight="1">
      <c r="A512" s="396"/>
      <c r="B512" s="2941"/>
      <c r="C512" s="397"/>
      <c r="D512" s="1126"/>
      <c r="E512" s="389" t="s">
        <v>199</v>
      </c>
      <c r="F512" s="472">
        <f>Y512</f>
        <v>4500</v>
      </c>
      <c r="G512" s="974">
        <v>4500</v>
      </c>
      <c r="H512" s="404"/>
      <c r="I512" s="2559"/>
      <c r="J512" s="2939" t="s">
        <v>1916</v>
      </c>
      <c r="K512" s="2938"/>
      <c r="L512" s="2938"/>
      <c r="M512" s="2938"/>
      <c r="N512" s="2938"/>
      <c r="O512" s="2938"/>
      <c r="P512" s="2938"/>
      <c r="Q512" s="408"/>
      <c r="R512" s="2931"/>
      <c r="S512" s="1672">
        <v>4500000</v>
      </c>
      <c r="T512" s="2940" t="s">
        <v>0</v>
      </c>
      <c r="U512" s="2940"/>
      <c r="V512" s="2940">
        <v>1</v>
      </c>
      <c r="W512" s="2940" t="s">
        <v>196</v>
      </c>
      <c r="X512" s="1140" t="s">
        <v>1</v>
      </c>
      <c r="Y512" s="1674">
        <f t="shared" ref="Y512:Y513" si="178">(Z512)/1000</f>
        <v>4500</v>
      </c>
      <c r="Z512" s="1823">
        <f>S512*V512</f>
        <v>4500000</v>
      </c>
      <c r="AA512" s="305"/>
      <c r="AB512" s="305"/>
      <c r="AC512" s="2557"/>
    </row>
    <row r="513" spans="1:29" s="2558" customFormat="1" ht="20.45" customHeight="1">
      <c r="A513" s="396"/>
      <c r="B513" s="2941"/>
      <c r="C513" s="397"/>
      <c r="D513" s="1126"/>
      <c r="E513" s="389" t="s">
        <v>195</v>
      </c>
      <c r="F513" s="472">
        <f>Y513</f>
        <v>1500</v>
      </c>
      <c r="G513" s="974">
        <v>1500</v>
      </c>
      <c r="H513" s="404"/>
      <c r="I513" s="2559"/>
      <c r="J513" s="2939" t="s">
        <v>1304</v>
      </c>
      <c r="K513" s="2938"/>
      <c r="L513" s="2938"/>
      <c r="M513" s="2938"/>
      <c r="N513" s="2938"/>
      <c r="O513" s="408">
        <v>25</v>
      </c>
      <c r="P513" s="2931" t="s">
        <v>28</v>
      </c>
      <c r="Q513" s="408">
        <v>3</v>
      </c>
      <c r="R513" s="2931" t="s">
        <v>33</v>
      </c>
      <c r="S513" s="1672">
        <v>20000</v>
      </c>
      <c r="T513" s="2940" t="s">
        <v>0</v>
      </c>
      <c r="U513" s="2940"/>
      <c r="V513" s="2940">
        <v>1</v>
      </c>
      <c r="W513" s="2940" t="s">
        <v>196</v>
      </c>
      <c r="X513" s="2940" t="s">
        <v>266</v>
      </c>
      <c r="Y513" s="1674">
        <f t="shared" si="178"/>
        <v>1500</v>
      </c>
      <c r="Z513" s="1823">
        <f>O513*Q513*S513*V513</f>
        <v>1500000</v>
      </c>
      <c r="AA513" s="305"/>
      <c r="AB513" s="305"/>
      <c r="AC513" s="2557"/>
    </row>
    <row r="514" spans="1:29" s="1669" customFormat="1" ht="20.45" customHeight="1">
      <c r="A514" s="396"/>
      <c r="B514" s="2941"/>
      <c r="C514" s="397"/>
      <c r="D514" s="1126"/>
      <c r="E514" s="389" t="s">
        <v>1780</v>
      </c>
      <c r="F514" s="472">
        <f>Y514</f>
        <v>3000</v>
      </c>
      <c r="G514" s="974">
        <v>3000</v>
      </c>
      <c r="H514" s="404"/>
      <c r="I514" s="2559"/>
      <c r="J514" s="2939" t="s">
        <v>1767</v>
      </c>
      <c r="K514" s="2938"/>
      <c r="L514" s="2938"/>
      <c r="M514" s="2938"/>
      <c r="N514" s="2938"/>
      <c r="O514" s="2938"/>
      <c r="P514" s="2938"/>
      <c r="Q514" s="408"/>
      <c r="R514" s="2931"/>
      <c r="S514" s="1672"/>
      <c r="T514" s="2940"/>
      <c r="U514" s="2940"/>
      <c r="V514" s="2940"/>
      <c r="W514" s="2940"/>
      <c r="X514" s="1140"/>
      <c r="Y514" s="1674">
        <f t="shared" ref="Y514:Y519" si="179">(Z514)/1000</f>
        <v>3000</v>
      </c>
      <c r="Z514" s="1823">
        <f>SUM(Z515:Z516)</f>
        <v>3000000</v>
      </c>
      <c r="AA514" s="305"/>
      <c r="AB514" s="305"/>
      <c r="AC514" s="166"/>
    </row>
    <row r="515" spans="1:29" s="1669" customFormat="1" ht="20.45" customHeight="1">
      <c r="A515" s="396"/>
      <c r="B515" s="2941"/>
      <c r="C515" s="397"/>
      <c r="D515" s="1126"/>
      <c r="E515" s="389"/>
      <c r="F515" s="472"/>
      <c r="G515" s="974"/>
      <c r="H515" s="404"/>
      <c r="I515" s="2559"/>
      <c r="J515" s="2939" t="s">
        <v>1906</v>
      </c>
      <c r="K515" s="2938"/>
      <c r="L515" s="2938"/>
      <c r="M515" s="2938"/>
      <c r="N515" s="2938"/>
      <c r="O515" s="2938"/>
      <c r="P515" s="2938"/>
      <c r="Q515" s="408">
        <v>3</v>
      </c>
      <c r="R515" s="2931" t="s">
        <v>1773</v>
      </c>
      <c r="S515" s="1672">
        <v>250000</v>
      </c>
      <c r="T515" s="2940" t="s">
        <v>0</v>
      </c>
      <c r="U515" s="2940"/>
      <c r="V515" s="2940">
        <v>2</v>
      </c>
      <c r="W515" s="2940" t="s">
        <v>3</v>
      </c>
      <c r="X515" s="1140" t="s">
        <v>1</v>
      </c>
      <c r="Y515" s="1674">
        <f t="shared" si="179"/>
        <v>1500</v>
      </c>
      <c r="Z515" s="1823">
        <f t="shared" ref="Z515:Z516" si="180">Q515*S515*V515</f>
        <v>1500000</v>
      </c>
      <c r="AA515" s="305"/>
      <c r="AB515" s="305"/>
      <c r="AC515" s="166"/>
    </row>
    <row r="516" spans="1:29" s="1669" customFormat="1" ht="23.1" customHeight="1">
      <c r="A516" s="396"/>
      <c r="B516" s="2941"/>
      <c r="C516" s="397"/>
      <c r="D516" s="1126"/>
      <c r="E516" s="389"/>
      <c r="F516" s="472"/>
      <c r="G516" s="974"/>
      <c r="H516" s="404"/>
      <c r="I516" s="2559"/>
      <c r="J516" s="2939" t="s">
        <v>1915</v>
      </c>
      <c r="K516" s="2938"/>
      <c r="L516" s="2938"/>
      <c r="M516" s="2938"/>
      <c r="N516" s="2938"/>
      <c r="O516" s="2938"/>
      <c r="P516" s="2938"/>
      <c r="Q516" s="408">
        <v>6</v>
      </c>
      <c r="R516" s="2931" t="s">
        <v>1773</v>
      </c>
      <c r="S516" s="1672">
        <v>250000</v>
      </c>
      <c r="T516" s="2940" t="s">
        <v>0</v>
      </c>
      <c r="U516" s="2940"/>
      <c r="V516" s="2940">
        <v>1</v>
      </c>
      <c r="W516" s="2940" t="s">
        <v>3</v>
      </c>
      <c r="X516" s="1140" t="s">
        <v>1</v>
      </c>
      <c r="Y516" s="1674">
        <f t="shared" si="179"/>
        <v>1500</v>
      </c>
      <c r="Z516" s="1823">
        <f t="shared" si="180"/>
        <v>1500000</v>
      </c>
      <c r="AA516" s="305"/>
      <c r="AB516" s="305"/>
      <c r="AC516" s="166"/>
    </row>
    <row r="517" spans="1:29" s="2558" customFormat="1" ht="23.1" customHeight="1">
      <c r="A517" s="396"/>
      <c r="B517" s="2941"/>
      <c r="C517" s="397"/>
      <c r="D517" s="1126"/>
      <c r="E517" s="389" t="s">
        <v>222</v>
      </c>
      <c r="F517" s="472">
        <f>Y517</f>
        <v>88000</v>
      </c>
      <c r="G517" s="974">
        <v>88000</v>
      </c>
      <c r="H517" s="404"/>
      <c r="I517" s="2559"/>
      <c r="J517" s="2939" t="s">
        <v>1914</v>
      </c>
      <c r="K517" s="2938"/>
      <c r="L517" s="2938"/>
      <c r="M517" s="2938"/>
      <c r="N517" s="2938"/>
      <c r="O517" s="2938"/>
      <c r="P517" s="2938"/>
      <c r="Q517" s="408"/>
      <c r="R517" s="2931"/>
      <c r="S517" s="1672">
        <v>44000000</v>
      </c>
      <c r="T517" s="2940" t="s">
        <v>0</v>
      </c>
      <c r="U517" s="2940"/>
      <c r="V517" s="2940">
        <v>2</v>
      </c>
      <c r="W517" s="2940" t="s">
        <v>330</v>
      </c>
      <c r="X517" s="1140" t="s">
        <v>1</v>
      </c>
      <c r="Y517" s="1674">
        <f t="shared" ref="Y517" si="181">(Z517)/1000</f>
        <v>88000</v>
      </c>
      <c r="Z517" s="1823">
        <f>S517*V517</f>
        <v>88000000</v>
      </c>
      <c r="AA517" s="305"/>
      <c r="AB517" s="305"/>
      <c r="AC517" s="2557"/>
    </row>
    <row r="518" spans="1:29" s="1669" customFormat="1" ht="23.1" customHeight="1">
      <c r="A518" s="396"/>
      <c r="B518" s="2941"/>
      <c r="C518" s="397"/>
      <c r="D518" s="1126"/>
      <c r="E518" s="389" t="s">
        <v>1769</v>
      </c>
      <c r="F518" s="472">
        <f>Y518</f>
        <v>2000</v>
      </c>
      <c r="G518" s="974">
        <v>2000</v>
      </c>
      <c r="H518" s="404"/>
      <c r="I518" s="2559"/>
      <c r="J518" s="2939" t="s">
        <v>1917</v>
      </c>
      <c r="K518" s="2938"/>
      <c r="L518" s="2938"/>
      <c r="M518" s="2938"/>
      <c r="N518" s="2938"/>
      <c r="O518" s="2938"/>
      <c r="P518" s="2938"/>
      <c r="Q518" s="408"/>
      <c r="R518" s="2931"/>
      <c r="S518" s="1672">
        <v>400000</v>
      </c>
      <c r="T518" s="2940" t="s">
        <v>0</v>
      </c>
      <c r="U518" s="2940"/>
      <c r="V518" s="2940">
        <v>5</v>
      </c>
      <c r="W518" s="2940" t="s">
        <v>1764</v>
      </c>
      <c r="X518" s="1140" t="s">
        <v>1</v>
      </c>
      <c r="Y518" s="1674">
        <f t="shared" si="179"/>
        <v>2000</v>
      </c>
      <c r="Z518" s="1823">
        <f>S518*V518</f>
        <v>2000000</v>
      </c>
      <c r="AA518" s="305"/>
      <c r="AB518" s="305"/>
      <c r="AC518" s="166"/>
    </row>
    <row r="519" spans="1:29" s="1669" customFormat="1" ht="23.1" customHeight="1">
      <c r="A519" s="396"/>
      <c r="B519" s="2941"/>
      <c r="C519" s="397"/>
      <c r="D519" s="359"/>
      <c r="E519" s="389" t="s">
        <v>1768</v>
      </c>
      <c r="F519" s="472">
        <f>Y519</f>
        <v>1000</v>
      </c>
      <c r="G519" s="974">
        <v>1000</v>
      </c>
      <c r="H519" s="404"/>
      <c r="I519" s="2559"/>
      <c r="J519" s="2939" t="s">
        <v>1896</v>
      </c>
      <c r="K519" s="2938"/>
      <c r="L519" s="2938"/>
      <c r="M519" s="2938"/>
      <c r="N519" s="2938"/>
      <c r="O519" s="2938"/>
      <c r="P519" s="2938"/>
      <c r="Q519" s="408">
        <v>5</v>
      </c>
      <c r="R519" s="2931" t="s">
        <v>1773</v>
      </c>
      <c r="S519" s="1672">
        <v>10000</v>
      </c>
      <c r="T519" s="2940" t="s">
        <v>0</v>
      </c>
      <c r="U519" s="2940"/>
      <c r="V519" s="2940">
        <v>20</v>
      </c>
      <c r="W519" s="2940" t="s">
        <v>1764</v>
      </c>
      <c r="X519" s="1140" t="s">
        <v>1</v>
      </c>
      <c r="Y519" s="1674">
        <f t="shared" si="179"/>
        <v>1000</v>
      </c>
      <c r="Z519" s="1823">
        <f>Q519*S519*V519</f>
        <v>1000000</v>
      </c>
      <c r="AA519" s="305"/>
      <c r="AB519" s="305"/>
      <c r="AC519" s="166"/>
    </row>
    <row r="520" spans="1:29" s="1669" customFormat="1" ht="22.5" customHeight="1">
      <c r="A520" s="396"/>
      <c r="B520" s="2941"/>
      <c r="C520" s="397"/>
      <c r="D520" s="3275" t="s">
        <v>253</v>
      </c>
      <c r="E520" s="3276"/>
      <c r="F520" s="382">
        <f>SUM(F521:F537)</f>
        <v>100000</v>
      </c>
      <c r="G520" s="382">
        <f>SUM(G521:G537)</f>
        <v>100000</v>
      </c>
      <c r="H520" s="468">
        <f>F520-G520</f>
        <v>0</v>
      </c>
      <c r="I520" s="2559"/>
      <c r="J520" s="394"/>
      <c r="K520" s="2921"/>
      <c r="L520" s="2921"/>
      <c r="M520" s="2921"/>
      <c r="N520" s="2921"/>
      <c r="O520" s="2921"/>
      <c r="P520" s="2921"/>
      <c r="Q520" s="2921"/>
      <c r="R520" s="395"/>
      <c r="S520" s="2921"/>
      <c r="T520" s="2921"/>
      <c r="U520" s="2921"/>
      <c r="V520" s="2921"/>
      <c r="W520" s="2921"/>
      <c r="X520" s="430"/>
      <c r="Y520" s="443"/>
      <c r="Z520" s="2509"/>
      <c r="AA520" s="305"/>
      <c r="AB520" s="305"/>
      <c r="AC520" s="166"/>
    </row>
    <row r="521" spans="1:29" ht="22.5" customHeight="1">
      <c r="A521" s="411"/>
      <c r="B521" s="412"/>
      <c r="C521" s="1328"/>
      <c r="D521" s="1126"/>
      <c r="E521" s="389" t="s">
        <v>51</v>
      </c>
      <c r="F521" s="472">
        <f t="shared" ref="F521" si="182">Y521</f>
        <v>13500</v>
      </c>
      <c r="G521" s="1116">
        <v>2000</v>
      </c>
      <c r="H521" s="404">
        <f t="shared" ref="H521" si="183">F521-G521</f>
        <v>11500</v>
      </c>
      <c r="I521" s="2559"/>
      <c r="J521" s="2939" t="s">
        <v>5453</v>
      </c>
      <c r="K521" s="2938"/>
      <c r="L521" s="2938"/>
      <c r="M521" s="2938"/>
      <c r="N521" s="2938"/>
      <c r="O521" s="2938"/>
      <c r="P521" s="2938"/>
      <c r="Q521" s="408"/>
      <c r="R521" s="2931"/>
      <c r="S521" s="1672"/>
      <c r="T521" s="2940"/>
      <c r="U521" s="2940"/>
      <c r="V521" s="2940"/>
      <c r="W521" s="2940"/>
      <c r="X521" s="1140"/>
      <c r="Y521" s="1674">
        <f t="shared" ref="Y521:Y525" si="184">(Z521)/1000</f>
        <v>13500</v>
      </c>
      <c r="Z521" s="1098">
        <f>Z522+Z523</f>
        <v>13500000</v>
      </c>
      <c r="AA521" s="305"/>
      <c r="AB521" s="305"/>
      <c r="AC521" s="2557"/>
    </row>
    <row r="522" spans="1:29" ht="22.5" customHeight="1">
      <c r="A522" s="411"/>
      <c r="B522" s="412"/>
      <c r="C522" s="1328"/>
      <c r="D522" s="1126"/>
      <c r="E522" s="1134"/>
      <c r="F522" s="383"/>
      <c r="G522" s="1116"/>
      <c r="H522" s="404"/>
      <c r="I522" s="2559"/>
      <c r="J522" s="2939" t="s">
        <v>5579</v>
      </c>
      <c r="K522" s="2938"/>
      <c r="L522" s="2938"/>
      <c r="M522" s="2938"/>
      <c r="N522" s="2938"/>
      <c r="O522" s="2938"/>
      <c r="P522" s="2938"/>
      <c r="Q522" s="408"/>
      <c r="R522" s="2931"/>
      <c r="S522" s="1672">
        <v>9000000</v>
      </c>
      <c r="T522" s="2940" t="s">
        <v>0</v>
      </c>
      <c r="U522" s="2940"/>
      <c r="V522" s="2940">
        <v>1</v>
      </c>
      <c r="W522" s="2940" t="s">
        <v>5463</v>
      </c>
      <c r="X522" s="1140" t="s">
        <v>1</v>
      </c>
      <c r="Y522" s="1674">
        <f t="shared" si="184"/>
        <v>9000</v>
      </c>
      <c r="Z522" s="1098">
        <f t="shared" ref="Z522:Z523" si="185">S522*V522</f>
        <v>9000000</v>
      </c>
      <c r="AA522" s="305"/>
      <c r="AB522" s="305"/>
      <c r="AC522" s="2557"/>
    </row>
    <row r="523" spans="1:29" ht="22.5" customHeight="1">
      <c r="A523" s="411"/>
      <c r="B523" s="412"/>
      <c r="C523" s="1328"/>
      <c r="D523" s="1126"/>
      <c r="E523" s="1134"/>
      <c r="F523" s="383"/>
      <c r="G523" s="1116"/>
      <c r="H523" s="404"/>
      <c r="I523" s="2559"/>
      <c r="J523" s="2939" t="s">
        <v>5580</v>
      </c>
      <c r="K523" s="2938"/>
      <c r="L523" s="2938"/>
      <c r="M523" s="2938"/>
      <c r="N523" s="2938"/>
      <c r="O523" s="2938"/>
      <c r="P523" s="2938"/>
      <c r="Q523" s="408"/>
      <c r="R523" s="2931"/>
      <c r="S523" s="1672">
        <v>4500000</v>
      </c>
      <c r="T523" s="2940" t="s">
        <v>0</v>
      </c>
      <c r="U523" s="2940"/>
      <c r="V523" s="2940">
        <v>1</v>
      </c>
      <c r="W523" s="2940" t="s">
        <v>5463</v>
      </c>
      <c r="X523" s="1140" t="s">
        <v>1</v>
      </c>
      <c r="Y523" s="1674">
        <f t="shared" si="184"/>
        <v>4500</v>
      </c>
      <c r="Z523" s="1098">
        <f t="shared" si="185"/>
        <v>4500000</v>
      </c>
      <c r="AA523" s="305"/>
      <c r="AB523" s="305"/>
      <c r="AC523" s="2557"/>
    </row>
    <row r="524" spans="1:29" ht="22.5" customHeight="1">
      <c r="A524" s="396"/>
      <c r="B524" s="2941"/>
      <c r="C524" s="1110"/>
      <c r="D524" s="875"/>
      <c r="E524" s="1134" t="s">
        <v>224</v>
      </c>
      <c r="F524" s="472">
        <f>Y524</f>
        <v>1000</v>
      </c>
      <c r="G524" s="472">
        <v>0</v>
      </c>
      <c r="H524" s="404">
        <f>F524-G524</f>
        <v>1000</v>
      </c>
      <c r="I524" s="2559"/>
      <c r="J524" s="2939" t="s">
        <v>5570</v>
      </c>
      <c r="K524" s="2938"/>
      <c r="L524" s="2938"/>
      <c r="M524" s="2938"/>
      <c r="N524" s="2938"/>
      <c r="O524" s="2938"/>
      <c r="P524" s="2938"/>
      <c r="Q524" s="408"/>
      <c r="R524" s="2931"/>
      <c r="S524" s="1672">
        <v>500000</v>
      </c>
      <c r="T524" s="2940" t="s">
        <v>0</v>
      </c>
      <c r="U524" s="2940"/>
      <c r="V524" s="2940">
        <v>2</v>
      </c>
      <c r="W524" s="2940" t="s">
        <v>5463</v>
      </c>
      <c r="X524" s="1140" t="s">
        <v>1</v>
      </c>
      <c r="Y524" s="1674">
        <f t="shared" si="184"/>
        <v>1000</v>
      </c>
      <c r="Z524" s="1098">
        <f>S524*V524</f>
        <v>1000000</v>
      </c>
      <c r="AA524" s="305"/>
      <c r="AB524" s="305"/>
      <c r="AC524" s="2557"/>
    </row>
    <row r="525" spans="1:29" ht="22.5" customHeight="1">
      <c r="A525" s="411"/>
      <c r="B525" s="412"/>
      <c r="C525" s="1328"/>
      <c r="D525" s="1126"/>
      <c r="E525" s="1134" t="s">
        <v>84</v>
      </c>
      <c r="F525" s="472">
        <f t="shared" ref="F525" si="186">Y525</f>
        <v>1000</v>
      </c>
      <c r="G525" s="1116">
        <v>1000</v>
      </c>
      <c r="H525" s="404"/>
      <c r="I525" s="2559"/>
      <c r="J525" s="2939" t="s">
        <v>252</v>
      </c>
      <c r="K525" s="2938"/>
      <c r="L525" s="2938"/>
      <c r="M525" s="2938"/>
      <c r="N525" s="2938"/>
      <c r="O525" s="408">
        <v>25</v>
      </c>
      <c r="P525" s="2931" t="s">
        <v>28</v>
      </c>
      <c r="Q525" s="408">
        <v>2</v>
      </c>
      <c r="R525" s="2931" t="s">
        <v>5462</v>
      </c>
      <c r="S525" s="1672">
        <v>20000</v>
      </c>
      <c r="T525" s="2940" t="s">
        <v>0</v>
      </c>
      <c r="U525" s="2940"/>
      <c r="V525" s="2940">
        <v>1</v>
      </c>
      <c r="W525" s="2940" t="s">
        <v>5457</v>
      </c>
      <c r="X525" s="2940" t="s">
        <v>5456</v>
      </c>
      <c r="Y525" s="1674">
        <f t="shared" si="184"/>
        <v>1000</v>
      </c>
      <c r="Z525" s="1098">
        <f>O525*Q525*S525*V525</f>
        <v>1000000</v>
      </c>
      <c r="AA525" s="305"/>
      <c r="AB525" s="305"/>
      <c r="AC525" s="2557"/>
    </row>
    <row r="526" spans="1:29" ht="22.5" customHeight="1">
      <c r="A526" s="396"/>
      <c r="B526" s="2941"/>
      <c r="C526" s="397"/>
      <c r="D526" s="465"/>
      <c r="E526" s="389" t="s">
        <v>219</v>
      </c>
      <c r="F526" s="472">
        <f t="shared" ref="F526:F532" si="187">Y526</f>
        <v>500</v>
      </c>
      <c r="G526" s="1311">
        <v>0</v>
      </c>
      <c r="H526" s="404">
        <f t="shared" ref="H526:H537" si="188">F526-G526</f>
        <v>500</v>
      </c>
      <c r="I526" s="2559"/>
      <c r="J526" s="2939" t="s">
        <v>5571</v>
      </c>
      <c r="K526" s="2938"/>
      <c r="L526" s="2938"/>
      <c r="M526" s="2938"/>
      <c r="N526" s="2938"/>
      <c r="O526" s="408"/>
      <c r="P526" s="2931"/>
      <c r="Q526" s="408"/>
      <c r="R526" s="2931"/>
      <c r="S526" s="1672">
        <v>500000</v>
      </c>
      <c r="T526" s="2940" t="s">
        <v>0</v>
      </c>
      <c r="U526" s="2940"/>
      <c r="V526" s="2940">
        <v>1</v>
      </c>
      <c r="W526" s="2940" t="s">
        <v>5463</v>
      </c>
      <c r="X526" s="1140" t="s">
        <v>1</v>
      </c>
      <c r="Y526" s="1674">
        <f t="shared" ref="Y526:Y537" si="189">(Z526)/1000</f>
        <v>500</v>
      </c>
      <c r="Z526" s="1098">
        <f>S526*V526</f>
        <v>500000</v>
      </c>
      <c r="AA526" s="305"/>
      <c r="AB526" s="305"/>
      <c r="AC526" s="166"/>
    </row>
    <row r="527" spans="1:29" ht="22.5" customHeight="1">
      <c r="A527" s="411"/>
      <c r="B527" s="412"/>
      <c r="C527" s="1328"/>
      <c r="D527" s="1126"/>
      <c r="E527" s="1134" t="s">
        <v>52</v>
      </c>
      <c r="F527" s="472">
        <f t="shared" si="187"/>
        <v>5000</v>
      </c>
      <c r="G527" s="1116">
        <v>3500</v>
      </c>
      <c r="H527" s="404">
        <f t="shared" si="188"/>
        <v>1500</v>
      </c>
      <c r="I527" s="2559"/>
      <c r="J527" s="2939" t="s">
        <v>5453</v>
      </c>
      <c r="K527" s="2938"/>
      <c r="L527" s="2938"/>
      <c r="M527" s="2938"/>
      <c r="N527" s="2938"/>
      <c r="O527" s="2938"/>
      <c r="P527" s="2938"/>
      <c r="Q527" s="408"/>
      <c r="R527" s="2931"/>
      <c r="S527" s="1672"/>
      <c r="T527" s="2940"/>
      <c r="U527" s="2940"/>
      <c r="V527" s="2940"/>
      <c r="W527" s="2940"/>
      <c r="X527" s="1140"/>
      <c r="Y527" s="1674">
        <f t="shared" ref="Y527:Y531" si="190">(Z527)/1000</f>
        <v>5000</v>
      </c>
      <c r="Z527" s="1098">
        <f>Z528+Z529+Z530+Z531</f>
        <v>5000000</v>
      </c>
      <c r="AA527" s="305"/>
      <c r="AB527" s="305"/>
      <c r="AC527" s="2557"/>
    </row>
    <row r="528" spans="1:29" ht="22.5" customHeight="1">
      <c r="A528" s="411"/>
      <c r="B528" s="412"/>
      <c r="C528" s="1328"/>
      <c r="D528" s="1126"/>
      <c r="E528" s="1134"/>
      <c r="F528" s="383"/>
      <c r="G528" s="1116"/>
      <c r="H528" s="404"/>
      <c r="I528" s="2559"/>
      <c r="J528" s="2939" t="s">
        <v>5461</v>
      </c>
      <c r="K528" s="2938"/>
      <c r="L528" s="2938"/>
      <c r="M528" s="2938"/>
      <c r="N528" s="2938"/>
      <c r="O528" s="2938"/>
      <c r="P528" s="2938"/>
      <c r="Q528" s="408">
        <v>3</v>
      </c>
      <c r="R528" s="2931" t="s">
        <v>5462</v>
      </c>
      <c r="S528" s="1672">
        <v>200000</v>
      </c>
      <c r="T528" s="2940" t="s">
        <v>0</v>
      </c>
      <c r="U528" s="2940"/>
      <c r="V528" s="2940">
        <v>2</v>
      </c>
      <c r="W528" s="2940" t="s">
        <v>3</v>
      </c>
      <c r="X528" s="1140" t="s">
        <v>1</v>
      </c>
      <c r="Y528" s="1674">
        <f t="shared" si="190"/>
        <v>1200</v>
      </c>
      <c r="Z528" s="1098">
        <f t="shared" ref="Z528:Z531" si="191">Q528*S528*V528</f>
        <v>1200000</v>
      </c>
      <c r="AA528" s="305"/>
      <c r="AB528" s="305"/>
      <c r="AC528" s="2557"/>
    </row>
    <row r="529" spans="1:29" ht="22.5" customHeight="1">
      <c r="A529" s="411"/>
      <c r="B529" s="412"/>
      <c r="C529" s="1328"/>
      <c r="D529" s="1126"/>
      <c r="E529" s="1134"/>
      <c r="F529" s="383"/>
      <c r="G529" s="1116"/>
      <c r="H529" s="404"/>
      <c r="I529" s="2559"/>
      <c r="J529" s="2939" t="s">
        <v>5573</v>
      </c>
      <c r="K529" s="2938"/>
      <c r="L529" s="2938"/>
      <c r="M529" s="2938"/>
      <c r="N529" s="2938"/>
      <c r="O529" s="2938"/>
      <c r="P529" s="2938"/>
      <c r="Q529" s="408">
        <v>6</v>
      </c>
      <c r="R529" s="2931" t="s">
        <v>5462</v>
      </c>
      <c r="S529" s="1672">
        <v>300000</v>
      </c>
      <c r="T529" s="2940" t="s">
        <v>0</v>
      </c>
      <c r="U529" s="2940"/>
      <c r="V529" s="2940">
        <v>1</v>
      </c>
      <c r="W529" s="2940" t="s">
        <v>3</v>
      </c>
      <c r="X529" s="1140" t="s">
        <v>1</v>
      </c>
      <c r="Y529" s="1674">
        <f t="shared" si="190"/>
        <v>1800</v>
      </c>
      <c r="Z529" s="1098">
        <f t="shared" si="191"/>
        <v>1800000</v>
      </c>
      <c r="AA529" s="305"/>
      <c r="AB529" s="305"/>
      <c r="AC529" s="2557"/>
    </row>
    <row r="530" spans="1:29" ht="22.5" customHeight="1">
      <c r="A530" s="411"/>
      <c r="B530" s="412"/>
      <c r="C530" s="1328"/>
      <c r="D530" s="1126"/>
      <c r="E530" s="1134"/>
      <c r="F530" s="383"/>
      <c r="G530" s="1116"/>
      <c r="H530" s="404"/>
      <c r="I530" s="2559"/>
      <c r="J530" s="2939" t="s">
        <v>5574</v>
      </c>
      <c r="K530" s="2938"/>
      <c r="L530" s="2938"/>
      <c r="M530" s="2938"/>
      <c r="N530" s="2938"/>
      <c r="O530" s="2938"/>
      <c r="P530" s="2938"/>
      <c r="Q530" s="408">
        <v>1</v>
      </c>
      <c r="R530" s="2931" t="s">
        <v>5462</v>
      </c>
      <c r="S530" s="1672">
        <v>100000</v>
      </c>
      <c r="T530" s="2940" t="s">
        <v>0</v>
      </c>
      <c r="U530" s="2940"/>
      <c r="V530" s="2940">
        <v>10</v>
      </c>
      <c r="W530" s="2940" t="s">
        <v>3</v>
      </c>
      <c r="X530" s="1140" t="s">
        <v>1</v>
      </c>
      <c r="Y530" s="1674">
        <f t="shared" si="190"/>
        <v>1000</v>
      </c>
      <c r="Z530" s="1098">
        <f t="shared" si="191"/>
        <v>1000000</v>
      </c>
      <c r="AA530" s="305"/>
      <c r="AB530" s="305"/>
      <c r="AC530" s="2557"/>
    </row>
    <row r="531" spans="1:29" ht="22.5" customHeight="1">
      <c r="A531" s="411"/>
      <c r="B531" s="412"/>
      <c r="C531" s="1328"/>
      <c r="D531" s="1126"/>
      <c r="E531" s="1134"/>
      <c r="F531" s="383"/>
      <c r="G531" s="1116"/>
      <c r="H531" s="404"/>
      <c r="I531" s="2559"/>
      <c r="J531" s="2939" t="s">
        <v>5575</v>
      </c>
      <c r="K531" s="2938"/>
      <c r="L531" s="2938"/>
      <c r="M531" s="2938"/>
      <c r="N531" s="2938"/>
      <c r="O531" s="2938"/>
      <c r="P531" s="2938"/>
      <c r="Q531" s="408">
        <v>5</v>
      </c>
      <c r="R531" s="2931" t="s">
        <v>5462</v>
      </c>
      <c r="S531" s="1672">
        <v>200000</v>
      </c>
      <c r="T531" s="2940" t="s">
        <v>0</v>
      </c>
      <c r="U531" s="2940"/>
      <c r="V531" s="2940">
        <v>1</v>
      </c>
      <c r="W531" s="2940" t="s">
        <v>3</v>
      </c>
      <c r="X531" s="1140" t="s">
        <v>1</v>
      </c>
      <c r="Y531" s="1674">
        <f t="shared" si="190"/>
        <v>1000</v>
      </c>
      <c r="Z531" s="1098">
        <f t="shared" si="191"/>
        <v>1000000</v>
      </c>
      <c r="AA531" s="305"/>
      <c r="AB531" s="305"/>
      <c r="AC531" s="2557"/>
    </row>
    <row r="532" spans="1:29" ht="22.5" customHeight="1">
      <c r="A532" s="411"/>
      <c r="B532" s="412"/>
      <c r="C532" s="1328"/>
      <c r="D532" s="1126"/>
      <c r="E532" s="389" t="s">
        <v>287</v>
      </c>
      <c r="F532" s="472">
        <f t="shared" si="187"/>
        <v>26000</v>
      </c>
      <c r="G532" s="1116">
        <v>0</v>
      </c>
      <c r="H532" s="404">
        <f t="shared" si="188"/>
        <v>26000</v>
      </c>
      <c r="I532" s="2559"/>
      <c r="J532" s="2939" t="s">
        <v>5453</v>
      </c>
      <c r="K532" s="2938"/>
      <c r="L532" s="2938"/>
      <c r="M532" s="2938"/>
      <c r="N532" s="2938"/>
      <c r="O532" s="2938"/>
      <c r="P532" s="2938"/>
      <c r="Q532" s="408"/>
      <c r="R532" s="2931"/>
      <c r="S532" s="1672"/>
      <c r="T532" s="2940"/>
      <c r="U532" s="2940"/>
      <c r="V532" s="2940"/>
      <c r="W532" s="2940"/>
      <c r="X532" s="1140"/>
      <c r="Y532" s="1674">
        <f t="shared" si="189"/>
        <v>26000</v>
      </c>
      <c r="Z532" s="1098">
        <f>Z533+Z534</f>
        <v>26000000</v>
      </c>
      <c r="AA532" s="305"/>
      <c r="AB532" s="305"/>
      <c r="AC532" s="166"/>
    </row>
    <row r="533" spans="1:29" ht="22.5" customHeight="1">
      <c r="A533" s="411"/>
      <c r="B533" s="412"/>
      <c r="C533" s="1328"/>
      <c r="D533" s="1126"/>
      <c r="E533" s="389"/>
      <c r="F533" s="383"/>
      <c r="G533" s="1116"/>
      <c r="H533" s="404"/>
      <c r="I533" s="2559"/>
      <c r="J533" s="2939" t="s">
        <v>5581</v>
      </c>
      <c r="K533" s="2938"/>
      <c r="L533" s="2938"/>
      <c r="M533" s="2938"/>
      <c r="N533" s="2938"/>
      <c r="O533" s="2938"/>
      <c r="P533" s="2938"/>
      <c r="Q533" s="408"/>
      <c r="R533" s="2931"/>
      <c r="S533" s="1672">
        <v>9000000</v>
      </c>
      <c r="T533" s="2940" t="s">
        <v>0</v>
      </c>
      <c r="U533" s="2940"/>
      <c r="V533" s="2940">
        <v>1</v>
      </c>
      <c r="W533" s="2940" t="s">
        <v>5457</v>
      </c>
      <c r="X533" s="1140" t="s">
        <v>1</v>
      </c>
      <c r="Y533" s="1674">
        <f t="shared" si="189"/>
        <v>9000</v>
      </c>
      <c r="Z533" s="1098">
        <f t="shared" ref="Z533:Z534" si="192">S533*V533</f>
        <v>9000000</v>
      </c>
      <c r="AA533" s="305"/>
      <c r="AB533" s="305"/>
      <c r="AC533" s="166"/>
    </row>
    <row r="534" spans="1:29" ht="22.5" customHeight="1">
      <c r="A534" s="411"/>
      <c r="B534" s="412"/>
      <c r="C534" s="1328"/>
      <c r="D534" s="1126"/>
      <c r="E534" s="389"/>
      <c r="F534" s="383"/>
      <c r="G534" s="1116"/>
      <c r="H534" s="404"/>
      <c r="I534" s="2559"/>
      <c r="J534" s="2939" t="s">
        <v>5582</v>
      </c>
      <c r="K534" s="2938"/>
      <c r="L534" s="2938"/>
      <c r="M534" s="2938"/>
      <c r="N534" s="2938"/>
      <c r="O534" s="2938"/>
      <c r="P534" s="2938"/>
      <c r="Q534" s="408"/>
      <c r="R534" s="2931"/>
      <c r="S534" s="1672">
        <v>17000000</v>
      </c>
      <c r="T534" s="2940" t="s">
        <v>0</v>
      </c>
      <c r="U534" s="2940"/>
      <c r="V534" s="2940">
        <v>1</v>
      </c>
      <c r="W534" s="2940" t="s">
        <v>5572</v>
      </c>
      <c r="X534" s="1140" t="s">
        <v>1</v>
      </c>
      <c r="Y534" s="1674">
        <f t="shared" si="189"/>
        <v>17000</v>
      </c>
      <c r="Z534" s="1098">
        <f t="shared" si="192"/>
        <v>17000000</v>
      </c>
      <c r="AA534" s="305"/>
      <c r="AB534" s="305"/>
      <c r="AC534" s="2557"/>
    </row>
    <row r="535" spans="1:29" ht="22.5" customHeight="1">
      <c r="A535" s="411"/>
      <c r="B535" s="412"/>
      <c r="C535" s="1328"/>
      <c r="D535" s="1126"/>
      <c r="E535" s="875" t="s">
        <v>222</v>
      </c>
      <c r="F535" s="472">
        <f t="shared" ref="F535:F537" si="193">Y535</f>
        <v>50000</v>
      </c>
      <c r="G535" s="1116">
        <v>90000</v>
      </c>
      <c r="H535" s="404">
        <f t="shared" si="188"/>
        <v>-40000</v>
      </c>
      <c r="I535" s="2559"/>
      <c r="J535" s="2939" t="s">
        <v>5576</v>
      </c>
      <c r="K535" s="2938"/>
      <c r="L535" s="2938"/>
      <c r="M535" s="2938"/>
      <c r="N535" s="2938"/>
      <c r="O535" s="2938"/>
      <c r="P535" s="2938"/>
      <c r="Q535" s="408"/>
      <c r="R535" s="2931"/>
      <c r="S535" s="1672">
        <v>25000000</v>
      </c>
      <c r="T535" s="2940" t="s">
        <v>0</v>
      </c>
      <c r="U535" s="2940"/>
      <c r="V535" s="2940">
        <v>2</v>
      </c>
      <c r="W535" s="2940" t="s">
        <v>5572</v>
      </c>
      <c r="X535" s="1140" t="s">
        <v>1</v>
      </c>
      <c r="Y535" s="1674">
        <f t="shared" si="189"/>
        <v>50000</v>
      </c>
      <c r="Z535" s="1098">
        <f>S535*V535</f>
        <v>50000000</v>
      </c>
      <c r="AA535" s="305"/>
      <c r="AB535" s="305"/>
      <c r="AC535" s="166"/>
    </row>
    <row r="536" spans="1:29" ht="22.5" customHeight="1">
      <c r="A536" s="411"/>
      <c r="B536" s="412"/>
      <c r="C536" s="1328"/>
      <c r="D536" s="465"/>
      <c r="E536" s="1134" t="s">
        <v>56</v>
      </c>
      <c r="F536" s="472">
        <f t="shared" si="193"/>
        <v>1500</v>
      </c>
      <c r="G536" s="1311">
        <v>2500</v>
      </c>
      <c r="H536" s="404">
        <f t="shared" si="188"/>
        <v>-1000</v>
      </c>
      <c r="I536" s="2559"/>
      <c r="J536" s="2939" t="s">
        <v>5577</v>
      </c>
      <c r="K536" s="2940"/>
      <c r="L536" s="2938"/>
      <c r="M536" s="2938"/>
      <c r="N536" s="2938"/>
      <c r="O536" s="2938"/>
      <c r="P536" s="2938"/>
      <c r="Q536" s="408"/>
      <c r="R536" s="2931"/>
      <c r="S536" s="1672">
        <v>300000</v>
      </c>
      <c r="T536" s="2940" t="s">
        <v>0</v>
      </c>
      <c r="U536" s="2940"/>
      <c r="V536" s="2940">
        <v>5</v>
      </c>
      <c r="W536" s="2940" t="s">
        <v>5463</v>
      </c>
      <c r="X536" s="1140" t="s">
        <v>1</v>
      </c>
      <c r="Y536" s="1674">
        <f t="shared" si="189"/>
        <v>1500</v>
      </c>
      <c r="Z536" s="1098">
        <f>S536*V536</f>
        <v>1500000</v>
      </c>
      <c r="AA536" s="305"/>
      <c r="AB536" s="305"/>
      <c r="AC536" s="166"/>
    </row>
    <row r="537" spans="1:29" ht="22.5" customHeight="1" thickBot="1">
      <c r="A537" s="411"/>
      <c r="B537" s="412"/>
      <c r="C537" s="1328"/>
      <c r="D537" s="465"/>
      <c r="E537" s="855" t="s">
        <v>55</v>
      </c>
      <c r="F537" s="472">
        <f t="shared" si="193"/>
        <v>1500</v>
      </c>
      <c r="G537" s="2211">
        <v>1000</v>
      </c>
      <c r="H537" s="404">
        <f t="shared" si="188"/>
        <v>500</v>
      </c>
      <c r="I537" s="2559"/>
      <c r="J537" s="1160" t="s">
        <v>5578</v>
      </c>
      <c r="K537" s="1162"/>
      <c r="L537" s="1161"/>
      <c r="M537" s="1161"/>
      <c r="N537" s="1161"/>
      <c r="O537" s="1161"/>
      <c r="P537" s="1161"/>
      <c r="Q537" s="865">
        <v>3</v>
      </c>
      <c r="R537" s="2931" t="s">
        <v>5462</v>
      </c>
      <c r="S537" s="480">
        <v>20000</v>
      </c>
      <c r="T537" s="1162" t="s">
        <v>0</v>
      </c>
      <c r="U537" s="1162"/>
      <c r="V537" s="1162">
        <v>25</v>
      </c>
      <c r="W537" s="1162" t="s">
        <v>3</v>
      </c>
      <c r="X537" s="1163" t="s">
        <v>1</v>
      </c>
      <c r="Y537" s="1674">
        <f t="shared" si="189"/>
        <v>1500</v>
      </c>
      <c r="Z537" s="1729">
        <f>Q537*S537*V537</f>
        <v>1500000</v>
      </c>
      <c r="AA537" s="305"/>
      <c r="AB537" s="305"/>
      <c r="AC537" s="166"/>
    </row>
    <row r="538" spans="1:29" ht="22.5" customHeight="1" thickBot="1">
      <c r="A538" s="1334"/>
      <c r="B538" s="3360" t="s">
        <v>1918</v>
      </c>
      <c r="C538" s="3269"/>
      <c r="D538" s="3269"/>
      <c r="E538" s="3270"/>
      <c r="F538" s="1260">
        <f>+F539+F616</f>
        <v>2682000</v>
      </c>
      <c r="G538" s="1260">
        <f>+G539+G616</f>
        <v>2682000</v>
      </c>
      <c r="H538" s="838">
        <f>F538-G538</f>
        <v>0</v>
      </c>
      <c r="I538" s="473"/>
      <c r="J538" s="1335"/>
      <c r="K538" s="1336"/>
      <c r="L538" s="1336"/>
      <c r="M538" s="1336"/>
      <c r="N538" s="1336"/>
      <c r="O538" s="1337"/>
      <c r="P538" s="2933"/>
      <c r="Q538" s="1339"/>
      <c r="R538" s="2933"/>
      <c r="S538" s="1337"/>
      <c r="T538" s="1336"/>
      <c r="U538" s="1337"/>
      <c r="V538" s="1336"/>
      <c r="W538" s="1336"/>
      <c r="X538" s="1337"/>
      <c r="Y538" s="842"/>
      <c r="Z538" s="1735"/>
      <c r="AA538" s="305"/>
      <c r="AB538" s="305"/>
      <c r="AC538" s="166"/>
    </row>
    <row r="539" spans="1:29" ht="22.5" customHeight="1">
      <c r="A539" s="903"/>
      <c r="B539" s="1340"/>
      <c r="C539" s="3361" t="s">
        <v>70</v>
      </c>
      <c r="D539" s="3362"/>
      <c r="E539" s="3363"/>
      <c r="F539" s="1341">
        <f>+F540+F553+F614</f>
        <v>1653000</v>
      </c>
      <c r="G539" s="1341">
        <f>+G540+G553+G614</f>
        <v>1653000</v>
      </c>
      <c r="H539" s="788">
        <f>+F539-G539</f>
        <v>0</v>
      </c>
      <c r="I539" s="473"/>
      <c r="J539" s="790"/>
      <c r="K539" s="791"/>
      <c r="L539" s="791"/>
      <c r="M539" s="791"/>
      <c r="N539" s="791"/>
      <c r="O539" s="792"/>
      <c r="P539" s="2930"/>
      <c r="Q539" s="793"/>
      <c r="R539" s="2930"/>
      <c r="S539" s="792"/>
      <c r="T539" s="791"/>
      <c r="U539" s="792"/>
      <c r="V539" s="791"/>
      <c r="W539" s="791"/>
      <c r="X539" s="792"/>
      <c r="Y539" s="794"/>
      <c r="Z539" s="1736"/>
      <c r="AA539" s="305"/>
      <c r="AB539" s="305"/>
      <c r="AC539" s="166"/>
    </row>
    <row r="540" spans="1:29" s="17" customFormat="1" ht="22.5" customHeight="1">
      <c r="A540" s="475"/>
      <c r="B540" s="335"/>
      <c r="C540" s="1126"/>
      <c r="D540" s="3364" t="s">
        <v>1772</v>
      </c>
      <c r="E540" s="3365"/>
      <c r="F540" s="373">
        <f>SUM(F541:F552)</f>
        <v>557000</v>
      </c>
      <c r="G540" s="373">
        <f>SUM(G541:G552)</f>
        <v>557000</v>
      </c>
      <c r="H540" s="361">
        <f>F540-G540</f>
        <v>0</v>
      </c>
      <c r="I540" s="473"/>
      <c r="J540" s="796"/>
      <c r="K540" s="797"/>
      <c r="L540" s="797"/>
      <c r="M540" s="797"/>
      <c r="N540" s="797"/>
      <c r="O540" s="797"/>
      <c r="P540" s="798"/>
      <c r="Q540" s="799"/>
      <c r="R540" s="2928"/>
      <c r="S540" s="800"/>
      <c r="T540" s="2932"/>
      <c r="U540" s="800"/>
      <c r="V540" s="2932"/>
      <c r="W540" s="2932"/>
      <c r="X540" s="800"/>
      <c r="Y540" s="801"/>
      <c r="Z540" s="1775">
        <f>+Z541+Z549+Z548</f>
        <v>557000000</v>
      </c>
      <c r="AA540" s="305"/>
      <c r="AB540" s="312"/>
      <c r="AC540" s="312"/>
    </row>
    <row r="541" spans="1:29" s="17" customFormat="1" ht="22.5" customHeight="1">
      <c r="A541" s="475"/>
      <c r="B541" s="335"/>
      <c r="C541" s="1126"/>
      <c r="D541" s="1126"/>
      <c r="E541" s="465" t="s">
        <v>1919</v>
      </c>
      <c r="F541" s="598">
        <f>+Y541</f>
        <v>451260</v>
      </c>
      <c r="G541" s="598">
        <v>451260</v>
      </c>
      <c r="H541" s="352"/>
      <c r="I541" s="473"/>
      <c r="J541" s="802" t="s">
        <v>1920</v>
      </c>
      <c r="K541" s="803"/>
      <c r="L541" s="803"/>
      <c r="M541" s="803"/>
      <c r="N541" s="649"/>
      <c r="O541" s="649"/>
      <c r="P541" s="803"/>
      <c r="Q541" s="804"/>
      <c r="R541" s="1671"/>
      <c r="S541" s="1671"/>
      <c r="T541" s="1671"/>
      <c r="U541" s="1671"/>
      <c r="V541" s="1671"/>
      <c r="W541" s="1671"/>
      <c r="X541" s="1671"/>
      <c r="Y541" s="874">
        <f>+INT(Z541/1000)</f>
        <v>451260</v>
      </c>
      <c r="Z541" s="1774">
        <f>+Z542+Z544+Z546</f>
        <v>451260000</v>
      </c>
      <c r="AA541" s="305"/>
      <c r="AB541" s="312"/>
      <c r="AC541" s="312"/>
    </row>
    <row r="542" spans="1:29" s="17" customFormat="1" ht="22.5" customHeight="1">
      <c r="A542" s="2934"/>
      <c r="B542" s="1145"/>
      <c r="C542" s="470"/>
      <c r="D542" s="1126"/>
      <c r="E542" s="465"/>
      <c r="F542" s="598"/>
      <c r="G542" s="598"/>
      <c r="H542" s="404"/>
      <c r="I542" s="473"/>
      <c r="J542" s="802" t="s">
        <v>1921</v>
      </c>
      <c r="K542" s="805"/>
      <c r="L542" s="646"/>
      <c r="M542" s="646"/>
      <c r="N542" s="649"/>
      <c r="O542" s="649"/>
      <c r="P542" s="803"/>
      <c r="Q542" s="804" t="s">
        <v>1922</v>
      </c>
      <c r="R542" s="1671" t="s">
        <v>696</v>
      </c>
      <c r="S542" s="806"/>
      <c r="T542" s="1671"/>
      <c r="U542" s="1671"/>
      <c r="V542" s="1671"/>
      <c r="W542" s="1671"/>
      <c r="X542" s="1671"/>
      <c r="Y542" s="874">
        <f t="shared" ref="Y542:Y549" si="194">+Z542/1000</f>
        <v>386400</v>
      </c>
      <c r="Z542" s="1774">
        <f>SUM(Z543:Z543)</f>
        <v>386400000</v>
      </c>
      <c r="AA542" s="305"/>
      <c r="AB542" s="312"/>
      <c r="AC542" s="312"/>
    </row>
    <row r="543" spans="1:29" s="17" customFormat="1" ht="22.5" customHeight="1">
      <c r="A543" s="2934"/>
      <c r="B543" s="1145"/>
      <c r="C543" s="470"/>
      <c r="D543" s="1126"/>
      <c r="E543" s="465"/>
      <c r="F543" s="598"/>
      <c r="G543" s="598"/>
      <c r="H543" s="404"/>
      <c r="I543" s="473"/>
      <c r="J543" s="802"/>
      <c r="K543" s="807" t="s">
        <v>1923</v>
      </c>
      <c r="L543" s="646"/>
      <c r="M543" s="646"/>
      <c r="N543" s="808"/>
      <c r="O543" s="803"/>
      <c r="P543" s="803"/>
      <c r="Q543" s="804" t="s">
        <v>1924</v>
      </c>
      <c r="R543" s="1671" t="s">
        <v>1773</v>
      </c>
      <c r="S543" s="1672">
        <v>4025000</v>
      </c>
      <c r="T543" s="1671" t="s">
        <v>1763</v>
      </c>
      <c r="U543" s="1671"/>
      <c r="V543" s="1671">
        <v>12</v>
      </c>
      <c r="W543" s="1671" t="s">
        <v>1779</v>
      </c>
      <c r="X543" s="1671" t="s">
        <v>1765</v>
      </c>
      <c r="Y543" s="874">
        <f t="shared" si="194"/>
        <v>386400</v>
      </c>
      <c r="Z543" s="1644">
        <f>ROUNDUP(S543*Q543*V543,-3)</f>
        <v>386400000</v>
      </c>
      <c r="AA543" s="305"/>
      <c r="AB543" s="312">
        <f>32200000*12</f>
        <v>386400000</v>
      </c>
      <c r="AC543" s="312">
        <f>AB543/V543/Q543</f>
        <v>4025000</v>
      </c>
    </row>
    <row r="544" spans="1:29" s="17" customFormat="1" ht="22.5" customHeight="1">
      <c r="A544" s="2934"/>
      <c r="B544" s="1145"/>
      <c r="C544" s="470"/>
      <c r="D544" s="1126"/>
      <c r="E544" s="465"/>
      <c r="F544" s="598"/>
      <c r="G544" s="598"/>
      <c r="H544" s="404"/>
      <c r="I544" s="473"/>
      <c r="J544" s="802" t="s">
        <v>1925</v>
      </c>
      <c r="K544" s="805"/>
      <c r="L544" s="646"/>
      <c r="M544" s="646"/>
      <c r="N544" s="808"/>
      <c r="O544" s="803"/>
      <c r="P544" s="803"/>
      <c r="Q544" s="804"/>
      <c r="R544" s="2938"/>
      <c r="S544" s="1671"/>
      <c r="T544" s="2938"/>
      <c r="U544" s="1671"/>
      <c r="V544" s="1671"/>
      <c r="W544" s="1671"/>
      <c r="X544" s="1671"/>
      <c r="Y544" s="874">
        <f t="shared" si="194"/>
        <v>48000</v>
      </c>
      <c r="Z544" s="1644">
        <f>SUM(Z545:Z545)</f>
        <v>48000000</v>
      </c>
      <c r="AA544" s="305"/>
      <c r="AB544" s="312"/>
      <c r="AC544" s="312"/>
    </row>
    <row r="545" spans="1:29" s="17" customFormat="1" ht="22.5" customHeight="1">
      <c r="A545" s="2934"/>
      <c r="B545" s="1145"/>
      <c r="C545" s="470"/>
      <c r="D545" s="1126"/>
      <c r="E545" s="465"/>
      <c r="F545" s="598"/>
      <c r="G545" s="598"/>
      <c r="H545" s="404"/>
      <c r="I545" s="473"/>
      <c r="J545" s="802"/>
      <c r="K545" s="807" t="s">
        <v>1923</v>
      </c>
      <c r="L545" s="646"/>
      <c r="M545" s="646"/>
      <c r="N545" s="808"/>
      <c r="O545" s="803"/>
      <c r="P545" s="803"/>
      <c r="Q545" s="804" t="s">
        <v>1924</v>
      </c>
      <c r="R545" s="1671" t="s">
        <v>1773</v>
      </c>
      <c r="S545" s="1672">
        <v>500000</v>
      </c>
      <c r="T545" s="1671" t="s">
        <v>1763</v>
      </c>
      <c r="U545" s="1671"/>
      <c r="V545" s="1671">
        <v>12</v>
      </c>
      <c r="W545" s="1671" t="s">
        <v>1779</v>
      </c>
      <c r="X545" s="1671" t="s">
        <v>1765</v>
      </c>
      <c r="Y545" s="874">
        <f t="shared" si="194"/>
        <v>48000</v>
      </c>
      <c r="Z545" s="1674">
        <f>ROUNDUP(S545*Q545*V545,-3)</f>
        <v>48000000</v>
      </c>
      <c r="AA545" s="305"/>
      <c r="AB545" s="312">
        <f>4000000*12</f>
        <v>48000000</v>
      </c>
      <c r="AC545" s="312">
        <f>AB545/V545/Q545</f>
        <v>500000</v>
      </c>
    </row>
    <row r="546" spans="1:29" s="17" customFormat="1" ht="22.5" customHeight="1">
      <c r="A546" s="2934"/>
      <c r="B546" s="1145"/>
      <c r="C546" s="470"/>
      <c r="D546" s="1126"/>
      <c r="E546" s="465"/>
      <c r="F546" s="598"/>
      <c r="G546" s="598"/>
      <c r="H546" s="404"/>
      <c r="I546" s="473"/>
      <c r="J546" s="802" t="s">
        <v>677</v>
      </c>
      <c r="K546" s="805"/>
      <c r="L546" s="646"/>
      <c r="M546" s="646"/>
      <c r="N546" s="808"/>
      <c r="O546" s="803"/>
      <c r="P546" s="803"/>
      <c r="Q546" s="804"/>
      <c r="R546" s="2938"/>
      <c r="S546" s="1671"/>
      <c r="T546" s="2938"/>
      <c r="U546" s="1671"/>
      <c r="V546" s="1671"/>
      <c r="W546" s="1671"/>
      <c r="X546" s="1671"/>
      <c r="Y546" s="874">
        <f t="shared" si="194"/>
        <v>16860</v>
      </c>
      <c r="Z546" s="1674">
        <f>SUM(Z547:Z547)</f>
        <v>16860000</v>
      </c>
      <c r="AA546" s="305"/>
      <c r="AB546" s="312"/>
      <c r="AC546" s="312"/>
    </row>
    <row r="547" spans="1:29" s="17" customFormat="1" ht="22.5" customHeight="1">
      <c r="A547" s="2934"/>
      <c r="B547" s="1145"/>
      <c r="C547" s="470"/>
      <c r="D547" s="1126"/>
      <c r="E547" s="465"/>
      <c r="F547" s="598"/>
      <c r="G547" s="598"/>
      <c r="H547" s="404"/>
      <c r="I547" s="473"/>
      <c r="J547" s="802"/>
      <c r="K547" s="807" t="s">
        <v>1923</v>
      </c>
      <c r="L547" s="646"/>
      <c r="M547" s="646"/>
      <c r="N547" s="808"/>
      <c r="O547" s="803"/>
      <c r="P547" s="803"/>
      <c r="Q547" s="804" t="s">
        <v>1924</v>
      </c>
      <c r="R547" s="1671" t="s">
        <v>1773</v>
      </c>
      <c r="S547" s="1672">
        <v>2107500</v>
      </c>
      <c r="T547" s="1671" t="s">
        <v>1763</v>
      </c>
      <c r="U547" s="1671"/>
      <c r="V547" s="1671">
        <v>1</v>
      </c>
      <c r="W547" s="1671" t="s">
        <v>1770</v>
      </c>
      <c r="X547" s="1671" t="s">
        <v>1765</v>
      </c>
      <c r="Y547" s="874">
        <f t="shared" si="194"/>
        <v>16860</v>
      </c>
      <c r="Z547" s="1674">
        <f>ROUNDUP(S547*Q547*V547,-3)</f>
        <v>16860000</v>
      </c>
      <c r="AA547" s="305"/>
      <c r="AB547" s="312">
        <v>16860000</v>
      </c>
      <c r="AC547" s="312">
        <f>AB547/Q547</f>
        <v>2107500</v>
      </c>
    </row>
    <row r="548" spans="1:29" s="17" customFormat="1" ht="22.5" customHeight="1">
      <c r="A548" s="2934"/>
      <c r="B548" s="1145"/>
      <c r="C548" s="470"/>
      <c r="D548" s="1126"/>
      <c r="E548" s="762" t="s">
        <v>1926</v>
      </c>
      <c r="F548" s="1683">
        <f>Y548</f>
        <v>54300</v>
      </c>
      <c r="G548" s="1683">
        <v>54300</v>
      </c>
      <c r="H548" s="468"/>
      <c r="I548" s="473"/>
      <c r="J548" s="1980" t="s">
        <v>1927</v>
      </c>
      <c r="K548" s="1981"/>
      <c r="L548" s="797"/>
      <c r="M548" s="797"/>
      <c r="N548" s="1982"/>
      <c r="O548" s="1982"/>
      <c r="P548" s="1981"/>
      <c r="Q548" s="1983"/>
      <c r="R548" s="462"/>
      <c r="S548" s="399">
        <f>+Z543+Z545</f>
        <v>434400000</v>
      </c>
      <c r="T548" s="462" t="s">
        <v>715</v>
      </c>
      <c r="U548" s="541">
        <v>12</v>
      </c>
      <c r="V548" s="462" t="s">
        <v>1928</v>
      </c>
      <c r="W548" s="3146">
        <v>1.5</v>
      </c>
      <c r="X548" s="462" t="s">
        <v>1765</v>
      </c>
      <c r="Y548" s="801">
        <f t="shared" si="194"/>
        <v>54300</v>
      </c>
      <c r="Z548" s="1296">
        <f>+(S548/U548*W548)</f>
        <v>54300000</v>
      </c>
      <c r="AA548" s="305"/>
      <c r="AB548" s="312"/>
      <c r="AC548" s="312"/>
    </row>
    <row r="549" spans="1:29" s="17" customFormat="1" ht="22.5" customHeight="1">
      <c r="A549" s="2934"/>
      <c r="B549" s="1145"/>
      <c r="C549" s="470"/>
      <c r="D549" s="1126"/>
      <c r="E549" s="3147" t="s">
        <v>1929</v>
      </c>
      <c r="F549" s="598">
        <f>Y549</f>
        <v>51440</v>
      </c>
      <c r="G549" s="598">
        <v>51440</v>
      </c>
      <c r="H549" s="404"/>
      <c r="I549" s="473"/>
      <c r="J549" s="802" t="s">
        <v>1920</v>
      </c>
      <c r="K549" s="803"/>
      <c r="L549" s="803"/>
      <c r="M549" s="803"/>
      <c r="N549" s="649"/>
      <c r="O549" s="649"/>
      <c r="P549" s="803"/>
      <c r="Q549" s="804"/>
      <c r="R549" s="1671"/>
      <c r="S549" s="1671"/>
      <c r="T549" s="1671"/>
      <c r="U549" s="1671"/>
      <c r="V549" s="1671"/>
      <c r="W549" s="1671"/>
      <c r="X549" s="1671"/>
      <c r="Y549" s="874">
        <f t="shared" si="194"/>
        <v>51440</v>
      </c>
      <c r="Z549" s="355">
        <f>SUM(Z551:Z552)</f>
        <v>51440000</v>
      </c>
      <c r="AA549" s="305"/>
      <c r="AB549" s="312"/>
      <c r="AC549" s="312"/>
    </row>
    <row r="550" spans="1:29" s="271" customFormat="1" ht="22.5" customHeight="1">
      <c r="A550" s="2934"/>
      <c r="B550" s="1145"/>
      <c r="C550" s="470"/>
      <c r="D550" s="1126"/>
      <c r="E550" s="465"/>
      <c r="F550" s="598"/>
      <c r="G550" s="598"/>
      <c r="H550" s="404"/>
      <c r="I550" s="473"/>
      <c r="J550" s="1670" t="s">
        <v>1930</v>
      </c>
      <c r="K550" s="803"/>
      <c r="L550" s="803"/>
      <c r="M550" s="803"/>
      <c r="N550" s="649"/>
      <c r="O550" s="649"/>
      <c r="P550" s="803"/>
      <c r="Q550" s="804"/>
      <c r="R550" s="1671"/>
      <c r="S550" s="1671"/>
      <c r="T550" s="1671"/>
      <c r="U550" s="1671"/>
      <c r="V550" s="1671"/>
      <c r="W550" s="1671"/>
      <c r="X550" s="1671"/>
      <c r="Y550" s="874"/>
      <c r="Z550" s="355"/>
      <c r="AA550" s="176"/>
      <c r="AB550" s="312"/>
      <c r="AC550" s="176"/>
    </row>
    <row r="551" spans="1:29" s="271" customFormat="1" ht="22.5" customHeight="1">
      <c r="A551" s="1670"/>
      <c r="B551" s="465"/>
      <c r="C551" s="413"/>
      <c r="D551" s="1126"/>
      <c r="E551" s="465"/>
      <c r="F551" s="598"/>
      <c r="G551" s="598"/>
      <c r="H551" s="404"/>
      <c r="I551" s="473"/>
      <c r="J551" s="802" t="s">
        <v>6063</v>
      </c>
      <c r="K551" s="803"/>
      <c r="L551" s="803"/>
      <c r="M551" s="803"/>
      <c r="N551" s="649"/>
      <c r="O551" s="803"/>
      <c r="P551" s="803"/>
      <c r="Q551" s="804"/>
      <c r="R551" s="1671"/>
      <c r="S551" s="1672">
        <f>+S548</f>
        <v>434400000</v>
      </c>
      <c r="T551" s="1671" t="s">
        <v>1763</v>
      </c>
      <c r="U551" s="1671"/>
      <c r="V551" s="818">
        <v>0.1</v>
      </c>
      <c r="W551" s="1671"/>
      <c r="X551" s="1671" t="s">
        <v>1765</v>
      </c>
      <c r="Y551" s="874">
        <f>+Z551/1000</f>
        <v>43440</v>
      </c>
      <c r="Z551" s="355">
        <f>ROUNDUP(S551*V551,-3)</f>
        <v>43440000</v>
      </c>
      <c r="AA551" s="176"/>
      <c r="AB551" s="312"/>
      <c r="AC551" s="176"/>
    </row>
    <row r="552" spans="1:29" s="17" customFormat="1" ht="22.5" customHeight="1">
      <c r="A552" s="2934"/>
      <c r="B552" s="1145"/>
      <c r="C552" s="470"/>
      <c r="D552" s="359"/>
      <c r="E552" s="819"/>
      <c r="F552" s="597"/>
      <c r="G552" s="597"/>
      <c r="H552" s="820"/>
      <c r="I552" s="473"/>
      <c r="J552" s="821" t="s">
        <v>6062</v>
      </c>
      <c r="K552" s="822"/>
      <c r="L552" s="822"/>
      <c r="M552" s="822"/>
      <c r="N552" s="823"/>
      <c r="O552" s="823"/>
      <c r="P552" s="822"/>
      <c r="Q552" s="824"/>
      <c r="R552" s="371"/>
      <c r="S552" s="458">
        <v>1000000</v>
      </c>
      <c r="T552" s="371" t="s">
        <v>1763</v>
      </c>
      <c r="U552" s="371"/>
      <c r="V552" s="825">
        <v>8</v>
      </c>
      <c r="W552" s="371" t="s">
        <v>1778</v>
      </c>
      <c r="X552" s="371" t="s">
        <v>1765</v>
      </c>
      <c r="Y552" s="1910">
        <f>+Z552/1000</f>
        <v>8000</v>
      </c>
      <c r="Z552" s="364">
        <f>ROUNDUP(S552*V552,-3)</f>
        <v>8000000</v>
      </c>
      <c r="AA552" s="305"/>
      <c r="AB552" s="312"/>
      <c r="AC552" s="312"/>
    </row>
    <row r="553" spans="1:29" ht="22.5" customHeight="1">
      <c r="A553" s="2317"/>
      <c r="B553" s="1145"/>
      <c r="C553" s="1126"/>
      <c r="D553" s="3284" t="s">
        <v>138</v>
      </c>
      <c r="E553" s="3285"/>
      <c r="F553" s="1343">
        <f>SUM(F554:F612)</f>
        <v>1089800</v>
      </c>
      <c r="G553" s="1343">
        <f>SUM(G554:G612)</f>
        <v>1089800</v>
      </c>
      <c r="H553" s="810">
        <f>+F553-G553</f>
        <v>0</v>
      </c>
      <c r="I553" s="473"/>
      <c r="J553" s="374"/>
      <c r="K553" s="375"/>
      <c r="L553" s="375"/>
      <c r="M553" s="375"/>
      <c r="N553" s="375"/>
      <c r="O553" s="375"/>
      <c r="P553" s="376"/>
      <c r="Q553" s="375"/>
      <c r="R553" s="376"/>
      <c r="S553" s="375"/>
      <c r="T553" s="376"/>
      <c r="U553" s="375"/>
      <c r="V553" s="376"/>
      <c r="W553" s="375"/>
      <c r="X553" s="375"/>
      <c r="Y553" s="377"/>
      <c r="Z553" s="378"/>
      <c r="AA553" s="305"/>
      <c r="AB553" s="305"/>
      <c r="AC553" s="166"/>
    </row>
    <row r="554" spans="1:29" ht="22.5" customHeight="1">
      <c r="A554" s="2317"/>
      <c r="B554" s="1145"/>
      <c r="C554" s="1126"/>
      <c r="D554" s="879"/>
      <c r="E554" s="2924" t="s">
        <v>1931</v>
      </c>
      <c r="F554" s="382">
        <f>+Y554</f>
        <v>2000</v>
      </c>
      <c r="G554" s="382">
        <v>2000</v>
      </c>
      <c r="H554" s="810"/>
      <c r="I554" s="473"/>
      <c r="J554" s="501" t="s">
        <v>1932</v>
      </c>
      <c r="K554" s="2319"/>
      <c r="L554" s="2319"/>
      <c r="M554" s="2319"/>
      <c r="N554" s="2319"/>
      <c r="O554" s="375"/>
      <c r="P554" s="376"/>
      <c r="Q554" s="375"/>
      <c r="R554" s="376"/>
      <c r="S554" s="1307">
        <v>250000</v>
      </c>
      <c r="T554" s="2142" t="s">
        <v>0</v>
      </c>
      <c r="U554" s="375"/>
      <c r="V554" s="485">
        <v>8</v>
      </c>
      <c r="W554" s="2928" t="s">
        <v>25</v>
      </c>
      <c r="X554" s="2142" t="s">
        <v>1698</v>
      </c>
      <c r="Y554" s="377">
        <f t="shared" ref="Y554:Y563" si="195">+Z554/1000</f>
        <v>2000</v>
      </c>
      <c r="Z554" s="1322">
        <f>S554*V554</f>
        <v>2000000</v>
      </c>
      <c r="AA554" s="305"/>
      <c r="AB554" s="305"/>
      <c r="AC554" s="166"/>
    </row>
    <row r="555" spans="1:29" ht="22.5" customHeight="1">
      <c r="A555" s="2317"/>
      <c r="B555" s="1145"/>
      <c r="C555" s="1126"/>
      <c r="D555" s="471"/>
      <c r="E555" s="2923" t="s">
        <v>48</v>
      </c>
      <c r="F555" s="382">
        <f>+Y555</f>
        <v>800</v>
      </c>
      <c r="G555" s="382">
        <v>800</v>
      </c>
      <c r="H555" s="810"/>
      <c r="I555" s="473"/>
      <c r="J555" s="501" t="s">
        <v>1933</v>
      </c>
      <c r="K555" s="2319"/>
      <c r="L555" s="2319"/>
      <c r="M555" s="2319"/>
      <c r="N555" s="2319"/>
      <c r="O555" s="375"/>
      <c r="P555" s="376"/>
      <c r="Q555" s="375"/>
      <c r="R555" s="376"/>
      <c r="S555" s="1307">
        <v>100000</v>
      </c>
      <c r="T555" s="2142" t="s">
        <v>0</v>
      </c>
      <c r="U555" s="375"/>
      <c r="V555" s="485">
        <v>8</v>
      </c>
      <c r="W555" s="2928" t="s">
        <v>25</v>
      </c>
      <c r="X555" s="2142" t="s">
        <v>1698</v>
      </c>
      <c r="Y555" s="377">
        <f t="shared" si="195"/>
        <v>800</v>
      </c>
      <c r="Z555" s="1322">
        <f>S555*V555</f>
        <v>800000</v>
      </c>
      <c r="AA555" s="305"/>
      <c r="AB555" s="305"/>
      <c r="AC555" s="166"/>
    </row>
    <row r="556" spans="1:29" ht="22.5" customHeight="1">
      <c r="A556" s="2317"/>
      <c r="B556" s="1145"/>
      <c r="C556" s="1126"/>
      <c r="D556" s="1145"/>
      <c r="E556" s="809" t="s">
        <v>24</v>
      </c>
      <c r="F556" s="1343">
        <f>+Y556</f>
        <v>7000</v>
      </c>
      <c r="G556" s="1343">
        <v>7000</v>
      </c>
      <c r="H556" s="1345"/>
      <c r="I556" s="473"/>
      <c r="J556" s="911" t="s">
        <v>1934</v>
      </c>
      <c r="K556" s="815"/>
      <c r="L556" s="815"/>
      <c r="M556" s="815"/>
      <c r="N556" s="450"/>
      <c r="O556" s="815"/>
      <c r="P556" s="815"/>
      <c r="Q556" s="831"/>
      <c r="R556" s="815"/>
      <c r="S556" s="450"/>
      <c r="T556" s="815"/>
      <c r="U556" s="815"/>
      <c r="V556" s="815"/>
      <c r="W556" s="815"/>
      <c r="X556" s="815"/>
      <c r="Y556" s="356">
        <f t="shared" si="195"/>
        <v>7000</v>
      </c>
      <c r="Z556" s="1738">
        <f>SUM(Z557:Z558)</f>
        <v>7000000</v>
      </c>
      <c r="AA556" s="305"/>
      <c r="AB556" s="305"/>
      <c r="AC556" s="166"/>
    </row>
    <row r="557" spans="1:29" ht="22.5" customHeight="1">
      <c r="A557" s="2317"/>
      <c r="B557" s="1145"/>
      <c r="C557" s="1126"/>
      <c r="D557" s="1145"/>
      <c r="E557" s="465"/>
      <c r="F557" s="472"/>
      <c r="G557" s="472"/>
      <c r="H557" s="1346"/>
      <c r="I557" s="473"/>
      <c r="J557" s="1670" t="s">
        <v>1935</v>
      </c>
      <c r="K557" s="1671"/>
      <c r="L557" s="1671"/>
      <c r="M557" s="1671"/>
      <c r="N557" s="1672"/>
      <c r="O557" s="1671"/>
      <c r="P557" s="1671"/>
      <c r="Q557" s="1673"/>
      <c r="R557" s="1671"/>
      <c r="S557" s="1672">
        <v>5000000</v>
      </c>
      <c r="T557" s="1671" t="s">
        <v>1702</v>
      </c>
      <c r="U557" s="1671"/>
      <c r="V557" s="1671">
        <v>1</v>
      </c>
      <c r="W557" s="1671" t="s">
        <v>1699</v>
      </c>
      <c r="X557" s="1671" t="s">
        <v>1</v>
      </c>
      <c r="Y557" s="1674">
        <f t="shared" si="195"/>
        <v>5000</v>
      </c>
      <c r="Z557" s="829">
        <f>+S557*V557</f>
        <v>5000000</v>
      </c>
      <c r="AA557" s="305"/>
      <c r="AB557" s="305"/>
      <c r="AC557" s="166"/>
    </row>
    <row r="558" spans="1:29" ht="22.5" customHeight="1">
      <c r="A558" s="2317"/>
      <c r="B558" s="1145"/>
      <c r="C558" s="1126"/>
      <c r="D558" s="1145"/>
      <c r="E558" s="465"/>
      <c r="F558" s="472"/>
      <c r="G558" s="472"/>
      <c r="H558" s="1346"/>
      <c r="I558" s="473"/>
      <c r="J558" s="1670" t="s">
        <v>1936</v>
      </c>
      <c r="K558" s="1671"/>
      <c r="L558" s="1671"/>
      <c r="M558" s="1671"/>
      <c r="N558" s="1672"/>
      <c r="O558" s="1671"/>
      <c r="P558" s="1671"/>
      <c r="Q558" s="1673"/>
      <c r="R558" s="1671"/>
      <c r="S558" s="1672">
        <v>2000000</v>
      </c>
      <c r="T558" s="1671" t="s">
        <v>0</v>
      </c>
      <c r="U558" s="1671"/>
      <c r="V558" s="1671">
        <v>1</v>
      </c>
      <c r="W558" s="1671" t="s">
        <v>1937</v>
      </c>
      <c r="X558" s="1671" t="s">
        <v>1</v>
      </c>
      <c r="Y558" s="1674">
        <f t="shared" si="195"/>
        <v>2000</v>
      </c>
      <c r="Z558" s="829">
        <f>+S558*V558</f>
        <v>2000000</v>
      </c>
      <c r="AA558" s="305"/>
      <c r="AB558" s="305"/>
      <c r="AC558" s="166"/>
    </row>
    <row r="559" spans="1:29" ht="22.5" customHeight="1">
      <c r="A559" s="2317"/>
      <c r="B559" s="1145"/>
      <c r="C559" s="1126"/>
      <c r="D559" s="1145"/>
      <c r="E559" s="809" t="s">
        <v>140</v>
      </c>
      <c r="F559" s="1343">
        <f>+Y559</f>
        <v>3600</v>
      </c>
      <c r="G559" s="1343">
        <v>3600</v>
      </c>
      <c r="H559" s="1345"/>
      <c r="I559" s="473"/>
      <c r="J559" s="835" t="s">
        <v>5901</v>
      </c>
      <c r="K559" s="462"/>
      <c r="L559" s="462"/>
      <c r="M559" s="462"/>
      <c r="N559" s="399"/>
      <c r="O559" s="462"/>
      <c r="P559" s="462"/>
      <c r="Q559" s="836">
        <v>1</v>
      </c>
      <c r="R559" s="462" t="s">
        <v>1938</v>
      </c>
      <c r="S559" s="399">
        <v>300000</v>
      </c>
      <c r="T559" s="462" t="s">
        <v>0</v>
      </c>
      <c r="U559" s="462"/>
      <c r="V559" s="462">
        <v>12</v>
      </c>
      <c r="W559" s="462" t="s">
        <v>2</v>
      </c>
      <c r="X559" s="462" t="s">
        <v>1</v>
      </c>
      <c r="Y559" s="377">
        <f t="shared" si="195"/>
        <v>3600</v>
      </c>
      <c r="Z559" s="1737">
        <f>+Q559*S559*V559</f>
        <v>3600000</v>
      </c>
      <c r="AA559" s="305"/>
      <c r="AB559" s="305"/>
      <c r="AC559" s="166"/>
    </row>
    <row r="560" spans="1:29" ht="22.5" customHeight="1">
      <c r="A560" s="2317"/>
      <c r="B560" s="1145"/>
      <c r="C560" s="1126"/>
      <c r="D560" s="1145"/>
      <c r="E560" s="809" t="s">
        <v>1939</v>
      </c>
      <c r="F560" s="1343">
        <f>+Y560</f>
        <v>15000</v>
      </c>
      <c r="G560" s="1343">
        <v>15000</v>
      </c>
      <c r="H560" s="1345"/>
      <c r="I560" s="473"/>
      <c r="J560" s="911" t="s">
        <v>1934</v>
      </c>
      <c r="K560" s="815"/>
      <c r="L560" s="815"/>
      <c r="M560" s="815"/>
      <c r="N560" s="450"/>
      <c r="O560" s="450"/>
      <c r="P560" s="815"/>
      <c r="Q560" s="831"/>
      <c r="R560" s="815"/>
      <c r="S560" s="815"/>
      <c r="T560" s="815"/>
      <c r="U560" s="815"/>
      <c r="V560" s="815"/>
      <c r="W560" s="815"/>
      <c r="X560" s="815"/>
      <c r="Y560" s="356">
        <f t="shared" si="195"/>
        <v>15000</v>
      </c>
      <c r="Z560" s="1738">
        <f>SUM(Z561:Z563)</f>
        <v>15000000</v>
      </c>
      <c r="AA560" s="305"/>
      <c r="AB560" s="305"/>
      <c r="AC560" s="166"/>
    </row>
    <row r="561" spans="1:29" ht="22.5" customHeight="1">
      <c r="A561" s="2317"/>
      <c r="B561" s="1145"/>
      <c r="C561" s="1126"/>
      <c r="D561" s="1145"/>
      <c r="E561" s="465"/>
      <c r="F561" s="472"/>
      <c r="G561" s="472"/>
      <c r="H561" s="1346"/>
      <c r="I561" s="473"/>
      <c r="J561" s="1670" t="s">
        <v>1940</v>
      </c>
      <c r="K561" s="1671"/>
      <c r="L561" s="1671"/>
      <c r="M561" s="1671"/>
      <c r="N561" s="1672"/>
      <c r="O561" s="1671"/>
      <c r="P561" s="1671"/>
      <c r="Q561" s="1673"/>
      <c r="R561" s="1671"/>
      <c r="S561" s="1672">
        <v>3500000</v>
      </c>
      <c r="T561" s="1671" t="s">
        <v>0</v>
      </c>
      <c r="U561" s="1671"/>
      <c r="V561" s="1671">
        <v>4</v>
      </c>
      <c r="W561" s="1671" t="s">
        <v>3</v>
      </c>
      <c r="X561" s="1671" t="s">
        <v>1</v>
      </c>
      <c r="Y561" s="1674">
        <f t="shared" si="195"/>
        <v>14000</v>
      </c>
      <c r="Z561" s="829">
        <f>+S561*V561</f>
        <v>14000000</v>
      </c>
      <c r="AA561" s="305"/>
      <c r="AB561" s="305"/>
      <c r="AC561" s="166"/>
    </row>
    <row r="562" spans="1:29" ht="22.5" customHeight="1">
      <c r="A562" s="2317"/>
      <c r="B562" s="1145"/>
      <c r="C562" s="1126"/>
      <c r="D562" s="1145"/>
      <c r="E562" s="465"/>
      <c r="F562" s="472"/>
      <c r="G562" s="472"/>
      <c r="H562" s="1346"/>
      <c r="I562" s="473"/>
      <c r="J562" s="1670" t="s">
        <v>1941</v>
      </c>
      <c r="K562" s="1671"/>
      <c r="L562" s="1671"/>
      <c r="M562" s="1671"/>
      <c r="N562" s="1672"/>
      <c r="O562" s="1671"/>
      <c r="P562" s="1671"/>
      <c r="Q562" s="1673"/>
      <c r="R562" s="1671"/>
      <c r="S562" s="1672">
        <v>250000</v>
      </c>
      <c r="T562" s="1671" t="s">
        <v>0</v>
      </c>
      <c r="U562" s="1671"/>
      <c r="V562" s="1671">
        <v>2</v>
      </c>
      <c r="W562" s="1671" t="s">
        <v>3</v>
      </c>
      <c r="X562" s="1671" t="s">
        <v>1</v>
      </c>
      <c r="Y562" s="1674">
        <f t="shared" si="195"/>
        <v>500</v>
      </c>
      <c r="Z562" s="829">
        <f>+S562*V562</f>
        <v>500000</v>
      </c>
      <c r="AA562" s="305"/>
      <c r="AB562" s="305"/>
      <c r="AC562" s="166"/>
    </row>
    <row r="563" spans="1:29" ht="22.5" customHeight="1">
      <c r="A563" s="2317"/>
      <c r="B563" s="1145"/>
      <c r="C563" s="1126"/>
      <c r="D563" s="1145"/>
      <c r="E563" s="465"/>
      <c r="F563" s="472"/>
      <c r="G563" s="472"/>
      <c r="H563" s="1346"/>
      <c r="I563" s="473"/>
      <c r="J563" s="1670" t="s">
        <v>1942</v>
      </c>
      <c r="K563" s="1671"/>
      <c r="L563" s="1671"/>
      <c r="M563" s="1671"/>
      <c r="N563" s="1672"/>
      <c r="O563" s="1671"/>
      <c r="P563" s="1671"/>
      <c r="Q563" s="1673"/>
      <c r="R563" s="1671"/>
      <c r="S563" s="1672">
        <v>50000</v>
      </c>
      <c r="T563" s="1671" t="s">
        <v>0</v>
      </c>
      <c r="U563" s="1671"/>
      <c r="V563" s="1671">
        <v>10</v>
      </c>
      <c r="W563" s="1671" t="s">
        <v>1699</v>
      </c>
      <c r="X563" s="1671" t="s">
        <v>1</v>
      </c>
      <c r="Y563" s="1674">
        <f t="shared" si="195"/>
        <v>500</v>
      </c>
      <c r="Z563" s="1700">
        <f>+S563*V563</f>
        <v>500000</v>
      </c>
      <c r="AA563" s="305"/>
      <c r="AB563" s="305"/>
      <c r="AC563" s="166"/>
    </row>
    <row r="564" spans="1:29" ht="22.5" customHeight="1">
      <c r="A564" s="2317"/>
      <c r="B564" s="1145"/>
      <c r="C564" s="1126"/>
      <c r="D564" s="1145"/>
      <c r="E564" s="809" t="s">
        <v>73</v>
      </c>
      <c r="F564" s="1343">
        <f>+Y564</f>
        <v>10500</v>
      </c>
      <c r="G564" s="1343">
        <v>10500</v>
      </c>
      <c r="H564" s="1345"/>
      <c r="I564" s="473"/>
      <c r="J564" s="911" t="s">
        <v>1943</v>
      </c>
      <c r="K564" s="815"/>
      <c r="L564" s="815"/>
      <c r="M564" s="815"/>
      <c r="N564" s="450"/>
      <c r="O564" s="450"/>
      <c r="P564" s="815"/>
      <c r="Q564" s="831"/>
      <c r="R564" s="815"/>
      <c r="S564" s="815"/>
      <c r="T564" s="815"/>
      <c r="U564" s="815"/>
      <c r="V564" s="815"/>
      <c r="W564" s="815"/>
      <c r="X564" s="815"/>
      <c r="Y564" s="356">
        <f>SUM(Y565:Y569)</f>
        <v>10500</v>
      </c>
      <c r="Z564" s="1738">
        <f>SUM(Z565:Z569)</f>
        <v>10500000</v>
      </c>
      <c r="AA564" s="305"/>
      <c r="AB564" s="305"/>
      <c r="AC564" s="166"/>
    </row>
    <row r="565" spans="1:29" ht="22.5" customHeight="1">
      <c r="A565" s="2317"/>
      <c r="B565" s="1145"/>
      <c r="C565" s="1126"/>
      <c r="D565" s="1145"/>
      <c r="E565" s="465"/>
      <c r="F565" s="472"/>
      <c r="G565" s="472"/>
      <c r="H565" s="1346"/>
      <c r="I565" s="473"/>
      <c r="J565" s="1670" t="s">
        <v>333</v>
      </c>
      <c r="K565" s="1671"/>
      <c r="L565" s="1671"/>
      <c r="M565" s="1671"/>
      <c r="N565" s="1672"/>
      <c r="O565" s="1671"/>
      <c r="P565" s="1671"/>
      <c r="Q565" s="1673">
        <v>5</v>
      </c>
      <c r="R565" s="1671" t="s">
        <v>36</v>
      </c>
      <c r="S565" s="1672">
        <v>30000</v>
      </c>
      <c r="T565" s="1671" t="s">
        <v>0</v>
      </c>
      <c r="U565" s="1671"/>
      <c r="V565" s="1671">
        <v>12</v>
      </c>
      <c r="W565" s="1671" t="s">
        <v>2</v>
      </c>
      <c r="X565" s="1671" t="s">
        <v>1</v>
      </c>
      <c r="Y565" s="1674">
        <f t="shared" ref="Y565:Y573" si="196">+Z565/1000</f>
        <v>1800</v>
      </c>
      <c r="Z565" s="829">
        <f>+Q565*S565*V565</f>
        <v>1800000</v>
      </c>
      <c r="AA565" s="305"/>
      <c r="AB565" s="305"/>
      <c r="AC565" s="166"/>
    </row>
    <row r="566" spans="1:29" ht="22.5" customHeight="1">
      <c r="A566" s="2317"/>
      <c r="B566" s="1145"/>
      <c r="C566" s="1126"/>
      <c r="D566" s="1126"/>
      <c r="E566" s="465"/>
      <c r="F566" s="472"/>
      <c r="G566" s="472"/>
      <c r="H566" s="1346"/>
      <c r="I566" s="473"/>
      <c r="J566" s="1670" t="s">
        <v>1944</v>
      </c>
      <c r="K566" s="1671"/>
      <c r="L566" s="1671"/>
      <c r="M566" s="1671"/>
      <c r="N566" s="1672"/>
      <c r="O566" s="1671"/>
      <c r="P566" s="1671"/>
      <c r="Q566" s="1673">
        <v>50</v>
      </c>
      <c r="R566" s="1671" t="s">
        <v>31</v>
      </c>
      <c r="S566" s="1672">
        <v>5000</v>
      </c>
      <c r="T566" s="1671" t="s">
        <v>0</v>
      </c>
      <c r="U566" s="1671"/>
      <c r="V566" s="1347">
        <v>2</v>
      </c>
      <c r="W566" s="1671" t="s">
        <v>2</v>
      </c>
      <c r="X566" s="1671" t="s">
        <v>1</v>
      </c>
      <c r="Y566" s="1674">
        <f t="shared" si="196"/>
        <v>500</v>
      </c>
      <c r="Z566" s="829">
        <f>+Q566*S566*V566</f>
        <v>500000</v>
      </c>
      <c r="AA566" s="305"/>
      <c r="AB566" s="305"/>
      <c r="AC566" s="166"/>
    </row>
    <row r="567" spans="1:29" ht="22.5" customHeight="1">
      <c r="A567" s="2317"/>
      <c r="B567" s="1145"/>
      <c r="C567" s="1126"/>
      <c r="D567" s="1126"/>
      <c r="E567" s="465"/>
      <c r="F567" s="472"/>
      <c r="G567" s="472"/>
      <c r="H567" s="1346"/>
      <c r="I567" s="473"/>
      <c r="J567" s="1670" t="s">
        <v>1945</v>
      </c>
      <c r="K567" s="1671"/>
      <c r="L567" s="1671"/>
      <c r="M567" s="1671"/>
      <c r="N567" s="1672"/>
      <c r="O567" s="1671"/>
      <c r="P567" s="1671"/>
      <c r="Q567" s="1673">
        <v>1</v>
      </c>
      <c r="R567" s="1671" t="s">
        <v>29</v>
      </c>
      <c r="S567" s="1672">
        <v>350000</v>
      </c>
      <c r="T567" s="1671" t="s">
        <v>0</v>
      </c>
      <c r="U567" s="1671"/>
      <c r="V567" s="1347">
        <v>4</v>
      </c>
      <c r="W567" s="1671" t="s">
        <v>3</v>
      </c>
      <c r="X567" s="1671" t="s">
        <v>1</v>
      </c>
      <c r="Y567" s="1674">
        <f t="shared" si="196"/>
        <v>1400</v>
      </c>
      <c r="Z567" s="829">
        <f>+Q567*S567*V567</f>
        <v>1400000</v>
      </c>
      <c r="AA567" s="305"/>
      <c r="AB567" s="305"/>
      <c r="AC567" s="166"/>
    </row>
    <row r="568" spans="1:29" ht="22.5" customHeight="1">
      <c r="A568" s="2317"/>
      <c r="B568" s="1145"/>
      <c r="C568" s="1126"/>
      <c r="D568" s="1126"/>
      <c r="E568" s="465"/>
      <c r="F568" s="472"/>
      <c r="G568" s="472"/>
      <c r="H568" s="1346"/>
      <c r="I568" s="473"/>
      <c r="J568" s="1670" t="s">
        <v>1946</v>
      </c>
      <c r="K568" s="1671"/>
      <c r="L568" s="1671"/>
      <c r="M568" s="1671"/>
      <c r="N568" s="1672"/>
      <c r="O568" s="1671"/>
      <c r="P568" s="1671"/>
      <c r="Q568" s="1673"/>
      <c r="R568" s="1671"/>
      <c r="S568" s="1672">
        <v>150000</v>
      </c>
      <c r="T568" s="1671" t="s">
        <v>0</v>
      </c>
      <c r="U568" s="1671"/>
      <c r="V568" s="1671">
        <v>12</v>
      </c>
      <c r="W568" s="1671" t="s">
        <v>2</v>
      </c>
      <c r="X568" s="1671" t="s">
        <v>1</v>
      </c>
      <c r="Y568" s="1674">
        <f t="shared" si="196"/>
        <v>1800</v>
      </c>
      <c r="Z568" s="829">
        <f>S568*V568</f>
        <v>1800000</v>
      </c>
      <c r="AA568" s="305"/>
      <c r="AB568" s="305"/>
      <c r="AC568" s="166"/>
    </row>
    <row r="569" spans="1:29" ht="22.5" customHeight="1">
      <c r="A569" s="2317"/>
      <c r="B569" s="1145"/>
      <c r="C569" s="1126"/>
      <c r="D569" s="1126"/>
      <c r="E569" s="819"/>
      <c r="F569" s="1304"/>
      <c r="G569" s="1304"/>
      <c r="H569" s="1305"/>
      <c r="I569" s="473"/>
      <c r="J569" s="830" t="s">
        <v>1947</v>
      </c>
      <c r="K569" s="371"/>
      <c r="L569" s="371"/>
      <c r="M569" s="371"/>
      <c r="N569" s="458"/>
      <c r="O569" s="371"/>
      <c r="P569" s="371"/>
      <c r="Q569" s="368"/>
      <c r="R569" s="371"/>
      <c r="S569" s="458">
        <v>5000000</v>
      </c>
      <c r="T569" s="371" t="s">
        <v>0</v>
      </c>
      <c r="U569" s="371"/>
      <c r="V569" s="371">
        <v>1</v>
      </c>
      <c r="W569" s="371" t="s">
        <v>1738</v>
      </c>
      <c r="X569" s="371" t="s">
        <v>1</v>
      </c>
      <c r="Y569" s="345">
        <f t="shared" si="196"/>
        <v>5000</v>
      </c>
      <c r="Z569" s="829">
        <f>S569*V569</f>
        <v>5000000</v>
      </c>
      <c r="AA569" s="305"/>
      <c r="AB569" s="305"/>
      <c r="AC569" s="166"/>
    </row>
    <row r="570" spans="1:29" ht="22.5" customHeight="1">
      <c r="A570" s="2317"/>
      <c r="B570" s="1145"/>
      <c r="C570" s="1126"/>
      <c r="D570" s="1126"/>
      <c r="E570" s="809" t="s">
        <v>143</v>
      </c>
      <c r="F570" s="1343">
        <f>+Y570</f>
        <v>199800</v>
      </c>
      <c r="G570" s="1343">
        <v>199800</v>
      </c>
      <c r="H570" s="1345"/>
      <c r="I570" s="473"/>
      <c r="J570" s="911" t="s">
        <v>1727</v>
      </c>
      <c r="K570" s="815"/>
      <c r="L570" s="815"/>
      <c r="M570" s="815"/>
      <c r="N570" s="450"/>
      <c r="O570" s="450"/>
      <c r="P570" s="815"/>
      <c r="Q570" s="831"/>
      <c r="R570" s="815"/>
      <c r="S570" s="815"/>
      <c r="T570" s="815"/>
      <c r="U570" s="815"/>
      <c r="V570" s="815"/>
      <c r="W570" s="815"/>
      <c r="X570" s="815"/>
      <c r="Y570" s="356">
        <f t="shared" si="196"/>
        <v>199800</v>
      </c>
      <c r="Z570" s="829">
        <f>SUM(Z571:Z573)</f>
        <v>199800000</v>
      </c>
      <c r="AA570" s="305"/>
      <c r="AB570" s="305"/>
      <c r="AC570" s="166"/>
    </row>
    <row r="571" spans="1:29" ht="22.5" customHeight="1">
      <c r="A571" s="2317"/>
      <c r="B571" s="1145"/>
      <c r="C571" s="1126"/>
      <c r="D571" s="1126"/>
      <c r="E571" s="465"/>
      <c r="F571" s="472"/>
      <c r="G571" s="472"/>
      <c r="H571" s="1346"/>
      <c r="I571" s="473"/>
      <c r="J571" s="1670" t="s">
        <v>1948</v>
      </c>
      <c r="K571" s="1671"/>
      <c r="L571" s="1671"/>
      <c r="M571" s="1671"/>
      <c r="N571" s="1672"/>
      <c r="O571" s="1671"/>
      <c r="P571" s="1671"/>
      <c r="Q571" s="1673"/>
      <c r="R571" s="1671"/>
      <c r="S571" s="1672">
        <v>13650000</v>
      </c>
      <c r="T571" s="1671" t="s">
        <v>0</v>
      </c>
      <c r="U571" s="1671"/>
      <c r="V571" s="1671">
        <v>12</v>
      </c>
      <c r="W571" s="1671" t="s">
        <v>2</v>
      </c>
      <c r="X571" s="1671" t="s">
        <v>1</v>
      </c>
      <c r="Y571" s="1674">
        <f t="shared" si="196"/>
        <v>163800</v>
      </c>
      <c r="Z571" s="829">
        <f>+S571*V571</f>
        <v>163800000</v>
      </c>
      <c r="AA571" s="305"/>
      <c r="AB571" s="305"/>
      <c r="AC571" s="166"/>
    </row>
    <row r="572" spans="1:29" ht="22.5" customHeight="1">
      <c r="A572" s="2317"/>
      <c r="B572" s="1145"/>
      <c r="C572" s="1126"/>
      <c r="D572" s="1145"/>
      <c r="E572" s="465"/>
      <c r="F572" s="472"/>
      <c r="G572" s="472"/>
      <c r="H572" s="1346"/>
      <c r="I572" s="473"/>
      <c r="J572" s="1670" t="s">
        <v>1949</v>
      </c>
      <c r="K572" s="1671"/>
      <c r="L572" s="1671"/>
      <c r="M572" s="1671"/>
      <c r="N572" s="1672"/>
      <c r="O572" s="1671"/>
      <c r="P572" s="1671"/>
      <c r="Q572" s="1673"/>
      <c r="R572" s="1671"/>
      <c r="S572" s="1672">
        <v>600000</v>
      </c>
      <c r="T572" s="1671" t="s">
        <v>0</v>
      </c>
      <c r="U572" s="1671"/>
      <c r="V572" s="1671">
        <v>12</v>
      </c>
      <c r="W572" s="1671" t="s">
        <v>2</v>
      </c>
      <c r="X572" s="1671" t="s">
        <v>1</v>
      </c>
      <c r="Y572" s="1674">
        <f t="shared" si="196"/>
        <v>7200</v>
      </c>
      <c r="Z572" s="829">
        <f>+S572*V572</f>
        <v>7200000</v>
      </c>
      <c r="AA572" s="305"/>
      <c r="AB572" s="305"/>
      <c r="AC572" s="166"/>
    </row>
    <row r="573" spans="1:29" ht="22.5" customHeight="1">
      <c r="A573" s="2317"/>
      <c r="B573" s="1145"/>
      <c r="C573" s="1126"/>
      <c r="D573" s="1145"/>
      <c r="E573" s="819"/>
      <c r="F573" s="1304"/>
      <c r="G573" s="1304"/>
      <c r="H573" s="1305"/>
      <c r="I573" s="473"/>
      <c r="J573" s="830" t="s">
        <v>1950</v>
      </c>
      <c r="K573" s="371"/>
      <c r="L573" s="371"/>
      <c r="M573" s="371"/>
      <c r="N573" s="458"/>
      <c r="O573" s="371"/>
      <c r="P573" s="371"/>
      <c r="Q573" s="368">
        <v>1</v>
      </c>
      <c r="R573" s="371" t="s">
        <v>29</v>
      </c>
      <c r="S573" s="458">
        <v>2400000</v>
      </c>
      <c r="T573" s="371" t="s">
        <v>0</v>
      </c>
      <c r="U573" s="371"/>
      <c r="V573" s="371">
        <v>12</v>
      </c>
      <c r="W573" s="371" t="s">
        <v>2</v>
      </c>
      <c r="X573" s="371" t="s">
        <v>1</v>
      </c>
      <c r="Y573" s="345">
        <f t="shared" si="196"/>
        <v>28800</v>
      </c>
      <c r="Z573" s="1700">
        <f>+Q573*S573*V573</f>
        <v>28800000</v>
      </c>
      <c r="AA573" s="305"/>
      <c r="AB573" s="305"/>
      <c r="AC573" s="166"/>
    </row>
    <row r="574" spans="1:29" ht="22.5" customHeight="1">
      <c r="A574" s="2317"/>
      <c r="B574" s="1145"/>
      <c r="C574" s="1126"/>
      <c r="D574" s="1145"/>
      <c r="E574" s="819" t="s">
        <v>332</v>
      </c>
      <c r="F574" s="1304">
        <f>Y574</f>
        <v>2300</v>
      </c>
      <c r="G574" s="1304">
        <v>2300</v>
      </c>
      <c r="H574" s="1305"/>
      <c r="I574" s="3095"/>
      <c r="J574" s="830" t="s">
        <v>5863</v>
      </c>
      <c r="K574" s="371"/>
      <c r="L574" s="371"/>
      <c r="M574" s="371"/>
      <c r="N574" s="458"/>
      <c r="O574" s="371"/>
      <c r="P574" s="371"/>
      <c r="Q574" s="368"/>
      <c r="R574" s="371"/>
      <c r="S574" s="458">
        <v>2300000000</v>
      </c>
      <c r="T574" s="371" t="s">
        <v>0</v>
      </c>
      <c r="U574" s="371"/>
      <c r="V574" s="832">
        <v>1E-3</v>
      </c>
      <c r="W574" s="1348"/>
      <c r="X574" s="371" t="s">
        <v>1</v>
      </c>
      <c r="Y574" s="345">
        <f t="shared" ref="Y574" si="197">+Z574/1000</f>
        <v>2300</v>
      </c>
      <c r="Z574" s="1700">
        <f>+S574*V574</f>
        <v>2300000</v>
      </c>
      <c r="AA574" s="305"/>
      <c r="AB574" s="305"/>
      <c r="AC574" s="166"/>
    </row>
    <row r="575" spans="1:29" ht="22.5" customHeight="1">
      <c r="A575" s="2317"/>
      <c r="B575" s="1145"/>
      <c r="C575" s="1126"/>
      <c r="D575" s="1145"/>
      <c r="E575" s="465" t="s">
        <v>84</v>
      </c>
      <c r="F575" s="472">
        <f>+Y575</f>
        <v>37800</v>
      </c>
      <c r="G575" s="472">
        <v>37800</v>
      </c>
      <c r="H575" s="404"/>
      <c r="I575" s="473"/>
      <c r="J575" s="1670" t="s">
        <v>1727</v>
      </c>
      <c r="K575" s="1671"/>
      <c r="L575" s="1671"/>
      <c r="M575" s="1671"/>
      <c r="N575" s="1672"/>
      <c r="O575" s="1672"/>
      <c r="P575" s="1671"/>
      <c r="Q575" s="1673"/>
      <c r="R575" s="1671"/>
      <c r="S575" s="1671"/>
      <c r="T575" s="1671"/>
      <c r="U575" s="1671"/>
      <c r="V575" s="1671"/>
      <c r="W575" s="1671"/>
      <c r="X575" s="1671"/>
      <c r="Y575" s="1674">
        <f>SUM(Y576:Y578)</f>
        <v>37800</v>
      </c>
      <c r="Z575" s="829">
        <f>SUM(Z576:Z578)</f>
        <v>37800000</v>
      </c>
      <c r="AA575" s="305"/>
      <c r="AB575" s="305"/>
      <c r="AC575" s="166"/>
    </row>
    <row r="576" spans="1:29" ht="22.5" customHeight="1">
      <c r="A576" s="2317"/>
      <c r="B576" s="1145"/>
      <c r="C576" s="1126"/>
      <c r="D576" s="1145"/>
      <c r="E576" s="465" t="s">
        <v>19</v>
      </c>
      <c r="F576" s="472"/>
      <c r="G576" s="472"/>
      <c r="H576" s="1346"/>
      <c r="I576" s="473"/>
      <c r="J576" s="1670" t="s">
        <v>1731</v>
      </c>
      <c r="K576" s="1671"/>
      <c r="L576" s="1671"/>
      <c r="M576" s="1671"/>
      <c r="N576" s="1672"/>
      <c r="O576" s="1671">
        <v>9</v>
      </c>
      <c r="P576" s="1671" t="s">
        <v>23</v>
      </c>
      <c r="Q576" s="1673">
        <v>4</v>
      </c>
      <c r="R576" s="1671" t="s">
        <v>28</v>
      </c>
      <c r="S576" s="1672">
        <v>25000</v>
      </c>
      <c r="T576" s="1671" t="s">
        <v>0</v>
      </c>
      <c r="U576" s="1671"/>
      <c r="V576" s="1671">
        <v>12</v>
      </c>
      <c r="W576" s="1671" t="s">
        <v>2</v>
      </c>
      <c r="X576" s="1671" t="s">
        <v>1</v>
      </c>
      <c r="Y576" s="1674">
        <f>+Z576/1000</f>
        <v>10800</v>
      </c>
      <c r="Z576" s="829">
        <f>+O576*Q576*S576*V576</f>
        <v>10800000</v>
      </c>
      <c r="AA576" s="305"/>
      <c r="AB576" s="305"/>
      <c r="AC576" s="166"/>
    </row>
    <row r="577" spans="1:29" ht="22.5" customHeight="1">
      <c r="A577" s="2317"/>
      <c r="B577" s="1145"/>
      <c r="C577" s="1126"/>
      <c r="D577" s="1145"/>
      <c r="E577" s="465"/>
      <c r="F577" s="472"/>
      <c r="G577" s="472"/>
      <c r="H577" s="1346"/>
      <c r="I577" s="473"/>
      <c r="J577" s="1670" t="s">
        <v>1733</v>
      </c>
      <c r="K577" s="1671"/>
      <c r="L577" s="1671"/>
      <c r="M577" s="1671"/>
      <c r="N577" s="1672"/>
      <c r="O577" s="1671"/>
      <c r="P577" s="1671"/>
      <c r="Q577" s="1673"/>
      <c r="R577" s="1671"/>
      <c r="S577" s="1672">
        <v>3000000</v>
      </c>
      <c r="T577" s="1671" t="s">
        <v>0</v>
      </c>
      <c r="U577" s="1671"/>
      <c r="V577" s="1671">
        <v>1</v>
      </c>
      <c r="W577" s="1671" t="s">
        <v>1951</v>
      </c>
      <c r="X577" s="1671" t="s">
        <v>1</v>
      </c>
      <c r="Y577" s="1674">
        <f>+Z577/1000</f>
        <v>3000</v>
      </c>
      <c r="Z577" s="829">
        <f>S577*V577</f>
        <v>3000000</v>
      </c>
      <c r="AA577" s="305"/>
      <c r="AB577" s="305"/>
      <c r="AC577" s="166"/>
    </row>
    <row r="578" spans="1:29" ht="22.5" customHeight="1">
      <c r="A578" s="2317"/>
      <c r="B578" s="1145"/>
      <c r="C578" s="1126"/>
      <c r="D578" s="1145"/>
      <c r="E578" s="465"/>
      <c r="F578" s="472"/>
      <c r="G578" s="472"/>
      <c r="H578" s="1346"/>
      <c r="I578" s="473"/>
      <c r="J578" s="1670" t="s">
        <v>1952</v>
      </c>
      <c r="K578" s="1671"/>
      <c r="L578" s="1671"/>
      <c r="M578" s="1671"/>
      <c r="N578" s="1672"/>
      <c r="O578" s="1671"/>
      <c r="P578" s="1671"/>
      <c r="Q578" s="1673">
        <v>8</v>
      </c>
      <c r="R578" s="1671" t="s">
        <v>1732</v>
      </c>
      <c r="S578" s="1672">
        <v>250000</v>
      </c>
      <c r="T578" s="1671" t="s">
        <v>0</v>
      </c>
      <c r="U578" s="1671"/>
      <c r="V578" s="1671">
        <v>12</v>
      </c>
      <c r="W578" s="1671" t="s">
        <v>2</v>
      </c>
      <c r="X578" s="371" t="s">
        <v>1</v>
      </c>
      <c r="Y578" s="345">
        <f>Z578/1000</f>
        <v>24000</v>
      </c>
      <c r="Z578" s="829">
        <f>Q578*S578*V578</f>
        <v>24000000</v>
      </c>
      <c r="AA578" s="305"/>
      <c r="AB578" s="305"/>
      <c r="AC578" s="166"/>
    </row>
    <row r="579" spans="1:29" ht="22.5" customHeight="1">
      <c r="A579" s="2317"/>
      <c r="B579" s="1145"/>
      <c r="C579" s="1126"/>
      <c r="D579" s="471"/>
      <c r="E579" s="809" t="s">
        <v>75</v>
      </c>
      <c r="F579" s="1343">
        <f>+Y579</f>
        <v>132400</v>
      </c>
      <c r="G579" s="1343">
        <v>132400</v>
      </c>
      <c r="H579" s="810"/>
      <c r="I579" s="473"/>
      <c r="J579" s="911" t="s">
        <v>1727</v>
      </c>
      <c r="K579" s="815"/>
      <c r="L579" s="815"/>
      <c r="M579" s="815"/>
      <c r="N579" s="450"/>
      <c r="O579" s="450"/>
      <c r="P579" s="815"/>
      <c r="Q579" s="831"/>
      <c r="R579" s="815"/>
      <c r="S579" s="450"/>
      <c r="T579" s="815"/>
      <c r="U579" s="815"/>
      <c r="V579" s="815"/>
      <c r="W579" s="815"/>
      <c r="X579" s="1671"/>
      <c r="Y579" s="1674">
        <f>SUM(Y580:Y590)</f>
        <v>132400</v>
      </c>
      <c r="Z579" s="1738">
        <f>SUM(Z580:Z590)</f>
        <v>132400000</v>
      </c>
      <c r="AA579" s="305"/>
      <c r="AB579" s="305"/>
      <c r="AC579" s="166"/>
    </row>
    <row r="580" spans="1:29" ht="22.5" customHeight="1">
      <c r="A580" s="2317"/>
      <c r="B580" s="1145"/>
      <c r="C580" s="1126"/>
      <c r="D580" s="471"/>
      <c r="E580" s="465"/>
      <c r="F580" s="472"/>
      <c r="G580" s="472"/>
      <c r="H580" s="1346"/>
      <c r="I580" s="473"/>
      <c r="J580" s="1670" t="s">
        <v>1953</v>
      </c>
      <c r="K580" s="1671"/>
      <c r="L580" s="1671"/>
      <c r="M580" s="1671"/>
      <c r="N580" s="1672"/>
      <c r="O580" s="1672"/>
      <c r="P580" s="1671"/>
      <c r="Q580" s="1673"/>
      <c r="R580" s="1671"/>
      <c r="S580" s="1672">
        <v>500000</v>
      </c>
      <c r="T580" s="1671" t="s">
        <v>0</v>
      </c>
      <c r="U580" s="1671"/>
      <c r="V580" s="1671">
        <v>4</v>
      </c>
      <c r="W580" s="1671" t="s">
        <v>1725</v>
      </c>
      <c r="X580" s="1671" t="s">
        <v>1</v>
      </c>
      <c r="Y580" s="1674">
        <f t="shared" ref="Y580:Y593" si="198">+Z580/1000</f>
        <v>2000</v>
      </c>
      <c r="Z580" s="829">
        <f>S580*V580</f>
        <v>2000000</v>
      </c>
      <c r="AA580" s="305"/>
      <c r="AB580" s="305"/>
      <c r="AC580" s="166"/>
    </row>
    <row r="581" spans="1:29" ht="22.5" customHeight="1">
      <c r="A581" s="2317"/>
      <c r="B581" s="1145"/>
      <c r="C581" s="1126"/>
      <c r="D581" s="1145"/>
      <c r="E581" s="465"/>
      <c r="F581" s="472"/>
      <c r="G581" s="472"/>
      <c r="H581" s="1346"/>
      <c r="I581" s="473"/>
      <c r="J581" s="1670" t="s">
        <v>1954</v>
      </c>
      <c r="K581" s="1671"/>
      <c r="L581" s="1671"/>
      <c r="M581" s="1671"/>
      <c r="N581" s="1672"/>
      <c r="O581" s="1672"/>
      <c r="P581" s="1671"/>
      <c r="Q581" s="1673"/>
      <c r="R581" s="1671"/>
      <c r="S581" s="1672">
        <v>500000</v>
      </c>
      <c r="T581" s="1671" t="s">
        <v>0</v>
      </c>
      <c r="U581" s="1671"/>
      <c r="V581" s="1671">
        <v>12</v>
      </c>
      <c r="W581" s="1671" t="s">
        <v>1955</v>
      </c>
      <c r="X581" s="1671" t="s">
        <v>1</v>
      </c>
      <c r="Y581" s="1674">
        <f t="shared" si="198"/>
        <v>6000</v>
      </c>
      <c r="Z581" s="829">
        <f>+S581*V581</f>
        <v>6000000</v>
      </c>
      <c r="AA581" s="305"/>
      <c r="AB581" s="305"/>
      <c r="AC581" s="166"/>
    </row>
    <row r="582" spans="1:29" ht="22.5" customHeight="1">
      <c r="A582" s="2317"/>
      <c r="B582" s="1145"/>
      <c r="C582" s="1126"/>
      <c r="D582" s="1145"/>
      <c r="E582" s="465"/>
      <c r="F582" s="472"/>
      <c r="G582" s="472"/>
      <c r="H582" s="1346"/>
      <c r="I582" s="473"/>
      <c r="J582" s="1670" t="s">
        <v>1956</v>
      </c>
      <c r="K582" s="1671"/>
      <c r="L582" s="1671"/>
      <c r="M582" s="1671"/>
      <c r="N582" s="1672"/>
      <c r="O582" s="1672"/>
      <c r="P582" s="1671"/>
      <c r="Q582" s="1673"/>
      <c r="R582" s="1671"/>
      <c r="S582" s="1672">
        <v>3500000</v>
      </c>
      <c r="T582" s="1671" t="s">
        <v>0</v>
      </c>
      <c r="U582" s="1671"/>
      <c r="V582" s="1671">
        <v>12</v>
      </c>
      <c r="W582" s="1671" t="s">
        <v>2</v>
      </c>
      <c r="X582" s="1671" t="s">
        <v>1</v>
      </c>
      <c r="Y582" s="1674">
        <f t="shared" si="198"/>
        <v>42000</v>
      </c>
      <c r="Z582" s="829">
        <f>+S582*V582</f>
        <v>42000000</v>
      </c>
      <c r="AA582" s="305"/>
      <c r="AB582" s="305"/>
      <c r="AC582" s="166"/>
    </row>
    <row r="583" spans="1:29" ht="22.5" customHeight="1">
      <c r="A583" s="2317"/>
      <c r="B583" s="1145"/>
      <c r="C583" s="1126"/>
      <c r="D583" s="1145"/>
      <c r="E583" s="465"/>
      <c r="F583" s="472"/>
      <c r="G583" s="472"/>
      <c r="H583" s="1346"/>
      <c r="I583" s="473"/>
      <c r="J583" s="1670" t="s">
        <v>1957</v>
      </c>
      <c r="K583" s="1671"/>
      <c r="L583" s="1671"/>
      <c r="M583" s="1671"/>
      <c r="N583" s="1672"/>
      <c r="O583" s="1671"/>
      <c r="P583" s="1671"/>
      <c r="Q583" s="1673"/>
      <c r="R583" s="1671"/>
      <c r="S583" s="1672">
        <v>2500000</v>
      </c>
      <c r="T583" s="1671" t="s">
        <v>0</v>
      </c>
      <c r="U583" s="1671"/>
      <c r="V583" s="1671">
        <v>4</v>
      </c>
      <c r="W583" s="1671" t="s">
        <v>3</v>
      </c>
      <c r="X583" s="1671" t="s">
        <v>1</v>
      </c>
      <c r="Y583" s="1674">
        <f t="shared" si="198"/>
        <v>10000</v>
      </c>
      <c r="Z583" s="829">
        <f>S583*V583</f>
        <v>10000000</v>
      </c>
      <c r="AA583" s="305"/>
      <c r="AB583" s="305"/>
      <c r="AC583" s="166"/>
    </row>
    <row r="584" spans="1:29" ht="22.5" customHeight="1">
      <c r="A584" s="2317"/>
      <c r="B584" s="1145"/>
      <c r="C584" s="1126"/>
      <c r="D584" s="1145"/>
      <c r="E584" s="465"/>
      <c r="F584" s="472"/>
      <c r="G584" s="472"/>
      <c r="H584" s="1346"/>
      <c r="I584" s="473"/>
      <c r="J584" s="1670" t="s">
        <v>1958</v>
      </c>
      <c r="K584" s="1671"/>
      <c r="L584" s="1671"/>
      <c r="M584" s="1671"/>
      <c r="N584" s="1672"/>
      <c r="O584" s="1671"/>
      <c r="P584" s="1671"/>
      <c r="Q584" s="1673"/>
      <c r="R584" s="1671"/>
      <c r="S584" s="1672">
        <v>3350000</v>
      </c>
      <c r="T584" s="1671" t="s">
        <v>0</v>
      </c>
      <c r="U584" s="1671"/>
      <c r="V584" s="1671">
        <v>5</v>
      </c>
      <c r="W584" s="1671" t="s">
        <v>1725</v>
      </c>
      <c r="X584" s="1671" t="s">
        <v>1</v>
      </c>
      <c r="Y584" s="1674">
        <f t="shared" si="198"/>
        <v>16750</v>
      </c>
      <c r="Z584" s="829">
        <f t="shared" ref="Z584:Z590" si="199">+S584*V584</f>
        <v>16750000</v>
      </c>
      <c r="AA584" s="305"/>
      <c r="AB584" s="305"/>
      <c r="AC584" s="166"/>
    </row>
    <row r="585" spans="1:29" ht="22.5" customHeight="1">
      <c r="A585" s="2317"/>
      <c r="B585" s="1145"/>
      <c r="C585" s="1126"/>
      <c r="D585" s="1145"/>
      <c r="E585" s="465"/>
      <c r="F585" s="472"/>
      <c r="G585" s="472"/>
      <c r="H585" s="1346"/>
      <c r="I585" s="473"/>
      <c r="J585" s="1670" t="s">
        <v>1959</v>
      </c>
      <c r="K585" s="1671"/>
      <c r="L585" s="1671"/>
      <c r="M585" s="1671"/>
      <c r="N585" s="1672"/>
      <c r="O585" s="1671"/>
      <c r="P585" s="1671"/>
      <c r="Q585" s="1673"/>
      <c r="R585" s="1671"/>
      <c r="S585" s="1672">
        <v>2500000</v>
      </c>
      <c r="T585" s="1671" t="s">
        <v>0</v>
      </c>
      <c r="U585" s="1671"/>
      <c r="V585" s="1671">
        <v>4</v>
      </c>
      <c r="W585" s="1671" t="s">
        <v>3</v>
      </c>
      <c r="X585" s="1671" t="s">
        <v>1</v>
      </c>
      <c r="Y585" s="1674">
        <f t="shared" si="198"/>
        <v>10000</v>
      </c>
      <c r="Z585" s="829">
        <f t="shared" si="199"/>
        <v>10000000</v>
      </c>
      <c r="AA585" s="305"/>
      <c r="AB585" s="305"/>
      <c r="AC585" s="166"/>
    </row>
    <row r="586" spans="1:29" ht="22.5" customHeight="1">
      <c r="A586" s="2317"/>
      <c r="B586" s="1145"/>
      <c r="C586" s="1126"/>
      <c r="D586" s="1145"/>
      <c r="E586" s="465"/>
      <c r="F586" s="472"/>
      <c r="G586" s="472"/>
      <c r="H586" s="1346"/>
      <c r="I586" s="473"/>
      <c r="J586" s="1670" t="s">
        <v>1960</v>
      </c>
      <c r="K586" s="1671"/>
      <c r="L586" s="1671"/>
      <c r="M586" s="1671"/>
      <c r="N586" s="1672"/>
      <c r="O586" s="1671"/>
      <c r="P586" s="1671"/>
      <c r="Q586" s="1673"/>
      <c r="R586" s="1671"/>
      <c r="S586" s="1672">
        <v>2000000</v>
      </c>
      <c r="T586" s="1671" t="s">
        <v>0</v>
      </c>
      <c r="U586" s="1671"/>
      <c r="V586" s="1671">
        <v>4</v>
      </c>
      <c r="W586" s="1671" t="s">
        <v>3</v>
      </c>
      <c r="X586" s="1671" t="s">
        <v>1</v>
      </c>
      <c r="Y586" s="1674">
        <f t="shared" si="198"/>
        <v>8000</v>
      </c>
      <c r="Z586" s="829">
        <f t="shared" si="199"/>
        <v>8000000</v>
      </c>
      <c r="AA586" s="305"/>
      <c r="AB586" s="305"/>
      <c r="AC586" s="166"/>
    </row>
    <row r="587" spans="1:29" ht="22.5" customHeight="1">
      <c r="A587" s="2317"/>
      <c r="B587" s="1145"/>
      <c r="C587" s="1126"/>
      <c r="D587" s="1145"/>
      <c r="E587" s="465"/>
      <c r="F587" s="472"/>
      <c r="G587" s="472"/>
      <c r="H587" s="1346"/>
      <c r="I587" s="473"/>
      <c r="J587" s="1670" t="s">
        <v>1961</v>
      </c>
      <c r="K587" s="1671"/>
      <c r="L587" s="1671"/>
      <c r="M587" s="1671"/>
      <c r="N587" s="1672"/>
      <c r="O587" s="1671"/>
      <c r="P587" s="1671"/>
      <c r="Q587" s="1673"/>
      <c r="R587" s="1671"/>
      <c r="S587" s="1672">
        <v>5000000</v>
      </c>
      <c r="T587" s="1671" t="s">
        <v>0</v>
      </c>
      <c r="U587" s="1671"/>
      <c r="V587" s="1671">
        <v>5</v>
      </c>
      <c r="W587" s="1671" t="s">
        <v>3</v>
      </c>
      <c r="X587" s="1671" t="s">
        <v>1</v>
      </c>
      <c r="Y587" s="1674">
        <f t="shared" si="198"/>
        <v>25000</v>
      </c>
      <c r="Z587" s="829">
        <f t="shared" si="199"/>
        <v>25000000</v>
      </c>
      <c r="AA587" s="305"/>
      <c r="AB587" s="305"/>
      <c r="AC587" s="166"/>
    </row>
    <row r="588" spans="1:29" ht="22.5" customHeight="1">
      <c r="A588" s="2317"/>
      <c r="B588" s="1145"/>
      <c r="C588" s="1126"/>
      <c r="D588" s="1145"/>
      <c r="E588" s="465"/>
      <c r="F588" s="472"/>
      <c r="G588" s="472"/>
      <c r="H588" s="1346"/>
      <c r="I588" s="473"/>
      <c r="J588" s="1670" t="s">
        <v>1962</v>
      </c>
      <c r="K588" s="1671"/>
      <c r="L588" s="1671"/>
      <c r="M588" s="1671"/>
      <c r="N588" s="1672"/>
      <c r="O588" s="1671"/>
      <c r="P588" s="1671"/>
      <c r="Q588" s="1673"/>
      <c r="R588" s="1671"/>
      <c r="S588" s="1672">
        <v>1000000</v>
      </c>
      <c r="T588" s="1671" t="s">
        <v>0</v>
      </c>
      <c r="U588" s="1671"/>
      <c r="V588" s="1671">
        <v>1</v>
      </c>
      <c r="W588" s="1671" t="s">
        <v>1738</v>
      </c>
      <c r="X588" s="1671" t="s">
        <v>1</v>
      </c>
      <c r="Y588" s="1674">
        <f t="shared" si="198"/>
        <v>1000</v>
      </c>
      <c r="Z588" s="829">
        <f t="shared" si="199"/>
        <v>1000000</v>
      </c>
      <c r="AA588" s="305"/>
      <c r="AB588" s="305"/>
      <c r="AC588" s="166"/>
    </row>
    <row r="589" spans="1:29" ht="22.5" customHeight="1">
      <c r="A589" s="2317"/>
      <c r="B589" s="1145"/>
      <c r="C589" s="1126"/>
      <c r="D589" s="1145"/>
      <c r="E589" s="465"/>
      <c r="F589" s="472"/>
      <c r="G589" s="472"/>
      <c r="H589" s="1346"/>
      <c r="I589" s="473"/>
      <c r="J589" s="1670" t="s">
        <v>1963</v>
      </c>
      <c r="K589" s="1671"/>
      <c r="L589" s="1671"/>
      <c r="M589" s="1671"/>
      <c r="N589" s="1672"/>
      <c r="O589" s="1671"/>
      <c r="P589" s="1671"/>
      <c r="Q589" s="1673"/>
      <c r="R589" s="1671"/>
      <c r="S589" s="1672">
        <f>2000000</f>
        <v>2000000</v>
      </c>
      <c r="T589" s="1671" t="s">
        <v>0</v>
      </c>
      <c r="U589" s="1671"/>
      <c r="V589" s="1671">
        <v>1</v>
      </c>
      <c r="W589" s="1671" t="s">
        <v>1738</v>
      </c>
      <c r="X589" s="1671" t="s">
        <v>1</v>
      </c>
      <c r="Y589" s="1674">
        <f t="shared" si="198"/>
        <v>2000</v>
      </c>
      <c r="Z589" s="829">
        <f t="shared" si="199"/>
        <v>2000000</v>
      </c>
      <c r="AA589" s="305"/>
      <c r="AB589" s="305"/>
      <c r="AC589" s="166"/>
    </row>
    <row r="590" spans="1:29" ht="22.5" customHeight="1">
      <c r="A590" s="2317"/>
      <c r="B590" s="1145"/>
      <c r="C590" s="1126"/>
      <c r="D590" s="1145"/>
      <c r="E590" s="465"/>
      <c r="F590" s="472"/>
      <c r="G590" s="472"/>
      <c r="H590" s="1346"/>
      <c r="I590" s="473"/>
      <c r="J590" s="830" t="s">
        <v>1964</v>
      </c>
      <c r="K590" s="371"/>
      <c r="L590" s="371"/>
      <c r="M590" s="371"/>
      <c r="N590" s="458"/>
      <c r="O590" s="371"/>
      <c r="P590" s="371"/>
      <c r="Q590" s="368"/>
      <c r="R590" s="371"/>
      <c r="S590" s="458">
        <f>5000000-175000</f>
        <v>4825000</v>
      </c>
      <c r="T590" s="371" t="s">
        <v>0</v>
      </c>
      <c r="U590" s="371"/>
      <c r="V590" s="371">
        <v>2</v>
      </c>
      <c r="W590" s="371" t="s">
        <v>3</v>
      </c>
      <c r="X590" s="371" t="s">
        <v>1</v>
      </c>
      <c r="Y590" s="345">
        <f t="shared" si="198"/>
        <v>9650</v>
      </c>
      <c r="Z590" s="1700">
        <f t="shared" si="199"/>
        <v>9650000</v>
      </c>
      <c r="AA590" s="305"/>
      <c r="AB590" s="305"/>
      <c r="AC590" s="166"/>
    </row>
    <row r="591" spans="1:29" ht="22.5" customHeight="1">
      <c r="A591" s="2317"/>
      <c r="B591" s="1145"/>
      <c r="C591" s="1126"/>
      <c r="D591" s="471"/>
      <c r="E591" s="1349" t="s">
        <v>106</v>
      </c>
      <c r="F591" s="1343">
        <f>+Y591</f>
        <v>6500</v>
      </c>
      <c r="G591" s="1350">
        <v>6500</v>
      </c>
      <c r="H591" s="1345"/>
      <c r="I591" s="473"/>
      <c r="J591" s="911" t="s">
        <v>1727</v>
      </c>
      <c r="K591" s="815"/>
      <c r="L591" s="815"/>
      <c r="M591" s="815"/>
      <c r="N591" s="450"/>
      <c r="O591" s="450"/>
      <c r="P591" s="815"/>
      <c r="Q591" s="831"/>
      <c r="R591" s="815"/>
      <c r="S591" s="815"/>
      <c r="T591" s="815"/>
      <c r="U591" s="815"/>
      <c r="V591" s="815"/>
      <c r="W591" s="815"/>
      <c r="X591" s="815"/>
      <c r="Y591" s="356">
        <f t="shared" si="198"/>
        <v>6500</v>
      </c>
      <c r="Z591" s="829">
        <f>SUM(Z592:Z593)</f>
        <v>6500000</v>
      </c>
      <c r="AA591" s="305"/>
      <c r="AB591" s="305"/>
      <c r="AC591" s="166"/>
    </row>
    <row r="592" spans="1:29" ht="22.5" customHeight="1">
      <c r="A592" s="2317"/>
      <c r="B592" s="1145"/>
      <c r="C592" s="1126"/>
      <c r="D592" s="471"/>
      <c r="E592" s="402"/>
      <c r="F592" s="472"/>
      <c r="G592" s="1351"/>
      <c r="H592" s="1352"/>
      <c r="I592" s="473"/>
      <c r="J592" s="1670" t="s">
        <v>1965</v>
      </c>
      <c r="K592" s="1671"/>
      <c r="L592" s="1671"/>
      <c r="M592" s="1671"/>
      <c r="N592" s="1672"/>
      <c r="O592" s="1671"/>
      <c r="P592" s="1671"/>
      <c r="Q592" s="1673"/>
      <c r="R592" s="1671"/>
      <c r="S592" s="1672">
        <v>1500000</v>
      </c>
      <c r="T592" s="1671" t="s">
        <v>0</v>
      </c>
      <c r="U592" s="1671"/>
      <c r="V592" s="1671">
        <v>1</v>
      </c>
      <c r="W592" s="1671" t="s">
        <v>1738</v>
      </c>
      <c r="X592" s="1671" t="s">
        <v>1</v>
      </c>
      <c r="Y592" s="1674">
        <f t="shared" si="198"/>
        <v>1500</v>
      </c>
      <c r="Z592" s="829">
        <f>+S592*V592</f>
        <v>1500000</v>
      </c>
      <c r="AA592" s="305"/>
      <c r="AB592" s="305"/>
      <c r="AC592" s="166"/>
    </row>
    <row r="593" spans="1:29" ht="22.5" customHeight="1">
      <c r="A593" s="2317"/>
      <c r="B593" s="1145"/>
      <c r="C593" s="1126"/>
      <c r="D593" s="471"/>
      <c r="E593" s="402"/>
      <c r="F593" s="472"/>
      <c r="G593" s="1351"/>
      <c r="H593" s="1352"/>
      <c r="I593" s="473"/>
      <c r="J593" s="830" t="s">
        <v>1966</v>
      </c>
      <c r="K593" s="371"/>
      <c r="L593" s="371"/>
      <c r="M593" s="371"/>
      <c r="N593" s="458"/>
      <c r="O593" s="371"/>
      <c r="P593" s="371"/>
      <c r="Q593" s="368"/>
      <c r="R593" s="371"/>
      <c r="S593" s="1672">
        <v>5000000</v>
      </c>
      <c r="T593" s="1671" t="s">
        <v>0</v>
      </c>
      <c r="U593" s="1671"/>
      <c r="V593" s="1671">
        <v>1</v>
      </c>
      <c r="W593" s="1671" t="s">
        <v>1738</v>
      </c>
      <c r="X593" s="1671" t="s">
        <v>1</v>
      </c>
      <c r="Y593" s="1674">
        <f t="shared" si="198"/>
        <v>5000</v>
      </c>
      <c r="Z593" s="829">
        <f>+S593*V593</f>
        <v>5000000</v>
      </c>
      <c r="AA593" s="305"/>
      <c r="AB593" s="305"/>
      <c r="AC593" s="166"/>
    </row>
    <row r="594" spans="1:29" ht="22.5" customHeight="1">
      <c r="A594" s="2317"/>
      <c r="B594" s="1145"/>
      <c r="C594" s="1126"/>
      <c r="D594" s="1145"/>
      <c r="E594" s="809" t="s">
        <v>52</v>
      </c>
      <c r="F594" s="1343">
        <f>+Y594</f>
        <v>4200</v>
      </c>
      <c r="G594" s="1343">
        <v>4200</v>
      </c>
      <c r="H594" s="1345"/>
      <c r="I594" s="473"/>
      <c r="J594" s="911" t="s">
        <v>1727</v>
      </c>
      <c r="K594" s="815"/>
      <c r="L594" s="815"/>
      <c r="M594" s="815"/>
      <c r="N594" s="450"/>
      <c r="O594" s="450"/>
      <c r="P594" s="815"/>
      <c r="Q594" s="831"/>
      <c r="R594" s="815"/>
      <c r="S594" s="815"/>
      <c r="T594" s="815"/>
      <c r="U594" s="815"/>
      <c r="V594" s="815"/>
      <c r="W594" s="815"/>
      <c r="X594" s="815"/>
      <c r="Y594" s="356">
        <f>SUM(Y595:Y597)</f>
        <v>4200</v>
      </c>
      <c r="Z594" s="1738">
        <f>SUM(Z595:Z597)</f>
        <v>4200000</v>
      </c>
      <c r="AA594" s="305"/>
      <c r="AB594" s="305"/>
      <c r="AC594" s="166"/>
    </row>
    <row r="595" spans="1:29" ht="22.5" customHeight="1">
      <c r="A595" s="2317"/>
      <c r="B595" s="1145"/>
      <c r="C595" s="1126"/>
      <c r="D595" s="1145"/>
      <c r="E595" s="465"/>
      <c r="F595" s="472"/>
      <c r="G595" s="472"/>
      <c r="H595" s="1346"/>
      <c r="I595" s="473"/>
      <c r="J595" s="1670" t="s">
        <v>1967</v>
      </c>
      <c r="K595" s="1671"/>
      <c r="L595" s="1671"/>
      <c r="M595" s="1671"/>
      <c r="N595" s="1672"/>
      <c r="O595" s="1671"/>
      <c r="P595" s="1671"/>
      <c r="Q595" s="1673"/>
      <c r="R595" s="1671"/>
      <c r="S595" s="1672">
        <v>100000</v>
      </c>
      <c r="T595" s="1671" t="s">
        <v>0</v>
      </c>
      <c r="U595" s="1671"/>
      <c r="V595" s="1671">
        <v>3</v>
      </c>
      <c r="W595" s="1671" t="s">
        <v>1753</v>
      </c>
      <c r="X595" s="1671" t="s">
        <v>1</v>
      </c>
      <c r="Y595" s="1674">
        <f>+Z595/1000</f>
        <v>300</v>
      </c>
      <c r="Z595" s="829">
        <f>+S595*V595</f>
        <v>300000</v>
      </c>
      <c r="AA595" s="305"/>
      <c r="AB595" s="305"/>
      <c r="AC595" s="166"/>
    </row>
    <row r="596" spans="1:29" ht="22.5" customHeight="1">
      <c r="A596" s="2317"/>
      <c r="B596" s="1145"/>
      <c r="C596" s="1126"/>
      <c r="D596" s="1145"/>
      <c r="E596" s="465"/>
      <c r="F596" s="472"/>
      <c r="G596" s="472"/>
      <c r="H596" s="1346"/>
      <c r="I596" s="473"/>
      <c r="J596" s="1670" t="s">
        <v>1968</v>
      </c>
      <c r="K596" s="1671"/>
      <c r="L596" s="1671"/>
      <c r="M596" s="1671"/>
      <c r="N596" s="1671"/>
      <c r="O596" s="1671"/>
      <c r="P596" s="1671"/>
      <c r="Q596" s="1673"/>
      <c r="R596" s="1671"/>
      <c r="S596" s="1672">
        <v>300000</v>
      </c>
      <c r="T596" s="1671" t="s">
        <v>1746</v>
      </c>
      <c r="U596" s="1671"/>
      <c r="V596" s="1671">
        <v>1</v>
      </c>
      <c r="W596" s="1671" t="s">
        <v>1725</v>
      </c>
      <c r="X596" s="1671" t="s">
        <v>1747</v>
      </c>
      <c r="Y596" s="1674">
        <f>+Z596/1000</f>
        <v>300</v>
      </c>
      <c r="Z596" s="829">
        <f>+S596*V596</f>
        <v>300000</v>
      </c>
      <c r="AA596" s="305"/>
      <c r="AB596" s="305"/>
      <c r="AC596" s="166"/>
    </row>
    <row r="597" spans="1:29" ht="22.5" customHeight="1">
      <c r="A597" s="2317"/>
      <c r="B597" s="1145"/>
      <c r="C597" s="1126"/>
      <c r="D597" s="1145"/>
      <c r="E597" s="465"/>
      <c r="F597" s="472"/>
      <c r="G597" s="472"/>
      <c r="H597" s="1346"/>
      <c r="I597" s="473"/>
      <c r="J597" s="1670" t="s">
        <v>1969</v>
      </c>
      <c r="K597" s="1671"/>
      <c r="L597" s="1671"/>
      <c r="M597" s="1671"/>
      <c r="N597" s="1671"/>
      <c r="O597" s="1671"/>
      <c r="P597" s="1671"/>
      <c r="Q597" s="1673">
        <v>100</v>
      </c>
      <c r="R597" s="1671" t="s">
        <v>1970</v>
      </c>
      <c r="S597" s="1672">
        <v>3000</v>
      </c>
      <c r="T597" s="1671" t="s">
        <v>0</v>
      </c>
      <c r="U597" s="1671"/>
      <c r="V597" s="1671">
        <v>12</v>
      </c>
      <c r="W597" s="1671" t="s">
        <v>1955</v>
      </c>
      <c r="X597" s="1671" t="s">
        <v>1</v>
      </c>
      <c r="Y597" s="1674">
        <f>+Z597/1000</f>
        <v>3600</v>
      </c>
      <c r="Z597" s="829">
        <f>Q597*S597*V597</f>
        <v>3600000</v>
      </c>
      <c r="AA597" s="305"/>
      <c r="AB597" s="305"/>
      <c r="AC597" s="166"/>
    </row>
    <row r="598" spans="1:29" ht="21.6" customHeight="1">
      <c r="A598" s="2317"/>
      <c r="B598" s="1145"/>
      <c r="C598" s="1126"/>
      <c r="D598" s="1145"/>
      <c r="E598" s="809" t="s">
        <v>1736</v>
      </c>
      <c r="F598" s="1343">
        <f>+Y598</f>
        <v>595000</v>
      </c>
      <c r="G598" s="1343">
        <v>595000</v>
      </c>
      <c r="H598" s="1345"/>
      <c r="I598" s="473"/>
      <c r="J598" s="911" t="s">
        <v>1727</v>
      </c>
      <c r="K598" s="815"/>
      <c r="L598" s="815"/>
      <c r="M598" s="815"/>
      <c r="N598" s="450"/>
      <c r="O598" s="450"/>
      <c r="P598" s="815"/>
      <c r="Q598" s="831"/>
      <c r="R598" s="815"/>
      <c r="S598" s="815"/>
      <c r="T598" s="815"/>
      <c r="U598" s="815"/>
      <c r="V598" s="815"/>
      <c r="W598" s="815"/>
      <c r="X598" s="815"/>
      <c r="Y598" s="356">
        <f>SUM(Y599:Y601)</f>
        <v>595000</v>
      </c>
      <c r="Z598" s="1738">
        <f>SUM(Z599:Z601)</f>
        <v>595000000</v>
      </c>
      <c r="AA598" s="305"/>
      <c r="AB598" s="305"/>
      <c r="AC598" s="166"/>
    </row>
    <row r="599" spans="1:29" ht="21.6" customHeight="1">
      <c r="A599" s="2317"/>
      <c r="B599" s="1145"/>
      <c r="C599" s="1126"/>
      <c r="D599" s="1145"/>
      <c r="E599" s="465"/>
      <c r="F599" s="472"/>
      <c r="G599" s="472"/>
      <c r="H599" s="1346"/>
      <c r="I599" s="473"/>
      <c r="J599" s="1670" t="s">
        <v>1971</v>
      </c>
      <c r="K599" s="1671"/>
      <c r="L599" s="1671"/>
      <c r="M599" s="1671"/>
      <c r="N599" s="1672"/>
      <c r="O599" s="1671"/>
      <c r="P599" s="1671"/>
      <c r="Q599" s="1673"/>
      <c r="R599" s="1671"/>
      <c r="S599" s="1672">
        <v>552924000</v>
      </c>
      <c r="T599" s="1671" t="s">
        <v>0</v>
      </c>
      <c r="U599" s="1671"/>
      <c r="V599" s="1671">
        <v>1</v>
      </c>
      <c r="W599" s="1671" t="s">
        <v>1738</v>
      </c>
      <c r="X599" s="1671" t="s">
        <v>1</v>
      </c>
      <c r="Y599" s="1674">
        <f>+Z599/1000</f>
        <v>552924</v>
      </c>
      <c r="Z599" s="829">
        <f>S599*V599</f>
        <v>552924000</v>
      </c>
      <c r="AA599" s="305"/>
      <c r="AB599" s="305"/>
      <c r="AC599" s="166"/>
    </row>
    <row r="600" spans="1:29" ht="21.6" customHeight="1">
      <c r="A600" s="2317"/>
      <c r="B600" s="1145"/>
      <c r="C600" s="1126"/>
      <c r="D600" s="1145"/>
      <c r="E600" s="465"/>
      <c r="F600" s="472"/>
      <c r="G600" s="472"/>
      <c r="H600" s="1346"/>
      <c r="I600" s="473"/>
      <c r="J600" s="1670" t="s">
        <v>1972</v>
      </c>
      <c r="K600" s="1671"/>
      <c r="L600" s="1671"/>
      <c r="M600" s="1671"/>
      <c r="N600" s="1672"/>
      <c r="O600" s="1671"/>
      <c r="P600" s="1671"/>
      <c r="Q600" s="1673"/>
      <c r="R600" s="1671"/>
      <c r="S600" s="1672">
        <v>3421000</v>
      </c>
      <c r="T600" s="1671" t="s">
        <v>0</v>
      </c>
      <c r="U600" s="1671"/>
      <c r="V600" s="1671">
        <v>1</v>
      </c>
      <c r="W600" s="1671" t="s">
        <v>1738</v>
      </c>
      <c r="X600" s="1671" t="s">
        <v>1</v>
      </c>
      <c r="Y600" s="1674">
        <f>+Z600/1000</f>
        <v>3421</v>
      </c>
      <c r="Z600" s="829">
        <f>+S600*V600</f>
        <v>3421000</v>
      </c>
      <c r="AA600" s="305"/>
      <c r="AB600" s="305"/>
      <c r="AC600" s="166"/>
    </row>
    <row r="601" spans="1:29" ht="21.6" customHeight="1">
      <c r="A601" s="2317"/>
      <c r="B601" s="1145"/>
      <c r="C601" s="1126"/>
      <c r="D601" s="1145"/>
      <c r="E601" s="819"/>
      <c r="F601" s="1304"/>
      <c r="G601" s="1304"/>
      <c r="H601" s="1305"/>
      <c r="I601" s="473"/>
      <c r="J601" s="830" t="s">
        <v>1973</v>
      </c>
      <c r="K601" s="371"/>
      <c r="L601" s="371"/>
      <c r="M601" s="371"/>
      <c r="N601" s="458"/>
      <c r="O601" s="371"/>
      <c r="P601" s="371"/>
      <c r="Q601" s="368"/>
      <c r="R601" s="371"/>
      <c r="S601" s="458">
        <f>3000000+221250</f>
        <v>3221250</v>
      </c>
      <c r="T601" s="371" t="s">
        <v>0</v>
      </c>
      <c r="U601" s="371"/>
      <c r="V601" s="371">
        <v>12</v>
      </c>
      <c r="W601" s="371" t="s">
        <v>2</v>
      </c>
      <c r="X601" s="371" t="s">
        <v>1</v>
      </c>
      <c r="Y601" s="345">
        <f>+Z601/1000</f>
        <v>38655</v>
      </c>
      <c r="Z601" s="1700">
        <f>S601*V601</f>
        <v>38655000</v>
      </c>
      <c r="AA601" s="305"/>
      <c r="AB601" s="305"/>
      <c r="AC601" s="166"/>
    </row>
    <row r="602" spans="1:29" ht="21.6" customHeight="1">
      <c r="A602" s="2317"/>
      <c r="B602" s="1145"/>
      <c r="C602" s="1126"/>
      <c r="D602" s="1145"/>
      <c r="E602" s="465" t="s">
        <v>64</v>
      </c>
      <c r="F602" s="472">
        <f>+Y602</f>
        <v>33000</v>
      </c>
      <c r="G602" s="472">
        <v>33000</v>
      </c>
      <c r="H602" s="1345"/>
      <c r="I602" s="473"/>
      <c r="J602" s="1670" t="s">
        <v>1727</v>
      </c>
      <c r="K602" s="1671"/>
      <c r="L602" s="1671"/>
      <c r="M602" s="1671"/>
      <c r="N602" s="1672"/>
      <c r="O602" s="1672"/>
      <c r="P602" s="1671"/>
      <c r="Q602" s="1673"/>
      <c r="R602" s="1671"/>
      <c r="S602" s="1671"/>
      <c r="T602" s="1671"/>
      <c r="U602" s="1671"/>
      <c r="V602" s="1671"/>
      <c r="W602" s="1671"/>
      <c r="X602" s="1671"/>
      <c r="Y602" s="1674">
        <f>SUM(Y603:Y605)</f>
        <v>33000</v>
      </c>
      <c r="Z602" s="829">
        <f>SUM(Z603:Z605)</f>
        <v>33000000</v>
      </c>
      <c r="AA602" s="305"/>
      <c r="AB602" s="305"/>
      <c r="AC602" s="166"/>
    </row>
    <row r="603" spans="1:29" ht="21.6" customHeight="1">
      <c r="A603" s="2317"/>
      <c r="B603" s="1145"/>
      <c r="C603" s="1126"/>
      <c r="D603" s="1145"/>
      <c r="E603" s="465"/>
      <c r="F603" s="472"/>
      <c r="G603" s="472"/>
      <c r="H603" s="1346"/>
      <c r="I603" s="473"/>
      <c r="J603" s="1670" t="s">
        <v>329</v>
      </c>
      <c r="K603" s="1671"/>
      <c r="L603" s="1671"/>
      <c r="M603" s="1671"/>
      <c r="N603" s="1672"/>
      <c r="O603" s="1672"/>
      <c r="P603" s="1671"/>
      <c r="Q603" s="1673"/>
      <c r="R603" s="1671"/>
      <c r="S603" s="1672">
        <v>800000</v>
      </c>
      <c r="T603" s="1671" t="s">
        <v>0</v>
      </c>
      <c r="U603" s="1671"/>
      <c r="V603" s="1671">
        <v>12</v>
      </c>
      <c r="W603" s="1671" t="s">
        <v>1955</v>
      </c>
      <c r="X603" s="1671" t="s">
        <v>1</v>
      </c>
      <c r="Y603" s="1674">
        <f t="shared" ref="Y603:Y613" si="200">+Z603/1000</f>
        <v>9600</v>
      </c>
      <c r="Z603" s="829">
        <f>S603*V603</f>
        <v>9600000</v>
      </c>
      <c r="AA603" s="305"/>
      <c r="AB603" s="305"/>
      <c r="AC603" s="166"/>
    </row>
    <row r="604" spans="1:29" ht="21.6" customHeight="1">
      <c r="A604" s="2317"/>
      <c r="B604" s="1145"/>
      <c r="C604" s="1126"/>
      <c r="D604" s="1145"/>
      <c r="E604" s="465"/>
      <c r="F604" s="472"/>
      <c r="G604" s="472"/>
      <c r="H604" s="1346"/>
      <c r="I604" s="473"/>
      <c r="J604" s="1670" t="s">
        <v>1974</v>
      </c>
      <c r="K604" s="1671"/>
      <c r="L604" s="1671"/>
      <c r="M604" s="1671"/>
      <c r="N604" s="1672"/>
      <c r="O604" s="1672"/>
      <c r="P604" s="1671"/>
      <c r="Q604" s="1673"/>
      <c r="R604" s="1671"/>
      <c r="S604" s="1672">
        <v>1000000</v>
      </c>
      <c r="T604" s="1671" t="s">
        <v>0</v>
      </c>
      <c r="U604" s="1671"/>
      <c r="V604" s="1671">
        <v>12</v>
      </c>
      <c r="W604" s="1671" t="s">
        <v>1955</v>
      </c>
      <c r="X604" s="1671" t="s">
        <v>1</v>
      </c>
      <c r="Y604" s="1674">
        <f t="shared" si="200"/>
        <v>12000</v>
      </c>
      <c r="Z604" s="829">
        <f>S604*V604</f>
        <v>12000000</v>
      </c>
      <c r="AA604" s="305"/>
      <c r="AB604" s="305"/>
      <c r="AC604" s="166"/>
    </row>
    <row r="605" spans="1:29" ht="21.6" customHeight="1">
      <c r="A605" s="2317"/>
      <c r="B605" s="1145"/>
      <c r="C605" s="1126"/>
      <c r="D605" s="1145"/>
      <c r="E605" s="819"/>
      <c r="F605" s="1304"/>
      <c r="G605" s="1304"/>
      <c r="H605" s="1305"/>
      <c r="I605" s="473"/>
      <c r="J605" s="830" t="s">
        <v>1975</v>
      </c>
      <c r="K605" s="371"/>
      <c r="L605" s="371"/>
      <c r="M605" s="371"/>
      <c r="N605" s="458"/>
      <c r="O605" s="458"/>
      <c r="P605" s="371"/>
      <c r="Q605" s="368"/>
      <c r="R605" s="371"/>
      <c r="S605" s="458">
        <v>950000</v>
      </c>
      <c r="T605" s="371" t="s">
        <v>0</v>
      </c>
      <c r="U605" s="371"/>
      <c r="V605" s="371">
        <v>12</v>
      </c>
      <c r="W605" s="371" t="s">
        <v>2</v>
      </c>
      <c r="X605" s="371" t="s">
        <v>1</v>
      </c>
      <c r="Y605" s="345">
        <f t="shared" si="200"/>
        <v>11400</v>
      </c>
      <c r="Z605" s="1700">
        <f>S605*V605</f>
        <v>11400000</v>
      </c>
      <c r="AA605" s="305"/>
      <c r="AB605" s="305"/>
      <c r="AC605" s="166"/>
    </row>
    <row r="606" spans="1:29" ht="21.6" customHeight="1">
      <c r="A606" s="2317"/>
      <c r="B606" s="1145"/>
      <c r="C606" s="1126"/>
      <c r="D606" s="1145"/>
      <c r="E606" s="809" t="s">
        <v>144</v>
      </c>
      <c r="F606" s="1343">
        <f>+Y606</f>
        <v>3600</v>
      </c>
      <c r="G606" s="1343">
        <v>3600</v>
      </c>
      <c r="H606" s="810"/>
      <c r="I606" s="473"/>
      <c r="J606" s="1670" t="s">
        <v>1976</v>
      </c>
      <c r="K606" s="1671"/>
      <c r="L606" s="1671"/>
      <c r="M606" s="1671"/>
      <c r="N606" s="1672"/>
      <c r="O606" s="1671"/>
      <c r="P606" s="1671"/>
      <c r="Q606" s="1673">
        <v>1</v>
      </c>
      <c r="R606" s="1671" t="s">
        <v>23</v>
      </c>
      <c r="S606" s="1672">
        <v>300000</v>
      </c>
      <c r="T606" s="1671" t="s">
        <v>0</v>
      </c>
      <c r="U606" s="1671"/>
      <c r="V606" s="1671">
        <v>12</v>
      </c>
      <c r="W606" s="1671" t="s">
        <v>2</v>
      </c>
      <c r="X606" s="1671" t="s">
        <v>1</v>
      </c>
      <c r="Y606" s="1674">
        <f t="shared" si="200"/>
        <v>3600</v>
      </c>
      <c r="Z606" s="829">
        <f>S606*Q606*V606</f>
        <v>3600000</v>
      </c>
      <c r="AA606" s="305"/>
      <c r="AB606" s="305"/>
      <c r="AC606" s="166"/>
    </row>
    <row r="607" spans="1:29" ht="21.6" customHeight="1">
      <c r="A607" s="2317"/>
      <c r="B607" s="1145"/>
      <c r="C607" s="1126"/>
      <c r="D607" s="1145"/>
      <c r="E607" s="809" t="s">
        <v>54</v>
      </c>
      <c r="F607" s="1343">
        <f>+Y607</f>
        <v>28200</v>
      </c>
      <c r="G607" s="1343">
        <v>28200</v>
      </c>
      <c r="H607" s="1345"/>
      <c r="I607" s="473"/>
      <c r="J607" s="911" t="s">
        <v>1694</v>
      </c>
      <c r="K607" s="815"/>
      <c r="L607" s="815"/>
      <c r="M607" s="815"/>
      <c r="N607" s="450"/>
      <c r="O607" s="815"/>
      <c r="P607" s="815"/>
      <c r="Q607" s="831"/>
      <c r="R607" s="815"/>
      <c r="S607" s="450"/>
      <c r="T607" s="815"/>
      <c r="U607" s="815"/>
      <c r="V607" s="815"/>
      <c r="W607" s="815"/>
      <c r="X607" s="815"/>
      <c r="Y607" s="356">
        <f t="shared" si="200"/>
        <v>28200</v>
      </c>
      <c r="Z607" s="1738">
        <f>SUM(Z608:Z610)</f>
        <v>28200000</v>
      </c>
      <c r="AA607" s="305"/>
      <c r="AB607" s="305"/>
      <c r="AC607" s="166"/>
    </row>
    <row r="608" spans="1:29" ht="21.6" customHeight="1">
      <c r="A608" s="2317"/>
      <c r="B608" s="1145"/>
      <c r="C608" s="1126"/>
      <c r="D608" s="1145"/>
      <c r="E608" s="834"/>
      <c r="F608" s="472"/>
      <c r="G608" s="472"/>
      <c r="H608" s="1346"/>
      <c r="I608" s="473"/>
      <c r="J608" s="1670" t="s">
        <v>328</v>
      </c>
      <c r="K608" s="1671"/>
      <c r="L608" s="1671"/>
      <c r="M608" s="1671"/>
      <c r="N608" s="1672"/>
      <c r="O608" s="1671"/>
      <c r="P608" s="1671"/>
      <c r="Q608" s="1673"/>
      <c r="R608" s="1671"/>
      <c r="S608" s="1672">
        <v>100000</v>
      </c>
      <c r="T608" s="1671" t="s">
        <v>0</v>
      </c>
      <c r="U608" s="1671"/>
      <c r="V608" s="1671">
        <v>12</v>
      </c>
      <c r="W608" s="1671" t="s">
        <v>2</v>
      </c>
      <c r="X608" s="1671" t="s">
        <v>1</v>
      </c>
      <c r="Y608" s="1674">
        <f t="shared" si="200"/>
        <v>1200</v>
      </c>
      <c r="Z608" s="829">
        <f>+S608*V608</f>
        <v>1200000</v>
      </c>
      <c r="AA608" s="305"/>
      <c r="AB608" s="305"/>
      <c r="AC608" s="166"/>
    </row>
    <row r="609" spans="1:29" ht="21.6" customHeight="1">
      <c r="A609" s="2317"/>
      <c r="B609" s="1145"/>
      <c r="C609" s="1126"/>
      <c r="D609" s="1145"/>
      <c r="E609" s="834"/>
      <c r="F609" s="472"/>
      <c r="G609" s="472"/>
      <c r="H609" s="1346"/>
      <c r="I609" s="473"/>
      <c r="J609" s="1670" t="s">
        <v>1977</v>
      </c>
      <c r="K609" s="1671"/>
      <c r="L609" s="1671"/>
      <c r="M609" s="1671"/>
      <c r="N609" s="1672"/>
      <c r="O609" s="1671"/>
      <c r="P609" s="1671"/>
      <c r="Q609" s="1673">
        <v>1</v>
      </c>
      <c r="R609" s="1671" t="s">
        <v>37</v>
      </c>
      <c r="S609" s="1672">
        <f>2300000-150000</f>
        <v>2150000</v>
      </c>
      <c r="T609" s="1671" t="s">
        <v>0</v>
      </c>
      <c r="U609" s="1671"/>
      <c r="V609" s="1671">
        <v>12</v>
      </c>
      <c r="W609" s="1671" t="s">
        <v>2</v>
      </c>
      <c r="X609" s="1671" t="s">
        <v>1</v>
      </c>
      <c r="Y609" s="1674">
        <f t="shared" si="200"/>
        <v>25800</v>
      </c>
      <c r="Z609" s="829">
        <f>+Q609*S609*V609</f>
        <v>25800000</v>
      </c>
      <c r="AA609" s="305"/>
      <c r="AB609" s="305"/>
      <c r="AC609" s="166"/>
    </row>
    <row r="610" spans="1:29" ht="21.6" customHeight="1">
      <c r="A610" s="2317"/>
      <c r="B610" s="1145"/>
      <c r="C610" s="1126"/>
      <c r="D610" s="1145"/>
      <c r="E610" s="819"/>
      <c r="F610" s="1304"/>
      <c r="G610" s="1304"/>
      <c r="H610" s="1305"/>
      <c r="I610" s="473"/>
      <c r="J610" s="830" t="s">
        <v>1978</v>
      </c>
      <c r="K610" s="371"/>
      <c r="L610" s="371"/>
      <c r="M610" s="371"/>
      <c r="N610" s="458"/>
      <c r="O610" s="371"/>
      <c r="P610" s="371"/>
      <c r="Q610" s="368"/>
      <c r="R610" s="371"/>
      <c r="S610" s="458">
        <v>100000</v>
      </c>
      <c r="T610" s="371" t="s">
        <v>0</v>
      </c>
      <c r="U610" s="371"/>
      <c r="V610" s="371">
        <v>12</v>
      </c>
      <c r="W610" s="371" t="s">
        <v>2</v>
      </c>
      <c r="X610" s="371" t="s">
        <v>1</v>
      </c>
      <c r="Y610" s="345">
        <f t="shared" si="200"/>
        <v>1200</v>
      </c>
      <c r="Z610" s="1700">
        <f>+S610*V610</f>
        <v>1200000</v>
      </c>
      <c r="AA610" s="305"/>
      <c r="AB610" s="305"/>
      <c r="AC610" s="166"/>
    </row>
    <row r="611" spans="1:29" ht="21.6" customHeight="1">
      <c r="A611" s="2317"/>
      <c r="B611" s="1145"/>
      <c r="C611" s="1126"/>
      <c r="D611" s="1145"/>
      <c r="E611" s="465" t="s">
        <v>55</v>
      </c>
      <c r="F611" s="472">
        <f>+Y611</f>
        <v>8100</v>
      </c>
      <c r="G611" s="472">
        <v>8100</v>
      </c>
      <c r="H611" s="1346"/>
      <c r="I611" s="473"/>
      <c r="J611" s="1670" t="s">
        <v>1727</v>
      </c>
      <c r="K611" s="1671"/>
      <c r="L611" s="1671"/>
      <c r="M611" s="1671"/>
      <c r="N611" s="1672"/>
      <c r="O611" s="1672"/>
      <c r="P611" s="1671"/>
      <c r="Q611" s="1673"/>
      <c r="R611" s="1671"/>
      <c r="S611" s="1672"/>
      <c r="T611" s="1671"/>
      <c r="U611" s="1671"/>
      <c r="V611" s="1671"/>
      <c r="W611" s="1671"/>
      <c r="X611" s="1671"/>
      <c r="Y611" s="1674">
        <f t="shared" si="200"/>
        <v>8100</v>
      </c>
      <c r="Z611" s="829">
        <f>SUM(Z612:Z613)</f>
        <v>8100000</v>
      </c>
      <c r="AA611" s="305"/>
      <c r="AB611" s="305"/>
      <c r="AC611" s="166"/>
    </row>
    <row r="612" spans="1:29" ht="21.6" customHeight="1">
      <c r="A612" s="2317"/>
      <c r="B612" s="1145"/>
      <c r="C612" s="1126"/>
      <c r="D612" s="1145"/>
      <c r="E612" s="465"/>
      <c r="F612" s="472"/>
      <c r="G612" s="472"/>
      <c r="H612" s="1346"/>
      <c r="I612" s="473"/>
      <c r="J612" s="1670" t="s">
        <v>1979</v>
      </c>
      <c r="K612" s="1671"/>
      <c r="L612" s="1671"/>
      <c r="M612" s="1671"/>
      <c r="N612" s="1672"/>
      <c r="O612" s="1672"/>
      <c r="P612" s="1671"/>
      <c r="Q612" s="1673">
        <v>5</v>
      </c>
      <c r="R612" s="1671" t="s">
        <v>23</v>
      </c>
      <c r="S612" s="1672">
        <v>30000</v>
      </c>
      <c r="T612" s="1671" t="s">
        <v>0</v>
      </c>
      <c r="U612" s="1671"/>
      <c r="V612" s="1671">
        <v>10</v>
      </c>
      <c r="W612" s="1671" t="s">
        <v>3</v>
      </c>
      <c r="X612" s="1671" t="s">
        <v>1</v>
      </c>
      <c r="Y612" s="1674">
        <f t="shared" si="200"/>
        <v>1500</v>
      </c>
      <c r="Z612" s="829">
        <f>Q612*S612*V612</f>
        <v>1500000</v>
      </c>
      <c r="AA612" s="305"/>
      <c r="AB612" s="305"/>
      <c r="AC612" s="166"/>
    </row>
    <row r="613" spans="1:29" ht="21.6" customHeight="1">
      <c r="A613" s="2317"/>
      <c r="B613" s="1145"/>
      <c r="C613" s="1126"/>
      <c r="D613" s="1145"/>
      <c r="E613" s="465"/>
      <c r="F613" s="472"/>
      <c r="G613" s="472"/>
      <c r="H613" s="1346"/>
      <c r="I613" s="473"/>
      <c r="J613" s="1670" t="s">
        <v>1980</v>
      </c>
      <c r="K613" s="1671"/>
      <c r="L613" s="1671"/>
      <c r="M613" s="1671"/>
      <c r="N613" s="1672"/>
      <c r="O613" s="1672"/>
      <c r="P613" s="1671"/>
      <c r="Q613" s="1673">
        <v>10</v>
      </c>
      <c r="R613" s="1671" t="s">
        <v>23</v>
      </c>
      <c r="S613" s="1672">
        <v>30000</v>
      </c>
      <c r="T613" s="1671" t="s">
        <v>0</v>
      </c>
      <c r="U613" s="1671"/>
      <c r="V613" s="1671">
        <v>22</v>
      </c>
      <c r="W613" s="1671" t="s">
        <v>3</v>
      </c>
      <c r="X613" s="1671" t="s">
        <v>1</v>
      </c>
      <c r="Y613" s="345">
        <f t="shared" si="200"/>
        <v>6600</v>
      </c>
      <c r="Z613" s="829">
        <f>Q613*S613*V613</f>
        <v>6600000</v>
      </c>
      <c r="AA613" s="305"/>
      <c r="AB613" s="305"/>
      <c r="AC613" s="166"/>
    </row>
    <row r="614" spans="1:29" ht="21.6" customHeight="1">
      <c r="A614" s="2317"/>
      <c r="B614" s="1145"/>
      <c r="C614" s="1126"/>
      <c r="D614" s="3284" t="s">
        <v>147</v>
      </c>
      <c r="E614" s="3285"/>
      <c r="F614" s="1327">
        <f>SUM(F615:F615)</f>
        <v>6200</v>
      </c>
      <c r="G614" s="1327">
        <v>6200</v>
      </c>
      <c r="H614" s="1132">
        <f>F614-G614</f>
        <v>0</v>
      </c>
      <c r="I614" s="473"/>
      <c r="J614" s="374"/>
      <c r="K614" s="375"/>
      <c r="L614" s="375"/>
      <c r="M614" s="375"/>
      <c r="N614" s="375"/>
      <c r="O614" s="375"/>
      <c r="P614" s="376"/>
      <c r="Q614" s="375"/>
      <c r="R614" s="376"/>
      <c r="S614" s="375"/>
      <c r="T614" s="376"/>
      <c r="U614" s="375"/>
      <c r="V614" s="376"/>
      <c r="W614" s="375"/>
      <c r="X614" s="375"/>
      <c r="Y614" s="377"/>
      <c r="Z614" s="378">
        <f>+Z615</f>
        <v>6200000</v>
      </c>
      <c r="AA614" s="305"/>
      <c r="AB614" s="305"/>
      <c r="AC614" s="166"/>
    </row>
    <row r="615" spans="1:29" ht="21.6" customHeight="1" thickBot="1">
      <c r="A615" s="2317"/>
      <c r="B615" s="1145"/>
      <c r="C615" s="1126"/>
      <c r="D615" s="1126"/>
      <c r="E615" s="1126" t="s">
        <v>1981</v>
      </c>
      <c r="F615" s="1311">
        <f>+Y615</f>
        <v>6200</v>
      </c>
      <c r="G615" s="1311">
        <v>6200</v>
      </c>
      <c r="H615" s="338"/>
      <c r="I615" s="473"/>
      <c r="J615" s="2287" t="s">
        <v>1982</v>
      </c>
      <c r="K615" s="2282"/>
      <c r="L615" s="2282"/>
      <c r="M615" s="2282"/>
      <c r="N615" s="2278"/>
      <c r="O615" s="2278"/>
      <c r="P615" s="2278"/>
      <c r="Q615" s="1673"/>
      <c r="R615" s="1671"/>
      <c r="S615" s="1672">
        <v>6200000</v>
      </c>
      <c r="T615" s="1671" t="s">
        <v>0</v>
      </c>
      <c r="U615" s="1671"/>
      <c r="V615" s="1671">
        <v>1</v>
      </c>
      <c r="W615" s="1671" t="s">
        <v>1738</v>
      </c>
      <c r="X615" s="1671" t="s">
        <v>1</v>
      </c>
      <c r="Y615" s="1674">
        <f>+Z615/1000</f>
        <v>6200</v>
      </c>
      <c r="Z615" s="1700">
        <f>+S615*V615</f>
        <v>6200000</v>
      </c>
      <c r="AA615" s="305"/>
      <c r="AB615" s="305"/>
      <c r="AC615" s="166"/>
    </row>
    <row r="616" spans="1:29" ht="21.6" customHeight="1" thickBot="1">
      <c r="A616" s="2317"/>
      <c r="B616" s="1145"/>
      <c r="C616" s="3355" t="s">
        <v>71</v>
      </c>
      <c r="D616" s="3310"/>
      <c r="E616" s="3311"/>
      <c r="F616" s="1260">
        <f>F617+F649+F685+F691+F698</f>
        <v>1029000</v>
      </c>
      <c r="G616" s="1260">
        <f>G617+G649+G685+G691+G698</f>
        <v>1029000</v>
      </c>
      <c r="H616" s="838">
        <f>F616-G616</f>
        <v>0</v>
      </c>
      <c r="I616" s="473"/>
      <c r="J616" s="2318"/>
      <c r="K616" s="1336"/>
      <c r="L616" s="1337"/>
      <c r="M616" s="1337"/>
      <c r="N616" s="1337"/>
      <c r="O616" s="1337"/>
      <c r="P616" s="1337"/>
      <c r="Q616" s="1337"/>
      <c r="R616" s="1339"/>
      <c r="S616" s="1337"/>
      <c r="T616" s="1337"/>
      <c r="U616" s="1337"/>
      <c r="V616" s="1337"/>
      <c r="W616" s="1337"/>
      <c r="X616" s="1354"/>
      <c r="Y616" s="842"/>
      <c r="Z616" s="1355"/>
      <c r="AA616" s="305"/>
      <c r="AB616" s="305"/>
      <c r="AC616" s="166"/>
    </row>
    <row r="617" spans="1:29" ht="21.6" customHeight="1">
      <c r="A617" s="348" t="s">
        <v>19</v>
      </c>
      <c r="B617" s="1126"/>
      <c r="C617" s="3356" t="s">
        <v>1983</v>
      </c>
      <c r="D617" s="3356"/>
      <c r="E617" s="3357"/>
      <c r="F617" s="1332">
        <f>F618+F639</f>
        <v>284000</v>
      </c>
      <c r="G617" s="1332">
        <f>G618+G639</f>
        <v>284000</v>
      </c>
      <c r="H617" s="361">
        <f>+F617-G617</f>
        <v>0</v>
      </c>
      <c r="I617" s="473"/>
      <c r="J617" s="2320"/>
      <c r="K617" s="2285"/>
      <c r="L617" s="846"/>
      <c r="M617" s="846"/>
      <c r="N617" s="846"/>
      <c r="O617" s="846"/>
      <c r="P617" s="846"/>
      <c r="Q617" s="846"/>
      <c r="R617" s="847"/>
      <c r="S617" s="846"/>
      <c r="T617" s="846"/>
      <c r="U617" s="846"/>
      <c r="V617" s="846"/>
      <c r="W617" s="846"/>
      <c r="X617" s="846"/>
      <c r="Y617" s="345"/>
      <c r="Z617" s="1359"/>
      <c r="AA617" s="305"/>
      <c r="AB617" s="305"/>
      <c r="AC617" s="166"/>
    </row>
    <row r="618" spans="1:29" ht="21.6" customHeight="1">
      <c r="A618" s="2274"/>
      <c r="B618" s="1145"/>
      <c r="C618" s="470"/>
      <c r="D618" s="3284" t="s">
        <v>1984</v>
      </c>
      <c r="E618" s="3285"/>
      <c r="F618" s="1327">
        <f>SUM(F619:F638)</f>
        <v>130000</v>
      </c>
      <c r="G618" s="1327">
        <f>SUM(G619:G638)</f>
        <v>130000</v>
      </c>
      <c r="H618" s="1132">
        <f>+F618-G618</f>
        <v>0</v>
      </c>
      <c r="I618" s="473"/>
      <c r="J618" s="374"/>
      <c r="K618" s="375"/>
      <c r="L618" s="375"/>
      <c r="M618" s="375"/>
      <c r="N618" s="375"/>
      <c r="O618" s="375"/>
      <c r="P618" s="376"/>
      <c r="Q618" s="375"/>
      <c r="R618" s="376"/>
      <c r="S618" s="375"/>
      <c r="T618" s="376"/>
      <c r="U618" s="375"/>
      <c r="V618" s="376"/>
      <c r="W618" s="375"/>
      <c r="X618" s="375"/>
      <c r="Y618" s="345"/>
      <c r="Z618" s="378"/>
      <c r="AA618" s="305"/>
      <c r="AB618" s="305"/>
      <c r="AC618" s="166"/>
    </row>
    <row r="619" spans="1:29" ht="21.6" customHeight="1">
      <c r="A619" s="2274"/>
      <c r="B619" s="1145"/>
      <c r="C619" s="470"/>
      <c r="D619" s="1145"/>
      <c r="E619" s="620" t="s">
        <v>74</v>
      </c>
      <c r="F619" s="2723">
        <f t="shared" ref="F619:F623" si="201">Y619</f>
        <v>30000</v>
      </c>
      <c r="G619" s="2748">
        <v>30000</v>
      </c>
      <c r="H619" s="2382"/>
      <c r="I619" s="533"/>
      <c r="J619" s="1780" t="s">
        <v>5902</v>
      </c>
      <c r="K619" s="1685"/>
      <c r="L619" s="1685"/>
      <c r="M619" s="1685"/>
      <c r="N619" s="1686"/>
      <c r="O619" s="1686"/>
      <c r="P619" s="1685"/>
      <c r="Q619" s="635">
        <v>1</v>
      </c>
      <c r="R619" s="1685" t="s">
        <v>23</v>
      </c>
      <c r="S619" s="1686">
        <v>2500000</v>
      </c>
      <c r="T619" s="1685" t="s">
        <v>0</v>
      </c>
      <c r="U619" s="1685"/>
      <c r="V619" s="1685">
        <v>12</v>
      </c>
      <c r="W619" s="1685" t="s">
        <v>2</v>
      </c>
      <c r="X619" s="1685" t="s">
        <v>1</v>
      </c>
      <c r="Y619" s="636">
        <f>+Z619/1000</f>
        <v>30000</v>
      </c>
      <c r="Z619" s="868">
        <f>+Q619*S619*V619</f>
        <v>30000000</v>
      </c>
      <c r="AA619" s="305"/>
      <c r="AB619" s="305"/>
      <c r="AC619" s="166"/>
    </row>
    <row r="620" spans="1:29" ht="21.6" customHeight="1">
      <c r="A620" s="2892"/>
      <c r="B620" s="1145"/>
      <c r="C620" s="470"/>
      <c r="D620" s="1145"/>
      <c r="E620" s="620" t="s">
        <v>705</v>
      </c>
      <c r="F620" s="2723">
        <f t="shared" ref="F620" si="202">Y620</f>
        <v>15000</v>
      </c>
      <c r="G620" s="2723">
        <v>15000</v>
      </c>
      <c r="H620" s="2382"/>
      <c r="I620" s="533"/>
      <c r="J620" s="1780" t="s">
        <v>194</v>
      </c>
      <c r="K620" s="1685"/>
      <c r="L620" s="1685"/>
      <c r="M620" s="1685"/>
      <c r="N620" s="1686"/>
      <c r="O620" s="1686"/>
      <c r="P620" s="1685"/>
      <c r="Q620" s="635"/>
      <c r="R620" s="1685"/>
      <c r="S620" s="1686"/>
      <c r="T620" s="1685"/>
      <c r="U620" s="1685"/>
      <c r="V620" s="1685"/>
      <c r="W620" s="1685"/>
      <c r="X620" s="1685"/>
      <c r="Y620" s="636">
        <f>Z620/1000</f>
        <v>15000</v>
      </c>
      <c r="Z620" s="868">
        <f>SUM(Z621:Z622)</f>
        <v>15000000</v>
      </c>
      <c r="AA620" s="305"/>
      <c r="AB620" s="305"/>
      <c r="AC620" s="2557"/>
    </row>
    <row r="621" spans="1:29" ht="21.6" customHeight="1">
      <c r="A621" s="2892"/>
      <c r="B621" s="1145"/>
      <c r="C621" s="470"/>
      <c r="D621" s="471"/>
      <c r="E621" s="620"/>
      <c r="F621" s="2723"/>
      <c r="G621" s="2723"/>
      <c r="H621" s="2382"/>
      <c r="I621" s="533"/>
      <c r="J621" s="1780" t="s">
        <v>5746</v>
      </c>
      <c r="K621" s="1685"/>
      <c r="L621" s="1685"/>
      <c r="M621" s="1685"/>
      <c r="N621" s="1686"/>
      <c r="O621" s="1686"/>
      <c r="P621" s="1685"/>
      <c r="Q621" s="635"/>
      <c r="R621" s="1685"/>
      <c r="S621" s="1686">
        <v>11000000</v>
      </c>
      <c r="T621" s="1685" t="s">
        <v>0</v>
      </c>
      <c r="U621" s="1685"/>
      <c r="V621" s="1685">
        <v>1</v>
      </c>
      <c r="W621" s="1685" t="s">
        <v>196</v>
      </c>
      <c r="X621" s="1685" t="s">
        <v>1</v>
      </c>
      <c r="Y621" s="636">
        <f>Z621/1000</f>
        <v>11000</v>
      </c>
      <c r="Z621" s="868">
        <f>+S621*V621</f>
        <v>11000000</v>
      </c>
      <c r="AA621" s="305"/>
      <c r="AB621" s="305"/>
      <c r="AC621" s="2557"/>
    </row>
    <row r="622" spans="1:29" ht="21.6" customHeight="1">
      <c r="A622" s="2892"/>
      <c r="B622" s="1145"/>
      <c r="C622" s="470"/>
      <c r="D622" s="471"/>
      <c r="E622" s="620"/>
      <c r="F622" s="2723"/>
      <c r="G622" s="2723"/>
      <c r="H622" s="2382"/>
      <c r="I622" s="533"/>
      <c r="J622" s="1780" t="s">
        <v>5819</v>
      </c>
      <c r="K622" s="1685"/>
      <c r="L622" s="1685"/>
      <c r="M622" s="1685"/>
      <c r="N622" s="1686"/>
      <c r="O622" s="1686"/>
      <c r="P622" s="1685"/>
      <c r="Q622" s="635"/>
      <c r="R622" s="1685"/>
      <c r="S622" s="1686">
        <v>500000</v>
      </c>
      <c r="T622" s="1685" t="s">
        <v>0</v>
      </c>
      <c r="U622" s="1685"/>
      <c r="V622" s="1685">
        <v>8</v>
      </c>
      <c r="W622" s="1685" t="s">
        <v>196</v>
      </c>
      <c r="X622" s="1685" t="s">
        <v>1</v>
      </c>
      <c r="Y622" s="636">
        <f>Z622/1000</f>
        <v>4000</v>
      </c>
      <c r="Z622" s="868">
        <f>+S622*V622</f>
        <v>4000000</v>
      </c>
      <c r="AA622" s="305"/>
      <c r="AB622" s="305"/>
      <c r="AC622" s="2557"/>
    </row>
    <row r="623" spans="1:29" ht="21.6" customHeight="1">
      <c r="A623" s="2274"/>
      <c r="B623" s="1145"/>
      <c r="C623" s="470"/>
      <c r="D623" s="1145"/>
      <c r="E623" s="620" t="s">
        <v>4720</v>
      </c>
      <c r="F623" s="2723">
        <f t="shared" si="201"/>
        <v>1750</v>
      </c>
      <c r="G623" s="2723">
        <v>1750</v>
      </c>
      <c r="H623" s="2382"/>
      <c r="I623" s="533"/>
      <c r="J623" s="1780" t="s">
        <v>4721</v>
      </c>
      <c r="K623" s="1685"/>
      <c r="L623" s="1685"/>
      <c r="M623" s="1685"/>
      <c r="N623" s="1686"/>
      <c r="O623" s="1686"/>
      <c r="P623" s="1685"/>
      <c r="Q623" s="635"/>
      <c r="R623" s="1685"/>
      <c r="S623" s="1686">
        <v>50000</v>
      </c>
      <c r="T623" s="1685" t="s">
        <v>0</v>
      </c>
      <c r="U623" s="1685"/>
      <c r="V623" s="1685">
        <v>35</v>
      </c>
      <c r="W623" s="1685" t="s">
        <v>4722</v>
      </c>
      <c r="X623" s="1685" t="s">
        <v>1</v>
      </c>
      <c r="Y623" s="636">
        <f>+Z623/1000</f>
        <v>1750</v>
      </c>
      <c r="Z623" s="868">
        <f>+S623*V623</f>
        <v>1750000</v>
      </c>
      <c r="AA623" s="305"/>
      <c r="AB623" s="305"/>
      <c r="AC623" s="166"/>
    </row>
    <row r="624" spans="1:29" ht="21.6" customHeight="1">
      <c r="A624" s="2274"/>
      <c r="B624" s="1145"/>
      <c r="C624" s="470"/>
      <c r="D624" s="1126"/>
      <c r="E624" s="620" t="s">
        <v>4724</v>
      </c>
      <c r="F624" s="2723">
        <f>Y624</f>
        <v>10000</v>
      </c>
      <c r="G624" s="2723">
        <v>10000</v>
      </c>
      <c r="H624" s="2382"/>
      <c r="I624" s="533"/>
      <c r="J624" s="1780" t="s">
        <v>4725</v>
      </c>
      <c r="K624" s="1685"/>
      <c r="L624" s="1685"/>
      <c r="M624" s="1685"/>
      <c r="N624" s="1686"/>
      <c r="O624" s="1686"/>
      <c r="P624" s="1685"/>
      <c r="Q624" s="635"/>
      <c r="R624" s="1685"/>
      <c r="S624" s="1686">
        <v>1000000</v>
      </c>
      <c r="T624" s="1685" t="s">
        <v>0</v>
      </c>
      <c r="U624" s="1685"/>
      <c r="V624" s="1685">
        <v>10</v>
      </c>
      <c r="W624" s="1685" t="s">
        <v>4726</v>
      </c>
      <c r="X624" s="1685" t="s">
        <v>1</v>
      </c>
      <c r="Y624" s="636">
        <f>Z624/1000</f>
        <v>10000</v>
      </c>
      <c r="Z624" s="868">
        <f>+S624*V624</f>
        <v>10000000</v>
      </c>
      <c r="AA624" s="305"/>
      <c r="AB624" s="305"/>
      <c r="AC624" s="166"/>
    </row>
    <row r="625" spans="1:29" ht="21.6" customHeight="1">
      <c r="A625" s="2274"/>
      <c r="B625" s="1145"/>
      <c r="C625" s="470"/>
      <c r="D625" s="1145"/>
      <c r="E625" s="620" t="s">
        <v>4719</v>
      </c>
      <c r="F625" s="2723">
        <f>Y625</f>
        <v>25000</v>
      </c>
      <c r="G625" s="2723">
        <v>25000</v>
      </c>
      <c r="H625" s="2382"/>
      <c r="I625" s="533"/>
      <c r="J625" s="1780" t="s">
        <v>4723</v>
      </c>
      <c r="K625" s="1685"/>
      <c r="L625" s="1685"/>
      <c r="M625" s="1685"/>
      <c r="N625" s="1686"/>
      <c r="O625" s="1686"/>
      <c r="P625" s="1685"/>
      <c r="Q625" s="635"/>
      <c r="R625" s="1685"/>
      <c r="S625" s="1686"/>
      <c r="T625" s="1685"/>
      <c r="U625" s="1685"/>
      <c r="V625" s="1685"/>
      <c r="W625" s="1685"/>
      <c r="X625" s="1685"/>
      <c r="Y625" s="636">
        <f>Z625/1000</f>
        <v>25000</v>
      </c>
      <c r="Z625" s="868">
        <f>SUM(Z626:Z627)</f>
        <v>25000000</v>
      </c>
      <c r="AA625" s="305"/>
      <c r="AB625" s="305"/>
      <c r="AC625" s="166"/>
    </row>
    <row r="626" spans="1:29" ht="21.6" customHeight="1">
      <c r="A626" s="2728"/>
      <c r="B626" s="1145"/>
      <c r="C626" s="470"/>
      <c r="D626" s="1145"/>
      <c r="E626" s="620"/>
      <c r="F626" s="2723"/>
      <c r="G626" s="2723"/>
      <c r="H626" s="2382"/>
      <c r="I626" s="533"/>
      <c r="J626" s="1780" t="s">
        <v>5864</v>
      </c>
      <c r="K626" s="1685"/>
      <c r="L626" s="1685"/>
      <c r="M626" s="1685"/>
      <c r="N626" s="1686"/>
      <c r="O626" s="1686"/>
      <c r="P626" s="1685"/>
      <c r="Q626" s="635">
        <v>11</v>
      </c>
      <c r="R626" s="1685" t="s">
        <v>23</v>
      </c>
      <c r="S626" s="1686">
        <v>2000000</v>
      </c>
      <c r="T626" s="1685" t="s">
        <v>0</v>
      </c>
      <c r="U626" s="1685"/>
      <c r="V626" s="1685">
        <v>1</v>
      </c>
      <c r="W626" s="1685" t="s">
        <v>4727</v>
      </c>
      <c r="X626" s="1685" t="s">
        <v>1</v>
      </c>
      <c r="Y626" s="636">
        <f>+Z626/1000</f>
        <v>22000</v>
      </c>
      <c r="Z626" s="868">
        <f>+S626*V626*Q626</f>
        <v>22000000</v>
      </c>
      <c r="AA626" s="305"/>
      <c r="AB626" s="305"/>
      <c r="AC626" s="2557"/>
    </row>
    <row r="627" spans="1:29" ht="21.6" customHeight="1">
      <c r="A627" s="2728"/>
      <c r="B627" s="1145"/>
      <c r="C627" s="470"/>
      <c r="D627" s="1145"/>
      <c r="E627" s="620"/>
      <c r="F627" s="2723"/>
      <c r="G627" s="2723"/>
      <c r="H627" s="2382"/>
      <c r="I627" s="533"/>
      <c r="J627" s="1780" t="s">
        <v>5750</v>
      </c>
      <c r="K627" s="1685"/>
      <c r="L627" s="1685"/>
      <c r="M627" s="1685"/>
      <c r="N627" s="1686"/>
      <c r="O627" s="1686"/>
      <c r="P627" s="1685"/>
      <c r="Q627" s="635">
        <v>1</v>
      </c>
      <c r="R627" s="1685" t="s">
        <v>23</v>
      </c>
      <c r="S627" s="1686">
        <v>300000</v>
      </c>
      <c r="T627" s="1685" t="s">
        <v>0</v>
      </c>
      <c r="U627" s="1685"/>
      <c r="V627" s="1685">
        <v>10</v>
      </c>
      <c r="W627" s="1685" t="s">
        <v>4727</v>
      </c>
      <c r="X627" s="1685" t="s">
        <v>1</v>
      </c>
      <c r="Y627" s="636">
        <f>+Z627/1000</f>
        <v>3000</v>
      </c>
      <c r="Z627" s="868">
        <f>+S627*V627*Q627</f>
        <v>3000000</v>
      </c>
      <c r="AA627" s="305"/>
      <c r="AB627" s="305"/>
      <c r="AC627" s="2557"/>
    </row>
    <row r="628" spans="1:29" ht="21.6" customHeight="1">
      <c r="A628" s="2728"/>
      <c r="B628" s="1145"/>
      <c r="C628" s="470"/>
      <c r="D628" s="1145"/>
      <c r="E628" s="620" t="s">
        <v>52</v>
      </c>
      <c r="F628" s="2723">
        <f>Y628</f>
        <v>11750</v>
      </c>
      <c r="G628" s="2723">
        <v>11750</v>
      </c>
      <c r="H628" s="2382"/>
      <c r="I628" s="533"/>
      <c r="J628" s="1780" t="s">
        <v>4723</v>
      </c>
      <c r="K628" s="1685"/>
      <c r="L628" s="1685"/>
      <c r="M628" s="1685"/>
      <c r="N628" s="1686"/>
      <c r="O628" s="1686"/>
      <c r="P628" s="1685"/>
      <c r="Q628" s="635"/>
      <c r="R628" s="1685"/>
      <c r="S628" s="1686"/>
      <c r="T628" s="1685"/>
      <c r="U628" s="1685"/>
      <c r="V628" s="1685"/>
      <c r="W628" s="1685"/>
      <c r="X628" s="1685"/>
      <c r="Y628" s="636">
        <f>SUM(Y629:Y632)</f>
        <v>11750</v>
      </c>
      <c r="Z628" s="868">
        <f>SUM(Z629:Z632)</f>
        <v>11750000</v>
      </c>
      <c r="AA628" s="305"/>
      <c r="AB628" s="305"/>
      <c r="AC628" s="2557"/>
    </row>
    <row r="629" spans="1:29" ht="21.6" customHeight="1">
      <c r="A629" s="2728"/>
      <c r="B629" s="1145"/>
      <c r="C629" s="470"/>
      <c r="D629" s="1145"/>
      <c r="E629" s="620"/>
      <c r="F629" s="2723"/>
      <c r="G629" s="2723"/>
      <c r="H629" s="2382"/>
      <c r="I629" s="533"/>
      <c r="J629" s="1780" t="s">
        <v>4728</v>
      </c>
      <c r="K629" s="1685"/>
      <c r="L629" s="1685"/>
      <c r="M629" s="1685"/>
      <c r="N629" s="1686"/>
      <c r="O629" s="1686"/>
      <c r="P629" s="1685"/>
      <c r="Q629" s="635">
        <v>2</v>
      </c>
      <c r="R629" s="1685" t="s">
        <v>23</v>
      </c>
      <c r="S629" s="1686">
        <v>250000</v>
      </c>
      <c r="T629" s="1685" t="s">
        <v>0</v>
      </c>
      <c r="U629" s="1685"/>
      <c r="V629" s="1685">
        <v>2</v>
      </c>
      <c r="W629" s="1685" t="s">
        <v>4727</v>
      </c>
      <c r="X629" s="1685" t="s">
        <v>1</v>
      </c>
      <c r="Y629" s="636">
        <f>Z629/1000</f>
        <v>1000</v>
      </c>
      <c r="Z629" s="868">
        <f>V629*S629*Q629</f>
        <v>1000000</v>
      </c>
      <c r="AA629" s="305"/>
      <c r="AB629" s="305"/>
      <c r="AC629" s="2557"/>
    </row>
    <row r="630" spans="1:29" ht="21.6" customHeight="1">
      <c r="A630" s="2274"/>
      <c r="B630" s="1145"/>
      <c r="C630" s="470"/>
      <c r="D630" s="1145"/>
      <c r="E630" s="620"/>
      <c r="F630" s="2723"/>
      <c r="G630" s="2723"/>
      <c r="H630" s="2382"/>
      <c r="I630" s="533"/>
      <c r="J630" s="1780" t="s">
        <v>4729</v>
      </c>
      <c r="K630" s="1685"/>
      <c r="L630" s="1685"/>
      <c r="M630" s="1685"/>
      <c r="N630" s="1686"/>
      <c r="O630" s="1686"/>
      <c r="P630" s="1685"/>
      <c r="Q630" s="635">
        <v>5</v>
      </c>
      <c r="R630" s="1685" t="s">
        <v>23</v>
      </c>
      <c r="S630" s="1686">
        <v>250000</v>
      </c>
      <c r="T630" s="1685" t="s">
        <v>0</v>
      </c>
      <c r="U630" s="1685"/>
      <c r="V630" s="1685">
        <v>3</v>
      </c>
      <c r="W630" s="1685" t="s">
        <v>4727</v>
      </c>
      <c r="X630" s="1685" t="s">
        <v>1</v>
      </c>
      <c r="Y630" s="636">
        <f>Z630/1000</f>
        <v>3750</v>
      </c>
      <c r="Z630" s="868">
        <f>V630*S630*Q630</f>
        <v>3750000</v>
      </c>
      <c r="AA630" s="305"/>
      <c r="AB630" s="305"/>
      <c r="AC630" s="166"/>
    </row>
    <row r="631" spans="1:29" ht="21.6" customHeight="1">
      <c r="A631" s="2274"/>
      <c r="B631" s="1145"/>
      <c r="C631" s="470"/>
      <c r="D631" s="1145"/>
      <c r="E631" s="620"/>
      <c r="F631" s="2723"/>
      <c r="G631" s="2723"/>
      <c r="H631" s="2382"/>
      <c r="I631" s="533"/>
      <c r="J631" s="1780" t="s">
        <v>4730</v>
      </c>
      <c r="K631" s="1685"/>
      <c r="L631" s="1685"/>
      <c r="M631" s="1685"/>
      <c r="N631" s="1686"/>
      <c r="O631" s="1686"/>
      <c r="P631" s="1685"/>
      <c r="Q631" s="635">
        <v>3</v>
      </c>
      <c r="R631" s="1685" t="s">
        <v>23</v>
      </c>
      <c r="S631" s="1686">
        <v>250000</v>
      </c>
      <c r="T631" s="1685" t="s">
        <v>0</v>
      </c>
      <c r="U631" s="1685"/>
      <c r="V631" s="1685">
        <v>6</v>
      </c>
      <c r="W631" s="1685" t="s">
        <v>4731</v>
      </c>
      <c r="X631" s="1685" t="s">
        <v>1</v>
      </c>
      <c r="Y631" s="636">
        <f>Z631/1000</f>
        <v>4500</v>
      </c>
      <c r="Z631" s="868">
        <f>V631*S631*Q631</f>
        <v>4500000</v>
      </c>
      <c r="AA631" s="305"/>
      <c r="AB631" s="305"/>
      <c r="AC631" s="166"/>
    </row>
    <row r="632" spans="1:29" ht="21.6" customHeight="1">
      <c r="A632" s="2274"/>
      <c r="B632" s="1145"/>
      <c r="C632" s="470"/>
      <c r="D632" s="1145"/>
      <c r="E632" s="620"/>
      <c r="F632" s="2723"/>
      <c r="G632" s="2723"/>
      <c r="H632" s="2382"/>
      <c r="I632" s="533"/>
      <c r="J632" s="1780" t="s">
        <v>4732</v>
      </c>
      <c r="K632" s="1685"/>
      <c r="L632" s="1685"/>
      <c r="M632" s="1685"/>
      <c r="N632" s="1686"/>
      <c r="O632" s="1686"/>
      <c r="P632" s="1685"/>
      <c r="Q632" s="635">
        <v>5</v>
      </c>
      <c r="R632" s="1685" t="s">
        <v>23</v>
      </c>
      <c r="S632" s="1686">
        <v>250000</v>
      </c>
      <c r="T632" s="1685" t="s">
        <v>0</v>
      </c>
      <c r="U632" s="1685"/>
      <c r="V632" s="1685">
        <v>2</v>
      </c>
      <c r="W632" s="1685" t="s">
        <v>4727</v>
      </c>
      <c r="X632" s="1685" t="s">
        <v>1</v>
      </c>
      <c r="Y632" s="636">
        <f>Z632/1000</f>
        <v>2500</v>
      </c>
      <c r="Z632" s="868">
        <f>Q632*S632*V632</f>
        <v>2500000</v>
      </c>
      <c r="AA632" s="305"/>
      <c r="AB632" s="305"/>
      <c r="AC632" s="166"/>
    </row>
    <row r="633" spans="1:29" ht="21.6" customHeight="1">
      <c r="A633" s="2274"/>
      <c r="B633" s="1145"/>
      <c r="C633" s="470"/>
      <c r="D633" s="1145"/>
      <c r="E633" s="620" t="s">
        <v>4733</v>
      </c>
      <c r="F633" s="2723">
        <f t="shared" ref="F633:F634" si="203">Y633</f>
        <v>29000</v>
      </c>
      <c r="G633" s="2723">
        <v>29000</v>
      </c>
      <c r="H633" s="2382"/>
      <c r="I633" s="533"/>
      <c r="J633" s="1780" t="s">
        <v>5903</v>
      </c>
      <c r="K633" s="1685"/>
      <c r="L633" s="1685"/>
      <c r="M633" s="1685"/>
      <c r="N633" s="1686"/>
      <c r="O633" s="1686"/>
      <c r="P633" s="1685"/>
      <c r="Q633" s="635"/>
      <c r="R633" s="1685"/>
      <c r="S633" s="1686">
        <v>2900000</v>
      </c>
      <c r="T633" s="1685" t="s">
        <v>0</v>
      </c>
      <c r="U633" s="1685"/>
      <c r="V633" s="1685">
        <v>10</v>
      </c>
      <c r="W633" s="1685" t="s">
        <v>4727</v>
      </c>
      <c r="X633" s="1685" t="s">
        <v>1</v>
      </c>
      <c r="Y633" s="636">
        <f>+Z633/1000</f>
        <v>29000</v>
      </c>
      <c r="Z633" s="868">
        <f>S633*V633</f>
        <v>29000000</v>
      </c>
      <c r="AA633" s="305"/>
      <c r="AB633" s="305"/>
      <c r="AC633" s="166"/>
    </row>
    <row r="634" spans="1:29" ht="21.6" customHeight="1">
      <c r="A634" s="2274"/>
      <c r="B634" s="1145"/>
      <c r="C634" s="470"/>
      <c r="D634" s="1145"/>
      <c r="E634" s="620" t="s">
        <v>327</v>
      </c>
      <c r="F634" s="2723">
        <f t="shared" si="203"/>
        <v>5500</v>
      </c>
      <c r="G634" s="2723">
        <v>5500</v>
      </c>
      <c r="H634" s="2382"/>
      <c r="I634" s="533"/>
      <c r="J634" s="1780" t="s">
        <v>4723</v>
      </c>
      <c r="K634" s="1685"/>
      <c r="L634" s="1685"/>
      <c r="M634" s="1685"/>
      <c r="N634" s="1686"/>
      <c r="O634" s="1686"/>
      <c r="P634" s="1685"/>
      <c r="Q634" s="635"/>
      <c r="R634" s="1685"/>
      <c r="S634" s="1686"/>
      <c r="T634" s="1685"/>
      <c r="U634" s="1685"/>
      <c r="V634" s="1685"/>
      <c r="W634" s="1685"/>
      <c r="X634" s="1685"/>
      <c r="Y634" s="636">
        <f>SUM(Y635:Y637)</f>
        <v>5500</v>
      </c>
      <c r="Z634" s="868">
        <f>SUM(Z635:Z637)</f>
        <v>5500000</v>
      </c>
      <c r="AA634" s="305"/>
      <c r="AB634" s="305"/>
      <c r="AC634" s="166"/>
    </row>
    <row r="635" spans="1:29" ht="21.6" customHeight="1">
      <c r="A635" s="2274"/>
      <c r="B635" s="1145"/>
      <c r="C635" s="470"/>
      <c r="D635" s="1145"/>
      <c r="E635" s="620"/>
      <c r="F635" s="2723"/>
      <c r="G635" s="2723"/>
      <c r="H635" s="2382"/>
      <c r="I635" s="533"/>
      <c r="J635" s="1780" t="s">
        <v>4734</v>
      </c>
      <c r="K635" s="1685"/>
      <c r="L635" s="1685"/>
      <c r="M635" s="1685"/>
      <c r="N635" s="1686"/>
      <c r="O635" s="1686"/>
      <c r="P635" s="1685"/>
      <c r="Q635" s="635"/>
      <c r="R635" s="1685"/>
      <c r="S635" s="1686">
        <v>500000</v>
      </c>
      <c r="T635" s="1685" t="s">
        <v>0</v>
      </c>
      <c r="U635" s="1685"/>
      <c r="V635" s="1685">
        <v>3</v>
      </c>
      <c r="W635" s="1685" t="s">
        <v>3</v>
      </c>
      <c r="X635" s="1685" t="s">
        <v>1</v>
      </c>
      <c r="Y635" s="636">
        <f>Z635/1000</f>
        <v>1500</v>
      </c>
      <c r="Z635" s="868">
        <f>V635*S635</f>
        <v>1500000</v>
      </c>
      <c r="AA635" s="305"/>
      <c r="AB635" s="305"/>
      <c r="AC635" s="166"/>
    </row>
    <row r="636" spans="1:29" ht="21.6" customHeight="1">
      <c r="A636" s="2274"/>
      <c r="B636" s="1145"/>
      <c r="C636" s="470"/>
      <c r="D636" s="1145"/>
      <c r="E636" s="620"/>
      <c r="F636" s="2723"/>
      <c r="G636" s="2723"/>
      <c r="H636" s="2382"/>
      <c r="I636" s="533"/>
      <c r="J636" s="1780" t="s">
        <v>4735</v>
      </c>
      <c r="K636" s="1685"/>
      <c r="L636" s="1685"/>
      <c r="M636" s="1685"/>
      <c r="N636" s="1686"/>
      <c r="O636" s="1686"/>
      <c r="P636" s="1685"/>
      <c r="Q636" s="635"/>
      <c r="R636" s="1685"/>
      <c r="S636" s="1686">
        <v>500000</v>
      </c>
      <c r="T636" s="1685" t="s">
        <v>0</v>
      </c>
      <c r="U636" s="1685"/>
      <c r="V636" s="1685">
        <v>3</v>
      </c>
      <c r="W636" s="1685" t="s">
        <v>3</v>
      </c>
      <c r="X636" s="1685" t="s">
        <v>1</v>
      </c>
      <c r="Y636" s="636">
        <f>Z636/1000</f>
        <v>1500</v>
      </c>
      <c r="Z636" s="868">
        <f>V636*S636</f>
        <v>1500000</v>
      </c>
      <c r="AA636" s="305"/>
      <c r="AB636" s="305"/>
      <c r="AC636" s="166"/>
    </row>
    <row r="637" spans="1:29" ht="21.6" customHeight="1">
      <c r="A637" s="2274"/>
      <c r="B637" s="1145"/>
      <c r="C637" s="470"/>
      <c r="D637" s="1145"/>
      <c r="E637" s="620"/>
      <c r="F637" s="2723"/>
      <c r="G637" s="2723"/>
      <c r="H637" s="2382"/>
      <c r="I637" s="533"/>
      <c r="J637" s="1780" t="s">
        <v>4736</v>
      </c>
      <c r="K637" s="1685"/>
      <c r="L637" s="1685"/>
      <c r="M637" s="1685"/>
      <c r="N637" s="1686"/>
      <c r="O637" s="1686"/>
      <c r="P637" s="1685"/>
      <c r="Q637" s="635"/>
      <c r="R637" s="1685"/>
      <c r="S637" s="1686">
        <v>250000</v>
      </c>
      <c r="T637" s="1685" t="s">
        <v>0</v>
      </c>
      <c r="U637" s="1685"/>
      <c r="V637" s="1685">
        <v>10</v>
      </c>
      <c r="W637" s="1685" t="s">
        <v>3</v>
      </c>
      <c r="X637" s="1685" t="s">
        <v>1</v>
      </c>
      <c r="Y637" s="636">
        <f>Z637/1000</f>
        <v>2500</v>
      </c>
      <c r="Z637" s="868">
        <f>V637*S637</f>
        <v>2500000</v>
      </c>
      <c r="AA637" s="305"/>
      <c r="AB637" s="305"/>
      <c r="AC637" s="166"/>
    </row>
    <row r="638" spans="1:29" ht="21.6" customHeight="1">
      <c r="A638" s="2274"/>
      <c r="B638" s="1145"/>
      <c r="C638" s="470"/>
      <c r="D638" s="1145"/>
      <c r="E638" s="707" t="s">
        <v>4737</v>
      </c>
      <c r="F638" s="2723">
        <f>Y638</f>
        <v>2000</v>
      </c>
      <c r="G638" s="2723">
        <v>2000</v>
      </c>
      <c r="H638" s="2382"/>
      <c r="I638" s="533"/>
      <c r="J638" s="721" t="s">
        <v>4738</v>
      </c>
      <c r="K638" s="1685"/>
      <c r="L638" s="1685"/>
      <c r="M638" s="1685"/>
      <c r="N638" s="1686"/>
      <c r="O638" s="1686"/>
      <c r="P638" s="1685"/>
      <c r="Q638" s="635"/>
      <c r="R638" s="1685"/>
      <c r="S638" s="1686">
        <v>100000</v>
      </c>
      <c r="T638" s="1685" t="s">
        <v>0</v>
      </c>
      <c r="U638" s="1685"/>
      <c r="V638" s="1685">
        <v>20</v>
      </c>
      <c r="W638" s="1685" t="s">
        <v>4739</v>
      </c>
      <c r="X638" s="1685" t="s">
        <v>1</v>
      </c>
      <c r="Y638" s="636">
        <f>+Z638/1000</f>
        <v>2000</v>
      </c>
      <c r="Z638" s="868">
        <f>+S638*V638</f>
        <v>2000000</v>
      </c>
      <c r="AA638" s="305"/>
      <c r="AB638" s="305"/>
      <c r="AC638" s="166"/>
    </row>
    <row r="639" spans="1:29" ht="21.95" customHeight="1">
      <c r="A639" s="475"/>
      <c r="B639" s="1145"/>
      <c r="C639" s="470"/>
      <c r="D639" s="3266" t="s">
        <v>1986</v>
      </c>
      <c r="E639" s="3267"/>
      <c r="F639" s="1327">
        <f>SUM(F640:F648)</f>
        <v>154000</v>
      </c>
      <c r="G639" s="1327">
        <f>SUM(G640:G648)</f>
        <v>154000</v>
      </c>
      <c r="H639" s="1132">
        <f>F639-G639</f>
        <v>0</v>
      </c>
      <c r="I639" s="473"/>
      <c r="J639" s="374"/>
      <c r="K639" s="375"/>
      <c r="L639" s="375"/>
      <c r="M639" s="375"/>
      <c r="N639" s="375"/>
      <c r="O639" s="376"/>
      <c r="P639" s="375"/>
      <c r="Q639" s="376"/>
      <c r="R639" s="375"/>
      <c r="S639" s="376" t="s">
        <v>1987</v>
      </c>
      <c r="T639" s="375"/>
      <c r="U639" s="376"/>
      <c r="V639" s="375"/>
      <c r="W639" s="375"/>
      <c r="X639" s="484" t="s">
        <v>19</v>
      </c>
      <c r="Y639" s="377"/>
      <c r="Z639" s="1360"/>
      <c r="AA639" s="305"/>
      <c r="AB639" s="305"/>
      <c r="AC639" s="166"/>
    </row>
    <row r="640" spans="1:29" ht="21.95" customHeight="1">
      <c r="A640" s="1358"/>
      <c r="B640" s="1357"/>
      <c r="C640" s="335"/>
      <c r="D640" s="1126"/>
      <c r="E640" s="620" t="s">
        <v>199</v>
      </c>
      <c r="F640" s="2723">
        <f t="shared" ref="F640:F642" si="204">Y640</f>
        <v>23200</v>
      </c>
      <c r="G640" s="2723">
        <v>23200</v>
      </c>
      <c r="H640" s="2382"/>
      <c r="I640" s="533"/>
      <c r="J640" s="1780" t="s">
        <v>1988</v>
      </c>
      <c r="K640" s="1685"/>
      <c r="L640" s="1685"/>
      <c r="M640" s="1685"/>
      <c r="N640" s="1686"/>
      <c r="O640" s="1686"/>
      <c r="P640" s="1685"/>
      <c r="Q640" s="635"/>
      <c r="R640" s="1685"/>
      <c r="S640" s="1686">
        <v>4640000</v>
      </c>
      <c r="T640" s="1685" t="s">
        <v>0</v>
      </c>
      <c r="U640" s="1685"/>
      <c r="V640" s="1685">
        <v>5</v>
      </c>
      <c r="W640" s="1685" t="s">
        <v>265</v>
      </c>
      <c r="X640" s="1685" t="s">
        <v>1</v>
      </c>
      <c r="Y640" s="636">
        <f t="shared" ref="Y640:Y648" si="205">+Z640/1000</f>
        <v>23200</v>
      </c>
      <c r="Z640" s="868">
        <f>+S640*V640</f>
        <v>23200000</v>
      </c>
      <c r="AA640" s="305"/>
      <c r="AB640" s="305"/>
      <c r="AC640" s="166"/>
    </row>
    <row r="641" spans="1:29" ht="21.95" customHeight="1">
      <c r="A641" s="1356"/>
      <c r="B641" s="1357"/>
      <c r="C641" s="2275"/>
      <c r="D641" s="1126"/>
      <c r="E641" s="620" t="s">
        <v>224</v>
      </c>
      <c r="F641" s="2723">
        <f t="shared" si="204"/>
        <v>8000</v>
      </c>
      <c r="G641" s="2723">
        <v>8000</v>
      </c>
      <c r="H641" s="2382"/>
      <c r="I641" s="533"/>
      <c r="J641" s="1780" t="s">
        <v>1989</v>
      </c>
      <c r="K641" s="1685"/>
      <c r="L641" s="1685"/>
      <c r="M641" s="1685"/>
      <c r="N641" s="1686"/>
      <c r="O641" s="1686"/>
      <c r="P641" s="1685"/>
      <c r="Q641" s="635"/>
      <c r="R641" s="1685"/>
      <c r="S641" s="1686">
        <v>2000000</v>
      </c>
      <c r="T641" s="1685" t="s">
        <v>0</v>
      </c>
      <c r="U641" s="1685"/>
      <c r="V641" s="1685">
        <v>4</v>
      </c>
      <c r="W641" s="1685" t="s">
        <v>265</v>
      </c>
      <c r="X641" s="1685" t="s">
        <v>1</v>
      </c>
      <c r="Y641" s="636">
        <f t="shared" si="205"/>
        <v>8000</v>
      </c>
      <c r="Z641" s="868">
        <f>+S641*V641</f>
        <v>8000000</v>
      </c>
      <c r="AA641" s="305"/>
      <c r="AB641" s="305"/>
      <c r="AC641" s="166"/>
    </row>
    <row r="642" spans="1:29" ht="21.95" customHeight="1">
      <c r="A642" s="1356"/>
      <c r="B642" s="1357"/>
      <c r="C642" s="2893"/>
      <c r="D642" s="1126"/>
      <c r="E642" s="620" t="s">
        <v>195</v>
      </c>
      <c r="F642" s="2723">
        <f t="shared" si="204"/>
        <v>3000</v>
      </c>
      <c r="G642" s="2723">
        <v>3000</v>
      </c>
      <c r="H642" s="2382"/>
      <c r="I642" s="533"/>
      <c r="J642" s="1780" t="s">
        <v>4845</v>
      </c>
      <c r="K642" s="1685"/>
      <c r="L642" s="1685"/>
      <c r="M642" s="1685"/>
      <c r="N642" s="1686"/>
      <c r="O642" s="1686"/>
      <c r="P642" s="1685"/>
      <c r="Q642" s="635">
        <v>1</v>
      </c>
      <c r="R642" s="1685" t="s">
        <v>23</v>
      </c>
      <c r="S642" s="1686">
        <v>300000</v>
      </c>
      <c r="T642" s="1685" t="s">
        <v>0</v>
      </c>
      <c r="U642" s="1685"/>
      <c r="V642" s="1685">
        <v>10</v>
      </c>
      <c r="W642" s="1685" t="s">
        <v>2</v>
      </c>
      <c r="X642" s="1685" t="s">
        <v>1</v>
      </c>
      <c r="Y642" s="636">
        <f t="shared" ref="Y642" si="206">+Z642/1000</f>
        <v>3000</v>
      </c>
      <c r="Z642" s="868">
        <f>+Q642*S642*V642</f>
        <v>3000000</v>
      </c>
      <c r="AA642" s="305"/>
      <c r="AB642" s="305"/>
      <c r="AC642" s="2557"/>
    </row>
    <row r="643" spans="1:29" ht="21.95" customHeight="1">
      <c r="A643" s="1356"/>
      <c r="B643" s="1357"/>
      <c r="C643" s="2729"/>
      <c r="D643" s="1154"/>
      <c r="E643" s="620" t="s">
        <v>564</v>
      </c>
      <c r="F643" s="2723">
        <f>Y643</f>
        <v>10000</v>
      </c>
      <c r="G643" s="2723">
        <v>10000</v>
      </c>
      <c r="H643" s="2382"/>
      <c r="I643" s="533"/>
      <c r="J643" s="1780" t="s">
        <v>4740</v>
      </c>
      <c r="K643" s="1685"/>
      <c r="L643" s="1685"/>
      <c r="M643" s="1685"/>
      <c r="N643" s="1686"/>
      <c r="O643" s="1686"/>
      <c r="P643" s="1685"/>
      <c r="Q643" s="635"/>
      <c r="R643" s="1685"/>
      <c r="S643" s="1685">
        <v>200000</v>
      </c>
      <c r="T643" s="1685" t="s">
        <v>0</v>
      </c>
      <c r="U643" s="1685"/>
      <c r="V643" s="1685">
        <v>50</v>
      </c>
      <c r="W643" s="1685" t="s">
        <v>265</v>
      </c>
      <c r="X643" s="1685" t="s">
        <v>1</v>
      </c>
      <c r="Y643" s="636">
        <f t="shared" si="205"/>
        <v>10000</v>
      </c>
      <c r="Z643" s="868">
        <f>V643*S643</f>
        <v>10000000</v>
      </c>
      <c r="AA643" s="305"/>
      <c r="AB643" s="305"/>
      <c r="AC643" s="2557"/>
    </row>
    <row r="644" spans="1:29" ht="21.95" customHeight="1">
      <c r="A644" s="1356"/>
      <c r="B644" s="1357"/>
      <c r="C644" s="2729"/>
      <c r="D644" s="1154"/>
      <c r="E644" s="620" t="s">
        <v>287</v>
      </c>
      <c r="F644" s="2723">
        <f t="shared" ref="F644:F648" si="207">Y644</f>
        <v>68000</v>
      </c>
      <c r="G644" s="2723">
        <v>68000</v>
      </c>
      <c r="H644" s="2382"/>
      <c r="I644" s="533"/>
      <c r="J644" s="1780" t="s">
        <v>4842</v>
      </c>
      <c r="K644" s="1685"/>
      <c r="L644" s="1685"/>
      <c r="M644" s="1685"/>
      <c r="N644" s="1686"/>
      <c r="O644" s="1686"/>
      <c r="P644" s="1685"/>
      <c r="Q644" s="635"/>
      <c r="R644" s="1685"/>
      <c r="S644" s="1685">
        <v>6800000</v>
      </c>
      <c r="T644" s="1685" t="s">
        <v>0</v>
      </c>
      <c r="U644" s="1685"/>
      <c r="V644" s="1685">
        <v>10</v>
      </c>
      <c r="W644" s="1685" t="s">
        <v>265</v>
      </c>
      <c r="X644" s="1685" t="s">
        <v>1</v>
      </c>
      <c r="Y644" s="636">
        <f t="shared" si="205"/>
        <v>68000</v>
      </c>
      <c r="Z644" s="868">
        <f>V644*S644</f>
        <v>68000000</v>
      </c>
      <c r="AA644" s="305"/>
      <c r="AB644" s="305"/>
      <c r="AC644" s="2557"/>
    </row>
    <row r="645" spans="1:29" ht="21.95" customHeight="1">
      <c r="A645" s="1356"/>
      <c r="B645" s="1357"/>
      <c r="C645" s="2275"/>
      <c r="D645" s="1154"/>
      <c r="E645" s="620" t="s">
        <v>703</v>
      </c>
      <c r="F645" s="2723">
        <f t="shared" si="207"/>
        <v>8000</v>
      </c>
      <c r="G645" s="2723">
        <v>8000</v>
      </c>
      <c r="H645" s="2382"/>
      <c r="I645" s="533"/>
      <c r="J645" s="1780" t="s">
        <v>4741</v>
      </c>
      <c r="K645" s="1685"/>
      <c r="L645" s="1685"/>
      <c r="M645" s="1685"/>
      <c r="N645" s="1686"/>
      <c r="O645" s="1686"/>
      <c r="P645" s="1685"/>
      <c r="Q645" s="635"/>
      <c r="R645" s="1685"/>
      <c r="S645" s="1685">
        <v>2000000</v>
      </c>
      <c r="T645" s="1685" t="s">
        <v>0</v>
      </c>
      <c r="U645" s="1685"/>
      <c r="V645" s="1685">
        <v>4</v>
      </c>
      <c r="W645" s="1685" t="s">
        <v>265</v>
      </c>
      <c r="X645" s="1685" t="s">
        <v>1</v>
      </c>
      <c r="Y645" s="636">
        <f t="shared" si="205"/>
        <v>8000</v>
      </c>
      <c r="Z645" s="868">
        <f>V645*S645</f>
        <v>8000000</v>
      </c>
      <c r="AA645" s="305"/>
      <c r="AB645" s="305"/>
      <c r="AC645" s="166"/>
    </row>
    <row r="646" spans="1:29" ht="21.95" customHeight="1">
      <c r="A646" s="1356"/>
      <c r="B646" s="1357"/>
      <c r="C646" s="2275"/>
      <c r="D646" s="1126"/>
      <c r="E646" s="620" t="s">
        <v>222</v>
      </c>
      <c r="F646" s="2723">
        <f t="shared" si="207"/>
        <v>22000</v>
      </c>
      <c r="G646" s="2723">
        <v>22000</v>
      </c>
      <c r="H646" s="2382"/>
      <c r="I646" s="533"/>
      <c r="J646" s="1780" t="s">
        <v>4742</v>
      </c>
      <c r="K646" s="1685"/>
      <c r="L646" s="1685"/>
      <c r="M646" s="1685"/>
      <c r="N646" s="1686"/>
      <c r="O646" s="1686"/>
      <c r="P646" s="1685"/>
      <c r="Q646" s="635"/>
      <c r="R646" s="1685"/>
      <c r="S646" s="1685">
        <v>2750000</v>
      </c>
      <c r="T646" s="1685" t="s">
        <v>0</v>
      </c>
      <c r="U646" s="1685"/>
      <c r="V646" s="1685">
        <v>8</v>
      </c>
      <c r="W646" s="1685" t="s">
        <v>265</v>
      </c>
      <c r="X646" s="1685" t="s">
        <v>1</v>
      </c>
      <c r="Y646" s="636">
        <f t="shared" si="205"/>
        <v>22000</v>
      </c>
      <c r="Z646" s="868">
        <f>V646*S646</f>
        <v>22000000</v>
      </c>
      <c r="AA646" s="305"/>
      <c r="AB646" s="305"/>
      <c r="AC646" s="166"/>
    </row>
    <row r="647" spans="1:29" ht="21.95" customHeight="1">
      <c r="A647" s="1356"/>
      <c r="B647" s="1357"/>
      <c r="C647" s="2275"/>
      <c r="D647" s="1126"/>
      <c r="E647" s="620" t="s">
        <v>602</v>
      </c>
      <c r="F647" s="2723">
        <f t="shared" si="207"/>
        <v>10000</v>
      </c>
      <c r="G647" s="2723">
        <v>10000</v>
      </c>
      <c r="H647" s="2382"/>
      <c r="I647" s="533"/>
      <c r="J647" s="1780" t="s">
        <v>4843</v>
      </c>
      <c r="K647" s="1685"/>
      <c r="L647" s="1685"/>
      <c r="M647" s="1685"/>
      <c r="N647" s="1686"/>
      <c r="O647" s="1686"/>
      <c r="P647" s="1685"/>
      <c r="Q647" s="635"/>
      <c r="R647" s="1685"/>
      <c r="S647" s="1686">
        <v>2000000</v>
      </c>
      <c r="T647" s="1685" t="s">
        <v>0</v>
      </c>
      <c r="U647" s="1685"/>
      <c r="V647" s="1685">
        <v>5</v>
      </c>
      <c r="W647" s="1685" t="s">
        <v>265</v>
      </c>
      <c r="X647" s="1685" t="s">
        <v>1</v>
      </c>
      <c r="Y647" s="636">
        <f t="shared" si="205"/>
        <v>10000</v>
      </c>
      <c r="Z647" s="868">
        <f>V647*S647</f>
        <v>10000000</v>
      </c>
      <c r="AA647" s="305"/>
      <c r="AB647" s="305"/>
      <c r="AC647" s="166"/>
    </row>
    <row r="648" spans="1:29" ht="21.95" customHeight="1">
      <c r="A648" s="1356"/>
      <c r="B648" s="1357"/>
      <c r="C648" s="2275"/>
      <c r="D648" s="1126"/>
      <c r="E648" s="620" t="s">
        <v>271</v>
      </c>
      <c r="F648" s="2723">
        <f t="shared" si="207"/>
        <v>1800</v>
      </c>
      <c r="G648" s="2723">
        <v>1800</v>
      </c>
      <c r="H648" s="2382"/>
      <c r="I648" s="533"/>
      <c r="J648" s="1780" t="s">
        <v>4844</v>
      </c>
      <c r="K648" s="1685"/>
      <c r="L648" s="1685"/>
      <c r="M648" s="1685"/>
      <c r="N648" s="1686"/>
      <c r="O648" s="1686"/>
      <c r="P648" s="1685"/>
      <c r="Q648" s="635">
        <v>6</v>
      </c>
      <c r="R648" s="1685" t="s">
        <v>33</v>
      </c>
      <c r="S648" s="1686">
        <v>15000</v>
      </c>
      <c r="T648" s="1685" t="s">
        <v>0</v>
      </c>
      <c r="U648" s="1685"/>
      <c r="V648" s="1685">
        <v>20</v>
      </c>
      <c r="W648" s="1685" t="s">
        <v>265</v>
      </c>
      <c r="X648" s="1685" t="s">
        <v>1</v>
      </c>
      <c r="Y648" s="636">
        <f t="shared" si="205"/>
        <v>1800</v>
      </c>
      <c r="Z648" s="868">
        <f>+S648*V648*Q648</f>
        <v>1800000</v>
      </c>
      <c r="AA648" s="305"/>
      <c r="AB648" s="305"/>
      <c r="AC648" s="166"/>
    </row>
    <row r="649" spans="1:29" ht="21.95" customHeight="1">
      <c r="A649" s="348" t="s">
        <v>19</v>
      </c>
      <c r="B649" s="1126"/>
      <c r="C649" s="3284" t="s">
        <v>1990</v>
      </c>
      <c r="D649" s="3354"/>
      <c r="E649" s="3285"/>
      <c r="F649" s="1327">
        <f>F650+F661+F669</f>
        <v>260000</v>
      </c>
      <c r="G649" s="1327">
        <f>G650+G661+G669</f>
        <v>260000</v>
      </c>
      <c r="H649" s="1132">
        <f>+F649-G649</f>
        <v>0</v>
      </c>
      <c r="I649" s="473"/>
      <c r="J649" s="2321"/>
      <c r="K649" s="2731"/>
      <c r="L649" s="800"/>
      <c r="M649" s="800"/>
      <c r="N649" s="800"/>
      <c r="O649" s="800"/>
      <c r="P649" s="800"/>
      <c r="Q649" s="800"/>
      <c r="R649" s="857"/>
      <c r="S649" s="800"/>
      <c r="T649" s="800"/>
      <c r="U649" s="800"/>
      <c r="V649" s="800"/>
      <c r="W649" s="800"/>
      <c r="X649" s="800"/>
      <c r="Y649" s="377"/>
      <c r="Z649" s="1359"/>
      <c r="AA649" s="305"/>
      <c r="AB649" s="305"/>
      <c r="AC649" s="166"/>
    </row>
    <row r="650" spans="1:29" ht="21.95" customHeight="1">
      <c r="A650" s="2274"/>
      <c r="B650" s="1145"/>
      <c r="C650" s="470"/>
      <c r="D650" s="3284" t="s">
        <v>1991</v>
      </c>
      <c r="E650" s="3285"/>
      <c r="F650" s="1327">
        <f>SUM(F651:F660)</f>
        <v>58000</v>
      </c>
      <c r="G650" s="1327">
        <f>SUM(G651:G660)</f>
        <v>58000</v>
      </c>
      <c r="H650" s="1132"/>
      <c r="I650" s="473"/>
      <c r="J650" s="374"/>
      <c r="K650" s="375"/>
      <c r="L650" s="375"/>
      <c r="M650" s="375"/>
      <c r="N650" s="375"/>
      <c r="O650" s="375"/>
      <c r="P650" s="376"/>
      <c r="Q650" s="375"/>
      <c r="R650" s="376"/>
      <c r="S650" s="375"/>
      <c r="T650" s="376"/>
      <c r="U650" s="375"/>
      <c r="V650" s="376"/>
      <c r="W650" s="375"/>
      <c r="X650" s="375"/>
      <c r="Y650" s="377"/>
      <c r="Z650" s="378"/>
      <c r="AA650" s="305"/>
      <c r="AB650" s="305"/>
      <c r="AC650" s="166"/>
    </row>
    <row r="651" spans="1:29" ht="21.95" customHeight="1">
      <c r="A651" s="2274"/>
      <c r="B651" s="1145"/>
      <c r="C651" s="470"/>
      <c r="D651" s="2396"/>
      <c r="E651" s="621" t="s">
        <v>74</v>
      </c>
      <c r="F651" s="2723">
        <f>Y651</f>
        <v>30000</v>
      </c>
      <c r="G651" s="1350">
        <v>30000</v>
      </c>
      <c r="H651" s="2382"/>
      <c r="I651" s="533"/>
      <c r="J651" s="625" t="s">
        <v>4670</v>
      </c>
      <c r="K651" s="626"/>
      <c r="L651" s="626"/>
      <c r="M651" s="626"/>
      <c r="N651" s="627"/>
      <c r="O651" s="627"/>
      <c r="P651" s="626"/>
      <c r="Q651" s="635">
        <v>1</v>
      </c>
      <c r="R651" s="1685" t="s">
        <v>23</v>
      </c>
      <c r="S651" s="1686">
        <v>2500000</v>
      </c>
      <c r="T651" s="1685" t="s">
        <v>0</v>
      </c>
      <c r="U651" s="1685"/>
      <c r="V651" s="1685">
        <v>12</v>
      </c>
      <c r="W651" s="1685" t="s">
        <v>2</v>
      </c>
      <c r="X651" s="1685" t="s">
        <v>1</v>
      </c>
      <c r="Y651" s="636">
        <f>+Z651/1000</f>
        <v>30000</v>
      </c>
      <c r="Z651" s="868">
        <f>+Q651*S651*V651</f>
        <v>30000000</v>
      </c>
      <c r="AA651" s="305"/>
      <c r="AB651" s="305"/>
      <c r="AC651" s="166"/>
    </row>
    <row r="652" spans="1:29" ht="21.95" customHeight="1">
      <c r="A652" s="2274"/>
      <c r="B652" s="1145"/>
      <c r="C652" s="470"/>
      <c r="D652" s="2724"/>
      <c r="E652" s="620" t="s">
        <v>73</v>
      </c>
      <c r="F652" s="2723">
        <f>Y652</f>
        <v>4800</v>
      </c>
      <c r="G652" s="472">
        <v>4800</v>
      </c>
      <c r="H652" s="2382"/>
      <c r="I652" s="533"/>
      <c r="J652" s="1780" t="s">
        <v>4671</v>
      </c>
      <c r="K652" s="1685"/>
      <c r="L652" s="1685"/>
      <c r="M652" s="1685"/>
      <c r="N652" s="1686"/>
      <c r="O652" s="1686"/>
      <c r="P652" s="1685" t="s">
        <v>4672</v>
      </c>
      <c r="Q652" s="1685">
        <v>40</v>
      </c>
      <c r="R652" s="1685" t="s">
        <v>4673</v>
      </c>
      <c r="S652" s="1685">
        <v>10000</v>
      </c>
      <c r="T652" s="1685" t="s">
        <v>0</v>
      </c>
      <c r="U652" s="1685"/>
      <c r="V652" s="1685">
        <v>12</v>
      </c>
      <c r="W652" s="1685" t="s">
        <v>4674</v>
      </c>
      <c r="X652" s="1685" t="s">
        <v>1</v>
      </c>
      <c r="Y652" s="636">
        <f>+Z652/1000</f>
        <v>4800</v>
      </c>
      <c r="Z652" s="868">
        <f>+Q652*S652*V652</f>
        <v>4800000</v>
      </c>
      <c r="AA652" s="305"/>
      <c r="AB652" s="305"/>
      <c r="AC652" s="166"/>
    </row>
    <row r="653" spans="1:29" ht="21.95" customHeight="1">
      <c r="A653" s="2892"/>
      <c r="B653" s="1145"/>
      <c r="C653" s="470"/>
      <c r="D653" s="2724"/>
      <c r="E653" s="620" t="s">
        <v>195</v>
      </c>
      <c r="F653" s="2723">
        <f t="shared" ref="F653" si="208">Y653</f>
        <v>1800</v>
      </c>
      <c r="G653" s="2723">
        <v>1800</v>
      </c>
      <c r="H653" s="2382"/>
      <c r="I653" s="533"/>
      <c r="J653" s="1780" t="s">
        <v>1985</v>
      </c>
      <c r="K653" s="1685"/>
      <c r="L653" s="1685"/>
      <c r="M653" s="1685"/>
      <c r="N653" s="1686"/>
      <c r="O653" s="1686"/>
      <c r="P653" s="1685"/>
      <c r="Q653" s="635">
        <v>2</v>
      </c>
      <c r="R653" s="1685" t="s">
        <v>23</v>
      </c>
      <c r="S653" s="1686">
        <v>90000</v>
      </c>
      <c r="T653" s="1685" t="s">
        <v>0</v>
      </c>
      <c r="U653" s="1685"/>
      <c r="V653" s="1685">
        <v>10</v>
      </c>
      <c r="W653" s="1685" t="s">
        <v>2</v>
      </c>
      <c r="X653" s="1685" t="s">
        <v>1</v>
      </c>
      <c r="Y653" s="636">
        <f t="shared" ref="Y653" si="209">+Z653/1000</f>
        <v>1800</v>
      </c>
      <c r="Z653" s="868">
        <f>+Q653*S653*V653</f>
        <v>1800000</v>
      </c>
      <c r="AA653" s="305"/>
      <c r="AB653" s="305"/>
      <c r="AC653" s="2557"/>
    </row>
    <row r="654" spans="1:29" ht="21.95" customHeight="1">
      <c r="A654" s="2274"/>
      <c r="B654" s="1145"/>
      <c r="C654" s="470"/>
      <c r="D654" s="2724"/>
      <c r="E654" s="620" t="s">
        <v>52</v>
      </c>
      <c r="F654" s="2723">
        <f>Y654</f>
        <v>10800</v>
      </c>
      <c r="G654" s="472">
        <v>10800</v>
      </c>
      <c r="H654" s="2382"/>
      <c r="I654" s="533"/>
      <c r="J654" s="1780" t="s">
        <v>4675</v>
      </c>
      <c r="K654" s="1685"/>
      <c r="L654" s="1685"/>
      <c r="M654" s="1685"/>
      <c r="N654" s="1686"/>
      <c r="O654" s="1686"/>
      <c r="P654" s="1685"/>
      <c r="Q654" s="635"/>
      <c r="R654" s="1685"/>
      <c r="S654" s="1686"/>
      <c r="T654" s="1685"/>
      <c r="U654" s="1685"/>
      <c r="V654" s="1685"/>
      <c r="W654" s="1685"/>
      <c r="X654" s="1685"/>
      <c r="Y654" s="636">
        <f>SUM(Y655:Y656)</f>
        <v>10800</v>
      </c>
      <c r="Z654" s="868">
        <f>SUM(Z655:Z656)</f>
        <v>10800000</v>
      </c>
      <c r="AA654" s="305"/>
      <c r="AB654" s="305"/>
      <c r="AC654" s="166"/>
    </row>
    <row r="655" spans="1:29" ht="21.95" customHeight="1">
      <c r="A655" s="2274"/>
      <c r="B655" s="1145"/>
      <c r="C655" s="470"/>
      <c r="D655" s="2724"/>
      <c r="E655" s="620"/>
      <c r="F655" s="2723"/>
      <c r="G655" s="472"/>
      <c r="H655" s="2382"/>
      <c r="I655" s="533"/>
      <c r="J655" s="514" t="s">
        <v>4676</v>
      </c>
      <c r="K655" s="2719"/>
      <c r="L655" s="2719"/>
      <c r="M655" s="2719"/>
      <c r="N655" s="2719"/>
      <c r="O655" s="1685"/>
      <c r="P655" s="1685"/>
      <c r="Q655" s="635">
        <v>2</v>
      </c>
      <c r="R655" s="1685" t="s">
        <v>4673</v>
      </c>
      <c r="S655" s="1686">
        <v>300000</v>
      </c>
      <c r="T655" s="1685" t="s">
        <v>0</v>
      </c>
      <c r="U655" s="1685"/>
      <c r="V655" s="1685">
        <v>12</v>
      </c>
      <c r="W655" s="1685" t="s">
        <v>4674</v>
      </c>
      <c r="X655" s="1685" t="s">
        <v>1</v>
      </c>
      <c r="Y655" s="636">
        <f t="shared" ref="Y655:Y660" si="210">+Z655/1000</f>
        <v>7200</v>
      </c>
      <c r="Z655" s="868">
        <f>+Q655*S655*V655</f>
        <v>7200000</v>
      </c>
      <c r="AA655" s="305"/>
      <c r="AB655" s="305"/>
      <c r="AC655" s="166"/>
    </row>
    <row r="656" spans="1:29" ht="21.95" customHeight="1">
      <c r="A656" s="2720"/>
      <c r="B656" s="1145"/>
      <c r="C656" s="470"/>
      <c r="D656" s="2724"/>
      <c r="E656" s="620"/>
      <c r="F656" s="2723"/>
      <c r="G656" s="472"/>
      <c r="H656" s="2382"/>
      <c r="I656" s="533"/>
      <c r="J656" s="514" t="s">
        <v>4677</v>
      </c>
      <c r="K656" s="2719"/>
      <c r="L656" s="2719"/>
      <c r="M656" s="2719"/>
      <c r="N656" s="2719"/>
      <c r="O656" s="1685"/>
      <c r="P656" s="1685"/>
      <c r="Q656" s="635">
        <v>2</v>
      </c>
      <c r="R656" s="1685" t="s">
        <v>4673</v>
      </c>
      <c r="S656" s="1686">
        <v>150000</v>
      </c>
      <c r="T656" s="1685" t="s">
        <v>0</v>
      </c>
      <c r="U656" s="1685"/>
      <c r="V656" s="1685">
        <v>12</v>
      </c>
      <c r="W656" s="1685" t="s">
        <v>4674</v>
      </c>
      <c r="X656" s="1685" t="s">
        <v>1</v>
      </c>
      <c r="Y656" s="636">
        <f t="shared" si="210"/>
        <v>3600</v>
      </c>
      <c r="Z656" s="868">
        <f>+Q656*S656*V656</f>
        <v>3600000</v>
      </c>
      <c r="AA656" s="305"/>
      <c r="AB656" s="305"/>
      <c r="AC656" s="2557"/>
    </row>
    <row r="657" spans="1:29" ht="21.95" customHeight="1">
      <c r="A657" s="2720"/>
      <c r="B657" s="1145"/>
      <c r="C657" s="470"/>
      <c r="D657" s="2724"/>
      <c r="E657" s="620" t="s">
        <v>4685</v>
      </c>
      <c r="F657" s="2723">
        <f t="shared" ref="F657:F660" si="211">Y657</f>
        <v>4800</v>
      </c>
      <c r="G657" s="472">
        <v>4800</v>
      </c>
      <c r="H657" s="2382"/>
      <c r="I657" s="533"/>
      <c r="J657" s="1780" t="s">
        <v>4678</v>
      </c>
      <c r="K657" s="1685"/>
      <c r="L657" s="1685"/>
      <c r="M657" s="1685"/>
      <c r="N657" s="1686"/>
      <c r="O657" s="1686"/>
      <c r="P657" s="1685"/>
      <c r="Q657" s="1685">
        <v>40</v>
      </c>
      <c r="R657" s="1685" t="s">
        <v>4673</v>
      </c>
      <c r="S657" s="1685">
        <v>10000</v>
      </c>
      <c r="T657" s="1685" t="s">
        <v>0</v>
      </c>
      <c r="U657" s="1685"/>
      <c r="V657" s="1685">
        <v>12</v>
      </c>
      <c r="W657" s="1685" t="s">
        <v>4674</v>
      </c>
      <c r="X657" s="1685" t="s">
        <v>1</v>
      </c>
      <c r="Y657" s="636">
        <f t="shared" si="210"/>
        <v>4800</v>
      </c>
      <c r="Z657" s="868">
        <f>+Q657*S657*V657</f>
        <v>4800000</v>
      </c>
      <c r="AA657" s="305"/>
      <c r="AB657" s="305"/>
      <c r="AC657" s="2557"/>
    </row>
    <row r="658" spans="1:29" ht="21.95" customHeight="1">
      <c r="A658" s="2274"/>
      <c r="B658" s="1145"/>
      <c r="C658" s="470"/>
      <c r="D658" s="2724"/>
      <c r="E658" s="620" t="s">
        <v>4686</v>
      </c>
      <c r="F658" s="2723">
        <f t="shared" si="211"/>
        <v>2200</v>
      </c>
      <c r="G658" s="2723">
        <v>2200</v>
      </c>
      <c r="H658" s="2382"/>
      <c r="I658" s="533"/>
      <c r="J658" s="1780" t="s">
        <v>4679</v>
      </c>
      <c r="K658" s="1685"/>
      <c r="L658" s="1685"/>
      <c r="M658" s="1685"/>
      <c r="N658" s="1686"/>
      <c r="O658" s="1686"/>
      <c r="P658" s="1685"/>
      <c r="Q658" s="1685">
        <v>1</v>
      </c>
      <c r="R658" s="1685" t="s">
        <v>4680</v>
      </c>
      <c r="S658" s="1685">
        <v>220000</v>
      </c>
      <c r="T658" s="1685" t="s">
        <v>0</v>
      </c>
      <c r="U658" s="1685"/>
      <c r="V658" s="1685">
        <v>10</v>
      </c>
      <c r="W658" s="1685" t="s">
        <v>4681</v>
      </c>
      <c r="X658" s="1685" t="s">
        <v>1</v>
      </c>
      <c r="Y658" s="636">
        <f t="shared" si="210"/>
        <v>2200</v>
      </c>
      <c r="Z658" s="868">
        <f>+Q658*S658*V658</f>
        <v>2200000</v>
      </c>
      <c r="AA658" s="305"/>
      <c r="AB658" s="305"/>
      <c r="AC658" s="166"/>
    </row>
    <row r="659" spans="1:29" ht="21.95" customHeight="1">
      <c r="A659" s="2274"/>
      <c r="B659" s="1145"/>
      <c r="C659" s="470"/>
      <c r="D659" s="2724"/>
      <c r="E659" s="620" t="s">
        <v>4687</v>
      </c>
      <c r="F659" s="2723">
        <f t="shared" si="211"/>
        <v>3000</v>
      </c>
      <c r="G659" s="2723">
        <v>3000</v>
      </c>
      <c r="H659" s="2382"/>
      <c r="I659" s="533"/>
      <c r="J659" s="1780" t="s">
        <v>4682</v>
      </c>
      <c r="K659" s="1685"/>
      <c r="L659" s="1685"/>
      <c r="M659" s="1685"/>
      <c r="N659" s="1686"/>
      <c r="O659" s="1686"/>
      <c r="P659" s="1685"/>
      <c r="Q659" s="1685"/>
      <c r="R659" s="1685"/>
      <c r="S659" s="1686">
        <v>300000</v>
      </c>
      <c r="T659" s="1685" t="s">
        <v>0</v>
      </c>
      <c r="U659" s="1685"/>
      <c r="V659" s="1685">
        <v>10</v>
      </c>
      <c r="W659" s="1685" t="s">
        <v>4674</v>
      </c>
      <c r="X659" s="1685" t="s">
        <v>1</v>
      </c>
      <c r="Y659" s="636">
        <f t="shared" si="210"/>
        <v>3000</v>
      </c>
      <c r="Z659" s="868">
        <f>+S659*V659</f>
        <v>3000000</v>
      </c>
      <c r="AA659" s="305"/>
      <c r="AB659" s="305"/>
      <c r="AC659" s="166"/>
    </row>
    <row r="660" spans="1:29" ht="21.95" customHeight="1">
      <c r="A660" s="2274"/>
      <c r="B660" s="1145"/>
      <c r="C660" s="470"/>
      <c r="D660" s="2724"/>
      <c r="E660" s="620" t="s">
        <v>326</v>
      </c>
      <c r="F660" s="2723">
        <f t="shared" si="211"/>
        <v>600</v>
      </c>
      <c r="G660" s="2723">
        <v>600</v>
      </c>
      <c r="H660" s="2382"/>
      <c r="I660" s="533"/>
      <c r="J660" s="1780" t="s">
        <v>4683</v>
      </c>
      <c r="K660" s="1685"/>
      <c r="L660" s="1685"/>
      <c r="M660" s="1685"/>
      <c r="N660" s="1686"/>
      <c r="O660" s="1686"/>
      <c r="P660" s="1685"/>
      <c r="Q660" s="1685"/>
      <c r="R660" s="1685"/>
      <c r="S660" s="1685">
        <v>100000</v>
      </c>
      <c r="T660" s="1685" t="s">
        <v>0</v>
      </c>
      <c r="U660" s="1685"/>
      <c r="V660" s="1685">
        <v>6</v>
      </c>
      <c r="W660" s="1685" t="s">
        <v>4674</v>
      </c>
      <c r="X660" s="1685" t="s">
        <v>1</v>
      </c>
      <c r="Y660" s="636">
        <f t="shared" si="210"/>
        <v>600</v>
      </c>
      <c r="Z660" s="868">
        <f>+S660*V660</f>
        <v>600000</v>
      </c>
      <c r="AA660" s="305"/>
      <c r="AB660" s="305"/>
      <c r="AC660" s="166"/>
    </row>
    <row r="661" spans="1:29" ht="21.95" customHeight="1">
      <c r="A661" s="2274"/>
      <c r="B661" s="1145"/>
      <c r="C661" s="470"/>
      <c r="D661" s="3358" t="s">
        <v>4688</v>
      </c>
      <c r="E661" s="3359"/>
      <c r="F661" s="2725">
        <f>SUM(F662:F668)</f>
        <v>52000</v>
      </c>
      <c r="G661" s="2725">
        <f>SUM(G662:G668)</f>
        <v>52000</v>
      </c>
      <c r="H661" s="689">
        <f>F661-G661</f>
        <v>0</v>
      </c>
      <c r="I661" s="533"/>
      <c r="J661" s="2726"/>
      <c r="K661" s="2384"/>
      <c r="L661" s="2384"/>
      <c r="M661" s="2384"/>
      <c r="N661" s="2384"/>
      <c r="O661" s="2384"/>
      <c r="P661" s="2400"/>
      <c r="Q661" s="2384"/>
      <c r="R661" s="2400"/>
      <c r="S661" s="2384"/>
      <c r="T661" s="2400"/>
      <c r="U661" s="2384"/>
      <c r="V661" s="2400"/>
      <c r="W661" s="2384"/>
      <c r="X661" s="2384"/>
      <c r="Y661" s="704"/>
      <c r="Z661" s="1344"/>
      <c r="AA661" s="305"/>
      <c r="AB661" s="305"/>
      <c r="AC661" s="166"/>
    </row>
    <row r="662" spans="1:29" ht="21.95" customHeight="1">
      <c r="A662" s="1356"/>
      <c r="B662" s="1357"/>
      <c r="C662" s="335"/>
      <c r="D662" s="508"/>
      <c r="E662" s="620" t="s">
        <v>4689</v>
      </c>
      <c r="F662" s="2723">
        <f>+Y662</f>
        <v>30000</v>
      </c>
      <c r="G662" s="2723">
        <v>30000</v>
      </c>
      <c r="H662" s="700"/>
      <c r="I662" s="533"/>
      <c r="J662" s="625" t="s">
        <v>4670</v>
      </c>
      <c r="K662" s="626"/>
      <c r="L662" s="626"/>
      <c r="M662" s="626"/>
      <c r="N662" s="627"/>
      <c r="O662" s="627"/>
      <c r="P662" s="626"/>
      <c r="Q662" s="635">
        <v>1</v>
      </c>
      <c r="R662" s="1685" t="s">
        <v>23</v>
      </c>
      <c r="S662" s="1686">
        <v>2500000</v>
      </c>
      <c r="T662" s="1685" t="s">
        <v>0</v>
      </c>
      <c r="U662" s="1685"/>
      <c r="V662" s="1685">
        <v>12</v>
      </c>
      <c r="W662" s="1685" t="s">
        <v>2</v>
      </c>
      <c r="X662" s="1685" t="s">
        <v>1</v>
      </c>
      <c r="Y662" s="636">
        <f>+Z662/1000</f>
        <v>30000</v>
      </c>
      <c r="Z662" s="868">
        <f>+Q662*S662*V662</f>
        <v>30000000</v>
      </c>
      <c r="AA662" s="305"/>
      <c r="AB662" s="305"/>
      <c r="AC662" s="166"/>
    </row>
    <row r="663" spans="1:29" ht="21.95" customHeight="1">
      <c r="A663" s="2274"/>
      <c r="B663" s="1145"/>
      <c r="C663" s="470"/>
      <c r="D663" s="2724"/>
      <c r="E663" s="620" t="s">
        <v>73</v>
      </c>
      <c r="F663" s="2723">
        <f>Y663</f>
        <v>3250</v>
      </c>
      <c r="G663" s="2723">
        <v>3250</v>
      </c>
      <c r="H663" s="700"/>
      <c r="I663" s="533"/>
      <c r="J663" s="1780" t="s">
        <v>4684</v>
      </c>
      <c r="K663" s="1685"/>
      <c r="L663" s="1685"/>
      <c r="M663" s="1685"/>
      <c r="N663" s="1686"/>
      <c r="O663" s="1686"/>
      <c r="P663" s="1685"/>
      <c r="Q663" s="635">
        <v>25</v>
      </c>
      <c r="R663" s="1685" t="s">
        <v>23</v>
      </c>
      <c r="S663" s="1686">
        <v>5000</v>
      </c>
      <c r="T663" s="1685" t="s">
        <v>0</v>
      </c>
      <c r="U663" s="1685"/>
      <c r="V663" s="1685">
        <v>26</v>
      </c>
      <c r="W663" s="1685" t="s">
        <v>4674</v>
      </c>
      <c r="X663" s="1685" t="s">
        <v>1</v>
      </c>
      <c r="Y663" s="636">
        <f>+Z663/1000</f>
        <v>3250</v>
      </c>
      <c r="Z663" s="868">
        <f>+Q663*S663*V663</f>
        <v>3250000</v>
      </c>
      <c r="AA663" s="305"/>
      <c r="AB663" s="305"/>
      <c r="AC663" s="166"/>
    </row>
    <row r="664" spans="1:29" ht="21.95" customHeight="1">
      <c r="A664" s="2892"/>
      <c r="B664" s="1145"/>
      <c r="C664" s="470"/>
      <c r="D664" s="1684"/>
      <c r="E664" s="620" t="s">
        <v>195</v>
      </c>
      <c r="F664" s="2723">
        <f>Y664</f>
        <v>1800</v>
      </c>
      <c r="G664" s="2723">
        <v>1800</v>
      </c>
      <c r="H664" s="700"/>
      <c r="I664" s="533"/>
      <c r="J664" s="1780" t="s">
        <v>1985</v>
      </c>
      <c r="K664" s="1685"/>
      <c r="L664" s="1685"/>
      <c r="M664" s="1685"/>
      <c r="N664" s="1686"/>
      <c r="O664" s="1686"/>
      <c r="P664" s="1685"/>
      <c r="Q664" s="635">
        <v>2</v>
      </c>
      <c r="R664" s="1685" t="s">
        <v>23</v>
      </c>
      <c r="S664" s="1686">
        <v>90000</v>
      </c>
      <c r="T664" s="1685" t="s">
        <v>0</v>
      </c>
      <c r="U664" s="1685"/>
      <c r="V664" s="1685">
        <v>10</v>
      </c>
      <c r="W664" s="1685" t="s">
        <v>2</v>
      </c>
      <c r="X664" s="1685" t="s">
        <v>1</v>
      </c>
      <c r="Y664" s="636">
        <f t="shared" ref="Y664" si="212">+Z664/1000</f>
        <v>1800</v>
      </c>
      <c r="Z664" s="868">
        <f>+Q664*S664*V664</f>
        <v>1800000</v>
      </c>
      <c r="AA664" s="305"/>
      <c r="AB664" s="305"/>
      <c r="AC664" s="2557"/>
    </row>
    <row r="665" spans="1:29" ht="21.95" customHeight="1">
      <c r="A665" s="2274"/>
      <c r="B665" s="1145"/>
      <c r="C665" s="2278"/>
      <c r="D665" s="2724"/>
      <c r="E665" s="620" t="s">
        <v>52</v>
      </c>
      <c r="F665" s="2723">
        <f>Y665</f>
        <v>15750</v>
      </c>
      <c r="G665" s="2723">
        <v>15750</v>
      </c>
      <c r="H665" s="700"/>
      <c r="I665" s="533"/>
      <c r="J665" s="1780" t="s">
        <v>4675</v>
      </c>
      <c r="K665" s="1685"/>
      <c r="L665" s="1685"/>
      <c r="M665" s="1685"/>
      <c r="N665" s="1686"/>
      <c r="O665" s="1686"/>
      <c r="P665" s="1685"/>
      <c r="Q665" s="635"/>
      <c r="R665" s="1685"/>
      <c r="S665" s="1686"/>
      <c r="T665" s="1685"/>
      <c r="U665" s="1685"/>
      <c r="V665" s="1685"/>
      <c r="W665" s="1685"/>
      <c r="X665" s="1685"/>
      <c r="Y665" s="636">
        <f t="shared" ref="Y665:Y668" si="213">+Z665/1000</f>
        <v>15750</v>
      </c>
      <c r="Z665" s="868">
        <f>Z666+Z667</f>
        <v>15750000</v>
      </c>
      <c r="AA665" s="305"/>
      <c r="AB665" s="305"/>
      <c r="AC665" s="166"/>
    </row>
    <row r="666" spans="1:29" ht="21.95" customHeight="1">
      <c r="A666" s="2274"/>
      <c r="B666" s="1145"/>
      <c r="C666" s="470"/>
      <c r="D666" s="1684"/>
      <c r="E666" s="620"/>
      <c r="F666" s="2723"/>
      <c r="G666" s="2723"/>
      <c r="H666" s="700"/>
      <c r="I666" s="533"/>
      <c r="J666" s="514" t="s">
        <v>4676</v>
      </c>
      <c r="K666" s="2719"/>
      <c r="L666" s="2719"/>
      <c r="M666" s="2719"/>
      <c r="N666" s="2719"/>
      <c r="O666" s="1685"/>
      <c r="P666" s="1685"/>
      <c r="Q666" s="1685">
        <v>1</v>
      </c>
      <c r="R666" s="1685" t="s">
        <v>4673</v>
      </c>
      <c r="S666" s="1685">
        <v>250000</v>
      </c>
      <c r="T666" s="1685" t="s">
        <v>0</v>
      </c>
      <c r="U666" s="1685"/>
      <c r="V666" s="1685">
        <v>35</v>
      </c>
      <c r="W666" s="1685" t="s">
        <v>4674</v>
      </c>
      <c r="X666" s="1685" t="s">
        <v>1</v>
      </c>
      <c r="Y666" s="636">
        <f t="shared" si="213"/>
        <v>8750</v>
      </c>
      <c r="Z666" s="868">
        <f>+Q666*S666*V666</f>
        <v>8750000</v>
      </c>
      <c r="AA666" s="305"/>
      <c r="AB666" s="305"/>
      <c r="AC666" s="166"/>
    </row>
    <row r="667" spans="1:29" ht="21.95" customHeight="1">
      <c r="A667" s="2274"/>
      <c r="B667" s="1145"/>
      <c r="C667" s="470"/>
      <c r="D667" s="1684"/>
      <c r="E667" s="620"/>
      <c r="F667" s="2723"/>
      <c r="G667" s="2723"/>
      <c r="H667" s="700"/>
      <c r="I667" s="533"/>
      <c r="J667" s="514" t="s">
        <v>4677</v>
      </c>
      <c r="K667" s="2719"/>
      <c r="L667" s="2719"/>
      <c r="M667" s="2719"/>
      <c r="N667" s="2719"/>
      <c r="O667" s="1685"/>
      <c r="P667" s="1685"/>
      <c r="Q667" s="1685">
        <v>2</v>
      </c>
      <c r="R667" s="1685" t="s">
        <v>4673</v>
      </c>
      <c r="S667" s="1686">
        <v>100000</v>
      </c>
      <c r="T667" s="1685" t="s">
        <v>0</v>
      </c>
      <c r="U667" s="1685"/>
      <c r="V667" s="1685">
        <v>35</v>
      </c>
      <c r="W667" s="1685" t="s">
        <v>4674</v>
      </c>
      <c r="X667" s="1685" t="s">
        <v>1</v>
      </c>
      <c r="Y667" s="636">
        <f t="shared" si="213"/>
        <v>7000</v>
      </c>
      <c r="Z667" s="868">
        <f>+Q667*S667*V667</f>
        <v>7000000</v>
      </c>
      <c r="AA667" s="305"/>
      <c r="AB667" s="305"/>
      <c r="AC667" s="166"/>
    </row>
    <row r="668" spans="1:29" ht="21.95" customHeight="1">
      <c r="A668" s="2274"/>
      <c r="B668" s="1145"/>
      <c r="C668" s="470"/>
      <c r="D668" s="1684"/>
      <c r="E668" s="620" t="s">
        <v>4687</v>
      </c>
      <c r="F668" s="2723">
        <f>Y668</f>
        <v>1200</v>
      </c>
      <c r="G668" s="2723">
        <v>1200</v>
      </c>
      <c r="H668" s="700"/>
      <c r="I668" s="533"/>
      <c r="J668" s="1780" t="s">
        <v>4683</v>
      </c>
      <c r="K668" s="1685"/>
      <c r="L668" s="1685"/>
      <c r="M668" s="1685"/>
      <c r="N668" s="1686"/>
      <c r="O668" s="1686"/>
      <c r="P668" s="1685"/>
      <c r="Q668" s="1685">
        <v>20</v>
      </c>
      <c r="R668" s="1685" t="s">
        <v>4673</v>
      </c>
      <c r="S668" s="1685">
        <v>10000</v>
      </c>
      <c r="T668" s="1685" t="s">
        <v>0</v>
      </c>
      <c r="U668" s="1685"/>
      <c r="V668" s="1685">
        <v>6</v>
      </c>
      <c r="W668" s="1685" t="s">
        <v>4674</v>
      </c>
      <c r="X668" s="1685" t="s">
        <v>1</v>
      </c>
      <c r="Y668" s="636">
        <f t="shared" si="213"/>
        <v>1200</v>
      </c>
      <c r="Z668" s="868">
        <f>+Q668*S668*V668</f>
        <v>1200000</v>
      </c>
      <c r="AA668" s="305"/>
      <c r="AB668" s="305"/>
      <c r="AC668" s="166"/>
    </row>
    <row r="669" spans="1:29" ht="21.95" customHeight="1">
      <c r="A669" s="348"/>
      <c r="B669" s="1126"/>
      <c r="C669" s="2275"/>
      <c r="D669" s="3280" t="s">
        <v>1996</v>
      </c>
      <c r="E669" s="3282"/>
      <c r="F669" s="2725">
        <f>SUM(F670:F684)</f>
        <v>150000</v>
      </c>
      <c r="G669" s="2725">
        <f>SUM(G670:G684)</f>
        <v>150000</v>
      </c>
      <c r="H669" s="2987">
        <f>F669-G669</f>
        <v>0</v>
      </c>
      <c r="I669" s="533"/>
      <c r="J669" s="2726"/>
      <c r="K669" s="2384"/>
      <c r="L669" s="2384"/>
      <c r="M669" s="2384"/>
      <c r="N669" s="2384"/>
      <c r="O669" s="2384"/>
      <c r="P669" s="2400"/>
      <c r="Q669" s="2384"/>
      <c r="R669" s="2400"/>
      <c r="S669" s="2384"/>
      <c r="T669" s="2400"/>
      <c r="U669" s="2384"/>
      <c r="V669" s="2400"/>
      <c r="W669" s="2384"/>
      <c r="X669" s="2384"/>
      <c r="Y669" s="704"/>
      <c r="Z669" s="2988"/>
      <c r="AA669" s="305"/>
      <c r="AB669" s="305"/>
      <c r="AC669" s="166"/>
    </row>
    <row r="670" spans="1:29" ht="21.95" customHeight="1">
      <c r="A670" s="348"/>
      <c r="B670" s="1126"/>
      <c r="C670" s="2275"/>
      <c r="D670" s="1684"/>
      <c r="E670" s="620" t="s">
        <v>199</v>
      </c>
      <c r="F670" s="2723">
        <f>Y670</f>
        <v>7000</v>
      </c>
      <c r="G670" s="2723">
        <v>7000</v>
      </c>
      <c r="H670" s="700"/>
      <c r="I670" s="533"/>
      <c r="J670" s="1780" t="s">
        <v>1997</v>
      </c>
      <c r="K670" s="1685"/>
      <c r="L670" s="1685"/>
      <c r="M670" s="1685"/>
      <c r="N670" s="1686"/>
      <c r="O670" s="1686"/>
      <c r="P670" s="1685"/>
      <c r="Q670" s="635"/>
      <c r="R670" s="1685"/>
      <c r="S670" s="1686">
        <v>3500000</v>
      </c>
      <c r="T670" s="1685" t="s">
        <v>0</v>
      </c>
      <c r="U670" s="1685"/>
      <c r="V670" s="1685">
        <v>2</v>
      </c>
      <c r="W670" s="1685" t="s">
        <v>212</v>
      </c>
      <c r="X670" s="1685" t="s">
        <v>1</v>
      </c>
      <c r="Y670" s="636">
        <f t="shared" ref="Y670:Y684" si="214">Z670/1000</f>
        <v>7000</v>
      </c>
      <c r="Z670" s="868">
        <f>S670*V670</f>
        <v>7000000</v>
      </c>
      <c r="AA670" s="305"/>
      <c r="AB670" s="305"/>
      <c r="AC670" s="166"/>
    </row>
    <row r="671" spans="1:29" ht="21.95" customHeight="1">
      <c r="A671" s="348"/>
      <c r="B671" s="1126"/>
      <c r="C671" s="2275"/>
      <c r="D671" s="2724"/>
      <c r="E671" s="620" t="s">
        <v>73</v>
      </c>
      <c r="F671" s="2723">
        <f t="shared" ref="F671:F673" si="215">Y671</f>
        <v>30000</v>
      </c>
      <c r="G671" s="2723">
        <v>30000</v>
      </c>
      <c r="H671" s="700"/>
      <c r="I671" s="533"/>
      <c r="J671" s="1780" t="s">
        <v>1995</v>
      </c>
      <c r="K671" s="1685"/>
      <c r="L671" s="1685"/>
      <c r="M671" s="1685"/>
      <c r="N671" s="1686"/>
      <c r="O671" s="1686"/>
      <c r="P671" s="1685"/>
      <c r="Q671" s="1685">
        <v>1500</v>
      </c>
      <c r="R671" s="1685" t="s">
        <v>33</v>
      </c>
      <c r="S671" s="1685">
        <v>20000</v>
      </c>
      <c r="T671" s="1685" t="s">
        <v>0</v>
      </c>
      <c r="U671" s="1685"/>
      <c r="V671" s="1685"/>
      <c r="W671" s="1685"/>
      <c r="X671" s="1685" t="s">
        <v>1</v>
      </c>
      <c r="Y671" s="636">
        <f t="shared" si="214"/>
        <v>30000</v>
      </c>
      <c r="Z671" s="868">
        <f>Q671*S671</f>
        <v>30000000</v>
      </c>
      <c r="AA671" s="305"/>
      <c r="AB671" s="305"/>
      <c r="AC671" s="166"/>
    </row>
    <row r="672" spans="1:29" ht="21.95" customHeight="1">
      <c r="A672" s="348"/>
      <c r="B672" s="1126"/>
      <c r="C672" s="2893"/>
      <c r="D672" s="1684"/>
      <c r="E672" s="706" t="s">
        <v>195</v>
      </c>
      <c r="F672" s="2723">
        <f t="shared" si="215"/>
        <v>2400</v>
      </c>
      <c r="G672" s="2723">
        <v>2400</v>
      </c>
      <c r="H672" s="700"/>
      <c r="I672" s="533"/>
      <c r="J672" s="1780" t="s">
        <v>532</v>
      </c>
      <c r="K672" s="1685"/>
      <c r="L672" s="1685"/>
      <c r="M672" s="1685"/>
      <c r="N672" s="1686"/>
      <c r="O672" s="1686"/>
      <c r="P672" s="1685"/>
      <c r="Q672" s="635">
        <v>4</v>
      </c>
      <c r="R672" s="1685" t="s">
        <v>23</v>
      </c>
      <c r="S672" s="1686">
        <v>60000</v>
      </c>
      <c r="T672" s="1685" t="s">
        <v>0</v>
      </c>
      <c r="U672" s="1685"/>
      <c r="V672" s="1685">
        <v>10</v>
      </c>
      <c r="W672" s="1685" t="s">
        <v>2</v>
      </c>
      <c r="X672" s="1685" t="s">
        <v>1</v>
      </c>
      <c r="Y672" s="636">
        <f t="shared" ref="Y672" si="216">+Z672/1000</f>
        <v>2400</v>
      </c>
      <c r="Z672" s="868">
        <f>Q672*S672*V672</f>
        <v>2400000</v>
      </c>
      <c r="AA672" s="305"/>
      <c r="AB672" s="305"/>
      <c r="AC672" s="2557"/>
    </row>
    <row r="673" spans="1:29" ht="21.95" customHeight="1">
      <c r="A673" s="348"/>
      <c r="B673" s="1126"/>
      <c r="C673" s="2275"/>
      <c r="D673" s="1684"/>
      <c r="E673" s="620" t="s">
        <v>52</v>
      </c>
      <c r="F673" s="2723">
        <f t="shared" si="215"/>
        <v>40500</v>
      </c>
      <c r="G673" s="2723">
        <v>40500</v>
      </c>
      <c r="H673" s="700"/>
      <c r="I673" s="533"/>
      <c r="J673" s="1780" t="s">
        <v>194</v>
      </c>
      <c r="K673" s="1685"/>
      <c r="L673" s="1685"/>
      <c r="M673" s="1685"/>
      <c r="N673" s="1686"/>
      <c r="O673" s="1686"/>
      <c r="P673" s="1685"/>
      <c r="Q673" s="635"/>
      <c r="R673" s="1685"/>
      <c r="S673" s="1686"/>
      <c r="T673" s="1685"/>
      <c r="U673" s="1685"/>
      <c r="V673" s="1685"/>
      <c r="W673" s="1685"/>
      <c r="X673" s="1685"/>
      <c r="Y673" s="636">
        <f t="shared" si="214"/>
        <v>40500</v>
      </c>
      <c r="Z673" s="868">
        <f>Z674+Z675+Z676+Z677+Z678</f>
        <v>40500000</v>
      </c>
      <c r="AA673" s="305"/>
      <c r="AB673" s="305"/>
      <c r="AC673" s="166"/>
    </row>
    <row r="674" spans="1:29" ht="21.95" customHeight="1">
      <c r="A674" s="348"/>
      <c r="B674" s="1126"/>
      <c r="C674" s="2275"/>
      <c r="D674" s="1684"/>
      <c r="E674" s="620"/>
      <c r="F674" s="2723"/>
      <c r="G674" s="2723"/>
      <c r="H674" s="700"/>
      <c r="I674" s="533"/>
      <c r="J674" s="514" t="s">
        <v>1992</v>
      </c>
      <c r="K674" s="2880"/>
      <c r="L674" s="2880"/>
      <c r="M674" s="2880"/>
      <c r="N674" s="2880"/>
      <c r="O674" s="1685"/>
      <c r="P674" s="1685"/>
      <c r="Q674" s="1685">
        <v>5</v>
      </c>
      <c r="R674" s="1685" t="s">
        <v>33</v>
      </c>
      <c r="S674" s="1685">
        <v>200000</v>
      </c>
      <c r="T674" s="1685" t="s">
        <v>0</v>
      </c>
      <c r="U674" s="1685"/>
      <c r="V674" s="1685">
        <v>15</v>
      </c>
      <c r="W674" s="1685" t="s">
        <v>265</v>
      </c>
      <c r="X674" s="1685" t="s">
        <v>1</v>
      </c>
      <c r="Y674" s="636">
        <f t="shared" si="214"/>
        <v>15000</v>
      </c>
      <c r="Z674" s="868">
        <f>Q674*S674*V674</f>
        <v>15000000</v>
      </c>
      <c r="AA674" s="305"/>
      <c r="AB674" s="305"/>
      <c r="AC674" s="166"/>
    </row>
    <row r="675" spans="1:29" ht="21.95" customHeight="1">
      <c r="A675" s="348"/>
      <c r="B675" s="1126"/>
      <c r="C675" s="2275"/>
      <c r="D675" s="1684"/>
      <c r="E675" s="620"/>
      <c r="F675" s="2723"/>
      <c r="G675" s="2723"/>
      <c r="H675" s="700"/>
      <c r="I675" s="533"/>
      <c r="J675" s="514" t="s">
        <v>1993</v>
      </c>
      <c r="K675" s="2880"/>
      <c r="L675" s="2880"/>
      <c r="M675" s="2880"/>
      <c r="N675" s="2880"/>
      <c r="O675" s="1685"/>
      <c r="P675" s="1685"/>
      <c r="Q675" s="1685">
        <v>5</v>
      </c>
      <c r="R675" s="1685" t="s">
        <v>33</v>
      </c>
      <c r="S675" s="1685">
        <v>100000</v>
      </c>
      <c r="T675" s="1685" t="s">
        <v>0</v>
      </c>
      <c r="U675" s="1685"/>
      <c r="V675" s="1685">
        <v>15</v>
      </c>
      <c r="W675" s="1685" t="s">
        <v>265</v>
      </c>
      <c r="X675" s="1685" t="s">
        <v>1</v>
      </c>
      <c r="Y675" s="636">
        <f t="shared" si="214"/>
        <v>7500</v>
      </c>
      <c r="Z675" s="868">
        <f t="shared" ref="Z675:Z678" si="217">Q675*S675*V675</f>
        <v>7500000</v>
      </c>
      <c r="AA675" s="305"/>
      <c r="AB675" s="305"/>
      <c r="AC675" s="166"/>
    </row>
    <row r="676" spans="1:29" ht="21.95" customHeight="1">
      <c r="A676" s="348"/>
      <c r="B676" s="1126"/>
      <c r="C676" s="2275"/>
      <c r="D676" s="1684"/>
      <c r="E676" s="620"/>
      <c r="F676" s="2723"/>
      <c r="G676" s="2723"/>
      <c r="H676" s="700"/>
      <c r="I676" s="533"/>
      <c r="J676" s="514" t="s">
        <v>1998</v>
      </c>
      <c r="K676" s="2880"/>
      <c r="L676" s="2880"/>
      <c r="M676" s="2880"/>
      <c r="N676" s="2880"/>
      <c r="O676" s="1685"/>
      <c r="P676" s="1685"/>
      <c r="Q676" s="1685">
        <v>1</v>
      </c>
      <c r="R676" s="1685" t="s">
        <v>33</v>
      </c>
      <c r="S676" s="1685">
        <v>100000</v>
      </c>
      <c r="T676" s="1685" t="s">
        <v>0</v>
      </c>
      <c r="U676" s="1685"/>
      <c r="V676" s="1685">
        <v>30</v>
      </c>
      <c r="W676" s="1685" t="s">
        <v>265</v>
      </c>
      <c r="X676" s="1685" t="s">
        <v>1</v>
      </c>
      <c r="Y676" s="636">
        <f t="shared" si="214"/>
        <v>3000</v>
      </c>
      <c r="Z676" s="868">
        <f t="shared" si="217"/>
        <v>3000000</v>
      </c>
      <c r="AA676" s="305"/>
      <c r="AB676" s="305"/>
      <c r="AC676" s="166"/>
    </row>
    <row r="677" spans="1:29" ht="21.95" customHeight="1">
      <c r="A677" s="348"/>
      <c r="B677" s="1126"/>
      <c r="C677" s="2275"/>
      <c r="D677" s="1684"/>
      <c r="E677" s="620"/>
      <c r="F677" s="2723"/>
      <c r="G677" s="2723"/>
      <c r="H677" s="700"/>
      <c r="I677" s="533"/>
      <c r="J677" s="514" t="s">
        <v>1999</v>
      </c>
      <c r="K677" s="2880"/>
      <c r="L677" s="2880"/>
      <c r="M677" s="2880"/>
      <c r="N677" s="2880"/>
      <c r="O677" s="1685"/>
      <c r="P677" s="1685"/>
      <c r="Q677" s="1685">
        <v>2</v>
      </c>
      <c r="R677" s="1685" t="s">
        <v>33</v>
      </c>
      <c r="S677" s="1685">
        <v>300000</v>
      </c>
      <c r="T677" s="1685" t="s">
        <v>0</v>
      </c>
      <c r="U677" s="1685"/>
      <c r="V677" s="1685">
        <v>15</v>
      </c>
      <c r="W677" s="1685" t="s">
        <v>265</v>
      </c>
      <c r="X677" s="1685" t="s">
        <v>1</v>
      </c>
      <c r="Y677" s="636">
        <f t="shared" si="214"/>
        <v>9000</v>
      </c>
      <c r="Z677" s="868">
        <f t="shared" si="217"/>
        <v>9000000</v>
      </c>
      <c r="AA677" s="305"/>
      <c r="AB677" s="305"/>
      <c r="AC677" s="166"/>
    </row>
    <row r="678" spans="1:29" ht="21.95" customHeight="1">
      <c r="A678" s="348"/>
      <c r="B678" s="1126"/>
      <c r="C678" s="2275"/>
      <c r="D678" s="1684"/>
      <c r="E678" s="620"/>
      <c r="F678" s="2723"/>
      <c r="G678" s="2723"/>
      <c r="H678" s="700"/>
      <c r="I678" s="533"/>
      <c r="J678" s="1780" t="s">
        <v>2000</v>
      </c>
      <c r="K678" s="2880"/>
      <c r="L678" s="2880"/>
      <c r="M678" s="2880"/>
      <c r="N678" s="2880"/>
      <c r="O678" s="1685"/>
      <c r="P678" s="1685"/>
      <c r="Q678" s="1685">
        <v>15</v>
      </c>
      <c r="R678" s="1685" t="s">
        <v>33</v>
      </c>
      <c r="S678" s="1685">
        <v>200000</v>
      </c>
      <c r="T678" s="1685" t="s">
        <v>0</v>
      </c>
      <c r="U678" s="1685"/>
      <c r="V678" s="1685">
        <v>2</v>
      </c>
      <c r="W678" s="1685" t="s">
        <v>265</v>
      </c>
      <c r="X678" s="1685" t="s">
        <v>1</v>
      </c>
      <c r="Y678" s="636">
        <f t="shared" si="214"/>
        <v>6000</v>
      </c>
      <c r="Z678" s="868">
        <f t="shared" si="217"/>
        <v>6000000</v>
      </c>
      <c r="AA678" s="305"/>
      <c r="AB678" s="305"/>
      <c r="AC678" s="166"/>
    </row>
    <row r="679" spans="1:29" ht="21.95" customHeight="1">
      <c r="A679" s="348"/>
      <c r="B679" s="1126"/>
      <c r="C679" s="2275"/>
      <c r="D679" s="1684"/>
      <c r="E679" s="620" t="s">
        <v>287</v>
      </c>
      <c r="F679" s="2723">
        <f t="shared" ref="F679" si="218">Y679</f>
        <v>61000</v>
      </c>
      <c r="G679" s="2723">
        <v>61000</v>
      </c>
      <c r="H679" s="700"/>
      <c r="I679" s="533"/>
      <c r="J679" s="1780" t="s">
        <v>194</v>
      </c>
      <c r="K679" s="1685"/>
      <c r="L679" s="1685"/>
      <c r="M679" s="1685"/>
      <c r="N679" s="1686"/>
      <c r="O679" s="1686"/>
      <c r="P679" s="1685"/>
      <c r="Q679" s="635"/>
      <c r="R679" s="1685"/>
      <c r="S679" s="1685"/>
      <c r="T679" s="1685"/>
      <c r="U679" s="1685"/>
      <c r="V679" s="1685"/>
      <c r="W679" s="1685"/>
      <c r="X679" s="1685"/>
      <c r="Y679" s="636">
        <f t="shared" si="214"/>
        <v>61000</v>
      </c>
      <c r="Z679" s="868">
        <f>Z680+Z681</f>
        <v>61000000</v>
      </c>
      <c r="AA679" s="305"/>
      <c r="AB679" s="305"/>
      <c r="AC679" s="166"/>
    </row>
    <row r="680" spans="1:29" ht="21" customHeight="1">
      <c r="A680" s="348"/>
      <c r="B680" s="1126"/>
      <c r="C680" s="2275"/>
      <c r="D680" s="2724"/>
      <c r="E680" s="620"/>
      <c r="F680" s="2723"/>
      <c r="G680" s="2723"/>
      <c r="H680" s="700"/>
      <c r="I680" s="533"/>
      <c r="J680" s="1780" t="s">
        <v>2001</v>
      </c>
      <c r="K680" s="2880"/>
      <c r="L680" s="2880"/>
      <c r="M680" s="2880"/>
      <c r="N680" s="2880"/>
      <c r="O680" s="2880"/>
      <c r="P680" s="515"/>
      <c r="Q680" s="516">
        <v>1350</v>
      </c>
      <c r="R680" s="2887" t="s">
        <v>33</v>
      </c>
      <c r="S680" s="516">
        <v>40000</v>
      </c>
      <c r="T680" s="1685" t="s">
        <v>264</v>
      </c>
      <c r="U680" s="515"/>
      <c r="V680" s="516"/>
      <c r="W680" s="2887"/>
      <c r="X680" s="1685" t="s">
        <v>1</v>
      </c>
      <c r="Y680" s="636">
        <f t="shared" si="214"/>
        <v>54000</v>
      </c>
      <c r="Z680" s="868">
        <f>Q680*S680</f>
        <v>54000000</v>
      </c>
      <c r="AA680" s="305"/>
      <c r="AB680" s="305"/>
      <c r="AC680" s="166"/>
    </row>
    <row r="681" spans="1:29" ht="21" customHeight="1">
      <c r="A681" s="348"/>
      <c r="B681" s="1126"/>
      <c r="C681" s="2275"/>
      <c r="D681" s="2724"/>
      <c r="E681" s="620"/>
      <c r="F681" s="2723"/>
      <c r="G681" s="2723"/>
      <c r="H681" s="700"/>
      <c r="I681" s="533"/>
      <c r="J681" s="514" t="s">
        <v>2002</v>
      </c>
      <c r="K681" s="2880"/>
      <c r="L681" s="2880"/>
      <c r="M681" s="2880"/>
      <c r="N681" s="2880"/>
      <c r="O681" s="1685"/>
      <c r="P681" s="1685"/>
      <c r="Q681" s="1685">
        <v>10</v>
      </c>
      <c r="R681" s="1685" t="s">
        <v>33</v>
      </c>
      <c r="S681" s="1685">
        <v>700000</v>
      </c>
      <c r="T681" s="1685" t="s">
        <v>0</v>
      </c>
      <c r="U681" s="1685"/>
      <c r="V681" s="1685">
        <v>1</v>
      </c>
      <c r="W681" s="1685" t="s">
        <v>265</v>
      </c>
      <c r="X681" s="1685" t="s">
        <v>1</v>
      </c>
      <c r="Y681" s="636">
        <f t="shared" si="214"/>
        <v>7000</v>
      </c>
      <c r="Z681" s="868">
        <f>Q681*S681*V681</f>
        <v>7000000</v>
      </c>
      <c r="AA681" s="305"/>
      <c r="AB681" s="305"/>
      <c r="AC681" s="166"/>
    </row>
    <row r="682" spans="1:29" ht="21" customHeight="1">
      <c r="A682" s="348"/>
      <c r="B682" s="1126"/>
      <c r="C682" s="2275"/>
      <c r="D682" s="2724"/>
      <c r="E682" s="620" t="s">
        <v>223</v>
      </c>
      <c r="F682" s="2723">
        <f t="shared" ref="F682:F684" si="219">Y682</f>
        <v>4400</v>
      </c>
      <c r="G682" s="2723">
        <v>4400</v>
      </c>
      <c r="H682" s="700"/>
      <c r="I682" s="533"/>
      <c r="J682" s="1780" t="s">
        <v>4679</v>
      </c>
      <c r="K682" s="1685"/>
      <c r="L682" s="1685"/>
      <c r="M682" s="1685"/>
      <c r="N682" s="1686"/>
      <c r="O682" s="1686"/>
      <c r="P682" s="1685"/>
      <c r="Q682" s="1685">
        <v>2</v>
      </c>
      <c r="R682" s="1685" t="s">
        <v>18</v>
      </c>
      <c r="S682" s="1685">
        <v>220000</v>
      </c>
      <c r="T682" s="1685" t="s">
        <v>0</v>
      </c>
      <c r="U682" s="1685"/>
      <c r="V682" s="1685">
        <v>10</v>
      </c>
      <c r="W682" s="1685" t="s">
        <v>49</v>
      </c>
      <c r="X682" s="1685" t="s">
        <v>1</v>
      </c>
      <c r="Y682" s="636">
        <f t="shared" ref="Y682" si="220">+Z682/1000</f>
        <v>4400</v>
      </c>
      <c r="Z682" s="868">
        <f>Q682*S682*V682</f>
        <v>4400000</v>
      </c>
      <c r="AA682" s="305"/>
      <c r="AB682" s="305"/>
      <c r="AC682" s="166"/>
    </row>
    <row r="683" spans="1:29" ht="21" customHeight="1">
      <c r="A683" s="348"/>
      <c r="B683" s="1126"/>
      <c r="C683" s="2893"/>
      <c r="D683" s="1684"/>
      <c r="E683" s="620" t="s">
        <v>602</v>
      </c>
      <c r="F683" s="2723">
        <f t="shared" si="219"/>
        <v>2000</v>
      </c>
      <c r="G683" s="2723">
        <v>2000</v>
      </c>
      <c r="H683" s="700"/>
      <c r="I683" s="533"/>
      <c r="J683" s="1780" t="s">
        <v>2003</v>
      </c>
      <c r="K683" s="2880"/>
      <c r="L683" s="2880"/>
      <c r="M683" s="2880"/>
      <c r="N683" s="2880"/>
      <c r="O683" s="1685"/>
      <c r="P683" s="1685"/>
      <c r="Q683" s="1685"/>
      <c r="R683" s="1685"/>
      <c r="S683" s="1685">
        <v>200000</v>
      </c>
      <c r="T683" s="1685" t="s">
        <v>0</v>
      </c>
      <c r="U683" s="1685"/>
      <c r="V683" s="1685">
        <v>10</v>
      </c>
      <c r="W683" s="1685" t="s">
        <v>265</v>
      </c>
      <c r="X683" s="1685" t="s">
        <v>1</v>
      </c>
      <c r="Y683" s="636">
        <f t="shared" si="214"/>
        <v>2000</v>
      </c>
      <c r="Z683" s="868">
        <f t="shared" ref="Z683:Z684" si="221">S683*V683</f>
        <v>2000000</v>
      </c>
      <c r="AA683" s="305"/>
      <c r="AB683" s="305"/>
      <c r="AC683" s="2557"/>
    </row>
    <row r="684" spans="1:29" ht="21" customHeight="1">
      <c r="A684" s="348"/>
      <c r="B684" s="1126"/>
      <c r="C684" s="2275"/>
      <c r="D684" s="1684"/>
      <c r="E684" s="620" t="s">
        <v>271</v>
      </c>
      <c r="F684" s="2723">
        <f t="shared" si="219"/>
        <v>2700</v>
      </c>
      <c r="G684" s="2723">
        <v>2700</v>
      </c>
      <c r="H684" s="700"/>
      <c r="I684" s="533"/>
      <c r="J684" s="1780" t="s">
        <v>1994</v>
      </c>
      <c r="K684" s="2880"/>
      <c r="L684" s="2880"/>
      <c r="M684" s="2880"/>
      <c r="N684" s="2880"/>
      <c r="O684" s="1685"/>
      <c r="P684" s="1685"/>
      <c r="Q684" s="1685"/>
      <c r="R684" s="1685"/>
      <c r="S684" s="1685">
        <v>270000</v>
      </c>
      <c r="T684" s="1685" t="s">
        <v>0</v>
      </c>
      <c r="U684" s="1685"/>
      <c r="V684" s="1685">
        <v>10</v>
      </c>
      <c r="W684" s="1685" t="s">
        <v>265</v>
      </c>
      <c r="X684" s="1685" t="s">
        <v>1</v>
      </c>
      <c r="Y684" s="636">
        <f t="shared" si="214"/>
        <v>2700</v>
      </c>
      <c r="Z684" s="868">
        <f t="shared" si="221"/>
        <v>2700000</v>
      </c>
      <c r="AA684" s="305"/>
      <c r="AB684" s="305"/>
      <c r="AC684" s="166"/>
    </row>
    <row r="685" spans="1:29" ht="21" customHeight="1">
      <c r="A685" s="348" t="s">
        <v>19</v>
      </c>
      <c r="B685" s="1126"/>
      <c r="C685" s="3284" t="s">
        <v>2004</v>
      </c>
      <c r="D685" s="3354"/>
      <c r="E685" s="3285"/>
      <c r="F685" s="1327">
        <f>+F686</f>
        <v>50000</v>
      </c>
      <c r="G685" s="1327">
        <f>+G686</f>
        <v>50000</v>
      </c>
      <c r="H685" s="1132">
        <f>+F685-G685</f>
        <v>0</v>
      </c>
      <c r="I685" s="473"/>
      <c r="J685" s="2321"/>
      <c r="K685" s="2276"/>
      <c r="L685" s="800"/>
      <c r="M685" s="800"/>
      <c r="N685" s="800"/>
      <c r="O685" s="800"/>
      <c r="P685" s="800"/>
      <c r="Q685" s="800"/>
      <c r="R685" s="857"/>
      <c r="S685" s="800"/>
      <c r="T685" s="800"/>
      <c r="U685" s="800"/>
      <c r="V685" s="800"/>
      <c r="W685" s="800"/>
      <c r="X685" s="800"/>
      <c r="Y685" s="377"/>
      <c r="Z685" s="1359"/>
      <c r="AA685" s="305"/>
      <c r="AB685" s="305"/>
      <c r="AC685" s="166"/>
    </row>
    <row r="686" spans="1:29" ht="21" customHeight="1">
      <c r="A686" s="1356"/>
      <c r="B686" s="1357"/>
      <c r="C686" s="2275"/>
      <c r="D686" s="3266" t="s">
        <v>2005</v>
      </c>
      <c r="E686" s="3267"/>
      <c r="F686" s="1327">
        <f>SUM(F687:F690)</f>
        <v>50000</v>
      </c>
      <c r="G686" s="1327">
        <f>SUM(G687:G690)</f>
        <v>50000</v>
      </c>
      <c r="H686" s="1132">
        <f>F686-G686</f>
        <v>0</v>
      </c>
      <c r="I686" s="473"/>
      <c r="J686" s="374"/>
      <c r="K686" s="375"/>
      <c r="L686" s="375"/>
      <c r="M686" s="375"/>
      <c r="N686" s="375"/>
      <c r="O686" s="376"/>
      <c r="P686" s="375"/>
      <c r="Q686" s="376"/>
      <c r="R686" s="375"/>
      <c r="S686" s="376"/>
      <c r="T686" s="375"/>
      <c r="U686" s="376"/>
      <c r="V686" s="375"/>
      <c r="W686" s="375"/>
      <c r="X686" s="484" t="s">
        <v>19</v>
      </c>
      <c r="Y686" s="377"/>
      <c r="Z686" s="1360"/>
      <c r="AA686" s="305"/>
      <c r="AB686" s="305"/>
      <c r="AC686" s="166"/>
    </row>
    <row r="687" spans="1:29" ht="21" customHeight="1">
      <c r="A687" s="1356"/>
      <c r="B687" s="1357"/>
      <c r="C687" s="2275"/>
      <c r="D687" s="1126"/>
      <c r="E687" s="465" t="s">
        <v>1696</v>
      </c>
      <c r="F687" s="472">
        <f>+Y687</f>
        <v>30000</v>
      </c>
      <c r="G687" s="472">
        <v>30000</v>
      </c>
      <c r="H687" s="404"/>
      <c r="I687" s="473"/>
      <c r="J687" s="1670" t="s">
        <v>2006</v>
      </c>
      <c r="K687" s="1671"/>
      <c r="L687" s="1671"/>
      <c r="M687" s="1671"/>
      <c r="N687" s="1672"/>
      <c r="O687" s="1672"/>
      <c r="P687" s="1671"/>
      <c r="Q687" s="1673">
        <v>1</v>
      </c>
      <c r="R687" s="1671" t="s">
        <v>23</v>
      </c>
      <c r="S687" s="1672">
        <v>2500000</v>
      </c>
      <c r="T687" s="1671" t="s">
        <v>0</v>
      </c>
      <c r="U687" s="1671"/>
      <c r="V687" s="1671">
        <v>12</v>
      </c>
      <c r="W687" s="1671" t="s">
        <v>2</v>
      </c>
      <c r="X687" s="1671" t="s">
        <v>1</v>
      </c>
      <c r="Y687" s="1674">
        <f t="shared" ref="Y687:Y688" si="222">+Z687/1000</f>
        <v>30000</v>
      </c>
      <c r="Z687" s="829">
        <f>+Q687*S687*V687</f>
        <v>30000000</v>
      </c>
      <c r="AA687" s="305"/>
      <c r="AB687" s="305"/>
      <c r="AC687" s="166"/>
    </row>
    <row r="688" spans="1:29" ht="21" customHeight="1">
      <c r="A688" s="2274"/>
      <c r="B688" s="1145"/>
      <c r="C688" s="2278"/>
      <c r="D688" s="1145"/>
      <c r="E688" s="465" t="s">
        <v>1717</v>
      </c>
      <c r="F688" s="472">
        <f>+Y688</f>
        <v>1000</v>
      </c>
      <c r="G688" s="472">
        <v>1000</v>
      </c>
      <c r="H688" s="404"/>
      <c r="I688" s="473"/>
      <c r="J688" s="1670" t="s">
        <v>2008</v>
      </c>
      <c r="K688" s="1671"/>
      <c r="L688" s="1671"/>
      <c r="M688" s="1671"/>
      <c r="N688" s="1672"/>
      <c r="O688" s="1672"/>
      <c r="P688" s="1671"/>
      <c r="Q688" s="1673">
        <v>4</v>
      </c>
      <c r="R688" s="1671" t="s">
        <v>23</v>
      </c>
      <c r="S688" s="1671">
        <v>250000</v>
      </c>
      <c r="T688" s="1671" t="s">
        <v>1697</v>
      </c>
      <c r="U688" s="1671"/>
      <c r="V688" s="1671">
        <v>1</v>
      </c>
      <c r="W688" s="1671" t="s">
        <v>1710</v>
      </c>
      <c r="X688" s="1671" t="s">
        <v>1698</v>
      </c>
      <c r="Y688" s="1674">
        <f t="shared" si="222"/>
        <v>1000</v>
      </c>
      <c r="Z688" s="829">
        <f>+Q688*S688*V688</f>
        <v>1000000</v>
      </c>
      <c r="AA688" s="305"/>
      <c r="AB688" s="305"/>
      <c r="AC688" s="166"/>
    </row>
    <row r="689" spans="1:29" ht="21" customHeight="1">
      <c r="A689" s="1356"/>
      <c r="B689" s="1357"/>
      <c r="C689" s="2893"/>
      <c r="D689" s="1126"/>
      <c r="E689" s="465" t="s">
        <v>287</v>
      </c>
      <c r="F689" s="472">
        <f>+Y689</f>
        <v>14000</v>
      </c>
      <c r="G689" s="472">
        <v>14000</v>
      </c>
      <c r="H689" s="404"/>
      <c r="I689" s="473"/>
      <c r="J689" s="1670" t="s">
        <v>2009</v>
      </c>
      <c r="K689" s="1671"/>
      <c r="L689" s="1671"/>
      <c r="M689" s="1671"/>
      <c r="N689" s="1672"/>
      <c r="O689" s="1672"/>
      <c r="P689" s="1671"/>
      <c r="Q689" s="1671"/>
      <c r="R689" s="1671"/>
      <c r="S689" s="1671">
        <v>14000000</v>
      </c>
      <c r="T689" s="1671" t="s">
        <v>0</v>
      </c>
      <c r="U689" s="1671"/>
      <c r="V689" s="1671">
        <v>1</v>
      </c>
      <c r="W689" s="1671" t="s">
        <v>196</v>
      </c>
      <c r="X689" s="1671" t="s">
        <v>1</v>
      </c>
      <c r="Y689" s="1674">
        <f t="shared" ref="Y689" si="223">+Z689/1000</f>
        <v>14000</v>
      </c>
      <c r="Z689" s="829">
        <f>S689*V689</f>
        <v>14000000</v>
      </c>
      <c r="AA689" s="305"/>
      <c r="AB689" s="305"/>
      <c r="AC689" s="2557"/>
    </row>
    <row r="690" spans="1:29" ht="21" customHeight="1">
      <c r="A690" s="2892"/>
      <c r="B690" s="1145"/>
      <c r="C690" s="470"/>
      <c r="D690" s="1145"/>
      <c r="E690" s="465" t="s">
        <v>222</v>
      </c>
      <c r="F690" s="472">
        <f>Y690</f>
        <v>5000</v>
      </c>
      <c r="G690" s="472">
        <v>5000</v>
      </c>
      <c r="H690" s="404"/>
      <c r="I690" s="473"/>
      <c r="J690" s="1670" t="s">
        <v>2007</v>
      </c>
      <c r="K690" s="1671"/>
      <c r="L690" s="1671"/>
      <c r="M690" s="1671"/>
      <c r="N690" s="1672"/>
      <c r="O690" s="1672"/>
      <c r="P690" s="1671"/>
      <c r="Q690" s="1673"/>
      <c r="R690" s="1671"/>
      <c r="S690" s="1672">
        <v>5000000</v>
      </c>
      <c r="T690" s="1671" t="s">
        <v>0</v>
      </c>
      <c r="U690" s="1671"/>
      <c r="V690" s="1671">
        <v>1</v>
      </c>
      <c r="W690" s="1671" t="s">
        <v>265</v>
      </c>
      <c r="X690" s="1671" t="s">
        <v>1</v>
      </c>
      <c r="Y690" s="345">
        <f t="shared" ref="Y690" si="224">+Z690/1000</f>
        <v>5000</v>
      </c>
      <c r="Z690" s="1700">
        <f t="shared" ref="Z690" si="225">+S690*V690</f>
        <v>5000000</v>
      </c>
      <c r="AA690" s="305"/>
      <c r="AB690" s="305"/>
      <c r="AC690" s="2557"/>
    </row>
    <row r="691" spans="1:29" ht="23.1" customHeight="1">
      <c r="A691" s="348" t="s">
        <v>19</v>
      </c>
      <c r="B691" s="1126"/>
      <c r="C691" s="3354" t="s">
        <v>2010</v>
      </c>
      <c r="D691" s="3354"/>
      <c r="E691" s="3285"/>
      <c r="F691" s="1327">
        <f>+F692+F695</f>
        <v>190000</v>
      </c>
      <c r="G691" s="1327">
        <f>+G692+G695</f>
        <v>190000</v>
      </c>
      <c r="H691" s="1132">
        <f>+F691-G691</f>
        <v>0</v>
      </c>
      <c r="I691" s="473"/>
      <c r="J691" s="2321"/>
      <c r="K691" s="2276"/>
      <c r="L691" s="800"/>
      <c r="M691" s="800"/>
      <c r="N691" s="800"/>
      <c r="O691" s="800"/>
      <c r="P691" s="800"/>
      <c r="Q691" s="800"/>
      <c r="R691" s="857"/>
      <c r="S691" s="800"/>
      <c r="T691" s="800"/>
      <c r="U691" s="800"/>
      <c r="V691" s="800"/>
      <c r="W691" s="800"/>
      <c r="X691" s="800"/>
      <c r="Y691" s="345"/>
      <c r="Z691" s="1361"/>
      <c r="AA691" s="305"/>
      <c r="AB691" s="305"/>
      <c r="AC691" s="166"/>
    </row>
    <row r="692" spans="1:29" ht="23.1" customHeight="1">
      <c r="A692" s="348"/>
      <c r="B692" s="1126"/>
      <c r="C692" s="2278"/>
      <c r="D692" s="2577" t="s">
        <v>3298</v>
      </c>
      <c r="E692" s="2273"/>
      <c r="F692" s="1327">
        <f>SUM(F693:F694)</f>
        <v>30000</v>
      </c>
      <c r="G692" s="1327">
        <f>SUM(G693:G694)</f>
        <v>30000</v>
      </c>
      <c r="H692" s="1132">
        <f>F692-G692</f>
        <v>0</v>
      </c>
      <c r="I692" s="473"/>
      <c r="J692" s="1362"/>
      <c r="K692" s="1363"/>
      <c r="L692" s="1363"/>
      <c r="M692" s="1363"/>
      <c r="N692" s="1363"/>
      <c r="O692" s="1363"/>
      <c r="P692" s="1363"/>
      <c r="Q692" s="1364"/>
      <c r="R692" s="485"/>
      <c r="S692" s="1365"/>
      <c r="T692" s="462"/>
      <c r="U692" s="2276"/>
      <c r="V692" s="1364"/>
      <c r="W692" s="1364"/>
      <c r="X692" s="462"/>
      <c r="Y692" s="377"/>
      <c r="Z692" s="378"/>
      <c r="AA692" s="305"/>
      <c r="AB692" s="305"/>
      <c r="AC692" s="166"/>
    </row>
    <row r="693" spans="1:29" ht="23.1" customHeight="1">
      <c r="A693" s="348"/>
      <c r="B693" s="1126"/>
      <c r="C693" s="2278"/>
      <c r="D693" s="1154"/>
      <c r="E693" s="1126" t="s">
        <v>118</v>
      </c>
      <c r="F693" s="1311">
        <f>+Y693</f>
        <v>10000</v>
      </c>
      <c r="G693" s="1311">
        <v>10000</v>
      </c>
      <c r="H693" s="338"/>
      <c r="I693" s="473"/>
      <c r="J693" s="2287" t="s">
        <v>2011</v>
      </c>
      <c r="K693" s="2282"/>
      <c r="L693" s="2282"/>
      <c r="M693" s="2282"/>
      <c r="N693" s="2282"/>
      <c r="O693" s="2282"/>
      <c r="P693" s="2292"/>
      <c r="Q693" s="1671"/>
      <c r="R693" s="1671"/>
      <c r="S693" s="1671">
        <v>2000000</v>
      </c>
      <c r="T693" s="1671" t="s">
        <v>0</v>
      </c>
      <c r="U693" s="1671"/>
      <c r="V693" s="1671">
        <v>5</v>
      </c>
      <c r="W693" s="1671" t="s">
        <v>1710</v>
      </c>
      <c r="X693" s="1671" t="s">
        <v>1</v>
      </c>
      <c r="Y693" s="1674">
        <f t="shared" ref="Y693:Y694" si="226">+Z693/1000</f>
        <v>10000</v>
      </c>
      <c r="Z693" s="829">
        <f>+S693*V693</f>
        <v>10000000</v>
      </c>
      <c r="AA693" s="305"/>
      <c r="AB693" s="305"/>
      <c r="AC693" s="166"/>
    </row>
    <row r="694" spans="1:29" ht="23.1" customHeight="1">
      <c r="A694" s="348"/>
      <c r="B694" s="1126"/>
      <c r="C694" s="2278"/>
      <c r="D694" s="1154"/>
      <c r="E694" s="1126" t="s">
        <v>51</v>
      </c>
      <c r="F694" s="1311">
        <f>+Y694</f>
        <v>20000</v>
      </c>
      <c r="G694" s="1311">
        <v>20000</v>
      </c>
      <c r="H694" s="338"/>
      <c r="I694" s="473"/>
      <c r="J694" s="1670" t="s">
        <v>2012</v>
      </c>
      <c r="K694" s="1671"/>
      <c r="L694" s="1671"/>
      <c r="M694" s="1671"/>
      <c r="N694" s="1672"/>
      <c r="O694" s="1672"/>
      <c r="P694" s="1671"/>
      <c r="Q694" s="1673"/>
      <c r="R694" s="1671"/>
      <c r="S694" s="1671">
        <v>10000</v>
      </c>
      <c r="T694" s="1671" t="s">
        <v>0</v>
      </c>
      <c r="U694" s="1671"/>
      <c r="V694" s="1671">
        <v>2000</v>
      </c>
      <c r="W694" s="1671" t="s">
        <v>1744</v>
      </c>
      <c r="X694" s="1671" t="s">
        <v>1</v>
      </c>
      <c r="Y694" s="1674">
        <f t="shared" si="226"/>
        <v>20000</v>
      </c>
      <c r="Z694" s="829">
        <f t="shared" ref="Z694" si="227">+S694*V694</f>
        <v>20000000</v>
      </c>
      <c r="AA694" s="305"/>
      <c r="AB694" s="305"/>
      <c r="AC694" s="166"/>
    </row>
    <row r="695" spans="1:29" s="2534" customFormat="1" ht="23.1" customHeight="1">
      <c r="A695" s="396"/>
      <c r="B695" s="2540"/>
      <c r="C695" s="397"/>
      <c r="D695" s="3266" t="s">
        <v>3033</v>
      </c>
      <c r="E695" s="3267"/>
      <c r="F695" s="1683">
        <f>SUM(F696:F697)</f>
        <v>160000</v>
      </c>
      <c r="G695" s="1683">
        <f>SUM(G696:G697)</f>
        <v>160000</v>
      </c>
      <c r="H695" s="386">
        <f t="shared" ref="H695:H699" si="228">F695-G695</f>
        <v>0</v>
      </c>
      <c r="I695" s="409"/>
      <c r="J695" s="394"/>
      <c r="K695" s="2525"/>
      <c r="L695" s="2525"/>
      <c r="M695" s="2525"/>
      <c r="N695" s="2525"/>
      <c r="O695" s="2525"/>
      <c r="P695" s="2525"/>
      <c r="Q695" s="2525"/>
      <c r="R695" s="395"/>
      <c r="S695" s="2525"/>
      <c r="T695" s="2525"/>
      <c r="U695" s="2525"/>
      <c r="V695" s="2525"/>
      <c r="W695" s="2525"/>
      <c r="X695" s="430"/>
      <c r="Y695" s="439"/>
      <c r="Z695" s="2509">
        <f>SUM(Z696:Z698,Z703:Z707)</f>
        <v>160000000</v>
      </c>
      <c r="AA695" s="305"/>
      <c r="AB695" s="305"/>
      <c r="AC695" s="2557"/>
    </row>
    <row r="696" spans="1:29" s="2534" customFormat="1" ht="23.1" customHeight="1">
      <c r="A696" s="436"/>
      <c r="B696" s="437"/>
      <c r="C696" s="397"/>
      <c r="D696" s="367"/>
      <c r="E696" s="1134" t="s">
        <v>52</v>
      </c>
      <c r="F696" s="403">
        <f t="shared" ref="F696" si="229">Y696</f>
        <v>2000</v>
      </c>
      <c r="G696" s="1139">
        <v>2000</v>
      </c>
      <c r="H696" s="391"/>
      <c r="I696" s="409"/>
      <c r="J696" s="2538" t="s">
        <v>2970</v>
      </c>
      <c r="Q696" s="1673">
        <v>5</v>
      </c>
      <c r="R696" s="2539" t="s">
        <v>23</v>
      </c>
      <c r="S696" s="1673">
        <v>200000</v>
      </c>
      <c r="T696" s="1671" t="s">
        <v>0</v>
      </c>
      <c r="U696" s="2539"/>
      <c r="V696" s="1671">
        <v>2</v>
      </c>
      <c r="W696" s="2539" t="s">
        <v>299</v>
      </c>
      <c r="X696" s="1140" t="s">
        <v>1</v>
      </c>
      <c r="Y696" s="406">
        <f t="shared" ref="Y696" si="230">Z696/1000</f>
        <v>2000</v>
      </c>
      <c r="Z696" s="1098">
        <f>Q696*S696*V696</f>
        <v>2000000</v>
      </c>
      <c r="AA696" s="305"/>
      <c r="AB696" s="305"/>
      <c r="AC696" s="2557"/>
    </row>
    <row r="697" spans="1:29" s="2534" customFormat="1" ht="23.1" customHeight="1">
      <c r="A697" s="436"/>
      <c r="B697" s="437"/>
      <c r="C697" s="397"/>
      <c r="D697" s="1131"/>
      <c r="E697" s="389" t="s">
        <v>638</v>
      </c>
      <c r="F697" s="403">
        <f>Y697</f>
        <v>158000</v>
      </c>
      <c r="G697" s="1139">
        <v>158000</v>
      </c>
      <c r="H697" s="391"/>
      <c r="I697" s="409"/>
      <c r="J697" s="2538" t="s">
        <v>3035</v>
      </c>
      <c r="K697" s="1671"/>
      <c r="L697" s="1671"/>
      <c r="M697" s="1671"/>
      <c r="N697" s="1671"/>
      <c r="O697" s="1671"/>
      <c r="P697" s="1671"/>
      <c r="Q697" s="2539"/>
      <c r="R697" s="2539"/>
      <c r="S697" s="408">
        <v>158000000</v>
      </c>
      <c r="T697" s="2539" t="s">
        <v>0</v>
      </c>
      <c r="U697" s="2539"/>
      <c r="V697" s="2539">
        <v>1</v>
      </c>
      <c r="W697" s="2539" t="s">
        <v>6</v>
      </c>
      <c r="X697" s="1140" t="s">
        <v>1</v>
      </c>
      <c r="Y697" s="406">
        <f>Z697/1000</f>
        <v>158000</v>
      </c>
      <c r="Z697" s="1098">
        <f>S697*V697</f>
        <v>158000000</v>
      </c>
      <c r="AA697" s="305"/>
      <c r="AB697" s="305"/>
      <c r="AC697" s="2557"/>
    </row>
    <row r="698" spans="1:29" ht="23.1" customHeight="1">
      <c r="A698" s="348"/>
      <c r="B698" s="1126"/>
      <c r="C698" s="2276" t="s">
        <v>2013</v>
      </c>
      <c r="D698" s="2276"/>
      <c r="E698" s="2273"/>
      <c r="F698" s="1327">
        <f>+F699</f>
        <v>245000</v>
      </c>
      <c r="G698" s="1327">
        <f>+G699</f>
        <v>245000</v>
      </c>
      <c r="H698" s="1132">
        <f t="shared" si="228"/>
        <v>0</v>
      </c>
      <c r="I698" s="473"/>
      <c r="J698" s="1362"/>
      <c r="K698" s="1363"/>
      <c r="L698" s="1363"/>
      <c r="M698" s="1363"/>
      <c r="N698" s="1363"/>
      <c r="O698" s="1363"/>
      <c r="P698" s="1363"/>
      <c r="Q698" s="1364"/>
      <c r="R698" s="485"/>
      <c r="S698" s="1365"/>
      <c r="T698" s="462"/>
      <c r="U698" s="2276"/>
      <c r="V698" s="1364"/>
      <c r="W698" s="1364"/>
      <c r="X698" s="462"/>
      <c r="Y698" s="377"/>
      <c r="Z698" s="378"/>
      <c r="AA698" s="305"/>
      <c r="AB698" s="305"/>
      <c r="AC698" s="166"/>
    </row>
    <row r="699" spans="1:29" ht="23.1" customHeight="1">
      <c r="A699" s="348"/>
      <c r="B699" s="1126"/>
      <c r="C699" s="2278"/>
      <c r="D699" s="2577" t="s">
        <v>1122</v>
      </c>
      <c r="E699" s="2273"/>
      <c r="F699" s="1327">
        <f>SUM(F700:F702)</f>
        <v>245000</v>
      </c>
      <c r="G699" s="1327">
        <f>SUM(G700:G702)</f>
        <v>245000</v>
      </c>
      <c r="H699" s="1132">
        <f t="shared" si="228"/>
        <v>0</v>
      </c>
      <c r="I699" s="473"/>
      <c r="J699" s="1362"/>
      <c r="K699" s="1363"/>
      <c r="L699" s="1363"/>
      <c r="M699" s="1363"/>
      <c r="N699" s="1363"/>
      <c r="O699" s="1363"/>
      <c r="P699" s="1363"/>
      <c r="Q699" s="1364"/>
      <c r="R699" s="485"/>
      <c r="S699" s="1365"/>
      <c r="T699" s="462"/>
      <c r="U699" s="2276"/>
      <c r="V699" s="1364"/>
      <c r="W699" s="1364"/>
      <c r="X699" s="462"/>
      <c r="Y699" s="377">
        <f t="shared" ref="Y699:Y702" si="231">+Z699/1000</f>
        <v>150000</v>
      </c>
      <c r="Z699" s="1366">
        <f>+Z702</f>
        <v>150000000</v>
      </c>
      <c r="AA699" s="305"/>
      <c r="AB699" s="305"/>
      <c r="AC699" s="166"/>
    </row>
    <row r="700" spans="1:29" ht="23.1" customHeight="1">
      <c r="A700" s="348"/>
      <c r="B700" s="1126"/>
      <c r="C700" s="2357"/>
      <c r="D700" s="1154"/>
      <c r="E700" s="350" t="s">
        <v>638</v>
      </c>
      <c r="F700" s="2561">
        <f>+Y700</f>
        <v>245000</v>
      </c>
      <c r="G700" s="2561">
        <v>245000</v>
      </c>
      <c r="H700" s="352"/>
      <c r="I700" s="473"/>
      <c r="J700" s="1670" t="s">
        <v>289</v>
      </c>
      <c r="K700" s="1671"/>
      <c r="L700" s="1671"/>
      <c r="M700" s="1671"/>
      <c r="N700" s="1672"/>
      <c r="O700" s="1672"/>
      <c r="P700" s="1671"/>
      <c r="Q700" s="1673"/>
      <c r="R700" s="1671"/>
      <c r="S700" s="1671"/>
      <c r="T700" s="1671"/>
      <c r="U700" s="1671"/>
      <c r="V700" s="1671"/>
      <c r="W700" s="1671"/>
      <c r="X700" s="1671"/>
      <c r="Y700" s="1674">
        <f t="shared" ref="Y700" si="232">Z700/1000</f>
        <v>245000</v>
      </c>
      <c r="Z700" s="829">
        <f>+Z701+Z702</f>
        <v>245000000</v>
      </c>
      <c r="AA700" s="305"/>
      <c r="AB700" s="305"/>
      <c r="AC700" s="2557"/>
    </row>
    <row r="701" spans="1:29" ht="23.1" customHeight="1">
      <c r="A701" s="348"/>
      <c r="B701" s="1126"/>
      <c r="C701" s="2357"/>
      <c r="D701" s="1154"/>
      <c r="E701" s="1126"/>
      <c r="F701" s="1311"/>
      <c r="G701" s="1311"/>
      <c r="H701" s="338"/>
      <c r="I701" s="473"/>
      <c r="J701" s="1670" t="s">
        <v>3003</v>
      </c>
      <c r="K701" s="1671"/>
      <c r="L701" s="1671"/>
      <c r="M701" s="1671"/>
      <c r="N701" s="1672"/>
      <c r="O701" s="1672"/>
      <c r="P701" s="1671"/>
      <c r="Q701" s="1673"/>
      <c r="R701" s="1671"/>
      <c r="S701" s="1671">
        <v>95000000</v>
      </c>
      <c r="T701" s="1671" t="s">
        <v>0</v>
      </c>
      <c r="U701" s="1671"/>
      <c r="V701" s="1671">
        <v>1</v>
      </c>
      <c r="W701" s="1671" t="s">
        <v>1722</v>
      </c>
      <c r="X701" s="1671" t="s">
        <v>1</v>
      </c>
      <c r="Y701" s="1674">
        <f t="shared" ref="Y701" si="233">+Z701/1000</f>
        <v>95000</v>
      </c>
      <c r="Z701" s="829">
        <f t="shared" ref="Z701" si="234">+S701*V701</f>
        <v>95000000</v>
      </c>
      <c r="AA701" s="305"/>
      <c r="AB701" s="305"/>
      <c r="AC701" s="2557"/>
    </row>
    <row r="702" spans="1:29" ht="23.1" customHeight="1" thickBot="1">
      <c r="A702" s="379"/>
      <c r="B702" s="1133"/>
      <c r="C702" s="1170"/>
      <c r="D702" s="561"/>
      <c r="E702" s="1133"/>
      <c r="F702" s="2211"/>
      <c r="G702" s="2211"/>
      <c r="H702" s="2213"/>
      <c r="I702" s="473"/>
      <c r="J702" s="478" t="s">
        <v>3341</v>
      </c>
      <c r="K702" s="479"/>
      <c r="L702" s="479"/>
      <c r="M702" s="479"/>
      <c r="N702" s="480"/>
      <c r="O702" s="480"/>
      <c r="P702" s="479"/>
      <c r="Q702" s="481"/>
      <c r="R702" s="479"/>
      <c r="S702" s="479">
        <v>150000000</v>
      </c>
      <c r="T702" s="479" t="s">
        <v>0</v>
      </c>
      <c r="U702" s="479"/>
      <c r="V702" s="479">
        <v>1</v>
      </c>
      <c r="W702" s="479" t="s">
        <v>1722</v>
      </c>
      <c r="X702" s="479" t="s">
        <v>1</v>
      </c>
      <c r="Y702" s="381">
        <f t="shared" si="231"/>
        <v>150000</v>
      </c>
      <c r="Z702" s="829">
        <f t="shared" ref="Z702" si="235">+S702*V702</f>
        <v>150000000</v>
      </c>
      <c r="AA702" s="305"/>
      <c r="AB702" s="305"/>
      <c r="AC702" s="166"/>
    </row>
    <row r="703" spans="1:29" ht="23.1" customHeight="1">
      <c r="A703" s="2275"/>
      <c r="B703" s="2275"/>
      <c r="C703" s="2278"/>
      <c r="D703" s="2278"/>
      <c r="E703" s="1671"/>
      <c r="F703" s="1249"/>
      <c r="G703" s="1249"/>
      <c r="H703" s="1083"/>
      <c r="I703" s="2278"/>
      <c r="J703" s="1671"/>
      <c r="K703" s="1671"/>
      <c r="L703" s="1671"/>
      <c r="M703" s="1671"/>
      <c r="N703" s="1672"/>
      <c r="O703" s="1672"/>
      <c r="P703" s="1671"/>
      <c r="Q703" s="1673"/>
      <c r="R703" s="1671"/>
      <c r="S703" s="1672"/>
      <c r="T703" s="1671"/>
      <c r="U703" s="1671"/>
      <c r="V703" s="1671"/>
      <c r="W703" s="1671"/>
      <c r="X703" s="1671"/>
      <c r="Y703" s="1672"/>
      <c r="Z703" s="1671"/>
    </row>
    <row r="704" spans="1:29" ht="23.1" customHeight="1">
      <c r="A704" s="2275"/>
      <c r="B704" s="2275"/>
      <c r="C704" s="2278"/>
      <c r="D704" s="2278"/>
      <c r="E704" s="1671"/>
      <c r="F704" s="1249"/>
      <c r="G704" s="1249"/>
      <c r="H704" s="1083"/>
      <c r="I704" s="2278"/>
      <c r="J704" s="1671"/>
      <c r="K704" s="1671"/>
      <c r="L704" s="1671"/>
      <c r="M704" s="1671"/>
      <c r="N704" s="1672"/>
      <c r="O704" s="1672"/>
      <c r="P704" s="1671"/>
      <c r="Q704" s="1673"/>
      <c r="R704" s="1671"/>
      <c r="S704" s="1672"/>
      <c r="T704" s="1671"/>
      <c r="U704" s="1671"/>
      <c r="V704" s="1671"/>
      <c r="W704" s="1671"/>
      <c r="X704" s="1671"/>
      <c r="Y704" s="1672"/>
      <c r="Z704" s="1671"/>
    </row>
    <row r="705" spans="1:256" s="153" customFormat="1" ht="23.1" customHeight="1">
      <c r="A705" s="2275"/>
      <c r="B705" s="2275"/>
      <c r="C705" s="2278"/>
      <c r="D705" s="2278"/>
      <c r="E705" s="1671"/>
      <c r="F705" s="1249"/>
      <c r="G705" s="1249"/>
      <c r="H705" s="1083"/>
      <c r="I705" s="2278"/>
      <c r="J705" s="1671"/>
      <c r="K705" s="1671"/>
      <c r="L705" s="1671"/>
      <c r="M705" s="1671"/>
      <c r="N705" s="1672"/>
      <c r="O705" s="1672"/>
      <c r="P705" s="1671"/>
      <c r="Q705" s="1673"/>
      <c r="R705" s="1671"/>
      <c r="S705" s="1672"/>
      <c r="T705" s="1671"/>
      <c r="U705" s="1671"/>
      <c r="V705" s="1671"/>
      <c r="W705" s="1671"/>
      <c r="X705" s="1671"/>
      <c r="Y705" s="1672"/>
      <c r="Z705" s="1671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  <c r="BA705" s="162"/>
      <c r="BB705" s="162"/>
      <c r="BC705" s="162"/>
      <c r="BD705" s="162"/>
      <c r="BE705" s="162"/>
      <c r="BF705" s="162"/>
      <c r="BG705" s="162"/>
      <c r="BH705" s="162"/>
      <c r="BI705" s="162"/>
      <c r="BJ705" s="162"/>
      <c r="BK705" s="162"/>
      <c r="BL705" s="162"/>
      <c r="BM705" s="162"/>
      <c r="BN705" s="162"/>
      <c r="BO705" s="162"/>
      <c r="BP705" s="162"/>
      <c r="BQ705" s="162"/>
      <c r="BR705" s="162"/>
      <c r="BS705" s="162"/>
      <c r="BT705" s="162"/>
      <c r="BU705" s="162"/>
      <c r="BV705" s="162"/>
      <c r="BW705" s="162"/>
      <c r="BX705" s="162"/>
      <c r="BY705" s="162"/>
      <c r="BZ705" s="162"/>
      <c r="CA705" s="162"/>
      <c r="CB705" s="162"/>
      <c r="CC705" s="162"/>
      <c r="CD705" s="162"/>
      <c r="CE705" s="162"/>
      <c r="CF705" s="162"/>
      <c r="CG705" s="162"/>
      <c r="CH705" s="162"/>
      <c r="CI705" s="162"/>
      <c r="CJ705" s="162"/>
      <c r="CK705" s="162"/>
      <c r="CL705" s="162"/>
      <c r="CM705" s="162"/>
      <c r="CN705" s="162"/>
      <c r="CO705" s="162"/>
      <c r="CP705" s="162"/>
      <c r="CQ705" s="162"/>
      <c r="CR705" s="162"/>
      <c r="CS705" s="162"/>
      <c r="CT705" s="162"/>
      <c r="CU705" s="162"/>
      <c r="CV705" s="162"/>
      <c r="CW705" s="162"/>
      <c r="CX705" s="162"/>
      <c r="CY705" s="162"/>
      <c r="CZ705" s="162"/>
      <c r="DA705" s="162"/>
      <c r="DB705" s="162"/>
      <c r="DC705" s="162"/>
      <c r="DD705" s="162"/>
      <c r="DE705" s="162"/>
      <c r="DF705" s="162"/>
      <c r="DG705" s="162"/>
      <c r="DH705" s="162"/>
      <c r="DI705" s="162"/>
      <c r="DJ705" s="162"/>
      <c r="DK705" s="162"/>
      <c r="DL705" s="162"/>
      <c r="DM705" s="162"/>
      <c r="DN705" s="162"/>
      <c r="DO705" s="162"/>
      <c r="DP705" s="162"/>
      <c r="DQ705" s="162"/>
      <c r="DR705" s="162"/>
      <c r="DS705" s="162"/>
      <c r="DT705" s="162"/>
      <c r="DU705" s="162"/>
      <c r="DV705" s="162"/>
      <c r="DW705" s="162"/>
      <c r="DX705" s="162"/>
      <c r="DY705" s="162"/>
      <c r="DZ705" s="162"/>
      <c r="EA705" s="162"/>
      <c r="EB705" s="162"/>
      <c r="EC705" s="162"/>
      <c r="ED705" s="162"/>
      <c r="EE705" s="162"/>
      <c r="EF705" s="162"/>
      <c r="EG705" s="162"/>
      <c r="EH705" s="162"/>
      <c r="EI705" s="162"/>
      <c r="EJ705" s="162"/>
      <c r="EK705" s="162"/>
      <c r="EL705" s="162"/>
      <c r="EM705" s="162"/>
      <c r="EN705" s="162"/>
      <c r="EO705" s="162"/>
      <c r="EP705" s="162"/>
      <c r="EQ705" s="162"/>
      <c r="ER705" s="162"/>
      <c r="ES705" s="162"/>
      <c r="ET705" s="162"/>
      <c r="EU705" s="162"/>
      <c r="EV705" s="162"/>
      <c r="EW705" s="162"/>
      <c r="EX705" s="162"/>
      <c r="EY705" s="162"/>
      <c r="EZ705" s="162"/>
      <c r="FA705" s="162"/>
      <c r="FB705" s="162"/>
      <c r="FC705" s="162"/>
      <c r="FD705" s="162"/>
      <c r="FE705" s="162"/>
      <c r="FF705" s="162"/>
      <c r="FG705" s="162"/>
      <c r="FH705" s="162"/>
      <c r="FI705" s="162"/>
      <c r="FJ705" s="162"/>
      <c r="FK705" s="162"/>
      <c r="FL705" s="162"/>
      <c r="FM705" s="162"/>
      <c r="FN705" s="162"/>
      <c r="FO705" s="162"/>
      <c r="FP705" s="162"/>
      <c r="FQ705" s="162"/>
      <c r="FR705" s="162"/>
      <c r="FS705" s="162"/>
      <c r="FT705" s="162"/>
      <c r="FU705" s="162"/>
      <c r="FV705" s="162"/>
      <c r="FW705" s="162"/>
      <c r="FX705" s="162"/>
      <c r="FY705" s="162"/>
      <c r="FZ705" s="162"/>
      <c r="GA705" s="162"/>
      <c r="GB705" s="162"/>
      <c r="GC705" s="162"/>
      <c r="GD705" s="162"/>
      <c r="GE705" s="162"/>
      <c r="GF705" s="162"/>
      <c r="GG705" s="162"/>
      <c r="GH705" s="162"/>
      <c r="GI705" s="162"/>
      <c r="GJ705" s="162"/>
      <c r="GK705" s="162"/>
      <c r="GL705" s="162"/>
      <c r="GM705" s="162"/>
      <c r="GN705" s="162"/>
      <c r="GO705" s="162"/>
      <c r="GP705" s="162"/>
      <c r="GQ705" s="162"/>
      <c r="GR705" s="162"/>
      <c r="GS705" s="162"/>
      <c r="GT705" s="162"/>
      <c r="GU705" s="162"/>
      <c r="GV705" s="162"/>
      <c r="GW705" s="162"/>
      <c r="GX705" s="162"/>
      <c r="GY705" s="162"/>
      <c r="GZ705" s="162"/>
      <c r="HA705" s="162"/>
      <c r="HB705" s="162"/>
      <c r="HC705" s="162"/>
      <c r="HD705" s="162"/>
      <c r="HE705" s="162"/>
      <c r="HF705" s="162"/>
      <c r="HG705" s="162"/>
      <c r="HH705" s="162"/>
      <c r="HI705" s="162"/>
      <c r="HJ705" s="162"/>
      <c r="HK705" s="162"/>
      <c r="HL705" s="162"/>
      <c r="HM705" s="162"/>
      <c r="HN705" s="162"/>
      <c r="HO705" s="162"/>
      <c r="HP705" s="162"/>
      <c r="HQ705" s="162"/>
      <c r="HR705" s="162"/>
      <c r="HS705" s="162"/>
      <c r="HT705" s="162"/>
      <c r="HU705" s="162"/>
      <c r="HV705" s="162"/>
      <c r="HW705" s="162"/>
      <c r="HX705" s="162"/>
      <c r="HY705" s="162"/>
      <c r="HZ705" s="162"/>
      <c r="IA705" s="162"/>
      <c r="IB705" s="162"/>
      <c r="IC705" s="162"/>
      <c r="ID705" s="162"/>
      <c r="IE705" s="162"/>
      <c r="IF705" s="162"/>
      <c r="IG705" s="162"/>
      <c r="IH705" s="162"/>
      <c r="II705" s="162"/>
      <c r="IJ705" s="162"/>
      <c r="IK705" s="162"/>
      <c r="IL705" s="162"/>
      <c r="IM705" s="162"/>
      <c r="IN705" s="162"/>
      <c r="IO705" s="162"/>
      <c r="IP705" s="162"/>
      <c r="IQ705" s="162"/>
      <c r="IR705" s="162"/>
      <c r="IS705" s="162"/>
      <c r="IT705" s="162"/>
      <c r="IU705" s="162"/>
      <c r="IV705" s="162"/>
    </row>
    <row r="706" spans="1:256" s="153" customFormat="1" ht="23.1" customHeight="1">
      <c r="A706" s="2275"/>
      <c r="B706" s="2275"/>
      <c r="C706" s="2278"/>
      <c r="D706" s="2278"/>
      <c r="E706" s="1671"/>
      <c r="F706" s="1249"/>
      <c r="G706" s="1249"/>
      <c r="H706" s="1083"/>
      <c r="I706" s="2278"/>
      <c r="J706" s="1671"/>
      <c r="K706" s="1671"/>
      <c r="L706" s="1671"/>
      <c r="M706" s="1671"/>
      <c r="N706" s="1672"/>
      <c r="O706" s="1672"/>
      <c r="P706" s="1671"/>
      <c r="Q706" s="1673"/>
      <c r="R706" s="1671"/>
      <c r="S706" s="1672"/>
      <c r="T706" s="1671"/>
      <c r="U706" s="1671"/>
      <c r="V706" s="1671"/>
      <c r="W706" s="1671"/>
      <c r="X706" s="1671"/>
      <c r="Y706" s="1672"/>
      <c r="Z706" s="1671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  <c r="BA706" s="162"/>
      <c r="BB706" s="162"/>
      <c r="BC706" s="162"/>
      <c r="BD706" s="162"/>
      <c r="BE706" s="162"/>
      <c r="BF706" s="162"/>
      <c r="BG706" s="162"/>
      <c r="BH706" s="162"/>
      <c r="BI706" s="162"/>
      <c r="BJ706" s="162"/>
      <c r="BK706" s="162"/>
      <c r="BL706" s="162"/>
      <c r="BM706" s="162"/>
      <c r="BN706" s="162"/>
      <c r="BO706" s="162"/>
      <c r="BP706" s="162"/>
      <c r="BQ706" s="162"/>
      <c r="BR706" s="162"/>
      <c r="BS706" s="162"/>
      <c r="BT706" s="162"/>
      <c r="BU706" s="162"/>
      <c r="BV706" s="162"/>
      <c r="BW706" s="162"/>
      <c r="BX706" s="162"/>
      <c r="BY706" s="162"/>
      <c r="BZ706" s="162"/>
      <c r="CA706" s="162"/>
      <c r="CB706" s="162"/>
      <c r="CC706" s="162"/>
      <c r="CD706" s="162"/>
      <c r="CE706" s="162"/>
      <c r="CF706" s="162"/>
      <c r="CG706" s="162"/>
      <c r="CH706" s="162"/>
      <c r="CI706" s="162"/>
      <c r="CJ706" s="162"/>
      <c r="CK706" s="162"/>
      <c r="CL706" s="162"/>
      <c r="CM706" s="162"/>
      <c r="CN706" s="162"/>
      <c r="CO706" s="162"/>
      <c r="CP706" s="162"/>
      <c r="CQ706" s="162"/>
      <c r="CR706" s="162"/>
      <c r="CS706" s="162"/>
      <c r="CT706" s="162"/>
      <c r="CU706" s="162"/>
      <c r="CV706" s="162"/>
      <c r="CW706" s="162"/>
      <c r="CX706" s="162"/>
      <c r="CY706" s="162"/>
      <c r="CZ706" s="162"/>
      <c r="DA706" s="162"/>
      <c r="DB706" s="162"/>
      <c r="DC706" s="162"/>
      <c r="DD706" s="162"/>
      <c r="DE706" s="162"/>
      <c r="DF706" s="162"/>
      <c r="DG706" s="162"/>
      <c r="DH706" s="162"/>
      <c r="DI706" s="162"/>
      <c r="DJ706" s="162"/>
      <c r="DK706" s="162"/>
      <c r="DL706" s="162"/>
      <c r="DM706" s="162"/>
      <c r="DN706" s="162"/>
      <c r="DO706" s="162"/>
      <c r="DP706" s="162"/>
      <c r="DQ706" s="162"/>
      <c r="DR706" s="162"/>
      <c r="DS706" s="162"/>
      <c r="DT706" s="162"/>
      <c r="DU706" s="162"/>
      <c r="DV706" s="162"/>
      <c r="DW706" s="162"/>
      <c r="DX706" s="162"/>
      <c r="DY706" s="162"/>
      <c r="DZ706" s="162"/>
      <c r="EA706" s="162"/>
      <c r="EB706" s="162"/>
      <c r="EC706" s="162"/>
      <c r="ED706" s="162"/>
      <c r="EE706" s="162"/>
      <c r="EF706" s="162"/>
      <c r="EG706" s="162"/>
      <c r="EH706" s="162"/>
      <c r="EI706" s="162"/>
      <c r="EJ706" s="162"/>
      <c r="EK706" s="162"/>
      <c r="EL706" s="162"/>
      <c r="EM706" s="162"/>
      <c r="EN706" s="162"/>
      <c r="EO706" s="162"/>
      <c r="EP706" s="162"/>
      <c r="EQ706" s="162"/>
      <c r="ER706" s="162"/>
      <c r="ES706" s="162"/>
      <c r="ET706" s="162"/>
      <c r="EU706" s="162"/>
      <c r="EV706" s="162"/>
      <c r="EW706" s="162"/>
      <c r="EX706" s="162"/>
      <c r="EY706" s="162"/>
      <c r="EZ706" s="162"/>
      <c r="FA706" s="162"/>
      <c r="FB706" s="162"/>
      <c r="FC706" s="162"/>
      <c r="FD706" s="162"/>
      <c r="FE706" s="162"/>
      <c r="FF706" s="162"/>
      <c r="FG706" s="162"/>
      <c r="FH706" s="162"/>
      <c r="FI706" s="162"/>
      <c r="FJ706" s="162"/>
      <c r="FK706" s="162"/>
      <c r="FL706" s="162"/>
      <c r="FM706" s="162"/>
      <c r="FN706" s="162"/>
      <c r="FO706" s="162"/>
      <c r="FP706" s="162"/>
      <c r="FQ706" s="162"/>
      <c r="FR706" s="162"/>
      <c r="FS706" s="162"/>
      <c r="FT706" s="162"/>
      <c r="FU706" s="162"/>
      <c r="FV706" s="162"/>
      <c r="FW706" s="162"/>
      <c r="FX706" s="162"/>
      <c r="FY706" s="162"/>
      <c r="FZ706" s="162"/>
      <c r="GA706" s="162"/>
      <c r="GB706" s="162"/>
      <c r="GC706" s="162"/>
      <c r="GD706" s="162"/>
      <c r="GE706" s="162"/>
      <c r="GF706" s="162"/>
      <c r="GG706" s="162"/>
      <c r="GH706" s="162"/>
      <c r="GI706" s="162"/>
      <c r="GJ706" s="162"/>
      <c r="GK706" s="162"/>
      <c r="GL706" s="162"/>
      <c r="GM706" s="162"/>
      <c r="GN706" s="162"/>
      <c r="GO706" s="162"/>
      <c r="GP706" s="162"/>
      <c r="GQ706" s="162"/>
      <c r="GR706" s="162"/>
      <c r="GS706" s="162"/>
      <c r="GT706" s="162"/>
      <c r="GU706" s="162"/>
      <c r="GV706" s="162"/>
      <c r="GW706" s="162"/>
      <c r="GX706" s="162"/>
      <c r="GY706" s="162"/>
      <c r="GZ706" s="162"/>
      <c r="HA706" s="162"/>
      <c r="HB706" s="162"/>
      <c r="HC706" s="162"/>
      <c r="HD706" s="162"/>
      <c r="HE706" s="162"/>
      <c r="HF706" s="162"/>
      <c r="HG706" s="162"/>
      <c r="HH706" s="162"/>
      <c r="HI706" s="162"/>
      <c r="HJ706" s="162"/>
      <c r="HK706" s="162"/>
      <c r="HL706" s="162"/>
      <c r="HM706" s="162"/>
      <c r="HN706" s="162"/>
      <c r="HO706" s="162"/>
      <c r="HP706" s="162"/>
      <c r="HQ706" s="162"/>
      <c r="HR706" s="162"/>
      <c r="HS706" s="162"/>
      <c r="HT706" s="162"/>
      <c r="HU706" s="162"/>
      <c r="HV706" s="162"/>
      <c r="HW706" s="162"/>
      <c r="HX706" s="162"/>
      <c r="HY706" s="162"/>
      <c r="HZ706" s="162"/>
      <c r="IA706" s="162"/>
      <c r="IB706" s="162"/>
      <c r="IC706" s="162"/>
      <c r="ID706" s="162"/>
      <c r="IE706" s="162"/>
      <c r="IF706" s="162"/>
      <c r="IG706" s="162"/>
      <c r="IH706" s="162"/>
      <c r="II706" s="162"/>
      <c r="IJ706" s="162"/>
      <c r="IK706" s="162"/>
      <c r="IL706" s="162"/>
      <c r="IM706" s="162"/>
      <c r="IN706" s="162"/>
      <c r="IO706" s="162"/>
      <c r="IP706" s="162"/>
      <c r="IQ706" s="162"/>
      <c r="IR706" s="162"/>
      <c r="IS706" s="162"/>
      <c r="IT706" s="162"/>
      <c r="IU706" s="162"/>
      <c r="IV706" s="162"/>
    </row>
    <row r="707" spans="1:256" s="153" customFormat="1" ht="23.1" customHeight="1">
      <c r="A707" s="2275"/>
      <c r="B707" s="2275"/>
      <c r="C707" s="2278"/>
      <c r="D707" s="2278"/>
      <c r="E707" s="1671"/>
      <c r="F707" s="1249"/>
      <c r="G707" s="1249"/>
      <c r="H707" s="1083"/>
      <c r="I707" s="2278"/>
      <c r="J707" s="1671"/>
      <c r="K707" s="1671"/>
      <c r="L707" s="1671"/>
      <c r="M707" s="1671"/>
      <c r="N707" s="1672"/>
      <c r="O707" s="1672"/>
      <c r="P707" s="1671"/>
      <c r="Q707" s="1673"/>
      <c r="R707" s="1671"/>
      <c r="S707" s="1672"/>
      <c r="T707" s="1671"/>
      <c r="U707" s="1671"/>
      <c r="V707" s="1671"/>
      <c r="W707" s="1671"/>
      <c r="X707" s="1671"/>
      <c r="Y707" s="1672"/>
      <c r="Z707" s="1671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  <c r="BA707" s="162"/>
      <c r="BB707" s="162"/>
      <c r="BC707" s="162"/>
      <c r="BD707" s="162"/>
      <c r="BE707" s="162"/>
      <c r="BF707" s="162"/>
      <c r="BG707" s="162"/>
      <c r="BH707" s="162"/>
      <c r="BI707" s="162"/>
      <c r="BJ707" s="162"/>
      <c r="BK707" s="162"/>
      <c r="BL707" s="162"/>
      <c r="BM707" s="162"/>
      <c r="BN707" s="162"/>
      <c r="BO707" s="162"/>
      <c r="BP707" s="162"/>
      <c r="BQ707" s="162"/>
      <c r="BR707" s="162"/>
      <c r="BS707" s="162"/>
      <c r="BT707" s="162"/>
      <c r="BU707" s="162"/>
      <c r="BV707" s="162"/>
      <c r="BW707" s="162"/>
      <c r="BX707" s="162"/>
      <c r="BY707" s="162"/>
      <c r="BZ707" s="162"/>
      <c r="CA707" s="162"/>
      <c r="CB707" s="162"/>
      <c r="CC707" s="162"/>
      <c r="CD707" s="162"/>
      <c r="CE707" s="162"/>
      <c r="CF707" s="162"/>
      <c r="CG707" s="162"/>
      <c r="CH707" s="162"/>
      <c r="CI707" s="162"/>
      <c r="CJ707" s="162"/>
      <c r="CK707" s="162"/>
      <c r="CL707" s="162"/>
      <c r="CM707" s="162"/>
      <c r="CN707" s="162"/>
      <c r="CO707" s="162"/>
      <c r="CP707" s="162"/>
      <c r="CQ707" s="162"/>
      <c r="CR707" s="162"/>
      <c r="CS707" s="162"/>
      <c r="CT707" s="162"/>
      <c r="CU707" s="162"/>
      <c r="CV707" s="162"/>
      <c r="CW707" s="162"/>
      <c r="CX707" s="162"/>
      <c r="CY707" s="162"/>
      <c r="CZ707" s="162"/>
      <c r="DA707" s="162"/>
      <c r="DB707" s="162"/>
      <c r="DC707" s="162"/>
      <c r="DD707" s="162"/>
      <c r="DE707" s="162"/>
      <c r="DF707" s="162"/>
      <c r="DG707" s="162"/>
      <c r="DH707" s="162"/>
      <c r="DI707" s="162"/>
      <c r="DJ707" s="162"/>
      <c r="DK707" s="162"/>
      <c r="DL707" s="162"/>
      <c r="DM707" s="162"/>
      <c r="DN707" s="162"/>
      <c r="DO707" s="162"/>
      <c r="DP707" s="162"/>
      <c r="DQ707" s="162"/>
      <c r="DR707" s="162"/>
      <c r="DS707" s="162"/>
      <c r="DT707" s="162"/>
      <c r="DU707" s="162"/>
      <c r="DV707" s="162"/>
      <c r="DW707" s="162"/>
      <c r="DX707" s="162"/>
      <c r="DY707" s="162"/>
      <c r="DZ707" s="162"/>
      <c r="EA707" s="162"/>
      <c r="EB707" s="162"/>
      <c r="EC707" s="162"/>
      <c r="ED707" s="162"/>
      <c r="EE707" s="162"/>
      <c r="EF707" s="162"/>
      <c r="EG707" s="162"/>
      <c r="EH707" s="162"/>
      <c r="EI707" s="162"/>
      <c r="EJ707" s="162"/>
      <c r="EK707" s="162"/>
      <c r="EL707" s="162"/>
      <c r="EM707" s="162"/>
      <c r="EN707" s="162"/>
      <c r="EO707" s="162"/>
      <c r="EP707" s="162"/>
      <c r="EQ707" s="162"/>
      <c r="ER707" s="162"/>
      <c r="ES707" s="162"/>
      <c r="ET707" s="162"/>
      <c r="EU707" s="162"/>
      <c r="EV707" s="162"/>
      <c r="EW707" s="162"/>
      <c r="EX707" s="162"/>
      <c r="EY707" s="162"/>
      <c r="EZ707" s="162"/>
      <c r="FA707" s="162"/>
      <c r="FB707" s="162"/>
      <c r="FC707" s="162"/>
      <c r="FD707" s="162"/>
      <c r="FE707" s="162"/>
      <c r="FF707" s="162"/>
      <c r="FG707" s="162"/>
      <c r="FH707" s="162"/>
      <c r="FI707" s="162"/>
      <c r="FJ707" s="162"/>
      <c r="FK707" s="162"/>
      <c r="FL707" s="162"/>
      <c r="FM707" s="162"/>
      <c r="FN707" s="162"/>
      <c r="FO707" s="162"/>
      <c r="FP707" s="162"/>
      <c r="FQ707" s="162"/>
      <c r="FR707" s="162"/>
      <c r="FS707" s="162"/>
      <c r="FT707" s="162"/>
      <c r="FU707" s="162"/>
      <c r="FV707" s="162"/>
      <c r="FW707" s="162"/>
      <c r="FX707" s="162"/>
      <c r="FY707" s="162"/>
      <c r="FZ707" s="162"/>
      <c r="GA707" s="162"/>
      <c r="GB707" s="162"/>
      <c r="GC707" s="162"/>
      <c r="GD707" s="162"/>
      <c r="GE707" s="162"/>
      <c r="GF707" s="162"/>
      <c r="GG707" s="162"/>
      <c r="GH707" s="162"/>
      <c r="GI707" s="162"/>
      <c r="GJ707" s="162"/>
      <c r="GK707" s="162"/>
      <c r="GL707" s="162"/>
      <c r="GM707" s="162"/>
      <c r="GN707" s="162"/>
      <c r="GO707" s="162"/>
      <c r="GP707" s="162"/>
      <c r="GQ707" s="162"/>
      <c r="GR707" s="162"/>
      <c r="GS707" s="162"/>
      <c r="GT707" s="162"/>
      <c r="GU707" s="162"/>
      <c r="GV707" s="162"/>
      <c r="GW707" s="162"/>
      <c r="GX707" s="162"/>
      <c r="GY707" s="162"/>
      <c r="GZ707" s="162"/>
      <c r="HA707" s="162"/>
      <c r="HB707" s="162"/>
      <c r="HC707" s="162"/>
      <c r="HD707" s="162"/>
      <c r="HE707" s="162"/>
      <c r="HF707" s="162"/>
      <c r="HG707" s="162"/>
      <c r="HH707" s="162"/>
      <c r="HI707" s="162"/>
      <c r="HJ707" s="162"/>
      <c r="HK707" s="162"/>
      <c r="HL707" s="162"/>
      <c r="HM707" s="162"/>
      <c r="HN707" s="162"/>
      <c r="HO707" s="162"/>
      <c r="HP707" s="162"/>
      <c r="HQ707" s="162"/>
      <c r="HR707" s="162"/>
      <c r="HS707" s="162"/>
      <c r="HT707" s="162"/>
      <c r="HU707" s="162"/>
      <c r="HV707" s="162"/>
      <c r="HW707" s="162"/>
      <c r="HX707" s="162"/>
      <c r="HY707" s="162"/>
      <c r="HZ707" s="162"/>
      <c r="IA707" s="162"/>
      <c r="IB707" s="162"/>
      <c r="IC707" s="162"/>
      <c r="ID707" s="162"/>
      <c r="IE707" s="162"/>
      <c r="IF707" s="162"/>
      <c r="IG707" s="162"/>
      <c r="IH707" s="162"/>
      <c r="II707" s="162"/>
      <c r="IJ707" s="162"/>
      <c r="IK707" s="162"/>
      <c r="IL707" s="162"/>
      <c r="IM707" s="162"/>
      <c r="IN707" s="162"/>
      <c r="IO707" s="162"/>
      <c r="IP707" s="162"/>
      <c r="IQ707" s="162"/>
      <c r="IR707" s="162"/>
      <c r="IS707" s="162"/>
      <c r="IT707" s="162"/>
      <c r="IU707" s="162"/>
      <c r="IV707" s="162"/>
    </row>
    <row r="708" spans="1:256" s="153" customFormat="1" ht="23.1" customHeight="1">
      <c r="A708" s="2275"/>
      <c r="B708" s="2275"/>
      <c r="C708" s="2278"/>
      <c r="D708" s="2278"/>
      <c r="E708" s="1671"/>
      <c r="F708" s="1249"/>
      <c r="G708" s="1249"/>
      <c r="H708" s="1083"/>
      <c r="I708" s="2278"/>
      <c r="J708" s="1671"/>
      <c r="K708" s="1671"/>
      <c r="L708" s="1671"/>
      <c r="M708" s="1671"/>
      <c r="N708" s="1672"/>
      <c r="O708" s="1672"/>
      <c r="P708" s="1671"/>
      <c r="Q708" s="1673"/>
      <c r="R708" s="1671"/>
      <c r="S708" s="1672"/>
      <c r="T708" s="1671"/>
      <c r="U708" s="1671"/>
      <c r="V708" s="1671"/>
      <c r="W708" s="1671"/>
      <c r="X708" s="1671"/>
      <c r="Y708" s="1672"/>
      <c r="Z708" s="1671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  <c r="BA708" s="162"/>
      <c r="BB708" s="162"/>
      <c r="BC708" s="162"/>
      <c r="BD708" s="162"/>
      <c r="BE708" s="162"/>
      <c r="BF708" s="162"/>
      <c r="BG708" s="162"/>
      <c r="BH708" s="162"/>
      <c r="BI708" s="162"/>
      <c r="BJ708" s="162"/>
      <c r="BK708" s="162"/>
      <c r="BL708" s="162"/>
      <c r="BM708" s="162"/>
      <c r="BN708" s="162"/>
      <c r="BO708" s="162"/>
      <c r="BP708" s="162"/>
      <c r="BQ708" s="162"/>
      <c r="BR708" s="162"/>
      <c r="BS708" s="162"/>
      <c r="BT708" s="162"/>
      <c r="BU708" s="162"/>
      <c r="BV708" s="162"/>
      <c r="BW708" s="162"/>
      <c r="BX708" s="162"/>
      <c r="BY708" s="162"/>
      <c r="BZ708" s="162"/>
      <c r="CA708" s="162"/>
      <c r="CB708" s="162"/>
      <c r="CC708" s="162"/>
      <c r="CD708" s="162"/>
      <c r="CE708" s="162"/>
      <c r="CF708" s="162"/>
      <c r="CG708" s="162"/>
      <c r="CH708" s="162"/>
      <c r="CI708" s="162"/>
      <c r="CJ708" s="162"/>
      <c r="CK708" s="162"/>
      <c r="CL708" s="162"/>
      <c r="CM708" s="162"/>
      <c r="CN708" s="162"/>
      <c r="CO708" s="162"/>
      <c r="CP708" s="162"/>
      <c r="CQ708" s="162"/>
      <c r="CR708" s="162"/>
      <c r="CS708" s="162"/>
      <c r="CT708" s="162"/>
      <c r="CU708" s="162"/>
      <c r="CV708" s="162"/>
      <c r="CW708" s="162"/>
      <c r="CX708" s="162"/>
      <c r="CY708" s="162"/>
      <c r="CZ708" s="162"/>
      <c r="DA708" s="162"/>
      <c r="DB708" s="162"/>
      <c r="DC708" s="162"/>
      <c r="DD708" s="162"/>
      <c r="DE708" s="162"/>
      <c r="DF708" s="162"/>
      <c r="DG708" s="162"/>
      <c r="DH708" s="162"/>
      <c r="DI708" s="162"/>
      <c r="DJ708" s="162"/>
      <c r="DK708" s="162"/>
      <c r="DL708" s="162"/>
      <c r="DM708" s="162"/>
      <c r="DN708" s="162"/>
      <c r="DO708" s="162"/>
      <c r="DP708" s="162"/>
      <c r="DQ708" s="162"/>
      <c r="DR708" s="162"/>
      <c r="DS708" s="162"/>
      <c r="DT708" s="162"/>
      <c r="DU708" s="162"/>
      <c r="DV708" s="162"/>
      <c r="DW708" s="162"/>
      <c r="DX708" s="162"/>
      <c r="DY708" s="162"/>
      <c r="DZ708" s="162"/>
      <c r="EA708" s="162"/>
      <c r="EB708" s="162"/>
      <c r="EC708" s="162"/>
      <c r="ED708" s="162"/>
      <c r="EE708" s="162"/>
      <c r="EF708" s="162"/>
      <c r="EG708" s="162"/>
      <c r="EH708" s="162"/>
      <c r="EI708" s="162"/>
      <c r="EJ708" s="162"/>
      <c r="EK708" s="162"/>
      <c r="EL708" s="162"/>
      <c r="EM708" s="162"/>
      <c r="EN708" s="162"/>
      <c r="EO708" s="162"/>
      <c r="EP708" s="162"/>
      <c r="EQ708" s="162"/>
      <c r="ER708" s="162"/>
      <c r="ES708" s="162"/>
      <c r="ET708" s="162"/>
      <c r="EU708" s="162"/>
      <c r="EV708" s="162"/>
      <c r="EW708" s="162"/>
      <c r="EX708" s="162"/>
      <c r="EY708" s="162"/>
      <c r="EZ708" s="162"/>
      <c r="FA708" s="162"/>
      <c r="FB708" s="162"/>
      <c r="FC708" s="162"/>
      <c r="FD708" s="162"/>
      <c r="FE708" s="162"/>
      <c r="FF708" s="162"/>
      <c r="FG708" s="162"/>
      <c r="FH708" s="162"/>
      <c r="FI708" s="162"/>
      <c r="FJ708" s="162"/>
      <c r="FK708" s="162"/>
      <c r="FL708" s="162"/>
      <c r="FM708" s="162"/>
      <c r="FN708" s="162"/>
      <c r="FO708" s="162"/>
      <c r="FP708" s="162"/>
      <c r="FQ708" s="162"/>
      <c r="FR708" s="162"/>
      <c r="FS708" s="162"/>
      <c r="FT708" s="162"/>
      <c r="FU708" s="162"/>
      <c r="FV708" s="162"/>
      <c r="FW708" s="162"/>
      <c r="FX708" s="162"/>
      <c r="FY708" s="162"/>
      <c r="FZ708" s="162"/>
      <c r="GA708" s="162"/>
      <c r="GB708" s="162"/>
      <c r="GC708" s="162"/>
      <c r="GD708" s="162"/>
      <c r="GE708" s="162"/>
      <c r="GF708" s="162"/>
      <c r="GG708" s="162"/>
      <c r="GH708" s="162"/>
      <c r="GI708" s="162"/>
      <c r="GJ708" s="162"/>
      <c r="GK708" s="162"/>
      <c r="GL708" s="162"/>
      <c r="GM708" s="162"/>
      <c r="GN708" s="162"/>
      <c r="GO708" s="162"/>
      <c r="GP708" s="162"/>
      <c r="GQ708" s="162"/>
      <c r="GR708" s="162"/>
      <c r="GS708" s="162"/>
      <c r="GT708" s="162"/>
      <c r="GU708" s="162"/>
      <c r="GV708" s="162"/>
      <c r="GW708" s="162"/>
      <c r="GX708" s="162"/>
      <c r="GY708" s="162"/>
      <c r="GZ708" s="162"/>
      <c r="HA708" s="162"/>
      <c r="HB708" s="162"/>
      <c r="HC708" s="162"/>
      <c r="HD708" s="162"/>
      <c r="HE708" s="162"/>
      <c r="HF708" s="162"/>
      <c r="HG708" s="162"/>
      <c r="HH708" s="162"/>
      <c r="HI708" s="162"/>
      <c r="HJ708" s="162"/>
      <c r="HK708" s="162"/>
      <c r="HL708" s="162"/>
      <c r="HM708" s="162"/>
      <c r="HN708" s="162"/>
      <c r="HO708" s="162"/>
      <c r="HP708" s="162"/>
      <c r="HQ708" s="162"/>
      <c r="HR708" s="162"/>
      <c r="HS708" s="162"/>
      <c r="HT708" s="162"/>
      <c r="HU708" s="162"/>
      <c r="HV708" s="162"/>
      <c r="HW708" s="162"/>
      <c r="HX708" s="162"/>
      <c r="HY708" s="162"/>
      <c r="HZ708" s="162"/>
      <c r="IA708" s="162"/>
      <c r="IB708" s="162"/>
      <c r="IC708" s="162"/>
      <c r="ID708" s="162"/>
      <c r="IE708" s="162"/>
      <c r="IF708" s="162"/>
      <c r="IG708" s="162"/>
      <c r="IH708" s="162"/>
      <c r="II708" s="162"/>
      <c r="IJ708" s="162"/>
      <c r="IK708" s="162"/>
      <c r="IL708" s="162"/>
      <c r="IM708" s="162"/>
      <c r="IN708" s="162"/>
      <c r="IO708" s="162"/>
      <c r="IP708" s="162"/>
      <c r="IQ708" s="162"/>
      <c r="IR708" s="162"/>
      <c r="IS708" s="162"/>
      <c r="IT708" s="162"/>
      <c r="IU708" s="162"/>
      <c r="IV708" s="162"/>
    </row>
    <row r="709" spans="1:256" s="153" customFormat="1" ht="23.1" customHeight="1">
      <c r="A709" s="2275"/>
      <c r="B709" s="2275"/>
      <c r="C709" s="2278"/>
      <c r="D709" s="2278"/>
      <c r="E709" s="1671"/>
      <c r="F709" s="1249"/>
      <c r="G709" s="1249"/>
      <c r="H709" s="1083"/>
      <c r="I709" s="2278"/>
      <c r="J709" s="1671"/>
      <c r="K709" s="1671"/>
      <c r="L709" s="1671"/>
      <c r="M709" s="1671"/>
      <c r="N709" s="1672"/>
      <c r="O709" s="1672"/>
      <c r="P709" s="1671"/>
      <c r="Q709" s="1673"/>
      <c r="R709" s="1671"/>
      <c r="S709" s="1672"/>
      <c r="T709" s="1671"/>
      <c r="U709" s="1671"/>
      <c r="V709" s="1671"/>
      <c r="W709" s="1671"/>
      <c r="X709" s="1671"/>
      <c r="Y709" s="1672"/>
      <c r="Z709" s="1671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  <c r="BA709" s="162"/>
      <c r="BB709" s="162"/>
      <c r="BC709" s="162"/>
      <c r="BD709" s="162"/>
      <c r="BE709" s="162"/>
      <c r="BF709" s="162"/>
      <c r="BG709" s="162"/>
      <c r="BH709" s="162"/>
      <c r="BI709" s="162"/>
      <c r="BJ709" s="162"/>
      <c r="BK709" s="162"/>
      <c r="BL709" s="162"/>
      <c r="BM709" s="162"/>
      <c r="BN709" s="162"/>
      <c r="BO709" s="162"/>
      <c r="BP709" s="162"/>
      <c r="BQ709" s="162"/>
      <c r="BR709" s="162"/>
      <c r="BS709" s="162"/>
      <c r="BT709" s="162"/>
      <c r="BU709" s="162"/>
      <c r="BV709" s="162"/>
      <c r="BW709" s="162"/>
      <c r="BX709" s="162"/>
      <c r="BY709" s="162"/>
      <c r="BZ709" s="162"/>
      <c r="CA709" s="162"/>
      <c r="CB709" s="162"/>
      <c r="CC709" s="162"/>
      <c r="CD709" s="162"/>
      <c r="CE709" s="162"/>
      <c r="CF709" s="162"/>
      <c r="CG709" s="162"/>
      <c r="CH709" s="162"/>
      <c r="CI709" s="162"/>
      <c r="CJ709" s="162"/>
      <c r="CK709" s="162"/>
      <c r="CL709" s="162"/>
      <c r="CM709" s="162"/>
      <c r="CN709" s="162"/>
      <c r="CO709" s="162"/>
      <c r="CP709" s="162"/>
      <c r="CQ709" s="162"/>
      <c r="CR709" s="162"/>
      <c r="CS709" s="162"/>
      <c r="CT709" s="162"/>
      <c r="CU709" s="162"/>
      <c r="CV709" s="162"/>
      <c r="CW709" s="162"/>
      <c r="CX709" s="162"/>
      <c r="CY709" s="162"/>
      <c r="CZ709" s="162"/>
      <c r="DA709" s="162"/>
      <c r="DB709" s="162"/>
      <c r="DC709" s="162"/>
      <c r="DD709" s="162"/>
      <c r="DE709" s="162"/>
      <c r="DF709" s="162"/>
      <c r="DG709" s="162"/>
      <c r="DH709" s="162"/>
      <c r="DI709" s="162"/>
      <c r="DJ709" s="162"/>
      <c r="DK709" s="162"/>
      <c r="DL709" s="162"/>
      <c r="DM709" s="162"/>
      <c r="DN709" s="162"/>
      <c r="DO709" s="162"/>
      <c r="DP709" s="162"/>
      <c r="DQ709" s="162"/>
      <c r="DR709" s="162"/>
      <c r="DS709" s="162"/>
      <c r="DT709" s="162"/>
      <c r="DU709" s="162"/>
      <c r="DV709" s="162"/>
      <c r="DW709" s="162"/>
      <c r="DX709" s="162"/>
      <c r="DY709" s="162"/>
      <c r="DZ709" s="162"/>
      <c r="EA709" s="162"/>
      <c r="EB709" s="162"/>
      <c r="EC709" s="162"/>
      <c r="ED709" s="162"/>
      <c r="EE709" s="162"/>
      <c r="EF709" s="162"/>
      <c r="EG709" s="162"/>
      <c r="EH709" s="162"/>
      <c r="EI709" s="162"/>
      <c r="EJ709" s="162"/>
      <c r="EK709" s="162"/>
      <c r="EL709" s="162"/>
      <c r="EM709" s="162"/>
      <c r="EN709" s="162"/>
      <c r="EO709" s="162"/>
      <c r="EP709" s="162"/>
      <c r="EQ709" s="162"/>
      <c r="ER709" s="162"/>
      <c r="ES709" s="162"/>
      <c r="ET709" s="162"/>
      <c r="EU709" s="162"/>
      <c r="EV709" s="162"/>
      <c r="EW709" s="162"/>
      <c r="EX709" s="162"/>
      <c r="EY709" s="162"/>
      <c r="EZ709" s="162"/>
      <c r="FA709" s="162"/>
      <c r="FB709" s="162"/>
      <c r="FC709" s="162"/>
      <c r="FD709" s="162"/>
      <c r="FE709" s="162"/>
      <c r="FF709" s="162"/>
      <c r="FG709" s="162"/>
      <c r="FH709" s="162"/>
      <c r="FI709" s="162"/>
      <c r="FJ709" s="162"/>
      <c r="FK709" s="162"/>
      <c r="FL709" s="162"/>
      <c r="FM709" s="162"/>
      <c r="FN709" s="162"/>
      <c r="FO709" s="162"/>
      <c r="FP709" s="162"/>
      <c r="FQ709" s="162"/>
      <c r="FR709" s="162"/>
      <c r="FS709" s="162"/>
      <c r="FT709" s="162"/>
      <c r="FU709" s="162"/>
      <c r="FV709" s="162"/>
      <c r="FW709" s="162"/>
      <c r="FX709" s="162"/>
      <c r="FY709" s="162"/>
      <c r="FZ709" s="162"/>
      <c r="GA709" s="162"/>
      <c r="GB709" s="162"/>
      <c r="GC709" s="162"/>
      <c r="GD709" s="162"/>
      <c r="GE709" s="162"/>
      <c r="GF709" s="162"/>
      <c r="GG709" s="162"/>
      <c r="GH709" s="162"/>
      <c r="GI709" s="162"/>
      <c r="GJ709" s="162"/>
      <c r="GK709" s="162"/>
      <c r="GL709" s="162"/>
      <c r="GM709" s="162"/>
      <c r="GN709" s="162"/>
      <c r="GO709" s="162"/>
      <c r="GP709" s="162"/>
      <c r="GQ709" s="162"/>
      <c r="GR709" s="162"/>
      <c r="GS709" s="162"/>
      <c r="GT709" s="162"/>
      <c r="GU709" s="162"/>
      <c r="GV709" s="162"/>
      <c r="GW709" s="162"/>
      <c r="GX709" s="162"/>
      <c r="GY709" s="162"/>
      <c r="GZ709" s="162"/>
      <c r="HA709" s="162"/>
      <c r="HB709" s="162"/>
      <c r="HC709" s="162"/>
      <c r="HD709" s="162"/>
      <c r="HE709" s="162"/>
      <c r="HF709" s="162"/>
      <c r="HG709" s="162"/>
      <c r="HH709" s="162"/>
      <c r="HI709" s="162"/>
      <c r="HJ709" s="162"/>
      <c r="HK709" s="162"/>
      <c r="HL709" s="162"/>
      <c r="HM709" s="162"/>
      <c r="HN709" s="162"/>
      <c r="HO709" s="162"/>
      <c r="HP709" s="162"/>
      <c r="HQ709" s="162"/>
      <c r="HR709" s="162"/>
      <c r="HS709" s="162"/>
      <c r="HT709" s="162"/>
      <c r="HU709" s="162"/>
      <c r="HV709" s="162"/>
      <c r="HW709" s="162"/>
      <c r="HX709" s="162"/>
      <c r="HY709" s="162"/>
      <c r="HZ709" s="162"/>
      <c r="IA709" s="162"/>
      <c r="IB709" s="162"/>
      <c r="IC709" s="162"/>
      <c r="ID709" s="162"/>
      <c r="IE709" s="162"/>
      <c r="IF709" s="162"/>
      <c r="IG709" s="162"/>
      <c r="IH709" s="162"/>
      <c r="II709" s="162"/>
      <c r="IJ709" s="162"/>
      <c r="IK709" s="162"/>
      <c r="IL709" s="162"/>
      <c r="IM709" s="162"/>
      <c r="IN709" s="162"/>
      <c r="IO709" s="162"/>
      <c r="IP709" s="162"/>
      <c r="IQ709" s="162"/>
      <c r="IR709" s="162"/>
      <c r="IS709" s="162"/>
      <c r="IT709" s="162"/>
      <c r="IU709" s="162"/>
      <c r="IV709" s="162"/>
    </row>
    <row r="710" spans="1:256" s="153" customFormat="1" ht="23.1" customHeight="1">
      <c r="A710" s="2275"/>
      <c r="B710" s="2275"/>
      <c r="C710" s="2278"/>
      <c r="D710" s="2278"/>
      <c r="E710" s="1671"/>
      <c r="F710" s="1249"/>
      <c r="G710" s="1249"/>
      <c r="H710" s="1083"/>
      <c r="I710" s="2278"/>
      <c r="J710" s="1671"/>
      <c r="K710" s="1671"/>
      <c r="L710" s="1671"/>
      <c r="M710" s="1671"/>
      <c r="N710" s="1672"/>
      <c r="O710" s="1672"/>
      <c r="P710" s="1671"/>
      <c r="Q710" s="1673"/>
      <c r="R710" s="1671"/>
      <c r="S710" s="1672"/>
      <c r="T710" s="1671"/>
      <c r="U710" s="1671"/>
      <c r="V710" s="1671"/>
      <c r="W710" s="1671"/>
      <c r="X710" s="1671"/>
      <c r="Y710" s="1672"/>
      <c r="Z710" s="1671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  <c r="BA710" s="162"/>
      <c r="BB710" s="162"/>
      <c r="BC710" s="162"/>
      <c r="BD710" s="162"/>
      <c r="BE710" s="162"/>
      <c r="BF710" s="162"/>
      <c r="BG710" s="162"/>
      <c r="BH710" s="162"/>
      <c r="BI710" s="162"/>
      <c r="BJ710" s="162"/>
      <c r="BK710" s="162"/>
      <c r="BL710" s="162"/>
      <c r="BM710" s="162"/>
      <c r="BN710" s="162"/>
      <c r="BO710" s="162"/>
      <c r="BP710" s="162"/>
      <c r="BQ710" s="162"/>
      <c r="BR710" s="162"/>
      <c r="BS710" s="162"/>
      <c r="BT710" s="162"/>
      <c r="BU710" s="162"/>
      <c r="BV710" s="162"/>
      <c r="BW710" s="162"/>
      <c r="BX710" s="162"/>
      <c r="BY710" s="162"/>
      <c r="BZ710" s="162"/>
      <c r="CA710" s="162"/>
      <c r="CB710" s="162"/>
      <c r="CC710" s="162"/>
      <c r="CD710" s="162"/>
      <c r="CE710" s="162"/>
      <c r="CF710" s="162"/>
      <c r="CG710" s="162"/>
      <c r="CH710" s="162"/>
      <c r="CI710" s="162"/>
      <c r="CJ710" s="162"/>
      <c r="CK710" s="162"/>
      <c r="CL710" s="162"/>
      <c r="CM710" s="162"/>
      <c r="CN710" s="162"/>
      <c r="CO710" s="162"/>
      <c r="CP710" s="162"/>
      <c r="CQ710" s="162"/>
      <c r="CR710" s="162"/>
      <c r="CS710" s="162"/>
      <c r="CT710" s="162"/>
      <c r="CU710" s="162"/>
      <c r="CV710" s="162"/>
      <c r="CW710" s="162"/>
      <c r="CX710" s="162"/>
      <c r="CY710" s="162"/>
      <c r="CZ710" s="162"/>
      <c r="DA710" s="162"/>
      <c r="DB710" s="162"/>
      <c r="DC710" s="162"/>
      <c r="DD710" s="162"/>
      <c r="DE710" s="162"/>
      <c r="DF710" s="162"/>
      <c r="DG710" s="162"/>
      <c r="DH710" s="162"/>
      <c r="DI710" s="162"/>
      <c r="DJ710" s="162"/>
      <c r="DK710" s="162"/>
      <c r="DL710" s="162"/>
      <c r="DM710" s="162"/>
      <c r="DN710" s="162"/>
      <c r="DO710" s="162"/>
      <c r="DP710" s="162"/>
      <c r="DQ710" s="162"/>
      <c r="DR710" s="162"/>
      <c r="DS710" s="162"/>
      <c r="DT710" s="162"/>
      <c r="DU710" s="162"/>
      <c r="DV710" s="162"/>
      <c r="DW710" s="162"/>
      <c r="DX710" s="162"/>
      <c r="DY710" s="162"/>
      <c r="DZ710" s="162"/>
      <c r="EA710" s="162"/>
      <c r="EB710" s="162"/>
      <c r="EC710" s="162"/>
      <c r="ED710" s="162"/>
      <c r="EE710" s="162"/>
      <c r="EF710" s="162"/>
      <c r="EG710" s="162"/>
      <c r="EH710" s="162"/>
      <c r="EI710" s="162"/>
      <c r="EJ710" s="162"/>
      <c r="EK710" s="162"/>
      <c r="EL710" s="162"/>
      <c r="EM710" s="162"/>
      <c r="EN710" s="162"/>
      <c r="EO710" s="162"/>
      <c r="EP710" s="162"/>
      <c r="EQ710" s="162"/>
      <c r="ER710" s="162"/>
      <c r="ES710" s="162"/>
      <c r="ET710" s="162"/>
      <c r="EU710" s="162"/>
      <c r="EV710" s="162"/>
      <c r="EW710" s="162"/>
      <c r="EX710" s="162"/>
      <c r="EY710" s="162"/>
      <c r="EZ710" s="162"/>
      <c r="FA710" s="162"/>
      <c r="FB710" s="162"/>
      <c r="FC710" s="162"/>
      <c r="FD710" s="162"/>
      <c r="FE710" s="162"/>
      <c r="FF710" s="162"/>
      <c r="FG710" s="162"/>
      <c r="FH710" s="162"/>
      <c r="FI710" s="162"/>
      <c r="FJ710" s="162"/>
      <c r="FK710" s="162"/>
      <c r="FL710" s="162"/>
      <c r="FM710" s="162"/>
      <c r="FN710" s="162"/>
      <c r="FO710" s="162"/>
      <c r="FP710" s="162"/>
      <c r="FQ710" s="162"/>
      <c r="FR710" s="162"/>
      <c r="FS710" s="162"/>
      <c r="FT710" s="162"/>
      <c r="FU710" s="162"/>
      <c r="FV710" s="162"/>
      <c r="FW710" s="162"/>
      <c r="FX710" s="162"/>
      <c r="FY710" s="162"/>
      <c r="FZ710" s="162"/>
      <c r="GA710" s="162"/>
      <c r="GB710" s="162"/>
      <c r="GC710" s="162"/>
      <c r="GD710" s="162"/>
      <c r="GE710" s="162"/>
      <c r="GF710" s="162"/>
      <c r="GG710" s="162"/>
      <c r="GH710" s="162"/>
      <c r="GI710" s="162"/>
      <c r="GJ710" s="162"/>
      <c r="GK710" s="162"/>
      <c r="GL710" s="162"/>
      <c r="GM710" s="162"/>
      <c r="GN710" s="162"/>
      <c r="GO710" s="162"/>
      <c r="GP710" s="162"/>
      <c r="GQ710" s="162"/>
      <c r="GR710" s="162"/>
      <c r="GS710" s="162"/>
      <c r="GT710" s="162"/>
      <c r="GU710" s="162"/>
      <c r="GV710" s="162"/>
      <c r="GW710" s="162"/>
      <c r="GX710" s="162"/>
      <c r="GY710" s="162"/>
      <c r="GZ710" s="162"/>
      <c r="HA710" s="162"/>
      <c r="HB710" s="162"/>
      <c r="HC710" s="162"/>
      <c r="HD710" s="162"/>
      <c r="HE710" s="162"/>
      <c r="HF710" s="162"/>
      <c r="HG710" s="162"/>
      <c r="HH710" s="162"/>
      <c r="HI710" s="162"/>
      <c r="HJ710" s="162"/>
      <c r="HK710" s="162"/>
      <c r="HL710" s="162"/>
      <c r="HM710" s="162"/>
      <c r="HN710" s="162"/>
      <c r="HO710" s="162"/>
      <c r="HP710" s="162"/>
      <c r="HQ710" s="162"/>
      <c r="HR710" s="162"/>
      <c r="HS710" s="162"/>
      <c r="HT710" s="162"/>
      <c r="HU710" s="162"/>
      <c r="HV710" s="162"/>
      <c r="HW710" s="162"/>
      <c r="HX710" s="162"/>
      <c r="HY710" s="162"/>
      <c r="HZ710" s="162"/>
      <c r="IA710" s="162"/>
      <c r="IB710" s="162"/>
      <c r="IC710" s="162"/>
      <c r="ID710" s="162"/>
      <c r="IE710" s="162"/>
      <c r="IF710" s="162"/>
      <c r="IG710" s="162"/>
      <c r="IH710" s="162"/>
      <c r="II710" s="162"/>
      <c r="IJ710" s="162"/>
      <c r="IK710" s="162"/>
      <c r="IL710" s="162"/>
      <c r="IM710" s="162"/>
      <c r="IN710" s="162"/>
      <c r="IO710" s="162"/>
      <c r="IP710" s="162"/>
      <c r="IQ710" s="162"/>
      <c r="IR710" s="162"/>
      <c r="IS710" s="162"/>
      <c r="IT710" s="162"/>
      <c r="IU710" s="162"/>
      <c r="IV710" s="162"/>
    </row>
    <row r="711" spans="1:256" s="153" customFormat="1" ht="18.75" customHeight="1">
      <c r="A711" s="156"/>
      <c r="B711" s="156"/>
      <c r="C711" s="156"/>
      <c r="D711" s="156"/>
      <c r="E711" s="156"/>
      <c r="F711" s="157"/>
      <c r="G711" s="157"/>
      <c r="H711" s="173"/>
      <c r="I711" s="158"/>
      <c r="J711" s="159"/>
      <c r="K711" s="156"/>
      <c r="L711" s="156"/>
      <c r="M711" s="156"/>
      <c r="N711" s="156"/>
      <c r="O711" s="160"/>
      <c r="P711" s="160"/>
      <c r="Q711" s="156"/>
      <c r="R711" s="156"/>
      <c r="S711" s="156"/>
      <c r="T711" s="156"/>
      <c r="U711" s="156"/>
      <c r="V711" s="156"/>
      <c r="W711" s="156"/>
      <c r="X711" s="156"/>
      <c r="Y711" s="161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  <c r="BA711" s="162"/>
      <c r="BB711" s="162"/>
      <c r="BC711" s="162"/>
      <c r="BD711" s="162"/>
      <c r="BE711" s="162"/>
      <c r="BF711" s="162"/>
      <c r="BG711" s="162"/>
      <c r="BH711" s="162"/>
      <c r="BI711" s="162"/>
      <c r="BJ711" s="162"/>
      <c r="BK711" s="162"/>
      <c r="BL711" s="162"/>
      <c r="BM711" s="162"/>
      <c r="BN711" s="162"/>
      <c r="BO711" s="162"/>
      <c r="BP711" s="162"/>
      <c r="BQ711" s="162"/>
      <c r="BR711" s="162"/>
      <c r="BS711" s="162"/>
      <c r="BT711" s="162"/>
      <c r="BU711" s="162"/>
      <c r="BV711" s="162"/>
      <c r="BW711" s="162"/>
      <c r="BX711" s="162"/>
      <c r="BY711" s="162"/>
      <c r="BZ711" s="162"/>
      <c r="CA711" s="162"/>
      <c r="CB711" s="162"/>
      <c r="CC711" s="162"/>
      <c r="CD711" s="162"/>
      <c r="CE711" s="162"/>
      <c r="CF711" s="162"/>
      <c r="CG711" s="162"/>
      <c r="CH711" s="162"/>
      <c r="CI711" s="162"/>
      <c r="CJ711" s="162"/>
      <c r="CK711" s="162"/>
      <c r="CL711" s="162"/>
      <c r="CM711" s="162"/>
      <c r="CN711" s="162"/>
      <c r="CO711" s="162"/>
      <c r="CP711" s="162"/>
      <c r="CQ711" s="162"/>
      <c r="CR711" s="162"/>
      <c r="CS711" s="162"/>
      <c r="CT711" s="162"/>
      <c r="CU711" s="162"/>
      <c r="CV711" s="162"/>
      <c r="CW711" s="162"/>
      <c r="CX711" s="162"/>
      <c r="CY711" s="162"/>
      <c r="CZ711" s="162"/>
      <c r="DA711" s="162"/>
      <c r="DB711" s="162"/>
      <c r="DC711" s="162"/>
      <c r="DD711" s="162"/>
      <c r="DE711" s="162"/>
      <c r="DF711" s="162"/>
      <c r="DG711" s="162"/>
      <c r="DH711" s="162"/>
      <c r="DI711" s="162"/>
      <c r="DJ711" s="162"/>
      <c r="DK711" s="162"/>
      <c r="DL711" s="162"/>
      <c r="DM711" s="162"/>
      <c r="DN711" s="162"/>
      <c r="DO711" s="162"/>
      <c r="DP711" s="162"/>
      <c r="DQ711" s="162"/>
      <c r="DR711" s="162"/>
      <c r="DS711" s="162"/>
      <c r="DT711" s="162"/>
      <c r="DU711" s="162"/>
      <c r="DV711" s="162"/>
      <c r="DW711" s="162"/>
      <c r="DX711" s="162"/>
      <c r="DY711" s="162"/>
      <c r="DZ711" s="162"/>
      <c r="EA711" s="162"/>
      <c r="EB711" s="162"/>
      <c r="EC711" s="162"/>
      <c r="ED711" s="162"/>
      <c r="EE711" s="162"/>
      <c r="EF711" s="162"/>
      <c r="EG711" s="162"/>
      <c r="EH711" s="162"/>
      <c r="EI711" s="162"/>
      <c r="EJ711" s="162"/>
      <c r="EK711" s="162"/>
      <c r="EL711" s="162"/>
      <c r="EM711" s="162"/>
      <c r="EN711" s="162"/>
      <c r="EO711" s="162"/>
      <c r="EP711" s="162"/>
      <c r="EQ711" s="162"/>
      <c r="ER711" s="162"/>
      <c r="ES711" s="162"/>
      <c r="ET711" s="162"/>
      <c r="EU711" s="162"/>
      <c r="EV711" s="162"/>
      <c r="EW711" s="162"/>
      <c r="EX711" s="162"/>
      <c r="EY711" s="162"/>
      <c r="EZ711" s="162"/>
      <c r="FA711" s="162"/>
      <c r="FB711" s="162"/>
      <c r="FC711" s="162"/>
      <c r="FD711" s="162"/>
      <c r="FE711" s="162"/>
      <c r="FF711" s="162"/>
      <c r="FG711" s="162"/>
      <c r="FH711" s="162"/>
      <c r="FI711" s="162"/>
      <c r="FJ711" s="162"/>
      <c r="FK711" s="162"/>
      <c r="FL711" s="162"/>
      <c r="FM711" s="162"/>
      <c r="FN711" s="162"/>
      <c r="FO711" s="162"/>
      <c r="FP711" s="162"/>
      <c r="FQ711" s="162"/>
      <c r="FR711" s="162"/>
      <c r="FS711" s="162"/>
      <c r="FT711" s="162"/>
      <c r="FU711" s="162"/>
      <c r="FV711" s="162"/>
      <c r="FW711" s="162"/>
      <c r="FX711" s="162"/>
      <c r="FY711" s="162"/>
      <c r="FZ711" s="162"/>
      <c r="GA711" s="162"/>
      <c r="GB711" s="162"/>
      <c r="GC711" s="162"/>
      <c r="GD711" s="162"/>
      <c r="GE711" s="162"/>
      <c r="GF711" s="162"/>
      <c r="GG711" s="162"/>
      <c r="GH711" s="162"/>
      <c r="GI711" s="162"/>
      <c r="GJ711" s="162"/>
      <c r="GK711" s="162"/>
      <c r="GL711" s="162"/>
      <c r="GM711" s="162"/>
      <c r="GN711" s="162"/>
      <c r="GO711" s="162"/>
      <c r="GP711" s="162"/>
      <c r="GQ711" s="162"/>
      <c r="GR711" s="162"/>
      <c r="GS711" s="162"/>
      <c r="GT711" s="162"/>
      <c r="GU711" s="162"/>
      <c r="GV711" s="162"/>
      <c r="GW711" s="162"/>
      <c r="GX711" s="162"/>
      <c r="GY711" s="162"/>
      <c r="GZ711" s="162"/>
      <c r="HA711" s="162"/>
      <c r="HB711" s="162"/>
      <c r="HC711" s="162"/>
      <c r="HD711" s="162"/>
      <c r="HE711" s="162"/>
      <c r="HF711" s="162"/>
      <c r="HG711" s="162"/>
      <c r="HH711" s="162"/>
      <c r="HI711" s="162"/>
      <c r="HJ711" s="162"/>
      <c r="HK711" s="162"/>
      <c r="HL711" s="162"/>
      <c r="HM711" s="162"/>
      <c r="HN711" s="162"/>
      <c r="HO711" s="162"/>
      <c r="HP711" s="162"/>
      <c r="HQ711" s="162"/>
      <c r="HR711" s="162"/>
      <c r="HS711" s="162"/>
      <c r="HT711" s="162"/>
      <c r="HU711" s="162"/>
      <c r="HV711" s="162"/>
      <c r="HW711" s="162"/>
      <c r="HX711" s="162"/>
      <c r="HY711" s="162"/>
      <c r="HZ711" s="162"/>
      <c r="IA711" s="162"/>
      <c r="IB711" s="162"/>
      <c r="IC711" s="162"/>
      <c r="ID711" s="162"/>
      <c r="IE711" s="162"/>
      <c r="IF711" s="162"/>
      <c r="IG711" s="162"/>
      <c r="IH711" s="162"/>
      <c r="II711" s="162"/>
      <c r="IJ711" s="162"/>
      <c r="IK711" s="162"/>
      <c r="IL711" s="162"/>
      <c r="IM711" s="162"/>
      <c r="IN711" s="162"/>
      <c r="IO711" s="162"/>
      <c r="IP711" s="162"/>
      <c r="IQ711" s="162"/>
      <c r="IR711" s="162"/>
      <c r="IS711" s="162"/>
      <c r="IT711" s="162"/>
      <c r="IU711" s="162"/>
      <c r="IV711" s="162"/>
    </row>
  </sheetData>
  <autoFilter ref="A4:AB539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00">
    <mergeCell ref="J35:O35"/>
    <mergeCell ref="C7:E7"/>
    <mergeCell ref="D8:E8"/>
    <mergeCell ref="D20:E20"/>
    <mergeCell ref="J29:O29"/>
    <mergeCell ref="J30:O30"/>
    <mergeCell ref="J50:O50"/>
    <mergeCell ref="D51:E51"/>
    <mergeCell ref="J40:O40"/>
    <mergeCell ref="J41:O41"/>
    <mergeCell ref="J42:O42"/>
    <mergeCell ref="J47:O47"/>
    <mergeCell ref="D695:E695"/>
    <mergeCell ref="A1:Y1"/>
    <mergeCell ref="A3:E3"/>
    <mergeCell ref="F3:F4"/>
    <mergeCell ref="G3:G4"/>
    <mergeCell ref="H3:H4"/>
    <mergeCell ref="J3:Y4"/>
    <mergeCell ref="J24:O24"/>
    <mergeCell ref="J27:O27"/>
    <mergeCell ref="J28:O28"/>
    <mergeCell ref="J34:O34"/>
    <mergeCell ref="J43:O43"/>
    <mergeCell ref="J39:O39"/>
    <mergeCell ref="J31:O31"/>
    <mergeCell ref="J48:O48"/>
    <mergeCell ref="J49:O49"/>
    <mergeCell ref="D154:E154"/>
    <mergeCell ref="C193:E193"/>
    <mergeCell ref="D194:E194"/>
    <mergeCell ref="C118:E118"/>
    <mergeCell ref="D119:E119"/>
    <mergeCell ref="C153:E153"/>
    <mergeCell ref="D190:E190"/>
    <mergeCell ref="D174:E174"/>
    <mergeCell ref="D138:E138"/>
    <mergeCell ref="D146:E146"/>
    <mergeCell ref="D65:E65"/>
    <mergeCell ref="J67:M67"/>
    <mergeCell ref="C84:E84"/>
    <mergeCell ref="D85:E85"/>
    <mergeCell ref="D68:E68"/>
    <mergeCell ref="D102:E102"/>
    <mergeCell ref="J75:N75"/>
    <mergeCell ref="C685:E685"/>
    <mergeCell ref="D501:E501"/>
    <mergeCell ref="C510:E510"/>
    <mergeCell ref="D511:E511"/>
    <mergeCell ref="D520:E520"/>
    <mergeCell ref="D669:E669"/>
    <mergeCell ref="D479:E479"/>
    <mergeCell ref="C386:E386"/>
    <mergeCell ref="D387:E387"/>
    <mergeCell ref="D403:E403"/>
    <mergeCell ref="D414:E414"/>
    <mergeCell ref="D423:E423"/>
    <mergeCell ref="C436:E436"/>
    <mergeCell ref="D437:E437"/>
    <mergeCell ref="D686:E686"/>
    <mergeCell ref="C691:E691"/>
    <mergeCell ref="C385:E385"/>
    <mergeCell ref="C617:E617"/>
    <mergeCell ref="D618:E618"/>
    <mergeCell ref="D639:E639"/>
    <mergeCell ref="C649:E649"/>
    <mergeCell ref="D650:E650"/>
    <mergeCell ref="D661:E661"/>
    <mergeCell ref="B538:E538"/>
    <mergeCell ref="C539:E539"/>
    <mergeCell ref="D540:E540"/>
    <mergeCell ref="D553:E553"/>
    <mergeCell ref="D614:E614"/>
    <mergeCell ref="C616:E616"/>
    <mergeCell ref="D486:E486"/>
    <mergeCell ref="D468:E468"/>
    <mergeCell ref="C478:E478"/>
    <mergeCell ref="J318:N318"/>
    <mergeCell ref="J70:O70"/>
    <mergeCell ref="J69:O69"/>
    <mergeCell ref="J319:N319"/>
    <mergeCell ref="D183:E183"/>
    <mergeCell ref="D289:E289"/>
    <mergeCell ref="D301:E301"/>
    <mergeCell ref="D310:E310"/>
    <mergeCell ref="D316:E316"/>
    <mergeCell ref="C253:E253"/>
    <mergeCell ref="D247:E247"/>
    <mergeCell ref="C263:E263"/>
    <mergeCell ref="D264:E264"/>
    <mergeCell ref="D277:E277"/>
    <mergeCell ref="D254:E254"/>
    <mergeCell ref="D219:E219"/>
    <mergeCell ref="C349:E349"/>
    <mergeCell ref="D350:E350"/>
    <mergeCell ref="D380:E380"/>
    <mergeCell ref="C227:E227"/>
    <mergeCell ref="D228:E228"/>
    <mergeCell ref="D328:E328"/>
    <mergeCell ref="D335:E335"/>
  </mergeCells>
  <phoneticPr fontId="19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4" fitToHeight="100" orientation="landscape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24</vt:i4>
      </vt:variant>
      <vt:variant>
        <vt:lpstr>이름이 지정된 범위</vt:lpstr>
      </vt:variant>
      <vt:variant>
        <vt:i4>45</vt:i4>
      </vt:variant>
    </vt:vector>
  </HeadingPairs>
  <TitlesOfParts>
    <vt:vector size="69" baseType="lpstr">
      <vt:lpstr>예산총칙</vt:lpstr>
      <vt:lpstr>수입예산 총괄</vt:lpstr>
      <vt:lpstr>지출예산 총괄</vt:lpstr>
      <vt:lpstr>1.목적(수입)</vt:lpstr>
      <vt:lpstr>1.목적(지출총괄)</vt:lpstr>
      <vt:lpstr>1-1목적(정책실)</vt:lpstr>
      <vt:lpstr>1-2목적(경영관리비)</vt:lpstr>
      <vt:lpstr>1-3목적(경영본부사업)</vt:lpstr>
      <vt:lpstr>1-4목적(문예본부)</vt:lpstr>
      <vt:lpstr>1-5목적(연구원)</vt:lpstr>
      <vt:lpstr>1-6목적(도박)</vt:lpstr>
      <vt:lpstr>1-7목적(미술관)</vt:lpstr>
      <vt:lpstr>1-8목적(백남준)</vt:lpstr>
      <vt:lpstr>1-9목적(실학)</vt:lpstr>
      <vt:lpstr>1-10목적(선사)</vt:lpstr>
      <vt:lpstr>1-11목적(어박)</vt:lpstr>
      <vt:lpstr>1-12예비비</vt:lpstr>
      <vt:lpstr>2.외부(수입)</vt:lpstr>
      <vt:lpstr>2-1외부지출(공기관,보조금,지원)</vt:lpstr>
      <vt:lpstr>공기관,보조금,지원(세부산출)</vt:lpstr>
      <vt:lpstr>2-2외부지출(위탁)</vt:lpstr>
      <vt:lpstr>위탁(세부산출)</vt:lpstr>
      <vt:lpstr>3.반납비</vt:lpstr>
      <vt:lpstr>4.명시이월</vt:lpstr>
      <vt:lpstr>'1.목적(수입)'!Print_Area</vt:lpstr>
      <vt:lpstr>'1.목적(지출총괄)'!Print_Area</vt:lpstr>
      <vt:lpstr>'1-10목적(선사)'!Print_Area</vt:lpstr>
      <vt:lpstr>'1-11목적(어박)'!Print_Area</vt:lpstr>
      <vt:lpstr>'1-12예비비'!Print_Area</vt:lpstr>
      <vt:lpstr>'1-1목적(정책실)'!Print_Area</vt:lpstr>
      <vt:lpstr>'1-2목적(경영관리비)'!Print_Area</vt:lpstr>
      <vt:lpstr>'1-3목적(경영본부사업)'!Print_Area</vt:lpstr>
      <vt:lpstr>'1-4목적(문예본부)'!Print_Area</vt:lpstr>
      <vt:lpstr>'1-5목적(연구원)'!Print_Area</vt:lpstr>
      <vt:lpstr>'1-6목적(도박)'!Print_Area</vt:lpstr>
      <vt:lpstr>'1-7목적(미술관)'!Print_Area</vt:lpstr>
      <vt:lpstr>'1-8목적(백남준)'!Print_Area</vt:lpstr>
      <vt:lpstr>'1-9목적(실학)'!Print_Area</vt:lpstr>
      <vt:lpstr>'2.외부(수입)'!Print_Area</vt:lpstr>
      <vt:lpstr>'2-1외부지출(공기관,보조금,지원)'!Print_Area</vt:lpstr>
      <vt:lpstr>'2-2외부지출(위탁)'!Print_Area</vt:lpstr>
      <vt:lpstr>'3.반납비'!Print_Area</vt:lpstr>
      <vt:lpstr>'4.명시이월'!Print_Area</vt:lpstr>
      <vt:lpstr>'공기관,보조금,지원(세부산출)'!Print_Area</vt:lpstr>
      <vt:lpstr>'수입예산 총괄'!Print_Area</vt:lpstr>
      <vt:lpstr>예산총칙!Print_Area</vt:lpstr>
      <vt:lpstr>'위탁(세부산출)'!Print_Area</vt:lpstr>
      <vt:lpstr>'지출예산 총괄'!Print_Area</vt:lpstr>
      <vt:lpstr>'1.목적(수입)'!Print_Titles</vt:lpstr>
      <vt:lpstr>'1.목적(지출총괄)'!Print_Titles</vt:lpstr>
      <vt:lpstr>'1-10목적(선사)'!Print_Titles</vt:lpstr>
      <vt:lpstr>'1-11목적(어박)'!Print_Titles</vt:lpstr>
      <vt:lpstr>'1-12예비비'!Print_Titles</vt:lpstr>
      <vt:lpstr>'1-1목적(정책실)'!Print_Titles</vt:lpstr>
      <vt:lpstr>'1-2목적(경영관리비)'!Print_Titles</vt:lpstr>
      <vt:lpstr>'1-3목적(경영본부사업)'!Print_Titles</vt:lpstr>
      <vt:lpstr>'1-4목적(문예본부)'!Print_Titles</vt:lpstr>
      <vt:lpstr>'1-5목적(연구원)'!Print_Titles</vt:lpstr>
      <vt:lpstr>'1-6목적(도박)'!Print_Titles</vt:lpstr>
      <vt:lpstr>'1-7목적(미술관)'!Print_Titles</vt:lpstr>
      <vt:lpstr>'1-8목적(백남준)'!Print_Titles</vt:lpstr>
      <vt:lpstr>'1-9목적(실학)'!Print_Titles</vt:lpstr>
      <vt:lpstr>'2.외부(수입)'!Print_Titles</vt:lpstr>
      <vt:lpstr>'2-1외부지출(공기관,보조금,지원)'!Print_Titles</vt:lpstr>
      <vt:lpstr>'2-2외부지출(위탁)'!Print_Titles</vt:lpstr>
      <vt:lpstr>'3.반납비'!Print_Titles</vt:lpstr>
      <vt:lpstr>'공기관,보조금,지원(세부산출)'!Print_Titles</vt:lpstr>
      <vt:lpstr>'위탁(세부산출)'!Print_Titles</vt:lpstr>
      <vt:lpstr>'지출예산 총괄'!Print_Titles</vt:lpstr>
    </vt:vector>
  </TitlesOfParts>
  <Company>com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최종 이사회 상정안건</dc:description>
  <cp:lastModifiedBy>user</cp:lastModifiedBy>
  <cp:lastPrinted>2018-05-15T00:21:50Z</cp:lastPrinted>
  <dcterms:created xsi:type="dcterms:W3CDTF">2002-01-04T05:33:22Z</dcterms:created>
  <dcterms:modified xsi:type="dcterms:W3CDTF">2018-06-29T00:14:02Z</dcterms:modified>
</cp:coreProperties>
</file>